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0" windowWidth="1980" windowHeight="1215" tabRatio="632"/>
  </bookViews>
  <sheets>
    <sheet name="Studies" sheetId="1" r:id="rId1"/>
    <sheet name="PK-Parameter" sheetId="9" r:id="rId2"/>
    <sheet name="PK-Profiles" sheetId="17" r:id="rId3"/>
    <sheet name="DDI" sheetId="4" r:id="rId4"/>
    <sheet name="Analyte" sheetId="8" r:id="rId5"/>
    <sheet name="Lists" sheetId="11" r:id="rId6"/>
    <sheet name="Projects" sheetId="14" r:id="rId7"/>
    <sheet name="NotghiID" sheetId="22" r:id="rId8"/>
  </sheets>
  <definedNames>
    <definedName name="_xlnm._FilterDatabase" localSheetId="3" hidden="1">DDI!$A$1:$AN$93</definedName>
    <definedName name="_xlnm._FilterDatabase" localSheetId="7" hidden="1">NotghiID!$A$1:$E$201</definedName>
    <definedName name="_xlnm._FilterDatabase" localSheetId="1" hidden="1">'PK-Parameter'!$A$1:$AE$418</definedName>
    <definedName name="_xlnm._FilterDatabase" localSheetId="2" hidden="1">'PK-Profiles'!$A$1:$Q$4860</definedName>
    <definedName name="_xlnm._FilterDatabase" localSheetId="6" hidden="1">Projects!$A$1:$H$553</definedName>
    <definedName name="_xlnm._FilterDatabase" localSheetId="0" hidden="1">Studies!$A$2:$BT$554</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827" i="17" l="1"/>
  <c r="C4827" i="17"/>
  <c r="D4827" i="17"/>
  <c r="E4827" i="17"/>
  <c r="F4827" i="17"/>
  <c r="B4828" i="17"/>
  <c r="C4828" i="17"/>
  <c r="D4828" i="17"/>
  <c r="E4828" i="17"/>
  <c r="F4828" i="17"/>
  <c r="B4829" i="17"/>
  <c r="C4829" i="17"/>
  <c r="D4829" i="17"/>
  <c r="E4829" i="17"/>
  <c r="F4829" i="17"/>
  <c r="B4830" i="17"/>
  <c r="C4830" i="17"/>
  <c r="D4830" i="17"/>
  <c r="E4830" i="17"/>
  <c r="F4830" i="17"/>
  <c r="B4831" i="17"/>
  <c r="C4831" i="17"/>
  <c r="D4831" i="17"/>
  <c r="E4831" i="17"/>
  <c r="F4831" i="17"/>
  <c r="B4832" i="17"/>
  <c r="C4832" i="17"/>
  <c r="D4832" i="17"/>
  <c r="E4832" i="17"/>
  <c r="F4832" i="17"/>
  <c r="B4833" i="17"/>
  <c r="C4833" i="17"/>
  <c r="D4833" i="17"/>
  <c r="E4833" i="17"/>
  <c r="F4833" i="17"/>
  <c r="B4834" i="17"/>
  <c r="C4834" i="17"/>
  <c r="D4834" i="17"/>
  <c r="E4834" i="17"/>
  <c r="F4834" i="17"/>
  <c r="B4835" i="17"/>
  <c r="C4835" i="17"/>
  <c r="D4835" i="17"/>
  <c r="E4835" i="17"/>
  <c r="F4835" i="17"/>
  <c r="B4836" i="17"/>
  <c r="C4836" i="17"/>
  <c r="D4836" i="17"/>
  <c r="E4836" i="17"/>
  <c r="F4836" i="17"/>
  <c r="B4837" i="17"/>
  <c r="C4837" i="17"/>
  <c r="D4837" i="17"/>
  <c r="E4837" i="17"/>
  <c r="F4837" i="17"/>
  <c r="B4838" i="17"/>
  <c r="C4838" i="17"/>
  <c r="D4838" i="17"/>
  <c r="E4838" i="17"/>
  <c r="F4838" i="17"/>
  <c r="B4839" i="17"/>
  <c r="C4839" i="17"/>
  <c r="D4839" i="17"/>
  <c r="E4839" i="17"/>
  <c r="F4839" i="17"/>
  <c r="B4840" i="17"/>
  <c r="C4840" i="17"/>
  <c r="D4840" i="17"/>
  <c r="E4840" i="17"/>
  <c r="F4840" i="17"/>
  <c r="B4841" i="17"/>
  <c r="C4841" i="17"/>
  <c r="D4841" i="17"/>
  <c r="E4841" i="17"/>
  <c r="F4841" i="17"/>
  <c r="B4842" i="17"/>
  <c r="C4842" i="17"/>
  <c r="D4842" i="17"/>
  <c r="E4842" i="17"/>
  <c r="F4842" i="17"/>
  <c r="B4843" i="17"/>
  <c r="C4843" i="17"/>
  <c r="D4843" i="17"/>
  <c r="E4843" i="17"/>
  <c r="F4843" i="17"/>
  <c r="B4844" i="17"/>
  <c r="C4844" i="17"/>
  <c r="D4844" i="17"/>
  <c r="E4844" i="17"/>
  <c r="F4844" i="17"/>
  <c r="B4845" i="17"/>
  <c r="C4845" i="17"/>
  <c r="D4845" i="17"/>
  <c r="E4845" i="17"/>
  <c r="F4845" i="17"/>
  <c r="B4846" i="17"/>
  <c r="C4846" i="17"/>
  <c r="D4846" i="17"/>
  <c r="E4846" i="17"/>
  <c r="F4846" i="17"/>
  <c r="B4847" i="17"/>
  <c r="C4847" i="17"/>
  <c r="D4847" i="17"/>
  <c r="E4847" i="17"/>
  <c r="F4847" i="17"/>
  <c r="B4848" i="17"/>
  <c r="C4848" i="17"/>
  <c r="D4848" i="17"/>
  <c r="E4848" i="17"/>
  <c r="F4848" i="17"/>
  <c r="B4849" i="17"/>
  <c r="C4849" i="17"/>
  <c r="D4849" i="17"/>
  <c r="E4849" i="17"/>
  <c r="F4849" i="17"/>
  <c r="B4850" i="17"/>
  <c r="C4850" i="17"/>
  <c r="D4850" i="17"/>
  <c r="E4850" i="17"/>
  <c r="F4850" i="17"/>
  <c r="B4851" i="17"/>
  <c r="C4851" i="17"/>
  <c r="D4851" i="17"/>
  <c r="E4851" i="17"/>
  <c r="F4851" i="17"/>
  <c r="B4852" i="17"/>
  <c r="C4852" i="17"/>
  <c r="D4852" i="17"/>
  <c r="E4852" i="17"/>
  <c r="F4852" i="17"/>
  <c r="B4853" i="17"/>
  <c r="C4853" i="17"/>
  <c r="D4853" i="17"/>
  <c r="E4853" i="17"/>
  <c r="F4853" i="17"/>
  <c r="B4854" i="17"/>
  <c r="C4854" i="17"/>
  <c r="D4854" i="17"/>
  <c r="E4854" i="17"/>
  <c r="F4854" i="17"/>
  <c r="B4855" i="17"/>
  <c r="C4855" i="17"/>
  <c r="D4855" i="17"/>
  <c r="E4855" i="17"/>
  <c r="F4855" i="17"/>
  <c r="B4856" i="17"/>
  <c r="C4856" i="17"/>
  <c r="D4856" i="17"/>
  <c r="E4856" i="17"/>
  <c r="F4856" i="17"/>
  <c r="B4857" i="17"/>
  <c r="C4857" i="17"/>
  <c r="D4857" i="17"/>
  <c r="E4857" i="17"/>
  <c r="F4857" i="17"/>
  <c r="B4858" i="17"/>
  <c r="C4858" i="17"/>
  <c r="D4858" i="17"/>
  <c r="E4858" i="17"/>
  <c r="F4858" i="17"/>
  <c r="B4859" i="17"/>
  <c r="C4859" i="17"/>
  <c r="D4859" i="17"/>
  <c r="E4859" i="17"/>
  <c r="F4859" i="17"/>
  <c r="B4860" i="17"/>
  <c r="C4860" i="17"/>
  <c r="D4860" i="17"/>
  <c r="E4860" i="17"/>
  <c r="F4860" i="17"/>
  <c r="B4787" i="17"/>
  <c r="C4787" i="17"/>
  <c r="D4787" i="17"/>
  <c r="E4787" i="17"/>
  <c r="F4787" i="17"/>
  <c r="B4788" i="17"/>
  <c r="C4788" i="17"/>
  <c r="D4788" i="17"/>
  <c r="E4788" i="17"/>
  <c r="F4788" i="17"/>
  <c r="B4789" i="17"/>
  <c r="C4789" i="17"/>
  <c r="D4789" i="17"/>
  <c r="E4789" i="17"/>
  <c r="F4789" i="17"/>
  <c r="B4790" i="17"/>
  <c r="C4790" i="17"/>
  <c r="D4790" i="17"/>
  <c r="E4790" i="17"/>
  <c r="F4790" i="17"/>
  <c r="B4791" i="17"/>
  <c r="C4791" i="17"/>
  <c r="D4791" i="17"/>
  <c r="E4791" i="17"/>
  <c r="F4791" i="17"/>
  <c r="B4792" i="17"/>
  <c r="C4792" i="17"/>
  <c r="D4792" i="17"/>
  <c r="E4792" i="17"/>
  <c r="F4792" i="17"/>
  <c r="B4793" i="17"/>
  <c r="C4793" i="17"/>
  <c r="D4793" i="17"/>
  <c r="E4793" i="17"/>
  <c r="F4793" i="17"/>
  <c r="B4794" i="17"/>
  <c r="C4794" i="17"/>
  <c r="D4794" i="17"/>
  <c r="E4794" i="17"/>
  <c r="F4794" i="17"/>
  <c r="B4795" i="17"/>
  <c r="C4795" i="17"/>
  <c r="D4795" i="17"/>
  <c r="E4795" i="17"/>
  <c r="F4795" i="17"/>
  <c r="B4796" i="17"/>
  <c r="C4796" i="17"/>
  <c r="D4796" i="17"/>
  <c r="E4796" i="17"/>
  <c r="F4796" i="17"/>
  <c r="B4797" i="17"/>
  <c r="C4797" i="17"/>
  <c r="D4797" i="17"/>
  <c r="E4797" i="17"/>
  <c r="F4797" i="17"/>
  <c r="B4798" i="17"/>
  <c r="C4798" i="17"/>
  <c r="D4798" i="17"/>
  <c r="E4798" i="17"/>
  <c r="F4798" i="17"/>
  <c r="B4799" i="17"/>
  <c r="C4799" i="17"/>
  <c r="D4799" i="17"/>
  <c r="E4799" i="17"/>
  <c r="F4799" i="17"/>
  <c r="B4800" i="17"/>
  <c r="C4800" i="17"/>
  <c r="D4800" i="17"/>
  <c r="E4800" i="17"/>
  <c r="F4800" i="17"/>
  <c r="B4801" i="17"/>
  <c r="C4801" i="17"/>
  <c r="D4801" i="17"/>
  <c r="E4801" i="17"/>
  <c r="F4801" i="17"/>
  <c r="B4802" i="17"/>
  <c r="C4802" i="17"/>
  <c r="D4802" i="17"/>
  <c r="E4802" i="17"/>
  <c r="F4802" i="17"/>
  <c r="B4803" i="17"/>
  <c r="C4803" i="17"/>
  <c r="D4803" i="17"/>
  <c r="E4803" i="17"/>
  <c r="F4803" i="17"/>
  <c r="B4804" i="17"/>
  <c r="C4804" i="17"/>
  <c r="D4804" i="17"/>
  <c r="E4804" i="17"/>
  <c r="F4804" i="17"/>
  <c r="B4805" i="17"/>
  <c r="C4805" i="17"/>
  <c r="D4805" i="17"/>
  <c r="E4805" i="17"/>
  <c r="F4805" i="17"/>
  <c r="B4806" i="17"/>
  <c r="C4806" i="17"/>
  <c r="D4806" i="17"/>
  <c r="E4806" i="17"/>
  <c r="F4806" i="17"/>
  <c r="B4807" i="17"/>
  <c r="C4807" i="17"/>
  <c r="D4807" i="17"/>
  <c r="E4807" i="17"/>
  <c r="F4807" i="17"/>
  <c r="B4808" i="17"/>
  <c r="C4808" i="17"/>
  <c r="D4808" i="17"/>
  <c r="E4808" i="17"/>
  <c r="F4808" i="17"/>
  <c r="B4809" i="17"/>
  <c r="C4809" i="17"/>
  <c r="D4809" i="17"/>
  <c r="E4809" i="17"/>
  <c r="F4809" i="17"/>
  <c r="B4810" i="17"/>
  <c r="C4810" i="17"/>
  <c r="D4810" i="17"/>
  <c r="E4810" i="17"/>
  <c r="F4810" i="17"/>
  <c r="B4811" i="17"/>
  <c r="C4811" i="17"/>
  <c r="D4811" i="17"/>
  <c r="E4811" i="17"/>
  <c r="F4811" i="17"/>
  <c r="B4812" i="17"/>
  <c r="C4812" i="17"/>
  <c r="D4812" i="17"/>
  <c r="E4812" i="17"/>
  <c r="F4812" i="17"/>
  <c r="B4813" i="17"/>
  <c r="C4813" i="17"/>
  <c r="D4813" i="17"/>
  <c r="E4813" i="17"/>
  <c r="F4813" i="17"/>
  <c r="B4814" i="17"/>
  <c r="C4814" i="17"/>
  <c r="D4814" i="17"/>
  <c r="E4814" i="17"/>
  <c r="F4814" i="17"/>
  <c r="B4815" i="17"/>
  <c r="C4815" i="17"/>
  <c r="D4815" i="17"/>
  <c r="E4815" i="17"/>
  <c r="F4815" i="17"/>
  <c r="B4816" i="17"/>
  <c r="C4816" i="17"/>
  <c r="D4816" i="17"/>
  <c r="E4816" i="17"/>
  <c r="F4816" i="17"/>
  <c r="B4817" i="17"/>
  <c r="C4817" i="17"/>
  <c r="D4817" i="17"/>
  <c r="E4817" i="17"/>
  <c r="F4817" i="17"/>
  <c r="B4818" i="17"/>
  <c r="C4818" i="17"/>
  <c r="D4818" i="17"/>
  <c r="E4818" i="17"/>
  <c r="F4818" i="17"/>
  <c r="B4819" i="17"/>
  <c r="C4819" i="17"/>
  <c r="D4819" i="17"/>
  <c r="E4819" i="17"/>
  <c r="F4819" i="17"/>
  <c r="B4820" i="17"/>
  <c r="C4820" i="17"/>
  <c r="D4820" i="17"/>
  <c r="E4820" i="17"/>
  <c r="F4820" i="17"/>
  <c r="B4821" i="17"/>
  <c r="C4821" i="17"/>
  <c r="D4821" i="17"/>
  <c r="E4821" i="17"/>
  <c r="F4821" i="17"/>
  <c r="B4822" i="17"/>
  <c r="C4822" i="17"/>
  <c r="D4822" i="17"/>
  <c r="E4822" i="17"/>
  <c r="F4822" i="17"/>
  <c r="B4823" i="17"/>
  <c r="C4823" i="17"/>
  <c r="D4823" i="17"/>
  <c r="E4823" i="17"/>
  <c r="F4823" i="17"/>
  <c r="B4824" i="17"/>
  <c r="C4824" i="17"/>
  <c r="D4824" i="17"/>
  <c r="E4824" i="17"/>
  <c r="F4824" i="17"/>
  <c r="B4825" i="17"/>
  <c r="C4825" i="17"/>
  <c r="D4825" i="17"/>
  <c r="E4825" i="17"/>
  <c r="F4825" i="17"/>
  <c r="B4826" i="17"/>
  <c r="C4826" i="17"/>
  <c r="D4826" i="17"/>
  <c r="E4826" i="17"/>
  <c r="F4826" i="17"/>
  <c r="AN459" i="1"/>
  <c r="AK459" i="1"/>
  <c r="AF459" i="1"/>
  <c r="AC459" i="1"/>
  <c r="AN458" i="1"/>
  <c r="AK458" i="1"/>
  <c r="AF458" i="1"/>
  <c r="AC458" i="1"/>
  <c r="AN457" i="1"/>
  <c r="AK457" i="1"/>
  <c r="AF457" i="1"/>
  <c r="AC457" i="1"/>
  <c r="AN456" i="1"/>
  <c r="AK456" i="1"/>
  <c r="AF456" i="1"/>
  <c r="AC456" i="1"/>
  <c r="AN455" i="1"/>
  <c r="AK455" i="1"/>
  <c r="AF455" i="1"/>
  <c r="AC455" i="1"/>
  <c r="S452" i="9"/>
  <c r="P452" i="9"/>
  <c r="L452" i="9"/>
  <c r="I452" i="9"/>
  <c r="G452" i="9"/>
  <c r="F452" i="9"/>
  <c r="B452" i="9"/>
  <c r="C452" i="9"/>
  <c r="D452" i="9"/>
  <c r="E452" i="9"/>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G68" i="4"/>
  <c r="B68" i="4"/>
  <c r="C68" i="4"/>
  <c r="D68" i="4"/>
  <c r="E68" i="4"/>
  <c r="I26" i="22"/>
  <c r="I27" i="22"/>
  <c r="I28" i="22"/>
  <c r="I29" i="22"/>
  <c r="I30" i="22"/>
  <c r="I31" i="22"/>
  <c r="I32" i="22"/>
  <c r="I25" i="22"/>
  <c r="B449" i="9"/>
  <c r="C449" i="9"/>
  <c r="D449" i="9"/>
  <c r="E449" i="9"/>
  <c r="B450" i="9"/>
  <c r="C450" i="9"/>
  <c r="D450" i="9"/>
  <c r="E450" i="9"/>
  <c r="B451" i="9"/>
  <c r="C451" i="9"/>
  <c r="D451" i="9"/>
  <c r="E451" i="9"/>
  <c r="B447" i="9" l="1"/>
  <c r="C447" i="9"/>
  <c r="D447" i="9"/>
  <c r="E447" i="9"/>
  <c r="B448" i="9"/>
  <c r="C448" i="9"/>
  <c r="D448" i="9"/>
  <c r="E448" i="9"/>
  <c r="B4770" i="17"/>
  <c r="C4770" i="17"/>
  <c r="D4770" i="17"/>
  <c r="E4770" i="17"/>
  <c r="F4770" i="17"/>
  <c r="B4771" i="17"/>
  <c r="C4771" i="17"/>
  <c r="D4771" i="17"/>
  <c r="E4771" i="17"/>
  <c r="F4771" i="17"/>
  <c r="B4772" i="17"/>
  <c r="C4772" i="17"/>
  <c r="D4772" i="17"/>
  <c r="E4772" i="17"/>
  <c r="F4772" i="17"/>
  <c r="B4773" i="17"/>
  <c r="C4773" i="17"/>
  <c r="D4773" i="17"/>
  <c r="E4773" i="17"/>
  <c r="F4773" i="17"/>
  <c r="B4774" i="17"/>
  <c r="C4774" i="17"/>
  <c r="D4774" i="17"/>
  <c r="E4774" i="17"/>
  <c r="F4774" i="17"/>
  <c r="B4775" i="17"/>
  <c r="C4775" i="17"/>
  <c r="D4775" i="17"/>
  <c r="E4775" i="17"/>
  <c r="F4775" i="17"/>
  <c r="B4776" i="17"/>
  <c r="C4776" i="17"/>
  <c r="D4776" i="17"/>
  <c r="E4776" i="17"/>
  <c r="F4776" i="17"/>
  <c r="B4777" i="17"/>
  <c r="C4777" i="17"/>
  <c r="D4777" i="17"/>
  <c r="E4777" i="17"/>
  <c r="F4777" i="17"/>
  <c r="B4778" i="17"/>
  <c r="C4778" i="17"/>
  <c r="D4778" i="17"/>
  <c r="E4778" i="17"/>
  <c r="F4778" i="17"/>
  <c r="B4779" i="17"/>
  <c r="C4779" i="17"/>
  <c r="D4779" i="17"/>
  <c r="E4779" i="17"/>
  <c r="F4779" i="17"/>
  <c r="B4780" i="17"/>
  <c r="C4780" i="17"/>
  <c r="D4780" i="17"/>
  <c r="E4780" i="17"/>
  <c r="F4780" i="17"/>
  <c r="B4781" i="17"/>
  <c r="C4781" i="17"/>
  <c r="D4781" i="17"/>
  <c r="E4781" i="17"/>
  <c r="F4781" i="17"/>
  <c r="B4782" i="17"/>
  <c r="C4782" i="17"/>
  <c r="D4782" i="17"/>
  <c r="E4782" i="17"/>
  <c r="F4782" i="17"/>
  <c r="B4783" i="17"/>
  <c r="C4783" i="17"/>
  <c r="D4783" i="17"/>
  <c r="E4783" i="17"/>
  <c r="F4783" i="17"/>
  <c r="B4784" i="17"/>
  <c r="C4784" i="17"/>
  <c r="D4784" i="17"/>
  <c r="E4784" i="17"/>
  <c r="F4784" i="17"/>
  <c r="B4785" i="17"/>
  <c r="C4785" i="17"/>
  <c r="D4785" i="17"/>
  <c r="E4785" i="17"/>
  <c r="F4785" i="17"/>
  <c r="B4786" i="17"/>
  <c r="C4786" i="17"/>
  <c r="D4786" i="17"/>
  <c r="E4786" i="17"/>
  <c r="F4786" i="17"/>
  <c r="F4769" i="17"/>
  <c r="E4769" i="17"/>
  <c r="D4769" i="17"/>
  <c r="C4769" i="17"/>
  <c r="B4769" i="17"/>
  <c r="G541" i="14"/>
  <c r="G542" i="14"/>
  <c r="G543" i="14"/>
  <c r="G544" i="14"/>
  <c r="G545" i="14"/>
  <c r="G546" i="14"/>
  <c r="G547" i="14"/>
  <c r="G548" i="14"/>
  <c r="G549" i="14"/>
  <c r="G550" i="14"/>
  <c r="G551" i="14"/>
  <c r="G552" i="1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H64" i="4"/>
  <c r="H65" i="4"/>
  <c r="H66" i="4"/>
  <c r="H67" i="4"/>
  <c r="H69" i="4"/>
  <c r="H70" i="4"/>
  <c r="H71" i="4"/>
  <c r="H72" i="4"/>
  <c r="H73" i="4"/>
  <c r="H74" i="4"/>
  <c r="H75" i="4"/>
  <c r="H76" i="4"/>
  <c r="H77" i="4"/>
  <c r="H78" i="4"/>
  <c r="H79" i="4"/>
  <c r="H80" i="4"/>
  <c r="H81" i="4"/>
  <c r="H82" i="4"/>
  <c r="H83" i="4"/>
  <c r="H84" i="4"/>
  <c r="H85" i="4"/>
  <c r="H86" i="4"/>
  <c r="H87" i="4"/>
  <c r="H88" i="4"/>
  <c r="H89" i="4"/>
  <c r="H90" i="4"/>
  <c r="H91" i="4"/>
  <c r="H92" i="4"/>
  <c r="H93"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9" i="4"/>
  <c r="G70" i="4"/>
  <c r="G71" i="4"/>
  <c r="G72" i="4"/>
  <c r="G73" i="4"/>
  <c r="G74" i="4"/>
  <c r="G75" i="4"/>
  <c r="G76" i="4"/>
  <c r="G77" i="4"/>
  <c r="G78" i="4"/>
  <c r="G79" i="4"/>
  <c r="G80" i="4"/>
  <c r="G81" i="4"/>
  <c r="G82" i="4"/>
  <c r="G83" i="4"/>
  <c r="G84" i="4"/>
  <c r="G85" i="4"/>
  <c r="G86" i="4"/>
  <c r="G87" i="4"/>
  <c r="G88" i="4"/>
  <c r="G89" i="4"/>
  <c r="G90" i="4"/>
  <c r="G91" i="4"/>
  <c r="G92" i="4"/>
  <c r="G93"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46" i="4"/>
  <c r="C46" i="4"/>
  <c r="D46" i="4"/>
  <c r="E46" i="4"/>
  <c r="B47" i="4"/>
  <c r="C47" i="4"/>
  <c r="D47" i="4"/>
  <c r="E47" i="4"/>
  <c r="B48" i="4"/>
  <c r="C48" i="4"/>
  <c r="D48" i="4"/>
  <c r="E48" i="4"/>
  <c r="B49" i="4"/>
  <c r="C49" i="4"/>
  <c r="D49" i="4"/>
  <c r="E49" i="4"/>
  <c r="B50" i="4"/>
  <c r="C50" i="4"/>
  <c r="D50" i="4"/>
  <c r="E50" i="4"/>
  <c r="B51" i="4"/>
  <c r="C51" i="4"/>
  <c r="D51" i="4"/>
  <c r="E51" i="4"/>
  <c r="B52" i="4"/>
  <c r="C52" i="4"/>
  <c r="D52" i="4"/>
  <c r="E52" i="4"/>
  <c r="B53" i="4"/>
  <c r="C53" i="4"/>
  <c r="D53" i="4"/>
  <c r="E53" i="4"/>
  <c r="B54" i="4"/>
  <c r="C54" i="4"/>
  <c r="D54" i="4"/>
  <c r="E54" i="4"/>
  <c r="B55" i="4"/>
  <c r="C55" i="4"/>
  <c r="D55" i="4"/>
  <c r="E55" i="4"/>
  <c r="B56" i="4"/>
  <c r="C56" i="4"/>
  <c r="D56" i="4"/>
  <c r="E56" i="4"/>
  <c r="B57" i="4"/>
  <c r="C57" i="4"/>
  <c r="D57" i="4"/>
  <c r="E57" i="4"/>
  <c r="B58" i="4"/>
  <c r="C58" i="4"/>
  <c r="D58" i="4"/>
  <c r="E58" i="4"/>
  <c r="B59" i="4"/>
  <c r="C59" i="4"/>
  <c r="D59" i="4"/>
  <c r="E59" i="4"/>
  <c r="B60" i="4"/>
  <c r="C60" i="4"/>
  <c r="D60" i="4"/>
  <c r="E60" i="4"/>
  <c r="B61" i="4"/>
  <c r="C61" i="4"/>
  <c r="D61" i="4"/>
  <c r="E61" i="4"/>
  <c r="B62" i="4"/>
  <c r="C62" i="4"/>
  <c r="D62" i="4"/>
  <c r="E62" i="4"/>
  <c r="B63" i="4"/>
  <c r="C63" i="4"/>
  <c r="D63" i="4"/>
  <c r="E63" i="4"/>
  <c r="B64" i="4"/>
  <c r="C64" i="4"/>
  <c r="D64" i="4"/>
  <c r="E64" i="4"/>
  <c r="B65" i="4"/>
  <c r="C65" i="4"/>
  <c r="D65" i="4"/>
  <c r="E65" i="4"/>
  <c r="B66" i="4"/>
  <c r="C66" i="4"/>
  <c r="D66" i="4"/>
  <c r="E66" i="4"/>
  <c r="B67" i="4"/>
  <c r="C67" i="4"/>
  <c r="D67" i="4"/>
  <c r="E67" i="4"/>
  <c r="B69" i="4"/>
  <c r="C69" i="4"/>
  <c r="D69" i="4"/>
  <c r="E69" i="4"/>
  <c r="B70" i="4"/>
  <c r="C70" i="4"/>
  <c r="D70" i="4"/>
  <c r="E70" i="4"/>
  <c r="B71" i="4"/>
  <c r="C71" i="4"/>
  <c r="D71" i="4"/>
  <c r="E71" i="4"/>
  <c r="B72" i="4"/>
  <c r="C72" i="4"/>
  <c r="D72" i="4"/>
  <c r="E72" i="4"/>
  <c r="B73" i="4"/>
  <c r="C73" i="4"/>
  <c r="D73" i="4"/>
  <c r="E73" i="4"/>
  <c r="B74" i="4"/>
  <c r="C74" i="4"/>
  <c r="D74" i="4"/>
  <c r="E74" i="4"/>
  <c r="B75" i="4"/>
  <c r="C75" i="4"/>
  <c r="D75" i="4"/>
  <c r="E75" i="4"/>
  <c r="B76" i="4"/>
  <c r="C76" i="4"/>
  <c r="D76" i="4"/>
  <c r="E76" i="4"/>
  <c r="B77" i="4"/>
  <c r="C77" i="4"/>
  <c r="D77" i="4"/>
  <c r="E77" i="4"/>
  <c r="B78" i="4"/>
  <c r="C78" i="4"/>
  <c r="D78" i="4"/>
  <c r="E78" i="4"/>
  <c r="B79" i="4"/>
  <c r="C79" i="4"/>
  <c r="D79" i="4"/>
  <c r="E79" i="4"/>
  <c r="B80" i="4"/>
  <c r="C80" i="4"/>
  <c r="D80" i="4"/>
  <c r="E80" i="4"/>
  <c r="B81" i="4"/>
  <c r="C81" i="4"/>
  <c r="D81" i="4"/>
  <c r="E81" i="4"/>
  <c r="B82" i="4"/>
  <c r="C82" i="4"/>
  <c r="D82" i="4"/>
  <c r="E82" i="4"/>
  <c r="B83" i="4"/>
  <c r="C83" i="4"/>
  <c r="D83" i="4"/>
  <c r="E83" i="4"/>
  <c r="B84" i="4"/>
  <c r="C84" i="4"/>
  <c r="D84" i="4"/>
  <c r="E84" i="4"/>
  <c r="B85" i="4"/>
  <c r="C85" i="4"/>
  <c r="D85" i="4"/>
  <c r="E85" i="4"/>
  <c r="B86" i="4"/>
  <c r="C86" i="4"/>
  <c r="D86" i="4"/>
  <c r="E86" i="4"/>
  <c r="B87" i="4"/>
  <c r="C87" i="4"/>
  <c r="D87" i="4"/>
  <c r="E87" i="4"/>
  <c r="B88" i="4"/>
  <c r="C88" i="4"/>
  <c r="D88" i="4"/>
  <c r="E88" i="4"/>
  <c r="B89" i="4"/>
  <c r="C89" i="4"/>
  <c r="D89" i="4"/>
  <c r="E89" i="4"/>
  <c r="B90" i="4"/>
  <c r="C90" i="4"/>
  <c r="D90" i="4"/>
  <c r="E90" i="4"/>
  <c r="B91" i="4"/>
  <c r="C91" i="4"/>
  <c r="D91" i="4"/>
  <c r="E91" i="4"/>
  <c r="B92" i="4"/>
  <c r="C92" i="4"/>
  <c r="D92" i="4"/>
  <c r="E92" i="4"/>
  <c r="B93" i="4"/>
  <c r="C93" i="4"/>
  <c r="D93" i="4"/>
  <c r="E93" i="4"/>
  <c r="B428" i="9"/>
  <c r="C428" i="9"/>
  <c r="D428" i="9"/>
  <c r="E428" i="9"/>
  <c r="B429" i="9"/>
  <c r="C429" i="9"/>
  <c r="D429" i="9"/>
  <c r="E429" i="9"/>
  <c r="B430" i="9"/>
  <c r="C430" i="9"/>
  <c r="D430" i="9"/>
  <c r="E430" i="9"/>
  <c r="B431" i="9"/>
  <c r="C431" i="9"/>
  <c r="D431" i="9"/>
  <c r="E431" i="9"/>
  <c r="B432" i="9"/>
  <c r="C432" i="9"/>
  <c r="D432" i="9"/>
  <c r="E432" i="9"/>
  <c r="B433" i="9"/>
  <c r="C433" i="9"/>
  <c r="D433" i="9"/>
  <c r="E433" i="9"/>
  <c r="B434" i="9"/>
  <c r="C434" i="9"/>
  <c r="D434" i="9"/>
  <c r="E434" i="9"/>
  <c r="B435" i="9"/>
  <c r="C435" i="9"/>
  <c r="D435" i="9"/>
  <c r="E435" i="9"/>
  <c r="B436" i="9"/>
  <c r="C436" i="9"/>
  <c r="D436" i="9"/>
  <c r="E436" i="9"/>
  <c r="B437" i="9"/>
  <c r="C437" i="9"/>
  <c r="D437" i="9"/>
  <c r="E437" i="9"/>
  <c r="B438" i="9"/>
  <c r="C438" i="9"/>
  <c r="D438" i="9"/>
  <c r="E438" i="9"/>
  <c r="B439" i="9"/>
  <c r="C439" i="9"/>
  <c r="D439" i="9"/>
  <c r="E439" i="9"/>
  <c r="B440" i="9"/>
  <c r="C440" i="9"/>
  <c r="D440" i="9"/>
  <c r="E440" i="9"/>
  <c r="B441" i="9"/>
  <c r="C441" i="9"/>
  <c r="D441" i="9"/>
  <c r="E441" i="9"/>
  <c r="B442" i="9"/>
  <c r="C442" i="9"/>
  <c r="D442" i="9"/>
  <c r="E442" i="9"/>
  <c r="B443" i="9"/>
  <c r="C443" i="9"/>
  <c r="D443" i="9"/>
  <c r="E443" i="9"/>
  <c r="B444" i="9"/>
  <c r="C444" i="9"/>
  <c r="D444" i="9"/>
  <c r="E444" i="9"/>
  <c r="B445" i="9"/>
  <c r="C445" i="9"/>
  <c r="D445" i="9"/>
  <c r="E445" i="9"/>
  <c r="B446" i="9"/>
  <c r="C446" i="9"/>
  <c r="D446" i="9"/>
  <c r="E446" i="9"/>
  <c r="B4713" i="17"/>
  <c r="C4713" i="17"/>
  <c r="D4713" i="17"/>
  <c r="E4713" i="17"/>
  <c r="F4713" i="17"/>
  <c r="B4714" i="17"/>
  <c r="C4714" i="17"/>
  <c r="D4714" i="17"/>
  <c r="E4714" i="17"/>
  <c r="F4714" i="17"/>
  <c r="B4715" i="17"/>
  <c r="C4715" i="17"/>
  <c r="D4715" i="17"/>
  <c r="E4715" i="17"/>
  <c r="F4715" i="17"/>
  <c r="B4716" i="17"/>
  <c r="C4716" i="17"/>
  <c r="D4716" i="17"/>
  <c r="E4716" i="17"/>
  <c r="F4716" i="17"/>
  <c r="B4717" i="17"/>
  <c r="C4717" i="17"/>
  <c r="D4717" i="17"/>
  <c r="E4717" i="17"/>
  <c r="F4717" i="17"/>
  <c r="B4718" i="17"/>
  <c r="C4718" i="17"/>
  <c r="D4718" i="17"/>
  <c r="E4718" i="17"/>
  <c r="F4718" i="17"/>
  <c r="B4719" i="17"/>
  <c r="C4719" i="17"/>
  <c r="D4719" i="17"/>
  <c r="E4719" i="17"/>
  <c r="F4719" i="17"/>
  <c r="B4720" i="17"/>
  <c r="C4720" i="17"/>
  <c r="D4720" i="17"/>
  <c r="E4720" i="17"/>
  <c r="F4720" i="17"/>
  <c r="B4721" i="17"/>
  <c r="C4721" i="17"/>
  <c r="D4721" i="17"/>
  <c r="E4721" i="17"/>
  <c r="F4721" i="17"/>
  <c r="B4722" i="17"/>
  <c r="C4722" i="17"/>
  <c r="D4722" i="17"/>
  <c r="E4722" i="17"/>
  <c r="F4722" i="17"/>
  <c r="B4723" i="17"/>
  <c r="C4723" i="17"/>
  <c r="D4723" i="17"/>
  <c r="E4723" i="17"/>
  <c r="F4723" i="17"/>
  <c r="B4724" i="17"/>
  <c r="C4724" i="17"/>
  <c r="D4724" i="17"/>
  <c r="E4724" i="17"/>
  <c r="F4724" i="17"/>
  <c r="B4725" i="17"/>
  <c r="C4725" i="17"/>
  <c r="D4725" i="17"/>
  <c r="E4725" i="17"/>
  <c r="F4725" i="17"/>
  <c r="B4726" i="17"/>
  <c r="C4726" i="17"/>
  <c r="D4726" i="17"/>
  <c r="E4726" i="17"/>
  <c r="F4726" i="17"/>
  <c r="B4727" i="17"/>
  <c r="C4727" i="17"/>
  <c r="D4727" i="17"/>
  <c r="E4727" i="17"/>
  <c r="F4727" i="17"/>
  <c r="B4728" i="17"/>
  <c r="C4728" i="17"/>
  <c r="D4728" i="17"/>
  <c r="E4728" i="17"/>
  <c r="F4728" i="17"/>
  <c r="B4729" i="17"/>
  <c r="C4729" i="17"/>
  <c r="D4729" i="17"/>
  <c r="E4729" i="17"/>
  <c r="F4729" i="17"/>
  <c r="B4730" i="17"/>
  <c r="C4730" i="17"/>
  <c r="D4730" i="17"/>
  <c r="E4730" i="17"/>
  <c r="F4730" i="17"/>
  <c r="B4731" i="17"/>
  <c r="C4731" i="17"/>
  <c r="D4731" i="17"/>
  <c r="E4731" i="17"/>
  <c r="F4731" i="17"/>
  <c r="B4732" i="17"/>
  <c r="C4732" i="17"/>
  <c r="D4732" i="17"/>
  <c r="E4732" i="17"/>
  <c r="F4732" i="17"/>
  <c r="B4733" i="17"/>
  <c r="C4733" i="17"/>
  <c r="D4733" i="17"/>
  <c r="E4733" i="17"/>
  <c r="F4733" i="17"/>
  <c r="B4734" i="17"/>
  <c r="C4734" i="17"/>
  <c r="D4734" i="17"/>
  <c r="E4734" i="17"/>
  <c r="F4734" i="17"/>
  <c r="B4735" i="17"/>
  <c r="C4735" i="17"/>
  <c r="D4735" i="17"/>
  <c r="E4735" i="17"/>
  <c r="F4735" i="17"/>
  <c r="B4736" i="17"/>
  <c r="C4736" i="17"/>
  <c r="D4736" i="17"/>
  <c r="E4736" i="17"/>
  <c r="F4736" i="17"/>
  <c r="B4737" i="17"/>
  <c r="C4737" i="17"/>
  <c r="D4737" i="17"/>
  <c r="E4737" i="17"/>
  <c r="F4737" i="17"/>
  <c r="B4738" i="17"/>
  <c r="C4738" i="17"/>
  <c r="D4738" i="17"/>
  <c r="E4738" i="17"/>
  <c r="F4738" i="17"/>
  <c r="B4739" i="17"/>
  <c r="C4739" i="17"/>
  <c r="D4739" i="17"/>
  <c r="E4739" i="17"/>
  <c r="F4739" i="17"/>
  <c r="B4740" i="17"/>
  <c r="C4740" i="17"/>
  <c r="D4740" i="17"/>
  <c r="E4740" i="17"/>
  <c r="F4740" i="17"/>
  <c r="B4741" i="17"/>
  <c r="C4741" i="17"/>
  <c r="D4741" i="17"/>
  <c r="E4741" i="17"/>
  <c r="F4741" i="17"/>
  <c r="B4742" i="17"/>
  <c r="C4742" i="17"/>
  <c r="D4742" i="17"/>
  <c r="E4742" i="17"/>
  <c r="F4742" i="17"/>
  <c r="B4743" i="17"/>
  <c r="C4743" i="17"/>
  <c r="D4743" i="17"/>
  <c r="E4743" i="17"/>
  <c r="F4743" i="17"/>
  <c r="B4744" i="17"/>
  <c r="C4744" i="17"/>
  <c r="D4744" i="17"/>
  <c r="E4744" i="17"/>
  <c r="F4744" i="17"/>
  <c r="B4745" i="17"/>
  <c r="C4745" i="17"/>
  <c r="D4745" i="17"/>
  <c r="E4745" i="17"/>
  <c r="F4745" i="17"/>
  <c r="B4746" i="17"/>
  <c r="C4746" i="17"/>
  <c r="D4746" i="17"/>
  <c r="E4746" i="17"/>
  <c r="F4746" i="17"/>
  <c r="B4747" i="17"/>
  <c r="C4747" i="17"/>
  <c r="D4747" i="17"/>
  <c r="E4747" i="17"/>
  <c r="F4747" i="17"/>
  <c r="B4748" i="17"/>
  <c r="C4748" i="17"/>
  <c r="D4748" i="17"/>
  <c r="E4748" i="17"/>
  <c r="F4748" i="17"/>
  <c r="B4749" i="17"/>
  <c r="C4749" i="17"/>
  <c r="D4749" i="17"/>
  <c r="E4749" i="17"/>
  <c r="F4749" i="17"/>
  <c r="B4750" i="17"/>
  <c r="C4750" i="17"/>
  <c r="D4750" i="17"/>
  <c r="E4750" i="17"/>
  <c r="F4750" i="17"/>
  <c r="B4751" i="17"/>
  <c r="C4751" i="17"/>
  <c r="D4751" i="17"/>
  <c r="E4751" i="17"/>
  <c r="F4751" i="17"/>
  <c r="B4752" i="17"/>
  <c r="C4752" i="17"/>
  <c r="D4752" i="17"/>
  <c r="E4752" i="17"/>
  <c r="F4752" i="17"/>
  <c r="B4753" i="17"/>
  <c r="C4753" i="17"/>
  <c r="D4753" i="17"/>
  <c r="E4753" i="17"/>
  <c r="F4753" i="17"/>
  <c r="B4754" i="17"/>
  <c r="C4754" i="17"/>
  <c r="D4754" i="17"/>
  <c r="E4754" i="17"/>
  <c r="F4754" i="17"/>
  <c r="B4755" i="17"/>
  <c r="C4755" i="17"/>
  <c r="D4755" i="17"/>
  <c r="E4755" i="17"/>
  <c r="F4755" i="17"/>
  <c r="B4756" i="17"/>
  <c r="C4756" i="17"/>
  <c r="D4756" i="17"/>
  <c r="E4756" i="17"/>
  <c r="F4756" i="17"/>
  <c r="B4757" i="17"/>
  <c r="C4757" i="17"/>
  <c r="D4757" i="17"/>
  <c r="E4757" i="17"/>
  <c r="F4757" i="17"/>
  <c r="B4758" i="17"/>
  <c r="C4758" i="17"/>
  <c r="D4758" i="17"/>
  <c r="E4758" i="17"/>
  <c r="F4758" i="17"/>
  <c r="B4759" i="17"/>
  <c r="C4759" i="17"/>
  <c r="D4759" i="17"/>
  <c r="E4759" i="17"/>
  <c r="F4759" i="17"/>
  <c r="B4760" i="17"/>
  <c r="C4760" i="17"/>
  <c r="D4760" i="17"/>
  <c r="E4760" i="17"/>
  <c r="F4760" i="17"/>
  <c r="B4761" i="17"/>
  <c r="C4761" i="17"/>
  <c r="D4761" i="17"/>
  <c r="E4761" i="17"/>
  <c r="F4761" i="17"/>
  <c r="B4762" i="17"/>
  <c r="C4762" i="17"/>
  <c r="D4762" i="17"/>
  <c r="E4762" i="17"/>
  <c r="F4762" i="17"/>
  <c r="B4763" i="17"/>
  <c r="C4763" i="17"/>
  <c r="D4763" i="17"/>
  <c r="E4763" i="17"/>
  <c r="F4763" i="17"/>
  <c r="B4764" i="17"/>
  <c r="C4764" i="17"/>
  <c r="D4764" i="17"/>
  <c r="E4764" i="17"/>
  <c r="F4764" i="17"/>
  <c r="B4765" i="17"/>
  <c r="C4765" i="17"/>
  <c r="D4765" i="17"/>
  <c r="E4765" i="17"/>
  <c r="F4765" i="17"/>
  <c r="B4766" i="17"/>
  <c r="C4766" i="17"/>
  <c r="D4766" i="17"/>
  <c r="E4766" i="17"/>
  <c r="F4766" i="17"/>
  <c r="B4767" i="17"/>
  <c r="C4767" i="17"/>
  <c r="D4767" i="17"/>
  <c r="E4767" i="17"/>
  <c r="F4767" i="17"/>
  <c r="B4768" i="17"/>
  <c r="C4768" i="17"/>
  <c r="D4768" i="17"/>
  <c r="E4768" i="17"/>
  <c r="F4768" i="17"/>
  <c r="B4649" i="17"/>
  <c r="C4649" i="17"/>
  <c r="D4649" i="17"/>
  <c r="E4649" i="17"/>
  <c r="F4649" i="17"/>
  <c r="B4650" i="17"/>
  <c r="C4650" i="17"/>
  <c r="D4650" i="17"/>
  <c r="E4650" i="17"/>
  <c r="F4650" i="17"/>
  <c r="B4651" i="17"/>
  <c r="C4651" i="17"/>
  <c r="D4651" i="17"/>
  <c r="E4651" i="17"/>
  <c r="F4651" i="17"/>
  <c r="B4652" i="17"/>
  <c r="C4652" i="17"/>
  <c r="D4652" i="17"/>
  <c r="E4652" i="17"/>
  <c r="F4652" i="17"/>
  <c r="B4653" i="17"/>
  <c r="C4653" i="17"/>
  <c r="D4653" i="17"/>
  <c r="E4653" i="17"/>
  <c r="F4653" i="17"/>
  <c r="B4654" i="17"/>
  <c r="C4654" i="17"/>
  <c r="D4654" i="17"/>
  <c r="E4654" i="17"/>
  <c r="F4654" i="17"/>
  <c r="B4655" i="17"/>
  <c r="C4655" i="17"/>
  <c r="D4655" i="17"/>
  <c r="E4655" i="17"/>
  <c r="F4655" i="17"/>
  <c r="B4656" i="17"/>
  <c r="C4656" i="17"/>
  <c r="D4656" i="17"/>
  <c r="E4656" i="17"/>
  <c r="F4656" i="17"/>
  <c r="B4657" i="17"/>
  <c r="C4657" i="17"/>
  <c r="D4657" i="17"/>
  <c r="E4657" i="17"/>
  <c r="F4657" i="17"/>
  <c r="B4658" i="17"/>
  <c r="C4658" i="17"/>
  <c r="D4658" i="17"/>
  <c r="E4658" i="17"/>
  <c r="F4658" i="17"/>
  <c r="B4659" i="17"/>
  <c r="C4659" i="17"/>
  <c r="D4659" i="17"/>
  <c r="E4659" i="17"/>
  <c r="F4659" i="17"/>
  <c r="B4660" i="17"/>
  <c r="C4660" i="17"/>
  <c r="D4660" i="17"/>
  <c r="E4660" i="17"/>
  <c r="F4660" i="17"/>
  <c r="B4661" i="17"/>
  <c r="C4661" i="17"/>
  <c r="D4661" i="17"/>
  <c r="E4661" i="17"/>
  <c r="F4661" i="17"/>
  <c r="B4662" i="17"/>
  <c r="C4662" i="17"/>
  <c r="D4662" i="17"/>
  <c r="E4662" i="17"/>
  <c r="F4662" i="17"/>
  <c r="B4663" i="17"/>
  <c r="C4663" i="17"/>
  <c r="D4663" i="17"/>
  <c r="E4663" i="17"/>
  <c r="F4663" i="17"/>
  <c r="B4664" i="17"/>
  <c r="C4664" i="17"/>
  <c r="D4664" i="17"/>
  <c r="E4664" i="17"/>
  <c r="F4664" i="17"/>
  <c r="B4665" i="17"/>
  <c r="C4665" i="17"/>
  <c r="D4665" i="17"/>
  <c r="E4665" i="17"/>
  <c r="F4665" i="17"/>
  <c r="B4666" i="17"/>
  <c r="C4666" i="17"/>
  <c r="D4666" i="17"/>
  <c r="E4666" i="17"/>
  <c r="F4666" i="17"/>
  <c r="B4667" i="17"/>
  <c r="C4667" i="17"/>
  <c r="D4667" i="17"/>
  <c r="E4667" i="17"/>
  <c r="F4667" i="17"/>
  <c r="B4668" i="17"/>
  <c r="C4668" i="17"/>
  <c r="D4668" i="17"/>
  <c r="E4668" i="17"/>
  <c r="F4668" i="17"/>
  <c r="B4669" i="17"/>
  <c r="C4669" i="17"/>
  <c r="D4669" i="17"/>
  <c r="E4669" i="17"/>
  <c r="F4669" i="17"/>
  <c r="B4670" i="17"/>
  <c r="C4670" i="17"/>
  <c r="D4670" i="17"/>
  <c r="E4670" i="17"/>
  <c r="F4670" i="17"/>
  <c r="B4671" i="17"/>
  <c r="C4671" i="17"/>
  <c r="D4671" i="17"/>
  <c r="E4671" i="17"/>
  <c r="F4671" i="17"/>
  <c r="B4672" i="17"/>
  <c r="C4672" i="17"/>
  <c r="D4672" i="17"/>
  <c r="E4672" i="17"/>
  <c r="F4672" i="17"/>
  <c r="B4673" i="17"/>
  <c r="C4673" i="17"/>
  <c r="D4673" i="17"/>
  <c r="E4673" i="17"/>
  <c r="F4673" i="17"/>
  <c r="B4674" i="17"/>
  <c r="C4674" i="17"/>
  <c r="D4674" i="17"/>
  <c r="E4674" i="17"/>
  <c r="F4674" i="17"/>
  <c r="B4675" i="17"/>
  <c r="C4675" i="17"/>
  <c r="D4675" i="17"/>
  <c r="E4675" i="17"/>
  <c r="F4675" i="17"/>
  <c r="B4676" i="17"/>
  <c r="C4676" i="17"/>
  <c r="D4676" i="17"/>
  <c r="E4676" i="17"/>
  <c r="F4676" i="17"/>
  <c r="B4677" i="17"/>
  <c r="C4677" i="17"/>
  <c r="D4677" i="17"/>
  <c r="E4677" i="17"/>
  <c r="F4677" i="17"/>
  <c r="B4678" i="17"/>
  <c r="C4678" i="17"/>
  <c r="D4678" i="17"/>
  <c r="E4678" i="17"/>
  <c r="F4678" i="17"/>
  <c r="B4679" i="17"/>
  <c r="C4679" i="17"/>
  <c r="D4679" i="17"/>
  <c r="E4679" i="17"/>
  <c r="F4679" i="17"/>
  <c r="B4680" i="17"/>
  <c r="C4680" i="17"/>
  <c r="D4680" i="17"/>
  <c r="E4680" i="17"/>
  <c r="F4680" i="17"/>
  <c r="B4681" i="17"/>
  <c r="C4681" i="17"/>
  <c r="D4681" i="17"/>
  <c r="E4681" i="17"/>
  <c r="F4681" i="17"/>
  <c r="B4682" i="17"/>
  <c r="C4682" i="17"/>
  <c r="D4682" i="17"/>
  <c r="E4682" i="17"/>
  <c r="F4682" i="17"/>
  <c r="B4683" i="17"/>
  <c r="C4683" i="17"/>
  <c r="D4683" i="17"/>
  <c r="E4683" i="17"/>
  <c r="F4683" i="17"/>
  <c r="B4684" i="17"/>
  <c r="C4684" i="17"/>
  <c r="D4684" i="17"/>
  <c r="E4684" i="17"/>
  <c r="F4684" i="17"/>
  <c r="B4685" i="17"/>
  <c r="C4685" i="17"/>
  <c r="D4685" i="17"/>
  <c r="E4685" i="17"/>
  <c r="F4685" i="17"/>
  <c r="B4686" i="17"/>
  <c r="C4686" i="17"/>
  <c r="D4686" i="17"/>
  <c r="E4686" i="17"/>
  <c r="F4686" i="17"/>
  <c r="B4687" i="17"/>
  <c r="C4687" i="17"/>
  <c r="D4687" i="17"/>
  <c r="E4687" i="17"/>
  <c r="F4687" i="17"/>
  <c r="B4688" i="17"/>
  <c r="C4688" i="17"/>
  <c r="D4688" i="17"/>
  <c r="E4688" i="17"/>
  <c r="F4688" i="17"/>
  <c r="B4689" i="17"/>
  <c r="C4689" i="17"/>
  <c r="D4689" i="17"/>
  <c r="E4689" i="17"/>
  <c r="F4689" i="17"/>
  <c r="B4690" i="17"/>
  <c r="C4690" i="17"/>
  <c r="D4690" i="17"/>
  <c r="E4690" i="17"/>
  <c r="F4690" i="17"/>
  <c r="B4691" i="17"/>
  <c r="C4691" i="17"/>
  <c r="D4691" i="17"/>
  <c r="E4691" i="17"/>
  <c r="F4691" i="17"/>
  <c r="B4692" i="17"/>
  <c r="C4692" i="17"/>
  <c r="D4692" i="17"/>
  <c r="E4692" i="17"/>
  <c r="F4692" i="17"/>
  <c r="B4693" i="17"/>
  <c r="C4693" i="17"/>
  <c r="D4693" i="17"/>
  <c r="E4693" i="17"/>
  <c r="F4693" i="17"/>
  <c r="B4694" i="17"/>
  <c r="C4694" i="17"/>
  <c r="D4694" i="17"/>
  <c r="E4694" i="17"/>
  <c r="F4694" i="17"/>
  <c r="B4695" i="17"/>
  <c r="C4695" i="17"/>
  <c r="D4695" i="17"/>
  <c r="E4695" i="17"/>
  <c r="F4695" i="17"/>
  <c r="B4696" i="17"/>
  <c r="C4696" i="17"/>
  <c r="D4696" i="17"/>
  <c r="E4696" i="17"/>
  <c r="F4696" i="17"/>
  <c r="B4697" i="17"/>
  <c r="C4697" i="17"/>
  <c r="D4697" i="17"/>
  <c r="E4697" i="17"/>
  <c r="F4697" i="17"/>
  <c r="B4698" i="17"/>
  <c r="C4698" i="17"/>
  <c r="D4698" i="17"/>
  <c r="E4698" i="17"/>
  <c r="F4698" i="17"/>
  <c r="B4699" i="17"/>
  <c r="C4699" i="17"/>
  <c r="D4699" i="17"/>
  <c r="E4699" i="17"/>
  <c r="F4699" i="17"/>
  <c r="B4700" i="17"/>
  <c r="C4700" i="17"/>
  <c r="D4700" i="17"/>
  <c r="E4700" i="17"/>
  <c r="F4700" i="17"/>
  <c r="B4701" i="17"/>
  <c r="C4701" i="17"/>
  <c r="D4701" i="17"/>
  <c r="E4701" i="17"/>
  <c r="F4701" i="17"/>
  <c r="B4702" i="17"/>
  <c r="C4702" i="17"/>
  <c r="D4702" i="17"/>
  <c r="E4702" i="17"/>
  <c r="F4702" i="17"/>
  <c r="B4703" i="17"/>
  <c r="C4703" i="17"/>
  <c r="D4703" i="17"/>
  <c r="E4703" i="17"/>
  <c r="F4703" i="17"/>
  <c r="B4704" i="17"/>
  <c r="C4704" i="17"/>
  <c r="D4704" i="17"/>
  <c r="E4704" i="17"/>
  <c r="F4704" i="17"/>
  <c r="B4705" i="17"/>
  <c r="C4705" i="17"/>
  <c r="D4705" i="17"/>
  <c r="E4705" i="17"/>
  <c r="F4705" i="17"/>
  <c r="B4706" i="17"/>
  <c r="C4706" i="17"/>
  <c r="D4706" i="17"/>
  <c r="E4706" i="17"/>
  <c r="F4706" i="17"/>
  <c r="B4707" i="17"/>
  <c r="C4707" i="17"/>
  <c r="D4707" i="17"/>
  <c r="E4707" i="17"/>
  <c r="F4707" i="17"/>
  <c r="B4708" i="17"/>
  <c r="C4708" i="17"/>
  <c r="D4708" i="17"/>
  <c r="E4708" i="17"/>
  <c r="F4708" i="17"/>
  <c r="B4709" i="17"/>
  <c r="C4709" i="17"/>
  <c r="D4709" i="17"/>
  <c r="E4709" i="17"/>
  <c r="F4709" i="17"/>
  <c r="B4710" i="17"/>
  <c r="C4710" i="17"/>
  <c r="D4710" i="17"/>
  <c r="E4710" i="17"/>
  <c r="F4710" i="17"/>
  <c r="B4711" i="17"/>
  <c r="C4711" i="17"/>
  <c r="D4711" i="17"/>
  <c r="E4711" i="17"/>
  <c r="F4711" i="17"/>
  <c r="B4712" i="17"/>
  <c r="C4712" i="17"/>
  <c r="D4712" i="17"/>
  <c r="E4712" i="17"/>
  <c r="F4712" i="17"/>
  <c r="E553" i="14" l="1"/>
  <c r="D553" i="14"/>
  <c r="C553" i="14"/>
  <c r="B553" i="14"/>
  <c r="B419" i="9" l="1"/>
  <c r="C419" i="9"/>
  <c r="D419" i="9"/>
  <c r="E419" i="9"/>
  <c r="B420" i="9"/>
  <c r="C420" i="9"/>
  <c r="D420" i="9"/>
  <c r="E420" i="9"/>
  <c r="B421" i="9"/>
  <c r="C421" i="9"/>
  <c r="D421" i="9"/>
  <c r="E421" i="9"/>
  <c r="B422" i="9"/>
  <c r="C422" i="9"/>
  <c r="D422" i="9"/>
  <c r="E422" i="9"/>
  <c r="B423" i="9"/>
  <c r="C423" i="9"/>
  <c r="D423" i="9"/>
  <c r="E423" i="9"/>
  <c r="B424" i="9"/>
  <c r="C424" i="9"/>
  <c r="D424" i="9"/>
  <c r="E424" i="9"/>
  <c r="B425" i="9"/>
  <c r="C425" i="9"/>
  <c r="D425" i="9"/>
  <c r="E425" i="9"/>
  <c r="B426" i="9"/>
  <c r="C426" i="9"/>
  <c r="D426" i="9"/>
  <c r="E426" i="9"/>
  <c r="B427" i="9"/>
  <c r="C427" i="9"/>
  <c r="D427" i="9"/>
  <c r="E427" i="9"/>
  <c r="B4439" i="17"/>
  <c r="C4439" i="17"/>
  <c r="D4439" i="17"/>
  <c r="E4439" i="17"/>
  <c r="F4439" i="17"/>
  <c r="B4440" i="17"/>
  <c r="C4440" i="17"/>
  <c r="D4440" i="17"/>
  <c r="E4440" i="17"/>
  <c r="F4440" i="17"/>
  <c r="B4441" i="17"/>
  <c r="C4441" i="17"/>
  <c r="D4441" i="17"/>
  <c r="E4441" i="17"/>
  <c r="F4441" i="17"/>
  <c r="B4442" i="17"/>
  <c r="C4442" i="17"/>
  <c r="D4442" i="17"/>
  <c r="E4442" i="17"/>
  <c r="F4442" i="17"/>
  <c r="B4443" i="17"/>
  <c r="C4443" i="17"/>
  <c r="D4443" i="17"/>
  <c r="E4443" i="17"/>
  <c r="F4443" i="17"/>
  <c r="B4444" i="17"/>
  <c r="C4444" i="17"/>
  <c r="D4444" i="17"/>
  <c r="E4444" i="17"/>
  <c r="F4444" i="17"/>
  <c r="B4445" i="17"/>
  <c r="C4445" i="17"/>
  <c r="D4445" i="17"/>
  <c r="E4445" i="17"/>
  <c r="F4445" i="17"/>
  <c r="B4446" i="17"/>
  <c r="C4446" i="17"/>
  <c r="D4446" i="17"/>
  <c r="E4446" i="17"/>
  <c r="F4446" i="17"/>
  <c r="B4447" i="17"/>
  <c r="C4447" i="17"/>
  <c r="D4447" i="17"/>
  <c r="E4447" i="17"/>
  <c r="F4447" i="17"/>
  <c r="B4448" i="17"/>
  <c r="C4448" i="17"/>
  <c r="D4448" i="17"/>
  <c r="E4448" i="17"/>
  <c r="F4448" i="17"/>
  <c r="B4449" i="17"/>
  <c r="C4449" i="17"/>
  <c r="D4449" i="17"/>
  <c r="E4449" i="17"/>
  <c r="F4449" i="17"/>
  <c r="B4450" i="17"/>
  <c r="C4450" i="17"/>
  <c r="D4450" i="17"/>
  <c r="E4450" i="17"/>
  <c r="F4450" i="17"/>
  <c r="B4451" i="17"/>
  <c r="C4451" i="17"/>
  <c r="D4451" i="17"/>
  <c r="E4451" i="17"/>
  <c r="F4451" i="17"/>
  <c r="B4452" i="17"/>
  <c r="C4452" i="17"/>
  <c r="D4452" i="17"/>
  <c r="E4452" i="17"/>
  <c r="F4452" i="17"/>
  <c r="B4453" i="17"/>
  <c r="C4453" i="17"/>
  <c r="D4453" i="17"/>
  <c r="E4453" i="17"/>
  <c r="F4453" i="17"/>
  <c r="B4454" i="17"/>
  <c r="C4454" i="17"/>
  <c r="D4454" i="17"/>
  <c r="E4454" i="17"/>
  <c r="F4454" i="17"/>
  <c r="B4455" i="17"/>
  <c r="C4455" i="17"/>
  <c r="D4455" i="17"/>
  <c r="E4455" i="17"/>
  <c r="F4455" i="17"/>
  <c r="B4456" i="17"/>
  <c r="C4456" i="17"/>
  <c r="D4456" i="17"/>
  <c r="E4456" i="17"/>
  <c r="F4456" i="17"/>
  <c r="B4457" i="17"/>
  <c r="C4457" i="17"/>
  <c r="D4457" i="17"/>
  <c r="E4457" i="17"/>
  <c r="F4457" i="17"/>
  <c r="B4458" i="17"/>
  <c r="C4458" i="17"/>
  <c r="D4458" i="17"/>
  <c r="E4458" i="17"/>
  <c r="F4458" i="17"/>
  <c r="B4459" i="17"/>
  <c r="C4459" i="17"/>
  <c r="D4459" i="17"/>
  <c r="E4459" i="17"/>
  <c r="F4459" i="17"/>
  <c r="B4460" i="17"/>
  <c r="C4460" i="17"/>
  <c r="D4460" i="17"/>
  <c r="E4460" i="17"/>
  <c r="F4460" i="17"/>
  <c r="B4461" i="17"/>
  <c r="C4461" i="17"/>
  <c r="D4461" i="17"/>
  <c r="E4461" i="17"/>
  <c r="F4461" i="17"/>
  <c r="B4462" i="17"/>
  <c r="C4462" i="17"/>
  <c r="D4462" i="17"/>
  <c r="E4462" i="17"/>
  <c r="F4462" i="17"/>
  <c r="B4463" i="17"/>
  <c r="C4463" i="17"/>
  <c r="D4463" i="17"/>
  <c r="E4463" i="17"/>
  <c r="F4463" i="17"/>
  <c r="B4464" i="17"/>
  <c r="C4464" i="17"/>
  <c r="D4464" i="17"/>
  <c r="E4464" i="17"/>
  <c r="F4464" i="17"/>
  <c r="B4465" i="17"/>
  <c r="C4465" i="17"/>
  <c r="D4465" i="17"/>
  <c r="E4465" i="17"/>
  <c r="F4465" i="17"/>
  <c r="B4466" i="17"/>
  <c r="C4466" i="17"/>
  <c r="D4466" i="17"/>
  <c r="E4466" i="17"/>
  <c r="F4466" i="17"/>
  <c r="B4467" i="17"/>
  <c r="C4467" i="17"/>
  <c r="D4467" i="17"/>
  <c r="E4467" i="17"/>
  <c r="F4467" i="17"/>
  <c r="B4468" i="17"/>
  <c r="C4468" i="17"/>
  <c r="D4468" i="17"/>
  <c r="E4468" i="17"/>
  <c r="F4468" i="17"/>
  <c r="B4469" i="17"/>
  <c r="C4469" i="17"/>
  <c r="D4469" i="17"/>
  <c r="E4469" i="17"/>
  <c r="F4469" i="17"/>
  <c r="B4470" i="17"/>
  <c r="C4470" i="17"/>
  <c r="D4470" i="17"/>
  <c r="E4470" i="17"/>
  <c r="F4470" i="17"/>
  <c r="B4471" i="17"/>
  <c r="C4471" i="17"/>
  <c r="D4471" i="17"/>
  <c r="E4471" i="17"/>
  <c r="F4471" i="17"/>
  <c r="B4472" i="17"/>
  <c r="C4472" i="17"/>
  <c r="D4472" i="17"/>
  <c r="E4472" i="17"/>
  <c r="F4472" i="17"/>
  <c r="B4473" i="17"/>
  <c r="C4473" i="17"/>
  <c r="D4473" i="17"/>
  <c r="E4473" i="17"/>
  <c r="F4473" i="17"/>
  <c r="B4474" i="17"/>
  <c r="C4474" i="17"/>
  <c r="D4474" i="17"/>
  <c r="E4474" i="17"/>
  <c r="F4474" i="17"/>
  <c r="B4475" i="17"/>
  <c r="C4475" i="17"/>
  <c r="D4475" i="17"/>
  <c r="E4475" i="17"/>
  <c r="F4475" i="17"/>
  <c r="B4476" i="17"/>
  <c r="C4476" i="17"/>
  <c r="D4476" i="17"/>
  <c r="E4476" i="17"/>
  <c r="F4476" i="17"/>
  <c r="B4477" i="17"/>
  <c r="C4477" i="17"/>
  <c r="D4477" i="17"/>
  <c r="E4477" i="17"/>
  <c r="F4477" i="17"/>
  <c r="B4478" i="17"/>
  <c r="C4478" i="17"/>
  <c r="D4478" i="17"/>
  <c r="E4478" i="17"/>
  <c r="F4478" i="17"/>
  <c r="B4479" i="17"/>
  <c r="C4479" i="17"/>
  <c r="D4479" i="17"/>
  <c r="E4479" i="17"/>
  <c r="F4479" i="17"/>
  <c r="B4480" i="17"/>
  <c r="C4480" i="17"/>
  <c r="D4480" i="17"/>
  <c r="E4480" i="17"/>
  <c r="F4480" i="17"/>
  <c r="B4481" i="17"/>
  <c r="C4481" i="17"/>
  <c r="D4481" i="17"/>
  <c r="E4481" i="17"/>
  <c r="F4481" i="17"/>
  <c r="B4482" i="17"/>
  <c r="C4482" i="17"/>
  <c r="D4482" i="17"/>
  <c r="E4482" i="17"/>
  <c r="F4482" i="17"/>
  <c r="B4483" i="17"/>
  <c r="C4483" i="17"/>
  <c r="D4483" i="17"/>
  <c r="E4483" i="17"/>
  <c r="F4483" i="17"/>
  <c r="B4484" i="17"/>
  <c r="C4484" i="17"/>
  <c r="D4484" i="17"/>
  <c r="E4484" i="17"/>
  <c r="F4484" i="17"/>
  <c r="B4485" i="17"/>
  <c r="C4485" i="17"/>
  <c r="D4485" i="17"/>
  <c r="E4485" i="17"/>
  <c r="F4485" i="17"/>
  <c r="B4486" i="17"/>
  <c r="C4486" i="17"/>
  <c r="D4486" i="17"/>
  <c r="E4486" i="17"/>
  <c r="F4486" i="17"/>
  <c r="B4487" i="17"/>
  <c r="C4487" i="17"/>
  <c r="D4487" i="17"/>
  <c r="E4487" i="17"/>
  <c r="F4487" i="17"/>
  <c r="B4488" i="17"/>
  <c r="C4488" i="17"/>
  <c r="D4488" i="17"/>
  <c r="E4488" i="17"/>
  <c r="F4488" i="17"/>
  <c r="B4489" i="17"/>
  <c r="C4489" i="17"/>
  <c r="D4489" i="17"/>
  <c r="E4489" i="17"/>
  <c r="F4489" i="17"/>
  <c r="B4490" i="17"/>
  <c r="C4490" i="17"/>
  <c r="D4490" i="17"/>
  <c r="E4490" i="17"/>
  <c r="F4490" i="17"/>
  <c r="B4491" i="17"/>
  <c r="C4491" i="17"/>
  <c r="D4491" i="17"/>
  <c r="E4491" i="17"/>
  <c r="F4491" i="17"/>
  <c r="B4492" i="17"/>
  <c r="C4492" i="17"/>
  <c r="D4492" i="17"/>
  <c r="E4492" i="17"/>
  <c r="F4492" i="17"/>
  <c r="B4493" i="17"/>
  <c r="C4493" i="17"/>
  <c r="D4493" i="17"/>
  <c r="E4493" i="17"/>
  <c r="F4493" i="17"/>
  <c r="B4494" i="17"/>
  <c r="C4494" i="17"/>
  <c r="D4494" i="17"/>
  <c r="E4494" i="17"/>
  <c r="F4494" i="17"/>
  <c r="B4495" i="17"/>
  <c r="C4495" i="17"/>
  <c r="D4495" i="17"/>
  <c r="E4495" i="17"/>
  <c r="F4495" i="17"/>
  <c r="B4496" i="17"/>
  <c r="C4496" i="17"/>
  <c r="D4496" i="17"/>
  <c r="E4496" i="17"/>
  <c r="F4496" i="17"/>
  <c r="B4497" i="17"/>
  <c r="C4497" i="17"/>
  <c r="D4497" i="17"/>
  <c r="E4497" i="17"/>
  <c r="F4497" i="17"/>
  <c r="B4498" i="17"/>
  <c r="C4498" i="17"/>
  <c r="D4498" i="17"/>
  <c r="E4498" i="17"/>
  <c r="F4498" i="17"/>
  <c r="B4499" i="17"/>
  <c r="C4499" i="17"/>
  <c r="D4499" i="17"/>
  <c r="E4499" i="17"/>
  <c r="F4499" i="17"/>
  <c r="B4500" i="17"/>
  <c r="C4500" i="17"/>
  <c r="D4500" i="17"/>
  <c r="E4500" i="17"/>
  <c r="F4500" i="17"/>
  <c r="B4501" i="17"/>
  <c r="C4501" i="17"/>
  <c r="D4501" i="17"/>
  <c r="E4501" i="17"/>
  <c r="F4501" i="17"/>
  <c r="B4502" i="17"/>
  <c r="C4502" i="17"/>
  <c r="D4502" i="17"/>
  <c r="E4502" i="17"/>
  <c r="F4502" i="17"/>
  <c r="B4503" i="17"/>
  <c r="C4503" i="17"/>
  <c r="D4503" i="17"/>
  <c r="E4503" i="17"/>
  <c r="F4503" i="17"/>
  <c r="B4504" i="17"/>
  <c r="C4504" i="17"/>
  <c r="D4504" i="17"/>
  <c r="E4504" i="17"/>
  <c r="F4504" i="17"/>
  <c r="B4505" i="17"/>
  <c r="C4505" i="17"/>
  <c r="D4505" i="17"/>
  <c r="E4505" i="17"/>
  <c r="F4505" i="17"/>
  <c r="B4506" i="17"/>
  <c r="C4506" i="17"/>
  <c r="D4506" i="17"/>
  <c r="E4506" i="17"/>
  <c r="F4506" i="17"/>
  <c r="B4507" i="17"/>
  <c r="C4507" i="17"/>
  <c r="D4507" i="17"/>
  <c r="E4507" i="17"/>
  <c r="F4507" i="17"/>
  <c r="B4508" i="17"/>
  <c r="C4508" i="17"/>
  <c r="D4508" i="17"/>
  <c r="E4508" i="17"/>
  <c r="F4508" i="17"/>
  <c r="B4509" i="17"/>
  <c r="C4509" i="17"/>
  <c r="D4509" i="17"/>
  <c r="E4509" i="17"/>
  <c r="F4509" i="17"/>
  <c r="B4510" i="17"/>
  <c r="C4510" i="17"/>
  <c r="D4510" i="17"/>
  <c r="E4510" i="17"/>
  <c r="F4510" i="17"/>
  <c r="B4511" i="17"/>
  <c r="C4511" i="17"/>
  <c r="D4511" i="17"/>
  <c r="E4511" i="17"/>
  <c r="F4511" i="17"/>
  <c r="B4512" i="17"/>
  <c r="C4512" i="17"/>
  <c r="D4512" i="17"/>
  <c r="E4512" i="17"/>
  <c r="F4512" i="17"/>
  <c r="B4513" i="17"/>
  <c r="C4513" i="17"/>
  <c r="D4513" i="17"/>
  <c r="E4513" i="17"/>
  <c r="F4513" i="17"/>
  <c r="B4514" i="17"/>
  <c r="C4514" i="17"/>
  <c r="D4514" i="17"/>
  <c r="E4514" i="17"/>
  <c r="F4514" i="17"/>
  <c r="B4515" i="17"/>
  <c r="C4515" i="17"/>
  <c r="D4515" i="17"/>
  <c r="E4515" i="17"/>
  <c r="F4515" i="17"/>
  <c r="B4516" i="17"/>
  <c r="C4516" i="17"/>
  <c r="D4516" i="17"/>
  <c r="E4516" i="17"/>
  <c r="F4516" i="17"/>
  <c r="B4517" i="17"/>
  <c r="C4517" i="17"/>
  <c r="D4517" i="17"/>
  <c r="E4517" i="17"/>
  <c r="F4517" i="17"/>
  <c r="B4518" i="17"/>
  <c r="C4518" i="17"/>
  <c r="D4518" i="17"/>
  <c r="E4518" i="17"/>
  <c r="F4518" i="17"/>
  <c r="B4519" i="17"/>
  <c r="C4519" i="17"/>
  <c r="D4519" i="17"/>
  <c r="E4519" i="17"/>
  <c r="F4519" i="17"/>
  <c r="B4520" i="17"/>
  <c r="C4520" i="17"/>
  <c r="D4520" i="17"/>
  <c r="E4520" i="17"/>
  <c r="F4520" i="17"/>
  <c r="B4521" i="17"/>
  <c r="C4521" i="17"/>
  <c r="D4521" i="17"/>
  <c r="E4521" i="17"/>
  <c r="F4521" i="17"/>
  <c r="B4522" i="17"/>
  <c r="C4522" i="17"/>
  <c r="D4522" i="17"/>
  <c r="E4522" i="17"/>
  <c r="F4522" i="17"/>
  <c r="B4523" i="17"/>
  <c r="C4523" i="17"/>
  <c r="D4523" i="17"/>
  <c r="E4523" i="17"/>
  <c r="F4523" i="17"/>
  <c r="B4524" i="17"/>
  <c r="C4524" i="17"/>
  <c r="D4524" i="17"/>
  <c r="E4524" i="17"/>
  <c r="F4524" i="17"/>
  <c r="B4525" i="17"/>
  <c r="C4525" i="17"/>
  <c r="D4525" i="17"/>
  <c r="E4525" i="17"/>
  <c r="F4525" i="17"/>
  <c r="B4526" i="17"/>
  <c r="C4526" i="17"/>
  <c r="D4526" i="17"/>
  <c r="E4526" i="17"/>
  <c r="F4526" i="17"/>
  <c r="B4527" i="17"/>
  <c r="C4527" i="17"/>
  <c r="D4527" i="17"/>
  <c r="E4527" i="17"/>
  <c r="F4527" i="17"/>
  <c r="B4528" i="17"/>
  <c r="C4528" i="17"/>
  <c r="D4528" i="17"/>
  <c r="E4528" i="17"/>
  <c r="F4528" i="17"/>
  <c r="B4529" i="17"/>
  <c r="C4529" i="17"/>
  <c r="D4529" i="17"/>
  <c r="E4529" i="17"/>
  <c r="F4529" i="17"/>
  <c r="B4530" i="17"/>
  <c r="C4530" i="17"/>
  <c r="D4530" i="17"/>
  <c r="E4530" i="17"/>
  <c r="F4530" i="17"/>
  <c r="B4531" i="17"/>
  <c r="C4531" i="17"/>
  <c r="D4531" i="17"/>
  <c r="E4531" i="17"/>
  <c r="F4531" i="17"/>
  <c r="B4532" i="17"/>
  <c r="C4532" i="17"/>
  <c r="D4532" i="17"/>
  <c r="E4532" i="17"/>
  <c r="F4532" i="17"/>
  <c r="B4533" i="17"/>
  <c r="C4533" i="17"/>
  <c r="D4533" i="17"/>
  <c r="E4533" i="17"/>
  <c r="F4533" i="17"/>
  <c r="B4534" i="17"/>
  <c r="C4534" i="17"/>
  <c r="D4534" i="17"/>
  <c r="E4534" i="17"/>
  <c r="F4534" i="17"/>
  <c r="B4535" i="17"/>
  <c r="C4535" i="17"/>
  <c r="D4535" i="17"/>
  <c r="E4535" i="17"/>
  <c r="F4535" i="17"/>
  <c r="B4536" i="17"/>
  <c r="C4536" i="17"/>
  <c r="D4536" i="17"/>
  <c r="E4536" i="17"/>
  <c r="F4536" i="17"/>
  <c r="B4537" i="17"/>
  <c r="C4537" i="17"/>
  <c r="D4537" i="17"/>
  <c r="E4537" i="17"/>
  <c r="F4537" i="17"/>
  <c r="B4538" i="17"/>
  <c r="C4538" i="17"/>
  <c r="D4538" i="17"/>
  <c r="E4538" i="17"/>
  <c r="F4538" i="17"/>
  <c r="B4539" i="17"/>
  <c r="C4539" i="17"/>
  <c r="D4539" i="17"/>
  <c r="E4539" i="17"/>
  <c r="F4539" i="17"/>
  <c r="B4540" i="17"/>
  <c r="C4540" i="17"/>
  <c r="D4540" i="17"/>
  <c r="E4540" i="17"/>
  <c r="F4540" i="17"/>
  <c r="B4541" i="17"/>
  <c r="C4541" i="17"/>
  <c r="D4541" i="17"/>
  <c r="E4541" i="17"/>
  <c r="F4541" i="17"/>
  <c r="B4542" i="17"/>
  <c r="C4542" i="17"/>
  <c r="D4542" i="17"/>
  <c r="E4542" i="17"/>
  <c r="F4542" i="17"/>
  <c r="B4543" i="17"/>
  <c r="C4543" i="17"/>
  <c r="D4543" i="17"/>
  <c r="E4543" i="17"/>
  <c r="F4543" i="17"/>
  <c r="B4544" i="17"/>
  <c r="C4544" i="17"/>
  <c r="D4544" i="17"/>
  <c r="E4544" i="17"/>
  <c r="F4544" i="17"/>
  <c r="B4545" i="17"/>
  <c r="C4545" i="17"/>
  <c r="D4545" i="17"/>
  <c r="E4545" i="17"/>
  <c r="F4545" i="17"/>
  <c r="B4546" i="17"/>
  <c r="C4546" i="17"/>
  <c r="D4546" i="17"/>
  <c r="E4546" i="17"/>
  <c r="F4546" i="17"/>
  <c r="B4547" i="17"/>
  <c r="C4547" i="17"/>
  <c r="D4547" i="17"/>
  <c r="E4547" i="17"/>
  <c r="F4547" i="17"/>
  <c r="B4548" i="17"/>
  <c r="C4548" i="17"/>
  <c r="D4548" i="17"/>
  <c r="E4548" i="17"/>
  <c r="F4548" i="17"/>
  <c r="B4549" i="17"/>
  <c r="C4549" i="17"/>
  <c r="D4549" i="17"/>
  <c r="E4549" i="17"/>
  <c r="F4549" i="17"/>
  <c r="B4550" i="17"/>
  <c r="C4550" i="17"/>
  <c r="D4550" i="17"/>
  <c r="E4550" i="17"/>
  <c r="F4550" i="17"/>
  <c r="B4551" i="17"/>
  <c r="C4551" i="17"/>
  <c r="D4551" i="17"/>
  <c r="E4551" i="17"/>
  <c r="F4551" i="17"/>
  <c r="B4552" i="17"/>
  <c r="C4552" i="17"/>
  <c r="D4552" i="17"/>
  <c r="E4552" i="17"/>
  <c r="F4552" i="17"/>
  <c r="B4553" i="17"/>
  <c r="C4553" i="17"/>
  <c r="D4553" i="17"/>
  <c r="E4553" i="17"/>
  <c r="F4553" i="17"/>
  <c r="B4554" i="17"/>
  <c r="C4554" i="17"/>
  <c r="D4554" i="17"/>
  <c r="E4554" i="17"/>
  <c r="F4554" i="17"/>
  <c r="B4555" i="17"/>
  <c r="C4555" i="17"/>
  <c r="D4555" i="17"/>
  <c r="E4555" i="17"/>
  <c r="F4555" i="17"/>
  <c r="B4556" i="17"/>
  <c r="C4556" i="17"/>
  <c r="D4556" i="17"/>
  <c r="E4556" i="17"/>
  <c r="F4556" i="17"/>
  <c r="B4557" i="17"/>
  <c r="C4557" i="17"/>
  <c r="D4557" i="17"/>
  <c r="E4557" i="17"/>
  <c r="F4557" i="17"/>
  <c r="B4558" i="17"/>
  <c r="C4558" i="17"/>
  <c r="D4558" i="17"/>
  <c r="E4558" i="17"/>
  <c r="F4558" i="17"/>
  <c r="B4559" i="17"/>
  <c r="C4559" i="17"/>
  <c r="D4559" i="17"/>
  <c r="E4559" i="17"/>
  <c r="F4559" i="17"/>
  <c r="B4560" i="17"/>
  <c r="C4560" i="17"/>
  <c r="D4560" i="17"/>
  <c r="E4560" i="17"/>
  <c r="F4560" i="17"/>
  <c r="B4561" i="17"/>
  <c r="C4561" i="17"/>
  <c r="D4561" i="17"/>
  <c r="E4561" i="17"/>
  <c r="F4561" i="17"/>
  <c r="B4562" i="17"/>
  <c r="C4562" i="17"/>
  <c r="D4562" i="17"/>
  <c r="E4562" i="17"/>
  <c r="F4562" i="17"/>
  <c r="B4563" i="17"/>
  <c r="C4563" i="17"/>
  <c r="D4563" i="17"/>
  <c r="E4563" i="17"/>
  <c r="F4563" i="17"/>
  <c r="B4564" i="17"/>
  <c r="C4564" i="17"/>
  <c r="D4564" i="17"/>
  <c r="E4564" i="17"/>
  <c r="F4564" i="17"/>
  <c r="B4565" i="17"/>
  <c r="C4565" i="17"/>
  <c r="D4565" i="17"/>
  <c r="E4565" i="17"/>
  <c r="F4565" i="17"/>
  <c r="B4566" i="17"/>
  <c r="C4566" i="17"/>
  <c r="D4566" i="17"/>
  <c r="E4566" i="17"/>
  <c r="F4566" i="17"/>
  <c r="B4567" i="17"/>
  <c r="C4567" i="17"/>
  <c r="D4567" i="17"/>
  <c r="E4567" i="17"/>
  <c r="F4567" i="17"/>
  <c r="B4568" i="17"/>
  <c r="C4568" i="17"/>
  <c r="D4568" i="17"/>
  <c r="E4568" i="17"/>
  <c r="F4568" i="17"/>
  <c r="B4569" i="17"/>
  <c r="C4569" i="17"/>
  <c r="D4569" i="17"/>
  <c r="E4569" i="17"/>
  <c r="F4569" i="17"/>
  <c r="B4570" i="17"/>
  <c r="C4570" i="17"/>
  <c r="D4570" i="17"/>
  <c r="E4570" i="17"/>
  <c r="F4570" i="17"/>
  <c r="B4571" i="17"/>
  <c r="C4571" i="17"/>
  <c r="D4571" i="17"/>
  <c r="E4571" i="17"/>
  <c r="F4571" i="17"/>
  <c r="B4572" i="17"/>
  <c r="C4572" i="17"/>
  <c r="D4572" i="17"/>
  <c r="E4572" i="17"/>
  <c r="F4572" i="17"/>
  <c r="B4573" i="17"/>
  <c r="C4573" i="17"/>
  <c r="D4573" i="17"/>
  <c r="E4573" i="17"/>
  <c r="F4573" i="17"/>
  <c r="B4574" i="17"/>
  <c r="C4574" i="17"/>
  <c r="D4574" i="17"/>
  <c r="E4574" i="17"/>
  <c r="F4574" i="17"/>
  <c r="B4575" i="17"/>
  <c r="C4575" i="17"/>
  <c r="D4575" i="17"/>
  <c r="E4575" i="17"/>
  <c r="F4575" i="17"/>
  <c r="B4576" i="17"/>
  <c r="C4576" i="17"/>
  <c r="D4576" i="17"/>
  <c r="E4576" i="17"/>
  <c r="F4576" i="17"/>
  <c r="B4577" i="17"/>
  <c r="C4577" i="17"/>
  <c r="D4577" i="17"/>
  <c r="E4577" i="17"/>
  <c r="F4577" i="17"/>
  <c r="B4578" i="17"/>
  <c r="C4578" i="17"/>
  <c r="D4578" i="17"/>
  <c r="E4578" i="17"/>
  <c r="F4578" i="17"/>
  <c r="B4579" i="17"/>
  <c r="C4579" i="17"/>
  <c r="D4579" i="17"/>
  <c r="E4579" i="17"/>
  <c r="F4579" i="17"/>
  <c r="B4580" i="17"/>
  <c r="C4580" i="17"/>
  <c r="D4580" i="17"/>
  <c r="E4580" i="17"/>
  <c r="F4580" i="17"/>
  <c r="B4581" i="17"/>
  <c r="C4581" i="17"/>
  <c r="D4581" i="17"/>
  <c r="E4581" i="17"/>
  <c r="F4581" i="17"/>
  <c r="B4582" i="17"/>
  <c r="C4582" i="17"/>
  <c r="D4582" i="17"/>
  <c r="E4582" i="17"/>
  <c r="F4582" i="17"/>
  <c r="B4583" i="17"/>
  <c r="C4583" i="17"/>
  <c r="D4583" i="17"/>
  <c r="E4583" i="17"/>
  <c r="F4583" i="17"/>
  <c r="B4584" i="17"/>
  <c r="C4584" i="17"/>
  <c r="D4584" i="17"/>
  <c r="E4584" i="17"/>
  <c r="F4584" i="17"/>
  <c r="B4585" i="17"/>
  <c r="C4585" i="17"/>
  <c r="D4585" i="17"/>
  <c r="E4585" i="17"/>
  <c r="F4585" i="17"/>
  <c r="B4586" i="17"/>
  <c r="C4586" i="17"/>
  <c r="D4586" i="17"/>
  <c r="E4586" i="17"/>
  <c r="F4586" i="17"/>
  <c r="B4587" i="17"/>
  <c r="C4587" i="17"/>
  <c r="D4587" i="17"/>
  <c r="E4587" i="17"/>
  <c r="F4587" i="17"/>
  <c r="B4588" i="17"/>
  <c r="C4588" i="17"/>
  <c r="D4588" i="17"/>
  <c r="E4588" i="17"/>
  <c r="F4588" i="17"/>
  <c r="B4589" i="17"/>
  <c r="C4589" i="17"/>
  <c r="D4589" i="17"/>
  <c r="E4589" i="17"/>
  <c r="F4589" i="17"/>
  <c r="B4590" i="17"/>
  <c r="C4590" i="17"/>
  <c r="D4590" i="17"/>
  <c r="E4590" i="17"/>
  <c r="F4590" i="17"/>
  <c r="B4591" i="17"/>
  <c r="C4591" i="17"/>
  <c r="D4591" i="17"/>
  <c r="E4591" i="17"/>
  <c r="F4591" i="17"/>
  <c r="B4592" i="17"/>
  <c r="C4592" i="17"/>
  <c r="D4592" i="17"/>
  <c r="E4592" i="17"/>
  <c r="F4592" i="17"/>
  <c r="B4593" i="17"/>
  <c r="C4593" i="17"/>
  <c r="D4593" i="17"/>
  <c r="E4593" i="17"/>
  <c r="F4593" i="17"/>
  <c r="B4594" i="17"/>
  <c r="C4594" i="17"/>
  <c r="D4594" i="17"/>
  <c r="E4594" i="17"/>
  <c r="F4594" i="17"/>
  <c r="B4595" i="17"/>
  <c r="C4595" i="17"/>
  <c r="D4595" i="17"/>
  <c r="E4595" i="17"/>
  <c r="F4595" i="17"/>
  <c r="B4596" i="17"/>
  <c r="C4596" i="17"/>
  <c r="D4596" i="17"/>
  <c r="E4596" i="17"/>
  <c r="F4596" i="17"/>
  <c r="B4597" i="17"/>
  <c r="C4597" i="17"/>
  <c r="D4597" i="17"/>
  <c r="E4597" i="17"/>
  <c r="F4597" i="17"/>
  <c r="B4598" i="17"/>
  <c r="C4598" i="17"/>
  <c r="D4598" i="17"/>
  <c r="E4598" i="17"/>
  <c r="F4598" i="17"/>
  <c r="B4599" i="17"/>
  <c r="C4599" i="17"/>
  <c r="D4599" i="17"/>
  <c r="E4599" i="17"/>
  <c r="F4599" i="17"/>
  <c r="B4600" i="17"/>
  <c r="C4600" i="17"/>
  <c r="D4600" i="17"/>
  <c r="E4600" i="17"/>
  <c r="F4600" i="17"/>
  <c r="B4601" i="17"/>
  <c r="C4601" i="17"/>
  <c r="D4601" i="17"/>
  <c r="E4601" i="17"/>
  <c r="F4601" i="17"/>
  <c r="B4602" i="17"/>
  <c r="C4602" i="17"/>
  <c r="D4602" i="17"/>
  <c r="E4602" i="17"/>
  <c r="F4602" i="17"/>
  <c r="B4603" i="17"/>
  <c r="C4603" i="17"/>
  <c r="D4603" i="17"/>
  <c r="E4603" i="17"/>
  <c r="F4603" i="17"/>
  <c r="B4604" i="17"/>
  <c r="C4604" i="17"/>
  <c r="D4604" i="17"/>
  <c r="E4604" i="17"/>
  <c r="F4604" i="17"/>
  <c r="B4605" i="17"/>
  <c r="C4605" i="17"/>
  <c r="D4605" i="17"/>
  <c r="E4605" i="17"/>
  <c r="F4605" i="17"/>
  <c r="B4606" i="17"/>
  <c r="C4606" i="17"/>
  <c r="D4606" i="17"/>
  <c r="E4606" i="17"/>
  <c r="F4606" i="17"/>
  <c r="B4607" i="17"/>
  <c r="C4607" i="17"/>
  <c r="D4607" i="17"/>
  <c r="E4607" i="17"/>
  <c r="F4607" i="17"/>
  <c r="B4608" i="17"/>
  <c r="C4608" i="17"/>
  <c r="D4608" i="17"/>
  <c r="E4608" i="17"/>
  <c r="F4608" i="17"/>
  <c r="B4609" i="17"/>
  <c r="C4609" i="17"/>
  <c r="D4609" i="17"/>
  <c r="E4609" i="17"/>
  <c r="F4609" i="17"/>
  <c r="B4610" i="17"/>
  <c r="C4610" i="17"/>
  <c r="D4610" i="17"/>
  <c r="E4610" i="17"/>
  <c r="F4610" i="17"/>
  <c r="B4611" i="17"/>
  <c r="C4611" i="17"/>
  <c r="D4611" i="17"/>
  <c r="E4611" i="17"/>
  <c r="F4611" i="17"/>
  <c r="B4612" i="17"/>
  <c r="C4612" i="17"/>
  <c r="D4612" i="17"/>
  <c r="E4612" i="17"/>
  <c r="F4612" i="17"/>
  <c r="B4613" i="17"/>
  <c r="C4613" i="17"/>
  <c r="D4613" i="17"/>
  <c r="E4613" i="17"/>
  <c r="F4613" i="17"/>
  <c r="B4614" i="17"/>
  <c r="C4614" i="17"/>
  <c r="D4614" i="17"/>
  <c r="E4614" i="17"/>
  <c r="F4614" i="17"/>
  <c r="B4615" i="17"/>
  <c r="C4615" i="17"/>
  <c r="D4615" i="17"/>
  <c r="E4615" i="17"/>
  <c r="F4615" i="17"/>
  <c r="B4616" i="17"/>
  <c r="C4616" i="17"/>
  <c r="D4616" i="17"/>
  <c r="E4616" i="17"/>
  <c r="F4616" i="17"/>
  <c r="B4617" i="17"/>
  <c r="C4617" i="17"/>
  <c r="D4617" i="17"/>
  <c r="E4617" i="17"/>
  <c r="F4617" i="17"/>
  <c r="B4618" i="17"/>
  <c r="C4618" i="17"/>
  <c r="D4618" i="17"/>
  <c r="E4618" i="17"/>
  <c r="F4618" i="17"/>
  <c r="B4619" i="17"/>
  <c r="C4619" i="17"/>
  <c r="D4619" i="17"/>
  <c r="E4619" i="17"/>
  <c r="F4619" i="17"/>
  <c r="B4620" i="17"/>
  <c r="C4620" i="17"/>
  <c r="D4620" i="17"/>
  <c r="E4620" i="17"/>
  <c r="F4620" i="17"/>
  <c r="B4621" i="17"/>
  <c r="C4621" i="17"/>
  <c r="D4621" i="17"/>
  <c r="E4621" i="17"/>
  <c r="F4621" i="17"/>
  <c r="B4622" i="17"/>
  <c r="C4622" i="17"/>
  <c r="D4622" i="17"/>
  <c r="E4622" i="17"/>
  <c r="F4622" i="17"/>
  <c r="B4623" i="17"/>
  <c r="C4623" i="17"/>
  <c r="D4623" i="17"/>
  <c r="E4623" i="17"/>
  <c r="F4623" i="17"/>
  <c r="B4624" i="17"/>
  <c r="C4624" i="17"/>
  <c r="D4624" i="17"/>
  <c r="E4624" i="17"/>
  <c r="F4624" i="17"/>
  <c r="B4625" i="17"/>
  <c r="C4625" i="17"/>
  <c r="D4625" i="17"/>
  <c r="E4625" i="17"/>
  <c r="F4625" i="17"/>
  <c r="B4626" i="17"/>
  <c r="C4626" i="17"/>
  <c r="D4626" i="17"/>
  <c r="E4626" i="17"/>
  <c r="F4626" i="17"/>
  <c r="B4627" i="17"/>
  <c r="C4627" i="17"/>
  <c r="D4627" i="17"/>
  <c r="E4627" i="17"/>
  <c r="F4627" i="17"/>
  <c r="B4628" i="17"/>
  <c r="C4628" i="17"/>
  <c r="D4628" i="17"/>
  <c r="E4628" i="17"/>
  <c r="F4628" i="17"/>
  <c r="B4629" i="17"/>
  <c r="C4629" i="17"/>
  <c r="D4629" i="17"/>
  <c r="E4629" i="17"/>
  <c r="F4629" i="17"/>
  <c r="B4630" i="17"/>
  <c r="C4630" i="17"/>
  <c r="D4630" i="17"/>
  <c r="E4630" i="17"/>
  <c r="F4630" i="17"/>
  <c r="B4631" i="17"/>
  <c r="C4631" i="17"/>
  <c r="D4631" i="17"/>
  <c r="E4631" i="17"/>
  <c r="F4631" i="17"/>
  <c r="B4632" i="17"/>
  <c r="C4632" i="17"/>
  <c r="D4632" i="17"/>
  <c r="E4632" i="17"/>
  <c r="F4632" i="17"/>
  <c r="B4633" i="17"/>
  <c r="C4633" i="17"/>
  <c r="D4633" i="17"/>
  <c r="E4633" i="17"/>
  <c r="F4633" i="17"/>
  <c r="B4634" i="17"/>
  <c r="C4634" i="17"/>
  <c r="D4634" i="17"/>
  <c r="E4634" i="17"/>
  <c r="F4634" i="17"/>
  <c r="B4635" i="17"/>
  <c r="C4635" i="17"/>
  <c r="D4635" i="17"/>
  <c r="E4635" i="17"/>
  <c r="F4635" i="17"/>
  <c r="B4636" i="17"/>
  <c r="C4636" i="17"/>
  <c r="D4636" i="17"/>
  <c r="E4636" i="17"/>
  <c r="F4636" i="17"/>
  <c r="B4637" i="17"/>
  <c r="C4637" i="17"/>
  <c r="D4637" i="17"/>
  <c r="E4637" i="17"/>
  <c r="F4637" i="17"/>
  <c r="B4638" i="17"/>
  <c r="C4638" i="17"/>
  <c r="D4638" i="17"/>
  <c r="E4638" i="17"/>
  <c r="F4638" i="17"/>
  <c r="B4639" i="17"/>
  <c r="C4639" i="17"/>
  <c r="D4639" i="17"/>
  <c r="E4639" i="17"/>
  <c r="F4639" i="17"/>
  <c r="B4640" i="17"/>
  <c r="C4640" i="17"/>
  <c r="D4640" i="17"/>
  <c r="E4640" i="17"/>
  <c r="F4640" i="17"/>
  <c r="B4641" i="17"/>
  <c r="C4641" i="17"/>
  <c r="D4641" i="17"/>
  <c r="E4641" i="17"/>
  <c r="F4641" i="17"/>
  <c r="B4642" i="17"/>
  <c r="C4642" i="17"/>
  <c r="D4642" i="17"/>
  <c r="E4642" i="17"/>
  <c r="F4642" i="17"/>
  <c r="B4643" i="17"/>
  <c r="C4643" i="17"/>
  <c r="D4643" i="17"/>
  <c r="E4643" i="17"/>
  <c r="F4643" i="17"/>
  <c r="B4644" i="17"/>
  <c r="C4644" i="17"/>
  <c r="D4644" i="17"/>
  <c r="E4644" i="17"/>
  <c r="F4644" i="17"/>
  <c r="B4645" i="17"/>
  <c r="C4645" i="17"/>
  <c r="D4645" i="17"/>
  <c r="E4645" i="17"/>
  <c r="F4645" i="17"/>
  <c r="B4646" i="17"/>
  <c r="C4646" i="17"/>
  <c r="D4646" i="17"/>
  <c r="E4646" i="17"/>
  <c r="F4646" i="17"/>
  <c r="B4647" i="17"/>
  <c r="C4647" i="17"/>
  <c r="D4647" i="17"/>
  <c r="E4647" i="17"/>
  <c r="F4647" i="17"/>
  <c r="B4648" i="17"/>
  <c r="C4648" i="17"/>
  <c r="D4648" i="17"/>
  <c r="E4648" i="17"/>
  <c r="F4648" i="17"/>
  <c r="G128" i="14"/>
  <c r="G129" i="14"/>
  <c r="G130" i="14"/>
  <c r="G131" i="14"/>
  <c r="G132" i="14"/>
  <c r="G133" i="14"/>
  <c r="G134" i="14"/>
  <c r="G135" i="14"/>
  <c r="G136" i="14"/>
  <c r="G137" i="14"/>
  <c r="G138" i="14"/>
  <c r="G139" i="14"/>
  <c r="I3" i="4"/>
  <c r="I4" i="4"/>
  <c r="I5" i="4"/>
  <c r="I6" i="4"/>
  <c r="I7" i="4"/>
  <c r="I8" i="4"/>
  <c r="I9" i="4"/>
  <c r="I10" i="4"/>
  <c r="I11" i="4"/>
  <c r="I12" i="4"/>
  <c r="I13" i="4"/>
  <c r="I14" i="4"/>
  <c r="H2" i="4"/>
  <c r="G8" i="4"/>
  <c r="G9" i="4"/>
  <c r="G10" i="4"/>
  <c r="G11" i="4"/>
  <c r="G12" i="4"/>
  <c r="G13" i="4"/>
  <c r="G14" i="4"/>
  <c r="G15" i="4"/>
  <c r="G16" i="4"/>
  <c r="G17" i="4"/>
  <c r="G18" i="4"/>
  <c r="G19" i="4"/>
  <c r="G20" i="4"/>
  <c r="G21" i="4"/>
  <c r="G22" i="4"/>
  <c r="G23" i="4"/>
  <c r="G24" i="4"/>
  <c r="G25" i="4"/>
  <c r="G26" i="4"/>
  <c r="G27" i="4"/>
  <c r="G28" i="4"/>
  <c r="G29" i="4"/>
  <c r="B8" i="4"/>
  <c r="C8" i="4"/>
  <c r="D8" i="4"/>
  <c r="E8" i="4"/>
  <c r="B9" i="4"/>
  <c r="C9" i="4"/>
  <c r="D9" i="4"/>
  <c r="E9"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 i="9" l="1"/>
  <c r="C3" i="9"/>
  <c r="D3" i="9"/>
  <c r="E3" i="9"/>
  <c r="B4" i="9"/>
  <c r="C4" i="9"/>
  <c r="D4" i="9"/>
  <c r="E4" i="9"/>
  <c r="B5" i="9"/>
  <c r="C5" i="9"/>
  <c r="D5" i="9"/>
  <c r="E5" i="9"/>
  <c r="B6" i="9"/>
  <c r="C6" i="9"/>
  <c r="D6" i="9"/>
  <c r="E6" i="9"/>
  <c r="B7" i="9"/>
  <c r="C7" i="9"/>
  <c r="D7" i="9"/>
  <c r="E7" i="9"/>
  <c r="B8" i="9"/>
  <c r="C8" i="9"/>
  <c r="D8" i="9"/>
  <c r="E8" i="9"/>
  <c r="B9" i="9"/>
  <c r="C9" i="9"/>
  <c r="D9" i="9"/>
  <c r="E9" i="9"/>
  <c r="B10" i="9"/>
  <c r="C10" i="9"/>
  <c r="D10" i="9"/>
  <c r="E10" i="9"/>
  <c r="B11" i="9"/>
  <c r="C11" i="9"/>
  <c r="D11" i="9"/>
  <c r="E11" i="9"/>
  <c r="B12" i="9"/>
  <c r="C12" i="9"/>
  <c r="D12" i="9"/>
  <c r="E12" i="9"/>
  <c r="B13" i="9"/>
  <c r="C13" i="9"/>
  <c r="D13" i="9"/>
  <c r="E13" i="9"/>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B59" i="9"/>
  <c r="C59" i="9"/>
  <c r="D59" i="9"/>
  <c r="E59" i="9"/>
  <c r="B60" i="9"/>
  <c r="C60" i="9"/>
  <c r="D60" i="9"/>
  <c r="E60" i="9"/>
  <c r="B61" i="9"/>
  <c r="C61" i="9"/>
  <c r="D61" i="9"/>
  <c r="E61" i="9"/>
  <c r="B62" i="9"/>
  <c r="C62" i="9"/>
  <c r="D62" i="9"/>
  <c r="E62" i="9"/>
  <c r="B63" i="9"/>
  <c r="C63" i="9"/>
  <c r="D63" i="9"/>
  <c r="E63" i="9"/>
  <c r="B64" i="9"/>
  <c r="C64" i="9"/>
  <c r="D64" i="9"/>
  <c r="E64" i="9"/>
  <c r="B65" i="9"/>
  <c r="C65" i="9"/>
  <c r="D65" i="9"/>
  <c r="E65" i="9"/>
  <c r="B66" i="9"/>
  <c r="C66" i="9"/>
  <c r="D66" i="9"/>
  <c r="E66" i="9"/>
  <c r="B67" i="9"/>
  <c r="C67" i="9"/>
  <c r="D67" i="9"/>
  <c r="E67" i="9"/>
  <c r="B68" i="9"/>
  <c r="C68" i="9"/>
  <c r="D68" i="9"/>
  <c r="E68" i="9"/>
  <c r="B69" i="9"/>
  <c r="C69" i="9"/>
  <c r="D69" i="9"/>
  <c r="E69" i="9"/>
  <c r="B70" i="9"/>
  <c r="C70" i="9"/>
  <c r="D70" i="9"/>
  <c r="E70" i="9"/>
  <c r="B71" i="9"/>
  <c r="C71" i="9"/>
  <c r="D71" i="9"/>
  <c r="E71" i="9"/>
  <c r="B72" i="9"/>
  <c r="C72" i="9"/>
  <c r="D72" i="9"/>
  <c r="E72" i="9"/>
  <c r="B73" i="9"/>
  <c r="C73" i="9"/>
  <c r="D73" i="9"/>
  <c r="E73" i="9"/>
  <c r="B74" i="9"/>
  <c r="C74" i="9"/>
  <c r="D74" i="9"/>
  <c r="E74" i="9"/>
  <c r="B75" i="9"/>
  <c r="C75" i="9"/>
  <c r="D75" i="9"/>
  <c r="E75" i="9"/>
  <c r="B76" i="9"/>
  <c r="C76" i="9"/>
  <c r="D76" i="9"/>
  <c r="E76" i="9"/>
  <c r="B77" i="9"/>
  <c r="C77" i="9"/>
  <c r="D77" i="9"/>
  <c r="E77" i="9"/>
  <c r="B78" i="9"/>
  <c r="C78" i="9"/>
  <c r="D78" i="9"/>
  <c r="E78" i="9"/>
  <c r="B79" i="9"/>
  <c r="C79" i="9"/>
  <c r="D79" i="9"/>
  <c r="E79" i="9"/>
  <c r="B80" i="9"/>
  <c r="C80" i="9"/>
  <c r="D80" i="9"/>
  <c r="E80" i="9"/>
  <c r="B81" i="9"/>
  <c r="C81" i="9"/>
  <c r="D81" i="9"/>
  <c r="E81" i="9"/>
  <c r="B82" i="9"/>
  <c r="C82" i="9"/>
  <c r="D82" i="9"/>
  <c r="E82" i="9"/>
  <c r="B83" i="9"/>
  <c r="C83" i="9"/>
  <c r="D83" i="9"/>
  <c r="E83" i="9"/>
  <c r="B84" i="9"/>
  <c r="C84" i="9"/>
  <c r="D84" i="9"/>
  <c r="E84" i="9"/>
  <c r="B85" i="9"/>
  <c r="C85" i="9"/>
  <c r="D85" i="9"/>
  <c r="E85" i="9"/>
  <c r="B86" i="9"/>
  <c r="C86" i="9"/>
  <c r="D86" i="9"/>
  <c r="E86" i="9"/>
  <c r="B87" i="9"/>
  <c r="C87" i="9"/>
  <c r="D87" i="9"/>
  <c r="E87" i="9"/>
  <c r="B88" i="9"/>
  <c r="C88" i="9"/>
  <c r="D88" i="9"/>
  <c r="E88" i="9"/>
  <c r="B89" i="9"/>
  <c r="C89" i="9"/>
  <c r="D89" i="9"/>
  <c r="E89" i="9"/>
  <c r="B90" i="9"/>
  <c r="C90" i="9"/>
  <c r="D90" i="9"/>
  <c r="E90" i="9"/>
  <c r="B91" i="9"/>
  <c r="C91" i="9"/>
  <c r="D91" i="9"/>
  <c r="E91" i="9"/>
  <c r="B92" i="9"/>
  <c r="C92" i="9"/>
  <c r="D92" i="9"/>
  <c r="E92" i="9"/>
  <c r="B93" i="9"/>
  <c r="C93" i="9"/>
  <c r="D93" i="9"/>
  <c r="E93" i="9"/>
  <c r="B94" i="9"/>
  <c r="C94" i="9"/>
  <c r="D94" i="9"/>
  <c r="E94" i="9"/>
  <c r="B95" i="9"/>
  <c r="C95" i="9"/>
  <c r="D95" i="9"/>
  <c r="E95" i="9"/>
  <c r="B96" i="9"/>
  <c r="C96" i="9"/>
  <c r="D96" i="9"/>
  <c r="E96" i="9"/>
  <c r="B97" i="9"/>
  <c r="C97" i="9"/>
  <c r="D97" i="9"/>
  <c r="E97" i="9"/>
  <c r="B98" i="9"/>
  <c r="C98" i="9"/>
  <c r="D98" i="9"/>
  <c r="E98" i="9"/>
  <c r="B99" i="9"/>
  <c r="C99" i="9"/>
  <c r="D99" i="9"/>
  <c r="E99" i="9"/>
  <c r="B100" i="9"/>
  <c r="C100" i="9"/>
  <c r="D100" i="9"/>
  <c r="E100" i="9"/>
  <c r="B101" i="9"/>
  <c r="C101" i="9"/>
  <c r="D101" i="9"/>
  <c r="E101" i="9"/>
  <c r="B102" i="9"/>
  <c r="C102" i="9"/>
  <c r="D102" i="9"/>
  <c r="E102" i="9"/>
  <c r="B103" i="9"/>
  <c r="C103" i="9"/>
  <c r="D103" i="9"/>
  <c r="E103" i="9"/>
  <c r="B104" i="9"/>
  <c r="C104" i="9"/>
  <c r="D104" i="9"/>
  <c r="E104" i="9"/>
  <c r="B105" i="9"/>
  <c r="C105" i="9"/>
  <c r="D105" i="9"/>
  <c r="E105" i="9"/>
  <c r="B106" i="9"/>
  <c r="C106" i="9"/>
  <c r="D106" i="9"/>
  <c r="E106" i="9"/>
  <c r="B107" i="9"/>
  <c r="C107" i="9"/>
  <c r="D107" i="9"/>
  <c r="E107" i="9"/>
  <c r="B108" i="9"/>
  <c r="C108" i="9"/>
  <c r="D108" i="9"/>
  <c r="E108" i="9"/>
  <c r="B109" i="9"/>
  <c r="C109" i="9"/>
  <c r="D109" i="9"/>
  <c r="E109" i="9"/>
  <c r="B110" i="9"/>
  <c r="C110" i="9"/>
  <c r="D110" i="9"/>
  <c r="E110" i="9"/>
  <c r="B111" i="9"/>
  <c r="C111" i="9"/>
  <c r="D111" i="9"/>
  <c r="E111" i="9"/>
  <c r="B112" i="9"/>
  <c r="C112" i="9"/>
  <c r="D112" i="9"/>
  <c r="E112" i="9"/>
  <c r="B113" i="9"/>
  <c r="C113" i="9"/>
  <c r="D113" i="9"/>
  <c r="E113" i="9"/>
  <c r="B114" i="9"/>
  <c r="C114" i="9"/>
  <c r="D114" i="9"/>
  <c r="E114" i="9"/>
  <c r="B115" i="9"/>
  <c r="C115" i="9"/>
  <c r="D115" i="9"/>
  <c r="E115" i="9"/>
  <c r="B116" i="9"/>
  <c r="C116" i="9"/>
  <c r="D116" i="9"/>
  <c r="E116" i="9"/>
  <c r="B117" i="9"/>
  <c r="C117" i="9"/>
  <c r="D117" i="9"/>
  <c r="E117" i="9"/>
  <c r="B118" i="9"/>
  <c r="C118" i="9"/>
  <c r="D118" i="9"/>
  <c r="E118" i="9"/>
  <c r="B119" i="9"/>
  <c r="C119" i="9"/>
  <c r="D119" i="9"/>
  <c r="E119" i="9"/>
  <c r="B120" i="9"/>
  <c r="C120" i="9"/>
  <c r="D120" i="9"/>
  <c r="E120" i="9"/>
  <c r="B121" i="9"/>
  <c r="C121" i="9"/>
  <c r="D121" i="9"/>
  <c r="E121" i="9"/>
  <c r="B122" i="9"/>
  <c r="C122" i="9"/>
  <c r="D122" i="9"/>
  <c r="E122" i="9"/>
  <c r="B123" i="9"/>
  <c r="C123" i="9"/>
  <c r="D123" i="9"/>
  <c r="E123" i="9"/>
  <c r="B124" i="9"/>
  <c r="C124" i="9"/>
  <c r="D124" i="9"/>
  <c r="E124" i="9"/>
  <c r="B125" i="9"/>
  <c r="C125" i="9"/>
  <c r="D125" i="9"/>
  <c r="E125" i="9"/>
  <c r="B126" i="9"/>
  <c r="C126" i="9"/>
  <c r="D126" i="9"/>
  <c r="E126" i="9"/>
  <c r="B127" i="9"/>
  <c r="C127" i="9"/>
  <c r="D127" i="9"/>
  <c r="E127" i="9"/>
  <c r="B128" i="9"/>
  <c r="C128" i="9"/>
  <c r="D128" i="9"/>
  <c r="E128" i="9"/>
  <c r="B129" i="9"/>
  <c r="C129" i="9"/>
  <c r="D129" i="9"/>
  <c r="E129" i="9"/>
  <c r="B130" i="9"/>
  <c r="C130" i="9"/>
  <c r="D130" i="9"/>
  <c r="E130" i="9"/>
  <c r="B131" i="9"/>
  <c r="C131" i="9"/>
  <c r="D131" i="9"/>
  <c r="E131" i="9"/>
  <c r="B132" i="9"/>
  <c r="C132" i="9"/>
  <c r="D132" i="9"/>
  <c r="E132" i="9"/>
  <c r="B133" i="9"/>
  <c r="C133" i="9"/>
  <c r="D133" i="9"/>
  <c r="E133" i="9"/>
  <c r="B134" i="9"/>
  <c r="C134" i="9"/>
  <c r="D134" i="9"/>
  <c r="E134" i="9"/>
  <c r="B135" i="9"/>
  <c r="C135" i="9"/>
  <c r="D135" i="9"/>
  <c r="E135" i="9"/>
  <c r="B136" i="9"/>
  <c r="C136" i="9"/>
  <c r="D136" i="9"/>
  <c r="E136" i="9"/>
  <c r="B137" i="9"/>
  <c r="C137" i="9"/>
  <c r="D137" i="9"/>
  <c r="E137" i="9"/>
  <c r="B138" i="9"/>
  <c r="C138" i="9"/>
  <c r="D138" i="9"/>
  <c r="E138" i="9"/>
  <c r="B139" i="9"/>
  <c r="C139" i="9"/>
  <c r="D139" i="9"/>
  <c r="E139" i="9"/>
  <c r="B140" i="9"/>
  <c r="C140" i="9"/>
  <c r="D140" i="9"/>
  <c r="E140" i="9"/>
  <c r="B141" i="9"/>
  <c r="C141" i="9"/>
  <c r="D141" i="9"/>
  <c r="E141" i="9"/>
  <c r="B142" i="9"/>
  <c r="C142" i="9"/>
  <c r="D142" i="9"/>
  <c r="E142" i="9"/>
  <c r="B143" i="9"/>
  <c r="C143" i="9"/>
  <c r="D143" i="9"/>
  <c r="E143" i="9"/>
  <c r="B144" i="9"/>
  <c r="C144" i="9"/>
  <c r="D144" i="9"/>
  <c r="E144" i="9"/>
  <c r="B145" i="9"/>
  <c r="C145" i="9"/>
  <c r="D145" i="9"/>
  <c r="E145" i="9"/>
  <c r="B146" i="9"/>
  <c r="C146" i="9"/>
  <c r="D146" i="9"/>
  <c r="E146" i="9"/>
  <c r="B147" i="9"/>
  <c r="C147" i="9"/>
  <c r="D147" i="9"/>
  <c r="E147" i="9"/>
  <c r="B148" i="9"/>
  <c r="C148" i="9"/>
  <c r="D148" i="9"/>
  <c r="E148" i="9"/>
  <c r="B149" i="9"/>
  <c r="C149" i="9"/>
  <c r="D149" i="9"/>
  <c r="E149" i="9"/>
  <c r="B150" i="9"/>
  <c r="C150" i="9"/>
  <c r="D150" i="9"/>
  <c r="E150" i="9"/>
  <c r="B151" i="9"/>
  <c r="C151" i="9"/>
  <c r="D151" i="9"/>
  <c r="E151" i="9"/>
  <c r="B152" i="9"/>
  <c r="C152" i="9"/>
  <c r="D152" i="9"/>
  <c r="E152" i="9"/>
  <c r="B153" i="9"/>
  <c r="C153" i="9"/>
  <c r="D153" i="9"/>
  <c r="E153" i="9"/>
  <c r="B154" i="9"/>
  <c r="C154" i="9"/>
  <c r="D154" i="9"/>
  <c r="E154" i="9"/>
  <c r="B155" i="9"/>
  <c r="C155" i="9"/>
  <c r="D155" i="9"/>
  <c r="E155" i="9"/>
  <c r="B156" i="9"/>
  <c r="C156" i="9"/>
  <c r="D156" i="9"/>
  <c r="E156" i="9"/>
  <c r="B157" i="9"/>
  <c r="C157" i="9"/>
  <c r="D157" i="9"/>
  <c r="E157" i="9"/>
  <c r="B158" i="9"/>
  <c r="C158" i="9"/>
  <c r="D158" i="9"/>
  <c r="E158" i="9"/>
  <c r="B159" i="9"/>
  <c r="C159" i="9"/>
  <c r="D159" i="9"/>
  <c r="E159" i="9"/>
  <c r="B160" i="9"/>
  <c r="C160" i="9"/>
  <c r="D160" i="9"/>
  <c r="E160" i="9"/>
  <c r="B161" i="9"/>
  <c r="C161" i="9"/>
  <c r="D161" i="9"/>
  <c r="E161" i="9"/>
  <c r="B162" i="9"/>
  <c r="C162" i="9"/>
  <c r="D162" i="9"/>
  <c r="E162" i="9"/>
  <c r="B163" i="9"/>
  <c r="C163" i="9"/>
  <c r="D163" i="9"/>
  <c r="E163" i="9"/>
  <c r="B164" i="9"/>
  <c r="C164" i="9"/>
  <c r="D164" i="9"/>
  <c r="E164" i="9"/>
  <c r="B165" i="9"/>
  <c r="C165" i="9"/>
  <c r="D165" i="9"/>
  <c r="E165" i="9"/>
  <c r="B166" i="9"/>
  <c r="C166" i="9"/>
  <c r="D166" i="9"/>
  <c r="E166" i="9"/>
  <c r="B167" i="9"/>
  <c r="C167" i="9"/>
  <c r="D167" i="9"/>
  <c r="E167" i="9"/>
  <c r="B168" i="9"/>
  <c r="C168" i="9"/>
  <c r="D168" i="9"/>
  <c r="E168" i="9"/>
  <c r="B169" i="9"/>
  <c r="C169" i="9"/>
  <c r="D169" i="9"/>
  <c r="E169" i="9"/>
  <c r="B170" i="9"/>
  <c r="C170" i="9"/>
  <c r="D170" i="9"/>
  <c r="E170" i="9"/>
  <c r="B171" i="9"/>
  <c r="C171" i="9"/>
  <c r="D171" i="9"/>
  <c r="E171" i="9"/>
  <c r="B172" i="9"/>
  <c r="C172" i="9"/>
  <c r="D172" i="9"/>
  <c r="E172" i="9"/>
  <c r="B173" i="9"/>
  <c r="C173" i="9"/>
  <c r="D173" i="9"/>
  <c r="E173" i="9"/>
  <c r="B174" i="9"/>
  <c r="C174" i="9"/>
  <c r="D174" i="9"/>
  <c r="E174" i="9"/>
  <c r="B175" i="9"/>
  <c r="C175" i="9"/>
  <c r="D175" i="9"/>
  <c r="E175" i="9"/>
  <c r="B176" i="9"/>
  <c r="C176" i="9"/>
  <c r="D176" i="9"/>
  <c r="E176" i="9"/>
  <c r="B177" i="9"/>
  <c r="C177" i="9"/>
  <c r="D177" i="9"/>
  <c r="E177" i="9"/>
  <c r="B178" i="9"/>
  <c r="C178" i="9"/>
  <c r="D178" i="9"/>
  <c r="E178" i="9"/>
  <c r="B179" i="9"/>
  <c r="C179" i="9"/>
  <c r="D179" i="9"/>
  <c r="E179" i="9"/>
  <c r="B180" i="9"/>
  <c r="C180" i="9"/>
  <c r="D180" i="9"/>
  <c r="E180" i="9"/>
  <c r="B181" i="9"/>
  <c r="C181" i="9"/>
  <c r="D181" i="9"/>
  <c r="E181" i="9"/>
  <c r="B182" i="9"/>
  <c r="C182" i="9"/>
  <c r="D182" i="9"/>
  <c r="E182" i="9"/>
  <c r="B183" i="9"/>
  <c r="C183" i="9"/>
  <c r="D183" i="9"/>
  <c r="E183" i="9"/>
  <c r="B184" i="9"/>
  <c r="C184" i="9"/>
  <c r="D184" i="9"/>
  <c r="E184" i="9"/>
  <c r="B185" i="9"/>
  <c r="C185" i="9"/>
  <c r="D185" i="9"/>
  <c r="E185" i="9"/>
  <c r="B186" i="9"/>
  <c r="C186" i="9"/>
  <c r="D186" i="9"/>
  <c r="E186" i="9"/>
  <c r="B187" i="9"/>
  <c r="C187" i="9"/>
  <c r="D187" i="9"/>
  <c r="E187"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D194" i="9"/>
  <c r="E194" i="9"/>
  <c r="B195" i="9"/>
  <c r="C195" i="9"/>
  <c r="D195" i="9"/>
  <c r="E195" i="9"/>
  <c r="B196" i="9"/>
  <c r="C196" i="9"/>
  <c r="D196" i="9"/>
  <c r="E196" i="9"/>
  <c r="B197" i="9"/>
  <c r="C197" i="9"/>
  <c r="D197" i="9"/>
  <c r="E197" i="9"/>
  <c r="B198" i="9"/>
  <c r="C198" i="9"/>
  <c r="D198" i="9"/>
  <c r="E198" i="9"/>
  <c r="B199" i="9"/>
  <c r="C199" i="9"/>
  <c r="D199" i="9"/>
  <c r="E199" i="9"/>
  <c r="B200" i="9"/>
  <c r="C200" i="9"/>
  <c r="D200" i="9"/>
  <c r="E200" i="9"/>
  <c r="B201" i="9"/>
  <c r="C201" i="9"/>
  <c r="D201" i="9"/>
  <c r="E201" i="9"/>
  <c r="B202" i="9"/>
  <c r="C202" i="9"/>
  <c r="D202" i="9"/>
  <c r="E202" i="9"/>
  <c r="B203" i="9"/>
  <c r="C203" i="9"/>
  <c r="D203" i="9"/>
  <c r="E203" i="9"/>
  <c r="B204" i="9"/>
  <c r="C204" i="9"/>
  <c r="D204" i="9"/>
  <c r="E204" i="9"/>
  <c r="B205" i="9"/>
  <c r="C205" i="9"/>
  <c r="D205" i="9"/>
  <c r="E205" i="9"/>
  <c r="B206" i="9"/>
  <c r="C206" i="9"/>
  <c r="D206" i="9"/>
  <c r="E206" i="9"/>
  <c r="B207" i="9"/>
  <c r="C207" i="9"/>
  <c r="D207" i="9"/>
  <c r="E207" i="9"/>
  <c r="B208" i="9"/>
  <c r="C208" i="9"/>
  <c r="D208" i="9"/>
  <c r="E208" i="9"/>
  <c r="B209" i="9"/>
  <c r="C209" i="9"/>
  <c r="D209" i="9"/>
  <c r="E209" i="9"/>
  <c r="B210" i="9"/>
  <c r="C210" i="9"/>
  <c r="D210" i="9"/>
  <c r="E210" i="9"/>
  <c r="B211" i="9"/>
  <c r="C211" i="9"/>
  <c r="D211" i="9"/>
  <c r="E211" i="9"/>
  <c r="B212" i="9"/>
  <c r="C212" i="9"/>
  <c r="D212" i="9"/>
  <c r="E212" i="9"/>
  <c r="B213" i="9"/>
  <c r="C213" i="9"/>
  <c r="D213" i="9"/>
  <c r="E213" i="9"/>
  <c r="B214" i="9"/>
  <c r="C214" i="9"/>
  <c r="D214" i="9"/>
  <c r="E214" i="9"/>
  <c r="B215" i="9"/>
  <c r="C215" i="9"/>
  <c r="D215" i="9"/>
  <c r="E215" i="9"/>
  <c r="B216" i="9"/>
  <c r="C216" i="9"/>
  <c r="D216" i="9"/>
  <c r="E216" i="9"/>
  <c r="B217" i="9"/>
  <c r="C217" i="9"/>
  <c r="D217" i="9"/>
  <c r="E217" i="9"/>
  <c r="B218" i="9"/>
  <c r="C218" i="9"/>
  <c r="D218" i="9"/>
  <c r="E218" i="9"/>
  <c r="B219" i="9"/>
  <c r="C219" i="9"/>
  <c r="D219" i="9"/>
  <c r="E219" i="9"/>
  <c r="B220" i="9"/>
  <c r="C220" i="9"/>
  <c r="D220" i="9"/>
  <c r="E220" i="9"/>
  <c r="B221" i="9"/>
  <c r="C221" i="9"/>
  <c r="D221" i="9"/>
  <c r="E221" i="9"/>
  <c r="B222" i="9"/>
  <c r="C222" i="9"/>
  <c r="D222" i="9"/>
  <c r="E222" i="9"/>
  <c r="B223" i="9"/>
  <c r="C223" i="9"/>
  <c r="D223" i="9"/>
  <c r="E223" i="9"/>
  <c r="B224" i="9"/>
  <c r="C224" i="9"/>
  <c r="D224" i="9"/>
  <c r="E224" i="9"/>
  <c r="B225" i="9"/>
  <c r="C225" i="9"/>
  <c r="D225" i="9"/>
  <c r="E225" i="9"/>
  <c r="B226" i="9"/>
  <c r="C226" i="9"/>
  <c r="D226" i="9"/>
  <c r="E226" i="9"/>
  <c r="B227" i="9"/>
  <c r="C227" i="9"/>
  <c r="D227" i="9"/>
  <c r="E227" i="9"/>
  <c r="B228" i="9"/>
  <c r="C228" i="9"/>
  <c r="D228" i="9"/>
  <c r="E228" i="9"/>
  <c r="B229" i="9"/>
  <c r="C229" i="9"/>
  <c r="D229" i="9"/>
  <c r="E229" i="9"/>
  <c r="B230" i="9"/>
  <c r="C230" i="9"/>
  <c r="D230" i="9"/>
  <c r="E230" i="9"/>
  <c r="B231" i="9"/>
  <c r="C231" i="9"/>
  <c r="D231" i="9"/>
  <c r="E231" i="9"/>
  <c r="B232" i="9"/>
  <c r="C232" i="9"/>
  <c r="D232" i="9"/>
  <c r="E232" i="9"/>
  <c r="B233" i="9"/>
  <c r="C233" i="9"/>
  <c r="D233" i="9"/>
  <c r="E233" i="9"/>
  <c r="B234" i="9"/>
  <c r="C234" i="9"/>
  <c r="D234" i="9"/>
  <c r="E234" i="9"/>
  <c r="B235" i="9"/>
  <c r="C235" i="9"/>
  <c r="D235" i="9"/>
  <c r="E235" i="9"/>
  <c r="B236" i="9"/>
  <c r="C236" i="9"/>
  <c r="D236" i="9"/>
  <c r="E236" i="9"/>
  <c r="B237" i="9"/>
  <c r="C237" i="9"/>
  <c r="D237" i="9"/>
  <c r="E237" i="9"/>
  <c r="B238" i="9"/>
  <c r="C238" i="9"/>
  <c r="D238" i="9"/>
  <c r="E238" i="9"/>
  <c r="B239" i="9"/>
  <c r="C239" i="9"/>
  <c r="D239" i="9"/>
  <c r="E239" i="9"/>
  <c r="B240" i="9"/>
  <c r="C240" i="9"/>
  <c r="D240" i="9"/>
  <c r="E240" i="9"/>
  <c r="B241" i="9"/>
  <c r="C241" i="9"/>
  <c r="D241" i="9"/>
  <c r="E241" i="9"/>
  <c r="B242" i="9"/>
  <c r="C242" i="9"/>
  <c r="D242" i="9"/>
  <c r="E242" i="9"/>
  <c r="B243" i="9"/>
  <c r="C243" i="9"/>
  <c r="D243" i="9"/>
  <c r="E243" i="9"/>
  <c r="B244" i="9"/>
  <c r="C244" i="9"/>
  <c r="D244" i="9"/>
  <c r="E244" i="9"/>
  <c r="B245" i="9"/>
  <c r="C245" i="9"/>
  <c r="D245" i="9"/>
  <c r="E245" i="9"/>
  <c r="B246" i="9"/>
  <c r="C246" i="9"/>
  <c r="D246" i="9"/>
  <c r="E246" i="9"/>
  <c r="B247" i="9"/>
  <c r="C247" i="9"/>
  <c r="D247" i="9"/>
  <c r="E247" i="9"/>
  <c r="B248" i="9"/>
  <c r="C248" i="9"/>
  <c r="D248" i="9"/>
  <c r="E248" i="9"/>
  <c r="B249" i="9"/>
  <c r="C249" i="9"/>
  <c r="D249" i="9"/>
  <c r="E249" i="9"/>
  <c r="B250" i="9"/>
  <c r="C250" i="9"/>
  <c r="D250" i="9"/>
  <c r="E250" i="9"/>
  <c r="B251" i="9"/>
  <c r="C251" i="9"/>
  <c r="D251" i="9"/>
  <c r="E251" i="9"/>
  <c r="B252" i="9"/>
  <c r="C252" i="9"/>
  <c r="D252" i="9"/>
  <c r="E252" i="9"/>
  <c r="B253" i="9"/>
  <c r="C253" i="9"/>
  <c r="D253" i="9"/>
  <c r="E253" i="9"/>
  <c r="B254" i="9"/>
  <c r="C254" i="9"/>
  <c r="D254" i="9"/>
  <c r="E254" i="9"/>
  <c r="B255" i="9"/>
  <c r="C255" i="9"/>
  <c r="D255" i="9"/>
  <c r="E255" i="9"/>
  <c r="B256" i="9"/>
  <c r="C256" i="9"/>
  <c r="D256" i="9"/>
  <c r="E256" i="9"/>
  <c r="B257" i="9"/>
  <c r="C257" i="9"/>
  <c r="D257" i="9"/>
  <c r="E257" i="9"/>
  <c r="B258" i="9"/>
  <c r="C258" i="9"/>
  <c r="D258" i="9"/>
  <c r="E258" i="9"/>
  <c r="B259" i="9"/>
  <c r="C259" i="9"/>
  <c r="D259" i="9"/>
  <c r="E259" i="9"/>
  <c r="B260" i="9"/>
  <c r="C260" i="9"/>
  <c r="D260" i="9"/>
  <c r="E260" i="9"/>
  <c r="B261" i="9"/>
  <c r="C261" i="9"/>
  <c r="D261" i="9"/>
  <c r="E261" i="9"/>
  <c r="B262" i="9"/>
  <c r="C262" i="9"/>
  <c r="D262" i="9"/>
  <c r="E262" i="9"/>
  <c r="B263" i="9"/>
  <c r="C263" i="9"/>
  <c r="D263" i="9"/>
  <c r="E263" i="9"/>
  <c r="B264" i="9"/>
  <c r="C264" i="9"/>
  <c r="D264" i="9"/>
  <c r="E264" i="9"/>
  <c r="B265" i="9"/>
  <c r="C265" i="9"/>
  <c r="D265" i="9"/>
  <c r="E265" i="9"/>
  <c r="B266" i="9"/>
  <c r="C266" i="9"/>
  <c r="D266" i="9"/>
  <c r="E266" i="9"/>
  <c r="B267" i="9"/>
  <c r="C267" i="9"/>
  <c r="D267" i="9"/>
  <c r="E267" i="9"/>
  <c r="B268" i="9"/>
  <c r="C268" i="9"/>
  <c r="D268" i="9"/>
  <c r="E268" i="9"/>
  <c r="B269" i="9"/>
  <c r="C269" i="9"/>
  <c r="D269" i="9"/>
  <c r="E269" i="9"/>
  <c r="B270" i="9"/>
  <c r="C270" i="9"/>
  <c r="D270" i="9"/>
  <c r="E270" i="9"/>
  <c r="B271" i="9"/>
  <c r="C271" i="9"/>
  <c r="D271" i="9"/>
  <c r="E271" i="9"/>
  <c r="B272" i="9"/>
  <c r="C272" i="9"/>
  <c r="D272" i="9"/>
  <c r="E272" i="9"/>
  <c r="B273" i="9"/>
  <c r="C273" i="9"/>
  <c r="D273" i="9"/>
  <c r="E273" i="9"/>
  <c r="B274" i="9"/>
  <c r="C274" i="9"/>
  <c r="D274" i="9"/>
  <c r="E274" i="9"/>
  <c r="B275" i="9"/>
  <c r="C275" i="9"/>
  <c r="D275" i="9"/>
  <c r="E275" i="9"/>
  <c r="B276" i="9"/>
  <c r="C276" i="9"/>
  <c r="D276" i="9"/>
  <c r="E276" i="9"/>
  <c r="B277" i="9"/>
  <c r="C277" i="9"/>
  <c r="D277" i="9"/>
  <c r="E277" i="9"/>
  <c r="B278" i="9"/>
  <c r="C278" i="9"/>
  <c r="D278" i="9"/>
  <c r="E278" i="9"/>
  <c r="B279" i="9"/>
  <c r="C279" i="9"/>
  <c r="D279" i="9"/>
  <c r="E279" i="9"/>
  <c r="B280" i="9"/>
  <c r="C280" i="9"/>
  <c r="D280" i="9"/>
  <c r="E280" i="9"/>
  <c r="B281" i="9"/>
  <c r="C281" i="9"/>
  <c r="D281" i="9"/>
  <c r="E281" i="9"/>
  <c r="B282" i="9"/>
  <c r="C282" i="9"/>
  <c r="D282" i="9"/>
  <c r="E282" i="9"/>
  <c r="B283" i="9"/>
  <c r="C283" i="9"/>
  <c r="D283" i="9"/>
  <c r="E283" i="9"/>
  <c r="B284" i="9"/>
  <c r="C284" i="9"/>
  <c r="D284" i="9"/>
  <c r="E284" i="9"/>
  <c r="B285" i="9"/>
  <c r="C285" i="9"/>
  <c r="D285" i="9"/>
  <c r="E285" i="9"/>
  <c r="B286" i="9"/>
  <c r="C286" i="9"/>
  <c r="D286" i="9"/>
  <c r="E286" i="9"/>
  <c r="B287" i="9"/>
  <c r="C287" i="9"/>
  <c r="D287" i="9"/>
  <c r="E287" i="9"/>
  <c r="B288" i="9"/>
  <c r="C288" i="9"/>
  <c r="D288" i="9"/>
  <c r="E288" i="9"/>
  <c r="B289" i="9"/>
  <c r="C289" i="9"/>
  <c r="D289" i="9"/>
  <c r="E289" i="9"/>
  <c r="B290" i="9"/>
  <c r="C290" i="9"/>
  <c r="D290" i="9"/>
  <c r="E290" i="9"/>
  <c r="B291" i="9"/>
  <c r="C291" i="9"/>
  <c r="D291" i="9"/>
  <c r="E291" i="9"/>
  <c r="B292" i="9"/>
  <c r="C292" i="9"/>
  <c r="D292" i="9"/>
  <c r="E292" i="9"/>
  <c r="B293" i="9"/>
  <c r="C293" i="9"/>
  <c r="D293" i="9"/>
  <c r="E293" i="9"/>
  <c r="B294" i="9"/>
  <c r="C294" i="9"/>
  <c r="D294" i="9"/>
  <c r="E294" i="9"/>
  <c r="B295" i="9"/>
  <c r="C295" i="9"/>
  <c r="D295" i="9"/>
  <c r="E295" i="9"/>
  <c r="B296" i="9"/>
  <c r="C296" i="9"/>
  <c r="D296" i="9"/>
  <c r="E296" i="9"/>
  <c r="B297" i="9"/>
  <c r="C297" i="9"/>
  <c r="D297" i="9"/>
  <c r="E297" i="9"/>
  <c r="B298" i="9"/>
  <c r="C298" i="9"/>
  <c r="D298" i="9"/>
  <c r="E298" i="9"/>
  <c r="B299" i="9"/>
  <c r="C299" i="9"/>
  <c r="D299" i="9"/>
  <c r="E299" i="9"/>
  <c r="B300" i="9"/>
  <c r="C300" i="9"/>
  <c r="D300" i="9"/>
  <c r="E300" i="9"/>
  <c r="B301" i="9"/>
  <c r="C301" i="9"/>
  <c r="D301" i="9"/>
  <c r="E301" i="9"/>
  <c r="B302" i="9"/>
  <c r="C302" i="9"/>
  <c r="D302" i="9"/>
  <c r="E302" i="9"/>
  <c r="B303" i="9"/>
  <c r="C303" i="9"/>
  <c r="D303" i="9"/>
  <c r="E303" i="9"/>
  <c r="B304" i="9"/>
  <c r="C304" i="9"/>
  <c r="D304" i="9"/>
  <c r="E304" i="9"/>
  <c r="B305" i="9"/>
  <c r="C305" i="9"/>
  <c r="D305" i="9"/>
  <c r="E305" i="9"/>
  <c r="B306" i="9"/>
  <c r="C306" i="9"/>
  <c r="D306" i="9"/>
  <c r="E306" i="9"/>
  <c r="B307" i="9"/>
  <c r="C307" i="9"/>
  <c r="D307" i="9"/>
  <c r="E307" i="9"/>
  <c r="B308" i="9"/>
  <c r="C308" i="9"/>
  <c r="D308" i="9"/>
  <c r="E308" i="9"/>
  <c r="B309" i="9"/>
  <c r="C309" i="9"/>
  <c r="D309" i="9"/>
  <c r="E309" i="9"/>
  <c r="B310" i="9"/>
  <c r="C310" i="9"/>
  <c r="D310" i="9"/>
  <c r="E310" i="9"/>
  <c r="B311" i="9"/>
  <c r="C311" i="9"/>
  <c r="D311" i="9"/>
  <c r="E311" i="9"/>
  <c r="B312" i="9"/>
  <c r="C312" i="9"/>
  <c r="D312" i="9"/>
  <c r="E312" i="9"/>
  <c r="B313" i="9"/>
  <c r="C313" i="9"/>
  <c r="D313" i="9"/>
  <c r="E313" i="9"/>
  <c r="B314" i="9"/>
  <c r="C314" i="9"/>
  <c r="D314" i="9"/>
  <c r="E314" i="9"/>
  <c r="B315" i="9"/>
  <c r="C315" i="9"/>
  <c r="D315" i="9"/>
  <c r="E315" i="9"/>
  <c r="B316" i="9"/>
  <c r="C316" i="9"/>
  <c r="D316" i="9"/>
  <c r="E316" i="9"/>
  <c r="B317" i="9"/>
  <c r="C317" i="9"/>
  <c r="D317" i="9"/>
  <c r="E317" i="9"/>
  <c r="B318" i="9"/>
  <c r="C318" i="9"/>
  <c r="D318" i="9"/>
  <c r="E318" i="9"/>
  <c r="B319" i="9"/>
  <c r="C319" i="9"/>
  <c r="D319" i="9"/>
  <c r="E319" i="9"/>
  <c r="B320" i="9"/>
  <c r="C320" i="9"/>
  <c r="D320" i="9"/>
  <c r="E320" i="9"/>
  <c r="B321" i="9"/>
  <c r="C321" i="9"/>
  <c r="D321" i="9"/>
  <c r="E321" i="9"/>
  <c r="B322" i="9"/>
  <c r="C322" i="9"/>
  <c r="D322" i="9"/>
  <c r="E322" i="9"/>
  <c r="B323" i="9"/>
  <c r="C323" i="9"/>
  <c r="D323" i="9"/>
  <c r="E323" i="9"/>
  <c r="B324" i="9"/>
  <c r="C324" i="9"/>
  <c r="D324" i="9"/>
  <c r="E324" i="9"/>
  <c r="B325" i="9"/>
  <c r="C325" i="9"/>
  <c r="D325" i="9"/>
  <c r="E325" i="9"/>
  <c r="B326" i="9"/>
  <c r="C326" i="9"/>
  <c r="D326" i="9"/>
  <c r="E326" i="9"/>
  <c r="B327" i="9"/>
  <c r="C327" i="9"/>
  <c r="D327" i="9"/>
  <c r="E327" i="9"/>
  <c r="B328" i="9"/>
  <c r="C328" i="9"/>
  <c r="D328" i="9"/>
  <c r="E328" i="9"/>
  <c r="B329" i="9"/>
  <c r="C329" i="9"/>
  <c r="D329" i="9"/>
  <c r="E329" i="9"/>
  <c r="B330" i="9"/>
  <c r="C330" i="9"/>
  <c r="D330" i="9"/>
  <c r="E330" i="9"/>
  <c r="B331" i="9"/>
  <c r="C331" i="9"/>
  <c r="D331" i="9"/>
  <c r="E331" i="9"/>
  <c r="B332" i="9"/>
  <c r="C332" i="9"/>
  <c r="D332" i="9"/>
  <c r="E332" i="9"/>
  <c r="B333" i="9"/>
  <c r="C333" i="9"/>
  <c r="D333" i="9"/>
  <c r="E333" i="9"/>
  <c r="B334" i="9"/>
  <c r="C334" i="9"/>
  <c r="D334" i="9"/>
  <c r="E334" i="9"/>
  <c r="B335" i="9"/>
  <c r="C335" i="9"/>
  <c r="D335" i="9"/>
  <c r="E335" i="9"/>
  <c r="B336" i="9"/>
  <c r="C336" i="9"/>
  <c r="D336" i="9"/>
  <c r="E336" i="9"/>
  <c r="B337" i="9"/>
  <c r="C337" i="9"/>
  <c r="D337" i="9"/>
  <c r="E337" i="9"/>
  <c r="B338" i="9"/>
  <c r="C338" i="9"/>
  <c r="D338" i="9"/>
  <c r="E338" i="9"/>
  <c r="B339" i="9"/>
  <c r="C339" i="9"/>
  <c r="D339" i="9"/>
  <c r="E339" i="9"/>
  <c r="B340" i="9"/>
  <c r="C340" i="9"/>
  <c r="D340" i="9"/>
  <c r="E340" i="9"/>
  <c r="B341" i="9"/>
  <c r="C341" i="9"/>
  <c r="D341" i="9"/>
  <c r="E341" i="9"/>
  <c r="B342" i="9"/>
  <c r="C342" i="9"/>
  <c r="D342" i="9"/>
  <c r="E342" i="9"/>
  <c r="B343" i="9"/>
  <c r="C343" i="9"/>
  <c r="D343" i="9"/>
  <c r="E343" i="9"/>
  <c r="B344" i="9"/>
  <c r="C344" i="9"/>
  <c r="D344" i="9"/>
  <c r="E344" i="9"/>
  <c r="B345" i="9"/>
  <c r="C345" i="9"/>
  <c r="D345" i="9"/>
  <c r="E345" i="9"/>
  <c r="B346" i="9"/>
  <c r="C346" i="9"/>
  <c r="D346" i="9"/>
  <c r="E346" i="9"/>
  <c r="B347" i="9"/>
  <c r="C347" i="9"/>
  <c r="D347" i="9"/>
  <c r="E347" i="9"/>
  <c r="B348" i="9"/>
  <c r="C348" i="9"/>
  <c r="D348" i="9"/>
  <c r="E348" i="9"/>
  <c r="B349" i="9"/>
  <c r="C349" i="9"/>
  <c r="D349" i="9"/>
  <c r="E349" i="9"/>
  <c r="B350" i="9"/>
  <c r="C350" i="9"/>
  <c r="D350" i="9"/>
  <c r="E350" i="9"/>
  <c r="B351" i="9"/>
  <c r="C351" i="9"/>
  <c r="D351" i="9"/>
  <c r="E351" i="9"/>
  <c r="B352" i="9"/>
  <c r="C352" i="9"/>
  <c r="D352" i="9"/>
  <c r="E352" i="9"/>
  <c r="B353" i="9"/>
  <c r="C353" i="9"/>
  <c r="D353" i="9"/>
  <c r="E353" i="9"/>
  <c r="B354" i="9"/>
  <c r="C354" i="9"/>
  <c r="D354" i="9"/>
  <c r="E354" i="9"/>
  <c r="B355" i="9"/>
  <c r="C355" i="9"/>
  <c r="D355" i="9"/>
  <c r="E355" i="9"/>
  <c r="B356" i="9"/>
  <c r="C356" i="9"/>
  <c r="D356" i="9"/>
  <c r="E356" i="9"/>
  <c r="B357" i="9"/>
  <c r="C357" i="9"/>
  <c r="D357" i="9"/>
  <c r="E357" i="9"/>
  <c r="B358" i="9"/>
  <c r="C358" i="9"/>
  <c r="D358" i="9"/>
  <c r="E358" i="9"/>
  <c r="B359" i="9"/>
  <c r="C359" i="9"/>
  <c r="D359" i="9"/>
  <c r="E359" i="9"/>
  <c r="B360" i="9"/>
  <c r="C360" i="9"/>
  <c r="D360" i="9"/>
  <c r="E360" i="9"/>
  <c r="B361" i="9"/>
  <c r="C361" i="9"/>
  <c r="D361" i="9"/>
  <c r="E361" i="9"/>
  <c r="B362" i="9"/>
  <c r="C362" i="9"/>
  <c r="D362" i="9"/>
  <c r="E362" i="9"/>
  <c r="B363" i="9"/>
  <c r="C363" i="9"/>
  <c r="D363" i="9"/>
  <c r="E363" i="9"/>
  <c r="B364" i="9"/>
  <c r="C364" i="9"/>
  <c r="D364" i="9"/>
  <c r="E364" i="9"/>
  <c r="B365" i="9"/>
  <c r="C365" i="9"/>
  <c r="D365" i="9"/>
  <c r="E365" i="9"/>
  <c r="B366" i="9"/>
  <c r="C366" i="9"/>
  <c r="D366" i="9"/>
  <c r="E366" i="9"/>
  <c r="B367" i="9"/>
  <c r="C367" i="9"/>
  <c r="D367" i="9"/>
  <c r="E367" i="9"/>
  <c r="B368" i="9"/>
  <c r="C368" i="9"/>
  <c r="D368" i="9"/>
  <c r="E368" i="9"/>
  <c r="B369" i="9"/>
  <c r="C369" i="9"/>
  <c r="D369" i="9"/>
  <c r="E369" i="9"/>
  <c r="B370" i="9"/>
  <c r="C370" i="9"/>
  <c r="D370" i="9"/>
  <c r="E370" i="9"/>
  <c r="B371" i="9"/>
  <c r="C371" i="9"/>
  <c r="D371" i="9"/>
  <c r="E371" i="9"/>
  <c r="B372" i="9"/>
  <c r="C372" i="9"/>
  <c r="D372" i="9"/>
  <c r="E372" i="9"/>
  <c r="B373" i="9"/>
  <c r="C373" i="9"/>
  <c r="D373" i="9"/>
  <c r="E373" i="9"/>
  <c r="B374" i="9"/>
  <c r="C374" i="9"/>
  <c r="D374" i="9"/>
  <c r="E374" i="9"/>
  <c r="B375" i="9"/>
  <c r="C375" i="9"/>
  <c r="D375" i="9"/>
  <c r="E375" i="9"/>
  <c r="B376" i="9"/>
  <c r="C376" i="9"/>
  <c r="D376" i="9"/>
  <c r="E376" i="9"/>
  <c r="B377" i="9"/>
  <c r="C377" i="9"/>
  <c r="D377" i="9"/>
  <c r="E377" i="9"/>
  <c r="B378" i="9"/>
  <c r="C378" i="9"/>
  <c r="D378" i="9"/>
  <c r="E378" i="9"/>
  <c r="B379" i="9"/>
  <c r="C379" i="9"/>
  <c r="D379" i="9"/>
  <c r="E379" i="9"/>
  <c r="B380" i="9"/>
  <c r="C380" i="9"/>
  <c r="D380" i="9"/>
  <c r="E380" i="9"/>
  <c r="B381" i="9"/>
  <c r="C381" i="9"/>
  <c r="D381" i="9"/>
  <c r="E381" i="9"/>
  <c r="B382" i="9"/>
  <c r="C382" i="9"/>
  <c r="D382" i="9"/>
  <c r="E382" i="9"/>
  <c r="B383" i="9"/>
  <c r="C383" i="9"/>
  <c r="D383" i="9"/>
  <c r="E383" i="9"/>
  <c r="B384" i="9"/>
  <c r="C384" i="9"/>
  <c r="D384" i="9"/>
  <c r="E384" i="9"/>
  <c r="B385" i="9"/>
  <c r="C385" i="9"/>
  <c r="D385" i="9"/>
  <c r="E385" i="9"/>
  <c r="B386" i="9"/>
  <c r="C386" i="9"/>
  <c r="D386" i="9"/>
  <c r="E386" i="9"/>
  <c r="B387" i="9"/>
  <c r="C387" i="9"/>
  <c r="D387" i="9"/>
  <c r="E387" i="9"/>
  <c r="B388" i="9"/>
  <c r="C388" i="9"/>
  <c r="D388" i="9"/>
  <c r="E388" i="9"/>
  <c r="B389" i="9"/>
  <c r="C389" i="9"/>
  <c r="D389" i="9"/>
  <c r="E389" i="9"/>
  <c r="B390" i="9"/>
  <c r="C390" i="9"/>
  <c r="D390" i="9"/>
  <c r="E390" i="9"/>
  <c r="B391" i="9"/>
  <c r="C391" i="9"/>
  <c r="D391" i="9"/>
  <c r="E391" i="9"/>
  <c r="B392" i="9"/>
  <c r="C392" i="9"/>
  <c r="D392" i="9"/>
  <c r="E392" i="9"/>
  <c r="B393" i="9"/>
  <c r="C393" i="9"/>
  <c r="D393" i="9"/>
  <c r="E393" i="9"/>
  <c r="B394" i="9"/>
  <c r="C394" i="9"/>
  <c r="D394" i="9"/>
  <c r="E394" i="9"/>
  <c r="B395" i="9"/>
  <c r="C395" i="9"/>
  <c r="D395" i="9"/>
  <c r="E395" i="9"/>
  <c r="B396" i="9"/>
  <c r="C396" i="9"/>
  <c r="D396" i="9"/>
  <c r="E396" i="9"/>
  <c r="B397" i="9"/>
  <c r="C397" i="9"/>
  <c r="D397" i="9"/>
  <c r="E397" i="9"/>
  <c r="B398" i="9"/>
  <c r="C398" i="9"/>
  <c r="D398" i="9"/>
  <c r="E398" i="9"/>
  <c r="B399" i="9"/>
  <c r="C399" i="9"/>
  <c r="D399" i="9"/>
  <c r="E399" i="9"/>
  <c r="B400" i="9"/>
  <c r="C400" i="9"/>
  <c r="D400" i="9"/>
  <c r="E400" i="9"/>
  <c r="B401" i="9"/>
  <c r="C401" i="9"/>
  <c r="D401" i="9"/>
  <c r="E401" i="9"/>
  <c r="B402" i="9"/>
  <c r="C402" i="9"/>
  <c r="D402" i="9"/>
  <c r="E402" i="9"/>
  <c r="B403" i="9"/>
  <c r="C403" i="9"/>
  <c r="D403" i="9"/>
  <c r="E403" i="9"/>
  <c r="B404" i="9"/>
  <c r="C404" i="9"/>
  <c r="D404" i="9"/>
  <c r="E404" i="9"/>
  <c r="B405" i="9"/>
  <c r="C405" i="9"/>
  <c r="D405" i="9"/>
  <c r="E405" i="9"/>
  <c r="B406" i="9"/>
  <c r="C406" i="9"/>
  <c r="D406" i="9"/>
  <c r="E406" i="9"/>
  <c r="B407" i="9"/>
  <c r="C407" i="9"/>
  <c r="D407" i="9"/>
  <c r="E407" i="9"/>
  <c r="B408" i="9"/>
  <c r="C408" i="9"/>
  <c r="D408" i="9"/>
  <c r="E408" i="9"/>
  <c r="B409" i="9"/>
  <c r="C409" i="9"/>
  <c r="D409" i="9"/>
  <c r="E409" i="9"/>
  <c r="B410" i="9"/>
  <c r="C410" i="9"/>
  <c r="D410" i="9"/>
  <c r="E410" i="9"/>
  <c r="B411" i="9"/>
  <c r="C411" i="9"/>
  <c r="D411" i="9"/>
  <c r="E411" i="9"/>
  <c r="B412" i="9"/>
  <c r="C412" i="9"/>
  <c r="D412" i="9"/>
  <c r="E412" i="9"/>
  <c r="B413" i="9"/>
  <c r="C413" i="9"/>
  <c r="D413" i="9"/>
  <c r="E413" i="9"/>
  <c r="B414" i="9"/>
  <c r="C414" i="9"/>
  <c r="D414" i="9"/>
  <c r="E414" i="9"/>
  <c r="B415" i="9"/>
  <c r="C415" i="9"/>
  <c r="D415" i="9"/>
  <c r="E415" i="9"/>
  <c r="B416" i="9"/>
  <c r="C416" i="9"/>
  <c r="D416" i="9"/>
  <c r="E416" i="9"/>
  <c r="B417" i="9"/>
  <c r="C417" i="9"/>
  <c r="D417" i="9"/>
  <c r="E417" i="9"/>
  <c r="B418" i="9"/>
  <c r="C418" i="9"/>
  <c r="D418" i="9"/>
  <c r="E418" i="9"/>
  <c r="B3" i="17" l="1"/>
  <c r="C3" i="17"/>
  <c r="D3" i="17"/>
  <c r="E3" i="17"/>
  <c r="F3" i="17"/>
  <c r="B4" i="17"/>
  <c r="C4" i="17"/>
  <c r="D4" i="17"/>
  <c r="E4" i="17"/>
  <c r="F4" i="17"/>
  <c r="B5" i="17"/>
  <c r="C5" i="17"/>
  <c r="D5" i="17"/>
  <c r="E5" i="17"/>
  <c r="F5" i="17"/>
  <c r="B6" i="17"/>
  <c r="C6" i="17"/>
  <c r="D6" i="17"/>
  <c r="E6" i="17"/>
  <c r="F6" i="17"/>
  <c r="B7" i="17"/>
  <c r="C7" i="17"/>
  <c r="D7" i="17"/>
  <c r="E7" i="17"/>
  <c r="F7" i="17"/>
  <c r="B8" i="17"/>
  <c r="C8" i="17"/>
  <c r="D8" i="17"/>
  <c r="E8" i="17"/>
  <c r="F8" i="17"/>
  <c r="B9" i="17"/>
  <c r="C9" i="17"/>
  <c r="D9" i="17"/>
  <c r="E9" i="17"/>
  <c r="F9" i="17"/>
  <c r="B10" i="17"/>
  <c r="C10" i="17"/>
  <c r="D10" i="17"/>
  <c r="E10" i="17"/>
  <c r="F10" i="17"/>
  <c r="B11" i="17"/>
  <c r="C11" i="17"/>
  <c r="D11" i="17"/>
  <c r="E11" i="17"/>
  <c r="F11" i="17"/>
  <c r="B12" i="17"/>
  <c r="C12" i="17"/>
  <c r="D12" i="17"/>
  <c r="E12" i="17"/>
  <c r="F12" i="17"/>
  <c r="B13" i="17"/>
  <c r="C13" i="17"/>
  <c r="D13" i="17"/>
  <c r="E13" i="17"/>
  <c r="F13" i="17"/>
  <c r="B14" i="17"/>
  <c r="C14" i="17"/>
  <c r="D14" i="17"/>
  <c r="E14" i="17"/>
  <c r="F14" i="17"/>
  <c r="B15" i="17"/>
  <c r="C15" i="17"/>
  <c r="D15" i="17"/>
  <c r="E15" i="17"/>
  <c r="F15" i="17"/>
  <c r="B16" i="17"/>
  <c r="C16" i="17"/>
  <c r="D16" i="17"/>
  <c r="E16" i="17"/>
  <c r="F16" i="17"/>
  <c r="B17" i="17"/>
  <c r="C17" i="17"/>
  <c r="D17" i="17"/>
  <c r="E17" i="17"/>
  <c r="F17" i="17"/>
  <c r="B18" i="17"/>
  <c r="C18" i="17"/>
  <c r="D18" i="17"/>
  <c r="E18" i="17"/>
  <c r="F18" i="17"/>
  <c r="B19" i="17"/>
  <c r="C19" i="17"/>
  <c r="D19" i="17"/>
  <c r="E19" i="17"/>
  <c r="F19" i="17"/>
  <c r="B20" i="17"/>
  <c r="C20" i="17"/>
  <c r="D20" i="17"/>
  <c r="E20" i="17"/>
  <c r="F20" i="17"/>
  <c r="B21" i="17"/>
  <c r="C21" i="17"/>
  <c r="D21" i="17"/>
  <c r="E21" i="17"/>
  <c r="F21" i="17"/>
  <c r="B22" i="17"/>
  <c r="C22" i="17"/>
  <c r="D22" i="17"/>
  <c r="E22" i="17"/>
  <c r="F22" i="17"/>
  <c r="B23" i="17"/>
  <c r="C23" i="17"/>
  <c r="D23" i="17"/>
  <c r="E23" i="17"/>
  <c r="F23" i="17"/>
  <c r="B24" i="17"/>
  <c r="C24" i="17"/>
  <c r="D24" i="17"/>
  <c r="E24" i="17"/>
  <c r="F24" i="17"/>
  <c r="B25" i="17"/>
  <c r="C25" i="17"/>
  <c r="D25" i="17"/>
  <c r="E25" i="17"/>
  <c r="F25" i="17"/>
  <c r="B26" i="17"/>
  <c r="C26" i="17"/>
  <c r="D26" i="17"/>
  <c r="E26" i="17"/>
  <c r="F26" i="17"/>
  <c r="B27" i="17"/>
  <c r="C27" i="17"/>
  <c r="D27" i="17"/>
  <c r="E27" i="17"/>
  <c r="F27" i="17"/>
  <c r="B28" i="17"/>
  <c r="C28" i="17"/>
  <c r="D28" i="17"/>
  <c r="E28" i="17"/>
  <c r="F28" i="17"/>
  <c r="B29" i="17"/>
  <c r="C29" i="17"/>
  <c r="D29" i="17"/>
  <c r="E29" i="17"/>
  <c r="F29" i="17"/>
  <c r="B30" i="17"/>
  <c r="C30" i="17"/>
  <c r="D30" i="17"/>
  <c r="E30" i="17"/>
  <c r="F30" i="17"/>
  <c r="B31" i="17"/>
  <c r="C31" i="17"/>
  <c r="D31" i="17"/>
  <c r="E31" i="17"/>
  <c r="F31" i="17"/>
  <c r="B32" i="17"/>
  <c r="C32" i="17"/>
  <c r="D32" i="17"/>
  <c r="E32" i="17"/>
  <c r="F32" i="17"/>
  <c r="B33" i="17"/>
  <c r="C33" i="17"/>
  <c r="D33" i="17"/>
  <c r="E33" i="17"/>
  <c r="F33" i="17"/>
  <c r="B34" i="17"/>
  <c r="C34" i="17"/>
  <c r="D34" i="17"/>
  <c r="E34" i="17"/>
  <c r="F34" i="17"/>
  <c r="B35" i="17"/>
  <c r="C35" i="17"/>
  <c r="D35" i="17"/>
  <c r="E35" i="17"/>
  <c r="F35" i="17"/>
  <c r="B36" i="17"/>
  <c r="C36" i="17"/>
  <c r="D36" i="17"/>
  <c r="E36" i="17"/>
  <c r="F36" i="17"/>
  <c r="B37" i="17"/>
  <c r="C37" i="17"/>
  <c r="D37" i="17"/>
  <c r="E37" i="17"/>
  <c r="F37" i="17"/>
  <c r="B38" i="17"/>
  <c r="C38" i="17"/>
  <c r="D38" i="17"/>
  <c r="E38" i="17"/>
  <c r="F38" i="17"/>
  <c r="B39" i="17"/>
  <c r="C39" i="17"/>
  <c r="D39" i="17"/>
  <c r="E39" i="17"/>
  <c r="F39" i="17"/>
  <c r="B40" i="17"/>
  <c r="C40" i="17"/>
  <c r="D40" i="17"/>
  <c r="E40" i="17"/>
  <c r="F40" i="17"/>
  <c r="B41" i="17"/>
  <c r="C41" i="17"/>
  <c r="D41" i="17"/>
  <c r="E41" i="17"/>
  <c r="F41" i="17"/>
  <c r="B42" i="17"/>
  <c r="C42" i="17"/>
  <c r="D42" i="17"/>
  <c r="E42" i="17"/>
  <c r="F42" i="17"/>
  <c r="B43" i="17"/>
  <c r="C43" i="17"/>
  <c r="D43" i="17"/>
  <c r="E43" i="17"/>
  <c r="F43" i="17"/>
  <c r="B44" i="17"/>
  <c r="C44" i="17"/>
  <c r="D44" i="17"/>
  <c r="E44" i="17"/>
  <c r="F44" i="17"/>
  <c r="B45" i="17"/>
  <c r="C45" i="17"/>
  <c r="D45" i="17"/>
  <c r="E45" i="17"/>
  <c r="F45" i="17"/>
  <c r="B46" i="17"/>
  <c r="C46" i="17"/>
  <c r="D46" i="17"/>
  <c r="E46" i="17"/>
  <c r="F46" i="17"/>
  <c r="B47" i="17"/>
  <c r="C47" i="17"/>
  <c r="D47" i="17"/>
  <c r="E47" i="17"/>
  <c r="F47" i="17"/>
  <c r="B48" i="17"/>
  <c r="C48" i="17"/>
  <c r="D48" i="17"/>
  <c r="E48" i="17"/>
  <c r="F48" i="17"/>
  <c r="B49" i="17"/>
  <c r="C49" i="17"/>
  <c r="D49" i="17"/>
  <c r="E49" i="17"/>
  <c r="F49" i="17"/>
  <c r="B50" i="17"/>
  <c r="C50" i="17"/>
  <c r="D50" i="17"/>
  <c r="E50" i="17"/>
  <c r="F50" i="17"/>
  <c r="B51" i="17"/>
  <c r="C51" i="17"/>
  <c r="D51" i="17"/>
  <c r="E51" i="17"/>
  <c r="F51" i="17"/>
  <c r="B52" i="17"/>
  <c r="C52" i="17"/>
  <c r="D52" i="17"/>
  <c r="E52" i="17"/>
  <c r="F52" i="17"/>
  <c r="B53" i="17"/>
  <c r="C53" i="17"/>
  <c r="D53" i="17"/>
  <c r="E53" i="17"/>
  <c r="F53" i="17"/>
  <c r="B54" i="17"/>
  <c r="C54" i="17"/>
  <c r="D54" i="17"/>
  <c r="E54" i="17"/>
  <c r="F54" i="17"/>
  <c r="B55" i="17"/>
  <c r="C55" i="17"/>
  <c r="D55" i="17"/>
  <c r="E55" i="17"/>
  <c r="F55" i="17"/>
  <c r="B56" i="17"/>
  <c r="C56" i="17"/>
  <c r="D56" i="17"/>
  <c r="E56" i="17"/>
  <c r="F56" i="17"/>
  <c r="B57" i="17"/>
  <c r="C57" i="17"/>
  <c r="D57" i="17"/>
  <c r="E57" i="17"/>
  <c r="F57" i="17"/>
  <c r="B58" i="17"/>
  <c r="C58" i="17"/>
  <c r="D58" i="17"/>
  <c r="E58" i="17"/>
  <c r="F58" i="17"/>
  <c r="B59" i="17"/>
  <c r="C59" i="17"/>
  <c r="D59" i="17"/>
  <c r="E59" i="17"/>
  <c r="F59" i="17"/>
  <c r="B60" i="17"/>
  <c r="C60" i="17"/>
  <c r="D60" i="17"/>
  <c r="E60" i="17"/>
  <c r="F60" i="17"/>
  <c r="B61" i="17"/>
  <c r="C61" i="17"/>
  <c r="D61" i="17"/>
  <c r="E61" i="17"/>
  <c r="F61" i="17"/>
  <c r="B62" i="17"/>
  <c r="C62" i="17"/>
  <c r="D62" i="17"/>
  <c r="E62" i="17"/>
  <c r="F62" i="17"/>
  <c r="B63" i="17"/>
  <c r="C63" i="17"/>
  <c r="D63" i="17"/>
  <c r="E63" i="17"/>
  <c r="F63" i="17"/>
  <c r="B64" i="17"/>
  <c r="C64" i="17"/>
  <c r="D64" i="17"/>
  <c r="E64" i="17"/>
  <c r="F64" i="17"/>
  <c r="B65" i="17"/>
  <c r="C65" i="17"/>
  <c r="D65" i="17"/>
  <c r="E65" i="17"/>
  <c r="F65" i="17"/>
  <c r="B66" i="17"/>
  <c r="C66" i="17"/>
  <c r="D66" i="17"/>
  <c r="E66" i="17"/>
  <c r="F66" i="17"/>
  <c r="B67" i="17"/>
  <c r="C67" i="17"/>
  <c r="D67" i="17"/>
  <c r="E67" i="17"/>
  <c r="F67" i="17"/>
  <c r="B68" i="17"/>
  <c r="C68" i="17"/>
  <c r="D68" i="17"/>
  <c r="E68" i="17"/>
  <c r="F68" i="17"/>
  <c r="B69" i="17"/>
  <c r="C69" i="17"/>
  <c r="D69" i="17"/>
  <c r="E69" i="17"/>
  <c r="F69" i="17"/>
  <c r="B70" i="17"/>
  <c r="C70" i="17"/>
  <c r="D70" i="17"/>
  <c r="E70" i="17"/>
  <c r="F70" i="17"/>
  <c r="B71" i="17"/>
  <c r="C71" i="17"/>
  <c r="D71" i="17"/>
  <c r="E71" i="17"/>
  <c r="F71" i="17"/>
  <c r="B72" i="17"/>
  <c r="C72" i="17"/>
  <c r="D72" i="17"/>
  <c r="E72" i="17"/>
  <c r="F72" i="17"/>
  <c r="B73" i="17"/>
  <c r="C73" i="17"/>
  <c r="D73" i="17"/>
  <c r="E73" i="17"/>
  <c r="F73" i="17"/>
  <c r="B74" i="17"/>
  <c r="C74" i="17"/>
  <c r="D74" i="17"/>
  <c r="E74" i="17"/>
  <c r="F74" i="17"/>
  <c r="B75" i="17"/>
  <c r="C75" i="17"/>
  <c r="D75" i="17"/>
  <c r="E75" i="17"/>
  <c r="F75" i="17"/>
  <c r="B76" i="17"/>
  <c r="C76" i="17"/>
  <c r="D76" i="17"/>
  <c r="E76" i="17"/>
  <c r="F76" i="17"/>
  <c r="B77" i="17"/>
  <c r="C77" i="17"/>
  <c r="D77" i="17"/>
  <c r="E77" i="17"/>
  <c r="F77" i="17"/>
  <c r="B78" i="17"/>
  <c r="C78" i="17"/>
  <c r="D78" i="17"/>
  <c r="E78" i="17"/>
  <c r="F78" i="17"/>
  <c r="B79" i="17"/>
  <c r="C79" i="17"/>
  <c r="D79" i="17"/>
  <c r="E79" i="17"/>
  <c r="F79" i="17"/>
  <c r="B80" i="17"/>
  <c r="C80" i="17"/>
  <c r="D80" i="17"/>
  <c r="E80" i="17"/>
  <c r="F80" i="17"/>
  <c r="B81" i="17"/>
  <c r="C81" i="17"/>
  <c r="D81" i="17"/>
  <c r="E81" i="17"/>
  <c r="F81" i="17"/>
  <c r="B82" i="17"/>
  <c r="C82" i="17"/>
  <c r="D82" i="17"/>
  <c r="E82" i="17"/>
  <c r="F82" i="17"/>
  <c r="B83" i="17"/>
  <c r="C83" i="17"/>
  <c r="D83" i="17"/>
  <c r="E83" i="17"/>
  <c r="F83" i="17"/>
  <c r="B84" i="17"/>
  <c r="C84" i="17"/>
  <c r="D84" i="17"/>
  <c r="E84" i="17"/>
  <c r="F84" i="17"/>
  <c r="B85" i="17"/>
  <c r="C85" i="17"/>
  <c r="D85" i="17"/>
  <c r="E85" i="17"/>
  <c r="F85" i="17"/>
  <c r="B86" i="17"/>
  <c r="C86" i="17"/>
  <c r="D86" i="17"/>
  <c r="E86" i="17"/>
  <c r="F86" i="17"/>
  <c r="B87" i="17"/>
  <c r="C87" i="17"/>
  <c r="D87" i="17"/>
  <c r="E87" i="17"/>
  <c r="F87" i="17"/>
  <c r="B88" i="17"/>
  <c r="C88" i="17"/>
  <c r="D88" i="17"/>
  <c r="E88" i="17"/>
  <c r="F88" i="17"/>
  <c r="B89" i="17"/>
  <c r="C89" i="17"/>
  <c r="D89" i="17"/>
  <c r="E89" i="17"/>
  <c r="F89" i="17"/>
  <c r="B90" i="17"/>
  <c r="C90" i="17"/>
  <c r="D90" i="17"/>
  <c r="E90" i="17"/>
  <c r="F90" i="17"/>
  <c r="B91" i="17"/>
  <c r="C91" i="17"/>
  <c r="D91" i="17"/>
  <c r="E91" i="17"/>
  <c r="F91" i="17"/>
  <c r="B92" i="17"/>
  <c r="C92" i="17"/>
  <c r="D92" i="17"/>
  <c r="E92" i="17"/>
  <c r="F92" i="17"/>
  <c r="B93" i="17"/>
  <c r="C93" i="17"/>
  <c r="D93" i="17"/>
  <c r="E93" i="17"/>
  <c r="F93" i="17"/>
  <c r="B94" i="17"/>
  <c r="C94" i="17"/>
  <c r="D94" i="17"/>
  <c r="E94" i="17"/>
  <c r="F94" i="17"/>
  <c r="B95" i="17"/>
  <c r="C95" i="17"/>
  <c r="D95" i="17"/>
  <c r="E95" i="17"/>
  <c r="F95" i="17"/>
  <c r="B96" i="17"/>
  <c r="C96" i="17"/>
  <c r="D96" i="17"/>
  <c r="E96" i="17"/>
  <c r="F96" i="17"/>
  <c r="B97" i="17"/>
  <c r="C97" i="17"/>
  <c r="D97" i="17"/>
  <c r="E97" i="17"/>
  <c r="F97" i="17"/>
  <c r="B98" i="17"/>
  <c r="C98" i="17"/>
  <c r="D98" i="17"/>
  <c r="E98" i="17"/>
  <c r="F98" i="17"/>
  <c r="B99" i="17"/>
  <c r="C99" i="17"/>
  <c r="D99" i="17"/>
  <c r="E99" i="17"/>
  <c r="F99" i="17"/>
  <c r="B100" i="17"/>
  <c r="C100" i="17"/>
  <c r="D100" i="17"/>
  <c r="E100" i="17"/>
  <c r="F100" i="17"/>
  <c r="B101" i="17"/>
  <c r="C101" i="17"/>
  <c r="D101" i="17"/>
  <c r="E101" i="17"/>
  <c r="F101" i="17"/>
  <c r="B102" i="17"/>
  <c r="C102" i="17"/>
  <c r="D102" i="17"/>
  <c r="E102" i="17"/>
  <c r="F102" i="17"/>
  <c r="B103" i="17"/>
  <c r="C103" i="17"/>
  <c r="D103" i="17"/>
  <c r="E103" i="17"/>
  <c r="F103" i="17"/>
  <c r="B104" i="17"/>
  <c r="C104" i="17"/>
  <c r="D104" i="17"/>
  <c r="E104" i="17"/>
  <c r="F104" i="17"/>
  <c r="B105" i="17"/>
  <c r="C105" i="17"/>
  <c r="D105" i="17"/>
  <c r="E105" i="17"/>
  <c r="F105" i="17"/>
  <c r="B106" i="17"/>
  <c r="C106" i="17"/>
  <c r="D106" i="17"/>
  <c r="E106" i="17"/>
  <c r="F106" i="17"/>
  <c r="B107" i="17"/>
  <c r="C107" i="17"/>
  <c r="D107" i="17"/>
  <c r="E107" i="17"/>
  <c r="F107" i="17"/>
  <c r="B108" i="17"/>
  <c r="C108" i="17"/>
  <c r="D108" i="17"/>
  <c r="E108" i="17"/>
  <c r="F108" i="17"/>
  <c r="B109" i="17"/>
  <c r="C109" i="17"/>
  <c r="D109" i="17"/>
  <c r="E109" i="17"/>
  <c r="F109" i="17"/>
  <c r="B110" i="17"/>
  <c r="C110" i="17"/>
  <c r="D110" i="17"/>
  <c r="E110" i="17"/>
  <c r="F110" i="17"/>
  <c r="B111" i="17"/>
  <c r="C111" i="17"/>
  <c r="D111" i="17"/>
  <c r="E111" i="17"/>
  <c r="F111" i="17"/>
  <c r="B112" i="17"/>
  <c r="C112" i="17"/>
  <c r="D112" i="17"/>
  <c r="E112" i="17"/>
  <c r="F112" i="17"/>
  <c r="B113" i="17"/>
  <c r="C113" i="17"/>
  <c r="D113" i="17"/>
  <c r="E113" i="17"/>
  <c r="F113" i="17"/>
  <c r="B114" i="17"/>
  <c r="C114" i="17"/>
  <c r="D114" i="17"/>
  <c r="E114" i="17"/>
  <c r="F114" i="17"/>
  <c r="B115" i="17"/>
  <c r="C115" i="17"/>
  <c r="D115" i="17"/>
  <c r="E115" i="17"/>
  <c r="F115" i="17"/>
  <c r="B116" i="17"/>
  <c r="C116" i="17"/>
  <c r="D116" i="17"/>
  <c r="E116" i="17"/>
  <c r="F116" i="17"/>
  <c r="B117" i="17"/>
  <c r="C117" i="17"/>
  <c r="D117" i="17"/>
  <c r="E117" i="17"/>
  <c r="F117" i="17"/>
  <c r="B118" i="17"/>
  <c r="C118" i="17"/>
  <c r="D118" i="17"/>
  <c r="E118" i="17"/>
  <c r="F118" i="17"/>
  <c r="B119" i="17"/>
  <c r="C119" i="17"/>
  <c r="D119" i="17"/>
  <c r="E119" i="17"/>
  <c r="F119" i="17"/>
  <c r="B120" i="17"/>
  <c r="C120" i="17"/>
  <c r="D120" i="17"/>
  <c r="E120" i="17"/>
  <c r="F120" i="17"/>
  <c r="B121" i="17"/>
  <c r="C121" i="17"/>
  <c r="D121" i="17"/>
  <c r="E121" i="17"/>
  <c r="F121" i="17"/>
  <c r="B122" i="17"/>
  <c r="C122" i="17"/>
  <c r="D122" i="17"/>
  <c r="E122" i="17"/>
  <c r="F122" i="17"/>
  <c r="B123" i="17"/>
  <c r="C123" i="17"/>
  <c r="D123" i="17"/>
  <c r="E123" i="17"/>
  <c r="F123" i="17"/>
  <c r="B124" i="17"/>
  <c r="C124" i="17"/>
  <c r="D124" i="17"/>
  <c r="E124" i="17"/>
  <c r="F124" i="17"/>
  <c r="B125" i="17"/>
  <c r="C125" i="17"/>
  <c r="D125" i="17"/>
  <c r="E125" i="17"/>
  <c r="F125" i="17"/>
  <c r="B126" i="17"/>
  <c r="C126" i="17"/>
  <c r="D126" i="17"/>
  <c r="E126" i="17"/>
  <c r="F126" i="17"/>
  <c r="B127" i="17"/>
  <c r="C127" i="17"/>
  <c r="D127" i="17"/>
  <c r="E127" i="17"/>
  <c r="F127" i="17"/>
  <c r="B128" i="17"/>
  <c r="C128" i="17"/>
  <c r="D128" i="17"/>
  <c r="E128" i="17"/>
  <c r="F128" i="17"/>
  <c r="B129" i="17"/>
  <c r="C129" i="17"/>
  <c r="D129" i="17"/>
  <c r="E129" i="17"/>
  <c r="F129" i="17"/>
  <c r="B130" i="17"/>
  <c r="C130" i="17"/>
  <c r="D130" i="17"/>
  <c r="E130" i="17"/>
  <c r="F130" i="17"/>
  <c r="B131" i="17"/>
  <c r="C131" i="17"/>
  <c r="D131" i="17"/>
  <c r="E131" i="17"/>
  <c r="F131" i="17"/>
  <c r="B132" i="17"/>
  <c r="C132" i="17"/>
  <c r="D132" i="17"/>
  <c r="E132" i="17"/>
  <c r="F132" i="17"/>
  <c r="B133" i="17"/>
  <c r="C133" i="17"/>
  <c r="D133" i="17"/>
  <c r="E133" i="17"/>
  <c r="F133" i="17"/>
  <c r="B134" i="17"/>
  <c r="C134" i="17"/>
  <c r="D134" i="17"/>
  <c r="E134" i="17"/>
  <c r="F134" i="17"/>
  <c r="B135" i="17"/>
  <c r="C135" i="17"/>
  <c r="D135" i="17"/>
  <c r="E135" i="17"/>
  <c r="F135" i="17"/>
  <c r="B136" i="17"/>
  <c r="C136" i="17"/>
  <c r="D136" i="17"/>
  <c r="E136" i="17"/>
  <c r="F136" i="17"/>
  <c r="B137" i="17"/>
  <c r="C137" i="17"/>
  <c r="D137" i="17"/>
  <c r="E137" i="17"/>
  <c r="F137" i="17"/>
  <c r="B138" i="17"/>
  <c r="C138" i="17"/>
  <c r="D138" i="17"/>
  <c r="E138" i="17"/>
  <c r="F138" i="17"/>
  <c r="B139" i="17"/>
  <c r="C139" i="17"/>
  <c r="D139" i="17"/>
  <c r="E139" i="17"/>
  <c r="F139" i="17"/>
  <c r="B140" i="17"/>
  <c r="C140" i="17"/>
  <c r="D140" i="17"/>
  <c r="E140" i="17"/>
  <c r="F140" i="17"/>
  <c r="B141" i="17"/>
  <c r="C141" i="17"/>
  <c r="D141" i="17"/>
  <c r="E141" i="17"/>
  <c r="F141" i="17"/>
  <c r="B142" i="17"/>
  <c r="C142" i="17"/>
  <c r="D142" i="17"/>
  <c r="E142" i="17"/>
  <c r="F142" i="17"/>
  <c r="B143" i="17"/>
  <c r="C143" i="17"/>
  <c r="D143" i="17"/>
  <c r="E143" i="17"/>
  <c r="F143" i="17"/>
  <c r="B144" i="17"/>
  <c r="C144" i="17"/>
  <c r="D144" i="17"/>
  <c r="E144" i="17"/>
  <c r="F144" i="17"/>
  <c r="B145" i="17"/>
  <c r="C145" i="17"/>
  <c r="D145" i="17"/>
  <c r="E145" i="17"/>
  <c r="F145" i="17"/>
  <c r="B146" i="17"/>
  <c r="C146" i="17"/>
  <c r="D146" i="17"/>
  <c r="E146" i="17"/>
  <c r="F146" i="17"/>
  <c r="B147" i="17"/>
  <c r="C147" i="17"/>
  <c r="D147" i="17"/>
  <c r="E147" i="17"/>
  <c r="F147" i="17"/>
  <c r="B148" i="17"/>
  <c r="C148" i="17"/>
  <c r="D148" i="17"/>
  <c r="E148" i="17"/>
  <c r="F148" i="17"/>
  <c r="B149" i="17"/>
  <c r="C149" i="17"/>
  <c r="D149" i="17"/>
  <c r="E149" i="17"/>
  <c r="F149" i="17"/>
  <c r="B150" i="17"/>
  <c r="C150" i="17"/>
  <c r="D150" i="17"/>
  <c r="E150" i="17"/>
  <c r="F150" i="17"/>
  <c r="B151" i="17"/>
  <c r="C151" i="17"/>
  <c r="D151" i="17"/>
  <c r="E151" i="17"/>
  <c r="F151" i="17"/>
  <c r="B152" i="17"/>
  <c r="C152" i="17"/>
  <c r="D152" i="17"/>
  <c r="E152" i="17"/>
  <c r="F152" i="17"/>
  <c r="B153" i="17"/>
  <c r="C153" i="17"/>
  <c r="D153" i="17"/>
  <c r="E153" i="17"/>
  <c r="F153" i="17"/>
  <c r="B154" i="17"/>
  <c r="C154" i="17"/>
  <c r="D154" i="17"/>
  <c r="E154" i="17"/>
  <c r="F154" i="17"/>
  <c r="B155" i="17"/>
  <c r="C155" i="17"/>
  <c r="D155" i="17"/>
  <c r="E155" i="17"/>
  <c r="F155" i="17"/>
  <c r="B156" i="17"/>
  <c r="C156" i="17"/>
  <c r="D156" i="17"/>
  <c r="E156" i="17"/>
  <c r="F156" i="17"/>
  <c r="B157" i="17"/>
  <c r="C157" i="17"/>
  <c r="D157" i="17"/>
  <c r="E157" i="17"/>
  <c r="F157" i="17"/>
  <c r="B158" i="17"/>
  <c r="C158" i="17"/>
  <c r="D158" i="17"/>
  <c r="E158" i="17"/>
  <c r="F158" i="17"/>
  <c r="B159" i="17"/>
  <c r="C159" i="17"/>
  <c r="D159" i="17"/>
  <c r="E159" i="17"/>
  <c r="F159" i="17"/>
  <c r="B160" i="17"/>
  <c r="C160" i="17"/>
  <c r="D160" i="17"/>
  <c r="E160" i="17"/>
  <c r="F160" i="17"/>
  <c r="B161" i="17"/>
  <c r="C161" i="17"/>
  <c r="D161" i="17"/>
  <c r="E161" i="17"/>
  <c r="F161" i="17"/>
  <c r="B162" i="17"/>
  <c r="C162" i="17"/>
  <c r="D162" i="17"/>
  <c r="E162" i="17"/>
  <c r="F162" i="17"/>
  <c r="B163" i="17"/>
  <c r="C163" i="17"/>
  <c r="D163" i="17"/>
  <c r="E163" i="17"/>
  <c r="F163" i="17"/>
  <c r="B164" i="17"/>
  <c r="C164" i="17"/>
  <c r="D164" i="17"/>
  <c r="E164" i="17"/>
  <c r="F164" i="17"/>
  <c r="B165" i="17"/>
  <c r="C165" i="17"/>
  <c r="D165" i="17"/>
  <c r="E165" i="17"/>
  <c r="F165" i="17"/>
  <c r="B166" i="17"/>
  <c r="C166" i="17"/>
  <c r="D166" i="17"/>
  <c r="E166" i="17"/>
  <c r="F166" i="17"/>
  <c r="B167" i="17"/>
  <c r="C167" i="17"/>
  <c r="D167" i="17"/>
  <c r="E167" i="17"/>
  <c r="F167" i="17"/>
  <c r="B168" i="17"/>
  <c r="C168" i="17"/>
  <c r="D168" i="17"/>
  <c r="E168" i="17"/>
  <c r="F168" i="17"/>
  <c r="B169" i="17"/>
  <c r="C169" i="17"/>
  <c r="D169" i="17"/>
  <c r="E169" i="17"/>
  <c r="F169" i="17"/>
  <c r="B170" i="17"/>
  <c r="C170" i="17"/>
  <c r="D170" i="17"/>
  <c r="E170" i="17"/>
  <c r="F170" i="17"/>
  <c r="B171" i="17"/>
  <c r="C171" i="17"/>
  <c r="D171" i="17"/>
  <c r="E171" i="17"/>
  <c r="F171" i="17"/>
  <c r="B172" i="17"/>
  <c r="C172" i="17"/>
  <c r="D172" i="17"/>
  <c r="E172" i="17"/>
  <c r="F172" i="17"/>
  <c r="B173" i="17"/>
  <c r="C173" i="17"/>
  <c r="D173" i="17"/>
  <c r="E173" i="17"/>
  <c r="F173" i="17"/>
  <c r="B174" i="17"/>
  <c r="C174" i="17"/>
  <c r="D174" i="17"/>
  <c r="E174" i="17"/>
  <c r="F174" i="17"/>
  <c r="B175" i="17"/>
  <c r="C175" i="17"/>
  <c r="D175" i="17"/>
  <c r="E175" i="17"/>
  <c r="F175" i="17"/>
  <c r="B176" i="17"/>
  <c r="C176" i="17"/>
  <c r="D176" i="17"/>
  <c r="E176" i="17"/>
  <c r="F176" i="17"/>
  <c r="B177" i="17"/>
  <c r="C177" i="17"/>
  <c r="D177" i="17"/>
  <c r="E177" i="17"/>
  <c r="F177" i="17"/>
  <c r="B178" i="17"/>
  <c r="C178" i="17"/>
  <c r="D178" i="17"/>
  <c r="E178" i="17"/>
  <c r="F178" i="17"/>
  <c r="B179" i="17"/>
  <c r="C179" i="17"/>
  <c r="D179" i="17"/>
  <c r="E179" i="17"/>
  <c r="F179" i="17"/>
  <c r="B180" i="17"/>
  <c r="C180" i="17"/>
  <c r="D180" i="17"/>
  <c r="E180" i="17"/>
  <c r="F180" i="17"/>
  <c r="B181" i="17"/>
  <c r="C181" i="17"/>
  <c r="D181" i="17"/>
  <c r="E181" i="17"/>
  <c r="F181" i="17"/>
  <c r="B182" i="17"/>
  <c r="C182" i="17"/>
  <c r="D182" i="17"/>
  <c r="E182" i="17"/>
  <c r="F182" i="17"/>
  <c r="B183" i="17"/>
  <c r="C183" i="17"/>
  <c r="D183" i="17"/>
  <c r="E183" i="17"/>
  <c r="F183" i="17"/>
  <c r="B184" i="17"/>
  <c r="C184" i="17"/>
  <c r="D184" i="17"/>
  <c r="E184" i="17"/>
  <c r="F184" i="17"/>
  <c r="B185" i="17"/>
  <c r="C185" i="17"/>
  <c r="D185" i="17"/>
  <c r="E185" i="17"/>
  <c r="F185" i="17"/>
  <c r="B186" i="17"/>
  <c r="C186" i="17"/>
  <c r="D186" i="17"/>
  <c r="E186" i="17"/>
  <c r="F186" i="17"/>
  <c r="B187" i="17"/>
  <c r="C187" i="17"/>
  <c r="D187" i="17"/>
  <c r="E187" i="17"/>
  <c r="F187" i="17"/>
  <c r="B188" i="17"/>
  <c r="C188" i="17"/>
  <c r="D188" i="17"/>
  <c r="E188" i="17"/>
  <c r="F188" i="17"/>
  <c r="B189" i="17"/>
  <c r="C189" i="17"/>
  <c r="D189" i="17"/>
  <c r="E189" i="17"/>
  <c r="F189" i="17"/>
  <c r="B190" i="17"/>
  <c r="C190" i="17"/>
  <c r="D190" i="17"/>
  <c r="E190" i="17"/>
  <c r="F190" i="17"/>
  <c r="B191" i="17"/>
  <c r="C191" i="17"/>
  <c r="D191" i="17"/>
  <c r="E191" i="17"/>
  <c r="F191" i="17"/>
  <c r="B192" i="17"/>
  <c r="C192" i="17"/>
  <c r="D192" i="17"/>
  <c r="E192" i="17"/>
  <c r="F192" i="17"/>
  <c r="B193" i="17"/>
  <c r="C193" i="17"/>
  <c r="D193" i="17"/>
  <c r="E193" i="17"/>
  <c r="F193" i="17"/>
  <c r="B194" i="17"/>
  <c r="C194" i="17"/>
  <c r="D194" i="17"/>
  <c r="E194" i="17"/>
  <c r="F194" i="17"/>
  <c r="B195" i="17"/>
  <c r="C195" i="17"/>
  <c r="D195" i="17"/>
  <c r="E195" i="17"/>
  <c r="F195" i="17"/>
  <c r="B196" i="17"/>
  <c r="C196" i="17"/>
  <c r="D196" i="17"/>
  <c r="E196" i="17"/>
  <c r="F196" i="17"/>
  <c r="B197" i="17"/>
  <c r="C197" i="17"/>
  <c r="D197" i="17"/>
  <c r="E197" i="17"/>
  <c r="F197" i="17"/>
  <c r="B198" i="17"/>
  <c r="C198" i="17"/>
  <c r="D198" i="17"/>
  <c r="E198" i="17"/>
  <c r="F198" i="17"/>
  <c r="B199" i="17"/>
  <c r="C199" i="17"/>
  <c r="D199" i="17"/>
  <c r="E199" i="17"/>
  <c r="F199" i="17"/>
  <c r="B200" i="17"/>
  <c r="C200" i="17"/>
  <c r="D200" i="17"/>
  <c r="E200" i="17"/>
  <c r="F200" i="17"/>
  <c r="B201" i="17"/>
  <c r="C201" i="17"/>
  <c r="D201" i="17"/>
  <c r="E201" i="17"/>
  <c r="F201" i="17"/>
  <c r="B202" i="17"/>
  <c r="C202" i="17"/>
  <c r="D202" i="17"/>
  <c r="E202" i="17"/>
  <c r="F202" i="17"/>
  <c r="B203" i="17"/>
  <c r="C203" i="17"/>
  <c r="D203" i="17"/>
  <c r="E203" i="17"/>
  <c r="F203" i="17"/>
  <c r="B204" i="17"/>
  <c r="C204" i="17"/>
  <c r="D204" i="17"/>
  <c r="E204" i="17"/>
  <c r="F204" i="17"/>
  <c r="B205" i="17"/>
  <c r="C205" i="17"/>
  <c r="D205" i="17"/>
  <c r="E205" i="17"/>
  <c r="F205" i="17"/>
  <c r="B206" i="17"/>
  <c r="C206" i="17"/>
  <c r="D206" i="17"/>
  <c r="E206" i="17"/>
  <c r="F206" i="17"/>
  <c r="B207" i="17"/>
  <c r="C207" i="17"/>
  <c r="D207" i="17"/>
  <c r="E207" i="17"/>
  <c r="F207" i="17"/>
  <c r="B208" i="17"/>
  <c r="C208" i="17"/>
  <c r="D208" i="17"/>
  <c r="E208" i="17"/>
  <c r="F208" i="17"/>
  <c r="B209" i="17"/>
  <c r="C209" i="17"/>
  <c r="D209" i="17"/>
  <c r="E209" i="17"/>
  <c r="F209" i="17"/>
  <c r="B210" i="17"/>
  <c r="C210" i="17"/>
  <c r="D210" i="17"/>
  <c r="E210" i="17"/>
  <c r="F210" i="17"/>
  <c r="B211" i="17"/>
  <c r="C211" i="17"/>
  <c r="D211" i="17"/>
  <c r="E211" i="17"/>
  <c r="F211" i="17"/>
  <c r="B212" i="17"/>
  <c r="C212" i="17"/>
  <c r="D212" i="17"/>
  <c r="E212" i="17"/>
  <c r="F212" i="17"/>
  <c r="B213" i="17"/>
  <c r="C213" i="17"/>
  <c r="D213" i="17"/>
  <c r="E213" i="17"/>
  <c r="F213" i="17"/>
  <c r="B214" i="17"/>
  <c r="C214" i="17"/>
  <c r="D214" i="17"/>
  <c r="E214" i="17"/>
  <c r="F214" i="17"/>
  <c r="B215" i="17"/>
  <c r="C215" i="17"/>
  <c r="D215" i="17"/>
  <c r="E215" i="17"/>
  <c r="F215" i="17"/>
  <c r="B216" i="17"/>
  <c r="C216" i="17"/>
  <c r="D216" i="17"/>
  <c r="E216" i="17"/>
  <c r="F216" i="17"/>
  <c r="B217" i="17"/>
  <c r="C217" i="17"/>
  <c r="D217" i="17"/>
  <c r="E217" i="17"/>
  <c r="F217" i="17"/>
  <c r="B218" i="17"/>
  <c r="C218" i="17"/>
  <c r="D218" i="17"/>
  <c r="E218" i="17"/>
  <c r="F218" i="17"/>
  <c r="B219" i="17"/>
  <c r="C219" i="17"/>
  <c r="D219" i="17"/>
  <c r="E219" i="17"/>
  <c r="F219" i="17"/>
  <c r="B220" i="17"/>
  <c r="C220" i="17"/>
  <c r="D220" i="17"/>
  <c r="E220" i="17"/>
  <c r="F220" i="17"/>
  <c r="B221" i="17"/>
  <c r="C221" i="17"/>
  <c r="D221" i="17"/>
  <c r="E221" i="17"/>
  <c r="F221" i="17"/>
  <c r="B222" i="17"/>
  <c r="C222" i="17"/>
  <c r="D222" i="17"/>
  <c r="E222" i="17"/>
  <c r="F222" i="17"/>
  <c r="B223" i="17"/>
  <c r="C223" i="17"/>
  <c r="D223" i="17"/>
  <c r="E223" i="17"/>
  <c r="F223" i="17"/>
  <c r="B224" i="17"/>
  <c r="C224" i="17"/>
  <c r="D224" i="17"/>
  <c r="E224" i="17"/>
  <c r="F224" i="17"/>
  <c r="B225" i="17"/>
  <c r="C225" i="17"/>
  <c r="D225" i="17"/>
  <c r="E225" i="17"/>
  <c r="F225" i="17"/>
  <c r="B226" i="17"/>
  <c r="C226" i="17"/>
  <c r="D226" i="17"/>
  <c r="E226" i="17"/>
  <c r="F226" i="17"/>
  <c r="B227" i="17"/>
  <c r="C227" i="17"/>
  <c r="D227" i="17"/>
  <c r="E227" i="17"/>
  <c r="F227" i="17"/>
  <c r="B228" i="17"/>
  <c r="C228" i="17"/>
  <c r="D228" i="17"/>
  <c r="E228" i="17"/>
  <c r="F228" i="17"/>
  <c r="B229" i="17"/>
  <c r="C229" i="17"/>
  <c r="D229" i="17"/>
  <c r="E229" i="17"/>
  <c r="F229" i="17"/>
  <c r="B230" i="17"/>
  <c r="C230" i="17"/>
  <c r="D230" i="17"/>
  <c r="E230" i="17"/>
  <c r="F230" i="17"/>
  <c r="B231" i="17"/>
  <c r="C231" i="17"/>
  <c r="D231" i="17"/>
  <c r="E231" i="17"/>
  <c r="F231" i="17"/>
  <c r="B232" i="17"/>
  <c r="C232" i="17"/>
  <c r="D232" i="17"/>
  <c r="E232" i="17"/>
  <c r="F232" i="17"/>
  <c r="B233" i="17"/>
  <c r="C233" i="17"/>
  <c r="D233" i="17"/>
  <c r="E233" i="17"/>
  <c r="F233" i="17"/>
  <c r="B234" i="17"/>
  <c r="C234" i="17"/>
  <c r="D234" i="17"/>
  <c r="E234" i="17"/>
  <c r="F234" i="17"/>
  <c r="B235" i="17"/>
  <c r="C235" i="17"/>
  <c r="D235" i="17"/>
  <c r="E235" i="17"/>
  <c r="F235" i="17"/>
  <c r="B236" i="17"/>
  <c r="C236" i="17"/>
  <c r="D236" i="17"/>
  <c r="E236" i="17"/>
  <c r="F236" i="17"/>
  <c r="B237" i="17"/>
  <c r="C237" i="17"/>
  <c r="D237" i="17"/>
  <c r="E237" i="17"/>
  <c r="F237" i="17"/>
  <c r="B238" i="17"/>
  <c r="C238" i="17"/>
  <c r="D238" i="17"/>
  <c r="E238" i="17"/>
  <c r="F238" i="17"/>
  <c r="B239" i="17"/>
  <c r="C239" i="17"/>
  <c r="D239" i="17"/>
  <c r="E239" i="17"/>
  <c r="F239" i="17"/>
  <c r="B240" i="17"/>
  <c r="C240" i="17"/>
  <c r="D240" i="17"/>
  <c r="E240" i="17"/>
  <c r="F240" i="17"/>
  <c r="B241" i="17"/>
  <c r="C241" i="17"/>
  <c r="D241" i="17"/>
  <c r="E241" i="17"/>
  <c r="F241" i="17"/>
  <c r="B242" i="17"/>
  <c r="C242" i="17"/>
  <c r="D242" i="17"/>
  <c r="E242" i="17"/>
  <c r="F242" i="17"/>
  <c r="B243" i="17"/>
  <c r="C243" i="17"/>
  <c r="D243" i="17"/>
  <c r="E243" i="17"/>
  <c r="F243" i="17"/>
  <c r="B244" i="17"/>
  <c r="C244" i="17"/>
  <c r="D244" i="17"/>
  <c r="E244" i="17"/>
  <c r="F244" i="17"/>
  <c r="B245" i="17"/>
  <c r="C245" i="17"/>
  <c r="D245" i="17"/>
  <c r="E245" i="17"/>
  <c r="F245" i="17"/>
  <c r="B246" i="17"/>
  <c r="C246" i="17"/>
  <c r="D246" i="17"/>
  <c r="E246" i="17"/>
  <c r="F246" i="17"/>
  <c r="B247" i="17"/>
  <c r="C247" i="17"/>
  <c r="D247" i="17"/>
  <c r="E247" i="17"/>
  <c r="F247" i="17"/>
  <c r="B248" i="17"/>
  <c r="C248" i="17"/>
  <c r="D248" i="17"/>
  <c r="E248" i="17"/>
  <c r="F248" i="17"/>
  <c r="B249" i="17"/>
  <c r="C249" i="17"/>
  <c r="D249" i="17"/>
  <c r="E249" i="17"/>
  <c r="F249" i="17"/>
  <c r="B250" i="17"/>
  <c r="C250" i="17"/>
  <c r="D250" i="17"/>
  <c r="E250" i="17"/>
  <c r="F250" i="17"/>
  <c r="B251" i="17"/>
  <c r="C251" i="17"/>
  <c r="D251" i="17"/>
  <c r="E251" i="17"/>
  <c r="F251" i="17"/>
  <c r="B252" i="17"/>
  <c r="C252" i="17"/>
  <c r="D252" i="17"/>
  <c r="E252" i="17"/>
  <c r="F252" i="17"/>
  <c r="B253" i="17"/>
  <c r="C253" i="17"/>
  <c r="D253" i="17"/>
  <c r="E253" i="17"/>
  <c r="F253" i="17"/>
  <c r="B254" i="17"/>
  <c r="C254" i="17"/>
  <c r="D254" i="17"/>
  <c r="E254" i="17"/>
  <c r="F254" i="17"/>
  <c r="B255" i="17"/>
  <c r="C255" i="17"/>
  <c r="D255" i="17"/>
  <c r="E255" i="17"/>
  <c r="F255" i="17"/>
  <c r="B256" i="17"/>
  <c r="C256" i="17"/>
  <c r="D256" i="17"/>
  <c r="E256" i="17"/>
  <c r="F256" i="17"/>
  <c r="B257" i="17"/>
  <c r="C257" i="17"/>
  <c r="D257" i="17"/>
  <c r="E257" i="17"/>
  <c r="F257" i="17"/>
  <c r="B258" i="17"/>
  <c r="C258" i="17"/>
  <c r="D258" i="17"/>
  <c r="E258" i="17"/>
  <c r="F258" i="17"/>
  <c r="B259" i="17"/>
  <c r="C259" i="17"/>
  <c r="D259" i="17"/>
  <c r="E259" i="17"/>
  <c r="F259" i="17"/>
  <c r="B260" i="17"/>
  <c r="C260" i="17"/>
  <c r="D260" i="17"/>
  <c r="E260" i="17"/>
  <c r="F260" i="17"/>
  <c r="B261" i="17"/>
  <c r="C261" i="17"/>
  <c r="D261" i="17"/>
  <c r="E261" i="17"/>
  <c r="F261" i="17"/>
  <c r="B262" i="17"/>
  <c r="C262" i="17"/>
  <c r="D262" i="17"/>
  <c r="E262" i="17"/>
  <c r="F262" i="17"/>
  <c r="B263" i="17"/>
  <c r="C263" i="17"/>
  <c r="D263" i="17"/>
  <c r="E263" i="17"/>
  <c r="F263" i="17"/>
  <c r="B264" i="17"/>
  <c r="C264" i="17"/>
  <c r="D264" i="17"/>
  <c r="E264" i="17"/>
  <c r="F264" i="17"/>
  <c r="B265" i="17"/>
  <c r="C265" i="17"/>
  <c r="D265" i="17"/>
  <c r="E265" i="17"/>
  <c r="F265" i="17"/>
  <c r="B266" i="17"/>
  <c r="C266" i="17"/>
  <c r="D266" i="17"/>
  <c r="E266" i="17"/>
  <c r="F266" i="17"/>
  <c r="B267" i="17"/>
  <c r="C267" i="17"/>
  <c r="D267" i="17"/>
  <c r="E267" i="17"/>
  <c r="F267" i="17"/>
  <c r="B268" i="17"/>
  <c r="C268" i="17"/>
  <c r="D268" i="17"/>
  <c r="E268" i="17"/>
  <c r="F268" i="17"/>
  <c r="B269" i="17"/>
  <c r="C269" i="17"/>
  <c r="D269" i="17"/>
  <c r="E269" i="17"/>
  <c r="F269" i="17"/>
  <c r="B270" i="17"/>
  <c r="C270" i="17"/>
  <c r="D270" i="17"/>
  <c r="E270" i="17"/>
  <c r="F270" i="17"/>
  <c r="B271" i="17"/>
  <c r="C271" i="17"/>
  <c r="D271" i="17"/>
  <c r="E271" i="17"/>
  <c r="F271" i="17"/>
  <c r="B272" i="17"/>
  <c r="C272" i="17"/>
  <c r="D272" i="17"/>
  <c r="E272" i="17"/>
  <c r="F272" i="17"/>
  <c r="B273" i="17"/>
  <c r="C273" i="17"/>
  <c r="D273" i="17"/>
  <c r="E273" i="17"/>
  <c r="F273" i="17"/>
  <c r="B274" i="17"/>
  <c r="C274" i="17"/>
  <c r="D274" i="17"/>
  <c r="E274" i="17"/>
  <c r="F274" i="17"/>
  <c r="B275" i="17"/>
  <c r="C275" i="17"/>
  <c r="D275" i="17"/>
  <c r="E275" i="17"/>
  <c r="F275" i="17"/>
  <c r="B276" i="17"/>
  <c r="C276" i="17"/>
  <c r="D276" i="17"/>
  <c r="E276" i="17"/>
  <c r="F276" i="17"/>
  <c r="B277" i="17"/>
  <c r="C277" i="17"/>
  <c r="D277" i="17"/>
  <c r="E277" i="17"/>
  <c r="F277" i="17"/>
  <c r="B278" i="17"/>
  <c r="C278" i="17"/>
  <c r="D278" i="17"/>
  <c r="E278" i="17"/>
  <c r="F278" i="17"/>
  <c r="B279" i="17"/>
  <c r="C279" i="17"/>
  <c r="D279" i="17"/>
  <c r="E279" i="17"/>
  <c r="F279" i="17"/>
  <c r="B280" i="17"/>
  <c r="C280" i="17"/>
  <c r="D280" i="17"/>
  <c r="E280" i="17"/>
  <c r="F280" i="17"/>
  <c r="B281" i="17"/>
  <c r="C281" i="17"/>
  <c r="D281" i="17"/>
  <c r="E281" i="17"/>
  <c r="F281" i="17"/>
  <c r="B282" i="17"/>
  <c r="C282" i="17"/>
  <c r="D282" i="17"/>
  <c r="E282" i="17"/>
  <c r="F282" i="17"/>
  <c r="B283" i="17"/>
  <c r="C283" i="17"/>
  <c r="D283" i="17"/>
  <c r="E283" i="17"/>
  <c r="F283" i="17"/>
  <c r="B284" i="17"/>
  <c r="C284" i="17"/>
  <c r="D284" i="17"/>
  <c r="E284" i="17"/>
  <c r="F284" i="17"/>
  <c r="B285" i="17"/>
  <c r="C285" i="17"/>
  <c r="D285" i="17"/>
  <c r="E285" i="17"/>
  <c r="F285" i="17"/>
  <c r="B286" i="17"/>
  <c r="C286" i="17"/>
  <c r="D286" i="17"/>
  <c r="E286" i="17"/>
  <c r="F286" i="17"/>
  <c r="B287" i="17"/>
  <c r="C287" i="17"/>
  <c r="D287" i="17"/>
  <c r="E287" i="17"/>
  <c r="F287" i="17"/>
  <c r="B288" i="17"/>
  <c r="C288" i="17"/>
  <c r="D288" i="17"/>
  <c r="E288" i="17"/>
  <c r="F288" i="17"/>
  <c r="B289" i="17"/>
  <c r="C289" i="17"/>
  <c r="D289" i="17"/>
  <c r="E289" i="17"/>
  <c r="F289" i="17"/>
  <c r="B290" i="17"/>
  <c r="C290" i="17"/>
  <c r="D290" i="17"/>
  <c r="E290" i="17"/>
  <c r="F290" i="17"/>
  <c r="B291" i="17"/>
  <c r="C291" i="17"/>
  <c r="D291" i="17"/>
  <c r="E291" i="17"/>
  <c r="F291" i="17"/>
  <c r="B292" i="17"/>
  <c r="C292" i="17"/>
  <c r="D292" i="17"/>
  <c r="E292" i="17"/>
  <c r="F292" i="17"/>
  <c r="B293" i="17"/>
  <c r="C293" i="17"/>
  <c r="D293" i="17"/>
  <c r="E293" i="17"/>
  <c r="F293" i="17"/>
  <c r="B294" i="17"/>
  <c r="C294" i="17"/>
  <c r="D294" i="17"/>
  <c r="E294" i="17"/>
  <c r="F294" i="17"/>
  <c r="B295" i="17"/>
  <c r="C295" i="17"/>
  <c r="D295" i="17"/>
  <c r="E295" i="17"/>
  <c r="F295" i="17"/>
  <c r="B296" i="17"/>
  <c r="C296" i="17"/>
  <c r="D296" i="17"/>
  <c r="E296" i="17"/>
  <c r="F296" i="17"/>
  <c r="B297" i="17"/>
  <c r="C297" i="17"/>
  <c r="D297" i="17"/>
  <c r="E297" i="17"/>
  <c r="F297" i="17"/>
  <c r="B298" i="17"/>
  <c r="C298" i="17"/>
  <c r="D298" i="17"/>
  <c r="E298" i="17"/>
  <c r="F298" i="17"/>
  <c r="B299" i="17"/>
  <c r="C299" i="17"/>
  <c r="D299" i="17"/>
  <c r="E299" i="17"/>
  <c r="F299" i="17"/>
  <c r="B300" i="17"/>
  <c r="C300" i="17"/>
  <c r="D300" i="17"/>
  <c r="E300" i="17"/>
  <c r="F300" i="17"/>
  <c r="B301" i="17"/>
  <c r="C301" i="17"/>
  <c r="D301" i="17"/>
  <c r="E301" i="17"/>
  <c r="F301" i="17"/>
  <c r="B302" i="17"/>
  <c r="C302" i="17"/>
  <c r="D302" i="17"/>
  <c r="E302" i="17"/>
  <c r="F302" i="17"/>
  <c r="B303" i="17"/>
  <c r="C303" i="17"/>
  <c r="D303" i="17"/>
  <c r="E303" i="17"/>
  <c r="F303" i="17"/>
  <c r="B304" i="17"/>
  <c r="C304" i="17"/>
  <c r="D304" i="17"/>
  <c r="E304" i="17"/>
  <c r="F304" i="17"/>
  <c r="B305" i="17"/>
  <c r="C305" i="17"/>
  <c r="D305" i="17"/>
  <c r="E305" i="17"/>
  <c r="F305" i="17"/>
  <c r="B306" i="17"/>
  <c r="C306" i="17"/>
  <c r="D306" i="17"/>
  <c r="E306" i="17"/>
  <c r="F306" i="17"/>
  <c r="B307" i="17"/>
  <c r="C307" i="17"/>
  <c r="D307" i="17"/>
  <c r="E307" i="17"/>
  <c r="F307" i="17"/>
  <c r="B308" i="17"/>
  <c r="C308" i="17"/>
  <c r="D308" i="17"/>
  <c r="E308" i="17"/>
  <c r="F308" i="17"/>
  <c r="B309" i="17"/>
  <c r="C309" i="17"/>
  <c r="D309" i="17"/>
  <c r="E309" i="17"/>
  <c r="F309" i="17"/>
  <c r="B310" i="17"/>
  <c r="C310" i="17"/>
  <c r="D310" i="17"/>
  <c r="E310" i="17"/>
  <c r="F310" i="17"/>
  <c r="B311" i="17"/>
  <c r="C311" i="17"/>
  <c r="D311" i="17"/>
  <c r="E311" i="17"/>
  <c r="F311" i="17"/>
  <c r="B312" i="17"/>
  <c r="C312" i="17"/>
  <c r="D312" i="17"/>
  <c r="E312" i="17"/>
  <c r="F312" i="17"/>
  <c r="B313" i="17"/>
  <c r="C313" i="17"/>
  <c r="D313" i="17"/>
  <c r="E313" i="17"/>
  <c r="F313" i="17"/>
  <c r="B314" i="17"/>
  <c r="C314" i="17"/>
  <c r="D314" i="17"/>
  <c r="E314" i="17"/>
  <c r="F314" i="17"/>
  <c r="B315" i="17"/>
  <c r="C315" i="17"/>
  <c r="D315" i="17"/>
  <c r="E315" i="17"/>
  <c r="F315" i="17"/>
  <c r="B316" i="17"/>
  <c r="C316" i="17"/>
  <c r="D316" i="17"/>
  <c r="E316" i="17"/>
  <c r="F316" i="17"/>
  <c r="B317" i="17"/>
  <c r="C317" i="17"/>
  <c r="D317" i="17"/>
  <c r="E317" i="17"/>
  <c r="F317" i="17"/>
  <c r="B318" i="17"/>
  <c r="C318" i="17"/>
  <c r="D318" i="17"/>
  <c r="E318" i="17"/>
  <c r="F318" i="17"/>
  <c r="B319" i="17"/>
  <c r="C319" i="17"/>
  <c r="D319" i="17"/>
  <c r="E319" i="17"/>
  <c r="F319" i="17"/>
  <c r="B320" i="17"/>
  <c r="C320" i="17"/>
  <c r="D320" i="17"/>
  <c r="E320" i="17"/>
  <c r="F320" i="17"/>
  <c r="B321" i="17"/>
  <c r="C321" i="17"/>
  <c r="D321" i="17"/>
  <c r="E321" i="17"/>
  <c r="F321" i="17"/>
  <c r="B322" i="17"/>
  <c r="C322" i="17"/>
  <c r="D322" i="17"/>
  <c r="E322" i="17"/>
  <c r="F322" i="17"/>
  <c r="B323" i="17"/>
  <c r="C323" i="17"/>
  <c r="D323" i="17"/>
  <c r="E323" i="17"/>
  <c r="F323" i="17"/>
  <c r="B324" i="17"/>
  <c r="C324" i="17"/>
  <c r="D324" i="17"/>
  <c r="E324" i="17"/>
  <c r="F324" i="17"/>
  <c r="B325" i="17"/>
  <c r="C325" i="17"/>
  <c r="D325" i="17"/>
  <c r="E325" i="17"/>
  <c r="F325" i="17"/>
  <c r="B326" i="17"/>
  <c r="C326" i="17"/>
  <c r="D326" i="17"/>
  <c r="E326" i="17"/>
  <c r="F326" i="17"/>
  <c r="B327" i="17"/>
  <c r="C327" i="17"/>
  <c r="D327" i="17"/>
  <c r="E327" i="17"/>
  <c r="F327" i="17"/>
  <c r="B328" i="17"/>
  <c r="C328" i="17"/>
  <c r="D328" i="17"/>
  <c r="E328" i="17"/>
  <c r="F328" i="17"/>
  <c r="B329" i="17"/>
  <c r="C329" i="17"/>
  <c r="D329" i="17"/>
  <c r="E329" i="17"/>
  <c r="F329" i="17"/>
  <c r="B330" i="17"/>
  <c r="C330" i="17"/>
  <c r="D330" i="17"/>
  <c r="E330" i="17"/>
  <c r="F330" i="17"/>
  <c r="B331" i="17"/>
  <c r="C331" i="17"/>
  <c r="D331" i="17"/>
  <c r="E331" i="17"/>
  <c r="F331" i="17"/>
  <c r="B332" i="17"/>
  <c r="C332" i="17"/>
  <c r="D332" i="17"/>
  <c r="E332" i="17"/>
  <c r="F332" i="17"/>
  <c r="B333" i="17"/>
  <c r="C333" i="17"/>
  <c r="D333" i="17"/>
  <c r="E333" i="17"/>
  <c r="F333" i="17"/>
  <c r="B334" i="17"/>
  <c r="C334" i="17"/>
  <c r="D334" i="17"/>
  <c r="E334" i="17"/>
  <c r="F334" i="17"/>
  <c r="B335" i="17"/>
  <c r="C335" i="17"/>
  <c r="D335" i="17"/>
  <c r="E335" i="17"/>
  <c r="F335" i="17"/>
  <c r="B336" i="17"/>
  <c r="C336" i="17"/>
  <c r="D336" i="17"/>
  <c r="E336" i="17"/>
  <c r="F336" i="17"/>
  <c r="B337" i="17"/>
  <c r="C337" i="17"/>
  <c r="D337" i="17"/>
  <c r="E337" i="17"/>
  <c r="F337" i="17"/>
  <c r="B338" i="17"/>
  <c r="C338" i="17"/>
  <c r="D338" i="17"/>
  <c r="E338" i="17"/>
  <c r="F338" i="17"/>
  <c r="B339" i="17"/>
  <c r="C339" i="17"/>
  <c r="D339" i="17"/>
  <c r="E339" i="17"/>
  <c r="F339" i="17"/>
  <c r="B340" i="17"/>
  <c r="C340" i="17"/>
  <c r="D340" i="17"/>
  <c r="E340" i="17"/>
  <c r="F340" i="17"/>
  <c r="B341" i="17"/>
  <c r="C341" i="17"/>
  <c r="D341" i="17"/>
  <c r="E341" i="17"/>
  <c r="F341" i="17"/>
  <c r="B342" i="17"/>
  <c r="C342" i="17"/>
  <c r="D342" i="17"/>
  <c r="E342" i="17"/>
  <c r="F342" i="17"/>
  <c r="B343" i="17"/>
  <c r="C343" i="17"/>
  <c r="D343" i="17"/>
  <c r="E343" i="17"/>
  <c r="F343" i="17"/>
  <c r="B344" i="17"/>
  <c r="C344" i="17"/>
  <c r="D344" i="17"/>
  <c r="E344" i="17"/>
  <c r="F344" i="17"/>
  <c r="B345" i="17"/>
  <c r="C345" i="17"/>
  <c r="D345" i="17"/>
  <c r="E345" i="17"/>
  <c r="F345" i="17"/>
  <c r="B346" i="17"/>
  <c r="C346" i="17"/>
  <c r="D346" i="17"/>
  <c r="E346" i="17"/>
  <c r="F346" i="17"/>
  <c r="B347" i="17"/>
  <c r="C347" i="17"/>
  <c r="D347" i="17"/>
  <c r="E347" i="17"/>
  <c r="F347" i="17"/>
  <c r="B348" i="17"/>
  <c r="C348" i="17"/>
  <c r="D348" i="17"/>
  <c r="E348" i="17"/>
  <c r="F348" i="17"/>
  <c r="B349" i="17"/>
  <c r="C349" i="17"/>
  <c r="D349" i="17"/>
  <c r="E349" i="17"/>
  <c r="F349" i="17"/>
  <c r="B350" i="17"/>
  <c r="C350" i="17"/>
  <c r="D350" i="17"/>
  <c r="E350" i="17"/>
  <c r="F350" i="17"/>
  <c r="B351" i="17"/>
  <c r="C351" i="17"/>
  <c r="D351" i="17"/>
  <c r="E351" i="17"/>
  <c r="F351" i="17"/>
  <c r="B352" i="17"/>
  <c r="C352" i="17"/>
  <c r="D352" i="17"/>
  <c r="E352" i="17"/>
  <c r="F352" i="17"/>
  <c r="B353" i="17"/>
  <c r="C353" i="17"/>
  <c r="D353" i="17"/>
  <c r="E353" i="17"/>
  <c r="F353" i="17"/>
  <c r="B354" i="17"/>
  <c r="C354" i="17"/>
  <c r="D354" i="17"/>
  <c r="E354" i="17"/>
  <c r="F354" i="17"/>
  <c r="B355" i="17"/>
  <c r="C355" i="17"/>
  <c r="D355" i="17"/>
  <c r="E355" i="17"/>
  <c r="F355" i="17"/>
  <c r="B356" i="17"/>
  <c r="C356" i="17"/>
  <c r="D356" i="17"/>
  <c r="E356" i="17"/>
  <c r="F356" i="17"/>
  <c r="B357" i="17"/>
  <c r="C357" i="17"/>
  <c r="D357" i="17"/>
  <c r="E357" i="17"/>
  <c r="F357" i="17"/>
  <c r="B358" i="17"/>
  <c r="C358" i="17"/>
  <c r="D358" i="17"/>
  <c r="E358" i="17"/>
  <c r="F358" i="17"/>
  <c r="B359" i="17"/>
  <c r="C359" i="17"/>
  <c r="D359" i="17"/>
  <c r="E359" i="17"/>
  <c r="F359" i="17"/>
  <c r="B360" i="17"/>
  <c r="C360" i="17"/>
  <c r="D360" i="17"/>
  <c r="E360" i="17"/>
  <c r="F360" i="17"/>
  <c r="B361" i="17"/>
  <c r="C361" i="17"/>
  <c r="D361" i="17"/>
  <c r="E361" i="17"/>
  <c r="F361" i="17"/>
  <c r="B362" i="17"/>
  <c r="C362" i="17"/>
  <c r="D362" i="17"/>
  <c r="E362" i="17"/>
  <c r="F362" i="17"/>
  <c r="B363" i="17"/>
  <c r="C363" i="17"/>
  <c r="D363" i="17"/>
  <c r="E363" i="17"/>
  <c r="F363" i="17"/>
  <c r="B364" i="17"/>
  <c r="C364" i="17"/>
  <c r="D364" i="17"/>
  <c r="E364" i="17"/>
  <c r="F364" i="17"/>
  <c r="B365" i="17"/>
  <c r="C365" i="17"/>
  <c r="D365" i="17"/>
  <c r="E365" i="17"/>
  <c r="F365" i="17"/>
  <c r="B366" i="17"/>
  <c r="C366" i="17"/>
  <c r="D366" i="17"/>
  <c r="E366" i="17"/>
  <c r="F366" i="17"/>
  <c r="B367" i="17"/>
  <c r="C367" i="17"/>
  <c r="D367" i="17"/>
  <c r="E367" i="17"/>
  <c r="F367" i="17"/>
  <c r="B368" i="17"/>
  <c r="C368" i="17"/>
  <c r="D368" i="17"/>
  <c r="E368" i="17"/>
  <c r="F368" i="17"/>
  <c r="B369" i="17"/>
  <c r="C369" i="17"/>
  <c r="D369" i="17"/>
  <c r="E369" i="17"/>
  <c r="F369" i="17"/>
  <c r="B370" i="17"/>
  <c r="C370" i="17"/>
  <c r="D370" i="17"/>
  <c r="E370" i="17"/>
  <c r="F370" i="17"/>
  <c r="B371" i="17"/>
  <c r="C371" i="17"/>
  <c r="D371" i="17"/>
  <c r="E371" i="17"/>
  <c r="F371" i="17"/>
  <c r="B372" i="17"/>
  <c r="C372" i="17"/>
  <c r="D372" i="17"/>
  <c r="E372" i="17"/>
  <c r="F372" i="17"/>
  <c r="B373" i="17"/>
  <c r="C373" i="17"/>
  <c r="D373" i="17"/>
  <c r="E373" i="17"/>
  <c r="F373" i="17"/>
  <c r="B374" i="17"/>
  <c r="C374" i="17"/>
  <c r="D374" i="17"/>
  <c r="E374" i="17"/>
  <c r="F374" i="17"/>
  <c r="B375" i="17"/>
  <c r="C375" i="17"/>
  <c r="D375" i="17"/>
  <c r="E375" i="17"/>
  <c r="F375" i="17"/>
  <c r="B376" i="17"/>
  <c r="C376" i="17"/>
  <c r="D376" i="17"/>
  <c r="E376" i="17"/>
  <c r="F376" i="17"/>
  <c r="B377" i="17"/>
  <c r="C377" i="17"/>
  <c r="D377" i="17"/>
  <c r="E377" i="17"/>
  <c r="F377" i="17"/>
  <c r="B378" i="17"/>
  <c r="C378" i="17"/>
  <c r="D378" i="17"/>
  <c r="E378" i="17"/>
  <c r="F378" i="17"/>
  <c r="B379" i="17"/>
  <c r="C379" i="17"/>
  <c r="D379" i="17"/>
  <c r="E379" i="17"/>
  <c r="F379" i="17"/>
  <c r="B380" i="17"/>
  <c r="C380" i="17"/>
  <c r="D380" i="17"/>
  <c r="E380" i="17"/>
  <c r="F380" i="17"/>
  <c r="B381" i="17"/>
  <c r="C381" i="17"/>
  <c r="D381" i="17"/>
  <c r="E381" i="17"/>
  <c r="F381" i="17"/>
  <c r="B382" i="17"/>
  <c r="C382" i="17"/>
  <c r="D382" i="17"/>
  <c r="E382" i="17"/>
  <c r="F382" i="17"/>
  <c r="B383" i="17"/>
  <c r="C383" i="17"/>
  <c r="D383" i="17"/>
  <c r="E383" i="17"/>
  <c r="F383" i="17"/>
  <c r="B384" i="17"/>
  <c r="C384" i="17"/>
  <c r="D384" i="17"/>
  <c r="E384" i="17"/>
  <c r="F384" i="17"/>
  <c r="B385" i="17"/>
  <c r="C385" i="17"/>
  <c r="D385" i="17"/>
  <c r="E385" i="17"/>
  <c r="F385" i="17"/>
  <c r="B386" i="17"/>
  <c r="C386" i="17"/>
  <c r="D386" i="17"/>
  <c r="E386" i="17"/>
  <c r="F386" i="17"/>
  <c r="B387" i="17"/>
  <c r="C387" i="17"/>
  <c r="D387" i="17"/>
  <c r="E387" i="17"/>
  <c r="F387" i="17"/>
  <c r="B388" i="17"/>
  <c r="C388" i="17"/>
  <c r="D388" i="17"/>
  <c r="E388" i="17"/>
  <c r="F388" i="17"/>
  <c r="B389" i="17"/>
  <c r="C389" i="17"/>
  <c r="D389" i="17"/>
  <c r="E389" i="17"/>
  <c r="F389" i="17"/>
  <c r="B390" i="17"/>
  <c r="C390" i="17"/>
  <c r="D390" i="17"/>
  <c r="E390" i="17"/>
  <c r="F390" i="17"/>
  <c r="B391" i="17"/>
  <c r="C391" i="17"/>
  <c r="D391" i="17"/>
  <c r="E391" i="17"/>
  <c r="F391" i="17"/>
  <c r="B392" i="17"/>
  <c r="C392" i="17"/>
  <c r="D392" i="17"/>
  <c r="E392" i="17"/>
  <c r="F392" i="17"/>
  <c r="B393" i="17"/>
  <c r="C393" i="17"/>
  <c r="D393" i="17"/>
  <c r="E393" i="17"/>
  <c r="F393" i="17"/>
  <c r="B394" i="17"/>
  <c r="C394" i="17"/>
  <c r="D394" i="17"/>
  <c r="E394" i="17"/>
  <c r="F394" i="17"/>
  <c r="B395" i="17"/>
  <c r="C395" i="17"/>
  <c r="D395" i="17"/>
  <c r="E395" i="17"/>
  <c r="F395" i="17"/>
  <c r="B396" i="17"/>
  <c r="C396" i="17"/>
  <c r="D396" i="17"/>
  <c r="E396" i="17"/>
  <c r="F396" i="17"/>
  <c r="B397" i="17"/>
  <c r="C397" i="17"/>
  <c r="D397" i="17"/>
  <c r="E397" i="17"/>
  <c r="F397" i="17"/>
  <c r="B398" i="17"/>
  <c r="C398" i="17"/>
  <c r="D398" i="17"/>
  <c r="E398" i="17"/>
  <c r="F398" i="17"/>
  <c r="B399" i="17"/>
  <c r="C399" i="17"/>
  <c r="D399" i="17"/>
  <c r="E399" i="17"/>
  <c r="F399" i="17"/>
  <c r="B400" i="17"/>
  <c r="C400" i="17"/>
  <c r="D400" i="17"/>
  <c r="E400" i="17"/>
  <c r="F400" i="17"/>
  <c r="B401" i="17"/>
  <c r="C401" i="17"/>
  <c r="D401" i="17"/>
  <c r="E401" i="17"/>
  <c r="F401" i="17"/>
  <c r="B402" i="17"/>
  <c r="C402" i="17"/>
  <c r="D402" i="17"/>
  <c r="E402" i="17"/>
  <c r="F402" i="17"/>
  <c r="B403" i="17"/>
  <c r="C403" i="17"/>
  <c r="D403" i="17"/>
  <c r="E403" i="17"/>
  <c r="F403" i="17"/>
  <c r="B404" i="17"/>
  <c r="C404" i="17"/>
  <c r="D404" i="17"/>
  <c r="E404" i="17"/>
  <c r="F404" i="17"/>
  <c r="B405" i="17"/>
  <c r="C405" i="17"/>
  <c r="D405" i="17"/>
  <c r="E405" i="17"/>
  <c r="F405" i="17"/>
  <c r="B406" i="17"/>
  <c r="C406" i="17"/>
  <c r="D406" i="17"/>
  <c r="E406" i="17"/>
  <c r="F406" i="17"/>
  <c r="B407" i="17"/>
  <c r="C407" i="17"/>
  <c r="D407" i="17"/>
  <c r="E407" i="17"/>
  <c r="F407" i="17"/>
  <c r="B408" i="17"/>
  <c r="C408" i="17"/>
  <c r="D408" i="17"/>
  <c r="E408" i="17"/>
  <c r="F408" i="17"/>
  <c r="B409" i="17"/>
  <c r="C409" i="17"/>
  <c r="D409" i="17"/>
  <c r="E409" i="17"/>
  <c r="F409" i="17"/>
  <c r="B410" i="17"/>
  <c r="C410" i="17"/>
  <c r="D410" i="17"/>
  <c r="E410" i="17"/>
  <c r="F410" i="17"/>
  <c r="B411" i="17"/>
  <c r="C411" i="17"/>
  <c r="D411" i="17"/>
  <c r="E411" i="17"/>
  <c r="F411" i="17"/>
  <c r="B412" i="17"/>
  <c r="C412" i="17"/>
  <c r="D412" i="17"/>
  <c r="E412" i="17"/>
  <c r="F412" i="17"/>
  <c r="B413" i="17"/>
  <c r="C413" i="17"/>
  <c r="D413" i="17"/>
  <c r="E413" i="17"/>
  <c r="F413" i="17"/>
  <c r="B414" i="17"/>
  <c r="C414" i="17"/>
  <c r="D414" i="17"/>
  <c r="E414" i="17"/>
  <c r="F414" i="17"/>
  <c r="B415" i="17"/>
  <c r="C415" i="17"/>
  <c r="D415" i="17"/>
  <c r="E415" i="17"/>
  <c r="F415" i="17"/>
  <c r="B416" i="17"/>
  <c r="C416" i="17"/>
  <c r="D416" i="17"/>
  <c r="E416" i="17"/>
  <c r="F416" i="17"/>
  <c r="B417" i="17"/>
  <c r="C417" i="17"/>
  <c r="D417" i="17"/>
  <c r="E417" i="17"/>
  <c r="F417" i="17"/>
  <c r="B418" i="17"/>
  <c r="C418" i="17"/>
  <c r="D418" i="17"/>
  <c r="E418" i="17"/>
  <c r="F418" i="17"/>
  <c r="B419" i="17"/>
  <c r="C419" i="17"/>
  <c r="D419" i="17"/>
  <c r="E419" i="17"/>
  <c r="F419" i="17"/>
  <c r="B420" i="17"/>
  <c r="C420" i="17"/>
  <c r="D420" i="17"/>
  <c r="E420" i="17"/>
  <c r="F420" i="17"/>
  <c r="B421" i="17"/>
  <c r="C421" i="17"/>
  <c r="D421" i="17"/>
  <c r="E421" i="17"/>
  <c r="F421" i="17"/>
  <c r="B422" i="17"/>
  <c r="C422" i="17"/>
  <c r="D422" i="17"/>
  <c r="E422" i="17"/>
  <c r="F422" i="17"/>
  <c r="B423" i="17"/>
  <c r="C423" i="17"/>
  <c r="D423" i="17"/>
  <c r="E423" i="17"/>
  <c r="F423" i="17"/>
  <c r="B424" i="17"/>
  <c r="C424" i="17"/>
  <c r="D424" i="17"/>
  <c r="E424" i="17"/>
  <c r="F424" i="17"/>
  <c r="B425" i="17"/>
  <c r="C425" i="17"/>
  <c r="D425" i="17"/>
  <c r="E425" i="17"/>
  <c r="F425" i="17"/>
  <c r="B426" i="17"/>
  <c r="C426" i="17"/>
  <c r="D426" i="17"/>
  <c r="E426" i="17"/>
  <c r="F426" i="17"/>
  <c r="B427" i="17"/>
  <c r="C427" i="17"/>
  <c r="D427" i="17"/>
  <c r="E427" i="17"/>
  <c r="F427" i="17"/>
  <c r="B428" i="17"/>
  <c r="C428" i="17"/>
  <c r="D428" i="17"/>
  <c r="E428" i="17"/>
  <c r="F428" i="17"/>
  <c r="B429" i="17"/>
  <c r="C429" i="17"/>
  <c r="D429" i="17"/>
  <c r="E429" i="17"/>
  <c r="F429" i="17"/>
  <c r="B430" i="17"/>
  <c r="C430" i="17"/>
  <c r="D430" i="17"/>
  <c r="E430" i="17"/>
  <c r="F430" i="17"/>
  <c r="B431" i="17"/>
  <c r="C431" i="17"/>
  <c r="D431" i="17"/>
  <c r="E431" i="17"/>
  <c r="F431" i="17"/>
  <c r="B432" i="17"/>
  <c r="C432" i="17"/>
  <c r="D432" i="17"/>
  <c r="E432" i="17"/>
  <c r="F432" i="17"/>
  <c r="B433" i="17"/>
  <c r="C433" i="17"/>
  <c r="D433" i="17"/>
  <c r="E433" i="17"/>
  <c r="F433" i="17"/>
  <c r="B434" i="17"/>
  <c r="C434" i="17"/>
  <c r="D434" i="17"/>
  <c r="E434" i="17"/>
  <c r="F434" i="17"/>
  <c r="B435" i="17"/>
  <c r="C435" i="17"/>
  <c r="D435" i="17"/>
  <c r="E435" i="17"/>
  <c r="F435" i="17"/>
  <c r="B436" i="17"/>
  <c r="C436" i="17"/>
  <c r="D436" i="17"/>
  <c r="E436" i="17"/>
  <c r="F436" i="17"/>
  <c r="B437" i="17"/>
  <c r="C437" i="17"/>
  <c r="D437" i="17"/>
  <c r="E437" i="17"/>
  <c r="F437" i="17"/>
  <c r="B438" i="17"/>
  <c r="C438" i="17"/>
  <c r="D438" i="17"/>
  <c r="E438" i="17"/>
  <c r="F438" i="17"/>
  <c r="B439" i="17"/>
  <c r="C439" i="17"/>
  <c r="D439" i="17"/>
  <c r="E439" i="17"/>
  <c r="F439" i="17"/>
  <c r="B440" i="17"/>
  <c r="C440" i="17"/>
  <c r="D440" i="17"/>
  <c r="E440" i="17"/>
  <c r="F440" i="17"/>
  <c r="B441" i="17"/>
  <c r="C441" i="17"/>
  <c r="D441" i="17"/>
  <c r="E441" i="17"/>
  <c r="F441" i="17"/>
  <c r="B442" i="17"/>
  <c r="C442" i="17"/>
  <c r="D442" i="17"/>
  <c r="E442" i="17"/>
  <c r="F442" i="17"/>
  <c r="B443" i="17"/>
  <c r="C443" i="17"/>
  <c r="D443" i="17"/>
  <c r="E443" i="17"/>
  <c r="F443" i="17"/>
  <c r="B444" i="17"/>
  <c r="C444" i="17"/>
  <c r="D444" i="17"/>
  <c r="E444" i="17"/>
  <c r="F444" i="17"/>
  <c r="B445" i="17"/>
  <c r="C445" i="17"/>
  <c r="D445" i="17"/>
  <c r="E445" i="17"/>
  <c r="F445" i="17"/>
  <c r="B446" i="17"/>
  <c r="C446" i="17"/>
  <c r="D446" i="17"/>
  <c r="E446" i="17"/>
  <c r="F446" i="17"/>
  <c r="B447" i="17"/>
  <c r="C447" i="17"/>
  <c r="D447" i="17"/>
  <c r="E447" i="17"/>
  <c r="F447" i="17"/>
  <c r="B448" i="17"/>
  <c r="C448" i="17"/>
  <c r="D448" i="17"/>
  <c r="E448" i="17"/>
  <c r="F448" i="17"/>
  <c r="B449" i="17"/>
  <c r="C449" i="17"/>
  <c r="D449" i="17"/>
  <c r="E449" i="17"/>
  <c r="F449" i="17"/>
  <c r="B450" i="17"/>
  <c r="C450" i="17"/>
  <c r="D450" i="17"/>
  <c r="E450" i="17"/>
  <c r="F450" i="17"/>
  <c r="B451" i="17"/>
  <c r="C451" i="17"/>
  <c r="D451" i="17"/>
  <c r="E451" i="17"/>
  <c r="F451" i="17"/>
  <c r="B452" i="17"/>
  <c r="C452" i="17"/>
  <c r="D452" i="17"/>
  <c r="E452" i="17"/>
  <c r="F452" i="17"/>
  <c r="B453" i="17"/>
  <c r="C453" i="17"/>
  <c r="D453" i="17"/>
  <c r="E453" i="17"/>
  <c r="F453" i="17"/>
  <c r="B454" i="17"/>
  <c r="C454" i="17"/>
  <c r="D454" i="17"/>
  <c r="E454" i="17"/>
  <c r="F454" i="17"/>
  <c r="B455" i="17"/>
  <c r="C455" i="17"/>
  <c r="D455" i="17"/>
  <c r="E455" i="17"/>
  <c r="F455" i="17"/>
  <c r="B456" i="17"/>
  <c r="C456" i="17"/>
  <c r="D456" i="17"/>
  <c r="E456" i="17"/>
  <c r="F456" i="17"/>
  <c r="B457" i="17"/>
  <c r="C457" i="17"/>
  <c r="D457" i="17"/>
  <c r="E457" i="17"/>
  <c r="F457" i="17"/>
  <c r="B458" i="17"/>
  <c r="C458" i="17"/>
  <c r="D458" i="17"/>
  <c r="E458" i="17"/>
  <c r="F458" i="17"/>
  <c r="B459" i="17"/>
  <c r="C459" i="17"/>
  <c r="D459" i="17"/>
  <c r="E459" i="17"/>
  <c r="F459" i="17"/>
  <c r="B460" i="17"/>
  <c r="C460" i="17"/>
  <c r="D460" i="17"/>
  <c r="E460" i="17"/>
  <c r="F460" i="17"/>
  <c r="B461" i="17"/>
  <c r="C461" i="17"/>
  <c r="D461" i="17"/>
  <c r="E461" i="17"/>
  <c r="F461" i="17"/>
  <c r="B462" i="17"/>
  <c r="C462" i="17"/>
  <c r="D462" i="17"/>
  <c r="E462" i="17"/>
  <c r="F462" i="17"/>
  <c r="B463" i="17"/>
  <c r="C463" i="17"/>
  <c r="D463" i="17"/>
  <c r="E463" i="17"/>
  <c r="F463" i="17"/>
  <c r="B464" i="17"/>
  <c r="C464" i="17"/>
  <c r="D464" i="17"/>
  <c r="E464" i="17"/>
  <c r="F464" i="17"/>
  <c r="B465" i="17"/>
  <c r="C465" i="17"/>
  <c r="D465" i="17"/>
  <c r="E465" i="17"/>
  <c r="F465" i="17"/>
  <c r="B466" i="17"/>
  <c r="C466" i="17"/>
  <c r="D466" i="17"/>
  <c r="E466" i="17"/>
  <c r="F466" i="17"/>
  <c r="B467" i="17"/>
  <c r="C467" i="17"/>
  <c r="D467" i="17"/>
  <c r="E467" i="17"/>
  <c r="F467" i="17"/>
  <c r="B468" i="17"/>
  <c r="C468" i="17"/>
  <c r="D468" i="17"/>
  <c r="E468" i="17"/>
  <c r="F468" i="17"/>
  <c r="B469" i="17"/>
  <c r="C469" i="17"/>
  <c r="D469" i="17"/>
  <c r="E469" i="17"/>
  <c r="F469" i="17"/>
  <c r="B470" i="17"/>
  <c r="C470" i="17"/>
  <c r="D470" i="17"/>
  <c r="E470" i="17"/>
  <c r="F470" i="17"/>
  <c r="B471" i="17"/>
  <c r="C471" i="17"/>
  <c r="D471" i="17"/>
  <c r="E471" i="17"/>
  <c r="F471" i="17"/>
  <c r="B472" i="17"/>
  <c r="C472" i="17"/>
  <c r="D472" i="17"/>
  <c r="E472" i="17"/>
  <c r="F472" i="17"/>
  <c r="B473" i="17"/>
  <c r="C473" i="17"/>
  <c r="D473" i="17"/>
  <c r="E473" i="17"/>
  <c r="F473" i="17"/>
  <c r="B474" i="17"/>
  <c r="C474" i="17"/>
  <c r="D474" i="17"/>
  <c r="E474" i="17"/>
  <c r="F474" i="17"/>
  <c r="B475" i="17"/>
  <c r="C475" i="17"/>
  <c r="D475" i="17"/>
  <c r="E475" i="17"/>
  <c r="F475" i="17"/>
  <c r="B476" i="17"/>
  <c r="C476" i="17"/>
  <c r="D476" i="17"/>
  <c r="E476" i="17"/>
  <c r="F476" i="17"/>
  <c r="B477" i="17"/>
  <c r="C477" i="17"/>
  <c r="D477" i="17"/>
  <c r="E477" i="17"/>
  <c r="F477" i="17"/>
  <c r="B478" i="17"/>
  <c r="C478" i="17"/>
  <c r="D478" i="17"/>
  <c r="E478" i="17"/>
  <c r="F478" i="17"/>
  <c r="B479" i="17"/>
  <c r="C479" i="17"/>
  <c r="D479" i="17"/>
  <c r="E479" i="17"/>
  <c r="F479" i="17"/>
  <c r="B480" i="17"/>
  <c r="C480" i="17"/>
  <c r="D480" i="17"/>
  <c r="E480" i="17"/>
  <c r="F480" i="17"/>
  <c r="B481" i="17"/>
  <c r="C481" i="17"/>
  <c r="D481" i="17"/>
  <c r="E481" i="17"/>
  <c r="F481" i="17"/>
  <c r="B482" i="17"/>
  <c r="C482" i="17"/>
  <c r="D482" i="17"/>
  <c r="E482" i="17"/>
  <c r="F482" i="17"/>
  <c r="B483" i="17"/>
  <c r="C483" i="17"/>
  <c r="D483" i="17"/>
  <c r="E483" i="17"/>
  <c r="F483" i="17"/>
  <c r="B484" i="17"/>
  <c r="C484" i="17"/>
  <c r="D484" i="17"/>
  <c r="E484" i="17"/>
  <c r="F484" i="17"/>
  <c r="B485" i="17"/>
  <c r="C485" i="17"/>
  <c r="D485" i="17"/>
  <c r="E485" i="17"/>
  <c r="F485" i="17"/>
  <c r="B486" i="17"/>
  <c r="C486" i="17"/>
  <c r="D486" i="17"/>
  <c r="E486" i="17"/>
  <c r="F486" i="17"/>
  <c r="B487" i="17"/>
  <c r="C487" i="17"/>
  <c r="D487" i="17"/>
  <c r="E487" i="17"/>
  <c r="F487" i="17"/>
  <c r="B488" i="17"/>
  <c r="C488" i="17"/>
  <c r="D488" i="17"/>
  <c r="E488" i="17"/>
  <c r="F488" i="17"/>
  <c r="B489" i="17"/>
  <c r="C489" i="17"/>
  <c r="D489" i="17"/>
  <c r="E489" i="17"/>
  <c r="F489" i="17"/>
  <c r="B490" i="17"/>
  <c r="C490" i="17"/>
  <c r="D490" i="17"/>
  <c r="E490" i="17"/>
  <c r="F490" i="17"/>
  <c r="B491" i="17"/>
  <c r="C491" i="17"/>
  <c r="D491" i="17"/>
  <c r="E491" i="17"/>
  <c r="F491" i="17"/>
  <c r="B492" i="17"/>
  <c r="C492" i="17"/>
  <c r="D492" i="17"/>
  <c r="E492" i="17"/>
  <c r="F492" i="17"/>
  <c r="B493" i="17"/>
  <c r="C493" i="17"/>
  <c r="D493" i="17"/>
  <c r="E493" i="17"/>
  <c r="F493" i="17"/>
  <c r="B494" i="17"/>
  <c r="C494" i="17"/>
  <c r="D494" i="17"/>
  <c r="E494" i="17"/>
  <c r="F494" i="17"/>
  <c r="B495" i="17"/>
  <c r="C495" i="17"/>
  <c r="D495" i="17"/>
  <c r="E495" i="17"/>
  <c r="F495" i="17"/>
  <c r="B496" i="17"/>
  <c r="C496" i="17"/>
  <c r="D496" i="17"/>
  <c r="E496" i="17"/>
  <c r="F496" i="17"/>
  <c r="B497" i="17"/>
  <c r="C497" i="17"/>
  <c r="D497" i="17"/>
  <c r="E497" i="17"/>
  <c r="F497" i="17"/>
  <c r="B498" i="17"/>
  <c r="C498" i="17"/>
  <c r="D498" i="17"/>
  <c r="E498" i="17"/>
  <c r="F498" i="17"/>
  <c r="B499" i="17"/>
  <c r="C499" i="17"/>
  <c r="D499" i="17"/>
  <c r="E499" i="17"/>
  <c r="F499" i="17"/>
  <c r="B500" i="17"/>
  <c r="C500" i="17"/>
  <c r="D500" i="17"/>
  <c r="E500" i="17"/>
  <c r="F500" i="17"/>
  <c r="B501" i="17"/>
  <c r="C501" i="17"/>
  <c r="D501" i="17"/>
  <c r="E501" i="17"/>
  <c r="F501" i="17"/>
  <c r="B502" i="17"/>
  <c r="C502" i="17"/>
  <c r="D502" i="17"/>
  <c r="E502" i="17"/>
  <c r="F502" i="17"/>
  <c r="B503" i="17"/>
  <c r="C503" i="17"/>
  <c r="D503" i="17"/>
  <c r="E503" i="17"/>
  <c r="F503" i="17"/>
  <c r="B504" i="17"/>
  <c r="C504" i="17"/>
  <c r="D504" i="17"/>
  <c r="E504" i="17"/>
  <c r="F504" i="17"/>
  <c r="B505" i="17"/>
  <c r="C505" i="17"/>
  <c r="D505" i="17"/>
  <c r="E505" i="17"/>
  <c r="F505" i="17"/>
  <c r="B506" i="17"/>
  <c r="C506" i="17"/>
  <c r="D506" i="17"/>
  <c r="E506" i="17"/>
  <c r="F506" i="17"/>
  <c r="B507" i="17"/>
  <c r="C507" i="17"/>
  <c r="D507" i="17"/>
  <c r="E507" i="17"/>
  <c r="F507" i="17"/>
  <c r="B508" i="17"/>
  <c r="C508" i="17"/>
  <c r="D508" i="17"/>
  <c r="E508" i="17"/>
  <c r="F508" i="17"/>
  <c r="B509" i="17"/>
  <c r="C509" i="17"/>
  <c r="D509" i="17"/>
  <c r="E509" i="17"/>
  <c r="F509" i="17"/>
  <c r="B510" i="17"/>
  <c r="C510" i="17"/>
  <c r="D510" i="17"/>
  <c r="E510" i="17"/>
  <c r="F510" i="17"/>
  <c r="B511" i="17"/>
  <c r="C511" i="17"/>
  <c r="D511" i="17"/>
  <c r="E511" i="17"/>
  <c r="F511" i="17"/>
  <c r="B512" i="17"/>
  <c r="C512" i="17"/>
  <c r="D512" i="17"/>
  <c r="E512" i="17"/>
  <c r="F512" i="17"/>
  <c r="B513" i="17"/>
  <c r="C513" i="17"/>
  <c r="D513" i="17"/>
  <c r="E513" i="17"/>
  <c r="F513" i="17"/>
  <c r="B514" i="17"/>
  <c r="C514" i="17"/>
  <c r="D514" i="17"/>
  <c r="E514" i="17"/>
  <c r="F514" i="17"/>
  <c r="B515" i="17"/>
  <c r="C515" i="17"/>
  <c r="D515" i="17"/>
  <c r="E515" i="17"/>
  <c r="F515" i="17"/>
  <c r="B516" i="17"/>
  <c r="C516" i="17"/>
  <c r="D516" i="17"/>
  <c r="E516" i="17"/>
  <c r="F516" i="17"/>
  <c r="B517" i="17"/>
  <c r="C517" i="17"/>
  <c r="D517" i="17"/>
  <c r="E517" i="17"/>
  <c r="F517" i="17"/>
  <c r="B518" i="17"/>
  <c r="C518" i="17"/>
  <c r="D518" i="17"/>
  <c r="E518" i="17"/>
  <c r="F518" i="17"/>
  <c r="B519" i="17"/>
  <c r="C519" i="17"/>
  <c r="D519" i="17"/>
  <c r="E519" i="17"/>
  <c r="F519" i="17"/>
  <c r="B520" i="17"/>
  <c r="C520" i="17"/>
  <c r="D520" i="17"/>
  <c r="E520" i="17"/>
  <c r="F520" i="17"/>
  <c r="B521" i="17"/>
  <c r="C521" i="17"/>
  <c r="D521" i="17"/>
  <c r="E521" i="17"/>
  <c r="F521" i="17"/>
  <c r="B522" i="17"/>
  <c r="C522" i="17"/>
  <c r="D522" i="17"/>
  <c r="E522" i="17"/>
  <c r="F522" i="17"/>
  <c r="B523" i="17"/>
  <c r="C523" i="17"/>
  <c r="D523" i="17"/>
  <c r="E523" i="17"/>
  <c r="F523" i="17"/>
  <c r="B524" i="17"/>
  <c r="C524" i="17"/>
  <c r="D524" i="17"/>
  <c r="E524" i="17"/>
  <c r="F524" i="17"/>
  <c r="B525" i="17"/>
  <c r="C525" i="17"/>
  <c r="D525" i="17"/>
  <c r="E525" i="17"/>
  <c r="F525" i="17"/>
  <c r="B526" i="17"/>
  <c r="C526" i="17"/>
  <c r="D526" i="17"/>
  <c r="E526" i="17"/>
  <c r="F526" i="17"/>
  <c r="B527" i="17"/>
  <c r="C527" i="17"/>
  <c r="D527" i="17"/>
  <c r="E527" i="17"/>
  <c r="F527" i="17"/>
  <c r="B528" i="17"/>
  <c r="C528" i="17"/>
  <c r="D528" i="17"/>
  <c r="E528" i="17"/>
  <c r="F528" i="17"/>
  <c r="B529" i="17"/>
  <c r="C529" i="17"/>
  <c r="D529" i="17"/>
  <c r="E529" i="17"/>
  <c r="F529" i="17"/>
  <c r="B530" i="17"/>
  <c r="C530" i="17"/>
  <c r="D530" i="17"/>
  <c r="E530" i="17"/>
  <c r="F530" i="17"/>
  <c r="B531" i="17"/>
  <c r="C531" i="17"/>
  <c r="D531" i="17"/>
  <c r="E531" i="17"/>
  <c r="F531" i="17"/>
  <c r="B532" i="17"/>
  <c r="C532" i="17"/>
  <c r="D532" i="17"/>
  <c r="E532" i="17"/>
  <c r="F532" i="17"/>
  <c r="B533" i="17"/>
  <c r="C533" i="17"/>
  <c r="D533" i="17"/>
  <c r="E533" i="17"/>
  <c r="F533" i="17"/>
  <c r="B534" i="17"/>
  <c r="C534" i="17"/>
  <c r="D534" i="17"/>
  <c r="E534" i="17"/>
  <c r="F534" i="17"/>
  <c r="B535" i="17"/>
  <c r="C535" i="17"/>
  <c r="D535" i="17"/>
  <c r="E535" i="17"/>
  <c r="F535" i="17"/>
  <c r="B536" i="17"/>
  <c r="C536" i="17"/>
  <c r="D536" i="17"/>
  <c r="E536" i="17"/>
  <c r="F536" i="17"/>
  <c r="B537" i="17"/>
  <c r="C537" i="17"/>
  <c r="D537" i="17"/>
  <c r="E537" i="17"/>
  <c r="F537" i="17"/>
  <c r="B538" i="17"/>
  <c r="C538" i="17"/>
  <c r="D538" i="17"/>
  <c r="E538" i="17"/>
  <c r="F538" i="17"/>
  <c r="B539" i="17"/>
  <c r="C539" i="17"/>
  <c r="D539" i="17"/>
  <c r="E539" i="17"/>
  <c r="F539" i="17"/>
  <c r="B540" i="17"/>
  <c r="C540" i="17"/>
  <c r="D540" i="17"/>
  <c r="E540" i="17"/>
  <c r="F540" i="17"/>
  <c r="B541" i="17"/>
  <c r="C541" i="17"/>
  <c r="D541" i="17"/>
  <c r="E541" i="17"/>
  <c r="F541" i="17"/>
  <c r="B542" i="17"/>
  <c r="C542" i="17"/>
  <c r="D542" i="17"/>
  <c r="E542" i="17"/>
  <c r="F542" i="17"/>
  <c r="B543" i="17"/>
  <c r="C543" i="17"/>
  <c r="D543" i="17"/>
  <c r="E543" i="17"/>
  <c r="F543" i="17"/>
  <c r="B544" i="17"/>
  <c r="C544" i="17"/>
  <c r="D544" i="17"/>
  <c r="E544" i="17"/>
  <c r="F544" i="17"/>
  <c r="B545" i="17"/>
  <c r="C545" i="17"/>
  <c r="D545" i="17"/>
  <c r="E545" i="17"/>
  <c r="F545" i="17"/>
  <c r="B546" i="17"/>
  <c r="C546" i="17"/>
  <c r="D546" i="17"/>
  <c r="E546" i="17"/>
  <c r="F546" i="17"/>
  <c r="B547" i="17"/>
  <c r="C547" i="17"/>
  <c r="D547" i="17"/>
  <c r="E547" i="17"/>
  <c r="F547" i="17"/>
  <c r="B548" i="17"/>
  <c r="C548" i="17"/>
  <c r="D548" i="17"/>
  <c r="E548" i="17"/>
  <c r="F548" i="17"/>
  <c r="B549" i="17"/>
  <c r="C549" i="17"/>
  <c r="D549" i="17"/>
  <c r="E549" i="17"/>
  <c r="F549" i="17"/>
  <c r="B550" i="17"/>
  <c r="C550" i="17"/>
  <c r="D550" i="17"/>
  <c r="E550" i="17"/>
  <c r="F550" i="17"/>
  <c r="B551" i="17"/>
  <c r="C551" i="17"/>
  <c r="D551" i="17"/>
  <c r="E551" i="17"/>
  <c r="F551" i="17"/>
  <c r="B552" i="17"/>
  <c r="C552" i="17"/>
  <c r="D552" i="17"/>
  <c r="E552" i="17"/>
  <c r="F552" i="17"/>
  <c r="B553" i="17"/>
  <c r="C553" i="17"/>
  <c r="D553" i="17"/>
  <c r="E553" i="17"/>
  <c r="F553" i="17"/>
  <c r="B554" i="17"/>
  <c r="C554" i="17"/>
  <c r="D554" i="17"/>
  <c r="E554" i="17"/>
  <c r="F554" i="17"/>
  <c r="B555" i="17"/>
  <c r="C555" i="17"/>
  <c r="D555" i="17"/>
  <c r="E555" i="17"/>
  <c r="F555" i="17"/>
  <c r="B556" i="17"/>
  <c r="C556" i="17"/>
  <c r="D556" i="17"/>
  <c r="E556" i="17"/>
  <c r="F556" i="17"/>
  <c r="B557" i="17"/>
  <c r="C557" i="17"/>
  <c r="D557" i="17"/>
  <c r="E557" i="17"/>
  <c r="F557" i="17"/>
  <c r="B558" i="17"/>
  <c r="C558" i="17"/>
  <c r="D558" i="17"/>
  <c r="E558" i="17"/>
  <c r="F558" i="17"/>
  <c r="B559" i="17"/>
  <c r="C559" i="17"/>
  <c r="D559" i="17"/>
  <c r="E559" i="17"/>
  <c r="F559" i="17"/>
  <c r="B560" i="17"/>
  <c r="C560" i="17"/>
  <c r="D560" i="17"/>
  <c r="E560" i="17"/>
  <c r="F560" i="17"/>
  <c r="B561" i="17"/>
  <c r="C561" i="17"/>
  <c r="D561" i="17"/>
  <c r="E561" i="17"/>
  <c r="F561" i="17"/>
  <c r="B562" i="17"/>
  <c r="C562" i="17"/>
  <c r="D562" i="17"/>
  <c r="E562" i="17"/>
  <c r="F562" i="17"/>
  <c r="B563" i="17"/>
  <c r="C563" i="17"/>
  <c r="D563" i="17"/>
  <c r="E563" i="17"/>
  <c r="F563" i="17"/>
  <c r="B564" i="17"/>
  <c r="C564" i="17"/>
  <c r="D564" i="17"/>
  <c r="E564" i="17"/>
  <c r="F564" i="17"/>
  <c r="B565" i="17"/>
  <c r="C565" i="17"/>
  <c r="D565" i="17"/>
  <c r="E565" i="17"/>
  <c r="F565" i="17"/>
  <c r="B566" i="17"/>
  <c r="C566" i="17"/>
  <c r="D566" i="17"/>
  <c r="E566" i="17"/>
  <c r="F566" i="17"/>
  <c r="B567" i="17"/>
  <c r="C567" i="17"/>
  <c r="D567" i="17"/>
  <c r="E567" i="17"/>
  <c r="F567" i="17"/>
  <c r="B568" i="17"/>
  <c r="C568" i="17"/>
  <c r="D568" i="17"/>
  <c r="E568" i="17"/>
  <c r="F568" i="17"/>
  <c r="B569" i="17"/>
  <c r="C569" i="17"/>
  <c r="D569" i="17"/>
  <c r="E569" i="17"/>
  <c r="F569" i="17"/>
  <c r="B570" i="17"/>
  <c r="C570" i="17"/>
  <c r="D570" i="17"/>
  <c r="E570" i="17"/>
  <c r="F570" i="17"/>
  <c r="B571" i="17"/>
  <c r="C571" i="17"/>
  <c r="D571" i="17"/>
  <c r="E571" i="17"/>
  <c r="F571" i="17"/>
  <c r="B572" i="17"/>
  <c r="C572" i="17"/>
  <c r="D572" i="17"/>
  <c r="E572" i="17"/>
  <c r="F572" i="17"/>
  <c r="B573" i="17"/>
  <c r="C573" i="17"/>
  <c r="D573" i="17"/>
  <c r="E573" i="17"/>
  <c r="F573" i="17"/>
  <c r="B574" i="17"/>
  <c r="C574" i="17"/>
  <c r="D574" i="17"/>
  <c r="E574" i="17"/>
  <c r="F574" i="17"/>
  <c r="B575" i="17"/>
  <c r="C575" i="17"/>
  <c r="D575" i="17"/>
  <c r="E575" i="17"/>
  <c r="F575" i="17"/>
  <c r="B576" i="17"/>
  <c r="C576" i="17"/>
  <c r="D576" i="17"/>
  <c r="E576" i="17"/>
  <c r="F576" i="17"/>
  <c r="B577" i="17"/>
  <c r="C577" i="17"/>
  <c r="D577" i="17"/>
  <c r="E577" i="17"/>
  <c r="F577" i="17"/>
  <c r="B578" i="17"/>
  <c r="C578" i="17"/>
  <c r="D578" i="17"/>
  <c r="E578" i="17"/>
  <c r="F578" i="17"/>
  <c r="B579" i="17"/>
  <c r="C579" i="17"/>
  <c r="D579" i="17"/>
  <c r="E579" i="17"/>
  <c r="F579" i="17"/>
  <c r="B580" i="17"/>
  <c r="C580" i="17"/>
  <c r="D580" i="17"/>
  <c r="E580" i="17"/>
  <c r="F580" i="17"/>
  <c r="B581" i="17"/>
  <c r="C581" i="17"/>
  <c r="D581" i="17"/>
  <c r="E581" i="17"/>
  <c r="F581" i="17"/>
  <c r="B582" i="17"/>
  <c r="C582" i="17"/>
  <c r="D582" i="17"/>
  <c r="E582" i="17"/>
  <c r="F582" i="17"/>
  <c r="B583" i="17"/>
  <c r="C583" i="17"/>
  <c r="D583" i="17"/>
  <c r="E583" i="17"/>
  <c r="F583" i="17"/>
  <c r="B584" i="17"/>
  <c r="C584" i="17"/>
  <c r="D584" i="17"/>
  <c r="E584" i="17"/>
  <c r="F584" i="17"/>
  <c r="B585" i="17"/>
  <c r="C585" i="17"/>
  <c r="D585" i="17"/>
  <c r="E585" i="17"/>
  <c r="F585" i="17"/>
  <c r="B586" i="17"/>
  <c r="C586" i="17"/>
  <c r="D586" i="17"/>
  <c r="E586" i="17"/>
  <c r="F586" i="17"/>
  <c r="B587" i="17"/>
  <c r="C587" i="17"/>
  <c r="D587" i="17"/>
  <c r="E587" i="17"/>
  <c r="F587" i="17"/>
  <c r="B588" i="17"/>
  <c r="C588" i="17"/>
  <c r="D588" i="17"/>
  <c r="E588" i="17"/>
  <c r="F588" i="17"/>
  <c r="B589" i="17"/>
  <c r="C589" i="17"/>
  <c r="D589" i="17"/>
  <c r="E589" i="17"/>
  <c r="F589" i="17"/>
  <c r="B590" i="17"/>
  <c r="C590" i="17"/>
  <c r="D590" i="17"/>
  <c r="E590" i="17"/>
  <c r="F590" i="17"/>
  <c r="B591" i="17"/>
  <c r="C591" i="17"/>
  <c r="D591" i="17"/>
  <c r="E591" i="17"/>
  <c r="F591" i="17"/>
  <c r="B592" i="17"/>
  <c r="C592" i="17"/>
  <c r="D592" i="17"/>
  <c r="E592" i="17"/>
  <c r="F592" i="17"/>
  <c r="B593" i="17"/>
  <c r="C593" i="17"/>
  <c r="D593" i="17"/>
  <c r="E593" i="17"/>
  <c r="F593" i="17"/>
  <c r="B594" i="17"/>
  <c r="C594" i="17"/>
  <c r="D594" i="17"/>
  <c r="E594" i="17"/>
  <c r="F594" i="17"/>
  <c r="B595" i="17"/>
  <c r="C595" i="17"/>
  <c r="D595" i="17"/>
  <c r="E595" i="17"/>
  <c r="F595" i="17"/>
  <c r="B596" i="17"/>
  <c r="C596" i="17"/>
  <c r="D596" i="17"/>
  <c r="E596" i="17"/>
  <c r="F596" i="17"/>
  <c r="B597" i="17"/>
  <c r="C597" i="17"/>
  <c r="D597" i="17"/>
  <c r="E597" i="17"/>
  <c r="F597" i="17"/>
  <c r="B598" i="17"/>
  <c r="C598" i="17"/>
  <c r="D598" i="17"/>
  <c r="E598" i="17"/>
  <c r="F598" i="17"/>
  <c r="B599" i="17"/>
  <c r="C599" i="17"/>
  <c r="D599" i="17"/>
  <c r="E599" i="17"/>
  <c r="F599" i="17"/>
  <c r="B600" i="17"/>
  <c r="C600" i="17"/>
  <c r="D600" i="17"/>
  <c r="E600" i="17"/>
  <c r="F600" i="17"/>
  <c r="B601" i="17"/>
  <c r="C601" i="17"/>
  <c r="D601" i="17"/>
  <c r="E601" i="17"/>
  <c r="F601" i="17"/>
  <c r="B602" i="17"/>
  <c r="C602" i="17"/>
  <c r="D602" i="17"/>
  <c r="E602" i="17"/>
  <c r="F602" i="17"/>
  <c r="B603" i="17"/>
  <c r="C603" i="17"/>
  <c r="D603" i="17"/>
  <c r="E603" i="17"/>
  <c r="F603" i="17"/>
  <c r="B604" i="17"/>
  <c r="C604" i="17"/>
  <c r="D604" i="17"/>
  <c r="E604" i="17"/>
  <c r="F604" i="17"/>
  <c r="B605" i="17"/>
  <c r="C605" i="17"/>
  <c r="D605" i="17"/>
  <c r="E605" i="17"/>
  <c r="F605" i="17"/>
  <c r="B606" i="17"/>
  <c r="C606" i="17"/>
  <c r="D606" i="17"/>
  <c r="E606" i="17"/>
  <c r="F606" i="17"/>
  <c r="B607" i="17"/>
  <c r="C607" i="17"/>
  <c r="D607" i="17"/>
  <c r="E607" i="17"/>
  <c r="F607" i="17"/>
  <c r="B608" i="17"/>
  <c r="C608" i="17"/>
  <c r="D608" i="17"/>
  <c r="E608" i="17"/>
  <c r="F608" i="17"/>
  <c r="B609" i="17"/>
  <c r="C609" i="17"/>
  <c r="D609" i="17"/>
  <c r="E609" i="17"/>
  <c r="F609" i="17"/>
  <c r="B610" i="17"/>
  <c r="C610" i="17"/>
  <c r="D610" i="17"/>
  <c r="E610" i="17"/>
  <c r="F610" i="17"/>
  <c r="B611" i="17"/>
  <c r="C611" i="17"/>
  <c r="D611" i="17"/>
  <c r="E611" i="17"/>
  <c r="F611" i="17"/>
  <c r="B612" i="17"/>
  <c r="C612" i="17"/>
  <c r="D612" i="17"/>
  <c r="E612" i="17"/>
  <c r="F612" i="17"/>
  <c r="B613" i="17"/>
  <c r="C613" i="17"/>
  <c r="D613" i="17"/>
  <c r="E613" i="17"/>
  <c r="F613" i="17"/>
  <c r="B614" i="17"/>
  <c r="C614" i="17"/>
  <c r="D614" i="17"/>
  <c r="E614" i="17"/>
  <c r="F614" i="17"/>
  <c r="B615" i="17"/>
  <c r="C615" i="17"/>
  <c r="D615" i="17"/>
  <c r="E615" i="17"/>
  <c r="F615" i="17"/>
  <c r="B616" i="17"/>
  <c r="C616" i="17"/>
  <c r="D616" i="17"/>
  <c r="E616" i="17"/>
  <c r="F616" i="17"/>
  <c r="B617" i="17"/>
  <c r="C617" i="17"/>
  <c r="D617" i="17"/>
  <c r="E617" i="17"/>
  <c r="F617" i="17"/>
  <c r="B618" i="17"/>
  <c r="C618" i="17"/>
  <c r="D618" i="17"/>
  <c r="E618" i="17"/>
  <c r="F618" i="17"/>
  <c r="B619" i="17"/>
  <c r="C619" i="17"/>
  <c r="D619" i="17"/>
  <c r="E619" i="17"/>
  <c r="F619" i="17"/>
  <c r="B620" i="17"/>
  <c r="C620" i="17"/>
  <c r="D620" i="17"/>
  <c r="E620" i="17"/>
  <c r="F620" i="17"/>
  <c r="B621" i="17"/>
  <c r="C621" i="17"/>
  <c r="D621" i="17"/>
  <c r="E621" i="17"/>
  <c r="F621" i="17"/>
  <c r="B622" i="17"/>
  <c r="C622" i="17"/>
  <c r="D622" i="17"/>
  <c r="E622" i="17"/>
  <c r="F622" i="17"/>
  <c r="B623" i="17"/>
  <c r="C623" i="17"/>
  <c r="D623" i="17"/>
  <c r="E623" i="17"/>
  <c r="F623" i="17"/>
  <c r="B624" i="17"/>
  <c r="C624" i="17"/>
  <c r="D624" i="17"/>
  <c r="E624" i="17"/>
  <c r="F624" i="17"/>
  <c r="B625" i="17"/>
  <c r="C625" i="17"/>
  <c r="D625" i="17"/>
  <c r="E625" i="17"/>
  <c r="F625" i="17"/>
  <c r="B626" i="17"/>
  <c r="C626" i="17"/>
  <c r="D626" i="17"/>
  <c r="E626" i="17"/>
  <c r="F626" i="17"/>
  <c r="B627" i="17"/>
  <c r="C627" i="17"/>
  <c r="D627" i="17"/>
  <c r="E627" i="17"/>
  <c r="F627" i="17"/>
  <c r="B628" i="17"/>
  <c r="C628" i="17"/>
  <c r="D628" i="17"/>
  <c r="E628" i="17"/>
  <c r="F628" i="17"/>
  <c r="B629" i="17"/>
  <c r="C629" i="17"/>
  <c r="D629" i="17"/>
  <c r="E629" i="17"/>
  <c r="F629" i="17"/>
  <c r="B630" i="17"/>
  <c r="C630" i="17"/>
  <c r="D630" i="17"/>
  <c r="E630" i="17"/>
  <c r="F630" i="17"/>
  <c r="B631" i="17"/>
  <c r="C631" i="17"/>
  <c r="D631" i="17"/>
  <c r="E631" i="17"/>
  <c r="F631" i="17"/>
  <c r="B632" i="17"/>
  <c r="C632" i="17"/>
  <c r="D632" i="17"/>
  <c r="E632" i="17"/>
  <c r="F632" i="17"/>
  <c r="B633" i="17"/>
  <c r="C633" i="17"/>
  <c r="D633" i="17"/>
  <c r="E633" i="17"/>
  <c r="F633" i="17"/>
  <c r="B634" i="17"/>
  <c r="C634" i="17"/>
  <c r="D634" i="17"/>
  <c r="E634" i="17"/>
  <c r="F634" i="17"/>
  <c r="B635" i="17"/>
  <c r="C635" i="17"/>
  <c r="D635" i="17"/>
  <c r="E635" i="17"/>
  <c r="F635" i="17"/>
  <c r="B636" i="17"/>
  <c r="C636" i="17"/>
  <c r="D636" i="17"/>
  <c r="E636" i="17"/>
  <c r="F636" i="17"/>
  <c r="B637" i="17"/>
  <c r="C637" i="17"/>
  <c r="D637" i="17"/>
  <c r="E637" i="17"/>
  <c r="F637" i="17"/>
  <c r="B638" i="17"/>
  <c r="C638" i="17"/>
  <c r="D638" i="17"/>
  <c r="E638" i="17"/>
  <c r="F638" i="17"/>
  <c r="B639" i="17"/>
  <c r="C639" i="17"/>
  <c r="D639" i="17"/>
  <c r="E639" i="17"/>
  <c r="F639" i="17"/>
  <c r="B640" i="17"/>
  <c r="C640" i="17"/>
  <c r="D640" i="17"/>
  <c r="E640" i="17"/>
  <c r="F640" i="17"/>
  <c r="B641" i="17"/>
  <c r="C641" i="17"/>
  <c r="D641" i="17"/>
  <c r="E641" i="17"/>
  <c r="F641" i="17"/>
  <c r="B642" i="17"/>
  <c r="C642" i="17"/>
  <c r="D642" i="17"/>
  <c r="E642" i="17"/>
  <c r="F642" i="17"/>
  <c r="B643" i="17"/>
  <c r="C643" i="17"/>
  <c r="D643" i="17"/>
  <c r="E643" i="17"/>
  <c r="F643" i="17"/>
  <c r="B644" i="17"/>
  <c r="C644" i="17"/>
  <c r="D644" i="17"/>
  <c r="E644" i="17"/>
  <c r="F644" i="17"/>
  <c r="B645" i="17"/>
  <c r="C645" i="17"/>
  <c r="D645" i="17"/>
  <c r="E645" i="17"/>
  <c r="F645" i="17"/>
  <c r="B646" i="17"/>
  <c r="C646" i="17"/>
  <c r="D646" i="17"/>
  <c r="E646" i="17"/>
  <c r="F646" i="17"/>
  <c r="B647" i="17"/>
  <c r="C647" i="17"/>
  <c r="D647" i="17"/>
  <c r="E647" i="17"/>
  <c r="F647" i="17"/>
  <c r="B648" i="17"/>
  <c r="C648" i="17"/>
  <c r="D648" i="17"/>
  <c r="E648" i="17"/>
  <c r="F648" i="17"/>
  <c r="B649" i="17"/>
  <c r="C649" i="17"/>
  <c r="D649" i="17"/>
  <c r="E649" i="17"/>
  <c r="F649" i="17"/>
  <c r="B650" i="17"/>
  <c r="C650" i="17"/>
  <c r="D650" i="17"/>
  <c r="E650" i="17"/>
  <c r="F650" i="17"/>
  <c r="B651" i="17"/>
  <c r="C651" i="17"/>
  <c r="D651" i="17"/>
  <c r="E651" i="17"/>
  <c r="F651" i="17"/>
  <c r="B652" i="17"/>
  <c r="C652" i="17"/>
  <c r="D652" i="17"/>
  <c r="E652" i="17"/>
  <c r="F652" i="17"/>
  <c r="B653" i="17"/>
  <c r="C653" i="17"/>
  <c r="D653" i="17"/>
  <c r="E653" i="17"/>
  <c r="F653" i="17"/>
  <c r="B654" i="17"/>
  <c r="C654" i="17"/>
  <c r="D654" i="17"/>
  <c r="E654" i="17"/>
  <c r="F654" i="17"/>
  <c r="B655" i="17"/>
  <c r="C655" i="17"/>
  <c r="D655" i="17"/>
  <c r="E655" i="17"/>
  <c r="F655" i="17"/>
  <c r="B656" i="17"/>
  <c r="C656" i="17"/>
  <c r="D656" i="17"/>
  <c r="E656" i="17"/>
  <c r="F656" i="17"/>
  <c r="B657" i="17"/>
  <c r="C657" i="17"/>
  <c r="D657" i="17"/>
  <c r="E657" i="17"/>
  <c r="F657" i="17"/>
  <c r="B658" i="17"/>
  <c r="C658" i="17"/>
  <c r="D658" i="17"/>
  <c r="E658" i="17"/>
  <c r="F658" i="17"/>
  <c r="B659" i="17"/>
  <c r="C659" i="17"/>
  <c r="D659" i="17"/>
  <c r="E659" i="17"/>
  <c r="F659" i="17"/>
  <c r="B660" i="17"/>
  <c r="C660" i="17"/>
  <c r="D660" i="17"/>
  <c r="E660" i="17"/>
  <c r="F660" i="17"/>
  <c r="B661" i="17"/>
  <c r="C661" i="17"/>
  <c r="D661" i="17"/>
  <c r="E661" i="17"/>
  <c r="F661" i="17"/>
  <c r="B662" i="17"/>
  <c r="C662" i="17"/>
  <c r="D662" i="17"/>
  <c r="E662" i="17"/>
  <c r="F662" i="17"/>
  <c r="B663" i="17"/>
  <c r="C663" i="17"/>
  <c r="D663" i="17"/>
  <c r="E663" i="17"/>
  <c r="F663" i="17"/>
  <c r="B664" i="17"/>
  <c r="C664" i="17"/>
  <c r="D664" i="17"/>
  <c r="E664" i="17"/>
  <c r="F664" i="17"/>
  <c r="B665" i="17"/>
  <c r="C665" i="17"/>
  <c r="D665" i="17"/>
  <c r="E665" i="17"/>
  <c r="F665" i="17"/>
  <c r="B666" i="17"/>
  <c r="C666" i="17"/>
  <c r="D666" i="17"/>
  <c r="E666" i="17"/>
  <c r="F666" i="17"/>
  <c r="B667" i="17"/>
  <c r="C667" i="17"/>
  <c r="D667" i="17"/>
  <c r="E667" i="17"/>
  <c r="F667" i="17"/>
  <c r="B668" i="17"/>
  <c r="C668" i="17"/>
  <c r="D668" i="17"/>
  <c r="E668" i="17"/>
  <c r="F668" i="17"/>
  <c r="B669" i="17"/>
  <c r="C669" i="17"/>
  <c r="D669" i="17"/>
  <c r="E669" i="17"/>
  <c r="F669" i="17"/>
  <c r="B670" i="17"/>
  <c r="C670" i="17"/>
  <c r="D670" i="17"/>
  <c r="E670" i="17"/>
  <c r="F670" i="17"/>
  <c r="B671" i="17"/>
  <c r="C671" i="17"/>
  <c r="D671" i="17"/>
  <c r="E671" i="17"/>
  <c r="F671" i="17"/>
  <c r="B672" i="17"/>
  <c r="C672" i="17"/>
  <c r="D672" i="17"/>
  <c r="E672" i="17"/>
  <c r="F672" i="17"/>
  <c r="B673" i="17"/>
  <c r="C673" i="17"/>
  <c r="D673" i="17"/>
  <c r="E673" i="17"/>
  <c r="F673" i="17"/>
  <c r="B674" i="17"/>
  <c r="C674" i="17"/>
  <c r="D674" i="17"/>
  <c r="E674" i="17"/>
  <c r="F674" i="17"/>
  <c r="B675" i="17"/>
  <c r="C675" i="17"/>
  <c r="D675" i="17"/>
  <c r="E675" i="17"/>
  <c r="F675" i="17"/>
  <c r="B676" i="17"/>
  <c r="C676" i="17"/>
  <c r="D676" i="17"/>
  <c r="E676" i="17"/>
  <c r="F676" i="17"/>
  <c r="B677" i="17"/>
  <c r="C677" i="17"/>
  <c r="D677" i="17"/>
  <c r="E677" i="17"/>
  <c r="F677" i="17"/>
  <c r="B678" i="17"/>
  <c r="C678" i="17"/>
  <c r="D678" i="17"/>
  <c r="E678" i="17"/>
  <c r="F678" i="17"/>
  <c r="B679" i="17"/>
  <c r="C679" i="17"/>
  <c r="D679" i="17"/>
  <c r="E679" i="17"/>
  <c r="F679" i="17"/>
  <c r="B680" i="17"/>
  <c r="C680" i="17"/>
  <c r="D680" i="17"/>
  <c r="E680" i="17"/>
  <c r="F680" i="17"/>
  <c r="B681" i="17"/>
  <c r="C681" i="17"/>
  <c r="D681" i="17"/>
  <c r="E681" i="17"/>
  <c r="F681" i="17"/>
  <c r="B682" i="17"/>
  <c r="C682" i="17"/>
  <c r="D682" i="17"/>
  <c r="E682" i="17"/>
  <c r="F682" i="17"/>
  <c r="B683" i="17"/>
  <c r="C683" i="17"/>
  <c r="D683" i="17"/>
  <c r="E683" i="17"/>
  <c r="F683" i="17"/>
  <c r="B684" i="17"/>
  <c r="C684" i="17"/>
  <c r="D684" i="17"/>
  <c r="E684" i="17"/>
  <c r="F684" i="17"/>
  <c r="B685" i="17"/>
  <c r="C685" i="17"/>
  <c r="D685" i="17"/>
  <c r="E685" i="17"/>
  <c r="F685" i="17"/>
  <c r="B686" i="17"/>
  <c r="C686" i="17"/>
  <c r="D686" i="17"/>
  <c r="E686" i="17"/>
  <c r="F686" i="17"/>
  <c r="B687" i="17"/>
  <c r="C687" i="17"/>
  <c r="D687" i="17"/>
  <c r="E687" i="17"/>
  <c r="F687" i="17"/>
  <c r="B688" i="17"/>
  <c r="C688" i="17"/>
  <c r="D688" i="17"/>
  <c r="E688" i="17"/>
  <c r="F688" i="17"/>
  <c r="B689" i="17"/>
  <c r="C689" i="17"/>
  <c r="D689" i="17"/>
  <c r="E689" i="17"/>
  <c r="F689" i="17"/>
  <c r="B690" i="17"/>
  <c r="C690" i="17"/>
  <c r="D690" i="17"/>
  <c r="E690" i="17"/>
  <c r="F690" i="17"/>
  <c r="B691" i="17"/>
  <c r="C691" i="17"/>
  <c r="D691" i="17"/>
  <c r="E691" i="17"/>
  <c r="F691" i="17"/>
  <c r="B692" i="17"/>
  <c r="C692" i="17"/>
  <c r="D692" i="17"/>
  <c r="E692" i="17"/>
  <c r="F692" i="17"/>
  <c r="B693" i="17"/>
  <c r="C693" i="17"/>
  <c r="D693" i="17"/>
  <c r="E693" i="17"/>
  <c r="F693" i="17"/>
  <c r="B694" i="17"/>
  <c r="C694" i="17"/>
  <c r="D694" i="17"/>
  <c r="E694" i="17"/>
  <c r="F694" i="17"/>
  <c r="B695" i="17"/>
  <c r="C695" i="17"/>
  <c r="D695" i="17"/>
  <c r="E695" i="17"/>
  <c r="F695" i="17"/>
  <c r="B696" i="17"/>
  <c r="C696" i="17"/>
  <c r="D696" i="17"/>
  <c r="E696" i="17"/>
  <c r="F696" i="17"/>
  <c r="B697" i="17"/>
  <c r="C697" i="17"/>
  <c r="D697" i="17"/>
  <c r="E697" i="17"/>
  <c r="F697" i="17"/>
  <c r="B698" i="17"/>
  <c r="C698" i="17"/>
  <c r="D698" i="17"/>
  <c r="E698" i="17"/>
  <c r="F698" i="17"/>
  <c r="B699" i="17"/>
  <c r="C699" i="17"/>
  <c r="D699" i="17"/>
  <c r="E699" i="17"/>
  <c r="F699" i="17"/>
  <c r="B700" i="17"/>
  <c r="C700" i="17"/>
  <c r="D700" i="17"/>
  <c r="E700" i="17"/>
  <c r="F700" i="17"/>
  <c r="B701" i="17"/>
  <c r="C701" i="17"/>
  <c r="D701" i="17"/>
  <c r="E701" i="17"/>
  <c r="F701" i="17"/>
  <c r="B702" i="17"/>
  <c r="C702" i="17"/>
  <c r="D702" i="17"/>
  <c r="E702" i="17"/>
  <c r="F702" i="17"/>
  <c r="B703" i="17"/>
  <c r="C703" i="17"/>
  <c r="D703" i="17"/>
  <c r="E703" i="17"/>
  <c r="F703" i="17"/>
  <c r="B704" i="17"/>
  <c r="C704" i="17"/>
  <c r="D704" i="17"/>
  <c r="E704" i="17"/>
  <c r="F704" i="17"/>
  <c r="B705" i="17"/>
  <c r="C705" i="17"/>
  <c r="D705" i="17"/>
  <c r="E705" i="17"/>
  <c r="F705" i="17"/>
  <c r="B706" i="17"/>
  <c r="C706" i="17"/>
  <c r="D706" i="17"/>
  <c r="E706" i="17"/>
  <c r="F706" i="17"/>
  <c r="B707" i="17"/>
  <c r="C707" i="17"/>
  <c r="D707" i="17"/>
  <c r="E707" i="17"/>
  <c r="F707" i="17"/>
  <c r="B708" i="17"/>
  <c r="C708" i="17"/>
  <c r="D708" i="17"/>
  <c r="E708" i="17"/>
  <c r="F708" i="17"/>
  <c r="B709" i="17"/>
  <c r="C709" i="17"/>
  <c r="D709" i="17"/>
  <c r="E709" i="17"/>
  <c r="F709" i="17"/>
  <c r="B710" i="17"/>
  <c r="C710" i="17"/>
  <c r="D710" i="17"/>
  <c r="E710" i="17"/>
  <c r="F710" i="17"/>
  <c r="B711" i="17"/>
  <c r="C711" i="17"/>
  <c r="D711" i="17"/>
  <c r="E711" i="17"/>
  <c r="F711" i="17"/>
  <c r="B712" i="17"/>
  <c r="C712" i="17"/>
  <c r="D712" i="17"/>
  <c r="E712" i="17"/>
  <c r="F712" i="17"/>
  <c r="B713" i="17"/>
  <c r="C713" i="17"/>
  <c r="D713" i="17"/>
  <c r="E713" i="17"/>
  <c r="F713" i="17"/>
  <c r="B714" i="17"/>
  <c r="C714" i="17"/>
  <c r="D714" i="17"/>
  <c r="E714" i="17"/>
  <c r="F714" i="17"/>
  <c r="B715" i="17"/>
  <c r="C715" i="17"/>
  <c r="D715" i="17"/>
  <c r="E715" i="17"/>
  <c r="F715" i="17"/>
  <c r="B716" i="17"/>
  <c r="C716" i="17"/>
  <c r="D716" i="17"/>
  <c r="E716" i="17"/>
  <c r="F716" i="17"/>
  <c r="B717" i="17"/>
  <c r="C717" i="17"/>
  <c r="D717" i="17"/>
  <c r="E717" i="17"/>
  <c r="F717" i="17"/>
  <c r="B718" i="17"/>
  <c r="C718" i="17"/>
  <c r="D718" i="17"/>
  <c r="E718" i="17"/>
  <c r="F718" i="17"/>
  <c r="B719" i="17"/>
  <c r="C719" i="17"/>
  <c r="D719" i="17"/>
  <c r="E719" i="17"/>
  <c r="F719" i="17"/>
  <c r="B720" i="17"/>
  <c r="C720" i="17"/>
  <c r="D720" i="17"/>
  <c r="E720" i="17"/>
  <c r="F720" i="17"/>
  <c r="B721" i="17"/>
  <c r="C721" i="17"/>
  <c r="D721" i="17"/>
  <c r="E721" i="17"/>
  <c r="F721" i="17"/>
  <c r="B722" i="17"/>
  <c r="C722" i="17"/>
  <c r="D722" i="17"/>
  <c r="E722" i="17"/>
  <c r="F722" i="17"/>
  <c r="B723" i="17"/>
  <c r="C723" i="17"/>
  <c r="D723" i="17"/>
  <c r="E723" i="17"/>
  <c r="F723" i="17"/>
  <c r="B724" i="17"/>
  <c r="C724" i="17"/>
  <c r="D724" i="17"/>
  <c r="E724" i="17"/>
  <c r="F724" i="17"/>
  <c r="B725" i="17"/>
  <c r="C725" i="17"/>
  <c r="D725" i="17"/>
  <c r="E725" i="17"/>
  <c r="F725" i="17"/>
  <c r="B726" i="17"/>
  <c r="C726" i="17"/>
  <c r="D726" i="17"/>
  <c r="E726" i="17"/>
  <c r="F726" i="17"/>
  <c r="B727" i="17"/>
  <c r="C727" i="17"/>
  <c r="D727" i="17"/>
  <c r="E727" i="17"/>
  <c r="F727" i="17"/>
  <c r="B728" i="17"/>
  <c r="C728" i="17"/>
  <c r="D728" i="17"/>
  <c r="E728" i="17"/>
  <c r="F728" i="17"/>
  <c r="B729" i="17"/>
  <c r="C729" i="17"/>
  <c r="D729" i="17"/>
  <c r="E729" i="17"/>
  <c r="F729" i="17"/>
  <c r="B730" i="17"/>
  <c r="C730" i="17"/>
  <c r="D730" i="17"/>
  <c r="E730" i="17"/>
  <c r="F730" i="17"/>
  <c r="B731" i="17"/>
  <c r="C731" i="17"/>
  <c r="D731" i="17"/>
  <c r="E731" i="17"/>
  <c r="F731" i="17"/>
  <c r="B732" i="17"/>
  <c r="C732" i="17"/>
  <c r="D732" i="17"/>
  <c r="E732" i="17"/>
  <c r="F732" i="17"/>
  <c r="B733" i="17"/>
  <c r="C733" i="17"/>
  <c r="D733" i="17"/>
  <c r="E733" i="17"/>
  <c r="F733" i="17"/>
  <c r="B734" i="17"/>
  <c r="C734" i="17"/>
  <c r="D734" i="17"/>
  <c r="E734" i="17"/>
  <c r="F734" i="17"/>
  <c r="B735" i="17"/>
  <c r="C735" i="17"/>
  <c r="D735" i="17"/>
  <c r="E735" i="17"/>
  <c r="F735" i="17"/>
  <c r="B736" i="17"/>
  <c r="C736" i="17"/>
  <c r="D736" i="17"/>
  <c r="E736" i="17"/>
  <c r="F736" i="17"/>
  <c r="B737" i="17"/>
  <c r="C737" i="17"/>
  <c r="D737" i="17"/>
  <c r="E737" i="17"/>
  <c r="F737" i="17"/>
  <c r="B738" i="17"/>
  <c r="C738" i="17"/>
  <c r="D738" i="17"/>
  <c r="E738" i="17"/>
  <c r="F738" i="17"/>
  <c r="B739" i="17"/>
  <c r="C739" i="17"/>
  <c r="D739" i="17"/>
  <c r="E739" i="17"/>
  <c r="F739" i="17"/>
  <c r="B740" i="17"/>
  <c r="C740" i="17"/>
  <c r="D740" i="17"/>
  <c r="E740" i="17"/>
  <c r="F740" i="17"/>
  <c r="B741" i="17"/>
  <c r="C741" i="17"/>
  <c r="D741" i="17"/>
  <c r="E741" i="17"/>
  <c r="F741" i="17"/>
  <c r="B742" i="17"/>
  <c r="C742" i="17"/>
  <c r="D742" i="17"/>
  <c r="E742" i="17"/>
  <c r="F742" i="17"/>
  <c r="B743" i="17"/>
  <c r="C743" i="17"/>
  <c r="D743" i="17"/>
  <c r="E743" i="17"/>
  <c r="F743" i="17"/>
  <c r="B744" i="17"/>
  <c r="C744" i="17"/>
  <c r="D744" i="17"/>
  <c r="E744" i="17"/>
  <c r="F744" i="17"/>
  <c r="B745" i="17"/>
  <c r="C745" i="17"/>
  <c r="D745" i="17"/>
  <c r="E745" i="17"/>
  <c r="F745" i="17"/>
  <c r="B746" i="17"/>
  <c r="C746" i="17"/>
  <c r="D746" i="17"/>
  <c r="E746" i="17"/>
  <c r="F746" i="17"/>
  <c r="B747" i="17"/>
  <c r="C747" i="17"/>
  <c r="D747" i="17"/>
  <c r="E747" i="17"/>
  <c r="F747" i="17"/>
  <c r="B748" i="17"/>
  <c r="C748" i="17"/>
  <c r="D748" i="17"/>
  <c r="E748" i="17"/>
  <c r="F748" i="17"/>
  <c r="B749" i="17"/>
  <c r="C749" i="17"/>
  <c r="D749" i="17"/>
  <c r="E749" i="17"/>
  <c r="F749" i="17"/>
  <c r="B750" i="17"/>
  <c r="C750" i="17"/>
  <c r="D750" i="17"/>
  <c r="E750" i="17"/>
  <c r="F750" i="17"/>
  <c r="B751" i="17"/>
  <c r="C751" i="17"/>
  <c r="D751" i="17"/>
  <c r="E751" i="17"/>
  <c r="F751" i="17"/>
  <c r="B752" i="17"/>
  <c r="C752" i="17"/>
  <c r="D752" i="17"/>
  <c r="E752" i="17"/>
  <c r="F752" i="17"/>
  <c r="B753" i="17"/>
  <c r="C753" i="17"/>
  <c r="D753" i="17"/>
  <c r="E753" i="17"/>
  <c r="F753" i="17"/>
  <c r="B754" i="17"/>
  <c r="C754" i="17"/>
  <c r="D754" i="17"/>
  <c r="E754" i="17"/>
  <c r="F754" i="17"/>
  <c r="B755" i="17"/>
  <c r="C755" i="17"/>
  <c r="D755" i="17"/>
  <c r="E755" i="17"/>
  <c r="F755" i="17"/>
  <c r="B756" i="17"/>
  <c r="C756" i="17"/>
  <c r="D756" i="17"/>
  <c r="E756" i="17"/>
  <c r="F756" i="17"/>
  <c r="B757" i="17"/>
  <c r="C757" i="17"/>
  <c r="D757" i="17"/>
  <c r="E757" i="17"/>
  <c r="F757" i="17"/>
  <c r="B758" i="17"/>
  <c r="C758" i="17"/>
  <c r="D758" i="17"/>
  <c r="E758" i="17"/>
  <c r="F758" i="17"/>
  <c r="B759" i="17"/>
  <c r="C759" i="17"/>
  <c r="D759" i="17"/>
  <c r="E759" i="17"/>
  <c r="F759" i="17"/>
  <c r="B760" i="17"/>
  <c r="C760" i="17"/>
  <c r="D760" i="17"/>
  <c r="E760" i="17"/>
  <c r="F760" i="17"/>
  <c r="B761" i="17"/>
  <c r="C761" i="17"/>
  <c r="D761" i="17"/>
  <c r="E761" i="17"/>
  <c r="F761" i="17"/>
  <c r="B762" i="17"/>
  <c r="C762" i="17"/>
  <c r="D762" i="17"/>
  <c r="E762" i="17"/>
  <c r="F762" i="17"/>
  <c r="B763" i="17"/>
  <c r="C763" i="17"/>
  <c r="D763" i="17"/>
  <c r="E763" i="17"/>
  <c r="F763" i="17"/>
  <c r="B764" i="17"/>
  <c r="C764" i="17"/>
  <c r="D764" i="17"/>
  <c r="E764" i="17"/>
  <c r="F764" i="17"/>
  <c r="B765" i="17"/>
  <c r="C765" i="17"/>
  <c r="D765" i="17"/>
  <c r="E765" i="17"/>
  <c r="F765" i="17"/>
  <c r="B766" i="17"/>
  <c r="C766" i="17"/>
  <c r="D766" i="17"/>
  <c r="E766" i="17"/>
  <c r="F766" i="17"/>
  <c r="B767" i="17"/>
  <c r="C767" i="17"/>
  <c r="D767" i="17"/>
  <c r="E767" i="17"/>
  <c r="F767" i="17"/>
  <c r="B768" i="17"/>
  <c r="C768" i="17"/>
  <c r="D768" i="17"/>
  <c r="E768" i="17"/>
  <c r="F768" i="17"/>
  <c r="B769" i="17"/>
  <c r="C769" i="17"/>
  <c r="D769" i="17"/>
  <c r="E769" i="17"/>
  <c r="F769" i="17"/>
  <c r="B770" i="17"/>
  <c r="C770" i="17"/>
  <c r="D770" i="17"/>
  <c r="E770" i="17"/>
  <c r="F770" i="17"/>
  <c r="B771" i="17"/>
  <c r="C771" i="17"/>
  <c r="D771" i="17"/>
  <c r="E771" i="17"/>
  <c r="F771" i="17"/>
  <c r="B772" i="17"/>
  <c r="C772" i="17"/>
  <c r="D772" i="17"/>
  <c r="E772" i="17"/>
  <c r="F772" i="17"/>
  <c r="B773" i="17"/>
  <c r="C773" i="17"/>
  <c r="D773" i="17"/>
  <c r="E773" i="17"/>
  <c r="F773" i="17"/>
  <c r="B774" i="17"/>
  <c r="C774" i="17"/>
  <c r="D774" i="17"/>
  <c r="E774" i="17"/>
  <c r="F774" i="17"/>
  <c r="B775" i="17"/>
  <c r="C775" i="17"/>
  <c r="D775" i="17"/>
  <c r="E775" i="17"/>
  <c r="F775" i="17"/>
  <c r="B776" i="17"/>
  <c r="C776" i="17"/>
  <c r="D776" i="17"/>
  <c r="E776" i="17"/>
  <c r="F776" i="17"/>
  <c r="B777" i="17"/>
  <c r="C777" i="17"/>
  <c r="D777" i="17"/>
  <c r="E777" i="17"/>
  <c r="F777" i="17"/>
  <c r="B778" i="17"/>
  <c r="C778" i="17"/>
  <c r="D778" i="17"/>
  <c r="E778" i="17"/>
  <c r="F778" i="17"/>
  <c r="B779" i="17"/>
  <c r="C779" i="17"/>
  <c r="D779" i="17"/>
  <c r="E779" i="17"/>
  <c r="F779" i="17"/>
  <c r="B780" i="17"/>
  <c r="C780" i="17"/>
  <c r="D780" i="17"/>
  <c r="E780" i="17"/>
  <c r="F780" i="17"/>
  <c r="B781" i="17"/>
  <c r="C781" i="17"/>
  <c r="D781" i="17"/>
  <c r="E781" i="17"/>
  <c r="F781" i="17"/>
  <c r="B782" i="17"/>
  <c r="C782" i="17"/>
  <c r="D782" i="17"/>
  <c r="E782" i="17"/>
  <c r="F782" i="17"/>
  <c r="B783" i="17"/>
  <c r="C783" i="17"/>
  <c r="D783" i="17"/>
  <c r="E783" i="17"/>
  <c r="F783" i="17"/>
  <c r="B784" i="17"/>
  <c r="C784" i="17"/>
  <c r="D784" i="17"/>
  <c r="E784" i="17"/>
  <c r="F784" i="17"/>
  <c r="B785" i="17"/>
  <c r="C785" i="17"/>
  <c r="D785" i="17"/>
  <c r="E785" i="17"/>
  <c r="F785" i="17"/>
  <c r="B786" i="17"/>
  <c r="C786" i="17"/>
  <c r="D786" i="17"/>
  <c r="E786" i="17"/>
  <c r="F786" i="17"/>
  <c r="B787" i="17"/>
  <c r="C787" i="17"/>
  <c r="D787" i="17"/>
  <c r="E787" i="17"/>
  <c r="F787" i="17"/>
  <c r="B788" i="17"/>
  <c r="C788" i="17"/>
  <c r="D788" i="17"/>
  <c r="E788" i="17"/>
  <c r="F788" i="17"/>
  <c r="B789" i="17"/>
  <c r="C789" i="17"/>
  <c r="D789" i="17"/>
  <c r="E789" i="17"/>
  <c r="F789" i="17"/>
  <c r="B790" i="17"/>
  <c r="C790" i="17"/>
  <c r="D790" i="17"/>
  <c r="E790" i="17"/>
  <c r="F790" i="17"/>
  <c r="B791" i="17"/>
  <c r="C791" i="17"/>
  <c r="D791" i="17"/>
  <c r="E791" i="17"/>
  <c r="F791" i="17"/>
  <c r="B792" i="17"/>
  <c r="C792" i="17"/>
  <c r="D792" i="17"/>
  <c r="E792" i="17"/>
  <c r="F792" i="17"/>
  <c r="B793" i="17"/>
  <c r="C793" i="17"/>
  <c r="D793" i="17"/>
  <c r="E793" i="17"/>
  <c r="F793" i="17"/>
  <c r="B794" i="17"/>
  <c r="C794" i="17"/>
  <c r="D794" i="17"/>
  <c r="E794" i="17"/>
  <c r="F794" i="17"/>
  <c r="B795" i="17"/>
  <c r="C795" i="17"/>
  <c r="D795" i="17"/>
  <c r="E795" i="17"/>
  <c r="F795" i="17"/>
  <c r="B796" i="17"/>
  <c r="C796" i="17"/>
  <c r="D796" i="17"/>
  <c r="E796" i="17"/>
  <c r="F796" i="17"/>
  <c r="B797" i="17"/>
  <c r="C797" i="17"/>
  <c r="D797" i="17"/>
  <c r="E797" i="17"/>
  <c r="F797" i="17"/>
  <c r="B798" i="17"/>
  <c r="C798" i="17"/>
  <c r="D798" i="17"/>
  <c r="E798" i="17"/>
  <c r="F798" i="17"/>
  <c r="B799" i="17"/>
  <c r="C799" i="17"/>
  <c r="D799" i="17"/>
  <c r="E799" i="17"/>
  <c r="F799" i="17"/>
  <c r="B800" i="17"/>
  <c r="C800" i="17"/>
  <c r="D800" i="17"/>
  <c r="E800" i="17"/>
  <c r="F800" i="17"/>
  <c r="B801" i="17"/>
  <c r="C801" i="17"/>
  <c r="D801" i="17"/>
  <c r="E801" i="17"/>
  <c r="F801" i="17"/>
  <c r="B802" i="17"/>
  <c r="C802" i="17"/>
  <c r="D802" i="17"/>
  <c r="E802" i="17"/>
  <c r="F802" i="17"/>
  <c r="B803" i="17"/>
  <c r="C803" i="17"/>
  <c r="D803" i="17"/>
  <c r="E803" i="17"/>
  <c r="F803" i="17"/>
  <c r="B804" i="17"/>
  <c r="C804" i="17"/>
  <c r="D804" i="17"/>
  <c r="E804" i="17"/>
  <c r="F804" i="17"/>
  <c r="B805" i="17"/>
  <c r="C805" i="17"/>
  <c r="D805" i="17"/>
  <c r="E805" i="17"/>
  <c r="F805" i="17"/>
  <c r="B806" i="17"/>
  <c r="C806" i="17"/>
  <c r="D806" i="17"/>
  <c r="E806" i="17"/>
  <c r="F806" i="17"/>
  <c r="B807" i="17"/>
  <c r="C807" i="17"/>
  <c r="D807" i="17"/>
  <c r="E807" i="17"/>
  <c r="F807" i="17"/>
  <c r="B808" i="17"/>
  <c r="C808" i="17"/>
  <c r="D808" i="17"/>
  <c r="E808" i="17"/>
  <c r="F808" i="17"/>
  <c r="B809" i="17"/>
  <c r="C809" i="17"/>
  <c r="D809" i="17"/>
  <c r="E809" i="17"/>
  <c r="F809" i="17"/>
  <c r="B810" i="17"/>
  <c r="C810" i="17"/>
  <c r="D810" i="17"/>
  <c r="E810" i="17"/>
  <c r="F810" i="17"/>
  <c r="B811" i="17"/>
  <c r="C811" i="17"/>
  <c r="D811" i="17"/>
  <c r="E811" i="17"/>
  <c r="F811" i="17"/>
  <c r="B812" i="17"/>
  <c r="C812" i="17"/>
  <c r="D812" i="17"/>
  <c r="E812" i="17"/>
  <c r="F812" i="17"/>
  <c r="B813" i="17"/>
  <c r="C813" i="17"/>
  <c r="D813" i="17"/>
  <c r="E813" i="17"/>
  <c r="F813" i="17"/>
  <c r="B814" i="17"/>
  <c r="C814" i="17"/>
  <c r="D814" i="17"/>
  <c r="E814" i="17"/>
  <c r="F814" i="17"/>
  <c r="B815" i="17"/>
  <c r="C815" i="17"/>
  <c r="D815" i="17"/>
  <c r="E815" i="17"/>
  <c r="F815" i="17"/>
  <c r="B816" i="17"/>
  <c r="C816" i="17"/>
  <c r="D816" i="17"/>
  <c r="E816" i="17"/>
  <c r="F816" i="17"/>
  <c r="B817" i="17"/>
  <c r="C817" i="17"/>
  <c r="D817" i="17"/>
  <c r="E817" i="17"/>
  <c r="F817" i="17"/>
  <c r="B818" i="17"/>
  <c r="C818" i="17"/>
  <c r="D818" i="17"/>
  <c r="E818" i="17"/>
  <c r="F818" i="17"/>
  <c r="B819" i="17"/>
  <c r="C819" i="17"/>
  <c r="D819" i="17"/>
  <c r="E819" i="17"/>
  <c r="F819" i="17"/>
  <c r="B820" i="17"/>
  <c r="C820" i="17"/>
  <c r="D820" i="17"/>
  <c r="E820" i="17"/>
  <c r="F820" i="17"/>
  <c r="B821" i="17"/>
  <c r="C821" i="17"/>
  <c r="D821" i="17"/>
  <c r="E821" i="17"/>
  <c r="F821" i="17"/>
  <c r="B822" i="17"/>
  <c r="C822" i="17"/>
  <c r="D822" i="17"/>
  <c r="E822" i="17"/>
  <c r="F822" i="17"/>
  <c r="B823" i="17"/>
  <c r="C823" i="17"/>
  <c r="D823" i="17"/>
  <c r="E823" i="17"/>
  <c r="F823" i="17"/>
  <c r="B824" i="17"/>
  <c r="C824" i="17"/>
  <c r="D824" i="17"/>
  <c r="E824" i="17"/>
  <c r="F824" i="17"/>
  <c r="B825" i="17"/>
  <c r="C825" i="17"/>
  <c r="D825" i="17"/>
  <c r="E825" i="17"/>
  <c r="F825" i="17"/>
  <c r="B826" i="17"/>
  <c r="C826" i="17"/>
  <c r="D826" i="17"/>
  <c r="E826" i="17"/>
  <c r="F826" i="17"/>
  <c r="B827" i="17"/>
  <c r="C827" i="17"/>
  <c r="D827" i="17"/>
  <c r="E827" i="17"/>
  <c r="F827" i="17"/>
  <c r="B828" i="17"/>
  <c r="C828" i="17"/>
  <c r="D828" i="17"/>
  <c r="E828" i="17"/>
  <c r="F828" i="17"/>
  <c r="B829" i="17"/>
  <c r="C829" i="17"/>
  <c r="D829" i="17"/>
  <c r="E829" i="17"/>
  <c r="F829" i="17"/>
  <c r="B830" i="17"/>
  <c r="C830" i="17"/>
  <c r="D830" i="17"/>
  <c r="E830" i="17"/>
  <c r="F830" i="17"/>
  <c r="B831" i="17"/>
  <c r="C831" i="17"/>
  <c r="D831" i="17"/>
  <c r="E831" i="17"/>
  <c r="F831" i="17"/>
  <c r="B832" i="17"/>
  <c r="C832" i="17"/>
  <c r="D832" i="17"/>
  <c r="E832" i="17"/>
  <c r="F832" i="17"/>
  <c r="B833" i="17"/>
  <c r="C833" i="17"/>
  <c r="D833" i="17"/>
  <c r="E833" i="17"/>
  <c r="F833" i="17"/>
  <c r="B834" i="17"/>
  <c r="C834" i="17"/>
  <c r="D834" i="17"/>
  <c r="E834" i="17"/>
  <c r="F834" i="17"/>
  <c r="B835" i="17"/>
  <c r="C835" i="17"/>
  <c r="D835" i="17"/>
  <c r="E835" i="17"/>
  <c r="F835" i="17"/>
  <c r="B836" i="17"/>
  <c r="C836" i="17"/>
  <c r="D836" i="17"/>
  <c r="E836" i="17"/>
  <c r="F836" i="17"/>
  <c r="B837" i="17"/>
  <c r="C837" i="17"/>
  <c r="D837" i="17"/>
  <c r="E837" i="17"/>
  <c r="F837" i="17"/>
  <c r="B838" i="17"/>
  <c r="C838" i="17"/>
  <c r="D838" i="17"/>
  <c r="E838" i="17"/>
  <c r="F838" i="17"/>
  <c r="B839" i="17"/>
  <c r="C839" i="17"/>
  <c r="D839" i="17"/>
  <c r="E839" i="17"/>
  <c r="F839" i="17"/>
  <c r="B840" i="17"/>
  <c r="C840" i="17"/>
  <c r="D840" i="17"/>
  <c r="E840" i="17"/>
  <c r="F840" i="17"/>
  <c r="B841" i="17"/>
  <c r="C841" i="17"/>
  <c r="D841" i="17"/>
  <c r="E841" i="17"/>
  <c r="F841" i="17"/>
  <c r="B842" i="17"/>
  <c r="C842" i="17"/>
  <c r="D842" i="17"/>
  <c r="E842" i="17"/>
  <c r="F842" i="17"/>
  <c r="B843" i="17"/>
  <c r="C843" i="17"/>
  <c r="D843" i="17"/>
  <c r="E843" i="17"/>
  <c r="F843" i="17"/>
  <c r="B844" i="17"/>
  <c r="C844" i="17"/>
  <c r="D844" i="17"/>
  <c r="E844" i="17"/>
  <c r="F844" i="17"/>
  <c r="B845" i="17"/>
  <c r="C845" i="17"/>
  <c r="D845" i="17"/>
  <c r="E845" i="17"/>
  <c r="F845" i="17"/>
  <c r="B846" i="17"/>
  <c r="C846" i="17"/>
  <c r="D846" i="17"/>
  <c r="E846" i="17"/>
  <c r="F846" i="17"/>
  <c r="B847" i="17"/>
  <c r="C847" i="17"/>
  <c r="D847" i="17"/>
  <c r="E847" i="17"/>
  <c r="F847" i="17"/>
  <c r="B848" i="17"/>
  <c r="C848" i="17"/>
  <c r="D848" i="17"/>
  <c r="E848" i="17"/>
  <c r="F848" i="17"/>
  <c r="B849" i="17"/>
  <c r="C849" i="17"/>
  <c r="D849" i="17"/>
  <c r="E849" i="17"/>
  <c r="F849" i="17"/>
  <c r="B850" i="17"/>
  <c r="C850" i="17"/>
  <c r="D850" i="17"/>
  <c r="E850" i="17"/>
  <c r="F850" i="17"/>
  <c r="B851" i="17"/>
  <c r="C851" i="17"/>
  <c r="D851" i="17"/>
  <c r="E851" i="17"/>
  <c r="F851" i="17"/>
  <c r="B852" i="17"/>
  <c r="C852" i="17"/>
  <c r="D852" i="17"/>
  <c r="E852" i="17"/>
  <c r="F852" i="17"/>
  <c r="B853" i="17"/>
  <c r="C853" i="17"/>
  <c r="D853" i="17"/>
  <c r="E853" i="17"/>
  <c r="F853" i="17"/>
  <c r="B854" i="17"/>
  <c r="C854" i="17"/>
  <c r="D854" i="17"/>
  <c r="E854" i="17"/>
  <c r="F854" i="17"/>
  <c r="B855" i="17"/>
  <c r="C855" i="17"/>
  <c r="D855" i="17"/>
  <c r="E855" i="17"/>
  <c r="F855" i="17"/>
  <c r="B856" i="17"/>
  <c r="C856" i="17"/>
  <c r="D856" i="17"/>
  <c r="E856" i="17"/>
  <c r="F856" i="17"/>
  <c r="B857" i="17"/>
  <c r="C857" i="17"/>
  <c r="D857" i="17"/>
  <c r="E857" i="17"/>
  <c r="F857" i="17"/>
  <c r="B858" i="17"/>
  <c r="C858" i="17"/>
  <c r="D858" i="17"/>
  <c r="E858" i="17"/>
  <c r="F858" i="17"/>
  <c r="B859" i="17"/>
  <c r="C859" i="17"/>
  <c r="D859" i="17"/>
  <c r="E859" i="17"/>
  <c r="F859" i="17"/>
  <c r="B860" i="17"/>
  <c r="C860" i="17"/>
  <c r="D860" i="17"/>
  <c r="E860" i="17"/>
  <c r="F860" i="17"/>
  <c r="B861" i="17"/>
  <c r="C861" i="17"/>
  <c r="D861" i="17"/>
  <c r="E861" i="17"/>
  <c r="F861" i="17"/>
  <c r="B862" i="17"/>
  <c r="C862" i="17"/>
  <c r="D862" i="17"/>
  <c r="E862" i="17"/>
  <c r="F862" i="17"/>
  <c r="B863" i="17"/>
  <c r="C863" i="17"/>
  <c r="D863" i="17"/>
  <c r="E863" i="17"/>
  <c r="F863" i="17"/>
  <c r="B864" i="17"/>
  <c r="C864" i="17"/>
  <c r="D864" i="17"/>
  <c r="E864" i="17"/>
  <c r="F864" i="17"/>
  <c r="B865" i="17"/>
  <c r="C865" i="17"/>
  <c r="D865" i="17"/>
  <c r="E865" i="17"/>
  <c r="F865" i="17"/>
  <c r="B866" i="17"/>
  <c r="C866" i="17"/>
  <c r="D866" i="17"/>
  <c r="E866" i="17"/>
  <c r="F866" i="17"/>
  <c r="B867" i="17"/>
  <c r="C867" i="17"/>
  <c r="D867" i="17"/>
  <c r="E867" i="17"/>
  <c r="F867" i="17"/>
  <c r="B868" i="17"/>
  <c r="C868" i="17"/>
  <c r="D868" i="17"/>
  <c r="E868" i="17"/>
  <c r="F868" i="17"/>
  <c r="B869" i="17"/>
  <c r="C869" i="17"/>
  <c r="D869" i="17"/>
  <c r="E869" i="17"/>
  <c r="F869" i="17"/>
  <c r="B870" i="17"/>
  <c r="C870" i="17"/>
  <c r="D870" i="17"/>
  <c r="E870" i="17"/>
  <c r="F870" i="17"/>
  <c r="B871" i="17"/>
  <c r="C871" i="17"/>
  <c r="D871" i="17"/>
  <c r="E871" i="17"/>
  <c r="F871" i="17"/>
  <c r="B872" i="17"/>
  <c r="C872" i="17"/>
  <c r="D872" i="17"/>
  <c r="E872" i="17"/>
  <c r="F872" i="17"/>
  <c r="B873" i="17"/>
  <c r="C873" i="17"/>
  <c r="D873" i="17"/>
  <c r="E873" i="17"/>
  <c r="F873" i="17"/>
  <c r="B874" i="17"/>
  <c r="C874" i="17"/>
  <c r="D874" i="17"/>
  <c r="E874" i="17"/>
  <c r="F874" i="17"/>
  <c r="B875" i="17"/>
  <c r="C875" i="17"/>
  <c r="D875" i="17"/>
  <c r="E875" i="17"/>
  <c r="F875" i="17"/>
  <c r="B876" i="17"/>
  <c r="C876" i="17"/>
  <c r="D876" i="17"/>
  <c r="E876" i="17"/>
  <c r="F876" i="17"/>
  <c r="B877" i="17"/>
  <c r="C877" i="17"/>
  <c r="D877" i="17"/>
  <c r="E877" i="17"/>
  <c r="F877" i="17"/>
  <c r="B878" i="17"/>
  <c r="C878" i="17"/>
  <c r="D878" i="17"/>
  <c r="E878" i="17"/>
  <c r="F878" i="17"/>
  <c r="B879" i="17"/>
  <c r="C879" i="17"/>
  <c r="D879" i="17"/>
  <c r="E879" i="17"/>
  <c r="F879" i="17"/>
  <c r="B880" i="17"/>
  <c r="C880" i="17"/>
  <c r="D880" i="17"/>
  <c r="E880" i="17"/>
  <c r="F880" i="17"/>
  <c r="B881" i="17"/>
  <c r="C881" i="17"/>
  <c r="D881" i="17"/>
  <c r="E881" i="17"/>
  <c r="F881" i="17"/>
  <c r="B882" i="17"/>
  <c r="C882" i="17"/>
  <c r="D882" i="17"/>
  <c r="E882" i="17"/>
  <c r="F882" i="17"/>
  <c r="B883" i="17"/>
  <c r="C883" i="17"/>
  <c r="D883" i="17"/>
  <c r="E883" i="17"/>
  <c r="F883" i="17"/>
  <c r="B884" i="17"/>
  <c r="C884" i="17"/>
  <c r="D884" i="17"/>
  <c r="E884" i="17"/>
  <c r="F884" i="17"/>
  <c r="B885" i="17"/>
  <c r="C885" i="17"/>
  <c r="D885" i="17"/>
  <c r="E885" i="17"/>
  <c r="F885" i="17"/>
  <c r="B886" i="17"/>
  <c r="C886" i="17"/>
  <c r="D886" i="17"/>
  <c r="E886" i="17"/>
  <c r="F886" i="17"/>
  <c r="B887" i="17"/>
  <c r="C887" i="17"/>
  <c r="D887" i="17"/>
  <c r="E887" i="17"/>
  <c r="F887" i="17"/>
  <c r="B888" i="17"/>
  <c r="C888" i="17"/>
  <c r="D888" i="17"/>
  <c r="E888" i="17"/>
  <c r="F888" i="17"/>
  <c r="B889" i="17"/>
  <c r="C889" i="17"/>
  <c r="D889" i="17"/>
  <c r="E889" i="17"/>
  <c r="F889" i="17"/>
  <c r="B890" i="17"/>
  <c r="C890" i="17"/>
  <c r="D890" i="17"/>
  <c r="E890" i="17"/>
  <c r="F890" i="17"/>
  <c r="B891" i="17"/>
  <c r="C891" i="17"/>
  <c r="D891" i="17"/>
  <c r="E891" i="17"/>
  <c r="F891" i="17"/>
  <c r="B892" i="17"/>
  <c r="C892" i="17"/>
  <c r="D892" i="17"/>
  <c r="E892" i="17"/>
  <c r="F892" i="17"/>
  <c r="B893" i="17"/>
  <c r="C893" i="17"/>
  <c r="D893" i="17"/>
  <c r="E893" i="17"/>
  <c r="F893" i="17"/>
  <c r="B894" i="17"/>
  <c r="C894" i="17"/>
  <c r="D894" i="17"/>
  <c r="E894" i="17"/>
  <c r="F894" i="17"/>
  <c r="B895" i="17"/>
  <c r="C895" i="17"/>
  <c r="D895" i="17"/>
  <c r="E895" i="17"/>
  <c r="F895" i="17"/>
  <c r="B896" i="17"/>
  <c r="C896" i="17"/>
  <c r="D896" i="17"/>
  <c r="E896" i="17"/>
  <c r="F896" i="17"/>
  <c r="B897" i="17"/>
  <c r="C897" i="17"/>
  <c r="D897" i="17"/>
  <c r="E897" i="17"/>
  <c r="F897" i="17"/>
  <c r="B898" i="17"/>
  <c r="C898" i="17"/>
  <c r="D898" i="17"/>
  <c r="E898" i="17"/>
  <c r="F898" i="17"/>
  <c r="B899" i="17"/>
  <c r="C899" i="17"/>
  <c r="D899" i="17"/>
  <c r="E899" i="17"/>
  <c r="F899" i="17"/>
  <c r="B900" i="17"/>
  <c r="C900" i="17"/>
  <c r="D900" i="17"/>
  <c r="E900" i="17"/>
  <c r="F900" i="17"/>
  <c r="B901" i="17"/>
  <c r="C901" i="17"/>
  <c r="D901" i="17"/>
  <c r="E901" i="17"/>
  <c r="F901" i="17"/>
  <c r="B902" i="17"/>
  <c r="C902" i="17"/>
  <c r="D902" i="17"/>
  <c r="E902" i="17"/>
  <c r="F902" i="17"/>
  <c r="B903" i="17"/>
  <c r="C903" i="17"/>
  <c r="D903" i="17"/>
  <c r="E903" i="17"/>
  <c r="F903" i="17"/>
  <c r="B904" i="17"/>
  <c r="C904" i="17"/>
  <c r="D904" i="17"/>
  <c r="E904" i="17"/>
  <c r="F904" i="17"/>
  <c r="B905" i="17"/>
  <c r="C905" i="17"/>
  <c r="D905" i="17"/>
  <c r="E905" i="17"/>
  <c r="F905" i="17"/>
  <c r="B906" i="17"/>
  <c r="C906" i="17"/>
  <c r="D906" i="17"/>
  <c r="E906" i="17"/>
  <c r="F906" i="17"/>
  <c r="B907" i="17"/>
  <c r="C907" i="17"/>
  <c r="D907" i="17"/>
  <c r="E907" i="17"/>
  <c r="F907" i="17"/>
  <c r="B908" i="17"/>
  <c r="C908" i="17"/>
  <c r="D908" i="17"/>
  <c r="E908" i="17"/>
  <c r="F908" i="17"/>
  <c r="B909" i="17"/>
  <c r="C909" i="17"/>
  <c r="D909" i="17"/>
  <c r="E909" i="17"/>
  <c r="F909" i="17"/>
  <c r="B910" i="17"/>
  <c r="C910" i="17"/>
  <c r="D910" i="17"/>
  <c r="E910" i="17"/>
  <c r="F910" i="17"/>
  <c r="B911" i="17"/>
  <c r="C911" i="17"/>
  <c r="D911" i="17"/>
  <c r="E911" i="17"/>
  <c r="F911" i="17"/>
  <c r="B912" i="17"/>
  <c r="C912" i="17"/>
  <c r="D912" i="17"/>
  <c r="E912" i="17"/>
  <c r="F912" i="17"/>
  <c r="B913" i="17"/>
  <c r="C913" i="17"/>
  <c r="D913" i="17"/>
  <c r="E913" i="17"/>
  <c r="F913" i="17"/>
  <c r="B914" i="17"/>
  <c r="C914" i="17"/>
  <c r="D914" i="17"/>
  <c r="E914" i="17"/>
  <c r="F914" i="17"/>
  <c r="B915" i="17"/>
  <c r="C915" i="17"/>
  <c r="D915" i="17"/>
  <c r="E915" i="17"/>
  <c r="F915" i="17"/>
  <c r="B916" i="17"/>
  <c r="C916" i="17"/>
  <c r="D916" i="17"/>
  <c r="E916" i="17"/>
  <c r="F916" i="17"/>
  <c r="B917" i="17"/>
  <c r="C917" i="17"/>
  <c r="D917" i="17"/>
  <c r="E917" i="17"/>
  <c r="F917" i="17"/>
  <c r="B918" i="17"/>
  <c r="C918" i="17"/>
  <c r="D918" i="17"/>
  <c r="E918" i="17"/>
  <c r="F918" i="17"/>
  <c r="B919" i="17"/>
  <c r="C919" i="17"/>
  <c r="D919" i="17"/>
  <c r="E919" i="17"/>
  <c r="F919" i="17"/>
  <c r="B920" i="17"/>
  <c r="C920" i="17"/>
  <c r="D920" i="17"/>
  <c r="E920" i="17"/>
  <c r="F920" i="17"/>
  <c r="B921" i="17"/>
  <c r="C921" i="17"/>
  <c r="D921" i="17"/>
  <c r="E921" i="17"/>
  <c r="F921" i="17"/>
  <c r="B922" i="17"/>
  <c r="C922" i="17"/>
  <c r="D922" i="17"/>
  <c r="E922" i="17"/>
  <c r="F922" i="17"/>
  <c r="B923" i="17"/>
  <c r="C923" i="17"/>
  <c r="D923" i="17"/>
  <c r="E923" i="17"/>
  <c r="F923" i="17"/>
  <c r="B924" i="17"/>
  <c r="C924" i="17"/>
  <c r="D924" i="17"/>
  <c r="E924" i="17"/>
  <c r="F924" i="17"/>
  <c r="B925" i="17"/>
  <c r="C925" i="17"/>
  <c r="D925" i="17"/>
  <c r="E925" i="17"/>
  <c r="F925" i="17"/>
  <c r="B926" i="17"/>
  <c r="C926" i="17"/>
  <c r="D926" i="17"/>
  <c r="E926" i="17"/>
  <c r="F926" i="17"/>
  <c r="B927" i="17"/>
  <c r="C927" i="17"/>
  <c r="D927" i="17"/>
  <c r="E927" i="17"/>
  <c r="F927" i="17"/>
  <c r="B928" i="17"/>
  <c r="C928" i="17"/>
  <c r="D928" i="17"/>
  <c r="E928" i="17"/>
  <c r="F928" i="17"/>
  <c r="B929" i="17"/>
  <c r="C929" i="17"/>
  <c r="D929" i="17"/>
  <c r="E929" i="17"/>
  <c r="F929" i="17"/>
  <c r="B930" i="17"/>
  <c r="C930" i="17"/>
  <c r="D930" i="17"/>
  <c r="E930" i="17"/>
  <c r="F930" i="17"/>
  <c r="B931" i="17"/>
  <c r="C931" i="17"/>
  <c r="D931" i="17"/>
  <c r="E931" i="17"/>
  <c r="F931" i="17"/>
  <c r="B932" i="17"/>
  <c r="C932" i="17"/>
  <c r="D932" i="17"/>
  <c r="E932" i="17"/>
  <c r="F932" i="17"/>
  <c r="B933" i="17"/>
  <c r="C933" i="17"/>
  <c r="D933" i="17"/>
  <c r="E933" i="17"/>
  <c r="F933" i="17"/>
  <c r="B934" i="17"/>
  <c r="C934" i="17"/>
  <c r="D934" i="17"/>
  <c r="E934" i="17"/>
  <c r="F934" i="17"/>
  <c r="B935" i="17"/>
  <c r="C935" i="17"/>
  <c r="D935" i="17"/>
  <c r="E935" i="17"/>
  <c r="F935" i="17"/>
  <c r="B936" i="17"/>
  <c r="C936" i="17"/>
  <c r="D936" i="17"/>
  <c r="E936" i="17"/>
  <c r="F936" i="17"/>
  <c r="B937" i="17"/>
  <c r="C937" i="17"/>
  <c r="D937" i="17"/>
  <c r="E937" i="17"/>
  <c r="F937" i="17"/>
  <c r="B938" i="17"/>
  <c r="C938" i="17"/>
  <c r="D938" i="17"/>
  <c r="E938" i="17"/>
  <c r="F938" i="17"/>
  <c r="B939" i="17"/>
  <c r="C939" i="17"/>
  <c r="D939" i="17"/>
  <c r="E939" i="17"/>
  <c r="F939" i="17"/>
  <c r="B940" i="17"/>
  <c r="C940" i="17"/>
  <c r="D940" i="17"/>
  <c r="E940" i="17"/>
  <c r="F940" i="17"/>
  <c r="B941" i="17"/>
  <c r="C941" i="17"/>
  <c r="D941" i="17"/>
  <c r="E941" i="17"/>
  <c r="F941" i="17"/>
  <c r="B942" i="17"/>
  <c r="C942" i="17"/>
  <c r="D942" i="17"/>
  <c r="E942" i="17"/>
  <c r="F942" i="17"/>
  <c r="B943" i="17"/>
  <c r="C943" i="17"/>
  <c r="D943" i="17"/>
  <c r="E943" i="17"/>
  <c r="F943" i="17"/>
  <c r="B944" i="17"/>
  <c r="C944" i="17"/>
  <c r="D944" i="17"/>
  <c r="E944" i="17"/>
  <c r="F944" i="17"/>
  <c r="B945" i="17"/>
  <c r="C945" i="17"/>
  <c r="D945" i="17"/>
  <c r="E945" i="17"/>
  <c r="F945" i="17"/>
  <c r="B946" i="17"/>
  <c r="C946" i="17"/>
  <c r="D946" i="17"/>
  <c r="E946" i="17"/>
  <c r="F946" i="17"/>
  <c r="B947" i="17"/>
  <c r="C947" i="17"/>
  <c r="D947" i="17"/>
  <c r="E947" i="17"/>
  <c r="F947" i="17"/>
  <c r="B948" i="17"/>
  <c r="C948" i="17"/>
  <c r="D948" i="17"/>
  <c r="E948" i="17"/>
  <c r="F948" i="17"/>
  <c r="B949" i="17"/>
  <c r="C949" i="17"/>
  <c r="D949" i="17"/>
  <c r="E949" i="17"/>
  <c r="F949" i="17"/>
  <c r="B950" i="17"/>
  <c r="C950" i="17"/>
  <c r="D950" i="17"/>
  <c r="E950" i="17"/>
  <c r="F950" i="17"/>
  <c r="B951" i="17"/>
  <c r="C951" i="17"/>
  <c r="D951" i="17"/>
  <c r="E951" i="17"/>
  <c r="F951" i="17"/>
  <c r="B952" i="17"/>
  <c r="C952" i="17"/>
  <c r="D952" i="17"/>
  <c r="E952" i="17"/>
  <c r="F952" i="17"/>
  <c r="B953" i="17"/>
  <c r="C953" i="17"/>
  <c r="D953" i="17"/>
  <c r="E953" i="17"/>
  <c r="F953" i="17"/>
  <c r="B954" i="17"/>
  <c r="C954" i="17"/>
  <c r="D954" i="17"/>
  <c r="E954" i="17"/>
  <c r="F954" i="17"/>
  <c r="B955" i="17"/>
  <c r="C955" i="17"/>
  <c r="D955" i="17"/>
  <c r="E955" i="17"/>
  <c r="F955" i="17"/>
  <c r="B956" i="17"/>
  <c r="C956" i="17"/>
  <c r="D956" i="17"/>
  <c r="E956" i="17"/>
  <c r="F956" i="17"/>
  <c r="B957" i="17"/>
  <c r="C957" i="17"/>
  <c r="D957" i="17"/>
  <c r="E957" i="17"/>
  <c r="F957" i="17"/>
  <c r="B958" i="17"/>
  <c r="C958" i="17"/>
  <c r="D958" i="17"/>
  <c r="E958" i="17"/>
  <c r="F958" i="17"/>
  <c r="B959" i="17"/>
  <c r="C959" i="17"/>
  <c r="D959" i="17"/>
  <c r="E959" i="17"/>
  <c r="F959" i="17"/>
  <c r="B960" i="17"/>
  <c r="C960" i="17"/>
  <c r="D960" i="17"/>
  <c r="E960" i="17"/>
  <c r="F960" i="17"/>
  <c r="B961" i="17"/>
  <c r="C961" i="17"/>
  <c r="D961" i="17"/>
  <c r="E961" i="17"/>
  <c r="F961" i="17"/>
  <c r="B962" i="17"/>
  <c r="C962" i="17"/>
  <c r="D962" i="17"/>
  <c r="E962" i="17"/>
  <c r="F962" i="17"/>
  <c r="B963" i="17"/>
  <c r="C963" i="17"/>
  <c r="D963" i="17"/>
  <c r="E963" i="17"/>
  <c r="F963" i="17"/>
  <c r="B964" i="17"/>
  <c r="C964" i="17"/>
  <c r="D964" i="17"/>
  <c r="E964" i="17"/>
  <c r="F964" i="17"/>
  <c r="B965" i="17"/>
  <c r="C965" i="17"/>
  <c r="D965" i="17"/>
  <c r="E965" i="17"/>
  <c r="F965" i="17"/>
  <c r="B966" i="17"/>
  <c r="C966" i="17"/>
  <c r="D966" i="17"/>
  <c r="E966" i="17"/>
  <c r="F966" i="17"/>
  <c r="B967" i="17"/>
  <c r="C967" i="17"/>
  <c r="D967" i="17"/>
  <c r="E967" i="17"/>
  <c r="F967" i="17"/>
  <c r="B968" i="17"/>
  <c r="C968" i="17"/>
  <c r="D968" i="17"/>
  <c r="E968" i="17"/>
  <c r="F968" i="17"/>
  <c r="B969" i="17"/>
  <c r="C969" i="17"/>
  <c r="D969" i="17"/>
  <c r="E969" i="17"/>
  <c r="F969" i="17"/>
  <c r="B970" i="17"/>
  <c r="C970" i="17"/>
  <c r="D970" i="17"/>
  <c r="E970" i="17"/>
  <c r="F970" i="17"/>
  <c r="B971" i="17"/>
  <c r="C971" i="17"/>
  <c r="D971" i="17"/>
  <c r="E971" i="17"/>
  <c r="F971" i="17"/>
  <c r="B972" i="17"/>
  <c r="C972" i="17"/>
  <c r="D972" i="17"/>
  <c r="E972" i="17"/>
  <c r="F972" i="17"/>
  <c r="B973" i="17"/>
  <c r="C973" i="17"/>
  <c r="D973" i="17"/>
  <c r="E973" i="17"/>
  <c r="F973" i="17"/>
  <c r="B974" i="17"/>
  <c r="C974" i="17"/>
  <c r="D974" i="17"/>
  <c r="E974" i="17"/>
  <c r="F974" i="17"/>
  <c r="B975" i="17"/>
  <c r="C975" i="17"/>
  <c r="D975" i="17"/>
  <c r="E975" i="17"/>
  <c r="F975" i="17"/>
  <c r="B976" i="17"/>
  <c r="C976" i="17"/>
  <c r="D976" i="17"/>
  <c r="E976" i="17"/>
  <c r="F976" i="17"/>
  <c r="B977" i="17"/>
  <c r="C977" i="17"/>
  <c r="D977" i="17"/>
  <c r="E977" i="17"/>
  <c r="F977" i="17"/>
  <c r="B978" i="17"/>
  <c r="C978" i="17"/>
  <c r="D978" i="17"/>
  <c r="E978" i="17"/>
  <c r="F978" i="17"/>
  <c r="B979" i="17"/>
  <c r="C979" i="17"/>
  <c r="D979" i="17"/>
  <c r="E979" i="17"/>
  <c r="F979" i="17"/>
  <c r="B980" i="17"/>
  <c r="C980" i="17"/>
  <c r="D980" i="17"/>
  <c r="E980" i="17"/>
  <c r="F980" i="17"/>
  <c r="B981" i="17"/>
  <c r="C981" i="17"/>
  <c r="D981" i="17"/>
  <c r="E981" i="17"/>
  <c r="F981" i="17"/>
  <c r="B982" i="17"/>
  <c r="C982" i="17"/>
  <c r="D982" i="17"/>
  <c r="E982" i="17"/>
  <c r="F982" i="17"/>
  <c r="B983" i="17"/>
  <c r="C983" i="17"/>
  <c r="D983" i="17"/>
  <c r="E983" i="17"/>
  <c r="F983" i="17"/>
  <c r="B984" i="17"/>
  <c r="C984" i="17"/>
  <c r="D984" i="17"/>
  <c r="E984" i="17"/>
  <c r="F984" i="17"/>
  <c r="B985" i="17"/>
  <c r="C985" i="17"/>
  <c r="D985" i="17"/>
  <c r="E985" i="17"/>
  <c r="F985" i="17"/>
  <c r="B986" i="17"/>
  <c r="C986" i="17"/>
  <c r="D986" i="17"/>
  <c r="E986" i="17"/>
  <c r="F986" i="17"/>
  <c r="B987" i="17"/>
  <c r="C987" i="17"/>
  <c r="D987" i="17"/>
  <c r="E987" i="17"/>
  <c r="F987" i="17"/>
  <c r="B988" i="17"/>
  <c r="C988" i="17"/>
  <c r="D988" i="17"/>
  <c r="E988" i="17"/>
  <c r="F988" i="17"/>
  <c r="B989" i="17"/>
  <c r="C989" i="17"/>
  <c r="D989" i="17"/>
  <c r="E989" i="17"/>
  <c r="F989" i="17"/>
  <c r="B990" i="17"/>
  <c r="C990" i="17"/>
  <c r="D990" i="17"/>
  <c r="E990" i="17"/>
  <c r="F990" i="17"/>
  <c r="B991" i="17"/>
  <c r="C991" i="17"/>
  <c r="D991" i="17"/>
  <c r="E991" i="17"/>
  <c r="F991" i="17"/>
  <c r="B992" i="17"/>
  <c r="C992" i="17"/>
  <c r="D992" i="17"/>
  <c r="E992" i="17"/>
  <c r="F992" i="17"/>
  <c r="B993" i="17"/>
  <c r="C993" i="17"/>
  <c r="D993" i="17"/>
  <c r="E993" i="17"/>
  <c r="F993" i="17"/>
  <c r="B994" i="17"/>
  <c r="C994" i="17"/>
  <c r="D994" i="17"/>
  <c r="E994" i="17"/>
  <c r="F994" i="17"/>
  <c r="B995" i="17"/>
  <c r="C995" i="17"/>
  <c r="D995" i="17"/>
  <c r="E995" i="17"/>
  <c r="F995" i="17"/>
  <c r="B996" i="17"/>
  <c r="C996" i="17"/>
  <c r="D996" i="17"/>
  <c r="E996" i="17"/>
  <c r="F996" i="17"/>
  <c r="B997" i="17"/>
  <c r="C997" i="17"/>
  <c r="D997" i="17"/>
  <c r="E997" i="17"/>
  <c r="F997" i="17"/>
  <c r="B998" i="17"/>
  <c r="C998" i="17"/>
  <c r="D998" i="17"/>
  <c r="E998" i="17"/>
  <c r="F998" i="17"/>
  <c r="B999" i="17"/>
  <c r="C999" i="17"/>
  <c r="D999" i="17"/>
  <c r="E999" i="17"/>
  <c r="F999" i="17"/>
  <c r="B1000" i="17"/>
  <c r="C1000" i="17"/>
  <c r="D1000" i="17"/>
  <c r="E1000" i="17"/>
  <c r="F1000" i="17"/>
  <c r="B1001" i="17"/>
  <c r="C1001" i="17"/>
  <c r="D1001" i="17"/>
  <c r="E1001" i="17"/>
  <c r="F1001" i="17"/>
  <c r="B1002" i="17"/>
  <c r="C1002" i="17"/>
  <c r="D1002" i="17"/>
  <c r="E1002" i="17"/>
  <c r="F1002" i="17"/>
  <c r="B1003" i="17"/>
  <c r="C1003" i="17"/>
  <c r="D1003" i="17"/>
  <c r="E1003" i="17"/>
  <c r="F1003" i="17"/>
  <c r="B1004" i="17"/>
  <c r="C1004" i="17"/>
  <c r="D1004" i="17"/>
  <c r="E1004" i="17"/>
  <c r="F1004" i="17"/>
  <c r="B1005" i="17"/>
  <c r="C1005" i="17"/>
  <c r="D1005" i="17"/>
  <c r="E1005" i="17"/>
  <c r="F1005" i="17"/>
  <c r="B1006" i="17"/>
  <c r="C1006" i="17"/>
  <c r="D1006" i="17"/>
  <c r="E1006" i="17"/>
  <c r="F1006" i="17"/>
  <c r="B1007" i="17"/>
  <c r="C1007" i="17"/>
  <c r="D1007" i="17"/>
  <c r="E1007" i="17"/>
  <c r="F1007" i="17"/>
  <c r="B1008" i="17"/>
  <c r="C1008" i="17"/>
  <c r="D1008" i="17"/>
  <c r="E1008" i="17"/>
  <c r="F1008" i="17"/>
  <c r="B1009" i="17"/>
  <c r="C1009" i="17"/>
  <c r="D1009" i="17"/>
  <c r="E1009" i="17"/>
  <c r="F1009" i="17"/>
  <c r="B1010" i="17"/>
  <c r="C1010" i="17"/>
  <c r="D1010" i="17"/>
  <c r="E1010" i="17"/>
  <c r="F1010" i="17"/>
  <c r="B1011" i="17"/>
  <c r="C1011" i="17"/>
  <c r="D1011" i="17"/>
  <c r="E1011" i="17"/>
  <c r="F1011" i="17"/>
  <c r="B1012" i="17"/>
  <c r="C1012" i="17"/>
  <c r="D1012" i="17"/>
  <c r="E1012" i="17"/>
  <c r="F1012" i="17"/>
  <c r="B1013" i="17"/>
  <c r="C1013" i="17"/>
  <c r="D1013" i="17"/>
  <c r="E1013" i="17"/>
  <c r="F1013" i="17"/>
  <c r="B1014" i="17"/>
  <c r="C1014" i="17"/>
  <c r="D1014" i="17"/>
  <c r="E1014" i="17"/>
  <c r="F1014" i="17"/>
  <c r="B1015" i="17"/>
  <c r="C1015" i="17"/>
  <c r="D1015" i="17"/>
  <c r="E1015" i="17"/>
  <c r="F1015" i="17"/>
  <c r="B1016" i="17"/>
  <c r="C1016" i="17"/>
  <c r="D1016" i="17"/>
  <c r="E1016" i="17"/>
  <c r="F1016" i="17"/>
  <c r="B1017" i="17"/>
  <c r="C1017" i="17"/>
  <c r="D1017" i="17"/>
  <c r="E1017" i="17"/>
  <c r="F1017" i="17"/>
  <c r="B1018" i="17"/>
  <c r="C1018" i="17"/>
  <c r="D1018" i="17"/>
  <c r="E1018" i="17"/>
  <c r="F1018" i="17"/>
  <c r="B1019" i="17"/>
  <c r="C1019" i="17"/>
  <c r="D1019" i="17"/>
  <c r="E1019" i="17"/>
  <c r="F1019" i="17"/>
  <c r="B1020" i="17"/>
  <c r="C1020" i="17"/>
  <c r="D1020" i="17"/>
  <c r="E1020" i="17"/>
  <c r="F1020" i="17"/>
  <c r="B1021" i="17"/>
  <c r="C1021" i="17"/>
  <c r="D1021" i="17"/>
  <c r="E1021" i="17"/>
  <c r="F1021" i="17"/>
  <c r="B1022" i="17"/>
  <c r="C1022" i="17"/>
  <c r="D1022" i="17"/>
  <c r="E1022" i="17"/>
  <c r="F1022" i="17"/>
  <c r="B1023" i="17"/>
  <c r="C1023" i="17"/>
  <c r="D1023" i="17"/>
  <c r="E1023" i="17"/>
  <c r="F1023" i="17"/>
  <c r="B1024" i="17"/>
  <c r="C1024" i="17"/>
  <c r="D1024" i="17"/>
  <c r="E1024" i="17"/>
  <c r="F1024" i="17"/>
  <c r="B1025" i="17"/>
  <c r="C1025" i="17"/>
  <c r="D1025" i="17"/>
  <c r="E1025" i="17"/>
  <c r="F1025" i="17"/>
  <c r="B1026" i="17"/>
  <c r="C1026" i="17"/>
  <c r="D1026" i="17"/>
  <c r="E1026" i="17"/>
  <c r="F1026" i="17"/>
  <c r="B1027" i="17"/>
  <c r="C1027" i="17"/>
  <c r="D1027" i="17"/>
  <c r="E1027" i="17"/>
  <c r="F1027" i="17"/>
  <c r="B1028" i="17"/>
  <c r="C1028" i="17"/>
  <c r="D1028" i="17"/>
  <c r="E1028" i="17"/>
  <c r="F1028" i="17"/>
  <c r="B1029" i="17"/>
  <c r="C1029" i="17"/>
  <c r="D1029" i="17"/>
  <c r="E1029" i="17"/>
  <c r="F1029" i="17"/>
  <c r="B1030" i="17"/>
  <c r="C1030" i="17"/>
  <c r="D1030" i="17"/>
  <c r="E1030" i="17"/>
  <c r="F1030" i="17"/>
  <c r="B1031" i="17"/>
  <c r="C1031" i="17"/>
  <c r="D1031" i="17"/>
  <c r="E1031" i="17"/>
  <c r="F1031" i="17"/>
  <c r="B1032" i="17"/>
  <c r="C1032" i="17"/>
  <c r="D1032" i="17"/>
  <c r="E1032" i="17"/>
  <c r="F1032" i="17"/>
  <c r="B1033" i="17"/>
  <c r="C1033" i="17"/>
  <c r="D1033" i="17"/>
  <c r="E1033" i="17"/>
  <c r="F1033" i="17"/>
  <c r="B1034" i="17"/>
  <c r="C1034" i="17"/>
  <c r="D1034" i="17"/>
  <c r="E1034" i="17"/>
  <c r="F1034" i="17"/>
  <c r="B1035" i="17"/>
  <c r="C1035" i="17"/>
  <c r="D1035" i="17"/>
  <c r="E1035" i="17"/>
  <c r="F1035" i="17"/>
  <c r="B1036" i="17"/>
  <c r="C1036" i="17"/>
  <c r="D1036" i="17"/>
  <c r="E1036" i="17"/>
  <c r="F1036" i="17"/>
  <c r="B1037" i="17"/>
  <c r="C1037" i="17"/>
  <c r="D1037" i="17"/>
  <c r="E1037" i="17"/>
  <c r="F1037" i="17"/>
  <c r="B1038" i="17"/>
  <c r="C1038" i="17"/>
  <c r="D1038" i="17"/>
  <c r="E1038" i="17"/>
  <c r="F1038" i="17"/>
  <c r="B1039" i="17"/>
  <c r="C1039" i="17"/>
  <c r="D1039" i="17"/>
  <c r="E1039" i="17"/>
  <c r="F1039" i="17"/>
  <c r="B1040" i="17"/>
  <c r="C1040" i="17"/>
  <c r="D1040" i="17"/>
  <c r="E1040" i="17"/>
  <c r="F1040" i="17"/>
  <c r="B1041" i="17"/>
  <c r="C1041" i="17"/>
  <c r="D1041" i="17"/>
  <c r="E1041" i="17"/>
  <c r="F1041" i="17"/>
  <c r="B1042" i="17"/>
  <c r="C1042" i="17"/>
  <c r="D1042" i="17"/>
  <c r="E1042" i="17"/>
  <c r="F1042" i="17"/>
  <c r="B1043" i="17"/>
  <c r="C1043" i="17"/>
  <c r="D1043" i="17"/>
  <c r="E1043" i="17"/>
  <c r="F1043" i="17"/>
  <c r="B1044" i="17"/>
  <c r="C1044" i="17"/>
  <c r="D1044" i="17"/>
  <c r="E1044" i="17"/>
  <c r="F1044" i="17"/>
  <c r="B1045" i="17"/>
  <c r="C1045" i="17"/>
  <c r="D1045" i="17"/>
  <c r="E1045" i="17"/>
  <c r="F1045" i="17"/>
  <c r="B1046" i="17"/>
  <c r="C1046" i="17"/>
  <c r="D1046" i="17"/>
  <c r="E1046" i="17"/>
  <c r="F1046" i="17"/>
  <c r="B1047" i="17"/>
  <c r="C1047" i="17"/>
  <c r="D1047" i="17"/>
  <c r="E1047" i="17"/>
  <c r="F1047" i="17"/>
  <c r="B1048" i="17"/>
  <c r="C1048" i="17"/>
  <c r="D1048" i="17"/>
  <c r="E1048" i="17"/>
  <c r="F1048" i="17"/>
  <c r="B1049" i="17"/>
  <c r="C1049" i="17"/>
  <c r="D1049" i="17"/>
  <c r="E1049" i="17"/>
  <c r="F1049" i="17"/>
  <c r="B1050" i="17"/>
  <c r="C1050" i="17"/>
  <c r="D1050" i="17"/>
  <c r="E1050" i="17"/>
  <c r="F1050" i="17"/>
  <c r="B1051" i="17"/>
  <c r="C1051" i="17"/>
  <c r="D1051" i="17"/>
  <c r="E1051" i="17"/>
  <c r="F1051" i="17"/>
  <c r="B1052" i="17"/>
  <c r="C1052" i="17"/>
  <c r="D1052" i="17"/>
  <c r="E1052" i="17"/>
  <c r="F1052" i="17"/>
  <c r="B1053" i="17"/>
  <c r="C1053" i="17"/>
  <c r="D1053" i="17"/>
  <c r="E1053" i="17"/>
  <c r="F1053" i="17"/>
  <c r="B1054" i="17"/>
  <c r="C1054" i="17"/>
  <c r="D1054" i="17"/>
  <c r="E1054" i="17"/>
  <c r="F1054" i="17"/>
  <c r="B1055" i="17"/>
  <c r="C1055" i="17"/>
  <c r="D1055" i="17"/>
  <c r="E1055" i="17"/>
  <c r="F1055" i="17"/>
  <c r="B1056" i="17"/>
  <c r="C1056" i="17"/>
  <c r="D1056" i="17"/>
  <c r="E1056" i="17"/>
  <c r="F1056" i="17"/>
  <c r="B1057" i="17"/>
  <c r="C1057" i="17"/>
  <c r="D1057" i="17"/>
  <c r="E1057" i="17"/>
  <c r="F1057" i="17"/>
  <c r="B1058" i="17"/>
  <c r="C1058" i="17"/>
  <c r="D1058" i="17"/>
  <c r="E1058" i="17"/>
  <c r="F1058" i="17"/>
  <c r="B1059" i="17"/>
  <c r="C1059" i="17"/>
  <c r="D1059" i="17"/>
  <c r="E1059" i="17"/>
  <c r="F1059" i="17"/>
  <c r="B1060" i="17"/>
  <c r="C1060" i="17"/>
  <c r="D1060" i="17"/>
  <c r="E1060" i="17"/>
  <c r="F1060" i="17"/>
  <c r="B1061" i="17"/>
  <c r="C1061" i="17"/>
  <c r="D1061" i="17"/>
  <c r="E1061" i="17"/>
  <c r="F1061" i="17"/>
  <c r="B1062" i="17"/>
  <c r="C1062" i="17"/>
  <c r="D1062" i="17"/>
  <c r="E1062" i="17"/>
  <c r="F1062" i="17"/>
  <c r="B1063" i="17"/>
  <c r="C1063" i="17"/>
  <c r="D1063" i="17"/>
  <c r="E1063" i="17"/>
  <c r="F1063" i="17"/>
  <c r="B1064" i="17"/>
  <c r="C1064" i="17"/>
  <c r="D1064" i="17"/>
  <c r="E1064" i="17"/>
  <c r="F1064" i="17"/>
  <c r="B1065" i="17"/>
  <c r="C1065" i="17"/>
  <c r="D1065" i="17"/>
  <c r="E1065" i="17"/>
  <c r="F1065" i="17"/>
  <c r="B1066" i="17"/>
  <c r="C1066" i="17"/>
  <c r="D1066" i="17"/>
  <c r="E1066" i="17"/>
  <c r="F1066" i="17"/>
  <c r="B1067" i="17"/>
  <c r="C1067" i="17"/>
  <c r="D1067" i="17"/>
  <c r="E1067" i="17"/>
  <c r="F1067" i="17"/>
  <c r="B1068" i="17"/>
  <c r="C1068" i="17"/>
  <c r="D1068" i="17"/>
  <c r="E1068" i="17"/>
  <c r="F1068" i="17"/>
  <c r="B1069" i="17"/>
  <c r="C1069" i="17"/>
  <c r="D1069" i="17"/>
  <c r="E1069" i="17"/>
  <c r="F1069" i="17"/>
  <c r="B1070" i="17"/>
  <c r="C1070" i="17"/>
  <c r="D1070" i="17"/>
  <c r="E1070" i="17"/>
  <c r="F1070" i="17"/>
  <c r="B1071" i="17"/>
  <c r="C1071" i="17"/>
  <c r="D1071" i="17"/>
  <c r="E1071" i="17"/>
  <c r="F1071" i="17"/>
  <c r="B1072" i="17"/>
  <c r="C1072" i="17"/>
  <c r="D1072" i="17"/>
  <c r="E1072" i="17"/>
  <c r="F1072" i="17"/>
  <c r="B1073" i="17"/>
  <c r="C1073" i="17"/>
  <c r="D1073" i="17"/>
  <c r="E1073" i="17"/>
  <c r="F1073" i="17"/>
  <c r="B1074" i="17"/>
  <c r="C1074" i="17"/>
  <c r="D1074" i="17"/>
  <c r="E1074" i="17"/>
  <c r="F1074" i="17"/>
  <c r="B1075" i="17"/>
  <c r="C1075" i="17"/>
  <c r="D1075" i="17"/>
  <c r="E1075" i="17"/>
  <c r="F1075" i="17"/>
  <c r="B1076" i="17"/>
  <c r="C1076" i="17"/>
  <c r="D1076" i="17"/>
  <c r="E1076" i="17"/>
  <c r="F1076" i="17"/>
  <c r="B1077" i="17"/>
  <c r="C1077" i="17"/>
  <c r="D1077" i="17"/>
  <c r="E1077" i="17"/>
  <c r="F1077" i="17"/>
  <c r="B1078" i="17"/>
  <c r="C1078" i="17"/>
  <c r="D1078" i="17"/>
  <c r="E1078" i="17"/>
  <c r="F1078" i="17"/>
  <c r="B1079" i="17"/>
  <c r="C1079" i="17"/>
  <c r="D1079" i="17"/>
  <c r="E1079" i="17"/>
  <c r="F1079" i="17"/>
  <c r="B1080" i="17"/>
  <c r="C1080" i="17"/>
  <c r="D1080" i="17"/>
  <c r="E1080" i="17"/>
  <c r="F1080" i="17"/>
  <c r="B1081" i="17"/>
  <c r="C1081" i="17"/>
  <c r="D1081" i="17"/>
  <c r="E1081" i="17"/>
  <c r="F1081" i="17"/>
  <c r="B1082" i="17"/>
  <c r="C1082" i="17"/>
  <c r="D1082" i="17"/>
  <c r="E1082" i="17"/>
  <c r="F1082" i="17"/>
  <c r="B1083" i="17"/>
  <c r="C1083" i="17"/>
  <c r="D1083" i="17"/>
  <c r="E1083" i="17"/>
  <c r="F1083" i="17"/>
  <c r="B1084" i="17"/>
  <c r="C1084" i="17"/>
  <c r="D1084" i="17"/>
  <c r="E1084" i="17"/>
  <c r="F1084" i="17"/>
  <c r="B1085" i="17"/>
  <c r="C1085" i="17"/>
  <c r="D1085" i="17"/>
  <c r="E1085" i="17"/>
  <c r="F1085" i="17"/>
  <c r="B1086" i="17"/>
  <c r="C1086" i="17"/>
  <c r="D1086" i="17"/>
  <c r="E1086" i="17"/>
  <c r="F1086" i="17"/>
  <c r="B1087" i="17"/>
  <c r="C1087" i="17"/>
  <c r="D1087" i="17"/>
  <c r="E1087" i="17"/>
  <c r="F1087" i="17"/>
  <c r="B1088" i="17"/>
  <c r="C1088" i="17"/>
  <c r="D1088" i="17"/>
  <c r="E1088" i="17"/>
  <c r="F1088" i="17"/>
  <c r="B1089" i="17"/>
  <c r="C1089" i="17"/>
  <c r="D1089" i="17"/>
  <c r="E1089" i="17"/>
  <c r="F1089" i="17"/>
  <c r="B1090" i="17"/>
  <c r="C1090" i="17"/>
  <c r="D1090" i="17"/>
  <c r="E1090" i="17"/>
  <c r="F1090" i="17"/>
  <c r="B1091" i="17"/>
  <c r="C1091" i="17"/>
  <c r="D1091" i="17"/>
  <c r="E1091" i="17"/>
  <c r="F1091" i="17"/>
  <c r="B1092" i="17"/>
  <c r="C1092" i="17"/>
  <c r="D1092" i="17"/>
  <c r="E1092" i="17"/>
  <c r="F1092" i="17"/>
  <c r="B1093" i="17"/>
  <c r="C1093" i="17"/>
  <c r="D1093" i="17"/>
  <c r="E1093" i="17"/>
  <c r="F1093" i="17"/>
  <c r="B1094" i="17"/>
  <c r="C1094" i="17"/>
  <c r="D1094" i="17"/>
  <c r="E1094" i="17"/>
  <c r="F1094" i="17"/>
  <c r="B1095" i="17"/>
  <c r="C1095" i="17"/>
  <c r="D1095" i="17"/>
  <c r="E1095" i="17"/>
  <c r="F1095" i="17"/>
  <c r="B1096" i="17"/>
  <c r="C1096" i="17"/>
  <c r="D1096" i="17"/>
  <c r="E1096" i="17"/>
  <c r="F1096" i="17"/>
  <c r="B1097" i="17"/>
  <c r="C1097" i="17"/>
  <c r="D1097" i="17"/>
  <c r="E1097" i="17"/>
  <c r="F1097" i="17"/>
  <c r="B1098" i="17"/>
  <c r="C1098" i="17"/>
  <c r="D1098" i="17"/>
  <c r="E1098" i="17"/>
  <c r="F1098" i="17"/>
  <c r="B1099" i="17"/>
  <c r="C1099" i="17"/>
  <c r="D1099" i="17"/>
  <c r="E1099" i="17"/>
  <c r="F1099" i="17"/>
  <c r="B1100" i="17"/>
  <c r="C1100" i="17"/>
  <c r="D1100" i="17"/>
  <c r="E1100" i="17"/>
  <c r="F1100" i="17"/>
  <c r="B1101" i="17"/>
  <c r="C1101" i="17"/>
  <c r="D1101" i="17"/>
  <c r="E1101" i="17"/>
  <c r="F1101" i="17"/>
  <c r="B1102" i="17"/>
  <c r="C1102" i="17"/>
  <c r="D1102" i="17"/>
  <c r="E1102" i="17"/>
  <c r="F1102" i="17"/>
  <c r="B1103" i="17"/>
  <c r="C1103" i="17"/>
  <c r="D1103" i="17"/>
  <c r="E1103" i="17"/>
  <c r="F1103" i="17"/>
  <c r="B1104" i="17"/>
  <c r="C1104" i="17"/>
  <c r="D1104" i="17"/>
  <c r="E1104" i="17"/>
  <c r="F1104" i="17"/>
  <c r="B1105" i="17"/>
  <c r="C1105" i="17"/>
  <c r="D1105" i="17"/>
  <c r="E1105" i="17"/>
  <c r="F1105" i="17"/>
  <c r="B1106" i="17"/>
  <c r="C1106" i="17"/>
  <c r="D1106" i="17"/>
  <c r="E1106" i="17"/>
  <c r="F1106" i="17"/>
  <c r="B1107" i="17"/>
  <c r="C1107" i="17"/>
  <c r="D1107" i="17"/>
  <c r="E1107" i="17"/>
  <c r="F1107" i="17"/>
  <c r="B1108" i="17"/>
  <c r="C1108" i="17"/>
  <c r="D1108" i="17"/>
  <c r="E1108" i="17"/>
  <c r="F1108" i="17"/>
  <c r="B1109" i="17"/>
  <c r="C1109" i="17"/>
  <c r="D1109" i="17"/>
  <c r="E1109" i="17"/>
  <c r="F1109" i="17"/>
  <c r="B1110" i="17"/>
  <c r="C1110" i="17"/>
  <c r="D1110" i="17"/>
  <c r="E1110" i="17"/>
  <c r="F1110" i="17"/>
  <c r="B1111" i="17"/>
  <c r="C1111" i="17"/>
  <c r="D1111" i="17"/>
  <c r="E1111" i="17"/>
  <c r="F1111" i="17"/>
  <c r="B1112" i="17"/>
  <c r="C1112" i="17"/>
  <c r="D1112" i="17"/>
  <c r="E1112" i="17"/>
  <c r="F1112" i="17"/>
  <c r="B1113" i="17"/>
  <c r="C1113" i="17"/>
  <c r="D1113" i="17"/>
  <c r="E1113" i="17"/>
  <c r="F1113" i="17"/>
  <c r="B1114" i="17"/>
  <c r="C1114" i="17"/>
  <c r="D1114" i="17"/>
  <c r="E1114" i="17"/>
  <c r="F1114" i="17"/>
  <c r="B1115" i="17"/>
  <c r="C1115" i="17"/>
  <c r="D1115" i="17"/>
  <c r="E1115" i="17"/>
  <c r="F1115" i="17"/>
  <c r="B1116" i="17"/>
  <c r="C1116" i="17"/>
  <c r="D1116" i="17"/>
  <c r="E1116" i="17"/>
  <c r="F1116" i="17"/>
  <c r="B1117" i="17"/>
  <c r="C1117" i="17"/>
  <c r="D1117" i="17"/>
  <c r="E1117" i="17"/>
  <c r="F1117" i="17"/>
  <c r="B1118" i="17"/>
  <c r="C1118" i="17"/>
  <c r="D1118" i="17"/>
  <c r="E1118" i="17"/>
  <c r="F1118" i="17"/>
  <c r="B1119" i="17"/>
  <c r="C1119" i="17"/>
  <c r="D1119" i="17"/>
  <c r="E1119" i="17"/>
  <c r="F1119" i="17"/>
  <c r="B1120" i="17"/>
  <c r="C1120" i="17"/>
  <c r="D1120" i="17"/>
  <c r="E1120" i="17"/>
  <c r="F1120" i="17"/>
  <c r="B1121" i="17"/>
  <c r="C1121" i="17"/>
  <c r="D1121" i="17"/>
  <c r="E1121" i="17"/>
  <c r="F1121" i="17"/>
  <c r="B1122" i="17"/>
  <c r="C1122" i="17"/>
  <c r="D1122" i="17"/>
  <c r="E1122" i="17"/>
  <c r="F1122" i="17"/>
  <c r="B1123" i="17"/>
  <c r="C1123" i="17"/>
  <c r="D1123" i="17"/>
  <c r="E1123" i="17"/>
  <c r="F1123" i="17"/>
  <c r="B1124" i="17"/>
  <c r="C1124" i="17"/>
  <c r="D1124" i="17"/>
  <c r="E1124" i="17"/>
  <c r="F1124" i="17"/>
  <c r="B1125" i="17"/>
  <c r="C1125" i="17"/>
  <c r="D1125" i="17"/>
  <c r="E1125" i="17"/>
  <c r="F1125" i="17"/>
  <c r="B1126" i="17"/>
  <c r="C1126" i="17"/>
  <c r="D1126" i="17"/>
  <c r="E1126" i="17"/>
  <c r="F1126" i="17"/>
  <c r="B1127" i="17"/>
  <c r="C1127" i="17"/>
  <c r="D1127" i="17"/>
  <c r="E1127" i="17"/>
  <c r="F1127" i="17"/>
  <c r="B1128" i="17"/>
  <c r="C1128" i="17"/>
  <c r="D1128" i="17"/>
  <c r="E1128" i="17"/>
  <c r="F1128" i="17"/>
  <c r="B1129" i="17"/>
  <c r="C1129" i="17"/>
  <c r="D1129" i="17"/>
  <c r="E1129" i="17"/>
  <c r="F1129" i="17"/>
  <c r="B1130" i="17"/>
  <c r="C1130" i="17"/>
  <c r="D1130" i="17"/>
  <c r="E1130" i="17"/>
  <c r="F1130" i="17"/>
  <c r="B1131" i="17"/>
  <c r="C1131" i="17"/>
  <c r="D1131" i="17"/>
  <c r="E1131" i="17"/>
  <c r="F1131" i="17"/>
  <c r="B1132" i="17"/>
  <c r="C1132" i="17"/>
  <c r="D1132" i="17"/>
  <c r="E1132" i="17"/>
  <c r="F1132" i="17"/>
  <c r="B1133" i="17"/>
  <c r="C1133" i="17"/>
  <c r="D1133" i="17"/>
  <c r="E1133" i="17"/>
  <c r="F1133" i="17"/>
  <c r="B1134" i="17"/>
  <c r="C1134" i="17"/>
  <c r="D1134" i="17"/>
  <c r="E1134" i="17"/>
  <c r="F1134" i="17"/>
  <c r="B1135" i="17"/>
  <c r="C1135" i="17"/>
  <c r="D1135" i="17"/>
  <c r="E1135" i="17"/>
  <c r="F1135" i="17"/>
  <c r="B1136" i="17"/>
  <c r="C1136" i="17"/>
  <c r="D1136" i="17"/>
  <c r="E1136" i="17"/>
  <c r="F1136" i="17"/>
  <c r="B1137" i="17"/>
  <c r="C1137" i="17"/>
  <c r="D1137" i="17"/>
  <c r="E1137" i="17"/>
  <c r="F1137" i="17"/>
  <c r="B1138" i="17"/>
  <c r="C1138" i="17"/>
  <c r="D1138" i="17"/>
  <c r="E1138" i="17"/>
  <c r="F1138" i="17"/>
  <c r="B1139" i="17"/>
  <c r="C1139" i="17"/>
  <c r="D1139" i="17"/>
  <c r="E1139" i="17"/>
  <c r="F1139" i="17"/>
  <c r="B1140" i="17"/>
  <c r="C1140" i="17"/>
  <c r="D1140" i="17"/>
  <c r="E1140" i="17"/>
  <c r="F1140" i="17"/>
  <c r="B1141" i="17"/>
  <c r="C1141" i="17"/>
  <c r="D1141" i="17"/>
  <c r="E1141" i="17"/>
  <c r="F1141" i="17"/>
  <c r="B1142" i="17"/>
  <c r="C1142" i="17"/>
  <c r="D1142" i="17"/>
  <c r="E1142" i="17"/>
  <c r="F1142" i="17"/>
  <c r="B1143" i="17"/>
  <c r="C1143" i="17"/>
  <c r="D1143" i="17"/>
  <c r="E1143" i="17"/>
  <c r="F1143" i="17"/>
  <c r="B1144" i="17"/>
  <c r="C1144" i="17"/>
  <c r="D1144" i="17"/>
  <c r="E1144" i="17"/>
  <c r="F1144" i="17"/>
  <c r="B1145" i="17"/>
  <c r="C1145" i="17"/>
  <c r="D1145" i="17"/>
  <c r="E1145" i="17"/>
  <c r="F1145" i="17"/>
  <c r="B1146" i="17"/>
  <c r="C1146" i="17"/>
  <c r="D1146" i="17"/>
  <c r="E1146" i="17"/>
  <c r="F1146" i="17"/>
  <c r="B1147" i="17"/>
  <c r="C1147" i="17"/>
  <c r="D1147" i="17"/>
  <c r="E1147" i="17"/>
  <c r="F1147" i="17"/>
  <c r="B1148" i="17"/>
  <c r="C1148" i="17"/>
  <c r="D1148" i="17"/>
  <c r="E1148" i="17"/>
  <c r="F1148" i="17"/>
  <c r="B1149" i="17"/>
  <c r="C1149" i="17"/>
  <c r="D1149" i="17"/>
  <c r="E1149" i="17"/>
  <c r="F1149" i="17"/>
  <c r="B1159" i="17"/>
  <c r="C1159" i="17"/>
  <c r="D1159" i="17"/>
  <c r="E1159" i="17"/>
  <c r="F1159" i="17"/>
  <c r="B1217" i="17"/>
  <c r="C1217" i="17"/>
  <c r="D1217" i="17"/>
  <c r="E1217" i="17"/>
  <c r="F1217" i="17"/>
  <c r="B1218" i="17"/>
  <c r="C1218" i="17"/>
  <c r="D1218" i="17"/>
  <c r="E1218" i="17"/>
  <c r="F1218" i="17"/>
  <c r="B1219" i="17"/>
  <c r="C1219" i="17"/>
  <c r="D1219" i="17"/>
  <c r="E1219" i="17"/>
  <c r="F1219" i="17"/>
  <c r="B1220" i="17"/>
  <c r="C1220" i="17"/>
  <c r="D1220" i="17"/>
  <c r="E1220" i="17"/>
  <c r="F1220" i="17"/>
  <c r="B1221" i="17"/>
  <c r="C1221" i="17"/>
  <c r="D1221" i="17"/>
  <c r="E1221" i="17"/>
  <c r="F1221" i="17"/>
  <c r="B1222" i="17"/>
  <c r="C1222" i="17"/>
  <c r="D1222" i="17"/>
  <c r="E1222" i="17"/>
  <c r="F1222" i="17"/>
  <c r="B1223" i="17"/>
  <c r="C1223" i="17"/>
  <c r="D1223" i="17"/>
  <c r="E1223" i="17"/>
  <c r="F1223" i="17"/>
  <c r="B1224" i="17"/>
  <c r="C1224" i="17"/>
  <c r="D1224" i="17"/>
  <c r="E1224" i="17"/>
  <c r="F1224" i="17"/>
  <c r="B1225" i="17"/>
  <c r="C1225" i="17"/>
  <c r="D1225" i="17"/>
  <c r="E1225" i="17"/>
  <c r="F1225" i="17"/>
  <c r="B1226" i="17"/>
  <c r="C1226" i="17"/>
  <c r="D1226" i="17"/>
  <c r="E1226" i="17"/>
  <c r="F1226" i="17"/>
  <c r="B1227" i="17"/>
  <c r="C1227" i="17"/>
  <c r="D1227" i="17"/>
  <c r="E1227" i="17"/>
  <c r="F1227" i="17"/>
  <c r="B1228" i="17"/>
  <c r="C1228" i="17"/>
  <c r="D1228" i="17"/>
  <c r="E1228" i="17"/>
  <c r="F1228" i="17"/>
  <c r="B1229" i="17"/>
  <c r="C1229" i="17"/>
  <c r="D1229" i="17"/>
  <c r="E1229" i="17"/>
  <c r="F1229" i="17"/>
  <c r="B1230" i="17"/>
  <c r="C1230" i="17"/>
  <c r="D1230" i="17"/>
  <c r="E1230" i="17"/>
  <c r="F1230" i="17"/>
  <c r="B1231" i="17"/>
  <c r="C1231" i="17"/>
  <c r="D1231" i="17"/>
  <c r="E1231" i="17"/>
  <c r="F1231" i="17"/>
  <c r="B1232" i="17"/>
  <c r="C1232" i="17"/>
  <c r="D1232" i="17"/>
  <c r="E1232" i="17"/>
  <c r="F1232" i="17"/>
  <c r="B1233" i="17"/>
  <c r="C1233" i="17"/>
  <c r="D1233" i="17"/>
  <c r="E1233" i="17"/>
  <c r="F1233" i="17"/>
  <c r="B1234" i="17"/>
  <c r="C1234" i="17"/>
  <c r="D1234" i="17"/>
  <c r="E1234" i="17"/>
  <c r="F1234" i="17"/>
  <c r="B1235" i="17"/>
  <c r="C1235" i="17"/>
  <c r="D1235" i="17"/>
  <c r="E1235" i="17"/>
  <c r="F1235" i="17"/>
  <c r="B1236" i="17"/>
  <c r="C1236" i="17"/>
  <c r="D1236" i="17"/>
  <c r="E1236" i="17"/>
  <c r="F1236" i="17"/>
  <c r="B1237" i="17"/>
  <c r="C1237" i="17"/>
  <c r="D1237" i="17"/>
  <c r="E1237" i="17"/>
  <c r="F1237" i="17"/>
  <c r="B1238" i="17"/>
  <c r="C1238" i="17"/>
  <c r="D1238" i="17"/>
  <c r="E1238" i="17"/>
  <c r="F1238" i="17"/>
  <c r="B1239" i="17"/>
  <c r="C1239" i="17"/>
  <c r="D1239" i="17"/>
  <c r="E1239" i="17"/>
  <c r="F1239" i="17"/>
  <c r="B1240" i="17"/>
  <c r="C1240" i="17"/>
  <c r="D1240" i="17"/>
  <c r="E1240" i="17"/>
  <c r="F1240" i="17"/>
  <c r="B1241" i="17"/>
  <c r="C1241" i="17"/>
  <c r="D1241" i="17"/>
  <c r="E1241" i="17"/>
  <c r="F1241" i="17"/>
  <c r="B1242" i="17"/>
  <c r="C1242" i="17"/>
  <c r="D1242" i="17"/>
  <c r="E1242" i="17"/>
  <c r="F1242" i="17"/>
  <c r="B1243" i="17"/>
  <c r="C1243" i="17"/>
  <c r="D1243" i="17"/>
  <c r="E1243" i="17"/>
  <c r="F1243" i="17"/>
  <c r="B1244" i="17"/>
  <c r="C1244" i="17"/>
  <c r="D1244" i="17"/>
  <c r="E1244" i="17"/>
  <c r="F1244" i="17"/>
  <c r="B1245" i="17"/>
  <c r="C1245" i="17"/>
  <c r="D1245" i="17"/>
  <c r="E1245" i="17"/>
  <c r="F1245" i="17"/>
  <c r="B1246" i="17"/>
  <c r="C1246" i="17"/>
  <c r="D1246" i="17"/>
  <c r="E1246" i="17"/>
  <c r="F1246" i="17"/>
  <c r="B1247" i="17"/>
  <c r="C1247" i="17"/>
  <c r="D1247" i="17"/>
  <c r="E1247" i="17"/>
  <c r="F1247" i="17"/>
  <c r="B1248" i="17"/>
  <c r="C1248" i="17"/>
  <c r="D1248" i="17"/>
  <c r="E1248" i="17"/>
  <c r="F1248" i="17"/>
  <c r="B1249" i="17"/>
  <c r="C1249" i="17"/>
  <c r="D1249" i="17"/>
  <c r="E1249" i="17"/>
  <c r="F1249" i="17"/>
  <c r="B1250" i="17"/>
  <c r="C1250" i="17"/>
  <c r="D1250" i="17"/>
  <c r="E1250" i="17"/>
  <c r="F1250" i="17"/>
  <c r="B1251" i="17"/>
  <c r="C1251" i="17"/>
  <c r="D1251" i="17"/>
  <c r="E1251" i="17"/>
  <c r="F1251" i="17"/>
  <c r="B1252" i="17"/>
  <c r="C1252" i="17"/>
  <c r="D1252" i="17"/>
  <c r="E1252" i="17"/>
  <c r="F1252" i="17"/>
  <c r="B1253" i="17"/>
  <c r="C1253" i="17"/>
  <c r="D1253" i="17"/>
  <c r="E1253" i="17"/>
  <c r="F1253" i="17"/>
  <c r="B1254" i="17"/>
  <c r="C1254" i="17"/>
  <c r="D1254" i="17"/>
  <c r="E1254" i="17"/>
  <c r="F1254" i="17"/>
  <c r="B1255" i="17"/>
  <c r="C1255" i="17"/>
  <c r="D1255" i="17"/>
  <c r="E1255" i="17"/>
  <c r="F1255" i="17"/>
  <c r="B1256" i="17"/>
  <c r="C1256" i="17"/>
  <c r="D1256" i="17"/>
  <c r="E1256" i="17"/>
  <c r="F1256" i="17"/>
  <c r="B1257" i="17"/>
  <c r="C1257" i="17"/>
  <c r="D1257" i="17"/>
  <c r="E1257" i="17"/>
  <c r="F1257" i="17"/>
  <c r="B1258" i="17"/>
  <c r="C1258" i="17"/>
  <c r="D1258" i="17"/>
  <c r="E1258" i="17"/>
  <c r="F1258" i="17"/>
  <c r="B1259" i="17"/>
  <c r="C1259" i="17"/>
  <c r="D1259" i="17"/>
  <c r="E1259" i="17"/>
  <c r="F1259" i="17"/>
  <c r="B1260" i="17"/>
  <c r="C1260" i="17"/>
  <c r="D1260" i="17"/>
  <c r="E1260" i="17"/>
  <c r="F1260" i="17"/>
  <c r="B1261" i="17"/>
  <c r="C1261" i="17"/>
  <c r="D1261" i="17"/>
  <c r="E1261" i="17"/>
  <c r="F1261" i="17"/>
  <c r="B1262" i="17"/>
  <c r="C1262" i="17"/>
  <c r="D1262" i="17"/>
  <c r="E1262" i="17"/>
  <c r="F1262" i="17"/>
  <c r="B1263" i="17"/>
  <c r="C1263" i="17"/>
  <c r="D1263" i="17"/>
  <c r="E1263" i="17"/>
  <c r="F1263" i="17"/>
  <c r="B1264" i="17"/>
  <c r="C1264" i="17"/>
  <c r="D1264" i="17"/>
  <c r="E1264" i="17"/>
  <c r="F1264" i="17"/>
  <c r="B1265" i="17"/>
  <c r="C1265" i="17"/>
  <c r="D1265" i="17"/>
  <c r="E1265" i="17"/>
  <c r="F1265" i="17"/>
  <c r="B1266" i="17"/>
  <c r="C1266" i="17"/>
  <c r="D1266" i="17"/>
  <c r="E1266" i="17"/>
  <c r="F1266" i="17"/>
  <c r="B1267" i="17"/>
  <c r="C1267" i="17"/>
  <c r="D1267" i="17"/>
  <c r="E1267" i="17"/>
  <c r="F1267" i="17"/>
  <c r="B1268" i="17"/>
  <c r="C1268" i="17"/>
  <c r="D1268" i="17"/>
  <c r="E1268" i="17"/>
  <c r="F1268" i="17"/>
  <c r="B1269" i="17"/>
  <c r="C1269" i="17"/>
  <c r="D1269" i="17"/>
  <c r="E1269" i="17"/>
  <c r="F1269" i="17"/>
  <c r="B1270" i="17"/>
  <c r="C1270" i="17"/>
  <c r="D1270" i="17"/>
  <c r="E1270" i="17"/>
  <c r="F1270" i="17"/>
  <c r="B1271" i="17"/>
  <c r="C1271" i="17"/>
  <c r="D1271" i="17"/>
  <c r="E1271" i="17"/>
  <c r="F1271" i="17"/>
  <c r="B1272" i="17"/>
  <c r="C1272" i="17"/>
  <c r="D1272" i="17"/>
  <c r="E1272" i="17"/>
  <c r="F1272" i="17"/>
  <c r="B1273" i="17"/>
  <c r="C1273" i="17"/>
  <c r="D1273" i="17"/>
  <c r="E1273" i="17"/>
  <c r="F1273" i="17"/>
  <c r="B1274" i="17"/>
  <c r="C1274" i="17"/>
  <c r="D1274" i="17"/>
  <c r="E1274" i="17"/>
  <c r="F1274" i="17"/>
  <c r="B1275" i="17"/>
  <c r="C1275" i="17"/>
  <c r="D1275" i="17"/>
  <c r="E1275" i="17"/>
  <c r="F1275" i="17"/>
  <c r="B1276" i="17"/>
  <c r="C1276" i="17"/>
  <c r="D1276" i="17"/>
  <c r="E1276" i="17"/>
  <c r="F1276" i="17"/>
  <c r="B1277" i="17"/>
  <c r="C1277" i="17"/>
  <c r="D1277" i="17"/>
  <c r="E1277" i="17"/>
  <c r="F1277" i="17"/>
  <c r="B1278" i="17"/>
  <c r="C1278" i="17"/>
  <c r="D1278" i="17"/>
  <c r="E1278" i="17"/>
  <c r="F1278" i="17"/>
  <c r="B1279" i="17"/>
  <c r="C1279" i="17"/>
  <c r="D1279" i="17"/>
  <c r="E1279" i="17"/>
  <c r="F1279" i="17"/>
  <c r="B1280" i="17"/>
  <c r="C1280" i="17"/>
  <c r="D1280" i="17"/>
  <c r="E1280" i="17"/>
  <c r="F1280" i="17"/>
  <c r="B1281" i="17"/>
  <c r="C1281" i="17"/>
  <c r="D1281" i="17"/>
  <c r="E1281" i="17"/>
  <c r="F1281" i="17"/>
  <c r="B1282" i="17"/>
  <c r="C1282" i="17"/>
  <c r="D1282" i="17"/>
  <c r="E1282" i="17"/>
  <c r="F1282" i="17"/>
  <c r="B1283" i="17"/>
  <c r="C1283" i="17"/>
  <c r="D1283" i="17"/>
  <c r="E1283" i="17"/>
  <c r="F1283" i="17"/>
  <c r="B1284" i="17"/>
  <c r="C1284" i="17"/>
  <c r="D1284" i="17"/>
  <c r="E1284" i="17"/>
  <c r="F1284" i="17"/>
  <c r="B1285" i="17"/>
  <c r="C1285" i="17"/>
  <c r="D1285" i="17"/>
  <c r="E1285" i="17"/>
  <c r="F1285" i="17"/>
  <c r="B1286" i="17"/>
  <c r="C1286" i="17"/>
  <c r="D1286" i="17"/>
  <c r="E1286" i="17"/>
  <c r="F1286" i="17"/>
  <c r="B1287" i="17"/>
  <c r="C1287" i="17"/>
  <c r="D1287" i="17"/>
  <c r="E1287" i="17"/>
  <c r="F1287" i="17"/>
  <c r="B1288" i="17"/>
  <c r="C1288" i="17"/>
  <c r="D1288" i="17"/>
  <c r="E1288" i="17"/>
  <c r="F1288" i="17"/>
  <c r="B1289" i="17"/>
  <c r="C1289" i="17"/>
  <c r="D1289" i="17"/>
  <c r="E1289" i="17"/>
  <c r="F1289" i="17"/>
  <c r="B1290" i="17"/>
  <c r="C1290" i="17"/>
  <c r="D1290" i="17"/>
  <c r="E1290" i="17"/>
  <c r="F1290" i="17"/>
  <c r="B1291" i="17"/>
  <c r="C1291" i="17"/>
  <c r="D1291" i="17"/>
  <c r="E1291" i="17"/>
  <c r="F1291" i="17"/>
  <c r="B1292" i="17"/>
  <c r="C1292" i="17"/>
  <c r="D1292" i="17"/>
  <c r="E1292" i="17"/>
  <c r="F1292" i="17"/>
  <c r="B1293" i="17"/>
  <c r="C1293" i="17"/>
  <c r="D1293" i="17"/>
  <c r="E1293" i="17"/>
  <c r="F1293" i="17"/>
  <c r="B1294" i="17"/>
  <c r="C1294" i="17"/>
  <c r="D1294" i="17"/>
  <c r="E1294" i="17"/>
  <c r="F1294" i="17"/>
  <c r="B1295" i="17"/>
  <c r="C1295" i="17"/>
  <c r="D1295" i="17"/>
  <c r="E1295" i="17"/>
  <c r="F1295" i="17"/>
  <c r="B1296" i="17"/>
  <c r="C1296" i="17"/>
  <c r="D1296" i="17"/>
  <c r="E1296" i="17"/>
  <c r="F1296" i="17"/>
  <c r="B1297" i="17"/>
  <c r="C1297" i="17"/>
  <c r="D1297" i="17"/>
  <c r="E1297" i="17"/>
  <c r="F1297" i="17"/>
  <c r="B1298" i="17"/>
  <c r="C1298" i="17"/>
  <c r="D1298" i="17"/>
  <c r="E1298" i="17"/>
  <c r="F1298" i="17"/>
  <c r="B1299" i="17"/>
  <c r="C1299" i="17"/>
  <c r="D1299" i="17"/>
  <c r="E1299" i="17"/>
  <c r="F1299" i="17"/>
  <c r="B1300" i="17"/>
  <c r="C1300" i="17"/>
  <c r="D1300" i="17"/>
  <c r="E1300" i="17"/>
  <c r="F1300" i="17"/>
  <c r="B1301" i="17"/>
  <c r="C1301" i="17"/>
  <c r="D1301" i="17"/>
  <c r="E1301" i="17"/>
  <c r="F1301" i="17"/>
  <c r="B1302" i="17"/>
  <c r="C1302" i="17"/>
  <c r="D1302" i="17"/>
  <c r="E1302" i="17"/>
  <c r="F1302" i="17"/>
  <c r="B1303" i="17"/>
  <c r="C1303" i="17"/>
  <c r="D1303" i="17"/>
  <c r="E1303" i="17"/>
  <c r="F1303" i="17"/>
  <c r="B1304" i="17"/>
  <c r="C1304" i="17"/>
  <c r="D1304" i="17"/>
  <c r="E1304" i="17"/>
  <c r="F1304" i="17"/>
  <c r="B1305" i="17"/>
  <c r="C1305" i="17"/>
  <c r="D1305" i="17"/>
  <c r="E1305" i="17"/>
  <c r="F1305" i="17"/>
  <c r="B1306" i="17"/>
  <c r="C1306" i="17"/>
  <c r="D1306" i="17"/>
  <c r="E1306" i="17"/>
  <c r="F1306" i="17"/>
  <c r="B1307" i="17"/>
  <c r="C1307" i="17"/>
  <c r="D1307" i="17"/>
  <c r="E1307" i="17"/>
  <c r="F1307" i="17"/>
  <c r="B1308" i="17"/>
  <c r="C1308" i="17"/>
  <c r="D1308" i="17"/>
  <c r="E1308" i="17"/>
  <c r="F1308" i="17"/>
  <c r="B1309" i="17"/>
  <c r="C1309" i="17"/>
  <c r="D1309" i="17"/>
  <c r="E1309" i="17"/>
  <c r="F1309" i="17"/>
  <c r="B1310" i="17"/>
  <c r="C1310" i="17"/>
  <c r="D1310" i="17"/>
  <c r="E1310" i="17"/>
  <c r="F1310" i="17"/>
  <c r="B1311" i="17"/>
  <c r="C1311" i="17"/>
  <c r="D1311" i="17"/>
  <c r="E1311" i="17"/>
  <c r="F1311" i="17"/>
  <c r="B1312" i="17"/>
  <c r="C1312" i="17"/>
  <c r="D1312" i="17"/>
  <c r="E1312" i="17"/>
  <c r="F1312" i="17"/>
  <c r="B1313" i="17"/>
  <c r="C1313" i="17"/>
  <c r="D1313" i="17"/>
  <c r="E1313" i="17"/>
  <c r="F1313" i="17"/>
  <c r="B1314" i="17"/>
  <c r="C1314" i="17"/>
  <c r="D1314" i="17"/>
  <c r="E1314" i="17"/>
  <c r="F1314" i="17"/>
  <c r="B1315" i="17"/>
  <c r="C1315" i="17"/>
  <c r="D1315" i="17"/>
  <c r="E1315" i="17"/>
  <c r="F1315" i="17"/>
  <c r="B1316" i="17"/>
  <c r="C1316" i="17"/>
  <c r="D1316" i="17"/>
  <c r="E1316" i="17"/>
  <c r="F1316" i="17"/>
  <c r="B1317" i="17"/>
  <c r="C1317" i="17"/>
  <c r="D1317" i="17"/>
  <c r="E1317" i="17"/>
  <c r="F1317" i="17"/>
  <c r="B1318" i="17"/>
  <c r="C1318" i="17"/>
  <c r="D1318" i="17"/>
  <c r="E1318" i="17"/>
  <c r="F1318" i="17"/>
  <c r="B1319" i="17"/>
  <c r="C1319" i="17"/>
  <c r="D1319" i="17"/>
  <c r="E1319" i="17"/>
  <c r="F1319" i="17"/>
  <c r="B1320" i="17"/>
  <c r="C1320" i="17"/>
  <c r="D1320" i="17"/>
  <c r="E1320" i="17"/>
  <c r="F1320" i="17"/>
  <c r="B1321" i="17"/>
  <c r="C1321" i="17"/>
  <c r="D1321" i="17"/>
  <c r="E1321" i="17"/>
  <c r="F1321" i="17"/>
  <c r="B1322" i="17"/>
  <c r="C1322" i="17"/>
  <c r="D1322" i="17"/>
  <c r="E1322" i="17"/>
  <c r="F1322" i="17"/>
  <c r="B1323" i="17"/>
  <c r="C1323" i="17"/>
  <c r="D1323" i="17"/>
  <c r="E1323" i="17"/>
  <c r="F1323" i="17"/>
  <c r="B1324" i="17"/>
  <c r="C1324" i="17"/>
  <c r="D1324" i="17"/>
  <c r="E1324" i="17"/>
  <c r="F1324" i="17"/>
  <c r="B1325" i="17"/>
  <c r="C1325" i="17"/>
  <c r="D1325" i="17"/>
  <c r="E1325" i="17"/>
  <c r="F1325" i="17"/>
  <c r="B1326" i="17"/>
  <c r="C1326" i="17"/>
  <c r="D1326" i="17"/>
  <c r="E1326" i="17"/>
  <c r="F1326" i="17"/>
  <c r="B1327" i="17"/>
  <c r="C1327" i="17"/>
  <c r="D1327" i="17"/>
  <c r="E1327" i="17"/>
  <c r="F1327" i="17"/>
  <c r="B1328" i="17"/>
  <c r="C1328" i="17"/>
  <c r="D1328" i="17"/>
  <c r="E1328" i="17"/>
  <c r="F1328" i="17"/>
  <c r="B1329" i="17"/>
  <c r="C1329" i="17"/>
  <c r="D1329" i="17"/>
  <c r="E1329" i="17"/>
  <c r="F1329" i="17"/>
  <c r="B1330" i="17"/>
  <c r="C1330" i="17"/>
  <c r="D1330" i="17"/>
  <c r="E1330" i="17"/>
  <c r="F1330" i="17"/>
  <c r="B1331" i="17"/>
  <c r="C1331" i="17"/>
  <c r="D1331" i="17"/>
  <c r="E1331" i="17"/>
  <c r="F1331" i="17"/>
  <c r="B1332" i="17"/>
  <c r="C1332" i="17"/>
  <c r="D1332" i="17"/>
  <c r="E1332" i="17"/>
  <c r="F1332" i="17"/>
  <c r="B1333" i="17"/>
  <c r="C1333" i="17"/>
  <c r="D1333" i="17"/>
  <c r="E1333" i="17"/>
  <c r="F1333" i="17"/>
  <c r="B1334" i="17"/>
  <c r="C1334" i="17"/>
  <c r="D1334" i="17"/>
  <c r="E1334" i="17"/>
  <c r="F1334" i="17"/>
  <c r="B1335" i="17"/>
  <c r="C1335" i="17"/>
  <c r="D1335" i="17"/>
  <c r="E1335" i="17"/>
  <c r="F1335" i="17"/>
  <c r="B1336" i="17"/>
  <c r="C1336" i="17"/>
  <c r="D1336" i="17"/>
  <c r="E1336" i="17"/>
  <c r="F1336" i="17"/>
  <c r="B1337" i="17"/>
  <c r="C1337" i="17"/>
  <c r="D1337" i="17"/>
  <c r="E1337" i="17"/>
  <c r="F1337" i="17"/>
  <c r="B1338" i="17"/>
  <c r="C1338" i="17"/>
  <c r="D1338" i="17"/>
  <c r="E1338" i="17"/>
  <c r="F1338" i="17"/>
  <c r="B1339" i="17"/>
  <c r="C1339" i="17"/>
  <c r="D1339" i="17"/>
  <c r="E1339" i="17"/>
  <c r="F1339" i="17"/>
  <c r="B1340" i="17"/>
  <c r="C1340" i="17"/>
  <c r="D1340" i="17"/>
  <c r="E1340" i="17"/>
  <c r="F1340" i="17"/>
  <c r="B1341" i="17"/>
  <c r="C1341" i="17"/>
  <c r="D1341" i="17"/>
  <c r="E1341" i="17"/>
  <c r="F1341" i="17"/>
  <c r="B1342" i="17"/>
  <c r="C1342" i="17"/>
  <c r="D1342" i="17"/>
  <c r="E1342" i="17"/>
  <c r="F1342" i="17"/>
  <c r="B1343" i="17"/>
  <c r="C1343" i="17"/>
  <c r="D1343" i="17"/>
  <c r="E1343" i="17"/>
  <c r="F1343" i="17"/>
  <c r="B1344" i="17"/>
  <c r="C1344" i="17"/>
  <c r="D1344" i="17"/>
  <c r="E1344" i="17"/>
  <c r="F1344" i="17"/>
  <c r="B1345" i="17"/>
  <c r="C1345" i="17"/>
  <c r="D1345" i="17"/>
  <c r="E1345" i="17"/>
  <c r="F1345" i="17"/>
  <c r="B1346" i="17"/>
  <c r="C1346" i="17"/>
  <c r="D1346" i="17"/>
  <c r="E1346" i="17"/>
  <c r="F1346" i="17"/>
  <c r="B1347" i="17"/>
  <c r="C1347" i="17"/>
  <c r="D1347" i="17"/>
  <c r="E1347" i="17"/>
  <c r="F1347" i="17"/>
  <c r="B1348" i="17"/>
  <c r="C1348" i="17"/>
  <c r="D1348" i="17"/>
  <c r="E1348" i="17"/>
  <c r="F1348" i="17"/>
  <c r="B1349" i="17"/>
  <c r="C1349" i="17"/>
  <c r="D1349" i="17"/>
  <c r="E1349" i="17"/>
  <c r="F1349" i="17"/>
  <c r="B1350" i="17"/>
  <c r="C1350" i="17"/>
  <c r="D1350" i="17"/>
  <c r="E1350" i="17"/>
  <c r="F1350" i="17"/>
  <c r="B1351" i="17"/>
  <c r="C1351" i="17"/>
  <c r="D1351" i="17"/>
  <c r="E1351" i="17"/>
  <c r="F1351" i="17"/>
  <c r="B1352" i="17"/>
  <c r="C1352" i="17"/>
  <c r="D1352" i="17"/>
  <c r="E1352" i="17"/>
  <c r="F1352" i="17"/>
  <c r="B1353" i="17"/>
  <c r="C1353" i="17"/>
  <c r="D1353" i="17"/>
  <c r="E1353" i="17"/>
  <c r="F1353" i="17"/>
  <c r="B1354" i="17"/>
  <c r="C1354" i="17"/>
  <c r="D1354" i="17"/>
  <c r="E1354" i="17"/>
  <c r="F1354" i="17"/>
  <c r="B1355" i="17"/>
  <c r="C1355" i="17"/>
  <c r="D1355" i="17"/>
  <c r="E1355" i="17"/>
  <c r="F1355" i="17"/>
  <c r="B1356" i="17"/>
  <c r="C1356" i="17"/>
  <c r="D1356" i="17"/>
  <c r="E1356" i="17"/>
  <c r="F1356" i="17"/>
  <c r="B1357" i="17"/>
  <c r="C1357" i="17"/>
  <c r="D1357" i="17"/>
  <c r="E1357" i="17"/>
  <c r="F1357" i="17"/>
  <c r="B1358" i="17"/>
  <c r="C1358" i="17"/>
  <c r="D1358" i="17"/>
  <c r="E1358" i="17"/>
  <c r="F1358" i="17"/>
  <c r="B1359" i="17"/>
  <c r="C1359" i="17"/>
  <c r="D1359" i="17"/>
  <c r="E1359" i="17"/>
  <c r="F1359" i="17"/>
  <c r="B1360" i="17"/>
  <c r="C1360" i="17"/>
  <c r="D1360" i="17"/>
  <c r="E1360" i="17"/>
  <c r="F1360" i="17"/>
  <c r="B1361" i="17"/>
  <c r="C1361" i="17"/>
  <c r="D1361" i="17"/>
  <c r="E1361" i="17"/>
  <c r="F1361" i="17"/>
  <c r="B1362" i="17"/>
  <c r="C1362" i="17"/>
  <c r="D1362" i="17"/>
  <c r="E1362" i="17"/>
  <c r="F1362" i="17"/>
  <c r="B1363" i="17"/>
  <c r="C1363" i="17"/>
  <c r="D1363" i="17"/>
  <c r="E1363" i="17"/>
  <c r="F1363" i="17"/>
  <c r="B1364" i="17"/>
  <c r="C1364" i="17"/>
  <c r="D1364" i="17"/>
  <c r="E1364" i="17"/>
  <c r="F1364" i="17"/>
  <c r="B1365" i="17"/>
  <c r="C1365" i="17"/>
  <c r="D1365" i="17"/>
  <c r="E1365" i="17"/>
  <c r="F1365" i="17"/>
  <c r="B1366" i="17"/>
  <c r="C1366" i="17"/>
  <c r="D1366" i="17"/>
  <c r="E1366" i="17"/>
  <c r="F1366" i="17"/>
  <c r="B1367" i="17"/>
  <c r="C1367" i="17"/>
  <c r="D1367" i="17"/>
  <c r="E1367" i="17"/>
  <c r="F1367" i="17"/>
  <c r="B1368" i="17"/>
  <c r="C1368" i="17"/>
  <c r="D1368" i="17"/>
  <c r="E1368" i="17"/>
  <c r="F1368" i="17"/>
  <c r="B1369" i="17"/>
  <c r="C1369" i="17"/>
  <c r="D1369" i="17"/>
  <c r="E1369" i="17"/>
  <c r="F1369" i="17"/>
  <c r="B1370" i="17"/>
  <c r="C1370" i="17"/>
  <c r="D1370" i="17"/>
  <c r="E1370" i="17"/>
  <c r="F1370" i="17"/>
  <c r="B1371" i="17"/>
  <c r="C1371" i="17"/>
  <c r="D1371" i="17"/>
  <c r="E1371" i="17"/>
  <c r="F1371" i="17"/>
  <c r="B1372" i="17"/>
  <c r="C1372" i="17"/>
  <c r="D1372" i="17"/>
  <c r="E1372" i="17"/>
  <c r="F1372" i="17"/>
  <c r="B1373" i="17"/>
  <c r="C1373" i="17"/>
  <c r="D1373" i="17"/>
  <c r="E1373" i="17"/>
  <c r="F1373" i="17"/>
  <c r="B1374" i="17"/>
  <c r="C1374" i="17"/>
  <c r="D1374" i="17"/>
  <c r="E1374" i="17"/>
  <c r="F1374" i="17"/>
  <c r="B1375" i="17"/>
  <c r="C1375" i="17"/>
  <c r="D1375" i="17"/>
  <c r="E1375" i="17"/>
  <c r="F1375" i="17"/>
  <c r="B1376" i="17"/>
  <c r="C1376" i="17"/>
  <c r="D1376" i="17"/>
  <c r="E1376" i="17"/>
  <c r="F1376" i="17"/>
  <c r="B1377" i="17"/>
  <c r="C1377" i="17"/>
  <c r="D1377" i="17"/>
  <c r="E1377" i="17"/>
  <c r="F1377" i="17"/>
  <c r="B1378" i="17"/>
  <c r="C1378" i="17"/>
  <c r="D1378" i="17"/>
  <c r="E1378" i="17"/>
  <c r="F1378" i="17"/>
  <c r="B1379" i="17"/>
  <c r="C1379" i="17"/>
  <c r="D1379" i="17"/>
  <c r="E1379" i="17"/>
  <c r="F1379" i="17"/>
  <c r="B1380" i="17"/>
  <c r="C1380" i="17"/>
  <c r="D1380" i="17"/>
  <c r="E1380" i="17"/>
  <c r="F1380" i="17"/>
  <c r="B1381" i="17"/>
  <c r="C1381" i="17"/>
  <c r="D1381" i="17"/>
  <c r="E1381" i="17"/>
  <c r="F1381" i="17"/>
  <c r="B1382" i="17"/>
  <c r="C1382" i="17"/>
  <c r="D1382" i="17"/>
  <c r="E1382" i="17"/>
  <c r="F1382" i="17"/>
  <c r="B1383" i="17"/>
  <c r="C1383" i="17"/>
  <c r="D1383" i="17"/>
  <c r="E1383" i="17"/>
  <c r="F1383" i="17"/>
  <c r="B1384" i="17"/>
  <c r="C1384" i="17"/>
  <c r="D1384" i="17"/>
  <c r="E1384" i="17"/>
  <c r="F1384" i="17"/>
  <c r="B1385" i="17"/>
  <c r="C1385" i="17"/>
  <c r="D1385" i="17"/>
  <c r="E1385" i="17"/>
  <c r="F1385" i="17"/>
  <c r="B1386" i="17"/>
  <c r="C1386" i="17"/>
  <c r="D1386" i="17"/>
  <c r="E1386" i="17"/>
  <c r="F1386" i="17"/>
  <c r="B1387" i="17"/>
  <c r="C1387" i="17"/>
  <c r="D1387" i="17"/>
  <c r="E1387" i="17"/>
  <c r="F1387" i="17"/>
  <c r="B1388" i="17"/>
  <c r="C1388" i="17"/>
  <c r="D1388" i="17"/>
  <c r="E1388" i="17"/>
  <c r="F1388" i="17"/>
  <c r="B1389" i="17"/>
  <c r="C1389" i="17"/>
  <c r="D1389" i="17"/>
  <c r="E1389" i="17"/>
  <c r="F1389" i="17"/>
  <c r="B1390" i="17"/>
  <c r="C1390" i="17"/>
  <c r="D1390" i="17"/>
  <c r="E1390" i="17"/>
  <c r="F1390" i="17"/>
  <c r="B1391" i="17"/>
  <c r="C1391" i="17"/>
  <c r="D1391" i="17"/>
  <c r="E1391" i="17"/>
  <c r="F1391" i="17"/>
  <c r="B1392" i="17"/>
  <c r="C1392" i="17"/>
  <c r="D1392" i="17"/>
  <c r="E1392" i="17"/>
  <c r="F1392" i="17"/>
  <c r="B1393" i="17"/>
  <c r="C1393" i="17"/>
  <c r="D1393" i="17"/>
  <c r="E1393" i="17"/>
  <c r="F1393" i="17"/>
  <c r="B1394" i="17"/>
  <c r="C1394" i="17"/>
  <c r="D1394" i="17"/>
  <c r="E1394" i="17"/>
  <c r="F1394" i="17"/>
  <c r="B1395" i="17"/>
  <c r="C1395" i="17"/>
  <c r="D1395" i="17"/>
  <c r="E1395" i="17"/>
  <c r="F1395" i="17"/>
  <c r="B1396" i="17"/>
  <c r="C1396" i="17"/>
  <c r="D1396" i="17"/>
  <c r="E1396" i="17"/>
  <c r="F1396" i="17"/>
  <c r="B1397" i="17"/>
  <c r="C1397" i="17"/>
  <c r="D1397" i="17"/>
  <c r="E1397" i="17"/>
  <c r="F1397" i="17"/>
  <c r="B1398" i="17"/>
  <c r="C1398" i="17"/>
  <c r="D1398" i="17"/>
  <c r="E1398" i="17"/>
  <c r="F1398" i="17"/>
  <c r="B1399" i="17"/>
  <c r="C1399" i="17"/>
  <c r="D1399" i="17"/>
  <c r="E1399" i="17"/>
  <c r="F1399" i="17"/>
  <c r="B1400" i="17"/>
  <c r="C1400" i="17"/>
  <c r="D1400" i="17"/>
  <c r="E1400" i="17"/>
  <c r="F1400" i="17"/>
  <c r="B1401" i="17"/>
  <c r="C1401" i="17"/>
  <c r="D1401" i="17"/>
  <c r="E1401" i="17"/>
  <c r="F1401" i="17"/>
  <c r="B1402" i="17"/>
  <c r="C1402" i="17"/>
  <c r="D1402" i="17"/>
  <c r="E1402" i="17"/>
  <c r="F1402" i="17"/>
  <c r="B1403" i="17"/>
  <c r="C1403" i="17"/>
  <c r="D1403" i="17"/>
  <c r="E1403" i="17"/>
  <c r="F1403" i="17"/>
  <c r="B1404" i="17"/>
  <c r="C1404" i="17"/>
  <c r="D1404" i="17"/>
  <c r="E1404" i="17"/>
  <c r="F1404" i="17"/>
  <c r="B1405" i="17"/>
  <c r="C1405" i="17"/>
  <c r="D1405" i="17"/>
  <c r="E1405" i="17"/>
  <c r="F1405" i="17"/>
  <c r="B1406" i="17"/>
  <c r="C1406" i="17"/>
  <c r="D1406" i="17"/>
  <c r="E1406" i="17"/>
  <c r="F1406" i="17"/>
  <c r="B1407" i="17"/>
  <c r="C1407" i="17"/>
  <c r="D1407" i="17"/>
  <c r="E1407" i="17"/>
  <c r="F1407" i="17"/>
  <c r="B1408" i="17"/>
  <c r="C1408" i="17"/>
  <c r="D1408" i="17"/>
  <c r="E1408" i="17"/>
  <c r="F1408" i="17"/>
  <c r="B1409" i="17"/>
  <c r="C1409" i="17"/>
  <c r="D1409" i="17"/>
  <c r="E1409" i="17"/>
  <c r="F1409" i="17"/>
  <c r="B1410" i="17"/>
  <c r="C1410" i="17"/>
  <c r="D1410" i="17"/>
  <c r="E1410" i="17"/>
  <c r="F1410" i="17"/>
  <c r="B1411" i="17"/>
  <c r="C1411" i="17"/>
  <c r="D1411" i="17"/>
  <c r="E1411" i="17"/>
  <c r="F1411" i="17"/>
  <c r="B1412" i="17"/>
  <c r="C1412" i="17"/>
  <c r="D1412" i="17"/>
  <c r="E1412" i="17"/>
  <c r="F1412" i="17"/>
  <c r="B1413" i="17"/>
  <c r="C1413" i="17"/>
  <c r="D1413" i="17"/>
  <c r="E1413" i="17"/>
  <c r="F1413" i="17"/>
  <c r="B1414" i="17"/>
  <c r="C1414" i="17"/>
  <c r="D1414" i="17"/>
  <c r="E1414" i="17"/>
  <c r="F1414" i="17"/>
  <c r="B1415" i="17"/>
  <c r="C1415" i="17"/>
  <c r="D1415" i="17"/>
  <c r="E1415" i="17"/>
  <c r="F1415" i="17"/>
  <c r="B1416" i="17"/>
  <c r="C1416" i="17"/>
  <c r="D1416" i="17"/>
  <c r="E1416" i="17"/>
  <c r="F1416" i="17"/>
  <c r="B1417" i="17"/>
  <c r="C1417" i="17"/>
  <c r="D1417" i="17"/>
  <c r="E1417" i="17"/>
  <c r="F1417" i="17"/>
  <c r="B1418" i="17"/>
  <c r="C1418" i="17"/>
  <c r="D1418" i="17"/>
  <c r="E1418" i="17"/>
  <c r="F1418" i="17"/>
  <c r="B1419" i="17"/>
  <c r="C1419" i="17"/>
  <c r="D1419" i="17"/>
  <c r="E1419" i="17"/>
  <c r="F1419" i="17"/>
  <c r="B1420" i="17"/>
  <c r="C1420" i="17"/>
  <c r="D1420" i="17"/>
  <c r="E1420" i="17"/>
  <c r="F1420" i="17"/>
  <c r="B1421" i="17"/>
  <c r="C1421" i="17"/>
  <c r="D1421" i="17"/>
  <c r="E1421" i="17"/>
  <c r="F1421" i="17"/>
  <c r="B1422" i="17"/>
  <c r="C1422" i="17"/>
  <c r="D1422" i="17"/>
  <c r="E1422" i="17"/>
  <c r="F1422" i="17"/>
  <c r="B1423" i="17"/>
  <c r="C1423" i="17"/>
  <c r="D1423" i="17"/>
  <c r="E1423" i="17"/>
  <c r="F1423" i="17"/>
  <c r="B1424" i="17"/>
  <c r="C1424" i="17"/>
  <c r="D1424" i="17"/>
  <c r="E1424" i="17"/>
  <c r="F1424" i="17"/>
  <c r="B1425" i="17"/>
  <c r="C1425" i="17"/>
  <c r="D1425" i="17"/>
  <c r="E1425" i="17"/>
  <c r="F1425" i="17"/>
  <c r="B1426" i="17"/>
  <c r="C1426" i="17"/>
  <c r="D1426" i="17"/>
  <c r="E1426" i="17"/>
  <c r="F1426" i="17"/>
  <c r="B1427" i="17"/>
  <c r="C1427" i="17"/>
  <c r="D1427" i="17"/>
  <c r="E1427" i="17"/>
  <c r="F1427" i="17"/>
  <c r="B1428" i="17"/>
  <c r="C1428" i="17"/>
  <c r="D1428" i="17"/>
  <c r="E1428" i="17"/>
  <c r="F1428" i="17"/>
  <c r="B1429" i="17"/>
  <c r="C1429" i="17"/>
  <c r="D1429" i="17"/>
  <c r="E1429" i="17"/>
  <c r="F1429" i="17"/>
  <c r="B1430" i="17"/>
  <c r="C1430" i="17"/>
  <c r="D1430" i="17"/>
  <c r="E1430" i="17"/>
  <c r="F1430" i="17"/>
  <c r="B1431" i="17"/>
  <c r="C1431" i="17"/>
  <c r="D1431" i="17"/>
  <c r="E1431" i="17"/>
  <c r="F1431" i="17"/>
  <c r="B1432" i="17"/>
  <c r="C1432" i="17"/>
  <c r="D1432" i="17"/>
  <c r="E1432" i="17"/>
  <c r="F1432" i="17"/>
  <c r="B1433" i="17"/>
  <c r="C1433" i="17"/>
  <c r="D1433" i="17"/>
  <c r="E1433" i="17"/>
  <c r="F1433" i="17"/>
  <c r="B1434" i="17"/>
  <c r="C1434" i="17"/>
  <c r="D1434" i="17"/>
  <c r="E1434" i="17"/>
  <c r="F1434" i="17"/>
  <c r="B1435" i="17"/>
  <c r="C1435" i="17"/>
  <c r="D1435" i="17"/>
  <c r="E1435" i="17"/>
  <c r="F1435" i="17"/>
  <c r="B1436" i="17"/>
  <c r="C1436" i="17"/>
  <c r="D1436" i="17"/>
  <c r="E1436" i="17"/>
  <c r="F1436" i="17"/>
  <c r="B1437" i="17"/>
  <c r="C1437" i="17"/>
  <c r="D1437" i="17"/>
  <c r="E1437" i="17"/>
  <c r="F1437" i="17"/>
  <c r="B1438" i="17"/>
  <c r="C1438" i="17"/>
  <c r="D1438" i="17"/>
  <c r="E1438" i="17"/>
  <c r="F1438" i="17"/>
  <c r="B1439" i="17"/>
  <c r="C1439" i="17"/>
  <c r="D1439" i="17"/>
  <c r="E1439" i="17"/>
  <c r="F1439" i="17"/>
  <c r="B1440" i="17"/>
  <c r="C1440" i="17"/>
  <c r="D1440" i="17"/>
  <c r="E1440" i="17"/>
  <c r="F1440" i="17"/>
  <c r="B1441" i="17"/>
  <c r="C1441" i="17"/>
  <c r="D1441" i="17"/>
  <c r="E1441" i="17"/>
  <c r="F1441" i="17"/>
  <c r="B1442" i="17"/>
  <c r="C1442" i="17"/>
  <c r="D1442" i="17"/>
  <c r="E1442" i="17"/>
  <c r="F1442" i="17"/>
  <c r="B1443" i="17"/>
  <c r="C1443" i="17"/>
  <c r="D1443" i="17"/>
  <c r="E1443" i="17"/>
  <c r="F1443" i="17"/>
  <c r="B1444" i="17"/>
  <c r="C1444" i="17"/>
  <c r="D1444" i="17"/>
  <c r="E1444" i="17"/>
  <c r="F1444" i="17"/>
  <c r="B1445" i="17"/>
  <c r="C1445" i="17"/>
  <c r="D1445" i="17"/>
  <c r="E1445" i="17"/>
  <c r="F1445" i="17"/>
  <c r="B1446" i="17"/>
  <c r="C1446" i="17"/>
  <c r="D1446" i="17"/>
  <c r="E1446" i="17"/>
  <c r="F1446" i="17"/>
  <c r="B1447" i="17"/>
  <c r="C1447" i="17"/>
  <c r="D1447" i="17"/>
  <c r="E1447" i="17"/>
  <c r="F1447" i="17"/>
  <c r="B1448" i="17"/>
  <c r="C1448" i="17"/>
  <c r="D1448" i="17"/>
  <c r="E1448" i="17"/>
  <c r="F1448" i="17"/>
  <c r="B1449" i="17"/>
  <c r="C1449" i="17"/>
  <c r="D1449" i="17"/>
  <c r="E1449" i="17"/>
  <c r="F1449" i="17"/>
  <c r="B1450" i="17"/>
  <c r="C1450" i="17"/>
  <c r="D1450" i="17"/>
  <c r="E1450" i="17"/>
  <c r="F1450" i="17"/>
  <c r="B1451" i="17"/>
  <c r="C1451" i="17"/>
  <c r="D1451" i="17"/>
  <c r="E1451" i="17"/>
  <c r="F1451" i="17"/>
  <c r="B1452" i="17"/>
  <c r="C1452" i="17"/>
  <c r="D1452" i="17"/>
  <c r="E1452" i="17"/>
  <c r="F1452" i="17"/>
  <c r="B1453" i="17"/>
  <c r="C1453" i="17"/>
  <c r="D1453" i="17"/>
  <c r="E1453" i="17"/>
  <c r="F1453" i="17"/>
  <c r="B1454" i="17"/>
  <c r="C1454" i="17"/>
  <c r="D1454" i="17"/>
  <c r="E1454" i="17"/>
  <c r="F1454" i="17"/>
  <c r="B1455" i="17"/>
  <c r="C1455" i="17"/>
  <c r="D1455" i="17"/>
  <c r="E1455" i="17"/>
  <c r="F1455" i="17"/>
  <c r="B1456" i="17"/>
  <c r="C1456" i="17"/>
  <c r="D1456" i="17"/>
  <c r="E1456" i="17"/>
  <c r="F1456" i="17"/>
  <c r="B1457" i="17"/>
  <c r="C1457" i="17"/>
  <c r="D1457" i="17"/>
  <c r="E1457" i="17"/>
  <c r="F1457" i="17"/>
  <c r="B1458" i="17"/>
  <c r="C1458" i="17"/>
  <c r="D1458" i="17"/>
  <c r="E1458" i="17"/>
  <c r="F1458" i="17"/>
  <c r="B1459" i="17"/>
  <c r="C1459" i="17"/>
  <c r="D1459" i="17"/>
  <c r="E1459" i="17"/>
  <c r="F1459" i="17"/>
  <c r="B1460" i="17"/>
  <c r="C1460" i="17"/>
  <c r="D1460" i="17"/>
  <c r="E1460" i="17"/>
  <c r="F1460" i="17"/>
  <c r="B1461" i="17"/>
  <c r="C1461" i="17"/>
  <c r="D1461" i="17"/>
  <c r="E1461" i="17"/>
  <c r="F1461" i="17"/>
  <c r="B1462" i="17"/>
  <c r="C1462" i="17"/>
  <c r="D1462" i="17"/>
  <c r="E1462" i="17"/>
  <c r="F1462" i="17"/>
  <c r="B1463" i="17"/>
  <c r="C1463" i="17"/>
  <c r="D1463" i="17"/>
  <c r="E1463" i="17"/>
  <c r="F1463" i="17"/>
  <c r="B1464" i="17"/>
  <c r="C1464" i="17"/>
  <c r="D1464" i="17"/>
  <c r="E1464" i="17"/>
  <c r="F1464" i="17"/>
  <c r="B1465" i="17"/>
  <c r="C1465" i="17"/>
  <c r="D1465" i="17"/>
  <c r="E1465" i="17"/>
  <c r="F1465" i="17"/>
  <c r="B1466" i="17"/>
  <c r="C1466" i="17"/>
  <c r="D1466" i="17"/>
  <c r="E1466" i="17"/>
  <c r="F1466" i="17"/>
  <c r="B1467" i="17"/>
  <c r="C1467" i="17"/>
  <c r="D1467" i="17"/>
  <c r="E1467" i="17"/>
  <c r="F1467" i="17"/>
  <c r="B1468" i="17"/>
  <c r="C1468" i="17"/>
  <c r="D1468" i="17"/>
  <c r="E1468" i="17"/>
  <c r="F1468" i="17"/>
  <c r="B1469" i="17"/>
  <c r="C1469" i="17"/>
  <c r="D1469" i="17"/>
  <c r="E1469" i="17"/>
  <c r="F1469" i="17"/>
  <c r="B1470" i="17"/>
  <c r="C1470" i="17"/>
  <c r="D1470" i="17"/>
  <c r="E1470" i="17"/>
  <c r="F1470" i="17"/>
  <c r="B1471" i="17"/>
  <c r="C1471" i="17"/>
  <c r="D1471" i="17"/>
  <c r="E1471" i="17"/>
  <c r="F1471" i="17"/>
  <c r="B1472" i="17"/>
  <c r="C1472" i="17"/>
  <c r="D1472" i="17"/>
  <c r="E1472" i="17"/>
  <c r="F1472" i="17"/>
  <c r="B1473" i="17"/>
  <c r="C1473" i="17"/>
  <c r="D1473" i="17"/>
  <c r="E1473" i="17"/>
  <c r="F1473" i="17"/>
  <c r="B1474" i="17"/>
  <c r="C1474" i="17"/>
  <c r="D1474" i="17"/>
  <c r="E1474" i="17"/>
  <c r="F1474" i="17"/>
  <c r="B1475" i="17"/>
  <c r="C1475" i="17"/>
  <c r="D1475" i="17"/>
  <c r="E1475" i="17"/>
  <c r="F1475" i="17"/>
  <c r="B1476" i="17"/>
  <c r="C1476" i="17"/>
  <c r="D1476" i="17"/>
  <c r="E1476" i="17"/>
  <c r="F1476" i="17"/>
  <c r="B1477" i="17"/>
  <c r="C1477" i="17"/>
  <c r="D1477" i="17"/>
  <c r="E1477" i="17"/>
  <c r="F1477" i="17"/>
  <c r="B1478" i="17"/>
  <c r="C1478" i="17"/>
  <c r="D1478" i="17"/>
  <c r="E1478" i="17"/>
  <c r="F1478" i="17"/>
  <c r="B1479" i="17"/>
  <c r="C1479" i="17"/>
  <c r="D1479" i="17"/>
  <c r="E1479" i="17"/>
  <c r="F1479" i="17"/>
  <c r="B1480" i="17"/>
  <c r="C1480" i="17"/>
  <c r="D1480" i="17"/>
  <c r="E1480" i="17"/>
  <c r="F1480" i="17"/>
  <c r="B1481" i="17"/>
  <c r="C1481" i="17"/>
  <c r="D1481" i="17"/>
  <c r="E1481" i="17"/>
  <c r="F1481" i="17"/>
  <c r="B1482" i="17"/>
  <c r="C1482" i="17"/>
  <c r="D1482" i="17"/>
  <c r="E1482" i="17"/>
  <c r="F1482" i="17"/>
  <c r="B1483" i="17"/>
  <c r="C1483" i="17"/>
  <c r="D1483" i="17"/>
  <c r="E1483" i="17"/>
  <c r="F1483" i="17"/>
  <c r="B1484" i="17"/>
  <c r="C1484" i="17"/>
  <c r="D1484" i="17"/>
  <c r="E1484" i="17"/>
  <c r="F1484" i="17"/>
  <c r="B1485" i="17"/>
  <c r="C1485" i="17"/>
  <c r="D1485" i="17"/>
  <c r="E1485" i="17"/>
  <c r="F1485" i="17"/>
  <c r="B1486" i="17"/>
  <c r="C1486" i="17"/>
  <c r="D1486" i="17"/>
  <c r="E1486" i="17"/>
  <c r="F1486" i="17"/>
  <c r="B1487" i="17"/>
  <c r="C1487" i="17"/>
  <c r="D1487" i="17"/>
  <c r="E1487" i="17"/>
  <c r="F1487" i="17"/>
  <c r="B1488" i="17"/>
  <c r="C1488" i="17"/>
  <c r="D1488" i="17"/>
  <c r="E1488" i="17"/>
  <c r="F1488" i="17"/>
  <c r="B1489" i="17"/>
  <c r="C1489" i="17"/>
  <c r="D1489" i="17"/>
  <c r="E1489" i="17"/>
  <c r="F1489" i="17"/>
  <c r="B1490" i="17"/>
  <c r="C1490" i="17"/>
  <c r="D1490" i="17"/>
  <c r="E1490" i="17"/>
  <c r="F1490" i="17"/>
  <c r="B1491" i="17"/>
  <c r="C1491" i="17"/>
  <c r="D1491" i="17"/>
  <c r="E1491" i="17"/>
  <c r="F1491" i="17"/>
  <c r="B1492" i="17"/>
  <c r="C1492" i="17"/>
  <c r="D1492" i="17"/>
  <c r="E1492" i="17"/>
  <c r="F1492" i="17"/>
  <c r="B1493" i="17"/>
  <c r="C1493" i="17"/>
  <c r="D1493" i="17"/>
  <c r="E1493" i="17"/>
  <c r="F1493" i="17"/>
  <c r="B1494" i="17"/>
  <c r="C1494" i="17"/>
  <c r="D1494" i="17"/>
  <c r="E1494" i="17"/>
  <c r="F1494" i="17"/>
  <c r="B1495" i="17"/>
  <c r="C1495" i="17"/>
  <c r="D1495" i="17"/>
  <c r="E1495" i="17"/>
  <c r="F1495" i="17"/>
  <c r="B1496" i="17"/>
  <c r="C1496" i="17"/>
  <c r="D1496" i="17"/>
  <c r="E1496" i="17"/>
  <c r="F1496" i="17"/>
  <c r="B1497" i="17"/>
  <c r="C1497" i="17"/>
  <c r="D1497" i="17"/>
  <c r="E1497" i="17"/>
  <c r="F1497" i="17"/>
  <c r="B1498" i="17"/>
  <c r="C1498" i="17"/>
  <c r="D1498" i="17"/>
  <c r="E1498" i="17"/>
  <c r="F1498" i="17"/>
  <c r="B1499" i="17"/>
  <c r="C1499" i="17"/>
  <c r="D1499" i="17"/>
  <c r="E1499" i="17"/>
  <c r="F1499" i="17"/>
  <c r="B1500" i="17"/>
  <c r="C1500" i="17"/>
  <c r="D1500" i="17"/>
  <c r="E1500" i="17"/>
  <c r="F1500" i="17"/>
  <c r="B1501" i="17"/>
  <c r="C1501" i="17"/>
  <c r="D1501" i="17"/>
  <c r="E1501" i="17"/>
  <c r="F1501" i="17"/>
  <c r="B1502" i="17"/>
  <c r="C1502" i="17"/>
  <c r="D1502" i="17"/>
  <c r="E1502" i="17"/>
  <c r="F1502" i="17"/>
  <c r="B1503" i="17"/>
  <c r="C1503" i="17"/>
  <c r="D1503" i="17"/>
  <c r="E1503" i="17"/>
  <c r="F1503" i="17"/>
  <c r="B1504" i="17"/>
  <c r="C1504" i="17"/>
  <c r="D1504" i="17"/>
  <c r="E1504" i="17"/>
  <c r="F1504" i="17"/>
  <c r="B1505" i="17"/>
  <c r="C1505" i="17"/>
  <c r="D1505" i="17"/>
  <c r="E1505" i="17"/>
  <c r="F1505" i="17"/>
  <c r="B1506" i="17"/>
  <c r="C1506" i="17"/>
  <c r="D1506" i="17"/>
  <c r="E1506" i="17"/>
  <c r="F1506" i="17"/>
  <c r="B1507" i="17"/>
  <c r="C1507" i="17"/>
  <c r="D1507" i="17"/>
  <c r="E1507" i="17"/>
  <c r="F1507" i="17"/>
  <c r="B1508" i="17"/>
  <c r="C1508" i="17"/>
  <c r="D1508" i="17"/>
  <c r="E1508" i="17"/>
  <c r="F1508" i="17"/>
  <c r="B1509" i="17"/>
  <c r="C1509" i="17"/>
  <c r="D1509" i="17"/>
  <c r="E1509" i="17"/>
  <c r="F1509" i="17"/>
  <c r="B1510" i="17"/>
  <c r="C1510" i="17"/>
  <c r="D1510" i="17"/>
  <c r="E1510" i="17"/>
  <c r="F1510" i="17"/>
  <c r="B1511" i="17"/>
  <c r="C1511" i="17"/>
  <c r="D1511" i="17"/>
  <c r="E1511" i="17"/>
  <c r="F1511" i="17"/>
  <c r="B1512" i="17"/>
  <c r="C1512" i="17"/>
  <c r="D1512" i="17"/>
  <c r="E1512" i="17"/>
  <c r="F1512" i="17"/>
  <c r="B1513" i="17"/>
  <c r="C1513" i="17"/>
  <c r="D1513" i="17"/>
  <c r="E1513" i="17"/>
  <c r="F1513" i="17"/>
  <c r="B1514" i="17"/>
  <c r="C1514" i="17"/>
  <c r="D1514" i="17"/>
  <c r="E1514" i="17"/>
  <c r="F1514" i="17"/>
  <c r="B1515" i="17"/>
  <c r="C1515" i="17"/>
  <c r="D1515" i="17"/>
  <c r="E1515" i="17"/>
  <c r="F1515" i="17"/>
  <c r="B1516" i="17"/>
  <c r="C1516" i="17"/>
  <c r="D1516" i="17"/>
  <c r="E1516" i="17"/>
  <c r="F1516" i="17"/>
  <c r="B1517" i="17"/>
  <c r="C1517" i="17"/>
  <c r="D1517" i="17"/>
  <c r="E1517" i="17"/>
  <c r="F1517" i="17"/>
  <c r="B1518" i="17"/>
  <c r="C1518" i="17"/>
  <c r="D1518" i="17"/>
  <c r="E1518" i="17"/>
  <c r="F1518" i="17"/>
  <c r="B1519" i="17"/>
  <c r="C1519" i="17"/>
  <c r="D1519" i="17"/>
  <c r="E1519" i="17"/>
  <c r="F1519" i="17"/>
  <c r="B1520" i="17"/>
  <c r="C1520" i="17"/>
  <c r="D1520" i="17"/>
  <c r="E1520" i="17"/>
  <c r="F1520" i="17"/>
  <c r="B1521" i="17"/>
  <c r="C1521" i="17"/>
  <c r="D1521" i="17"/>
  <c r="E1521" i="17"/>
  <c r="F1521" i="17"/>
  <c r="B1522" i="17"/>
  <c r="C1522" i="17"/>
  <c r="D1522" i="17"/>
  <c r="E1522" i="17"/>
  <c r="F1522" i="17"/>
  <c r="B1523" i="17"/>
  <c r="C1523" i="17"/>
  <c r="D1523" i="17"/>
  <c r="E1523" i="17"/>
  <c r="F1523" i="17"/>
  <c r="B1524" i="17"/>
  <c r="C1524" i="17"/>
  <c r="D1524" i="17"/>
  <c r="E1524" i="17"/>
  <c r="F1524" i="17"/>
  <c r="B1525" i="17"/>
  <c r="C1525" i="17"/>
  <c r="D1525" i="17"/>
  <c r="E1525" i="17"/>
  <c r="F1525" i="17"/>
  <c r="B1526" i="17"/>
  <c r="C1526" i="17"/>
  <c r="D1526" i="17"/>
  <c r="E1526" i="17"/>
  <c r="F1526" i="17"/>
  <c r="B1527" i="17"/>
  <c r="C1527" i="17"/>
  <c r="D1527" i="17"/>
  <c r="E1527" i="17"/>
  <c r="F1527" i="17"/>
  <c r="B1528" i="17"/>
  <c r="C1528" i="17"/>
  <c r="D1528" i="17"/>
  <c r="E1528" i="17"/>
  <c r="F1528" i="17"/>
  <c r="B1529" i="17"/>
  <c r="C1529" i="17"/>
  <c r="D1529" i="17"/>
  <c r="E1529" i="17"/>
  <c r="F1529" i="17"/>
  <c r="B1530" i="17"/>
  <c r="C1530" i="17"/>
  <c r="D1530" i="17"/>
  <c r="E1530" i="17"/>
  <c r="F1530" i="17"/>
  <c r="B1531" i="17"/>
  <c r="C1531" i="17"/>
  <c r="D1531" i="17"/>
  <c r="E1531" i="17"/>
  <c r="F1531" i="17"/>
  <c r="B1532" i="17"/>
  <c r="C1532" i="17"/>
  <c r="D1532" i="17"/>
  <c r="E1532" i="17"/>
  <c r="F1532" i="17"/>
  <c r="B1533" i="17"/>
  <c r="C1533" i="17"/>
  <c r="D1533" i="17"/>
  <c r="E1533" i="17"/>
  <c r="F1533" i="17"/>
  <c r="B1534" i="17"/>
  <c r="C1534" i="17"/>
  <c r="D1534" i="17"/>
  <c r="E1534" i="17"/>
  <c r="F1534" i="17"/>
  <c r="B1535" i="17"/>
  <c r="C1535" i="17"/>
  <c r="D1535" i="17"/>
  <c r="E1535" i="17"/>
  <c r="F1535" i="17"/>
  <c r="B1536" i="17"/>
  <c r="C1536" i="17"/>
  <c r="D1536" i="17"/>
  <c r="E1536" i="17"/>
  <c r="F1536" i="17"/>
  <c r="B1537" i="17"/>
  <c r="C1537" i="17"/>
  <c r="D1537" i="17"/>
  <c r="E1537" i="17"/>
  <c r="F1537" i="17"/>
  <c r="B1538" i="17"/>
  <c r="C1538" i="17"/>
  <c r="D1538" i="17"/>
  <c r="E1538" i="17"/>
  <c r="F1538" i="17"/>
  <c r="B1539" i="17"/>
  <c r="C1539" i="17"/>
  <c r="D1539" i="17"/>
  <c r="E1539" i="17"/>
  <c r="F1539" i="17"/>
  <c r="B1540" i="17"/>
  <c r="C1540" i="17"/>
  <c r="D1540" i="17"/>
  <c r="E1540" i="17"/>
  <c r="F1540" i="17"/>
  <c r="B1541" i="17"/>
  <c r="C1541" i="17"/>
  <c r="D1541" i="17"/>
  <c r="E1541" i="17"/>
  <c r="F1541" i="17"/>
  <c r="B1542" i="17"/>
  <c r="C1542" i="17"/>
  <c r="D1542" i="17"/>
  <c r="E1542" i="17"/>
  <c r="F1542" i="17"/>
  <c r="B1543" i="17"/>
  <c r="C1543" i="17"/>
  <c r="D1543" i="17"/>
  <c r="E1543" i="17"/>
  <c r="F1543" i="17"/>
  <c r="B1544" i="17"/>
  <c r="C1544" i="17"/>
  <c r="D1544" i="17"/>
  <c r="E1544" i="17"/>
  <c r="F1544" i="17"/>
  <c r="B1545" i="17"/>
  <c r="C1545" i="17"/>
  <c r="D1545" i="17"/>
  <c r="E1545" i="17"/>
  <c r="F1545" i="17"/>
  <c r="B1546" i="17"/>
  <c r="C1546" i="17"/>
  <c r="D1546" i="17"/>
  <c r="E1546" i="17"/>
  <c r="F1546" i="17"/>
  <c r="B1547" i="17"/>
  <c r="C1547" i="17"/>
  <c r="D1547" i="17"/>
  <c r="E1547" i="17"/>
  <c r="F1547" i="17"/>
  <c r="B1548" i="17"/>
  <c r="C1548" i="17"/>
  <c r="D1548" i="17"/>
  <c r="E1548" i="17"/>
  <c r="F1548" i="17"/>
  <c r="B1549" i="17"/>
  <c r="C1549" i="17"/>
  <c r="D1549" i="17"/>
  <c r="E1549" i="17"/>
  <c r="F1549" i="17"/>
  <c r="B1550" i="17"/>
  <c r="C1550" i="17"/>
  <c r="D1550" i="17"/>
  <c r="E1550" i="17"/>
  <c r="F1550" i="17"/>
  <c r="B1551" i="17"/>
  <c r="C1551" i="17"/>
  <c r="D1551" i="17"/>
  <c r="E1551" i="17"/>
  <c r="F1551" i="17"/>
  <c r="B1552" i="17"/>
  <c r="C1552" i="17"/>
  <c r="D1552" i="17"/>
  <c r="E1552" i="17"/>
  <c r="F1552" i="17"/>
  <c r="B1553" i="17"/>
  <c r="C1553" i="17"/>
  <c r="D1553" i="17"/>
  <c r="E1553" i="17"/>
  <c r="F1553" i="17"/>
  <c r="B1554" i="17"/>
  <c r="C1554" i="17"/>
  <c r="D1554" i="17"/>
  <c r="E1554" i="17"/>
  <c r="F1554" i="17"/>
  <c r="B1555" i="17"/>
  <c r="C1555" i="17"/>
  <c r="D1555" i="17"/>
  <c r="E1555" i="17"/>
  <c r="F1555" i="17"/>
  <c r="B1556" i="17"/>
  <c r="C1556" i="17"/>
  <c r="D1556" i="17"/>
  <c r="E1556" i="17"/>
  <c r="F1556" i="17"/>
  <c r="B1557" i="17"/>
  <c r="C1557" i="17"/>
  <c r="D1557" i="17"/>
  <c r="E1557" i="17"/>
  <c r="F1557" i="17"/>
  <c r="B1558" i="17"/>
  <c r="C1558" i="17"/>
  <c r="D1558" i="17"/>
  <c r="E1558" i="17"/>
  <c r="F1558" i="17"/>
  <c r="B1559" i="17"/>
  <c r="C1559" i="17"/>
  <c r="D1559" i="17"/>
  <c r="E1559" i="17"/>
  <c r="F1559" i="17"/>
  <c r="B1560" i="17"/>
  <c r="C1560" i="17"/>
  <c r="D1560" i="17"/>
  <c r="E1560" i="17"/>
  <c r="F1560" i="17"/>
  <c r="B1561" i="17"/>
  <c r="C1561" i="17"/>
  <c r="D1561" i="17"/>
  <c r="E1561" i="17"/>
  <c r="F1561" i="17"/>
  <c r="B1562" i="17"/>
  <c r="C1562" i="17"/>
  <c r="D1562" i="17"/>
  <c r="E1562" i="17"/>
  <c r="F1562" i="17"/>
  <c r="B1563" i="17"/>
  <c r="C1563" i="17"/>
  <c r="D1563" i="17"/>
  <c r="E1563" i="17"/>
  <c r="F1563" i="17"/>
  <c r="B1564" i="17"/>
  <c r="C1564" i="17"/>
  <c r="D1564" i="17"/>
  <c r="E1564" i="17"/>
  <c r="F1564" i="17"/>
  <c r="B1565" i="17"/>
  <c r="C1565" i="17"/>
  <c r="D1565" i="17"/>
  <c r="E1565" i="17"/>
  <c r="F1565" i="17"/>
  <c r="B1566" i="17"/>
  <c r="C1566" i="17"/>
  <c r="D1566" i="17"/>
  <c r="E1566" i="17"/>
  <c r="F1566" i="17"/>
  <c r="B1567" i="17"/>
  <c r="C1567" i="17"/>
  <c r="D1567" i="17"/>
  <c r="E1567" i="17"/>
  <c r="F1567" i="17"/>
  <c r="B1568" i="17"/>
  <c r="C1568" i="17"/>
  <c r="D1568" i="17"/>
  <c r="E1568" i="17"/>
  <c r="F1568" i="17"/>
  <c r="B1569" i="17"/>
  <c r="C1569" i="17"/>
  <c r="D1569" i="17"/>
  <c r="E1569" i="17"/>
  <c r="F1569" i="17"/>
  <c r="B1570" i="17"/>
  <c r="C1570" i="17"/>
  <c r="D1570" i="17"/>
  <c r="E1570" i="17"/>
  <c r="F1570" i="17"/>
  <c r="B1571" i="17"/>
  <c r="C1571" i="17"/>
  <c r="D1571" i="17"/>
  <c r="E1571" i="17"/>
  <c r="F1571" i="17"/>
  <c r="B1572" i="17"/>
  <c r="C1572" i="17"/>
  <c r="D1572" i="17"/>
  <c r="E1572" i="17"/>
  <c r="F1572" i="17"/>
  <c r="B1573" i="17"/>
  <c r="C1573" i="17"/>
  <c r="D1573" i="17"/>
  <c r="E1573" i="17"/>
  <c r="F1573" i="17"/>
  <c r="B1574" i="17"/>
  <c r="C1574" i="17"/>
  <c r="D1574" i="17"/>
  <c r="E1574" i="17"/>
  <c r="F1574" i="17"/>
  <c r="B1575" i="17"/>
  <c r="C1575" i="17"/>
  <c r="D1575" i="17"/>
  <c r="E1575" i="17"/>
  <c r="F1575" i="17"/>
  <c r="B1576" i="17"/>
  <c r="C1576" i="17"/>
  <c r="D1576" i="17"/>
  <c r="E1576" i="17"/>
  <c r="F1576" i="17"/>
  <c r="B1577" i="17"/>
  <c r="C1577" i="17"/>
  <c r="D1577" i="17"/>
  <c r="E1577" i="17"/>
  <c r="F1577" i="17"/>
  <c r="B1578" i="17"/>
  <c r="C1578" i="17"/>
  <c r="D1578" i="17"/>
  <c r="E1578" i="17"/>
  <c r="F1578" i="17"/>
  <c r="B1579" i="17"/>
  <c r="C1579" i="17"/>
  <c r="D1579" i="17"/>
  <c r="E1579" i="17"/>
  <c r="F1579" i="17"/>
  <c r="B1580" i="17"/>
  <c r="C1580" i="17"/>
  <c r="D1580" i="17"/>
  <c r="E1580" i="17"/>
  <c r="F1580" i="17"/>
  <c r="B1581" i="17"/>
  <c r="C1581" i="17"/>
  <c r="D1581" i="17"/>
  <c r="E1581" i="17"/>
  <c r="F1581" i="17"/>
  <c r="B1582" i="17"/>
  <c r="C1582" i="17"/>
  <c r="D1582" i="17"/>
  <c r="E1582" i="17"/>
  <c r="F1582" i="17"/>
  <c r="B1583" i="17"/>
  <c r="C1583" i="17"/>
  <c r="D1583" i="17"/>
  <c r="E1583" i="17"/>
  <c r="F1583" i="17"/>
  <c r="B1584" i="17"/>
  <c r="C1584" i="17"/>
  <c r="D1584" i="17"/>
  <c r="E1584" i="17"/>
  <c r="F1584" i="17"/>
  <c r="B1585" i="17"/>
  <c r="C1585" i="17"/>
  <c r="D1585" i="17"/>
  <c r="E1585" i="17"/>
  <c r="F1585" i="17"/>
  <c r="B1586" i="17"/>
  <c r="C1586" i="17"/>
  <c r="D1586" i="17"/>
  <c r="E1586" i="17"/>
  <c r="F1586" i="17"/>
  <c r="B1587" i="17"/>
  <c r="C1587" i="17"/>
  <c r="D1587" i="17"/>
  <c r="E1587" i="17"/>
  <c r="F1587" i="17"/>
  <c r="B1588" i="17"/>
  <c r="C1588" i="17"/>
  <c r="D1588" i="17"/>
  <c r="E1588" i="17"/>
  <c r="F1588" i="17"/>
  <c r="B1589" i="17"/>
  <c r="C1589" i="17"/>
  <c r="D1589" i="17"/>
  <c r="E1589" i="17"/>
  <c r="F1589" i="17"/>
  <c r="B1590" i="17"/>
  <c r="C1590" i="17"/>
  <c r="D1590" i="17"/>
  <c r="E1590" i="17"/>
  <c r="F1590" i="17"/>
  <c r="B1591" i="17"/>
  <c r="C1591" i="17"/>
  <c r="D1591" i="17"/>
  <c r="E1591" i="17"/>
  <c r="F1591" i="17"/>
  <c r="B1592" i="17"/>
  <c r="C1592" i="17"/>
  <c r="D1592" i="17"/>
  <c r="E1592" i="17"/>
  <c r="F1592" i="17"/>
  <c r="B1593" i="17"/>
  <c r="C1593" i="17"/>
  <c r="D1593" i="17"/>
  <c r="E1593" i="17"/>
  <c r="F1593" i="17"/>
  <c r="B1594" i="17"/>
  <c r="C1594" i="17"/>
  <c r="D1594" i="17"/>
  <c r="E1594" i="17"/>
  <c r="F1594" i="17"/>
  <c r="B1595" i="17"/>
  <c r="C1595" i="17"/>
  <c r="D1595" i="17"/>
  <c r="E1595" i="17"/>
  <c r="F1595" i="17"/>
  <c r="B1596" i="17"/>
  <c r="C1596" i="17"/>
  <c r="D1596" i="17"/>
  <c r="E1596" i="17"/>
  <c r="F1596" i="17"/>
  <c r="B1597" i="17"/>
  <c r="C1597" i="17"/>
  <c r="D1597" i="17"/>
  <c r="E1597" i="17"/>
  <c r="F1597" i="17"/>
  <c r="B1598" i="17"/>
  <c r="C1598" i="17"/>
  <c r="D1598" i="17"/>
  <c r="E1598" i="17"/>
  <c r="F1598" i="17"/>
  <c r="B1599" i="17"/>
  <c r="C1599" i="17"/>
  <c r="D1599" i="17"/>
  <c r="E1599" i="17"/>
  <c r="F1599" i="17"/>
  <c r="B1600" i="17"/>
  <c r="C1600" i="17"/>
  <c r="D1600" i="17"/>
  <c r="E1600" i="17"/>
  <c r="F1600" i="17"/>
  <c r="B1601" i="17"/>
  <c r="C1601" i="17"/>
  <c r="D1601" i="17"/>
  <c r="E1601" i="17"/>
  <c r="F1601" i="17"/>
  <c r="B1602" i="17"/>
  <c r="C1602" i="17"/>
  <c r="D1602" i="17"/>
  <c r="E1602" i="17"/>
  <c r="F1602" i="17"/>
  <c r="B1603" i="17"/>
  <c r="C1603" i="17"/>
  <c r="D1603" i="17"/>
  <c r="E1603" i="17"/>
  <c r="F1603" i="17"/>
  <c r="B1604" i="17"/>
  <c r="C1604" i="17"/>
  <c r="D1604" i="17"/>
  <c r="E1604" i="17"/>
  <c r="F1604" i="17"/>
  <c r="B1605" i="17"/>
  <c r="C1605" i="17"/>
  <c r="D1605" i="17"/>
  <c r="E1605" i="17"/>
  <c r="F1605" i="17"/>
  <c r="B1606" i="17"/>
  <c r="C1606" i="17"/>
  <c r="D1606" i="17"/>
  <c r="E1606" i="17"/>
  <c r="F1606" i="17"/>
  <c r="B1607" i="17"/>
  <c r="C1607" i="17"/>
  <c r="D1607" i="17"/>
  <c r="E1607" i="17"/>
  <c r="F1607" i="17"/>
  <c r="B1608" i="17"/>
  <c r="C1608" i="17"/>
  <c r="D1608" i="17"/>
  <c r="E1608" i="17"/>
  <c r="F1608" i="17"/>
  <c r="B1609" i="17"/>
  <c r="C1609" i="17"/>
  <c r="D1609" i="17"/>
  <c r="E1609" i="17"/>
  <c r="F1609" i="17"/>
  <c r="B1610" i="17"/>
  <c r="C1610" i="17"/>
  <c r="D1610" i="17"/>
  <c r="E1610" i="17"/>
  <c r="F1610" i="17"/>
  <c r="B1611" i="17"/>
  <c r="C1611" i="17"/>
  <c r="D1611" i="17"/>
  <c r="E1611" i="17"/>
  <c r="F1611" i="17"/>
  <c r="B1612" i="17"/>
  <c r="C1612" i="17"/>
  <c r="D1612" i="17"/>
  <c r="E1612" i="17"/>
  <c r="F1612" i="17"/>
  <c r="B1613" i="17"/>
  <c r="C1613" i="17"/>
  <c r="D1613" i="17"/>
  <c r="E1613" i="17"/>
  <c r="F1613" i="17"/>
  <c r="B1614" i="17"/>
  <c r="C1614" i="17"/>
  <c r="D1614" i="17"/>
  <c r="E1614" i="17"/>
  <c r="F1614" i="17"/>
  <c r="B1615" i="17"/>
  <c r="C1615" i="17"/>
  <c r="D1615" i="17"/>
  <c r="E1615" i="17"/>
  <c r="F1615" i="17"/>
  <c r="B1616" i="17"/>
  <c r="C1616" i="17"/>
  <c r="D1616" i="17"/>
  <c r="E1616" i="17"/>
  <c r="F1616" i="17"/>
  <c r="B1617" i="17"/>
  <c r="C1617" i="17"/>
  <c r="D1617" i="17"/>
  <c r="E1617" i="17"/>
  <c r="F1617" i="17"/>
  <c r="B1618" i="17"/>
  <c r="C1618" i="17"/>
  <c r="D1618" i="17"/>
  <c r="E1618" i="17"/>
  <c r="F1618" i="17"/>
  <c r="B1619" i="17"/>
  <c r="C1619" i="17"/>
  <c r="D1619" i="17"/>
  <c r="E1619" i="17"/>
  <c r="F1619" i="17"/>
  <c r="B1620" i="17"/>
  <c r="C1620" i="17"/>
  <c r="D1620" i="17"/>
  <c r="E1620" i="17"/>
  <c r="F1620" i="17"/>
  <c r="B1621" i="17"/>
  <c r="C1621" i="17"/>
  <c r="D1621" i="17"/>
  <c r="E1621" i="17"/>
  <c r="F1621" i="17"/>
  <c r="B1622" i="17"/>
  <c r="C1622" i="17"/>
  <c r="D1622" i="17"/>
  <c r="E1622" i="17"/>
  <c r="F1622" i="17"/>
  <c r="B1623" i="17"/>
  <c r="C1623" i="17"/>
  <c r="D1623" i="17"/>
  <c r="E1623" i="17"/>
  <c r="F1623" i="17"/>
  <c r="B1624" i="17"/>
  <c r="C1624" i="17"/>
  <c r="D1624" i="17"/>
  <c r="E1624" i="17"/>
  <c r="F1624" i="17"/>
  <c r="B1625" i="17"/>
  <c r="C1625" i="17"/>
  <c r="D1625" i="17"/>
  <c r="E1625" i="17"/>
  <c r="F1625" i="17"/>
  <c r="B1626" i="17"/>
  <c r="C1626" i="17"/>
  <c r="D1626" i="17"/>
  <c r="E1626" i="17"/>
  <c r="F1626" i="17"/>
  <c r="B1627" i="17"/>
  <c r="C1627" i="17"/>
  <c r="D1627" i="17"/>
  <c r="E1627" i="17"/>
  <c r="F1627" i="17"/>
  <c r="B1628" i="17"/>
  <c r="C1628" i="17"/>
  <c r="D1628" i="17"/>
  <c r="E1628" i="17"/>
  <c r="F1628" i="17"/>
  <c r="B1629" i="17"/>
  <c r="C1629" i="17"/>
  <c r="D1629" i="17"/>
  <c r="E1629" i="17"/>
  <c r="F1629" i="17"/>
  <c r="B1630" i="17"/>
  <c r="C1630" i="17"/>
  <c r="D1630" i="17"/>
  <c r="E1630" i="17"/>
  <c r="F1630" i="17"/>
  <c r="B1631" i="17"/>
  <c r="C1631" i="17"/>
  <c r="D1631" i="17"/>
  <c r="E1631" i="17"/>
  <c r="F1631" i="17"/>
  <c r="B1632" i="17"/>
  <c r="C1632" i="17"/>
  <c r="D1632" i="17"/>
  <c r="E1632" i="17"/>
  <c r="F1632" i="17"/>
  <c r="B1633" i="17"/>
  <c r="C1633" i="17"/>
  <c r="D1633" i="17"/>
  <c r="E1633" i="17"/>
  <c r="F1633" i="17"/>
  <c r="B1634" i="17"/>
  <c r="C1634" i="17"/>
  <c r="D1634" i="17"/>
  <c r="E1634" i="17"/>
  <c r="F1634" i="17"/>
  <c r="B1635" i="17"/>
  <c r="C1635" i="17"/>
  <c r="D1635" i="17"/>
  <c r="E1635" i="17"/>
  <c r="F1635" i="17"/>
  <c r="B1636" i="17"/>
  <c r="C1636" i="17"/>
  <c r="D1636" i="17"/>
  <c r="E1636" i="17"/>
  <c r="F1636" i="17"/>
  <c r="B1637" i="17"/>
  <c r="C1637" i="17"/>
  <c r="D1637" i="17"/>
  <c r="E1637" i="17"/>
  <c r="F1637" i="17"/>
  <c r="B1638" i="17"/>
  <c r="C1638" i="17"/>
  <c r="D1638" i="17"/>
  <c r="E1638" i="17"/>
  <c r="F1638" i="17"/>
  <c r="B1639" i="17"/>
  <c r="C1639" i="17"/>
  <c r="D1639" i="17"/>
  <c r="E1639" i="17"/>
  <c r="F1639" i="17"/>
  <c r="B1640" i="17"/>
  <c r="C1640" i="17"/>
  <c r="D1640" i="17"/>
  <c r="E1640" i="17"/>
  <c r="F1640" i="17"/>
  <c r="B1641" i="17"/>
  <c r="C1641" i="17"/>
  <c r="D1641" i="17"/>
  <c r="E1641" i="17"/>
  <c r="F1641" i="17"/>
  <c r="B1642" i="17"/>
  <c r="C1642" i="17"/>
  <c r="D1642" i="17"/>
  <c r="E1642" i="17"/>
  <c r="F1642" i="17"/>
  <c r="B1643" i="17"/>
  <c r="C1643" i="17"/>
  <c r="D1643" i="17"/>
  <c r="E1643" i="17"/>
  <c r="F1643" i="17"/>
  <c r="B1644" i="17"/>
  <c r="C1644" i="17"/>
  <c r="D1644" i="17"/>
  <c r="E1644" i="17"/>
  <c r="F1644" i="17"/>
  <c r="B1645" i="17"/>
  <c r="C1645" i="17"/>
  <c r="D1645" i="17"/>
  <c r="E1645" i="17"/>
  <c r="F1645" i="17"/>
  <c r="B1646" i="17"/>
  <c r="C1646" i="17"/>
  <c r="D1646" i="17"/>
  <c r="E1646" i="17"/>
  <c r="F1646" i="17"/>
  <c r="B1647" i="17"/>
  <c r="C1647" i="17"/>
  <c r="D1647" i="17"/>
  <c r="E1647" i="17"/>
  <c r="F1647" i="17"/>
  <c r="B1648" i="17"/>
  <c r="C1648" i="17"/>
  <c r="D1648" i="17"/>
  <c r="E1648" i="17"/>
  <c r="F1648" i="17"/>
  <c r="B1649" i="17"/>
  <c r="C1649" i="17"/>
  <c r="D1649" i="17"/>
  <c r="E1649" i="17"/>
  <c r="F1649" i="17"/>
  <c r="B1650" i="17"/>
  <c r="C1650" i="17"/>
  <c r="D1650" i="17"/>
  <c r="E1650" i="17"/>
  <c r="F1650" i="17"/>
  <c r="B1651" i="17"/>
  <c r="C1651" i="17"/>
  <c r="D1651" i="17"/>
  <c r="E1651" i="17"/>
  <c r="F1651" i="17"/>
  <c r="B1652" i="17"/>
  <c r="C1652" i="17"/>
  <c r="D1652" i="17"/>
  <c r="E1652" i="17"/>
  <c r="F1652" i="17"/>
  <c r="B1653" i="17"/>
  <c r="C1653" i="17"/>
  <c r="D1653" i="17"/>
  <c r="E1653" i="17"/>
  <c r="F1653" i="17"/>
  <c r="B1654" i="17"/>
  <c r="C1654" i="17"/>
  <c r="D1654" i="17"/>
  <c r="E1654" i="17"/>
  <c r="F1654" i="17"/>
  <c r="B1655" i="17"/>
  <c r="C1655" i="17"/>
  <c r="D1655" i="17"/>
  <c r="E1655" i="17"/>
  <c r="F1655" i="17"/>
  <c r="B1656" i="17"/>
  <c r="C1656" i="17"/>
  <c r="D1656" i="17"/>
  <c r="E1656" i="17"/>
  <c r="F1656" i="17"/>
  <c r="B1657" i="17"/>
  <c r="C1657" i="17"/>
  <c r="D1657" i="17"/>
  <c r="E1657" i="17"/>
  <c r="F1657" i="17"/>
  <c r="B1658" i="17"/>
  <c r="C1658" i="17"/>
  <c r="D1658" i="17"/>
  <c r="E1658" i="17"/>
  <c r="F1658" i="17"/>
  <c r="B1659" i="17"/>
  <c r="C1659" i="17"/>
  <c r="D1659" i="17"/>
  <c r="E1659" i="17"/>
  <c r="F1659" i="17"/>
  <c r="B1660" i="17"/>
  <c r="C1660" i="17"/>
  <c r="D1660" i="17"/>
  <c r="E1660" i="17"/>
  <c r="F1660" i="17"/>
  <c r="B1661" i="17"/>
  <c r="C1661" i="17"/>
  <c r="D1661" i="17"/>
  <c r="E1661" i="17"/>
  <c r="F1661" i="17"/>
  <c r="B1662" i="17"/>
  <c r="C1662" i="17"/>
  <c r="D1662" i="17"/>
  <c r="E1662" i="17"/>
  <c r="F1662" i="17"/>
  <c r="B1663" i="17"/>
  <c r="C1663" i="17"/>
  <c r="D1663" i="17"/>
  <c r="E1663" i="17"/>
  <c r="F1663" i="17"/>
  <c r="B1664" i="17"/>
  <c r="C1664" i="17"/>
  <c r="D1664" i="17"/>
  <c r="E1664" i="17"/>
  <c r="F1664" i="17"/>
  <c r="B1665" i="17"/>
  <c r="C1665" i="17"/>
  <c r="D1665" i="17"/>
  <c r="E1665" i="17"/>
  <c r="F1665" i="17"/>
  <c r="B1666" i="17"/>
  <c r="C1666" i="17"/>
  <c r="D1666" i="17"/>
  <c r="E1666" i="17"/>
  <c r="F1666" i="17"/>
  <c r="B1667" i="17"/>
  <c r="C1667" i="17"/>
  <c r="D1667" i="17"/>
  <c r="E1667" i="17"/>
  <c r="F1667" i="17"/>
  <c r="B1668" i="17"/>
  <c r="C1668" i="17"/>
  <c r="D1668" i="17"/>
  <c r="E1668" i="17"/>
  <c r="F1668" i="17"/>
  <c r="B1669" i="17"/>
  <c r="C1669" i="17"/>
  <c r="D1669" i="17"/>
  <c r="E1669" i="17"/>
  <c r="F1669" i="17"/>
  <c r="B1670" i="17"/>
  <c r="C1670" i="17"/>
  <c r="D1670" i="17"/>
  <c r="E1670" i="17"/>
  <c r="F1670" i="17"/>
  <c r="B1671" i="17"/>
  <c r="C1671" i="17"/>
  <c r="D1671" i="17"/>
  <c r="E1671" i="17"/>
  <c r="F1671" i="17"/>
  <c r="B1672" i="17"/>
  <c r="C1672" i="17"/>
  <c r="D1672" i="17"/>
  <c r="E1672" i="17"/>
  <c r="F1672" i="17"/>
  <c r="B1673" i="17"/>
  <c r="C1673" i="17"/>
  <c r="D1673" i="17"/>
  <c r="E1673" i="17"/>
  <c r="F1673" i="17"/>
  <c r="B1674" i="17"/>
  <c r="C1674" i="17"/>
  <c r="D1674" i="17"/>
  <c r="E1674" i="17"/>
  <c r="F1674" i="17"/>
  <c r="B1675" i="17"/>
  <c r="C1675" i="17"/>
  <c r="D1675" i="17"/>
  <c r="E1675" i="17"/>
  <c r="F1675" i="17"/>
  <c r="B1676" i="17"/>
  <c r="C1676" i="17"/>
  <c r="D1676" i="17"/>
  <c r="E1676" i="17"/>
  <c r="F1676" i="17"/>
  <c r="B1677" i="17"/>
  <c r="C1677" i="17"/>
  <c r="D1677" i="17"/>
  <c r="E1677" i="17"/>
  <c r="F1677" i="17"/>
  <c r="B1678" i="17"/>
  <c r="C1678" i="17"/>
  <c r="D1678" i="17"/>
  <c r="E1678" i="17"/>
  <c r="F1678" i="17"/>
  <c r="B1679" i="17"/>
  <c r="C1679" i="17"/>
  <c r="D1679" i="17"/>
  <c r="E1679" i="17"/>
  <c r="F1679" i="17"/>
  <c r="B1680" i="17"/>
  <c r="C1680" i="17"/>
  <c r="D1680" i="17"/>
  <c r="E1680" i="17"/>
  <c r="F1680" i="17"/>
  <c r="B1681" i="17"/>
  <c r="C1681" i="17"/>
  <c r="D1681" i="17"/>
  <c r="E1681" i="17"/>
  <c r="F1681" i="17"/>
  <c r="B1682" i="17"/>
  <c r="C1682" i="17"/>
  <c r="D1682" i="17"/>
  <c r="E1682" i="17"/>
  <c r="F1682" i="17"/>
  <c r="B1683" i="17"/>
  <c r="C1683" i="17"/>
  <c r="D1683" i="17"/>
  <c r="E1683" i="17"/>
  <c r="F1683" i="17"/>
  <c r="B1684" i="17"/>
  <c r="C1684" i="17"/>
  <c r="D1684" i="17"/>
  <c r="E1684" i="17"/>
  <c r="F1684" i="17"/>
  <c r="B1685" i="17"/>
  <c r="C1685" i="17"/>
  <c r="D1685" i="17"/>
  <c r="E1685" i="17"/>
  <c r="F1685" i="17"/>
  <c r="B1686" i="17"/>
  <c r="C1686" i="17"/>
  <c r="D1686" i="17"/>
  <c r="E1686" i="17"/>
  <c r="F1686" i="17"/>
  <c r="B1687" i="17"/>
  <c r="C1687" i="17"/>
  <c r="D1687" i="17"/>
  <c r="E1687" i="17"/>
  <c r="F1687" i="17"/>
  <c r="B1688" i="17"/>
  <c r="C1688" i="17"/>
  <c r="D1688" i="17"/>
  <c r="E1688" i="17"/>
  <c r="F1688" i="17"/>
  <c r="B1689" i="17"/>
  <c r="C1689" i="17"/>
  <c r="D1689" i="17"/>
  <c r="E1689" i="17"/>
  <c r="F1689" i="17"/>
  <c r="B1690" i="17"/>
  <c r="C1690" i="17"/>
  <c r="D1690" i="17"/>
  <c r="E1690" i="17"/>
  <c r="F1690" i="17"/>
  <c r="B1691" i="17"/>
  <c r="C1691" i="17"/>
  <c r="D1691" i="17"/>
  <c r="E1691" i="17"/>
  <c r="F1691" i="17"/>
  <c r="B1692" i="17"/>
  <c r="C1692" i="17"/>
  <c r="D1692" i="17"/>
  <c r="E1692" i="17"/>
  <c r="F1692" i="17"/>
  <c r="B1693" i="17"/>
  <c r="C1693" i="17"/>
  <c r="D1693" i="17"/>
  <c r="E1693" i="17"/>
  <c r="F1693" i="17"/>
  <c r="B1694" i="17"/>
  <c r="C1694" i="17"/>
  <c r="D1694" i="17"/>
  <c r="E1694" i="17"/>
  <c r="F1694" i="17"/>
  <c r="B1695" i="17"/>
  <c r="C1695" i="17"/>
  <c r="D1695" i="17"/>
  <c r="E1695" i="17"/>
  <c r="F1695" i="17"/>
  <c r="B1696" i="17"/>
  <c r="C1696" i="17"/>
  <c r="D1696" i="17"/>
  <c r="E1696" i="17"/>
  <c r="F1696" i="17"/>
  <c r="B1697" i="17"/>
  <c r="C1697" i="17"/>
  <c r="D1697" i="17"/>
  <c r="E1697" i="17"/>
  <c r="F1697" i="17"/>
  <c r="B1698" i="17"/>
  <c r="C1698" i="17"/>
  <c r="D1698" i="17"/>
  <c r="E1698" i="17"/>
  <c r="F1698" i="17"/>
  <c r="B1699" i="17"/>
  <c r="C1699" i="17"/>
  <c r="D1699" i="17"/>
  <c r="E1699" i="17"/>
  <c r="F1699" i="17"/>
  <c r="B1700" i="17"/>
  <c r="C1700" i="17"/>
  <c r="D1700" i="17"/>
  <c r="E1700" i="17"/>
  <c r="F1700" i="17"/>
  <c r="B1701" i="17"/>
  <c r="C1701" i="17"/>
  <c r="D1701" i="17"/>
  <c r="E1701" i="17"/>
  <c r="F1701" i="17"/>
  <c r="B1702" i="17"/>
  <c r="C1702" i="17"/>
  <c r="D1702" i="17"/>
  <c r="E1702" i="17"/>
  <c r="F1702" i="17"/>
  <c r="B1703" i="17"/>
  <c r="C1703" i="17"/>
  <c r="D1703" i="17"/>
  <c r="E1703" i="17"/>
  <c r="F1703" i="17"/>
  <c r="B1704" i="17"/>
  <c r="C1704" i="17"/>
  <c r="D1704" i="17"/>
  <c r="E1704" i="17"/>
  <c r="F1704" i="17"/>
  <c r="B1705" i="17"/>
  <c r="C1705" i="17"/>
  <c r="D1705" i="17"/>
  <c r="E1705" i="17"/>
  <c r="F1705" i="17"/>
  <c r="B1706" i="17"/>
  <c r="C1706" i="17"/>
  <c r="D1706" i="17"/>
  <c r="E1706" i="17"/>
  <c r="F1706" i="17"/>
  <c r="B1707" i="17"/>
  <c r="C1707" i="17"/>
  <c r="D1707" i="17"/>
  <c r="E1707" i="17"/>
  <c r="F1707" i="17"/>
  <c r="B1708" i="17"/>
  <c r="C1708" i="17"/>
  <c r="D1708" i="17"/>
  <c r="E1708" i="17"/>
  <c r="F1708" i="17"/>
  <c r="B1709" i="17"/>
  <c r="C1709" i="17"/>
  <c r="D1709" i="17"/>
  <c r="E1709" i="17"/>
  <c r="F1709" i="17"/>
  <c r="B1710" i="17"/>
  <c r="C1710" i="17"/>
  <c r="D1710" i="17"/>
  <c r="E1710" i="17"/>
  <c r="F1710" i="17"/>
  <c r="B1711" i="17"/>
  <c r="C1711" i="17"/>
  <c r="D1711" i="17"/>
  <c r="E1711" i="17"/>
  <c r="F1711" i="17"/>
  <c r="B1712" i="17"/>
  <c r="C1712" i="17"/>
  <c r="D1712" i="17"/>
  <c r="E1712" i="17"/>
  <c r="F1712" i="17"/>
  <c r="B1713" i="17"/>
  <c r="C1713" i="17"/>
  <c r="D1713" i="17"/>
  <c r="E1713" i="17"/>
  <c r="F1713" i="17"/>
  <c r="B1714" i="17"/>
  <c r="C1714" i="17"/>
  <c r="D1714" i="17"/>
  <c r="E1714" i="17"/>
  <c r="F1714" i="17"/>
  <c r="B1715" i="17"/>
  <c r="C1715" i="17"/>
  <c r="D1715" i="17"/>
  <c r="E1715" i="17"/>
  <c r="F1715" i="17"/>
  <c r="B1716" i="17"/>
  <c r="C1716" i="17"/>
  <c r="D1716" i="17"/>
  <c r="E1716" i="17"/>
  <c r="F1716" i="17"/>
  <c r="B1717" i="17"/>
  <c r="C1717" i="17"/>
  <c r="D1717" i="17"/>
  <c r="E1717" i="17"/>
  <c r="F1717" i="17"/>
  <c r="B1718" i="17"/>
  <c r="C1718" i="17"/>
  <c r="D1718" i="17"/>
  <c r="E1718" i="17"/>
  <c r="F1718" i="17"/>
  <c r="B1719" i="17"/>
  <c r="C1719" i="17"/>
  <c r="D1719" i="17"/>
  <c r="E1719" i="17"/>
  <c r="F1719" i="17"/>
  <c r="B1720" i="17"/>
  <c r="C1720" i="17"/>
  <c r="D1720" i="17"/>
  <c r="E1720" i="17"/>
  <c r="F1720" i="17"/>
  <c r="B1721" i="17"/>
  <c r="C1721" i="17"/>
  <c r="D1721" i="17"/>
  <c r="E1721" i="17"/>
  <c r="F1721" i="17"/>
  <c r="B1722" i="17"/>
  <c r="C1722" i="17"/>
  <c r="D1722" i="17"/>
  <c r="E1722" i="17"/>
  <c r="F1722" i="17"/>
  <c r="B1723" i="17"/>
  <c r="C1723" i="17"/>
  <c r="D1723" i="17"/>
  <c r="E1723" i="17"/>
  <c r="F1723" i="17"/>
  <c r="B1724" i="17"/>
  <c r="C1724" i="17"/>
  <c r="D1724" i="17"/>
  <c r="E1724" i="17"/>
  <c r="F1724" i="17"/>
  <c r="B1725" i="17"/>
  <c r="C1725" i="17"/>
  <c r="D1725" i="17"/>
  <c r="E1725" i="17"/>
  <c r="F1725" i="17"/>
  <c r="B1726" i="17"/>
  <c r="C1726" i="17"/>
  <c r="D1726" i="17"/>
  <c r="E1726" i="17"/>
  <c r="F1726" i="17"/>
  <c r="B1727" i="17"/>
  <c r="C1727" i="17"/>
  <c r="D1727" i="17"/>
  <c r="E1727" i="17"/>
  <c r="F1727" i="17"/>
  <c r="B1728" i="17"/>
  <c r="C1728" i="17"/>
  <c r="D1728" i="17"/>
  <c r="E1728" i="17"/>
  <c r="F1728" i="17"/>
  <c r="B1729" i="17"/>
  <c r="C1729" i="17"/>
  <c r="D1729" i="17"/>
  <c r="E1729" i="17"/>
  <c r="F1729" i="17"/>
  <c r="B1730" i="17"/>
  <c r="C1730" i="17"/>
  <c r="D1730" i="17"/>
  <c r="E1730" i="17"/>
  <c r="F1730" i="17"/>
  <c r="B1731" i="17"/>
  <c r="C1731" i="17"/>
  <c r="D1731" i="17"/>
  <c r="E1731" i="17"/>
  <c r="F1731" i="17"/>
  <c r="B1732" i="17"/>
  <c r="C1732" i="17"/>
  <c r="D1732" i="17"/>
  <c r="E1732" i="17"/>
  <c r="F1732" i="17"/>
  <c r="B1733" i="17"/>
  <c r="C1733" i="17"/>
  <c r="D1733" i="17"/>
  <c r="E1733" i="17"/>
  <c r="F1733" i="17"/>
  <c r="B1734" i="17"/>
  <c r="C1734" i="17"/>
  <c r="D1734" i="17"/>
  <c r="E1734" i="17"/>
  <c r="F1734" i="17"/>
  <c r="B1735" i="17"/>
  <c r="C1735" i="17"/>
  <c r="D1735" i="17"/>
  <c r="E1735" i="17"/>
  <c r="F1735" i="17"/>
  <c r="B1736" i="17"/>
  <c r="C1736" i="17"/>
  <c r="D1736" i="17"/>
  <c r="E1736" i="17"/>
  <c r="F1736" i="17"/>
  <c r="B1737" i="17"/>
  <c r="C1737" i="17"/>
  <c r="D1737" i="17"/>
  <c r="E1737" i="17"/>
  <c r="F1737" i="17"/>
  <c r="B1738" i="17"/>
  <c r="C1738" i="17"/>
  <c r="D1738" i="17"/>
  <c r="E1738" i="17"/>
  <c r="F1738" i="17"/>
  <c r="B1739" i="17"/>
  <c r="C1739" i="17"/>
  <c r="D1739" i="17"/>
  <c r="E1739" i="17"/>
  <c r="F1739" i="17"/>
  <c r="B1740" i="17"/>
  <c r="C1740" i="17"/>
  <c r="D1740" i="17"/>
  <c r="E1740" i="17"/>
  <c r="F1740" i="17"/>
  <c r="B1741" i="17"/>
  <c r="C1741" i="17"/>
  <c r="D1741" i="17"/>
  <c r="E1741" i="17"/>
  <c r="F1741" i="17"/>
  <c r="B1742" i="17"/>
  <c r="C1742" i="17"/>
  <c r="D1742" i="17"/>
  <c r="E1742" i="17"/>
  <c r="F1742" i="17"/>
  <c r="B1743" i="17"/>
  <c r="C1743" i="17"/>
  <c r="D1743" i="17"/>
  <c r="E1743" i="17"/>
  <c r="F1743" i="17"/>
  <c r="B1744" i="17"/>
  <c r="C1744" i="17"/>
  <c r="D1744" i="17"/>
  <c r="E1744" i="17"/>
  <c r="F1744" i="17"/>
  <c r="B1745" i="17"/>
  <c r="C1745" i="17"/>
  <c r="D1745" i="17"/>
  <c r="E1745" i="17"/>
  <c r="F1745" i="17"/>
  <c r="B1746" i="17"/>
  <c r="C1746" i="17"/>
  <c r="D1746" i="17"/>
  <c r="E1746" i="17"/>
  <c r="F1746" i="17"/>
  <c r="B1747" i="17"/>
  <c r="C1747" i="17"/>
  <c r="D1747" i="17"/>
  <c r="E1747" i="17"/>
  <c r="F1747" i="17"/>
  <c r="B1748" i="17"/>
  <c r="C1748" i="17"/>
  <c r="D1748" i="17"/>
  <c r="E1748" i="17"/>
  <c r="F1748" i="17"/>
  <c r="B1749" i="17"/>
  <c r="C1749" i="17"/>
  <c r="D1749" i="17"/>
  <c r="E1749" i="17"/>
  <c r="F1749" i="17"/>
  <c r="B1750" i="17"/>
  <c r="C1750" i="17"/>
  <c r="D1750" i="17"/>
  <c r="E1750" i="17"/>
  <c r="F1750" i="17"/>
  <c r="B1751" i="17"/>
  <c r="C1751" i="17"/>
  <c r="D1751" i="17"/>
  <c r="E1751" i="17"/>
  <c r="F1751" i="17"/>
  <c r="B1752" i="17"/>
  <c r="C1752" i="17"/>
  <c r="D1752" i="17"/>
  <c r="E1752" i="17"/>
  <c r="F1752" i="17"/>
  <c r="B1753" i="17"/>
  <c r="C1753" i="17"/>
  <c r="D1753" i="17"/>
  <c r="E1753" i="17"/>
  <c r="F1753" i="17"/>
  <c r="B1754" i="17"/>
  <c r="C1754" i="17"/>
  <c r="D1754" i="17"/>
  <c r="E1754" i="17"/>
  <c r="F1754" i="17"/>
  <c r="B1755" i="17"/>
  <c r="C1755" i="17"/>
  <c r="D1755" i="17"/>
  <c r="E1755" i="17"/>
  <c r="F1755" i="17"/>
  <c r="B1756" i="17"/>
  <c r="C1756" i="17"/>
  <c r="D1756" i="17"/>
  <c r="E1756" i="17"/>
  <c r="F1756" i="17"/>
  <c r="B1757" i="17"/>
  <c r="C1757" i="17"/>
  <c r="D1757" i="17"/>
  <c r="E1757" i="17"/>
  <c r="F1757" i="17"/>
  <c r="B1758" i="17"/>
  <c r="C1758" i="17"/>
  <c r="D1758" i="17"/>
  <c r="E1758" i="17"/>
  <c r="F1758" i="17"/>
  <c r="B1759" i="17"/>
  <c r="C1759" i="17"/>
  <c r="D1759" i="17"/>
  <c r="E1759" i="17"/>
  <c r="F1759" i="17"/>
  <c r="B1760" i="17"/>
  <c r="C1760" i="17"/>
  <c r="D1760" i="17"/>
  <c r="E1760" i="17"/>
  <c r="F1760" i="17"/>
  <c r="B1761" i="17"/>
  <c r="C1761" i="17"/>
  <c r="D1761" i="17"/>
  <c r="E1761" i="17"/>
  <c r="F1761" i="17"/>
  <c r="B1762" i="17"/>
  <c r="C1762" i="17"/>
  <c r="D1762" i="17"/>
  <c r="E1762" i="17"/>
  <c r="F1762" i="17"/>
  <c r="B1763" i="17"/>
  <c r="C1763" i="17"/>
  <c r="D1763" i="17"/>
  <c r="E1763" i="17"/>
  <c r="F1763" i="17"/>
  <c r="B1764" i="17"/>
  <c r="C1764" i="17"/>
  <c r="D1764" i="17"/>
  <c r="E1764" i="17"/>
  <c r="F1764" i="17"/>
  <c r="B1765" i="17"/>
  <c r="C1765" i="17"/>
  <c r="D1765" i="17"/>
  <c r="E1765" i="17"/>
  <c r="F1765" i="17"/>
  <c r="B1766" i="17"/>
  <c r="C1766" i="17"/>
  <c r="D1766" i="17"/>
  <c r="E1766" i="17"/>
  <c r="F1766" i="17"/>
  <c r="B1767" i="17"/>
  <c r="C1767" i="17"/>
  <c r="D1767" i="17"/>
  <c r="E1767" i="17"/>
  <c r="F1767" i="17"/>
  <c r="B1768" i="17"/>
  <c r="C1768" i="17"/>
  <c r="D1768" i="17"/>
  <c r="E1768" i="17"/>
  <c r="F1768" i="17"/>
  <c r="B1769" i="17"/>
  <c r="C1769" i="17"/>
  <c r="D1769" i="17"/>
  <c r="E1769" i="17"/>
  <c r="F1769" i="17"/>
  <c r="B1770" i="17"/>
  <c r="C1770" i="17"/>
  <c r="D1770" i="17"/>
  <c r="E1770" i="17"/>
  <c r="F1770" i="17"/>
  <c r="B1771" i="17"/>
  <c r="C1771" i="17"/>
  <c r="D1771" i="17"/>
  <c r="E1771" i="17"/>
  <c r="F1771" i="17"/>
  <c r="B1772" i="17"/>
  <c r="C1772" i="17"/>
  <c r="D1772" i="17"/>
  <c r="E1772" i="17"/>
  <c r="F1772" i="17"/>
  <c r="B1773" i="17"/>
  <c r="C1773" i="17"/>
  <c r="D1773" i="17"/>
  <c r="E1773" i="17"/>
  <c r="F1773" i="17"/>
  <c r="B1774" i="17"/>
  <c r="C1774" i="17"/>
  <c r="D1774" i="17"/>
  <c r="E1774" i="17"/>
  <c r="F1774" i="17"/>
  <c r="B1775" i="17"/>
  <c r="C1775" i="17"/>
  <c r="D1775" i="17"/>
  <c r="E1775" i="17"/>
  <c r="F1775" i="17"/>
  <c r="B1776" i="17"/>
  <c r="C1776" i="17"/>
  <c r="D1776" i="17"/>
  <c r="E1776" i="17"/>
  <c r="F1776" i="17"/>
  <c r="B1777" i="17"/>
  <c r="C1777" i="17"/>
  <c r="D1777" i="17"/>
  <c r="E1777" i="17"/>
  <c r="F1777" i="17"/>
  <c r="B1778" i="17"/>
  <c r="C1778" i="17"/>
  <c r="D1778" i="17"/>
  <c r="E1778" i="17"/>
  <c r="F1778" i="17"/>
  <c r="B1779" i="17"/>
  <c r="C1779" i="17"/>
  <c r="D1779" i="17"/>
  <c r="E1779" i="17"/>
  <c r="F1779" i="17"/>
  <c r="B1780" i="17"/>
  <c r="C1780" i="17"/>
  <c r="D1780" i="17"/>
  <c r="E1780" i="17"/>
  <c r="F1780" i="17"/>
  <c r="B1781" i="17"/>
  <c r="C1781" i="17"/>
  <c r="D1781" i="17"/>
  <c r="E1781" i="17"/>
  <c r="F1781" i="17"/>
  <c r="B1782" i="17"/>
  <c r="C1782" i="17"/>
  <c r="D1782" i="17"/>
  <c r="E1782" i="17"/>
  <c r="F1782" i="17"/>
  <c r="B1783" i="17"/>
  <c r="C1783" i="17"/>
  <c r="D1783" i="17"/>
  <c r="E1783" i="17"/>
  <c r="F1783" i="17"/>
  <c r="B1784" i="17"/>
  <c r="C1784" i="17"/>
  <c r="D1784" i="17"/>
  <c r="E1784" i="17"/>
  <c r="F1784" i="17"/>
  <c r="B1785" i="17"/>
  <c r="C1785" i="17"/>
  <c r="D1785" i="17"/>
  <c r="E1785" i="17"/>
  <c r="F1785" i="17"/>
  <c r="B1786" i="17"/>
  <c r="C1786" i="17"/>
  <c r="D1786" i="17"/>
  <c r="E1786" i="17"/>
  <c r="F1786" i="17"/>
  <c r="B1787" i="17"/>
  <c r="C1787" i="17"/>
  <c r="D1787" i="17"/>
  <c r="E1787" i="17"/>
  <c r="F1787" i="17"/>
  <c r="B1788" i="17"/>
  <c r="C1788" i="17"/>
  <c r="D1788" i="17"/>
  <c r="E1788" i="17"/>
  <c r="F1788" i="17"/>
  <c r="B1789" i="17"/>
  <c r="C1789" i="17"/>
  <c r="D1789" i="17"/>
  <c r="E1789" i="17"/>
  <c r="F1789" i="17"/>
  <c r="B1790" i="17"/>
  <c r="C1790" i="17"/>
  <c r="D1790" i="17"/>
  <c r="E1790" i="17"/>
  <c r="F1790" i="17"/>
  <c r="B1791" i="17"/>
  <c r="C1791" i="17"/>
  <c r="D1791" i="17"/>
  <c r="E1791" i="17"/>
  <c r="F1791" i="17"/>
  <c r="B1792" i="17"/>
  <c r="C1792" i="17"/>
  <c r="D1792" i="17"/>
  <c r="E1792" i="17"/>
  <c r="F1792" i="17"/>
  <c r="B1793" i="17"/>
  <c r="C1793" i="17"/>
  <c r="D1793" i="17"/>
  <c r="E1793" i="17"/>
  <c r="F1793" i="17"/>
  <c r="B1794" i="17"/>
  <c r="C1794" i="17"/>
  <c r="D1794" i="17"/>
  <c r="E1794" i="17"/>
  <c r="F1794" i="17"/>
  <c r="B1795" i="17"/>
  <c r="C1795" i="17"/>
  <c r="D1795" i="17"/>
  <c r="E1795" i="17"/>
  <c r="F1795" i="17"/>
  <c r="B1796" i="17"/>
  <c r="C1796" i="17"/>
  <c r="D1796" i="17"/>
  <c r="E1796" i="17"/>
  <c r="F1796" i="17"/>
  <c r="B1797" i="17"/>
  <c r="C1797" i="17"/>
  <c r="D1797" i="17"/>
  <c r="E1797" i="17"/>
  <c r="F1797" i="17"/>
  <c r="B1798" i="17"/>
  <c r="C1798" i="17"/>
  <c r="D1798" i="17"/>
  <c r="E1798" i="17"/>
  <c r="F1798" i="17"/>
  <c r="B1799" i="17"/>
  <c r="C1799" i="17"/>
  <c r="D1799" i="17"/>
  <c r="E1799" i="17"/>
  <c r="F1799" i="17"/>
  <c r="B1800" i="17"/>
  <c r="C1800" i="17"/>
  <c r="D1800" i="17"/>
  <c r="E1800" i="17"/>
  <c r="F1800" i="17"/>
  <c r="B1801" i="17"/>
  <c r="C1801" i="17"/>
  <c r="D1801" i="17"/>
  <c r="E1801" i="17"/>
  <c r="F1801" i="17"/>
  <c r="B1802" i="17"/>
  <c r="C1802" i="17"/>
  <c r="D1802" i="17"/>
  <c r="E1802" i="17"/>
  <c r="F1802" i="17"/>
  <c r="B1803" i="17"/>
  <c r="C1803" i="17"/>
  <c r="D1803" i="17"/>
  <c r="E1803" i="17"/>
  <c r="F1803" i="17"/>
  <c r="B1804" i="17"/>
  <c r="C1804" i="17"/>
  <c r="D1804" i="17"/>
  <c r="E1804" i="17"/>
  <c r="F1804" i="17"/>
  <c r="B1805" i="17"/>
  <c r="C1805" i="17"/>
  <c r="D1805" i="17"/>
  <c r="E1805" i="17"/>
  <c r="F1805" i="17"/>
  <c r="B1806" i="17"/>
  <c r="C1806" i="17"/>
  <c r="D1806" i="17"/>
  <c r="E1806" i="17"/>
  <c r="F1806" i="17"/>
  <c r="B1807" i="17"/>
  <c r="C1807" i="17"/>
  <c r="D1807" i="17"/>
  <c r="E1807" i="17"/>
  <c r="F1807" i="17"/>
  <c r="B1808" i="17"/>
  <c r="C1808" i="17"/>
  <c r="D1808" i="17"/>
  <c r="E1808" i="17"/>
  <c r="F1808" i="17"/>
  <c r="B1809" i="17"/>
  <c r="C1809" i="17"/>
  <c r="D1809" i="17"/>
  <c r="E1809" i="17"/>
  <c r="F1809" i="17"/>
  <c r="B1810" i="17"/>
  <c r="C1810" i="17"/>
  <c r="D1810" i="17"/>
  <c r="E1810" i="17"/>
  <c r="F1810" i="17"/>
  <c r="B1811" i="17"/>
  <c r="C1811" i="17"/>
  <c r="D1811" i="17"/>
  <c r="E1811" i="17"/>
  <c r="F1811" i="17"/>
  <c r="B1812" i="17"/>
  <c r="C1812" i="17"/>
  <c r="D1812" i="17"/>
  <c r="E1812" i="17"/>
  <c r="F1812" i="17"/>
  <c r="B1813" i="17"/>
  <c r="C1813" i="17"/>
  <c r="D1813" i="17"/>
  <c r="E1813" i="17"/>
  <c r="F1813" i="17"/>
  <c r="B1814" i="17"/>
  <c r="C1814" i="17"/>
  <c r="D1814" i="17"/>
  <c r="E1814" i="17"/>
  <c r="F1814" i="17"/>
  <c r="B1815" i="17"/>
  <c r="C1815" i="17"/>
  <c r="D1815" i="17"/>
  <c r="E1815" i="17"/>
  <c r="F1815" i="17"/>
  <c r="B1816" i="17"/>
  <c r="C1816" i="17"/>
  <c r="D1816" i="17"/>
  <c r="E1816" i="17"/>
  <c r="F1816" i="17"/>
  <c r="B1817" i="17"/>
  <c r="C1817" i="17"/>
  <c r="D1817" i="17"/>
  <c r="E1817" i="17"/>
  <c r="F1817" i="17"/>
  <c r="B1818" i="17"/>
  <c r="C1818" i="17"/>
  <c r="D1818" i="17"/>
  <c r="E1818" i="17"/>
  <c r="F1818" i="17"/>
  <c r="B1819" i="17"/>
  <c r="C1819" i="17"/>
  <c r="D1819" i="17"/>
  <c r="E1819" i="17"/>
  <c r="F1819" i="17"/>
  <c r="B1820" i="17"/>
  <c r="C1820" i="17"/>
  <c r="D1820" i="17"/>
  <c r="E1820" i="17"/>
  <c r="F1820" i="17"/>
  <c r="B1821" i="17"/>
  <c r="C1821" i="17"/>
  <c r="D1821" i="17"/>
  <c r="E1821" i="17"/>
  <c r="F1821" i="17"/>
  <c r="B1822" i="17"/>
  <c r="C1822" i="17"/>
  <c r="D1822" i="17"/>
  <c r="E1822" i="17"/>
  <c r="F1822" i="17"/>
  <c r="B1823" i="17"/>
  <c r="C1823" i="17"/>
  <c r="D1823" i="17"/>
  <c r="E1823" i="17"/>
  <c r="F1823" i="17"/>
  <c r="B1824" i="17"/>
  <c r="C1824" i="17"/>
  <c r="D1824" i="17"/>
  <c r="E1824" i="17"/>
  <c r="F1824" i="17"/>
  <c r="B1825" i="17"/>
  <c r="C1825" i="17"/>
  <c r="D1825" i="17"/>
  <c r="E1825" i="17"/>
  <c r="F1825" i="17"/>
  <c r="B1826" i="17"/>
  <c r="C1826" i="17"/>
  <c r="D1826" i="17"/>
  <c r="E1826" i="17"/>
  <c r="F1826" i="17"/>
  <c r="B1827" i="17"/>
  <c r="C1827" i="17"/>
  <c r="D1827" i="17"/>
  <c r="E1827" i="17"/>
  <c r="F1827" i="17"/>
  <c r="B1828" i="17"/>
  <c r="C1828" i="17"/>
  <c r="D1828" i="17"/>
  <c r="E1828" i="17"/>
  <c r="F1828" i="17"/>
  <c r="B1829" i="17"/>
  <c r="C1829" i="17"/>
  <c r="D1829" i="17"/>
  <c r="E1829" i="17"/>
  <c r="F1829" i="17"/>
  <c r="B1830" i="17"/>
  <c r="C1830" i="17"/>
  <c r="D1830" i="17"/>
  <c r="E1830" i="17"/>
  <c r="F1830" i="17"/>
  <c r="B1831" i="17"/>
  <c r="C1831" i="17"/>
  <c r="D1831" i="17"/>
  <c r="E1831" i="17"/>
  <c r="F1831" i="17"/>
  <c r="B1832" i="17"/>
  <c r="C1832" i="17"/>
  <c r="D1832" i="17"/>
  <c r="E1832" i="17"/>
  <c r="F1832" i="17"/>
  <c r="B1833" i="17"/>
  <c r="C1833" i="17"/>
  <c r="D1833" i="17"/>
  <c r="E1833" i="17"/>
  <c r="F1833" i="17"/>
  <c r="B1834" i="17"/>
  <c r="C1834" i="17"/>
  <c r="D1834" i="17"/>
  <c r="E1834" i="17"/>
  <c r="F1834" i="17"/>
  <c r="B1835" i="17"/>
  <c r="C1835" i="17"/>
  <c r="D1835" i="17"/>
  <c r="E1835" i="17"/>
  <c r="F1835" i="17"/>
  <c r="B1836" i="17"/>
  <c r="C1836" i="17"/>
  <c r="D1836" i="17"/>
  <c r="E1836" i="17"/>
  <c r="F1836" i="17"/>
  <c r="B1837" i="17"/>
  <c r="C1837" i="17"/>
  <c r="D1837" i="17"/>
  <c r="E1837" i="17"/>
  <c r="F1837" i="17"/>
  <c r="B1838" i="17"/>
  <c r="C1838" i="17"/>
  <c r="D1838" i="17"/>
  <c r="E1838" i="17"/>
  <c r="F1838" i="17"/>
  <c r="B1839" i="17"/>
  <c r="C1839" i="17"/>
  <c r="D1839" i="17"/>
  <c r="E1839" i="17"/>
  <c r="F1839" i="17"/>
  <c r="B1840" i="17"/>
  <c r="C1840" i="17"/>
  <c r="D1840" i="17"/>
  <c r="E1840" i="17"/>
  <c r="F1840" i="17"/>
  <c r="B1841" i="17"/>
  <c r="C1841" i="17"/>
  <c r="D1841" i="17"/>
  <c r="E1841" i="17"/>
  <c r="F1841" i="17"/>
  <c r="B1842" i="17"/>
  <c r="C1842" i="17"/>
  <c r="D1842" i="17"/>
  <c r="E1842" i="17"/>
  <c r="F1842" i="17"/>
  <c r="B1843" i="17"/>
  <c r="C1843" i="17"/>
  <c r="D1843" i="17"/>
  <c r="E1843" i="17"/>
  <c r="F1843" i="17"/>
  <c r="B1844" i="17"/>
  <c r="C1844" i="17"/>
  <c r="D1844" i="17"/>
  <c r="E1844" i="17"/>
  <c r="F1844" i="17"/>
  <c r="B1845" i="17"/>
  <c r="C1845" i="17"/>
  <c r="D1845" i="17"/>
  <c r="E1845" i="17"/>
  <c r="F1845" i="17"/>
  <c r="B1846" i="17"/>
  <c r="C1846" i="17"/>
  <c r="D1846" i="17"/>
  <c r="E1846" i="17"/>
  <c r="F1846" i="17"/>
  <c r="B1847" i="17"/>
  <c r="C1847" i="17"/>
  <c r="D1847" i="17"/>
  <c r="E1847" i="17"/>
  <c r="F1847" i="17"/>
  <c r="B1848" i="17"/>
  <c r="C1848" i="17"/>
  <c r="D1848" i="17"/>
  <c r="E1848" i="17"/>
  <c r="F1848" i="17"/>
  <c r="B1849" i="17"/>
  <c r="C1849" i="17"/>
  <c r="D1849" i="17"/>
  <c r="E1849" i="17"/>
  <c r="F1849" i="17"/>
  <c r="B1850" i="17"/>
  <c r="C1850" i="17"/>
  <c r="D1850" i="17"/>
  <c r="E1850" i="17"/>
  <c r="F1850" i="17"/>
  <c r="B1851" i="17"/>
  <c r="C1851" i="17"/>
  <c r="D1851" i="17"/>
  <c r="E1851" i="17"/>
  <c r="F1851" i="17"/>
  <c r="B1852" i="17"/>
  <c r="C1852" i="17"/>
  <c r="D1852" i="17"/>
  <c r="E1852" i="17"/>
  <c r="F1852" i="17"/>
  <c r="B1853" i="17"/>
  <c r="C1853" i="17"/>
  <c r="D1853" i="17"/>
  <c r="E1853" i="17"/>
  <c r="F1853" i="17"/>
  <c r="B1854" i="17"/>
  <c r="C1854" i="17"/>
  <c r="D1854" i="17"/>
  <c r="E1854" i="17"/>
  <c r="F1854" i="17"/>
  <c r="B1855" i="17"/>
  <c r="C1855" i="17"/>
  <c r="D1855" i="17"/>
  <c r="E1855" i="17"/>
  <c r="F1855" i="17"/>
  <c r="B1856" i="17"/>
  <c r="C1856" i="17"/>
  <c r="D1856" i="17"/>
  <c r="E1856" i="17"/>
  <c r="F1856" i="17"/>
  <c r="B1857" i="17"/>
  <c r="C1857" i="17"/>
  <c r="D1857" i="17"/>
  <c r="E1857" i="17"/>
  <c r="F1857" i="17"/>
  <c r="B1858" i="17"/>
  <c r="C1858" i="17"/>
  <c r="D1858" i="17"/>
  <c r="E1858" i="17"/>
  <c r="F1858" i="17"/>
  <c r="B1859" i="17"/>
  <c r="C1859" i="17"/>
  <c r="D1859" i="17"/>
  <c r="E1859" i="17"/>
  <c r="F1859" i="17"/>
  <c r="B1860" i="17"/>
  <c r="C1860" i="17"/>
  <c r="D1860" i="17"/>
  <c r="E1860" i="17"/>
  <c r="F1860" i="17"/>
  <c r="B1861" i="17"/>
  <c r="C1861" i="17"/>
  <c r="D1861" i="17"/>
  <c r="E1861" i="17"/>
  <c r="F1861" i="17"/>
  <c r="B1862" i="17"/>
  <c r="C1862" i="17"/>
  <c r="D1862" i="17"/>
  <c r="E1862" i="17"/>
  <c r="F1862" i="17"/>
  <c r="B1863" i="17"/>
  <c r="C1863" i="17"/>
  <c r="D1863" i="17"/>
  <c r="E1863" i="17"/>
  <c r="F1863" i="17"/>
  <c r="B1864" i="17"/>
  <c r="C1864" i="17"/>
  <c r="D1864" i="17"/>
  <c r="E1864" i="17"/>
  <c r="F1864" i="17"/>
  <c r="B1865" i="17"/>
  <c r="C1865" i="17"/>
  <c r="D1865" i="17"/>
  <c r="E1865" i="17"/>
  <c r="F1865" i="17"/>
  <c r="B1866" i="17"/>
  <c r="C1866" i="17"/>
  <c r="D1866" i="17"/>
  <c r="E1866" i="17"/>
  <c r="F1866" i="17"/>
  <c r="B1867" i="17"/>
  <c r="C1867" i="17"/>
  <c r="D1867" i="17"/>
  <c r="E1867" i="17"/>
  <c r="F1867" i="17"/>
  <c r="B1868" i="17"/>
  <c r="C1868" i="17"/>
  <c r="D1868" i="17"/>
  <c r="E1868" i="17"/>
  <c r="F1868" i="17"/>
  <c r="B1869" i="17"/>
  <c r="C1869" i="17"/>
  <c r="D1869" i="17"/>
  <c r="E1869" i="17"/>
  <c r="F1869" i="17"/>
  <c r="B1870" i="17"/>
  <c r="C1870" i="17"/>
  <c r="D1870" i="17"/>
  <c r="E1870" i="17"/>
  <c r="F1870" i="17"/>
  <c r="B1871" i="17"/>
  <c r="C1871" i="17"/>
  <c r="D1871" i="17"/>
  <c r="E1871" i="17"/>
  <c r="F1871" i="17"/>
  <c r="B1872" i="17"/>
  <c r="C1872" i="17"/>
  <c r="D1872" i="17"/>
  <c r="E1872" i="17"/>
  <c r="F1872" i="17"/>
  <c r="B1873" i="17"/>
  <c r="C1873" i="17"/>
  <c r="D1873" i="17"/>
  <c r="E1873" i="17"/>
  <c r="F1873" i="17"/>
  <c r="B1874" i="17"/>
  <c r="C1874" i="17"/>
  <c r="D1874" i="17"/>
  <c r="E1874" i="17"/>
  <c r="F1874" i="17"/>
  <c r="B1875" i="17"/>
  <c r="C1875" i="17"/>
  <c r="D1875" i="17"/>
  <c r="E1875" i="17"/>
  <c r="F1875" i="17"/>
  <c r="B1876" i="17"/>
  <c r="C1876" i="17"/>
  <c r="D1876" i="17"/>
  <c r="E1876" i="17"/>
  <c r="F1876" i="17"/>
  <c r="B1877" i="17"/>
  <c r="C1877" i="17"/>
  <c r="D1877" i="17"/>
  <c r="E1877" i="17"/>
  <c r="F1877" i="17"/>
  <c r="B1878" i="17"/>
  <c r="C1878" i="17"/>
  <c r="D1878" i="17"/>
  <c r="E1878" i="17"/>
  <c r="F1878" i="17"/>
  <c r="B1879" i="17"/>
  <c r="C1879" i="17"/>
  <c r="D1879" i="17"/>
  <c r="E1879" i="17"/>
  <c r="F1879" i="17"/>
  <c r="B1880" i="17"/>
  <c r="C1880" i="17"/>
  <c r="D1880" i="17"/>
  <c r="E1880" i="17"/>
  <c r="F1880" i="17"/>
  <c r="B1881" i="17"/>
  <c r="C1881" i="17"/>
  <c r="D1881" i="17"/>
  <c r="E1881" i="17"/>
  <c r="F1881" i="17"/>
  <c r="B1882" i="17"/>
  <c r="C1882" i="17"/>
  <c r="D1882" i="17"/>
  <c r="E1882" i="17"/>
  <c r="F1882" i="17"/>
  <c r="B1883" i="17"/>
  <c r="C1883" i="17"/>
  <c r="D1883" i="17"/>
  <c r="E1883" i="17"/>
  <c r="F1883" i="17"/>
  <c r="B1884" i="17"/>
  <c r="C1884" i="17"/>
  <c r="D1884" i="17"/>
  <c r="E1884" i="17"/>
  <c r="F1884" i="17"/>
  <c r="B1885" i="17"/>
  <c r="C1885" i="17"/>
  <c r="D1885" i="17"/>
  <c r="E1885" i="17"/>
  <c r="F1885" i="17"/>
  <c r="B1886" i="17"/>
  <c r="C1886" i="17"/>
  <c r="D1886" i="17"/>
  <c r="E1886" i="17"/>
  <c r="F1886" i="17"/>
  <c r="B1887" i="17"/>
  <c r="C1887" i="17"/>
  <c r="D1887" i="17"/>
  <c r="E1887" i="17"/>
  <c r="F1887" i="17"/>
  <c r="B1888" i="17"/>
  <c r="C1888" i="17"/>
  <c r="D1888" i="17"/>
  <c r="E1888" i="17"/>
  <c r="F1888" i="17"/>
  <c r="B1889" i="17"/>
  <c r="C1889" i="17"/>
  <c r="D1889" i="17"/>
  <c r="E1889" i="17"/>
  <c r="F1889" i="17"/>
  <c r="B1890" i="17"/>
  <c r="C1890" i="17"/>
  <c r="D1890" i="17"/>
  <c r="E1890" i="17"/>
  <c r="F1890" i="17"/>
  <c r="B1891" i="17"/>
  <c r="C1891" i="17"/>
  <c r="D1891" i="17"/>
  <c r="E1891" i="17"/>
  <c r="F1891" i="17"/>
  <c r="B1892" i="17"/>
  <c r="C1892" i="17"/>
  <c r="D1892" i="17"/>
  <c r="E1892" i="17"/>
  <c r="F1892" i="17"/>
  <c r="B1893" i="17"/>
  <c r="C1893" i="17"/>
  <c r="D1893" i="17"/>
  <c r="E1893" i="17"/>
  <c r="F1893" i="17"/>
  <c r="B1894" i="17"/>
  <c r="C1894" i="17"/>
  <c r="D1894" i="17"/>
  <c r="E1894" i="17"/>
  <c r="F1894" i="17"/>
  <c r="B1895" i="17"/>
  <c r="C1895" i="17"/>
  <c r="D1895" i="17"/>
  <c r="E1895" i="17"/>
  <c r="F1895" i="17"/>
  <c r="B1896" i="17"/>
  <c r="C1896" i="17"/>
  <c r="D1896" i="17"/>
  <c r="E1896" i="17"/>
  <c r="F1896" i="17"/>
  <c r="B1897" i="17"/>
  <c r="C1897" i="17"/>
  <c r="D1897" i="17"/>
  <c r="E1897" i="17"/>
  <c r="F1897" i="17"/>
  <c r="B1898" i="17"/>
  <c r="C1898" i="17"/>
  <c r="D1898" i="17"/>
  <c r="E1898" i="17"/>
  <c r="F1898" i="17"/>
  <c r="B1899" i="17"/>
  <c r="C1899" i="17"/>
  <c r="D1899" i="17"/>
  <c r="E1899" i="17"/>
  <c r="F1899" i="17"/>
  <c r="B1900" i="17"/>
  <c r="C1900" i="17"/>
  <c r="D1900" i="17"/>
  <c r="E1900" i="17"/>
  <c r="F1900" i="17"/>
  <c r="B1901" i="17"/>
  <c r="C1901" i="17"/>
  <c r="D1901" i="17"/>
  <c r="E1901" i="17"/>
  <c r="F1901" i="17"/>
  <c r="B1902" i="17"/>
  <c r="C1902" i="17"/>
  <c r="D1902" i="17"/>
  <c r="E1902" i="17"/>
  <c r="F1902" i="17"/>
  <c r="B1903" i="17"/>
  <c r="C1903" i="17"/>
  <c r="D1903" i="17"/>
  <c r="E1903" i="17"/>
  <c r="F1903" i="17"/>
  <c r="B1904" i="17"/>
  <c r="C1904" i="17"/>
  <c r="D1904" i="17"/>
  <c r="E1904" i="17"/>
  <c r="F1904" i="17"/>
  <c r="B1905" i="17"/>
  <c r="C1905" i="17"/>
  <c r="D1905" i="17"/>
  <c r="E1905" i="17"/>
  <c r="F1905" i="17"/>
  <c r="B1906" i="17"/>
  <c r="C1906" i="17"/>
  <c r="D1906" i="17"/>
  <c r="E1906" i="17"/>
  <c r="F1906" i="17"/>
  <c r="B1907" i="17"/>
  <c r="C1907" i="17"/>
  <c r="D1907" i="17"/>
  <c r="E1907" i="17"/>
  <c r="F1907" i="17"/>
  <c r="B1908" i="17"/>
  <c r="C1908" i="17"/>
  <c r="D1908" i="17"/>
  <c r="E1908" i="17"/>
  <c r="F1908" i="17"/>
  <c r="B1909" i="17"/>
  <c r="C1909" i="17"/>
  <c r="D1909" i="17"/>
  <c r="E1909" i="17"/>
  <c r="F1909" i="17"/>
  <c r="B1910" i="17"/>
  <c r="C1910" i="17"/>
  <c r="D1910" i="17"/>
  <c r="E1910" i="17"/>
  <c r="F1910" i="17"/>
  <c r="B1911" i="17"/>
  <c r="C1911" i="17"/>
  <c r="D1911" i="17"/>
  <c r="E1911" i="17"/>
  <c r="F1911" i="17"/>
  <c r="B1912" i="17"/>
  <c r="C1912" i="17"/>
  <c r="D1912" i="17"/>
  <c r="E1912" i="17"/>
  <c r="F1912" i="17"/>
  <c r="B1913" i="17"/>
  <c r="C1913" i="17"/>
  <c r="D1913" i="17"/>
  <c r="E1913" i="17"/>
  <c r="F1913" i="17"/>
  <c r="B1914" i="17"/>
  <c r="C1914" i="17"/>
  <c r="D1914" i="17"/>
  <c r="E1914" i="17"/>
  <c r="F1914" i="17"/>
  <c r="B1915" i="17"/>
  <c r="C1915" i="17"/>
  <c r="D1915" i="17"/>
  <c r="E1915" i="17"/>
  <c r="F1915" i="17"/>
  <c r="B1916" i="17"/>
  <c r="C1916" i="17"/>
  <c r="D1916" i="17"/>
  <c r="E1916" i="17"/>
  <c r="F1916" i="17"/>
  <c r="B1917" i="17"/>
  <c r="C1917" i="17"/>
  <c r="D1917" i="17"/>
  <c r="E1917" i="17"/>
  <c r="F1917" i="17"/>
  <c r="B1918" i="17"/>
  <c r="C1918" i="17"/>
  <c r="D1918" i="17"/>
  <c r="E1918" i="17"/>
  <c r="F1918" i="17"/>
  <c r="B1919" i="17"/>
  <c r="C1919" i="17"/>
  <c r="D1919" i="17"/>
  <c r="E1919" i="17"/>
  <c r="F1919" i="17"/>
  <c r="B1920" i="17"/>
  <c r="C1920" i="17"/>
  <c r="D1920" i="17"/>
  <c r="E1920" i="17"/>
  <c r="F1920" i="17"/>
  <c r="B1921" i="17"/>
  <c r="C1921" i="17"/>
  <c r="D1921" i="17"/>
  <c r="E1921" i="17"/>
  <c r="F1921" i="17"/>
  <c r="B1922" i="17"/>
  <c r="C1922" i="17"/>
  <c r="D1922" i="17"/>
  <c r="E1922" i="17"/>
  <c r="F1922" i="17"/>
  <c r="B1923" i="17"/>
  <c r="C1923" i="17"/>
  <c r="D1923" i="17"/>
  <c r="E1923" i="17"/>
  <c r="F1923" i="17"/>
  <c r="B1924" i="17"/>
  <c r="C1924" i="17"/>
  <c r="D1924" i="17"/>
  <c r="E1924" i="17"/>
  <c r="F1924" i="17"/>
  <c r="B1925" i="17"/>
  <c r="C1925" i="17"/>
  <c r="D1925" i="17"/>
  <c r="E1925" i="17"/>
  <c r="F1925" i="17"/>
  <c r="B1926" i="17"/>
  <c r="C1926" i="17"/>
  <c r="D1926" i="17"/>
  <c r="E1926" i="17"/>
  <c r="F1926" i="17"/>
  <c r="B1927" i="17"/>
  <c r="C1927" i="17"/>
  <c r="D1927" i="17"/>
  <c r="E1927" i="17"/>
  <c r="F1927" i="17"/>
  <c r="B1928" i="17"/>
  <c r="C1928" i="17"/>
  <c r="D1928" i="17"/>
  <c r="E1928" i="17"/>
  <c r="F1928" i="17"/>
  <c r="B1929" i="17"/>
  <c r="C1929" i="17"/>
  <c r="D1929" i="17"/>
  <c r="E1929" i="17"/>
  <c r="F1929" i="17"/>
  <c r="B1930" i="17"/>
  <c r="C1930" i="17"/>
  <c r="D1930" i="17"/>
  <c r="E1930" i="17"/>
  <c r="F1930" i="17"/>
  <c r="B1931" i="17"/>
  <c r="C1931" i="17"/>
  <c r="D1931" i="17"/>
  <c r="E1931" i="17"/>
  <c r="F1931" i="17"/>
  <c r="B1932" i="17"/>
  <c r="C1932" i="17"/>
  <c r="D1932" i="17"/>
  <c r="E1932" i="17"/>
  <c r="F1932" i="17"/>
  <c r="B1933" i="17"/>
  <c r="C1933" i="17"/>
  <c r="D1933" i="17"/>
  <c r="E1933" i="17"/>
  <c r="F1933" i="17"/>
  <c r="B1934" i="17"/>
  <c r="C1934" i="17"/>
  <c r="D1934" i="17"/>
  <c r="E1934" i="17"/>
  <c r="F1934" i="17"/>
  <c r="B1935" i="17"/>
  <c r="C1935" i="17"/>
  <c r="D1935" i="17"/>
  <c r="E1935" i="17"/>
  <c r="F1935" i="17"/>
  <c r="B1936" i="17"/>
  <c r="C1936" i="17"/>
  <c r="D1936" i="17"/>
  <c r="E1936" i="17"/>
  <c r="F1936" i="17"/>
  <c r="B1937" i="17"/>
  <c r="C1937" i="17"/>
  <c r="D1937" i="17"/>
  <c r="E1937" i="17"/>
  <c r="F1937" i="17"/>
  <c r="B1938" i="17"/>
  <c r="C1938" i="17"/>
  <c r="D1938" i="17"/>
  <c r="E1938" i="17"/>
  <c r="F1938" i="17"/>
  <c r="B1939" i="17"/>
  <c r="C1939" i="17"/>
  <c r="D1939" i="17"/>
  <c r="E1939" i="17"/>
  <c r="F1939" i="17"/>
  <c r="B1940" i="17"/>
  <c r="C1940" i="17"/>
  <c r="D1940" i="17"/>
  <c r="E1940" i="17"/>
  <c r="F1940" i="17"/>
  <c r="B1941" i="17"/>
  <c r="C1941" i="17"/>
  <c r="D1941" i="17"/>
  <c r="E1941" i="17"/>
  <c r="F1941" i="17"/>
  <c r="B1942" i="17"/>
  <c r="C1942" i="17"/>
  <c r="D1942" i="17"/>
  <c r="E1942" i="17"/>
  <c r="F1942" i="17"/>
  <c r="B1943" i="17"/>
  <c r="C1943" i="17"/>
  <c r="D1943" i="17"/>
  <c r="E1943" i="17"/>
  <c r="F1943" i="17"/>
  <c r="B1944" i="17"/>
  <c r="C1944" i="17"/>
  <c r="D1944" i="17"/>
  <c r="E1944" i="17"/>
  <c r="F1944" i="17"/>
  <c r="B1945" i="17"/>
  <c r="C1945" i="17"/>
  <c r="D1945" i="17"/>
  <c r="E1945" i="17"/>
  <c r="F1945" i="17"/>
  <c r="B1946" i="17"/>
  <c r="C1946" i="17"/>
  <c r="D1946" i="17"/>
  <c r="E1946" i="17"/>
  <c r="F1946" i="17"/>
  <c r="B1947" i="17"/>
  <c r="C1947" i="17"/>
  <c r="D1947" i="17"/>
  <c r="E1947" i="17"/>
  <c r="F1947" i="17"/>
  <c r="B1948" i="17"/>
  <c r="C1948" i="17"/>
  <c r="D1948" i="17"/>
  <c r="E1948" i="17"/>
  <c r="F1948" i="17"/>
  <c r="B1949" i="17"/>
  <c r="C1949" i="17"/>
  <c r="D1949" i="17"/>
  <c r="E1949" i="17"/>
  <c r="F1949" i="17"/>
  <c r="B1950" i="17"/>
  <c r="C1950" i="17"/>
  <c r="D1950" i="17"/>
  <c r="E1950" i="17"/>
  <c r="F1950" i="17"/>
  <c r="B1951" i="17"/>
  <c r="C1951" i="17"/>
  <c r="D1951" i="17"/>
  <c r="E1951" i="17"/>
  <c r="F1951" i="17"/>
  <c r="B1952" i="17"/>
  <c r="C1952" i="17"/>
  <c r="D1952" i="17"/>
  <c r="E1952" i="17"/>
  <c r="F1952" i="17"/>
  <c r="B1953" i="17"/>
  <c r="C1953" i="17"/>
  <c r="D1953" i="17"/>
  <c r="E1953" i="17"/>
  <c r="F1953" i="17"/>
  <c r="B1954" i="17"/>
  <c r="C1954" i="17"/>
  <c r="D1954" i="17"/>
  <c r="E1954" i="17"/>
  <c r="F1954" i="17"/>
  <c r="B1955" i="17"/>
  <c r="C1955" i="17"/>
  <c r="D1955" i="17"/>
  <c r="E1955" i="17"/>
  <c r="F1955" i="17"/>
  <c r="B1956" i="17"/>
  <c r="C1956" i="17"/>
  <c r="D1956" i="17"/>
  <c r="E1956" i="17"/>
  <c r="F1956" i="17"/>
  <c r="B1957" i="17"/>
  <c r="C1957" i="17"/>
  <c r="D1957" i="17"/>
  <c r="E1957" i="17"/>
  <c r="F1957" i="17"/>
  <c r="B1958" i="17"/>
  <c r="C1958" i="17"/>
  <c r="D1958" i="17"/>
  <c r="E1958" i="17"/>
  <c r="F1958" i="17"/>
  <c r="B1959" i="17"/>
  <c r="C1959" i="17"/>
  <c r="D1959" i="17"/>
  <c r="E1959" i="17"/>
  <c r="F1959" i="17"/>
  <c r="B1960" i="17"/>
  <c r="C1960" i="17"/>
  <c r="D1960" i="17"/>
  <c r="E1960" i="17"/>
  <c r="F1960" i="17"/>
  <c r="B1961" i="17"/>
  <c r="C1961" i="17"/>
  <c r="D1961" i="17"/>
  <c r="E1961" i="17"/>
  <c r="F1961" i="17"/>
  <c r="B1962" i="17"/>
  <c r="C1962" i="17"/>
  <c r="D1962" i="17"/>
  <c r="E1962" i="17"/>
  <c r="F1962" i="17"/>
  <c r="B1963" i="17"/>
  <c r="C1963" i="17"/>
  <c r="D1963" i="17"/>
  <c r="E1963" i="17"/>
  <c r="F1963" i="17"/>
  <c r="B1964" i="17"/>
  <c r="C1964" i="17"/>
  <c r="D1964" i="17"/>
  <c r="E1964" i="17"/>
  <c r="F1964" i="17"/>
  <c r="B1965" i="17"/>
  <c r="C1965" i="17"/>
  <c r="D1965" i="17"/>
  <c r="E1965" i="17"/>
  <c r="F1965" i="17"/>
  <c r="B1966" i="17"/>
  <c r="C1966" i="17"/>
  <c r="D1966" i="17"/>
  <c r="E1966" i="17"/>
  <c r="F1966" i="17"/>
  <c r="B1967" i="17"/>
  <c r="C1967" i="17"/>
  <c r="D1967" i="17"/>
  <c r="E1967" i="17"/>
  <c r="F1967" i="17"/>
  <c r="B1968" i="17"/>
  <c r="C1968" i="17"/>
  <c r="D1968" i="17"/>
  <c r="E1968" i="17"/>
  <c r="F1968" i="17"/>
  <c r="B1969" i="17"/>
  <c r="C1969" i="17"/>
  <c r="D1969" i="17"/>
  <c r="E1969" i="17"/>
  <c r="F1969" i="17"/>
  <c r="B1970" i="17"/>
  <c r="C1970" i="17"/>
  <c r="D1970" i="17"/>
  <c r="E1970" i="17"/>
  <c r="F1970" i="17"/>
  <c r="B1971" i="17"/>
  <c r="C1971" i="17"/>
  <c r="D1971" i="17"/>
  <c r="E1971" i="17"/>
  <c r="F1971" i="17"/>
  <c r="B1972" i="17"/>
  <c r="C1972" i="17"/>
  <c r="D1972" i="17"/>
  <c r="E1972" i="17"/>
  <c r="F1972" i="17"/>
  <c r="B1973" i="17"/>
  <c r="C1973" i="17"/>
  <c r="D1973" i="17"/>
  <c r="E1973" i="17"/>
  <c r="F1973" i="17"/>
  <c r="B1974" i="17"/>
  <c r="C1974" i="17"/>
  <c r="D1974" i="17"/>
  <c r="E1974" i="17"/>
  <c r="F1974" i="17"/>
  <c r="B1975" i="17"/>
  <c r="C1975" i="17"/>
  <c r="D1975" i="17"/>
  <c r="E1975" i="17"/>
  <c r="F1975" i="17"/>
  <c r="B1976" i="17"/>
  <c r="C1976" i="17"/>
  <c r="D1976" i="17"/>
  <c r="E1976" i="17"/>
  <c r="F1976" i="17"/>
  <c r="B1977" i="17"/>
  <c r="C1977" i="17"/>
  <c r="D1977" i="17"/>
  <c r="E1977" i="17"/>
  <c r="F1977" i="17"/>
  <c r="B1978" i="17"/>
  <c r="C1978" i="17"/>
  <c r="D1978" i="17"/>
  <c r="E1978" i="17"/>
  <c r="F1978" i="17"/>
  <c r="B1979" i="17"/>
  <c r="C1979" i="17"/>
  <c r="D1979" i="17"/>
  <c r="E1979" i="17"/>
  <c r="F1979" i="17"/>
  <c r="B1980" i="17"/>
  <c r="C1980" i="17"/>
  <c r="D1980" i="17"/>
  <c r="E1980" i="17"/>
  <c r="F1980" i="17"/>
  <c r="B1981" i="17"/>
  <c r="C1981" i="17"/>
  <c r="D1981" i="17"/>
  <c r="E1981" i="17"/>
  <c r="F1981" i="17"/>
  <c r="B1982" i="17"/>
  <c r="C1982" i="17"/>
  <c r="D1982" i="17"/>
  <c r="E1982" i="17"/>
  <c r="F1982" i="17"/>
  <c r="B1983" i="17"/>
  <c r="C1983" i="17"/>
  <c r="D1983" i="17"/>
  <c r="E1983" i="17"/>
  <c r="F1983" i="17"/>
  <c r="B1984" i="17"/>
  <c r="C1984" i="17"/>
  <c r="D1984" i="17"/>
  <c r="E1984" i="17"/>
  <c r="F1984" i="17"/>
  <c r="B1985" i="17"/>
  <c r="C1985" i="17"/>
  <c r="D1985" i="17"/>
  <c r="E1985" i="17"/>
  <c r="F1985" i="17"/>
  <c r="B1986" i="17"/>
  <c r="C1986" i="17"/>
  <c r="D1986" i="17"/>
  <c r="E1986" i="17"/>
  <c r="F1986" i="17"/>
  <c r="B1987" i="17"/>
  <c r="C1987" i="17"/>
  <c r="D1987" i="17"/>
  <c r="E1987" i="17"/>
  <c r="F1987" i="17"/>
  <c r="B1988" i="17"/>
  <c r="C1988" i="17"/>
  <c r="D1988" i="17"/>
  <c r="E1988" i="17"/>
  <c r="F1988" i="17"/>
  <c r="B1989" i="17"/>
  <c r="C1989" i="17"/>
  <c r="D1989" i="17"/>
  <c r="E1989" i="17"/>
  <c r="F1989" i="17"/>
  <c r="B1990" i="17"/>
  <c r="C1990" i="17"/>
  <c r="D1990" i="17"/>
  <c r="E1990" i="17"/>
  <c r="F1990" i="17"/>
  <c r="B1991" i="17"/>
  <c r="C1991" i="17"/>
  <c r="D1991" i="17"/>
  <c r="E1991" i="17"/>
  <c r="F1991" i="17"/>
  <c r="B1992" i="17"/>
  <c r="C1992" i="17"/>
  <c r="D1992" i="17"/>
  <c r="E1992" i="17"/>
  <c r="F1992" i="17"/>
  <c r="B1993" i="17"/>
  <c r="C1993" i="17"/>
  <c r="D1993" i="17"/>
  <c r="E1993" i="17"/>
  <c r="F1993" i="17"/>
  <c r="B1994" i="17"/>
  <c r="C1994" i="17"/>
  <c r="D1994" i="17"/>
  <c r="E1994" i="17"/>
  <c r="F1994" i="17"/>
  <c r="B1995" i="17"/>
  <c r="C1995" i="17"/>
  <c r="D1995" i="17"/>
  <c r="E1995" i="17"/>
  <c r="F1995" i="17"/>
  <c r="B1996" i="17"/>
  <c r="C1996" i="17"/>
  <c r="D1996" i="17"/>
  <c r="E1996" i="17"/>
  <c r="F1996" i="17"/>
  <c r="B1997" i="17"/>
  <c r="C1997" i="17"/>
  <c r="D1997" i="17"/>
  <c r="E1997" i="17"/>
  <c r="F1997" i="17"/>
  <c r="B1998" i="17"/>
  <c r="C1998" i="17"/>
  <c r="D1998" i="17"/>
  <c r="E1998" i="17"/>
  <c r="F1998" i="17"/>
  <c r="B1999" i="17"/>
  <c r="C1999" i="17"/>
  <c r="D1999" i="17"/>
  <c r="E1999" i="17"/>
  <c r="F1999" i="17"/>
  <c r="B2000" i="17"/>
  <c r="C2000" i="17"/>
  <c r="D2000" i="17"/>
  <c r="E2000" i="17"/>
  <c r="F2000" i="17"/>
  <c r="B2001" i="17"/>
  <c r="C2001" i="17"/>
  <c r="D2001" i="17"/>
  <c r="E2001" i="17"/>
  <c r="F2001" i="17"/>
  <c r="B2002" i="17"/>
  <c r="C2002" i="17"/>
  <c r="D2002" i="17"/>
  <c r="E2002" i="17"/>
  <c r="F2002" i="17"/>
  <c r="B2003" i="17"/>
  <c r="C2003" i="17"/>
  <c r="D2003" i="17"/>
  <c r="E2003" i="17"/>
  <c r="F2003" i="17"/>
  <c r="B2004" i="17"/>
  <c r="C2004" i="17"/>
  <c r="D2004" i="17"/>
  <c r="E2004" i="17"/>
  <c r="F2004" i="17"/>
  <c r="B2005" i="17"/>
  <c r="C2005" i="17"/>
  <c r="D2005" i="17"/>
  <c r="E2005" i="17"/>
  <c r="F2005" i="17"/>
  <c r="B2006" i="17"/>
  <c r="C2006" i="17"/>
  <c r="D2006" i="17"/>
  <c r="E2006" i="17"/>
  <c r="F2006" i="17"/>
  <c r="B2007" i="17"/>
  <c r="C2007" i="17"/>
  <c r="D2007" i="17"/>
  <c r="E2007" i="17"/>
  <c r="F2007" i="17"/>
  <c r="B2008" i="17"/>
  <c r="C2008" i="17"/>
  <c r="D2008" i="17"/>
  <c r="E2008" i="17"/>
  <c r="F2008" i="17"/>
  <c r="B2009" i="17"/>
  <c r="C2009" i="17"/>
  <c r="D2009" i="17"/>
  <c r="E2009" i="17"/>
  <c r="F2009" i="17"/>
  <c r="B2010" i="17"/>
  <c r="C2010" i="17"/>
  <c r="D2010" i="17"/>
  <c r="E2010" i="17"/>
  <c r="F2010" i="17"/>
  <c r="B2011" i="17"/>
  <c r="C2011" i="17"/>
  <c r="D2011" i="17"/>
  <c r="E2011" i="17"/>
  <c r="F2011" i="17"/>
  <c r="B2012" i="17"/>
  <c r="C2012" i="17"/>
  <c r="D2012" i="17"/>
  <c r="E2012" i="17"/>
  <c r="F2012" i="17"/>
  <c r="B2013" i="17"/>
  <c r="C2013" i="17"/>
  <c r="D2013" i="17"/>
  <c r="E2013" i="17"/>
  <c r="F2013" i="17"/>
  <c r="B2014" i="17"/>
  <c r="C2014" i="17"/>
  <c r="D2014" i="17"/>
  <c r="E2014" i="17"/>
  <c r="F2014" i="17"/>
  <c r="B2015" i="17"/>
  <c r="C2015" i="17"/>
  <c r="D2015" i="17"/>
  <c r="E2015" i="17"/>
  <c r="F2015" i="17"/>
  <c r="B2016" i="17"/>
  <c r="C2016" i="17"/>
  <c r="D2016" i="17"/>
  <c r="E2016" i="17"/>
  <c r="F2016" i="17"/>
  <c r="B2017" i="17"/>
  <c r="C2017" i="17"/>
  <c r="D2017" i="17"/>
  <c r="E2017" i="17"/>
  <c r="F2017" i="17"/>
  <c r="B2018" i="17"/>
  <c r="C2018" i="17"/>
  <c r="D2018" i="17"/>
  <c r="E2018" i="17"/>
  <c r="F2018" i="17"/>
  <c r="B2019" i="17"/>
  <c r="C2019" i="17"/>
  <c r="D2019" i="17"/>
  <c r="E2019" i="17"/>
  <c r="F2019" i="17"/>
  <c r="B2020" i="17"/>
  <c r="C2020" i="17"/>
  <c r="D2020" i="17"/>
  <c r="E2020" i="17"/>
  <c r="F2020" i="17"/>
  <c r="B2021" i="17"/>
  <c r="C2021" i="17"/>
  <c r="D2021" i="17"/>
  <c r="E2021" i="17"/>
  <c r="F2021" i="17"/>
  <c r="B2022" i="17"/>
  <c r="C2022" i="17"/>
  <c r="D2022" i="17"/>
  <c r="E2022" i="17"/>
  <c r="F2022" i="17"/>
  <c r="B2023" i="17"/>
  <c r="C2023" i="17"/>
  <c r="D2023" i="17"/>
  <c r="E2023" i="17"/>
  <c r="F2023" i="17"/>
  <c r="B2024" i="17"/>
  <c r="C2024" i="17"/>
  <c r="D2024" i="17"/>
  <c r="E2024" i="17"/>
  <c r="F2024" i="17"/>
  <c r="B2025" i="17"/>
  <c r="C2025" i="17"/>
  <c r="D2025" i="17"/>
  <c r="E2025" i="17"/>
  <c r="F2025" i="17"/>
  <c r="B2026" i="17"/>
  <c r="C2026" i="17"/>
  <c r="D2026" i="17"/>
  <c r="E2026" i="17"/>
  <c r="F2026" i="17"/>
  <c r="B2027" i="17"/>
  <c r="C2027" i="17"/>
  <c r="D2027" i="17"/>
  <c r="E2027" i="17"/>
  <c r="F2027" i="17"/>
  <c r="B2058" i="17"/>
  <c r="C2058" i="17"/>
  <c r="D2058" i="17"/>
  <c r="E2058" i="17"/>
  <c r="F2058" i="17"/>
  <c r="B2059" i="17"/>
  <c r="C2059" i="17"/>
  <c r="D2059" i="17"/>
  <c r="E2059" i="17"/>
  <c r="F2059" i="17"/>
  <c r="B2060" i="17"/>
  <c r="C2060" i="17"/>
  <c r="D2060" i="17"/>
  <c r="E2060" i="17"/>
  <c r="F2060" i="17"/>
  <c r="B2061" i="17"/>
  <c r="C2061" i="17"/>
  <c r="D2061" i="17"/>
  <c r="E2061" i="17"/>
  <c r="F2061" i="17"/>
  <c r="B2062" i="17"/>
  <c r="C2062" i="17"/>
  <c r="D2062" i="17"/>
  <c r="E2062" i="17"/>
  <c r="F2062" i="17"/>
  <c r="B2063" i="17"/>
  <c r="C2063" i="17"/>
  <c r="D2063" i="17"/>
  <c r="E2063" i="17"/>
  <c r="F2063" i="17"/>
  <c r="B2064" i="17"/>
  <c r="C2064" i="17"/>
  <c r="D2064" i="17"/>
  <c r="E2064" i="17"/>
  <c r="F2064" i="17"/>
  <c r="B2065" i="17"/>
  <c r="C2065" i="17"/>
  <c r="D2065" i="17"/>
  <c r="E2065" i="17"/>
  <c r="F2065" i="17"/>
  <c r="B2066" i="17"/>
  <c r="C2066" i="17"/>
  <c r="D2066" i="17"/>
  <c r="E2066" i="17"/>
  <c r="F2066" i="17"/>
  <c r="B2067" i="17"/>
  <c r="C2067" i="17"/>
  <c r="D2067" i="17"/>
  <c r="E2067" i="17"/>
  <c r="F2067" i="17"/>
  <c r="B2068" i="17"/>
  <c r="C2068" i="17"/>
  <c r="D2068" i="17"/>
  <c r="E2068" i="17"/>
  <c r="F2068" i="17"/>
  <c r="B2069" i="17"/>
  <c r="C2069" i="17"/>
  <c r="D2069" i="17"/>
  <c r="E2069" i="17"/>
  <c r="F2069" i="17"/>
  <c r="B2070" i="17"/>
  <c r="C2070" i="17"/>
  <c r="D2070" i="17"/>
  <c r="E2070" i="17"/>
  <c r="F2070" i="17"/>
  <c r="B2071" i="17"/>
  <c r="C2071" i="17"/>
  <c r="D2071" i="17"/>
  <c r="E2071" i="17"/>
  <c r="F2071" i="17"/>
  <c r="B2072" i="17"/>
  <c r="C2072" i="17"/>
  <c r="D2072" i="17"/>
  <c r="E2072" i="17"/>
  <c r="F2072" i="17"/>
  <c r="B2073" i="17"/>
  <c r="C2073" i="17"/>
  <c r="D2073" i="17"/>
  <c r="E2073" i="17"/>
  <c r="F2073" i="17"/>
  <c r="B2074" i="17"/>
  <c r="C2074" i="17"/>
  <c r="D2074" i="17"/>
  <c r="E2074" i="17"/>
  <c r="F2074" i="17"/>
  <c r="B2075" i="17"/>
  <c r="C2075" i="17"/>
  <c r="D2075" i="17"/>
  <c r="E2075" i="17"/>
  <c r="F2075" i="17"/>
  <c r="B2076" i="17"/>
  <c r="C2076" i="17"/>
  <c r="D2076" i="17"/>
  <c r="E2076" i="17"/>
  <c r="F2076" i="17"/>
  <c r="B2077" i="17"/>
  <c r="C2077" i="17"/>
  <c r="D2077" i="17"/>
  <c r="E2077" i="17"/>
  <c r="F2077" i="17"/>
  <c r="B2078" i="17"/>
  <c r="C2078" i="17"/>
  <c r="D2078" i="17"/>
  <c r="E2078" i="17"/>
  <c r="F2078" i="17"/>
  <c r="B2079" i="17"/>
  <c r="C2079" i="17"/>
  <c r="D2079" i="17"/>
  <c r="E2079" i="17"/>
  <c r="F2079" i="17"/>
  <c r="B2080" i="17"/>
  <c r="C2080" i="17"/>
  <c r="D2080" i="17"/>
  <c r="E2080" i="17"/>
  <c r="F2080" i="17"/>
  <c r="B2081" i="17"/>
  <c r="C2081" i="17"/>
  <c r="D2081" i="17"/>
  <c r="E2081" i="17"/>
  <c r="F2081" i="17"/>
  <c r="B2082" i="17"/>
  <c r="C2082" i="17"/>
  <c r="D2082" i="17"/>
  <c r="E2082" i="17"/>
  <c r="F2082" i="17"/>
  <c r="B2083" i="17"/>
  <c r="C2083" i="17"/>
  <c r="D2083" i="17"/>
  <c r="E2083" i="17"/>
  <c r="F2083" i="17"/>
  <c r="B2084" i="17"/>
  <c r="C2084" i="17"/>
  <c r="D2084" i="17"/>
  <c r="E2084" i="17"/>
  <c r="F2084" i="17"/>
  <c r="B2085" i="17"/>
  <c r="C2085" i="17"/>
  <c r="D2085" i="17"/>
  <c r="E2085" i="17"/>
  <c r="F2085" i="17"/>
  <c r="B2086" i="17"/>
  <c r="C2086" i="17"/>
  <c r="D2086" i="17"/>
  <c r="E2086" i="17"/>
  <c r="F2086" i="17"/>
  <c r="B2087" i="17"/>
  <c r="C2087" i="17"/>
  <c r="D2087" i="17"/>
  <c r="E2087" i="17"/>
  <c r="F2087" i="17"/>
  <c r="B2088" i="17"/>
  <c r="C2088" i="17"/>
  <c r="D2088" i="17"/>
  <c r="E2088" i="17"/>
  <c r="F2088" i="17"/>
  <c r="B2089" i="17"/>
  <c r="C2089" i="17"/>
  <c r="D2089" i="17"/>
  <c r="E2089" i="17"/>
  <c r="F2089" i="17"/>
  <c r="B2090" i="17"/>
  <c r="C2090" i="17"/>
  <c r="D2090" i="17"/>
  <c r="E2090" i="17"/>
  <c r="F2090" i="17"/>
  <c r="B2091" i="17"/>
  <c r="C2091" i="17"/>
  <c r="D2091" i="17"/>
  <c r="E2091" i="17"/>
  <c r="F2091" i="17"/>
  <c r="B2092" i="17"/>
  <c r="C2092" i="17"/>
  <c r="D2092" i="17"/>
  <c r="E2092" i="17"/>
  <c r="F2092" i="17"/>
  <c r="B2093" i="17"/>
  <c r="C2093" i="17"/>
  <c r="D2093" i="17"/>
  <c r="E2093" i="17"/>
  <c r="F2093" i="17"/>
  <c r="B2094" i="17"/>
  <c r="C2094" i="17"/>
  <c r="D2094" i="17"/>
  <c r="E2094" i="17"/>
  <c r="F2094" i="17"/>
  <c r="B2095" i="17"/>
  <c r="C2095" i="17"/>
  <c r="D2095" i="17"/>
  <c r="E2095" i="17"/>
  <c r="F2095" i="17"/>
  <c r="B2096" i="17"/>
  <c r="C2096" i="17"/>
  <c r="D2096" i="17"/>
  <c r="E2096" i="17"/>
  <c r="F2096" i="17"/>
  <c r="B2097" i="17"/>
  <c r="C2097" i="17"/>
  <c r="D2097" i="17"/>
  <c r="E2097" i="17"/>
  <c r="F2097" i="17"/>
  <c r="B2098" i="17"/>
  <c r="C2098" i="17"/>
  <c r="D2098" i="17"/>
  <c r="E2098" i="17"/>
  <c r="F2098" i="17"/>
  <c r="B2099" i="17"/>
  <c r="C2099" i="17"/>
  <c r="D2099" i="17"/>
  <c r="E2099" i="17"/>
  <c r="F2099" i="17"/>
  <c r="B2100" i="17"/>
  <c r="C2100" i="17"/>
  <c r="D2100" i="17"/>
  <c r="E2100" i="17"/>
  <c r="F2100" i="17"/>
  <c r="B2101" i="17"/>
  <c r="C2101" i="17"/>
  <c r="D2101" i="17"/>
  <c r="E2101" i="17"/>
  <c r="F2101" i="17"/>
  <c r="B2102" i="17"/>
  <c r="C2102" i="17"/>
  <c r="D2102" i="17"/>
  <c r="E2102" i="17"/>
  <c r="F2102" i="17"/>
  <c r="B2103" i="17"/>
  <c r="C2103" i="17"/>
  <c r="D2103" i="17"/>
  <c r="E2103" i="17"/>
  <c r="F2103" i="17"/>
  <c r="B2104" i="17"/>
  <c r="C2104" i="17"/>
  <c r="D2104" i="17"/>
  <c r="E2104" i="17"/>
  <c r="F2104" i="17"/>
  <c r="B2105" i="17"/>
  <c r="C2105" i="17"/>
  <c r="D2105" i="17"/>
  <c r="E2105" i="17"/>
  <c r="F2105" i="17"/>
  <c r="B2106" i="17"/>
  <c r="C2106" i="17"/>
  <c r="D2106" i="17"/>
  <c r="E2106" i="17"/>
  <c r="F2106" i="17"/>
  <c r="B2107" i="17"/>
  <c r="C2107" i="17"/>
  <c r="D2107" i="17"/>
  <c r="E2107" i="17"/>
  <c r="F2107" i="17"/>
  <c r="B2108" i="17"/>
  <c r="C2108" i="17"/>
  <c r="D2108" i="17"/>
  <c r="E2108" i="17"/>
  <c r="F2108" i="17"/>
  <c r="B2109" i="17"/>
  <c r="C2109" i="17"/>
  <c r="D2109" i="17"/>
  <c r="E2109" i="17"/>
  <c r="F2109" i="17"/>
  <c r="B2110" i="17"/>
  <c r="C2110" i="17"/>
  <c r="D2110" i="17"/>
  <c r="E2110" i="17"/>
  <c r="F2110" i="17"/>
  <c r="B2111" i="17"/>
  <c r="C2111" i="17"/>
  <c r="D2111" i="17"/>
  <c r="E2111" i="17"/>
  <c r="F2111" i="17"/>
  <c r="B2112" i="17"/>
  <c r="C2112" i="17"/>
  <c r="D2112" i="17"/>
  <c r="E2112" i="17"/>
  <c r="F2112" i="17"/>
  <c r="B2113" i="17"/>
  <c r="C2113" i="17"/>
  <c r="D2113" i="17"/>
  <c r="E2113" i="17"/>
  <c r="F2113" i="17"/>
  <c r="B2114" i="17"/>
  <c r="C2114" i="17"/>
  <c r="D2114" i="17"/>
  <c r="E2114" i="17"/>
  <c r="F2114" i="17"/>
  <c r="B2115" i="17"/>
  <c r="C2115" i="17"/>
  <c r="D2115" i="17"/>
  <c r="E2115" i="17"/>
  <c r="F2115" i="17"/>
  <c r="B2116" i="17"/>
  <c r="C2116" i="17"/>
  <c r="D2116" i="17"/>
  <c r="E2116" i="17"/>
  <c r="F2116" i="17"/>
  <c r="B2117" i="17"/>
  <c r="C2117" i="17"/>
  <c r="D2117" i="17"/>
  <c r="E2117" i="17"/>
  <c r="F2117" i="17"/>
  <c r="B2118" i="17"/>
  <c r="C2118" i="17"/>
  <c r="D2118" i="17"/>
  <c r="E2118" i="17"/>
  <c r="F2118" i="17"/>
  <c r="B2119" i="17"/>
  <c r="C2119" i="17"/>
  <c r="D2119" i="17"/>
  <c r="E2119" i="17"/>
  <c r="F2119" i="17"/>
  <c r="B2120" i="17"/>
  <c r="C2120" i="17"/>
  <c r="D2120" i="17"/>
  <c r="E2120" i="17"/>
  <c r="F2120" i="17"/>
  <c r="B2121" i="17"/>
  <c r="C2121" i="17"/>
  <c r="D2121" i="17"/>
  <c r="E2121" i="17"/>
  <c r="F2121" i="17"/>
  <c r="B2122" i="17"/>
  <c r="C2122" i="17"/>
  <c r="D2122" i="17"/>
  <c r="E2122" i="17"/>
  <c r="F2122" i="17"/>
  <c r="B2123" i="17"/>
  <c r="C2123" i="17"/>
  <c r="D2123" i="17"/>
  <c r="E2123" i="17"/>
  <c r="F2123" i="17"/>
  <c r="B2124" i="17"/>
  <c r="C2124" i="17"/>
  <c r="D2124" i="17"/>
  <c r="E2124" i="17"/>
  <c r="F2124" i="17"/>
  <c r="B2125" i="17"/>
  <c r="C2125" i="17"/>
  <c r="D2125" i="17"/>
  <c r="E2125" i="17"/>
  <c r="F2125" i="17"/>
  <c r="B2126" i="17"/>
  <c r="C2126" i="17"/>
  <c r="D2126" i="17"/>
  <c r="E2126" i="17"/>
  <c r="F2126" i="17"/>
  <c r="B2127" i="17"/>
  <c r="C2127" i="17"/>
  <c r="D2127" i="17"/>
  <c r="E2127" i="17"/>
  <c r="F2127" i="17"/>
  <c r="B2128" i="17"/>
  <c r="C2128" i="17"/>
  <c r="D2128" i="17"/>
  <c r="E2128" i="17"/>
  <c r="F2128" i="17"/>
  <c r="B2129" i="17"/>
  <c r="C2129" i="17"/>
  <c r="D2129" i="17"/>
  <c r="E2129" i="17"/>
  <c r="F2129" i="17"/>
  <c r="B2130" i="17"/>
  <c r="C2130" i="17"/>
  <c r="D2130" i="17"/>
  <c r="E2130" i="17"/>
  <c r="F2130" i="17"/>
  <c r="B2131" i="17"/>
  <c r="C2131" i="17"/>
  <c r="D2131" i="17"/>
  <c r="E2131" i="17"/>
  <c r="F2131" i="17"/>
  <c r="B2132" i="17"/>
  <c r="C2132" i="17"/>
  <c r="D2132" i="17"/>
  <c r="E2132" i="17"/>
  <c r="F2132" i="17"/>
  <c r="B2133" i="17"/>
  <c r="C2133" i="17"/>
  <c r="D2133" i="17"/>
  <c r="E2133" i="17"/>
  <c r="F2133" i="17"/>
  <c r="B2134" i="17"/>
  <c r="C2134" i="17"/>
  <c r="D2134" i="17"/>
  <c r="E2134" i="17"/>
  <c r="F2134" i="17"/>
  <c r="B2135" i="17"/>
  <c r="C2135" i="17"/>
  <c r="D2135" i="17"/>
  <c r="E2135" i="17"/>
  <c r="F2135" i="17"/>
  <c r="B2136" i="17"/>
  <c r="C2136" i="17"/>
  <c r="D2136" i="17"/>
  <c r="E2136" i="17"/>
  <c r="F2136" i="17"/>
  <c r="B2137" i="17"/>
  <c r="C2137" i="17"/>
  <c r="D2137" i="17"/>
  <c r="E2137" i="17"/>
  <c r="F2137" i="17"/>
  <c r="B2138" i="17"/>
  <c r="C2138" i="17"/>
  <c r="D2138" i="17"/>
  <c r="E2138" i="17"/>
  <c r="F2138" i="17"/>
  <c r="B2139" i="17"/>
  <c r="C2139" i="17"/>
  <c r="D2139" i="17"/>
  <c r="E2139" i="17"/>
  <c r="F2139" i="17"/>
  <c r="B2140" i="17"/>
  <c r="C2140" i="17"/>
  <c r="D2140" i="17"/>
  <c r="E2140" i="17"/>
  <c r="F2140" i="17"/>
  <c r="B2141" i="17"/>
  <c r="C2141" i="17"/>
  <c r="D2141" i="17"/>
  <c r="E2141" i="17"/>
  <c r="F2141" i="17"/>
  <c r="B2142" i="17"/>
  <c r="C2142" i="17"/>
  <c r="D2142" i="17"/>
  <c r="E2142" i="17"/>
  <c r="F2142" i="17"/>
  <c r="B2143" i="17"/>
  <c r="C2143" i="17"/>
  <c r="D2143" i="17"/>
  <c r="E2143" i="17"/>
  <c r="F2143" i="17"/>
  <c r="B2144" i="17"/>
  <c r="C2144" i="17"/>
  <c r="D2144" i="17"/>
  <c r="E2144" i="17"/>
  <c r="F2144" i="17"/>
  <c r="B2145" i="17"/>
  <c r="C2145" i="17"/>
  <c r="D2145" i="17"/>
  <c r="E2145" i="17"/>
  <c r="F2145" i="17"/>
  <c r="B2146" i="17"/>
  <c r="C2146" i="17"/>
  <c r="D2146" i="17"/>
  <c r="E2146" i="17"/>
  <c r="F2146" i="17"/>
  <c r="B2147" i="17"/>
  <c r="C2147" i="17"/>
  <c r="D2147" i="17"/>
  <c r="E2147" i="17"/>
  <c r="F2147" i="17"/>
  <c r="B2148" i="17"/>
  <c r="C2148" i="17"/>
  <c r="D2148" i="17"/>
  <c r="E2148" i="17"/>
  <c r="F2148" i="17"/>
  <c r="B2149" i="17"/>
  <c r="C2149" i="17"/>
  <c r="D2149" i="17"/>
  <c r="E2149" i="17"/>
  <c r="F2149" i="17"/>
  <c r="B2150" i="17"/>
  <c r="C2150" i="17"/>
  <c r="D2150" i="17"/>
  <c r="E2150" i="17"/>
  <c r="F2150" i="17"/>
  <c r="B2151" i="17"/>
  <c r="C2151" i="17"/>
  <c r="D2151" i="17"/>
  <c r="E2151" i="17"/>
  <c r="F2151" i="17"/>
  <c r="B2152" i="17"/>
  <c r="C2152" i="17"/>
  <c r="D2152" i="17"/>
  <c r="E2152" i="17"/>
  <c r="F2152" i="17"/>
  <c r="B2153" i="17"/>
  <c r="C2153" i="17"/>
  <c r="D2153" i="17"/>
  <c r="E2153" i="17"/>
  <c r="F2153" i="17"/>
  <c r="B2154" i="17"/>
  <c r="C2154" i="17"/>
  <c r="D2154" i="17"/>
  <c r="E2154" i="17"/>
  <c r="F2154" i="17"/>
  <c r="B2155" i="17"/>
  <c r="C2155" i="17"/>
  <c r="D2155" i="17"/>
  <c r="E2155" i="17"/>
  <c r="F2155" i="17"/>
  <c r="B2156" i="17"/>
  <c r="C2156" i="17"/>
  <c r="D2156" i="17"/>
  <c r="E2156" i="17"/>
  <c r="F2156" i="17"/>
  <c r="B2157" i="17"/>
  <c r="C2157" i="17"/>
  <c r="D2157" i="17"/>
  <c r="E2157" i="17"/>
  <c r="F2157" i="17"/>
  <c r="B2158" i="17"/>
  <c r="C2158" i="17"/>
  <c r="D2158" i="17"/>
  <c r="E2158" i="17"/>
  <c r="F2158" i="17"/>
  <c r="B2159" i="17"/>
  <c r="C2159" i="17"/>
  <c r="D2159" i="17"/>
  <c r="E2159" i="17"/>
  <c r="F2159" i="17"/>
  <c r="B2160" i="17"/>
  <c r="C2160" i="17"/>
  <c r="D2160" i="17"/>
  <c r="E2160" i="17"/>
  <c r="F2160" i="17"/>
  <c r="B2161" i="17"/>
  <c r="C2161" i="17"/>
  <c r="D2161" i="17"/>
  <c r="E2161" i="17"/>
  <c r="F2161" i="17"/>
  <c r="B2162" i="17"/>
  <c r="C2162" i="17"/>
  <c r="D2162" i="17"/>
  <c r="E2162" i="17"/>
  <c r="F2162" i="17"/>
  <c r="B2163" i="17"/>
  <c r="C2163" i="17"/>
  <c r="D2163" i="17"/>
  <c r="E2163" i="17"/>
  <c r="F2163" i="17"/>
  <c r="B2164" i="17"/>
  <c r="C2164" i="17"/>
  <c r="D2164" i="17"/>
  <c r="E2164" i="17"/>
  <c r="F2164" i="17"/>
  <c r="B2165" i="17"/>
  <c r="C2165" i="17"/>
  <c r="D2165" i="17"/>
  <c r="E2165" i="17"/>
  <c r="F2165" i="17"/>
  <c r="B2166" i="17"/>
  <c r="C2166" i="17"/>
  <c r="D2166" i="17"/>
  <c r="E2166" i="17"/>
  <c r="F2166" i="17"/>
  <c r="B2167" i="17"/>
  <c r="C2167" i="17"/>
  <c r="D2167" i="17"/>
  <c r="E2167" i="17"/>
  <c r="F2167" i="17"/>
  <c r="B2168" i="17"/>
  <c r="C2168" i="17"/>
  <c r="D2168" i="17"/>
  <c r="E2168" i="17"/>
  <c r="F2168" i="17"/>
  <c r="B2169" i="17"/>
  <c r="C2169" i="17"/>
  <c r="D2169" i="17"/>
  <c r="E2169" i="17"/>
  <c r="F2169" i="17"/>
  <c r="B2170" i="17"/>
  <c r="C2170" i="17"/>
  <c r="D2170" i="17"/>
  <c r="E2170" i="17"/>
  <c r="F2170" i="17"/>
  <c r="B2171" i="17"/>
  <c r="C2171" i="17"/>
  <c r="D2171" i="17"/>
  <c r="E2171" i="17"/>
  <c r="F2171" i="17"/>
  <c r="B2172" i="17"/>
  <c r="C2172" i="17"/>
  <c r="D2172" i="17"/>
  <c r="E2172" i="17"/>
  <c r="F2172" i="17"/>
  <c r="B2173" i="17"/>
  <c r="C2173" i="17"/>
  <c r="D2173" i="17"/>
  <c r="E2173" i="17"/>
  <c r="F2173" i="17"/>
  <c r="B2174" i="17"/>
  <c r="C2174" i="17"/>
  <c r="D2174" i="17"/>
  <c r="E2174" i="17"/>
  <c r="F2174" i="17"/>
  <c r="B2175" i="17"/>
  <c r="C2175" i="17"/>
  <c r="D2175" i="17"/>
  <c r="E2175" i="17"/>
  <c r="F2175" i="17"/>
  <c r="B2176" i="17"/>
  <c r="C2176" i="17"/>
  <c r="D2176" i="17"/>
  <c r="E2176" i="17"/>
  <c r="F2176" i="17"/>
  <c r="B2177" i="17"/>
  <c r="C2177" i="17"/>
  <c r="D2177" i="17"/>
  <c r="E2177" i="17"/>
  <c r="F2177" i="17"/>
  <c r="B2178" i="17"/>
  <c r="C2178" i="17"/>
  <c r="D2178" i="17"/>
  <c r="E2178" i="17"/>
  <c r="F2178" i="17"/>
  <c r="B2179" i="17"/>
  <c r="C2179" i="17"/>
  <c r="D2179" i="17"/>
  <c r="E2179" i="17"/>
  <c r="F2179" i="17"/>
  <c r="B2180" i="17"/>
  <c r="C2180" i="17"/>
  <c r="D2180" i="17"/>
  <c r="E2180" i="17"/>
  <c r="F2180" i="17"/>
  <c r="B2181" i="17"/>
  <c r="C2181" i="17"/>
  <c r="D2181" i="17"/>
  <c r="E2181" i="17"/>
  <c r="F2181" i="17"/>
  <c r="B2182" i="17"/>
  <c r="C2182" i="17"/>
  <c r="D2182" i="17"/>
  <c r="E2182" i="17"/>
  <c r="F2182" i="17"/>
  <c r="B2183" i="17"/>
  <c r="C2183" i="17"/>
  <c r="D2183" i="17"/>
  <c r="E2183" i="17"/>
  <c r="F2183" i="17"/>
  <c r="B2184" i="17"/>
  <c r="C2184" i="17"/>
  <c r="D2184" i="17"/>
  <c r="E2184" i="17"/>
  <c r="F2184" i="17"/>
  <c r="B2185" i="17"/>
  <c r="C2185" i="17"/>
  <c r="D2185" i="17"/>
  <c r="E2185" i="17"/>
  <c r="F2185" i="17"/>
  <c r="B2186" i="17"/>
  <c r="C2186" i="17"/>
  <c r="D2186" i="17"/>
  <c r="E2186" i="17"/>
  <c r="F2186" i="17"/>
  <c r="B2187" i="17"/>
  <c r="C2187" i="17"/>
  <c r="D2187" i="17"/>
  <c r="E2187" i="17"/>
  <c r="F2187" i="17"/>
  <c r="B2188" i="17"/>
  <c r="C2188" i="17"/>
  <c r="D2188" i="17"/>
  <c r="E2188" i="17"/>
  <c r="F2188" i="17"/>
  <c r="B2189" i="17"/>
  <c r="C2189" i="17"/>
  <c r="D2189" i="17"/>
  <c r="E2189" i="17"/>
  <c r="F2189" i="17"/>
  <c r="B2190" i="17"/>
  <c r="C2190" i="17"/>
  <c r="D2190" i="17"/>
  <c r="E2190" i="17"/>
  <c r="F2190" i="17"/>
  <c r="B2191" i="17"/>
  <c r="C2191" i="17"/>
  <c r="D2191" i="17"/>
  <c r="E2191" i="17"/>
  <c r="F2191" i="17"/>
  <c r="B2192" i="17"/>
  <c r="C2192" i="17"/>
  <c r="D2192" i="17"/>
  <c r="E2192" i="17"/>
  <c r="F2192" i="17"/>
  <c r="B2193" i="17"/>
  <c r="C2193" i="17"/>
  <c r="D2193" i="17"/>
  <c r="E2193" i="17"/>
  <c r="F2193" i="17"/>
  <c r="B2194" i="17"/>
  <c r="C2194" i="17"/>
  <c r="D2194" i="17"/>
  <c r="E2194" i="17"/>
  <c r="F2194" i="17"/>
  <c r="B2195" i="17"/>
  <c r="C2195" i="17"/>
  <c r="D2195" i="17"/>
  <c r="E2195" i="17"/>
  <c r="F2195" i="17"/>
  <c r="B2196" i="17"/>
  <c r="C2196" i="17"/>
  <c r="D2196" i="17"/>
  <c r="E2196" i="17"/>
  <c r="F2196" i="17"/>
  <c r="B2197" i="17"/>
  <c r="C2197" i="17"/>
  <c r="D2197" i="17"/>
  <c r="E2197" i="17"/>
  <c r="F2197" i="17"/>
  <c r="B2198" i="17"/>
  <c r="C2198" i="17"/>
  <c r="D2198" i="17"/>
  <c r="E2198" i="17"/>
  <c r="F2198" i="17"/>
  <c r="B2199" i="17"/>
  <c r="C2199" i="17"/>
  <c r="D2199" i="17"/>
  <c r="E2199" i="17"/>
  <c r="F2199" i="17"/>
  <c r="B2200" i="17"/>
  <c r="C2200" i="17"/>
  <c r="D2200" i="17"/>
  <c r="E2200" i="17"/>
  <c r="F2200" i="17"/>
  <c r="B2201" i="17"/>
  <c r="C2201" i="17"/>
  <c r="D2201" i="17"/>
  <c r="E2201" i="17"/>
  <c r="F2201" i="17"/>
  <c r="B2202" i="17"/>
  <c r="C2202" i="17"/>
  <c r="D2202" i="17"/>
  <c r="E2202" i="17"/>
  <c r="F2202" i="17"/>
  <c r="B2203" i="17"/>
  <c r="C2203" i="17"/>
  <c r="D2203" i="17"/>
  <c r="E2203" i="17"/>
  <c r="F2203" i="17"/>
  <c r="B2204" i="17"/>
  <c r="C2204" i="17"/>
  <c r="D2204" i="17"/>
  <c r="E2204" i="17"/>
  <c r="F2204" i="17"/>
  <c r="B2205" i="17"/>
  <c r="C2205" i="17"/>
  <c r="D2205" i="17"/>
  <c r="E2205" i="17"/>
  <c r="F2205" i="17"/>
  <c r="B2206" i="17"/>
  <c r="C2206" i="17"/>
  <c r="D2206" i="17"/>
  <c r="E2206" i="17"/>
  <c r="F2206" i="17"/>
  <c r="B2207" i="17"/>
  <c r="C2207" i="17"/>
  <c r="D2207" i="17"/>
  <c r="E2207" i="17"/>
  <c r="F2207" i="17"/>
  <c r="B2208" i="17"/>
  <c r="C2208" i="17"/>
  <c r="D2208" i="17"/>
  <c r="E2208" i="17"/>
  <c r="F2208" i="17"/>
  <c r="B2209" i="17"/>
  <c r="C2209" i="17"/>
  <c r="D2209" i="17"/>
  <c r="E2209" i="17"/>
  <c r="F2209" i="17"/>
  <c r="B2210" i="17"/>
  <c r="C2210" i="17"/>
  <c r="D2210" i="17"/>
  <c r="E2210" i="17"/>
  <c r="F2210" i="17"/>
  <c r="B2211" i="17"/>
  <c r="C2211" i="17"/>
  <c r="D2211" i="17"/>
  <c r="E2211" i="17"/>
  <c r="F2211" i="17"/>
  <c r="B2212" i="17"/>
  <c r="C2212" i="17"/>
  <c r="D2212" i="17"/>
  <c r="E2212" i="17"/>
  <c r="F2212" i="17"/>
  <c r="B2213" i="17"/>
  <c r="C2213" i="17"/>
  <c r="D2213" i="17"/>
  <c r="E2213" i="17"/>
  <c r="F2213" i="17"/>
  <c r="B2214" i="17"/>
  <c r="C2214" i="17"/>
  <c r="D2214" i="17"/>
  <c r="E2214" i="17"/>
  <c r="F2214" i="17"/>
  <c r="B2215" i="17"/>
  <c r="C2215" i="17"/>
  <c r="D2215" i="17"/>
  <c r="E2215" i="17"/>
  <c r="F2215" i="17"/>
  <c r="B2216" i="17"/>
  <c r="C2216" i="17"/>
  <c r="D2216" i="17"/>
  <c r="E2216" i="17"/>
  <c r="F2216" i="17"/>
  <c r="B2235" i="17"/>
  <c r="C2235" i="17"/>
  <c r="D2235" i="17"/>
  <c r="E2235" i="17"/>
  <c r="F2235" i="17"/>
  <c r="B2236" i="17"/>
  <c r="C2236" i="17"/>
  <c r="D2236" i="17"/>
  <c r="E2236" i="17"/>
  <c r="F2236" i="17"/>
  <c r="B2237" i="17"/>
  <c r="C2237" i="17"/>
  <c r="D2237" i="17"/>
  <c r="E2237" i="17"/>
  <c r="F2237" i="17"/>
  <c r="B2238" i="17"/>
  <c r="C2238" i="17"/>
  <c r="D2238" i="17"/>
  <c r="E2238" i="17"/>
  <c r="F2238" i="17"/>
  <c r="B2239" i="17"/>
  <c r="C2239" i="17"/>
  <c r="D2239" i="17"/>
  <c r="E2239" i="17"/>
  <c r="F2239" i="17"/>
  <c r="B2240" i="17"/>
  <c r="C2240" i="17"/>
  <c r="D2240" i="17"/>
  <c r="E2240" i="17"/>
  <c r="F2240" i="17"/>
  <c r="B2241" i="17"/>
  <c r="C2241" i="17"/>
  <c r="D2241" i="17"/>
  <c r="E2241" i="17"/>
  <c r="F2241" i="17"/>
  <c r="B2242" i="17"/>
  <c r="C2242" i="17"/>
  <c r="D2242" i="17"/>
  <c r="E2242" i="17"/>
  <c r="F2242" i="17"/>
  <c r="B2243" i="17"/>
  <c r="C2243" i="17"/>
  <c r="D2243" i="17"/>
  <c r="E2243" i="17"/>
  <c r="F2243" i="17"/>
  <c r="B2244" i="17"/>
  <c r="C2244" i="17"/>
  <c r="D2244" i="17"/>
  <c r="E2244" i="17"/>
  <c r="F2244" i="17"/>
  <c r="B2245" i="17"/>
  <c r="C2245" i="17"/>
  <c r="D2245" i="17"/>
  <c r="E2245" i="17"/>
  <c r="F2245" i="17"/>
  <c r="B2246" i="17"/>
  <c r="C2246" i="17"/>
  <c r="D2246" i="17"/>
  <c r="E2246" i="17"/>
  <c r="F2246" i="17"/>
  <c r="B2247" i="17"/>
  <c r="C2247" i="17"/>
  <c r="D2247" i="17"/>
  <c r="E2247" i="17"/>
  <c r="F2247" i="17"/>
  <c r="B2248" i="17"/>
  <c r="C2248" i="17"/>
  <c r="D2248" i="17"/>
  <c r="E2248" i="17"/>
  <c r="F2248" i="17"/>
  <c r="B2249" i="17"/>
  <c r="C2249" i="17"/>
  <c r="D2249" i="17"/>
  <c r="E2249" i="17"/>
  <c r="F2249" i="17"/>
  <c r="B2250" i="17"/>
  <c r="C2250" i="17"/>
  <c r="D2250" i="17"/>
  <c r="E2250" i="17"/>
  <c r="F2250" i="17"/>
  <c r="B2251" i="17"/>
  <c r="C2251" i="17"/>
  <c r="D2251" i="17"/>
  <c r="E2251" i="17"/>
  <c r="F2251" i="17"/>
  <c r="B2252" i="17"/>
  <c r="C2252" i="17"/>
  <c r="D2252" i="17"/>
  <c r="E2252" i="17"/>
  <c r="F2252" i="17"/>
  <c r="B2253" i="17"/>
  <c r="C2253" i="17"/>
  <c r="D2253" i="17"/>
  <c r="E2253" i="17"/>
  <c r="F2253" i="17"/>
  <c r="B2254" i="17"/>
  <c r="C2254" i="17"/>
  <c r="D2254" i="17"/>
  <c r="E2254" i="17"/>
  <c r="F2254" i="17"/>
  <c r="B2255" i="17"/>
  <c r="C2255" i="17"/>
  <c r="D2255" i="17"/>
  <c r="E2255" i="17"/>
  <c r="F2255" i="17"/>
  <c r="B2256" i="17"/>
  <c r="C2256" i="17"/>
  <c r="D2256" i="17"/>
  <c r="E2256" i="17"/>
  <c r="F2256" i="17"/>
  <c r="B2257" i="17"/>
  <c r="C2257" i="17"/>
  <c r="D2257" i="17"/>
  <c r="E2257" i="17"/>
  <c r="F2257" i="17"/>
  <c r="B2258" i="17"/>
  <c r="C2258" i="17"/>
  <c r="D2258" i="17"/>
  <c r="E2258" i="17"/>
  <c r="F2258" i="17"/>
  <c r="B2259" i="17"/>
  <c r="C2259" i="17"/>
  <c r="D2259" i="17"/>
  <c r="E2259" i="17"/>
  <c r="F2259" i="17"/>
  <c r="B2260" i="17"/>
  <c r="C2260" i="17"/>
  <c r="D2260" i="17"/>
  <c r="E2260" i="17"/>
  <c r="F2260" i="17"/>
  <c r="B2261" i="17"/>
  <c r="C2261" i="17"/>
  <c r="D2261" i="17"/>
  <c r="E2261" i="17"/>
  <c r="F2261" i="17"/>
  <c r="B2262" i="17"/>
  <c r="C2262" i="17"/>
  <c r="D2262" i="17"/>
  <c r="E2262" i="17"/>
  <c r="F2262" i="17"/>
  <c r="B2263" i="17"/>
  <c r="C2263" i="17"/>
  <c r="D2263" i="17"/>
  <c r="E2263" i="17"/>
  <c r="F2263" i="17"/>
  <c r="B2264" i="17"/>
  <c r="C2264" i="17"/>
  <c r="D2264" i="17"/>
  <c r="E2264" i="17"/>
  <c r="F2264" i="17"/>
  <c r="B2265" i="17"/>
  <c r="C2265" i="17"/>
  <c r="D2265" i="17"/>
  <c r="E2265" i="17"/>
  <c r="F2265" i="17"/>
  <c r="B2266" i="17"/>
  <c r="C2266" i="17"/>
  <c r="D2266" i="17"/>
  <c r="E2266" i="17"/>
  <c r="F2266" i="17"/>
  <c r="B2267" i="17"/>
  <c r="C2267" i="17"/>
  <c r="D2267" i="17"/>
  <c r="E2267" i="17"/>
  <c r="F2267" i="17"/>
  <c r="B2268" i="17"/>
  <c r="C2268" i="17"/>
  <c r="D2268" i="17"/>
  <c r="E2268" i="17"/>
  <c r="F2268" i="17"/>
  <c r="B2269" i="17"/>
  <c r="C2269" i="17"/>
  <c r="D2269" i="17"/>
  <c r="E2269" i="17"/>
  <c r="F2269" i="17"/>
  <c r="B2270" i="17"/>
  <c r="C2270" i="17"/>
  <c r="D2270" i="17"/>
  <c r="E2270" i="17"/>
  <c r="F2270" i="17"/>
  <c r="B2271" i="17"/>
  <c r="C2271" i="17"/>
  <c r="D2271" i="17"/>
  <c r="E2271" i="17"/>
  <c r="F2271" i="17"/>
  <c r="B2272" i="17"/>
  <c r="C2272" i="17"/>
  <c r="D2272" i="17"/>
  <c r="E2272" i="17"/>
  <c r="F2272" i="17"/>
  <c r="B2273" i="17"/>
  <c r="C2273" i="17"/>
  <c r="D2273" i="17"/>
  <c r="E2273" i="17"/>
  <c r="F2273" i="17"/>
  <c r="B2274" i="17"/>
  <c r="C2274" i="17"/>
  <c r="D2274" i="17"/>
  <c r="E2274" i="17"/>
  <c r="F2274" i="17"/>
  <c r="B2275" i="17"/>
  <c r="C2275" i="17"/>
  <c r="D2275" i="17"/>
  <c r="E2275" i="17"/>
  <c r="F2275" i="17"/>
  <c r="B2276" i="17"/>
  <c r="C2276" i="17"/>
  <c r="D2276" i="17"/>
  <c r="E2276" i="17"/>
  <c r="F2276" i="17"/>
  <c r="B2277" i="17"/>
  <c r="C2277" i="17"/>
  <c r="D2277" i="17"/>
  <c r="E2277" i="17"/>
  <c r="F2277" i="17"/>
  <c r="B2278" i="17"/>
  <c r="C2278" i="17"/>
  <c r="D2278" i="17"/>
  <c r="E2278" i="17"/>
  <c r="F2278" i="17"/>
  <c r="B2279" i="17"/>
  <c r="C2279" i="17"/>
  <c r="D2279" i="17"/>
  <c r="E2279" i="17"/>
  <c r="F2279" i="17"/>
  <c r="B2280" i="17"/>
  <c r="C2280" i="17"/>
  <c r="D2280" i="17"/>
  <c r="E2280" i="17"/>
  <c r="F2280" i="17"/>
  <c r="B2281" i="17"/>
  <c r="C2281" i="17"/>
  <c r="D2281" i="17"/>
  <c r="E2281" i="17"/>
  <c r="F2281" i="17"/>
  <c r="B2282" i="17"/>
  <c r="C2282" i="17"/>
  <c r="D2282" i="17"/>
  <c r="E2282" i="17"/>
  <c r="F2282" i="17"/>
  <c r="B2283" i="17"/>
  <c r="C2283" i="17"/>
  <c r="D2283" i="17"/>
  <c r="E2283" i="17"/>
  <c r="F2283" i="17"/>
  <c r="B2284" i="17"/>
  <c r="C2284" i="17"/>
  <c r="D2284" i="17"/>
  <c r="E2284" i="17"/>
  <c r="F2284" i="17"/>
  <c r="B2285" i="17"/>
  <c r="C2285" i="17"/>
  <c r="D2285" i="17"/>
  <c r="E2285" i="17"/>
  <c r="F2285" i="17"/>
  <c r="B2286" i="17"/>
  <c r="C2286" i="17"/>
  <c r="D2286" i="17"/>
  <c r="E2286" i="17"/>
  <c r="F2286" i="17"/>
  <c r="B2287" i="17"/>
  <c r="C2287" i="17"/>
  <c r="D2287" i="17"/>
  <c r="E2287" i="17"/>
  <c r="F2287" i="17"/>
  <c r="B2288" i="17"/>
  <c r="C2288" i="17"/>
  <c r="D2288" i="17"/>
  <c r="E2288" i="17"/>
  <c r="F2288" i="17"/>
  <c r="B2289" i="17"/>
  <c r="C2289" i="17"/>
  <c r="D2289" i="17"/>
  <c r="E2289" i="17"/>
  <c r="F2289" i="17"/>
  <c r="B2290" i="17"/>
  <c r="C2290" i="17"/>
  <c r="D2290" i="17"/>
  <c r="E2290" i="17"/>
  <c r="F2290" i="17"/>
  <c r="B2291" i="17"/>
  <c r="C2291" i="17"/>
  <c r="D2291" i="17"/>
  <c r="E2291" i="17"/>
  <c r="F2291" i="17"/>
  <c r="B2292" i="17"/>
  <c r="C2292" i="17"/>
  <c r="D2292" i="17"/>
  <c r="E2292" i="17"/>
  <c r="F2292" i="17"/>
  <c r="B2293" i="17"/>
  <c r="C2293" i="17"/>
  <c r="D2293" i="17"/>
  <c r="E2293" i="17"/>
  <c r="F2293" i="17"/>
  <c r="B2294" i="17"/>
  <c r="C2294" i="17"/>
  <c r="D2294" i="17"/>
  <c r="E2294" i="17"/>
  <c r="F2294" i="17"/>
  <c r="B2295" i="17"/>
  <c r="C2295" i="17"/>
  <c r="D2295" i="17"/>
  <c r="E2295" i="17"/>
  <c r="F2295" i="17"/>
  <c r="B2296" i="17"/>
  <c r="C2296" i="17"/>
  <c r="D2296" i="17"/>
  <c r="E2296" i="17"/>
  <c r="F2296" i="17"/>
  <c r="B2297" i="17"/>
  <c r="C2297" i="17"/>
  <c r="D2297" i="17"/>
  <c r="E2297" i="17"/>
  <c r="F2297" i="17"/>
  <c r="B2298" i="17"/>
  <c r="C2298" i="17"/>
  <c r="D2298" i="17"/>
  <c r="E2298" i="17"/>
  <c r="F2298" i="17"/>
  <c r="B2299" i="17"/>
  <c r="C2299" i="17"/>
  <c r="D2299" i="17"/>
  <c r="E2299" i="17"/>
  <c r="F2299" i="17"/>
  <c r="B2300" i="17"/>
  <c r="C2300" i="17"/>
  <c r="D2300" i="17"/>
  <c r="E2300" i="17"/>
  <c r="F2300" i="17"/>
  <c r="B2301" i="17"/>
  <c r="C2301" i="17"/>
  <c r="D2301" i="17"/>
  <c r="E2301" i="17"/>
  <c r="F2301" i="17"/>
  <c r="B2302" i="17"/>
  <c r="C2302" i="17"/>
  <c r="D2302" i="17"/>
  <c r="E2302" i="17"/>
  <c r="F2302" i="17"/>
  <c r="B2303" i="17"/>
  <c r="C2303" i="17"/>
  <c r="D2303" i="17"/>
  <c r="E2303" i="17"/>
  <c r="F2303" i="17"/>
  <c r="B2304" i="17"/>
  <c r="C2304" i="17"/>
  <c r="D2304" i="17"/>
  <c r="E2304" i="17"/>
  <c r="F2304" i="17"/>
  <c r="B2305" i="17"/>
  <c r="C2305" i="17"/>
  <c r="D2305" i="17"/>
  <c r="E2305" i="17"/>
  <c r="F2305" i="17"/>
  <c r="B2306" i="17"/>
  <c r="C2306" i="17"/>
  <c r="D2306" i="17"/>
  <c r="E2306" i="17"/>
  <c r="F2306" i="17"/>
  <c r="B2307" i="17"/>
  <c r="C2307" i="17"/>
  <c r="D2307" i="17"/>
  <c r="E2307" i="17"/>
  <c r="F2307" i="17"/>
  <c r="B2308" i="17"/>
  <c r="C2308" i="17"/>
  <c r="D2308" i="17"/>
  <c r="E2308" i="17"/>
  <c r="F2308" i="17"/>
  <c r="B2309" i="17"/>
  <c r="C2309" i="17"/>
  <c r="D2309" i="17"/>
  <c r="E2309" i="17"/>
  <c r="F2309" i="17"/>
  <c r="B2310" i="17"/>
  <c r="C2310" i="17"/>
  <c r="D2310" i="17"/>
  <c r="E2310" i="17"/>
  <c r="F2310" i="17"/>
  <c r="B2311" i="17"/>
  <c r="C2311" i="17"/>
  <c r="D2311" i="17"/>
  <c r="E2311" i="17"/>
  <c r="F2311" i="17"/>
  <c r="B2312" i="17"/>
  <c r="C2312" i="17"/>
  <c r="D2312" i="17"/>
  <c r="E2312" i="17"/>
  <c r="F2312" i="17"/>
  <c r="B2313" i="17"/>
  <c r="C2313" i="17"/>
  <c r="D2313" i="17"/>
  <c r="E2313" i="17"/>
  <c r="F2313" i="17"/>
  <c r="B2314" i="17"/>
  <c r="C2314" i="17"/>
  <c r="D2314" i="17"/>
  <c r="E2314" i="17"/>
  <c r="F2314" i="17"/>
  <c r="B2315" i="17"/>
  <c r="C2315" i="17"/>
  <c r="D2315" i="17"/>
  <c r="E2315" i="17"/>
  <c r="F2315" i="17"/>
  <c r="B2316" i="17"/>
  <c r="C2316" i="17"/>
  <c r="D2316" i="17"/>
  <c r="E2316" i="17"/>
  <c r="F2316" i="17"/>
  <c r="B2317" i="17"/>
  <c r="C2317" i="17"/>
  <c r="D2317" i="17"/>
  <c r="E2317" i="17"/>
  <c r="F2317" i="17"/>
  <c r="B2318" i="17"/>
  <c r="C2318" i="17"/>
  <c r="D2318" i="17"/>
  <c r="E2318" i="17"/>
  <c r="F2318" i="17"/>
  <c r="B2319" i="17"/>
  <c r="C2319" i="17"/>
  <c r="D2319" i="17"/>
  <c r="E2319" i="17"/>
  <c r="F2319" i="17"/>
  <c r="B2320" i="17"/>
  <c r="C2320" i="17"/>
  <c r="D2320" i="17"/>
  <c r="E2320" i="17"/>
  <c r="F2320" i="17"/>
  <c r="B2321" i="17"/>
  <c r="C2321" i="17"/>
  <c r="D2321" i="17"/>
  <c r="E2321" i="17"/>
  <c r="F2321" i="17"/>
  <c r="B2322" i="17"/>
  <c r="C2322" i="17"/>
  <c r="D2322" i="17"/>
  <c r="E2322" i="17"/>
  <c r="F2322" i="17"/>
  <c r="B2323" i="17"/>
  <c r="C2323" i="17"/>
  <c r="D2323" i="17"/>
  <c r="E2323" i="17"/>
  <c r="F2323" i="17"/>
  <c r="B2324" i="17"/>
  <c r="C2324" i="17"/>
  <c r="D2324" i="17"/>
  <c r="E2324" i="17"/>
  <c r="F2324" i="17"/>
  <c r="B2325" i="17"/>
  <c r="C2325" i="17"/>
  <c r="D2325" i="17"/>
  <c r="E2325" i="17"/>
  <c r="F2325" i="17"/>
  <c r="B2326" i="17"/>
  <c r="C2326" i="17"/>
  <c r="D2326" i="17"/>
  <c r="E2326" i="17"/>
  <c r="F2326" i="17"/>
  <c r="B2327" i="17"/>
  <c r="C2327" i="17"/>
  <c r="D2327" i="17"/>
  <c r="E2327" i="17"/>
  <c r="F2327" i="17"/>
  <c r="B2328" i="17"/>
  <c r="C2328" i="17"/>
  <c r="D2328" i="17"/>
  <c r="E2328" i="17"/>
  <c r="F2328" i="17"/>
  <c r="B2329" i="17"/>
  <c r="C2329" i="17"/>
  <c r="D2329" i="17"/>
  <c r="E2329" i="17"/>
  <c r="F2329" i="17"/>
  <c r="B2330" i="17"/>
  <c r="C2330" i="17"/>
  <c r="D2330" i="17"/>
  <c r="E2330" i="17"/>
  <c r="F2330" i="17"/>
  <c r="B2331" i="17"/>
  <c r="C2331" i="17"/>
  <c r="D2331" i="17"/>
  <c r="E2331" i="17"/>
  <c r="F2331" i="17"/>
  <c r="B2332" i="17"/>
  <c r="C2332" i="17"/>
  <c r="D2332" i="17"/>
  <c r="E2332" i="17"/>
  <c r="F2332" i="17"/>
  <c r="B2333" i="17"/>
  <c r="C2333" i="17"/>
  <c r="D2333" i="17"/>
  <c r="E2333" i="17"/>
  <c r="F2333" i="17"/>
  <c r="B2334" i="17"/>
  <c r="C2334" i="17"/>
  <c r="D2334" i="17"/>
  <c r="E2334" i="17"/>
  <c r="F2334" i="17"/>
  <c r="B2335" i="17"/>
  <c r="C2335" i="17"/>
  <c r="D2335" i="17"/>
  <c r="E2335" i="17"/>
  <c r="F2335" i="17"/>
  <c r="B2336" i="17"/>
  <c r="C2336" i="17"/>
  <c r="D2336" i="17"/>
  <c r="E2336" i="17"/>
  <c r="F2336" i="17"/>
  <c r="B2337" i="17"/>
  <c r="C2337" i="17"/>
  <c r="D2337" i="17"/>
  <c r="E2337" i="17"/>
  <c r="F2337" i="17"/>
  <c r="B2338" i="17"/>
  <c r="C2338" i="17"/>
  <c r="D2338" i="17"/>
  <c r="E2338" i="17"/>
  <c r="F2338" i="17"/>
  <c r="B2339" i="17"/>
  <c r="C2339" i="17"/>
  <c r="D2339" i="17"/>
  <c r="E2339" i="17"/>
  <c r="F2339" i="17"/>
  <c r="B2340" i="17"/>
  <c r="C2340" i="17"/>
  <c r="D2340" i="17"/>
  <c r="E2340" i="17"/>
  <c r="F2340" i="17"/>
  <c r="B2341" i="17"/>
  <c r="C2341" i="17"/>
  <c r="D2341" i="17"/>
  <c r="E2341" i="17"/>
  <c r="F2341" i="17"/>
  <c r="B2342" i="17"/>
  <c r="C2342" i="17"/>
  <c r="D2342" i="17"/>
  <c r="E2342" i="17"/>
  <c r="F2342" i="17"/>
  <c r="B2343" i="17"/>
  <c r="C2343" i="17"/>
  <c r="D2343" i="17"/>
  <c r="E2343" i="17"/>
  <c r="F2343" i="17"/>
  <c r="B2344" i="17"/>
  <c r="C2344" i="17"/>
  <c r="D2344" i="17"/>
  <c r="E2344" i="17"/>
  <c r="F2344" i="17"/>
  <c r="B2345" i="17"/>
  <c r="C2345" i="17"/>
  <c r="D2345" i="17"/>
  <c r="E2345" i="17"/>
  <c r="F2345" i="17"/>
  <c r="B2346" i="17"/>
  <c r="C2346" i="17"/>
  <c r="D2346" i="17"/>
  <c r="E2346" i="17"/>
  <c r="F2346" i="17"/>
  <c r="B2347" i="17"/>
  <c r="C2347" i="17"/>
  <c r="D2347" i="17"/>
  <c r="E2347" i="17"/>
  <c r="F2347" i="17"/>
  <c r="B2348" i="17"/>
  <c r="C2348" i="17"/>
  <c r="D2348" i="17"/>
  <c r="E2348" i="17"/>
  <c r="F2348" i="17"/>
  <c r="B2349" i="17"/>
  <c r="C2349" i="17"/>
  <c r="D2349" i="17"/>
  <c r="E2349" i="17"/>
  <c r="F2349" i="17"/>
  <c r="B2350" i="17"/>
  <c r="C2350" i="17"/>
  <c r="D2350" i="17"/>
  <c r="E2350" i="17"/>
  <c r="F2350" i="17"/>
  <c r="B2351" i="17"/>
  <c r="C2351" i="17"/>
  <c r="D2351" i="17"/>
  <c r="E2351" i="17"/>
  <c r="F2351" i="17"/>
  <c r="B2352" i="17"/>
  <c r="C2352" i="17"/>
  <c r="D2352" i="17"/>
  <c r="E2352" i="17"/>
  <c r="F2352" i="17"/>
  <c r="B2353" i="17"/>
  <c r="C2353" i="17"/>
  <c r="D2353" i="17"/>
  <c r="E2353" i="17"/>
  <c r="F2353" i="17"/>
  <c r="B2354" i="17"/>
  <c r="C2354" i="17"/>
  <c r="D2354" i="17"/>
  <c r="E2354" i="17"/>
  <c r="F2354" i="17"/>
  <c r="B2355" i="17"/>
  <c r="C2355" i="17"/>
  <c r="D2355" i="17"/>
  <c r="E2355" i="17"/>
  <c r="F2355" i="17"/>
  <c r="B2356" i="17"/>
  <c r="C2356" i="17"/>
  <c r="D2356" i="17"/>
  <c r="E2356" i="17"/>
  <c r="F2356" i="17"/>
  <c r="B2357" i="17"/>
  <c r="C2357" i="17"/>
  <c r="D2357" i="17"/>
  <c r="E2357" i="17"/>
  <c r="F2357" i="17"/>
  <c r="B2358" i="17"/>
  <c r="C2358" i="17"/>
  <c r="D2358" i="17"/>
  <c r="E2358" i="17"/>
  <c r="F2358" i="17"/>
  <c r="B2359" i="17"/>
  <c r="C2359" i="17"/>
  <c r="D2359" i="17"/>
  <c r="E2359" i="17"/>
  <c r="F2359" i="17"/>
  <c r="B2360" i="17"/>
  <c r="C2360" i="17"/>
  <c r="D2360" i="17"/>
  <c r="E2360" i="17"/>
  <c r="F2360" i="17"/>
  <c r="B2361" i="17"/>
  <c r="C2361" i="17"/>
  <c r="D2361" i="17"/>
  <c r="E2361" i="17"/>
  <c r="F2361" i="17"/>
  <c r="B2362" i="17"/>
  <c r="C2362" i="17"/>
  <c r="D2362" i="17"/>
  <c r="E2362" i="17"/>
  <c r="F2362" i="17"/>
  <c r="B2363" i="17"/>
  <c r="C2363" i="17"/>
  <c r="D2363" i="17"/>
  <c r="E2363" i="17"/>
  <c r="F2363" i="17"/>
  <c r="B2364" i="17"/>
  <c r="C2364" i="17"/>
  <c r="D2364" i="17"/>
  <c r="E2364" i="17"/>
  <c r="F2364" i="17"/>
  <c r="B2365" i="17"/>
  <c r="C2365" i="17"/>
  <c r="D2365" i="17"/>
  <c r="E2365" i="17"/>
  <c r="F2365" i="17"/>
  <c r="B2366" i="17"/>
  <c r="C2366" i="17"/>
  <c r="D2366" i="17"/>
  <c r="E2366" i="17"/>
  <c r="F2366" i="17"/>
  <c r="B2367" i="17"/>
  <c r="C2367" i="17"/>
  <c r="D2367" i="17"/>
  <c r="E2367" i="17"/>
  <c r="F2367" i="17"/>
  <c r="B2368" i="17"/>
  <c r="C2368" i="17"/>
  <c r="D2368" i="17"/>
  <c r="E2368" i="17"/>
  <c r="F2368" i="17"/>
  <c r="B2369" i="17"/>
  <c r="C2369" i="17"/>
  <c r="D2369" i="17"/>
  <c r="E2369" i="17"/>
  <c r="F2369" i="17"/>
  <c r="B2370" i="17"/>
  <c r="C2370" i="17"/>
  <c r="D2370" i="17"/>
  <c r="E2370" i="17"/>
  <c r="F2370" i="17"/>
  <c r="B2371" i="17"/>
  <c r="C2371" i="17"/>
  <c r="D2371" i="17"/>
  <c r="E2371" i="17"/>
  <c r="F2371" i="17"/>
  <c r="B2372" i="17"/>
  <c r="C2372" i="17"/>
  <c r="D2372" i="17"/>
  <c r="E2372" i="17"/>
  <c r="F2372" i="17"/>
  <c r="B2373" i="17"/>
  <c r="C2373" i="17"/>
  <c r="D2373" i="17"/>
  <c r="E2373" i="17"/>
  <c r="F2373" i="17"/>
  <c r="B2374" i="17"/>
  <c r="C2374" i="17"/>
  <c r="D2374" i="17"/>
  <c r="E2374" i="17"/>
  <c r="F2374" i="17"/>
  <c r="B2375" i="17"/>
  <c r="C2375" i="17"/>
  <c r="D2375" i="17"/>
  <c r="E2375" i="17"/>
  <c r="F2375" i="17"/>
  <c r="B2376" i="17"/>
  <c r="C2376" i="17"/>
  <c r="D2376" i="17"/>
  <c r="E2376" i="17"/>
  <c r="F2376" i="17"/>
  <c r="B2377" i="17"/>
  <c r="C2377" i="17"/>
  <c r="D2377" i="17"/>
  <c r="E2377" i="17"/>
  <c r="F2377" i="17"/>
  <c r="B2378" i="17"/>
  <c r="C2378" i="17"/>
  <c r="D2378" i="17"/>
  <c r="E2378" i="17"/>
  <c r="F2378" i="17"/>
  <c r="B2379" i="17"/>
  <c r="C2379" i="17"/>
  <c r="D2379" i="17"/>
  <c r="E2379" i="17"/>
  <c r="F2379" i="17"/>
  <c r="B2380" i="17"/>
  <c r="C2380" i="17"/>
  <c r="D2380" i="17"/>
  <c r="E2380" i="17"/>
  <c r="F2380" i="17"/>
  <c r="B2381" i="17"/>
  <c r="C2381" i="17"/>
  <c r="D2381" i="17"/>
  <c r="E2381" i="17"/>
  <c r="F2381" i="17"/>
  <c r="B2382" i="17"/>
  <c r="C2382" i="17"/>
  <c r="D2382" i="17"/>
  <c r="E2382" i="17"/>
  <c r="F2382" i="17"/>
  <c r="B2383" i="17"/>
  <c r="C2383" i="17"/>
  <c r="D2383" i="17"/>
  <c r="E2383" i="17"/>
  <c r="F2383" i="17"/>
  <c r="B2384" i="17"/>
  <c r="C2384" i="17"/>
  <c r="D2384" i="17"/>
  <c r="E2384" i="17"/>
  <c r="F2384" i="17"/>
  <c r="B2385" i="17"/>
  <c r="C2385" i="17"/>
  <c r="D2385" i="17"/>
  <c r="E2385" i="17"/>
  <c r="F2385" i="17"/>
  <c r="B2386" i="17"/>
  <c r="C2386" i="17"/>
  <c r="D2386" i="17"/>
  <c r="E2386" i="17"/>
  <c r="F2386" i="17"/>
  <c r="B2387" i="17"/>
  <c r="C2387" i="17"/>
  <c r="D2387" i="17"/>
  <c r="E2387" i="17"/>
  <c r="F2387" i="17"/>
  <c r="B2388" i="17"/>
  <c r="C2388" i="17"/>
  <c r="D2388" i="17"/>
  <c r="E2388" i="17"/>
  <c r="F2388" i="17"/>
  <c r="B2389" i="17"/>
  <c r="C2389" i="17"/>
  <c r="D2389" i="17"/>
  <c r="E2389" i="17"/>
  <c r="F2389" i="17"/>
  <c r="B2390" i="17"/>
  <c r="C2390" i="17"/>
  <c r="D2390" i="17"/>
  <c r="E2390" i="17"/>
  <c r="F2390" i="17"/>
  <c r="B2391" i="17"/>
  <c r="C2391" i="17"/>
  <c r="D2391" i="17"/>
  <c r="E2391" i="17"/>
  <c r="F2391" i="17"/>
  <c r="B2392" i="17"/>
  <c r="C2392" i="17"/>
  <c r="D2392" i="17"/>
  <c r="E2392" i="17"/>
  <c r="F2392" i="17"/>
  <c r="B2393" i="17"/>
  <c r="C2393" i="17"/>
  <c r="D2393" i="17"/>
  <c r="E2393" i="17"/>
  <c r="F2393" i="17"/>
  <c r="B2394" i="17"/>
  <c r="C2394" i="17"/>
  <c r="D2394" i="17"/>
  <c r="E2394" i="17"/>
  <c r="F2394" i="17"/>
  <c r="B2395" i="17"/>
  <c r="C2395" i="17"/>
  <c r="D2395" i="17"/>
  <c r="E2395" i="17"/>
  <c r="F2395" i="17"/>
  <c r="B2396" i="17"/>
  <c r="C2396" i="17"/>
  <c r="D2396" i="17"/>
  <c r="E2396" i="17"/>
  <c r="F2396" i="17"/>
  <c r="B2397" i="17"/>
  <c r="C2397" i="17"/>
  <c r="D2397" i="17"/>
  <c r="E2397" i="17"/>
  <c r="F2397" i="17"/>
  <c r="B2398" i="17"/>
  <c r="C2398" i="17"/>
  <c r="D2398" i="17"/>
  <c r="E2398" i="17"/>
  <c r="F2398" i="17"/>
  <c r="B2399" i="17"/>
  <c r="C2399" i="17"/>
  <c r="D2399" i="17"/>
  <c r="E2399" i="17"/>
  <c r="F2399" i="17"/>
  <c r="B2400" i="17"/>
  <c r="C2400" i="17"/>
  <c r="D2400" i="17"/>
  <c r="E2400" i="17"/>
  <c r="F2400" i="17"/>
  <c r="B2401" i="17"/>
  <c r="C2401" i="17"/>
  <c r="D2401" i="17"/>
  <c r="E2401" i="17"/>
  <c r="F2401" i="17"/>
  <c r="B2402" i="17"/>
  <c r="C2402" i="17"/>
  <c r="D2402" i="17"/>
  <c r="E2402" i="17"/>
  <c r="F2402" i="17"/>
  <c r="B2403" i="17"/>
  <c r="C2403" i="17"/>
  <c r="D2403" i="17"/>
  <c r="E2403" i="17"/>
  <c r="F2403" i="17"/>
  <c r="B2404" i="17"/>
  <c r="C2404" i="17"/>
  <c r="D2404" i="17"/>
  <c r="E2404" i="17"/>
  <c r="F2404" i="17"/>
  <c r="B2405" i="17"/>
  <c r="C2405" i="17"/>
  <c r="D2405" i="17"/>
  <c r="E2405" i="17"/>
  <c r="F2405" i="17"/>
  <c r="B2406" i="17"/>
  <c r="C2406" i="17"/>
  <c r="D2406" i="17"/>
  <c r="E2406" i="17"/>
  <c r="F2406" i="17"/>
  <c r="B2407" i="17"/>
  <c r="C2407" i="17"/>
  <c r="D2407" i="17"/>
  <c r="E2407" i="17"/>
  <c r="F2407" i="17"/>
  <c r="B2408" i="17"/>
  <c r="C2408" i="17"/>
  <c r="D2408" i="17"/>
  <c r="E2408" i="17"/>
  <c r="F2408" i="17"/>
  <c r="B2409" i="17"/>
  <c r="C2409" i="17"/>
  <c r="D2409" i="17"/>
  <c r="E2409" i="17"/>
  <c r="F2409" i="17"/>
  <c r="B2410" i="17"/>
  <c r="C2410" i="17"/>
  <c r="D2410" i="17"/>
  <c r="E2410" i="17"/>
  <c r="F2410" i="17"/>
  <c r="B2411" i="17"/>
  <c r="C2411" i="17"/>
  <c r="D2411" i="17"/>
  <c r="E2411" i="17"/>
  <c r="F2411" i="17"/>
  <c r="B2412" i="17"/>
  <c r="C2412" i="17"/>
  <c r="D2412" i="17"/>
  <c r="E2412" i="17"/>
  <c r="F2412" i="17"/>
  <c r="B2413" i="17"/>
  <c r="C2413" i="17"/>
  <c r="D2413" i="17"/>
  <c r="E2413" i="17"/>
  <c r="F2413" i="17"/>
  <c r="B2414" i="17"/>
  <c r="C2414" i="17"/>
  <c r="D2414" i="17"/>
  <c r="E2414" i="17"/>
  <c r="F2414" i="17"/>
  <c r="B2415" i="17"/>
  <c r="C2415" i="17"/>
  <c r="D2415" i="17"/>
  <c r="E2415" i="17"/>
  <c r="F2415" i="17"/>
  <c r="B2416" i="17"/>
  <c r="C2416" i="17"/>
  <c r="D2416" i="17"/>
  <c r="E2416" i="17"/>
  <c r="F2416" i="17"/>
  <c r="B2417" i="17"/>
  <c r="C2417" i="17"/>
  <c r="D2417" i="17"/>
  <c r="E2417" i="17"/>
  <c r="F2417" i="17"/>
  <c r="B2418" i="17"/>
  <c r="C2418" i="17"/>
  <c r="D2418" i="17"/>
  <c r="E2418" i="17"/>
  <c r="F2418" i="17"/>
  <c r="B2419" i="17"/>
  <c r="C2419" i="17"/>
  <c r="D2419" i="17"/>
  <c r="E2419" i="17"/>
  <c r="F2419" i="17"/>
  <c r="B2420" i="17"/>
  <c r="C2420" i="17"/>
  <c r="D2420" i="17"/>
  <c r="E2420" i="17"/>
  <c r="F2420" i="17"/>
  <c r="B2421" i="17"/>
  <c r="C2421" i="17"/>
  <c r="D2421" i="17"/>
  <c r="E2421" i="17"/>
  <c r="F2421" i="17"/>
  <c r="B2475" i="17"/>
  <c r="C2475" i="17"/>
  <c r="D2475" i="17"/>
  <c r="E2475" i="17"/>
  <c r="F2475" i="17"/>
  <c r="B2476" i="17"/>
  <c r="C2476" i="17"/>
  <c r="D2476" i="17"/>
  <c r="E2476" i="17"/>
  <c r="F2476" i="17"/>
  <c r="B2477" i="17"/>
  <c r="C2477" i="17"/>
  <c r="D2477" i="17"/>
  <c r="E2477" i="17"/>
  <c r="F2477" i="17"/>
  <c r="B2478" i="17"/>
  <c r="C2478" i="17"/>
  <c r="D2478" i="17"/>
  <c r="E2478" i="17"/>
  <c r="F2478" i="17"/>
  <c r="B2479" i="17"/>
  <c r="C2479" i="17"/>
  <c r="D2479" i="17"/>
  <c r="E2479" i="17"/>
  <c r="F2479" i="17"/>
  <c r="B2480" i="17"/>
  <c r="C2480" i="17"/>
  <c r="D2480" i="17"/>
  <c r="E2480" i="17"/>
  <c r="F2480" i="17"/>
  <c r="B2481" i="17"/>
  <c r="C2481" i="17"/>
  <c r="D2481" i="17"/>
  <c r="E2481" i="17"/>
  <c r="F2481" i="17"/>
  <c r="B2482" i="17"/>
  <c r="C2482" i="17"/>
  <c r="D2482" i="17"/>
  <c r="E2482" i="17"/>
  <c r="F2482" i="17"/>
  <c r="B2483" i="17"/>
  <c r="C2483" i="17"/>
  <c r="D2483" i="17"/>
  <c r="E2483" i="17"/>
  <c r="F2483" i="17"/>
  <c r="B2484" i="17"/>
  <c r="C2484" i="17"/>
  <c r="D2484" i="17"/>
  <c r="E2484" i="17"/>
  <c r="F2484" i="17"/>
  <c r="B2485" i="17"/>
  <c r="C2485" i="17"/>
  <c r="D2485" i="17"/>
  <c r="E2485" i="17"/>
  <c r="F2485" i="17"/>
  <c r="B2486" i="17"/>
  <c r="C2486" i="17"/>
  <c r="D2486" i="17"/>
  <c r="E2486" i="17"/>
  <c r="F2486" i="17"/>
  <c r="B2487" i="17"/>
  <c r="C2487" i="17"/>
  <c r="D2487" i="17"/>
  <c r="E2487" i="17"/>
  <c r="F2487" i="17"/>
  <c r="B2488" i="17"/>
  <c r="C2488" i="17"/>
  <c r="D2488" i="17"/>
  <c r="E2488" i="17"/>
  <c r="F2488" i="17"/>
  <c r="B2489" i="17"/>
  <c r="C2489" i="17"/>
  <c r="D2489" i="17"/>
  <c r="E2489" i="17"/>
  <c r="F2489" i="17"/>
  <c r="B2490" i="17"/>
  <c r="C2490" i="17"/>
  <c r="D2490" i="17"/>
  <c r="E2490" i="17"/>
  <c r="F2490" i="17"/>
  <c r="B2491" i="17"/>
  <c r="C2491" i="17"/>
  <c r="D2491" i="17"/>
  <c r="E2491" i="17"/>
  <c r="F2491" i="17"/>
  <c r="B2492" i="17"/>
  <c r="C2492" i="17"/>
  <c r="D2492" i="17"/>
  <c r="E2492" i="17"/>
  <c r="F2492" i="17"/>
  <c r="B2583" i="17"/>
  <c r="C2583" i="17"/>
  <c r="D2583" i="17"/>
  <c r="E2583" i="17"/>
  <c r="F2583" i="17"/>
  <c r="B2584" i="17"/>
  <c r="C2584" i="17"/>
  <c r="D2584" i="17"/>
  <c r="E2584" i="17"/>
  <c r="F2584" i="17"/>
  <c r="B2585" i="17"/>
  <c r="C2585" i="17"/>
  <c r="D2585" i="17"/>
  <c r="E2585" i="17"/>
  <c r="F2585" i="17"/>
  <c r="B2601" i="17"/>
  <c r="C2601" i="17"/>
  <c r="D2601" i="17"/>
  <c r="E2601" i="17"/>
  <c r="F2601" i="17"/>
  <c r="B2602" i="17"/>
  <c r="C2602" i="17"/>
  <c r="D2602" i="17"/>
  <c r="E2602" i="17"/>
  <c r="F2602" i="17"/>
  <c r="B2603" i="17"/>
  <c r="C2603" i="17"/>
  <c r="D2603" i="17"/>
  <c r="E2603" i="17"/>
  <c r="F2603" i="17"/>
  <c r="B2604" i="17"/>
  <c r="C2604" i="17"/>
  <c r="D2604" i="17"/>
  <c r="E2604" i="17"/>
  <c r="F2604" i="17"/>
  <c r="B2605" i="17"/>
  <c r="C2605" i="17"/>
  <c r="D2605" i="17"/>
  <c r="E2605" i="17"/>
  <c r="F2605" i="17"/>
  <c r="B2606" i="17"/>
  <c r="C2606" i="17"/>
  <c r="D2606" i="17"/>
  <c r="E2606" i="17"/>
  <c r="F2606" i="17"/>
  <c r="B2607" i="17"/>
  <c r="C2607" i="17"/>
  <c r="D2607" i="17"/>
  <c r="E2607" i="17"/>
  <c r="F2607" i="17"/>
  <c r="B2608" i="17"/>
  <c r="C2608" i="17"/>
  <c r="D2608" i="17"/>
  <c r="E2608" i="17"/>
  <c r="F2608" i="17"/>
  <c r="B2609" i="17"/>
  <c r="C2609" i="17"/>
  <c r="D2609" i="17"/>
  <c r="E2609" i="17"/>
  <c r="F2609" i="17"/>
  <c r="B2610" i="17"/>
  <c r="C2610" i="17"/>
  <c r="D2610" i="17"/>
  <c r="E2610" i="17"/>
  <c r="F2610" i="17"/>
  <c r="B2611" i="17"/>
  <c r="C2611" i="17"/>
  <c r="D2611" i="17"/>
  <c r="E2611" i="17"/>
  <c r="F2611" i="17"/>
  <c r="B2612" i="17"/>
  <c r="C2612" i="17"/>
  <c r="D2612" i="17"/>
  <c r="E2612" i="17"/>
  <c r="F2612" i="17"/>
  <c r="B2613" i="17"/>
  <c r="C2613" i="17"/>
  <c r="D2613" i="17"/>
  <c r="E2613" i="17"/>
  <c r="F2613" i="17"/>
  <c r="B2614" i="17"/>
  <c r="C2614" i="17"/>
  <c r="D2614" i="17"/>
  <c r="E2614" i="17"/>
  <c r="F2614" i="17"/>
  <c r="B2615" i="17"/>
  <c r="C2615" i="17"/>
  <c r="D2615" i="17"/>
  <c r="E2615" i="17"/>
  <c r="F2615" i="17"/>
  <c r="B2616" i="17"/>
  <c r="C2616" i="17"/>
  <c r="D2616" i="17"/>
  <c r="E2616" i="17"/>
  <c r="F2616" i="17"/>
  <c r="B2617" i="17"/>
  <c r="C2617" i="17"/>
  <c r="D2617" i="17"/>
  <c r="E2617" i="17"/>
  <c r="F2617" i="17"/>
  <c r="B2618" i="17"/>
  <c r="C2618" i="17"/>
  <c r="D2618" i="17"/>
  <c r="E2618" i="17"/>
  <c r="F2618" i="17"/>
  <c r="B2619" i="17"/>
  <c r="C2619" i="17"/>
  <c r="D2619" i="17"/>
  <c r="E2619" i="17"/>
  <c r="F2619" i="17"/>
  <c r="B2620" i="17"/>
  <c r="C2620" i="17"/>
  <c r="D2620" i="17"/>
  <c r="E2620" i="17"/>
  <c r="F2620" i="17"/>
  <c r="B2621" i="17"/>
  <c r="C2621" i="17"/>
  <c r="D2621" i="17"/>
  <c r="E2621" i="17"/>
  <c r="F2621" i="17"/>
  <c r="B2622" i="17"/>
  <c r="C2622" i="17"/>
  <c r="D2622" i="17"/>
  <c r="E2622" i="17"/>
  <c r="F2622" i="17"/>
  <c r="B2623" i="17"/>
  <c r="C2623" i="17"/>
  <c r="D2623" i="17"/>
  <c r="E2623" i="17"/>
  <c r="F2623" i="17"/>
  <c r="B2624" i="17"/>
  <c r="C2624" i="17"/>
  <c r="D2624" i="17"/>
  <c r="E2624" i="17"/>
  <c r="F2624" i="17"/>
  <c r="B2625" i="17"/>
  <c r="C2625" i="17"/>
  <c r="D2625" i="17"/>
  <c r="E2625" i="17"/>
  <c r="F2625" i="17"/>
  <c r="B2626" i="17"/>
  <c r="C2626" i="17"/>
  <c r="D2626" i="17"/>
  <c r="E2626" i="17"/>
  <c r="F2626" i="17"/>
  <c r="B2627" i="17"/>
  <c r="C2627" i="17"/>
  <c r="D2627" i="17"/>
  <c r="E2627" i="17"/>
  <c r="F2627" i="17"/>
  <c r="B2628" i="17"/>
  <c r="C2628" i="17"/>
  <c r="D2628" i="17"/>
  <c r="E2628" i="17"/>
  <c r="F2628" i="17"/>
  <c r="B2629" i="17"/>
  <c r="C2629" i="17"/>
  <c r="D2629" i="17"/>
  <c r="E2629" i="17"/>
  <c r="F2629" i="17"/>
  <c r="B2630" i="17"/>
  <c r="C2630" i="17"/>
  <c r="D2630" i="17"/>
  <c r="E2630" i="17"/>
  <c r="F2630" i="17"/>
  <c r="B2631" i="17"/>
  <c r="C2631" i="17"/>
  <c r="D2631" i="17"/>
  <c r="E2631" i="17"/>
  <c r="F2631" i="17"/>
  <c r="B2632" i="17"/>
  <c r="C2632" i="17"/>
  <c r="D2632" i="17"/>
  <c r="E2632" i="17"/>
  <c r="F2632" i="17"/>
  <c r="B2633" i="17"/>
  <c r="C2633" i="17"/>
  <c r="D2633" i="17"/>
  <c r="E2633" i="17"/>
  <c r="F2633" i="17"/>
  <c r="B2634" i="17"/>
  <c r="C2634" i="17"/>
  <c r="D2634" i="17"/>
  <c r="E2634" i="17"/>
  <c r="F2634" i="17"/>
  <c r="B2635" i="17"/>
  <c r="C2635" i="17"/>
  <c r="D2635" i="17"/>
  <c r="E2635" i="17"/>
  <c r="F2635" i="17"/>
  <c r="B2636" i="17"/>
  <c r="C2636" i="17"/>
  <c r="D2636" i="17"/>
  <c r="E2636" i="17"/>
  <c r="F2636" i="17"/>
  <c r="B2637" i="17"/>
  <c r="C2637" i="17"/>
  <c r="D2637" i="17"/>
  <c r="E2637" i="17"/>
  <c r="F2637" i="17"/>
  <c r="B2638" i="17"/>
  <c r="C2638" i="17"/>
  <c r="D2638" i="17"/>
  <c r="E2638" i="17"/>
  <c r="F2638" i="17"/>
  <c r="B2639" i="17"/>
  <c r="C2639" i="17"/>
  <c r="D2639" i="17"/>
  <c r="E2639" i="17"/>
  <c r="F2639" i="17"/>
  <c r="B2640" i="17"/>
  <c r="C2640" i="17"/>
  <c r="D2640" i="17"/>
  <c r="E2640" i="17"/>
  <c r="F2640" i="17"/>
  <c r="B2641" i="17"/>
  <c r="C2641" i="17"/>
  <c r="D2641" i="17"/>
  <c r="E2641" i="17"/>
  <c r="F2641" i="17"/>
  <c r="B2642" i="17"/>
  <c r="C2642" i="17"/>
  <c r="D2642" i="17"/>
  <c r="E2642" i="17"/>
  <c r="F2642" i="17"/>
  <c r="B2643" i="17"/>
  <c r="C2643" i="17"/>
  <c r="D2643" i="17"/>
  <c r="E2643" i="17"/>
  <c r="F2643" i="17"/>
  <c r="B2644" i="17"/>
  <c r="C2644" i="17"/>
  <c r="D2644" i="17"/>
  <c r="E2644" i="17"/>
  <c r="F2644" i="17"/>
  <c r="B2645" i="17"/>
  <c r="C2645" i="17"/>
  <c r="D2645" i="17"/>
  <c r="E2645" i="17"/>
  <c r="F2645" i="17"/>
  <c r="B2646" i="17"/>
  <c r="C2646" i="17"/>
  <c r="D2646" i="17"/>
  <c r="E2646" i="17"/>
  <c r="F2646" i="17"/>
  <c r="B2647" i="17"/>
  <c r="C2647" i="17"/>
  <c r="D2647" i="17"/>
  <c r="E2647" i="17"/>
  <c r="F2647" i="17"/>
  <c r="B2648" i="17"/>
  <c r="C2648" i="17"/>
  <c r="D2648" i="17"/>
  <c r="E2648" i="17"/>
  <c r="F2648" i="17"/>
  <c r="B2649" i="17"/>
  <c r="C2649" i="17"/>
  <c r="D2649" i="17"/>
  <c r="E2649" i="17"/>
  <c r="F2649" i="17"/>
  <c r="B2650" i="17"/>
  <c r="C2650" i="17"/>
  <c r="D2650" i="17"/>
  <c r="E2650" i="17"/>
  <c r="F2650" i="17"/>
  <c r="B2651" i="17"/>
  <c r="C2651" i="17"/>
  <c r="D2651" i="17"/>
  <c r="E2651" i="17"/>
  <c r="F2651" i="17"/>
  <c r="B2652" i="17"/>
  <c r="C2652" i="17"/>
  <c r="D2652" i="17"/>
  <c r="E2652" i="17"/>
  <c r="F2652" i="17"/>
  <c r="B2653" i="17"/>
  <c r="C2653" i="17"/>
  <c r="D2653" i="17"/>
  <c r="E2653" i="17"/>
  <c r="F2653" i="17"/>
  <c r="B2654" i="17"/>
  <c r="C2654" i="17"/>
  <c r="D2654" i="17"/>
  <c r="E2654" i="17"/>
  <c r="F2654" i="17"/>
  <c r="B2655" i="17"/>
  <c r="C2655" i="17"/>
  <c r="D2655" i="17"/>
  <c r="E2655" i="17"/>
  <c r="F2655" i="17"/>
  <c r="B2656" i="17"/>
  <c r="C2656" i="17"/>
  <c r="D2656" i="17"/>
  <c r="E2656" i="17"/>
  <c r="F2656" i="17"/>
  <c r="B2657" i="17"/>
  <c r="C2657" i="17"/>
  <c r="D2657" i="17"/>
  <c r="E2657" i="17"/>
  <c r="F2657" i="17"/>
  <c r="B2658" i="17"/>
  <c r="C2658" i="17"/>
  <c r="D2658" i="17"/>
  <c r="E2658" i="17"/>
  <c r="F2658" i="17"/>
  <c r="B2659" i="17"/>
  <c r="C2659" i="17"/>
  <c r="D2659" i="17"/>
  <c r="E2659" i="17"/>
  <c r="F2659" i="17"/>
  <c r="B2660" i="17"/>
  <c r="C2660" i="17"/>
  <c r="D2660" i="17"/>
  <c r="E2660" i="17"/>
  <c r="F2660" i="17"/>
  <c r="B2661" i="17"/>
  <c r="C2661" i="17"/>
  <c r="D2661" i="17"/>
  <c r="E2661" i="17"/>
  <c r="F2661" i="17"/>
  <c r="B2662" i="17"/>
  <c r="C2662" i="17"/>
  <c r="D2662" i="17"/>
  <c r="E2662" i="17"/>
  <c r="F2662" i="17"/>
  <c r="B2663" i="17"/>
  <c r="C2663" i="17"/>
  <c r="D2663" i="17"/>
  <c r="E2663" i="17"/>
  <c r="F2663" i="17"/>
  <c r="B2664" i="17"/>
  <c r="C2664" i="17"/>
  <c r="D2664" i="17"/>
  <c r="E2664" i="17"/>
  <c r="F2664" i="17"/>
  <c r="B2665" i="17"/>
  <c r="C2665" i="17"/>
  <c r="D2665" i="17"/>
  <c r="E2665" i="17"/>
  <c r="F2665" i="17"/>
  <c r="B2666" i="17"/>
  <c r="C2666" i="17"/>
  <c r="D2666" i="17"/>
  <c r="E2666" i="17"/>
  <c r="F2666" i="17"/>
  <c r="B2667" i="17"/>
  <c r="C2667" i="17"/>
  <c r="D2667" i="17"/>
  <c r="E2667" i="17"/>
  <c r="F2667" i="17"/>
  <c r="B2668" i="17"/>
  <c r="C2668" i="17"/>
  <c r="D2668" i="17"/>
  <c r="E2668" i="17"/>
  <c r="F2668" i="17"/>
  <c r="B2669" i="17"/>
  <c r="C2669" i="17"/>
  <c r="D2669" i="17"/>
  <c r="E2669" i="17"/>
  <c r="F2669" i="17"/>
  <c r="B2670" i="17"/>
  <c r="C2670" i="17"/>
  <c r="D2670" i="17"/>
  <c r="E2670" i="17"/>
  <c r="F2670" i="17"/>
  <c r="B2671" i="17"/>
  <c r="C2671" i="17"/>
  <c r="D2671" i="17"/>
  <c r="E2671" i="17"/>
  <c r="F2671" i="17"/>
  <c r="B2672" i="17"/>
  <c r="C2672" i="17"/>
  <c r="D2672" i="17"/>
  <c r="E2672" i="17"/>
  <c r="F2672" i="17"/>
  <c r="B2673" i="17"/>
  <c r="C2673" i="17"/>
  <c r="D2673" i="17"/>
  <c r="E2673" i="17"/>
  <c r="F2673" i="17"/>
  <c r="B2674" i="17"/>
  <c r="C2674" i="17"/>
  <c r="D2674" i="17"/>
  <c r="E2674" i="17"/>
  <c r="F2674" i="17"/>
  <c r="B2675" i="17"/>
  <c r="C2675" i="17"/>
  <c r="D2675" i="17"/>
  <c r="E2675" i="17"/>
  <c r="F2675" i="17"/>
  <c r="B2676" i="17"/>
  <c r="C2676" i="17"/>
  <c r="D2676" i="17"/>
  <c r="E2676" i="17"/>
  <c r="F2676" i="17"/>
  <c r="B2677" i="17"/>
  <c r="C2677" i="17"/>
  <c r="D2677" i="17"/>
  <c r="E2677" i="17"/>
  <c r="F2677" i="17"/>
  <c r="B2678" i="17"/>
  <c r="C2678" i="17"/>
  <c r="D2678" i="17"/>
  <c r="E2678" i="17"/>
  <c r="F2678" i="17"/>
  <c r="B2679" i="17"/>
  <c r="C2679" i="17"/>
  <c r="D2679" i="17"/>
  <c r="E2679" i="17"/>
  <c r="F2679" i="17"/>
  <c r="B2680" i="17"/>
  <c r="C2680" i="17"/>
  <c r="D2680" i="17"/>
  <c r="E2680" i="17"/>
  <c r="F2680" i="17"/>
  <c r="B2681" i="17"/>
  <c r="C2681" i="17"/>
  <c r="D2681" i="17"/>
  <c r="E2681" i="17"/>
  <c r="F2681" i="17"/>
  <c r="B2682" i="17"/>
  <c r="C2682" i="17"/>
  <c r="D2682" i="17"/>
  <c r="E2682" i="17"/>
  <c r="F2682" i="17"/>
  <c r="B2683" i="17"/>
  <c r="C2683" i="17"/>
  <c r="D2683" i="17"/>
  <c r="E2683" i="17"/>
  <c r="F2683" i="17"/>
  <c r="B2684" i="17"/>
  <c r="C2684" i="17"/>
  <c r="D2684" i="17"/>
  <c r="E2684" i="17"/>
  <c r="F2684" i="17"/>
  <c r="B2685" i="17"/>
  <c r="C2685" i="17"/>
  <c r="D2685" i="17"/>
  <c r="E2685" i="17"/>
  <c r="F2685" i="17"/>
  <c r="B2686" i="17"/>
  <c r="C2686" i="17"/>
  <c r="D2686" i="17"/>
  <c r="E2686" i="17"/>
  <c r="F2686" i="17"/>
  <c r="B2687" i="17"/>
  <c r="C2687" i="17"/>
  <c r="D2687" i="17"/>
  <c r="E2687" i="17"/>
  <c r="F2687" i="17"/>
  <c r="B2688" i="17"/>
  <c r="C2688" i="17"/>
  <c r="D2688" i="17"/>
  <c r="E2688" i="17"/>
  <c r="F2688" i="17"/>
  <c r="B2689" i="17"/>
  <c r="C2689" i="17"/>
  <c r="D2689" i="17"/>
  <c r="E2689" i="17"/>
  <c r="F2689" i="17"/>
  <c r="B2690" i="17"/>
  <c r="C2690" i="17"/>
  <c r="D2690" i="17"/>
  <c r="E2690" i="17"/>
  <c r="F2690" i="17"/>
  <c r="B2691" i="17"/>
  <c r="C2691" i="17"/>
  <c r="D2691" i="17"/>
  <c r="E2691" i="17"/>
  <c r="F2691" i="17"/>
  <c r="B2692" i="17"/>
  <c r="C2692" i="17"/>
  <c r="D2692" i="17"/>
  <c r="E2692" i="17"/>
  <c r="F2692" i="17"/>
  <c r="B2693" i="17"/>
  <c r="C2693" i="17"/>
  <c r="D2693" i="17"/>
  <c r="E2693" i="17"/>
  <c r="F2693" i="17"/>
  <c r="B2694" i="17"/>
  <c r="C2694" i="17"/>
  <c r="D2694" i="17"/>
  <c r="E2694" i="17"/>
  <c r="F2694" i="17"/>
  <c r="B2695" i="17"/>
  <c r="C2695" i="17"/>
  <c r="D2695" i="17"/>
  <c r="E2695" i="17"/>
  <c r="F2695" i="17"/>
  <c r="B2696" i="17"/>
  <c r="C2696" i="17"/>
  <c r="D2696" i="17"/>
  <c r="E2696" i="17"/>
  <c r="F2696" i="17"/>
  <c r="B2697" i="17"/>
  <c r="C2697" i="17"/>
  <c r="D2697" i="17"/>
  <c r="E2697" i="17"/>
  <c r="F2697" i="17"/>
  <c r="B2698" i="17"/>
  <c r="C2698" i="17"/>
  <c r="D2698" i="17"/>
  <c r="E2698" i="17"/>
  <c r="F2698" i="17"/>
  <c r="B2699" i="17"/>
  <c r="C2699" i="17"/>
  <c r="D2699" i="17"/>
  <c r="E2699" i="17"/>
  <c r="F2699" i="17"/>
  <c r="B2700" i="17"/>
  <c r="C2700" i="17"/>
  <c r="D2700" i="17"/>
  <c r="E2700" i="17"/>
  <c r="F2700" i="17"/>
  <c r="B2701" i="17"/>
  <c r="C2701" i="17"/>
  <c r="D2701" i="17"/>
  <c r="E2701" i="17"/>
  <c r="F2701" i="17"/>
  <c r="B2702" i="17"/>
  <c r="C2702" i="17"/>
  <c r="D2702" i="17"/>
  <c r="E2702" i="17"/>
  <c r="F2702" i="17"/>
  <c r="B2703" i="17"/>
  <c r="C2703" i="17"/>
  <c r="D2703" i="17"/>
  <c r="E2703" i="17"/>
  <c r="F2703" i="17"/>
  <c r="B2704" i="17"/>
  <c r="C2704" i="17"/>
  <c r="D2704" i="17"/>
  <c r="E2704" i="17"/>
  <c r="F2704" i="17"/>
  <c r="B2705" i="17"/>
  <c r="C2705" i="17"/>
  <c r="D2705" i="17"/>
  <c r="E2705" i="17"/>
  <c r="F2705" i="17"/>
  <c r="B2706" i="17"/>
  <c r="C2706" i="17"/>
  <c r="D2706" i="17"/>
  <c r="E2706" i="17"/>
  <c r="F2706" i="17"/>
  <c r="B2707" i="17"/>
  <c r="C2707" i="17"/>
  <c r="D2707" i="17"/>
  <c r="E2707" i="17"/>
  <c r="F2707" i="17"/>
  <c r="B2708" i="17"/>
  <c r="C2708" i="17"/>
  <c r="D2708" i="17"/>
  <c r="E2708" i="17"/>
  <c r="F2708" i="17"/>
  <c r="B2709" i="17"/>
  <c r="C2709" i="17"/>
  <c r="D2709" i="17"/>
  <c r="E2709" i="17"/>
  <c r="F2709" i="17"/>
  <c r="B2710" i="17"/>
  <c r="C2710" i="17"/>
  <c r="D2710" i="17"/>
  <c r="E2710" i="17"/>
  <c r="F2710" i="17"/>
  <c r="B2711" i="17"/>
  <c r="C2711" i="17"/>
  <c r="D2711" i="17"/>
  <c r="E2711" i="17"/>
  <c r="F2711" i="17"/>
  <c r="B2712" i="17"/>
  <c r="C2712" i="17"/>
  <c r="D2712" i="17"/>
  <c r="E2712" i="17"/>
  <c r="F2712" i="17"/>
  <c r="B2713" i="17"/>
  <c r="C2713" i="17"/>
  <c r="D2713" i="17"/>
  <c r="E2713" i="17"/>
  <c r="F2713" i="17"/>
  <c r="B2714" i="17"/>
  <c r="C2714" i="17"/>
  <c r="D2714" i="17"/>
  <c r="E2714" i="17"/>
  <c r="F2714" i="17"/>
  <c r="B2715" i="17"/>
  <c r="C2715" i="17"/>
  <c r="D2715" i="17"/>
  <c r="E2715" i="17"/>
  <c r="F2715" i="17"/>
  <c r="B2716" i="17"/>
  <c r="C2716" i="17"/>
  <c r="D2716" i="17"/>
  <c r="E2716" i="17"/>
  <c r="F2716" i="17"/>
  <c r="B2717" i="17"/>
  <c r="C2717" i="17"/>
  <c r="D2717" i="17"/>
  <c r="E2717" i="17"/>
  <c r="F2717" i="17"/>
  <c r="B2718" i="17"/>
  <c r="C2718" i="17"/>
  <c r="D2718" i="17"/>
  <c r="E2718" i="17"/>
  <c r="F2718" i="17"/>
  <c r="B2719" i="17"/>
  <c r="C2719" i="17"/>
  <c r="D2719" i="17"/>
  <c r="E2719" i="17"/>
  <c r="F2719" i="17"/>
  <c r="B2720" i="17"/>
  <c r="C2720" i="17"/>
  <c r="D2720" i="17"/>
  <c r="E2720" i="17"/>
  <c r="F2720" i="17"/>
  <c r="B2721" i="17"/>
  <c r="C2721" i="17"/>
  <c r="D2721" i="17"/>
  <c r="E2721" i="17"/>
  <c r="F2721" i="17"/>
  <c r="B2722" i="17"/>
  <c r="C2722" i="17"/>
  <c r="D2722" i="17"/>
  <c r="E2722" i="17"/>
  <c r="F2722" i="17"/>
  <c r="B2723" i="17"/>
  <c r="C2723" i="17"/>
  <c r="D2723" i="17"/>
  <c r="E2723" i="17"/>
  <c r="F2723" i="17"/>
  <c r="B2724" i="17"/>
  <c r="C2724" i="17"/>
  <c r="D2724" i="17"/>
  <c r="E2724" i="17"/>
  <c r="F2724" i="17"/>
  <c r="B2725" i="17"/>
  <c r="C2725" i="17"/>
  <c r="D2725" i="17"/>
  <c r="E2725" i="17"/>
  <c r="F2725" i="17"/>
  <c r="B2726" i="17"/>
  <c r="C2726" i="17"/>
  <c r="D2726" i="17"/>
  <c r="E2726" i="17"/>
  <c r="F2726" i="17"/>
  <c r="B2727" i="17"/>
  <c r="C2727" i="17"/>
  <c r="D2727" i="17"/>
  <c r="E2727" i="17"/>
  <c r="F2727" i="17"/>
  <c r="B2728" i="17"/>
  <c r="C2728" i="17"/>
  <c r="D2728" i="17"/>
  <c r="E2728" i="17"/>
  <c r="F2728" i="17"/>
  <c r="B2729" i="17"/>
  <c r="C2729" i="17"/>
  <c r="D2729" i="17"/>
  <c r="E2729" i="17"/>
  <c r="F2729" i="17"/>
  <c r="B2730" i="17"/>
  <c r="C2730" i="17"/>
  <c r="D2730" i="17"/>
  <c r="E2730" i="17"/>
  <c r="F2730" i="17"/>
  <c r="B2731" i="17"/>
  <c r="C2731" i="17"/>
  <c r="D2731" i="17"/>
  <c r="E2731" i="17"/>
  <c r="F2731" i="17"/>
  <c r="B2732" i="17"/>
  <c r="C2732" i="17"/>
  <c r="D2732" i="17"/>
  <c r="E2732" i="17"/>
  <c r="F2732" i="17"/>
  <c r="B2733" i="17"/>
  <c r="C2733" i="17"/>
  <c r="D2733" i="17"/>
  <c r="E2733" i="17"/>
  <c r="F2733" i="17"/>
  <c r="B2734" i="17"/>
  <c r="C2734" i="17"/>
  <c r="D2734" i="17"/>
  <c r="E2734" i="17"/>
  <c r="F2734" i="17"/>
  <c r="B2735" i="17"/>
  <c r="C2735" i="17"/>
  <c r="D2735" i="17"/>
  <c r="E2735" i="17"/>
  <c r="F2735" i="17"/>
  <c r="B2736" i="17"/>
  <c r="C2736" i="17"/>
  <c r="D2736" i="17"/>
  <c r="E2736" i="17"/>
  <c r="F2736" i="17"/>
  <c r="B2737" i="17"/>
  <c r="C2737" i="17"/>
  <c r="D2737" i="17"/>
  <c r="E2737" i="17"/>
  <c r="F2737" i="17"/>
  <c r="B2738" i="17"/>
  <c r="C2738" i="17"/>
  <c r="D2738" i="17"/>
  <c r="E2738" i="17"/>
  <c r="F2738" i="17"/>
  <c r="B2739" i="17"/>
  <c r="C2739" i="17"/>
  <c r="D2739" i="17"/>
  <c r="E2739" i="17"/>
  <c r="F2739" i="17"/>
  <c r="B2740" i="17"/>
  <c r="C2740" i="17"/>
  <c r="D2740" i="17"/>
  <c r="E2740" i="17"/>
  <c r="F2740" i="17"/>
  <c r="B2741" i="17"/>
  <c r="C2741" i="17"/>
  <c r="D2741" i="17"/>
  <c r="E2741" i="17"/>
  <c r="F2741" i="17"/>
  <c r="B2742" i="17"/>
  <c r="C2742" i="17"/>
  <c r="D2742" i="17"/>
  <c r="E2742" i="17"/>
  <c r="F2742" i="17"/>
  <c r="B2743" i="17"/>
  <c r="C2743" i="17"/>
  <c r="D2743" i="17"/>
  <c r="E2743" i="17"/>
  <c r="F2743" i="17"/>
  <c r="B2744" i="17"/>
  <c r="C2744" i="17"/>
  <c r="D2744" i="17"/>
  <c r="E2744" i="17"/>
  <c r="F2744" i="17"/>
  <c r="B2745" i="17"/>
  <c r="C2745" i="17"/>
  <c r="D2745" i="17"/>
  <c r="E2745" i="17"/>
  <c r="F2745" i="17"/>
  <c r="B2746" i="17"/>
  <c r="C2746" i="17"/>
  <c r="D2746" i="17"/>
  <c r="E2746" i="17"/>
  <c r="F2746" i="17"/>
  <c r="B2747" i="17"/>
  <c r="C2747" i="17"/>
  <c r="D2747" i="17"/>
  <c r="E2747" i="17"/>
  <c r="F2747" i="17"/>
  <c r="B2748" i="17"/>
  <c r="C2748" i="17"/>
  <c r="D2748" i="17"/>
  <c r="E2748" i="17"/>
  <c r="F2748" i="17"/>
  <c r="B2749" i="17"/>
  <c r="C2749" i="17"/>
  <c r="D2749" i="17"/>
  <c r="E2749" i="17"/>
  <c r="F2749" i="17"/>
  <c r="B2750" i="17"/>
  <c r="C2750" i="17"/>
  <c r="D2750" i="17"/>
  <c r="E2750" i="17"/>
  <c r="F2750" i="17"/>
  <c r="B2751" i="17"/>
  <c r="C2751" i="17"/>
  <c r="D2751" i="17"/>
  <c r="E2751" i="17"/>
  <c r="F2751" i="17"/>
  <c r="B2752" i="17"/>
  <c r="C2752" i="17"/>
  <c r="D2752" i="17"/>
  <c r="E2752" i="17"/>
  <c r="F2752" i="17"/>
  <c r="B2753" i="17"/>
  <c r="C2753" i="17"/>
  <c r="D2753" i="17"/>
  <c r="E2753" i="17"/>
  <c r="F2753" i="17"/>
  <c r="B2754" i="17"/>
  <c r="C2754" i="17"/>
  <c r="D2754" i="17"/>
  <c r="E2754" i="17"/>
  <c r="F2754" i="17"/>
  <c r="B2755" i="17"/>
  <c r="C2755" i="17"/>
  <c r="D2755" i="17"/>
  <c r="E2755" i="17"/>
  <c r="F2755" i="17"/>
  <c r="B2756" i="17"/>
  <c r="C2756" i="17"/>
  <c r="D2756" i="17"/>
  <c r="E2756" i="17"/>
  <c r="F2756" i="17"/>
  <c r="B2757" i="17"/>
  <c r="C2757" i="17"/>
  <c r="D2757" i="17"/>
  <c r="E2757" i="17"/>
  <c r="F2757" i="17"/>
  <c r="B2758" i="17"/>
  <c r="C2758" i="17"/>
  <c r="D2758" i="17"/>
  <c r="E2758" i="17"/>
  <c r="F2758" i="17"/>
  <c r="B2759" i="17"/>
  <c r="C2759" i="17"/>
  <c r="D2759" i="17"/>
  <c r="E2759" i="17"/>
  <c r="F2759" i="17"/>
  <c r="B2760" i="17"/>
  <c r="C2760" i="17"/>
  <c r="D2760" i="17"/>
  <c r="E2760" i="17"/>
  <c r="F2760" i="17"/>
  <c r="B2761" i="17"/>
  <c r="C2761" i="17"/>
  <c r="D2761" i="17"/>
  <c r="E2761" i="17"/>
  <c r="F2761" i="17"/>
  <c r="B2762" i="17"/>
  <c r="C2762" i="17"/>
  <c r="D2762" i="17"/>
  <c r="E2762" i="17"/>
  <c r="F2762" i="17"/>
  <c r="B2763" i="17"/>
  <c r="C2763" i="17"/>
  <c r="D2763" i="17"/>
  <c r="E2763" i="17"/>
  <c r="F2763" i="17"/>
  <c r="B2764" i="17"/>
  <c r="C2764" i="17"/>
  <c r="D2764" i="17"/>
  <c r="E2764" i="17"/>
  <c r="F2764" i="17"/>
  <c r="B2765" i="17"/>
  <c r="C2765" i="17"/>
  <c r="D2765" i="17"/>
  <c r="E2765" i="17"/>
  <c r="F2765" i="17"/>
  <c r="B2766" i="17"/>
  <c r="C2766" i="17"/>
  <c r="D2766" i="17"/>
  <c r="E2766" i="17"/>
  <c r="F2766" i="17"/>
  <c r="B2767" i="17"/>
  <c r="C2767" i="17"/>
  <c r="D2767" i="17"/>
  <c r="E2767" i="17"/>
  <c r="F2767" i="17"/>
  <c r="B2768" i="17"/>
  <c r="C2768" i="17"/>
  <c r="D2768" i="17"/>
  <c r="E2768" i="17"/>
  <c r="F2768" i="17"/>
  <c r="B2769" i="17"/>
  <c r="C2769" i="17"/>
  <c r="D2769" i="17"/>
  <c r="E2769" i="17"/>
  <c r="F2769" i="17"/>
  <c r="B2770" i="17"/>
  <c r="C2770" i="17"/>
  <c r="D2770" i="17"/>
  <c r="E2770" i="17"/>
  <c r="F2770" i="17"/>
  <c r="B2771" i="17"/>
  <c r="C2771" i="17"/>
  <c r="D2771" i="17"/>
  <c r="E2771" i="17"/>
  <c r="F2771" i="17"/>
  <c r="B2772" i="17"/>
  <c r="C2772" i="17"/>
  <c r="D2772" i="17"/>
  <c r="E2772" i="17"/>
  <c r="F2772" i="17"/>
  <c r="B2773" i="17"/>
  <c r="C2773" i="17"/>
  <c r="D2773" i="17"/>
  <c r="E2773" i="17"/>
  <c r="F2773" i="17"/>
  <c r="B2774" i="17"/>
  <c r="C2774" i="17"/>
  <c r="D2774" i="17"/>
  <c r="E2774" i="17"/>
  <c r="F2774" i="17"/>
  <c r="B2775" i="17"/>
  <c r="C2775" i="17"/>
  <c r="D2775" i="17"/>
  <c r="E2775" i="17"/>
  <c r="F2775" i="17"/>
  <c r="B2776" i="17"/>
  <c r="C2776" i="17"/>
  <c r="D2776" i="17"/>
  <c r="E2776" i="17"/>
  <c r="F2776" i="17"/>
  <c r="B2777" i="17"/>
  <c r="C2777" i="17"/>
  <c r="D2777" i="17"/>
  <c r="E2777" i="17"/>
  <c r="F2777" i="17"/>
  <c r="B2778" i="17"/>
  <c r="C2778" i="17"/>
  <c r="D2778" i="17"/>
  <c r="E2778" i="17"/>
  <c r="F2778" i="17"/>
  <c r="B2779" i="17"/>
  <c r="C2779" i="17"/>
  <c r="D2779" i="17"/>
  <c r="E2779" i="17"/>
  <c r="F2779" i="17"/>
  <c r="B2780" i="17"/>
  <c r="C2780" i="17"/>
  <c r="D2780" i="17"/>
  <c r="E2780" i="17"/>
  <c r="F2780" i="17"/>
  <c r="B2781" i="17"/>
  <c r="C2781" i="17"/>
  <c r="D2781" i="17"/>
  <c r="E2781" i="17"/>
  <c r="F2781" i="17"/>
  <c r="B2782" i="17"/>
  <c r="C2782" i="17"/>
  <c r="D2782" i="17"/>
  <c r="E2782" i="17"/>
  <c r="F2782" i="17"/>
  <c r="B2783" i="17"/>
  <c r="C2783" i="17"/>
  <c r="D2783" i="17"/>
  <c r="E2783" i="17"/>
  <c r="F2783" i="17"/>
  <c r="B2784" i="17"/>
  <c r="C2784" i="17"/>
  <c r="D2784" i="17"/>
  <c r="E2784" i="17"/>
  <c r="F2784" i="17"/>
  <c r="B2785" i="17"/>
  <c r="C2785" i="17"/>
  <c r="D2785" i="17"/>
  <c r="E2785" i="17"/>
  <c r="F2785" i="17"/>
  <c r="B2786" i="17"/>
  <c r="C2786" i="17"/>
  <c r="D2786" i="17"/>
  <c r="E2786" i="17"/>
  <c r="F2786" i="17"/>
  <c r="B2787" i="17"/>
  <c r="C2787" i="17"/>
  <c r="D2787" i="17"/>
  <c r="E2787" i="17"/>
  <c r="F2787" i="17"/>
  <c r="B2788" i="17"/>
  <c r="C2788" i="17"/>
  <c r="D2788" i="17"/>
  <c r="E2788" i="17"/>
  <c r="F2788" i="17"/>
  <c r="B2789" i="17"/>
  <c r="C2789" i="17"/>
  <c r="D2789" i="17"/>
  <c r="E2789" i="17"/>
  <c r="F2789" i="17"/>
  <c r="B2790" i="17"/>
  <c r="C2790" i="17"/>
  <c r="D2790" i="17"/>
  <c r="E2790" i="17"/>
  <c r="F2790" i="17"/>
  <c r="B2791" i="17"/>
  <c r="C2791" i="17"/>
  <c r="D2791" i="17"/>
  <c r="E2791" i="17"/>
  <c r="F2791" i="17"/>
  <c r="B2792" i="17"/>
  <c r="C2792" i="17"/>
  <c r="D2792" i="17"/>
  <c r="E2792" i="17"/>
  <c r="F2792" i="17"/>
  <c r="B2793" i="17"/>
  <c r="C2793" i="17"/>
  <c r="D2793" i="17"/>
  <c r="E2793" i="17"/>
  <c r="F2793" i="17"/>
  <c r="B2794" i="17"/>
  <c r="C2794" i="17"/>
  <c r="D2794" i="17"/>
  <c r="E2794" i="17"/>
  <c r="F2794" i="17"/>
  <c r="B2795" i="17"/>
  <c r="C2795" i="17"/>
  <c r="D2795" i="17"/>
  <c r="E2795" i="17"/>
  <c r="F2795" i="17"/>
  <c r="B2796" i="17"/>
  <c r="C2796" i="17"/>
  <c r="D2796" i="17"/>
  <c r="E2796" i="17"/>
  <c r="F2796" i="17"/>
  <c r="B2797" i="17"/>
  <c r="C2797" i="17"/>
  <c r="D2797" i="17"/>
  <c r="E2797" i="17"/>
  <c r="F2797" i="17"/>
  <c r="B2798" i="17"/>
  <c r="C2798" i="17"/>
  <c r="D2798" i="17"/>
  <c r="E2798" i="17"/>
  <c r="F2798" i="17"/>
  <c r="B2799" i="17"/>
  <c r="C2799" i="17"/>
  <c r="D2799" i="17"/>
  <c r="E2799" i="17"/>
  <c r="F2799" i="17"/>
  <c r="B2800" i="17"/>
  <c r="C2800" i="17"/>
  <c r="D2800" i="17"/>
  <c r="E2800" i="17"/>
  <c r="F2800" i="17"/>
  <c r="B2801" i="17"/>
  <c r="C2801" i="17"/>
  <c r="D2801" i="17"/>
  <c r="E2801" i="17"/>
  <c r="F2801" i="17"/>
  <c r="B2802" i="17"/>
  <c r="C2802" i="17"/>
  <c r="D2802" i="17"/>
  <c r="E2802" i="17"/>
  <c r="F2802" i="17"/>
  <c r="B2803" i="17"/>
  <c r="C2803" i="17"/>
  <c r="D2803" i="17"/>
  <c r="E2803" i="17"/>
  <c r="F2803" i="17"/>
  <c r="B2804" i="17"/>
  <c r="C2804" i="17"/>
  <c r="D2804" i="17"/>
  <c r="E2804" i="17"/>
  <c r="F2804" i="17"/>
  <c r="B2805" i="17"/>
  <c r="C2805" i="17"/>
  <c r="D2805" i="17"/>
  <c r="E2805" i="17"/>
  <c r="F2805" i="17"/>
  <c r="B2806" i="17"/>
  <c r="C2806" i="17"/>
  <c r="D2806" i="17"/>
  <c r="E2806" i="17"/>
  <c r="F2806" i="17"/>
  <c r="B2807" i="17"/>
  <c r="C2807" i="17"/>
  <c r="D2807" i="17"/>
  <c r="E2807" i="17"/>
  <c r="F2807" i="17"/>
  <c r="B2808" i="17"/>
  <c r="C2808" i="17"/>
  <c r="D2808" i="17"/>
  <c r="E2808" i="17"/>
  <c r="F2808" i="17"/>
  <c r="B2809" i="17"/>
  <c r="C2809" i="17"/>
  <c r="D2809" i="17"/>
  <c r="E2809" i="17"/>
  <c r="F2809" i="17"/>
  <c r="B2810" i="17"/>
  <c r="C2810" i="17"/>
  <c r="D2810" i="17"/>
  <c r="E2810" i="17"/>
  <c r="F2810" i="17"/>
  <c r="B2811" i="17"/>
  <c r="C2811" i="17"/>
  <c r="D2811" i="17"/>
  <c r="E2811" i="17"/>
  <c r="F2811" i="17"/>
  <c r="B2812" i="17"/>
  <c r="C2812" i="17"/>
  <c r="D2812" i="17"/>
  <c r="E2812" i="17"/>
  <c r="F2812" i="17"/>
  <c r="B2813" i="17"/>
  <c r="C2813" i="17"/>
  <c r="D2813" i="17"/>
  <c r="E2813" i="17"/>
  <c r="F2813" i="17"/>
  <c r="B2814" i="17"/>
  <c r="C2814" i="17"/>
  <c r="D2814" i="17"/>
  <c r="E2814" i="17"/>
  <c r="F2814" i="17"/>
  <c r="B2815" i="17"/>
  <c r="C2815" i="17"/>
  <c r="D2815" i="17"/>
  <c r="E2815" i="17"/>
  <c r="F2815" i="17"/>
  <c r="B2816" i="17"/>
  <c r="C2816" i="17"/>
  <c r="D2816" i="17"/>
  <c r="E2816" i="17"/>
  <c r="F2816" i="17"/>
  <c r="B2817" i="17"/>
  <c r="C2817" i="17"/>
  <c r="D2817" i="17"/>
  <c r="E2817" i="17"/>
  <c r="F2817" i="17"/>
  <c r="B2818" i="17"/>
  <c r="C2818" i="17"/>
  <c r="D2818" i="17"/>
  <c r="E2818" i="17"/>
  <c r="F2818" i="17"/>
  <c r="B2819" i="17"/>
  <c r="C2819" i="17"/>
  <c r="D2819" i="17"/>
  <c r="E2819" i="17"/>
  <c r="F2819" i="17"/>
  <c r="B2820" i="17"/>
  <c r="C2820" i="17"/>
  <c r="D2820" i="17"/>
  <c r="E2820" i="17"/>
  <c r="F2820" i="17"/>
  <c r="B2821" i="17"/>
  <c r="C2821" i="17"/>
  <c r="D2821" i="17"/>
  <c r="E2821" i="17"/>
  <c r="F2821" i="17"/>
  <c r="B2822" i="17"/>
  <c r="C2822" i="17"/>
  <c r="D2822" i="17"/>
  <c r="E2822" i="17"/>
  <c r="F2822" i="17"/>
  <c r="B2823" i="17"/>
  <c r="C2823" i="17"/>
  <c r="D2823" i="17"/>
  <c r="E2823" i="17"/>
  <c r="F2823" i="17"/>
  <c r="B2824" i="17"/>
  <c r="C2824" i="17"/>
  <c r="D2824" i="17"/>
  <c r="E2824" i="17"/>
  <c r="F2824" i="17"/>
  <c r="B2825" i="17"/>
  <c r="C2825" i="17"/>
  <c r="D2825" i="17"/>
  <c r="E2825" i="17"/>
  <c r="F2825" i="17"/>
  <c r="B2826" i="17"/>
  <c r="C2826" i="17"/>
  <c r="D2826" i="17"/>
  <c r="E2826" i="17"/>
  <c r="F2826" i="17"/>
  <c r="B2827" i="17"/>
  <c r="C2827" i="17"/>
  <c r="D2827" i="17"/>
  <c r="E2827" i="17"/>
  <c r="F2827" i="17"/>
  <c r="B2828" i="17"/>
  <c r="C2828" i="17"/>
  <c r="D2828" i="17"/>
  <c r="E2828" i="17"/>
  <c r="F2828" i="17"/>
  <c r="B2829" i="17"/>
  <c r="C2829" i="17"/>
  <c r="D2829" i="17"/>
  <c r="E2829" i="17"/>
  <c r="F2829" i="17"/>
  <c r="B2830" i="17"/>
  <c r="C2830" i="17"/>
  <c r="D2830" i="17"/>
  <c r="E2830" i="17"/>
  <c r="F2830" i="17"/>
  <c r="B2831" i="17"/>
  <c r="C2831" i="17"/>
  <c r="D2831" i="17"/>
  <c r="E2831" i="17"/>
  <c r="F2831" i="17"/>
  <c r="B2832" i="17"/>
  <c r="C2832" i="17"/>
  <c r="D2832" i="17"/>
  <c r="E2832" i="17"/>
  <c r="F2832" i="17"/>
  <c r="B2833" i="17"/>
  <c r="C2833" i="17"/>
  <c r="D2833" i="17"/>
  <c r="E2833" i="17"/>
  <c r="F2833" i="17"/>
  <c r="B2834" i="17"/>
  <c r="C2834" i="17"/>
  <c r="D2834" i="17"/>
  <c r="E2834" i="17"/>
  <c r="F2834" i="17"/>
  <c r="B2835" i="17"/>
  <c r="C2835" i="17"/>
  <c r="D2835" i="17"/>
  <c r="E2835" i="17"/>
  <c r="F2835" i="17"/>
  <c r="B2836" i="17"/>
  <c r="C2836" i="17"/>
  <c r="D2836" i="17"/>
  <c r="E2836" i="17"/>
  <c r="F2836" i="17"/>
  <c r="B2837" i="17"/>
  <c r="C2837" i="17"/>
  <c r="D2837" i="17"/>
  <c r="E2837" i="17"/>
  <c r="F2837" i="17"/>
  <c r="B2838" i="17"/>
  <c r="C2838" i="17"/>
  <c r="D2838" i="17"/>
  <c r="E2838" i="17"/>
  <c r="F2838" i="17"/>
  <c r="B2839" i="17"/>
  <c r="C2839" i="17"/>
  <c r="D2839" i="17"/>
  <c r="E2839" i="17"/>
  <c r="F2839" i="17"/>
  <c r="B2840" i="17"/>
  <c r="C2840" i="17"/>
  <c r="D2840" i="17"/>
  <c r="E2840" i="17"/>
  <c r="F2840" i="17"/>
  <c r="B2841" i="17"/>
  <c r="C2841" i="17"/>
  <c r="D2841" i="17"/>
  <c r="E2841" i="17"/>
  <c r="F2841" i="17"/>
  <c r="B2842" i="17"/>
  <c r="C2842" i="17"/>
  <c r="D2842" i="17"/>
  <c r="E2842" i="17"/>
  <c r="F2842" i="17"/>
  <c r="B2843" i="17"/>
  <c r="C2843" i="17"/>
  <c r="D2843" i="17"/>
  <c r="E2843" i="17"/>
  <c r="F2843" i="17"/>
  <c r="B2844" i="17"/>
  <c r="C2844" i="17"/>
  <c r="D2844" i="17"/>
  <c r="E2844" i="17"/>
  <c r="F2844" i="17"/>
  <c r="B2845" i="17"/>
  <c r="C2845" i="17"/>
  <c r="D2845" i="17"/>
  <c r="E2845" i="17"/>
  <c r="F2845" i="17"/>
  <c r="B2846" i="17"/>
  <c r="C2846" i="17"/>
  <c r="D2846" i="17"/>
  <c r="E2846" i="17"/>
  <c r="F2846" i="17"/>
  <c r="B2847" i="17"/>
  <c r="C2847" i="17"/>
  <c r="D2847" i="17"/>
  <c r="E2847" i="17"/>
  <c r="F2847" i="17"/>
  <c r="B2848" i="17"/>
  <c r="C2848" i="17"/>
  <c r="D2848" i="17"/>
  <c r="E2848" i="17"/>
  <c r="F2848" i="17"/>
  <c r="B2849" i="17"/>
  <c r="C2849" i="17"/>
  <c r="D2849" i="17"/>
  <c r="E2849" i="17"/>
  <c r="F2849" i="17"/>
  <c r="B2850" i="17"/>
  <c r="C2850" i="17"/>
  <c r="D2850" i="17"/>
  <c r="E2850" i="17"/>
  <c r="F2850" i="17"/>
  <c r="B2851" i="17"/>
  <c r="C2851" i="17"/>
  <c r="D2851" i="17"/>
  <c r="E2851" i="17"/>
  <c r="F2851" i="17"/>
  <c r="B2852" i="17"/>
  <c r="C2852" i="17"/>
  <c r="D2852" i="17"/>
  <c r="E2852" i="17"/>
  <c r="F2852" i="17"/>
  <c r="B2853" i="17"/>
  <c r="C2853" i="17"/>
  <c r="D2853" i="17"/>
  <c r="E2853" i="17"/>
  <c r="F2853" i="17"/>
  <c r="B2854" i="17"/>
  <c r="C2854" i="17"/>
  <c r="D2854" i="17"/>
  <c r="E2854" i="17"/>
  <c r="F2854" i="17"/>
  <c r="B2855" i="17"/>
  <c r="C2855" i="17"/>
  <c r="D2855" i="17"/>
  <c r="E2855" i="17"/>
  <c r="F2855" i="17"/>
  <c r="B2856" i="17"/>
  <c r="C2856" i="17"/>
  <c r="D2856" i="17"/>
  <c r="E2856" i="17"/>
  <c r="F2856" i="17"/>
  <c r="B2857" i="17"/>
  <c r="C2857" i="17"/>
  <c r="D2857" i="17"/>
  <c r="E2857" i="17"/>
  <c r="F2857" i="17"/>
  <c r="B2858" i="17"/>
  <c r="C2858" i="17"/>
  <c r="D2858" i="17"/>
  <c r="E2858" i="17"/>
  <c r="F2858" i="17"/>
  <c r="B2859" i="17"/>
  <c r="C2859" i="17"/>
  <c r="D2859" i="17"/>
  <c r="E2859" i="17"/>
  <c r="F2859" i="17"/>
  <c r="B2860" i="17"/>
  <c r="C2860" i="17"/>
  <c r="D2860" i="17"/>
  <c r="E2860" i="17"/>
  <c r="F2860" i="17"/>
  <c r="B2861" i="17"/>
  <c r="C2861" i="17"/>
  <c r="D2861" i="17"/>
  <c r="E2861" i="17"/>
  <c r="F2861" i="17"/>
  <c r="B2862" i="17"/>
  <c r="C2862" i="17"/>
  <c r="D2862" i="17"/>
  <c r="E2862" i="17"/>
  <c r="F2862" i="17"/>
  <c r="B2863" i="17"/>
  <c r="C2863" i="17"/>
  <c r="D2863" i="17"/>
  <c r="E2863" i="17"/>
  <c r="F2863" i="17"/>
  <c r="B2864" i="17"/>
  <c r="C2864" i="17"/>
  <c r="D2864" i="17"/>
  <c r="E2864" i="17"/>
  <c r="F2864" i="17"/>
  <c r="B2865" i="17"/>
  <c r="C2865" i="17"/>
  <c r="D2865" i="17"/>
  <c r="E2865" i="17"/>
  <c r="F2865" i="17"/>
  <c r="B2866" i="17"/>
  <c r="C2866" i="17"/>
  <c r="D2866" i="17"/>
  <c r="E2866" i="17"/>
  <c r="F2866" i="17"/>
  <c r="B2867" i="17"/>
  <c r="C2867" i="17"/>
  <c r="D2867" i="17"/>
  <c r="E2867" i="17"/>
  <c r="F2867" i="17"/>
  <c r="B2868" i="17"/>
  <c r="C2868" i="17"/>
  <c r="D2868" i="17"/>
  <c r="E2868" i="17"/>
  <c r="F2868" i="17"/>
  <c r="B2869" i="17"/>
  <c r="C2869" i="17"/>
  <c r="D2869" i="17"/>
  <c r="E2869" i="17"/>
  <c r="F2869" i="17"/>
  <c r="B2870" i="17"/>
  <c r="C2870" i="17"/>
  <c r="D2870" i="17"/>
  <c r="E2870" i="17"/>
  <c r="F2870" i="17"/>
  <c r="B2871" i="17"/>
  <c r="C2871" i="17"/>
  <c r="D2871" i="17"/>
  <c r="E2871" i="17"/>
  <c r="F2871" i="17"/>
  <c r="B2872" i="17"/>
  <c r="C2872" i="17"/>
  <c r="D2872" i="17"/>
  <c r="E2872" i="17"/>
  <c r="F2872" i="17"/>
  <c r="B2873" i="17"/>
  <c r="C2873" i="17"/>
  <c r="D2873" i="17"/>
  <c r="E2873" i="17"/>
  <c r="F2873" i="17"/>
  <c r="B2874" i="17"/>
  <c r="C2874" i="17"/>
  <c r="D2874" i="17"/>
  <c r="E2874" i="17"/>
  <c r="F2874" i="17"/>
  <c r="B2875" i="17"/>
  <c r="C2875" i="17"/>
  <c r="D2875" i="17"/>
  <c r="E2875" i="17"/>
  <c r="F2875" i="17"/>
  <c r="B2876" i="17"/>
  <c r="C2876" i="17"/>
  <c r="D2876" i="17"/>
  <c r="E2876" i="17"/>
  <c r="F2876" i="17"/>
  <c r="B2877" i="17"/>
  <c r="C2877" i="17"/>
  <c r="D2877" i="17"/>
  <c r="E2877" i="17"/>
  <c r="F2877" i="17"/>
  <c r="B2878" i="17"/>
  <c r="C2878" i="17"/>
  <c r="D2878" i="17"/>
  <c r="E2878" i="17"/>
  <c r="F2878" i="17"/>
  <c r="B2879" i="17"/>
  <c r="C2879" i="17"/>
  <c r="D2879" i="17"/>
  <c r="E2879" i="17"/>
  <c r="F2879" i="17"/>
  <c r="B2880" i="17"/>
  <c r="C2880" i="17"/>
  <c r="D2880" i="17"/>
  <c r="E2880" i="17"/>
  <c r="F2880" i="17"/>
  <c r="B2881" i="17"/>
  <c r="C2881" i="17"/>
  <c r="D2881" i="17"/>
  <c r="E2881" i="17"/>
  <c r="F2881" i="17"/>
  <c r="B2882" i="17"/>
  <c r="C2882" i="17"/>
  <c r="D2882" i="17"/>
  <c r="E2882" i="17"/>
  <c r="F2882" i="17"/>
  <c r="B2883" i="17"/>
  <c r="C2883" i="17"/>
  <c r="D2883" i="17"/>
  <c r="E2883" i="17"/>
  <c r="F2883" i="17"/>
  <c r="B2884" i="17"/>
  <c r="C2884" i="17"/>
  <c r="D2884" i="17"/>
  <c r="E2884" i="17"/>
  <c r="F2884" i="17"/>
  <c r="B2885" i="17"/>
  <c r="C2885" i="17"/>
  <c r="D2885" i="17"/>
  <c r="E2885" i="17"/>
  <c r="F2885" i="17"/>
  <c r="B2886" i="17"/>
  <c r="C2886" i="17"/>
  <c r="D2886" i="17"/>
  <c r="E2886" i="17"/>
  <c r="F2886" i="17"/>
  <c r="B2887" i="17"/>
  <c r="C2887" i="17"/>
  <c r="D2887" i="17"/>
  <c r="E2887" i="17"/>
  <c r="F2887" i="17"/>
  <c r="B2888" i="17"/>
  <c r="C2888" i="17"/>
  <c r="D2888" i="17"/>
  <c r="E2888" i="17"/>
  <c r="F2888" i="17"/>
  <c r="B2889" i="17"/>
  <c r="C2889" i="17"/>
  <c r="D2889" i="17"/>
  <c r="E2889" i="17"/>
  <c r="F2889" i="17"/>
  <c r="B2890" i="17"/>
  <c r="C2890" i="17"/>
  <c r="D2890" i="17"/>
  <c r="E2890" i="17"/>
  <c r="F2890" i="17"/>
  <c r="B2891" i="17"/>
  <c r="C2891" i="17"/>
  <c r="D2891" i="17"/>
  <c r="E2891" i="17"/>
  <c r="F2891" i="17"/>
  <c r="B2892" i="17"/>
  <c r="C2892" i="17"/>
  <c r="D2892" i="17"/>
  <c r="E2892" i="17"/>
  <c r="F2892" i="17"/>
  <c r="B2893" i="17"/>
  <c r="C2893" i="17"/>
  <c r="D2893" i="17"/>
  <c r="E2893" i="17"/>
  <c r="F2893" i="17"/>
  <c r="B2894" i="17"/>
  <c r="C2894" i="17"/>
  <c r="D2894" i="17"/>
  <c r="E2894" i="17"/>
  <c r="F2894" i="17"/>
  <c r="B2895" i="17"/>
  <c r="C2895" i="17"/>
  <c r="D2895" i="17"/>
  <c r="E2895" i="17"/>
  <c r="F2895" i="17"/>
  <c r="B2896" i="17"/>
  <c r="C2896" i="17"/>
  <c r="D2896" i="17"/>
  <c r="E2896" i="17"/>
  <c r="F2896" i="17"/>
  <c r="B2897" i="17"/>
  <c r="C2897" i="17"/>
  <c r="D2897" i="17"/>
  <c r="E2897" i="17"/>
  <c r="F2897" i="17"/>
  <c r="B2898" i="17"/>
  <c r="C2898" i="17"/>
  <c r="D2898" i="17"/>
  <c r="E2898" i="17"/>
  <c r="F2898" i="17"/>
  <c r="B2899" i="17"/>
  <c r="C2899" i="17"/>
  <c r="D2899" i="17"/>
  <c r="E2899" i="17"/>
  <c r="F2899" i="17"/>
  <c r="B2900" i="17"/>
  <c r="C2900" i="17"/>
  <c r="D2900" i="17"/>
  <c r="E2900" i="17"/>
  <c r="F2900" i="17"/>
  <c r="B2901" i="17"/>
  <c r="C2901" i="17"/>
  <c r="D2901" i="17"/>
  <c r="E2901" i="17"/>
  <c r="F2901" i="17"/>
  <c r="B2902" i="17"/>
  <c r="C2902" i="17"/>
  <c r="D2902" i="17"/>
  <c r="E2902" i="17"/>
  <c r="F2902" i="17"/>
  <c r="B2903" i="17"/>
  <c r="C2903" i="17"/>
  <c r="D2903" i="17"/>
  <c r="E2903" i="17"/>
  <c r="F2903" i="17"/>
  <c r="B2904" i="17"/>
  <c r="C2904" i="17"/>
  <c r="D2904" i="17"/>
  <c r="E2904" i="17"/>
  <c r="F2904" i="17"/>
  <c r="B2905" i="17"/>
  <c r="C2905" i="17"/>
  <c r="D2905" i="17"/>
  <c r="E2905" i="17"/>
  <c r="F2905" i="17"/>
  <c r="B2906" i="17"/>
  <c r="C2906" i="17"/>
  <c r="D2906" i="17"/>
  <c r="E2906" i="17"/>
  <c r="F2906" i="17"/>
  <c r="B2907" i="17"/>
  <c r="C2907" i="17"/>
  <c r="D2907" i="17"/>
  <c r="E2907" i="17"/>
  <c r="F2907" i="17"/>
  <c r="B2908" i="17"/>
  <c r="C2908" i="17"/>
  <c r="D2908" i="17"/>
  <c r="E2908" i="17"/>
  <c r="F2908" i="17"/>
  <c r="B2909" i="17"/>
  <c r="C2909" i="17"/>
  <c r="D2909" i="17"/>
  <c r="E2909" i="17"/>
  <c r="F2909" i="17"/>
  <c r="B2910" i="17"/>
  <c r="C2910" i="17"/>
  <c r="D2910" i="17"/>
  <c r="E2910" i="17"/>
  <c r="F2910" i="17"/>
  <c r="B2911" i="17"/>
  <c r="C2911" i="17"/>
  <c r="D2911" i="17"/>
  <c r="E2911" i="17"/>
  <c r="F2911" i="17"/>
  <c r="B2912" i="17"/>
  <c r="C2912" i="17"/>
  <c r="D2912" i="17"/>
  <c r="E2912" i="17"/>
  <c r="F2912" i="17"/>
  <c r="B2913" i="17"/>
  <c r="C2913" i="17"/>
  <c r="D2913" i="17"/>
  <c r="E2913" i="17"/>
  <c r="F2913" i="17"/>
  <c r="B2914" i="17"/>
  <c r="C2914" i="17"/>
  <c r="D2914" i="17"/>
  <c r="E2914" i="17"/>
  <c r="F2914" i="17"/>
  <c r="B2915" i="17"/>
  <c r="C2915" i="17"/>
  <c r="D2915" i="17"/>
  <c r="E2915" i="17"/>
  <c r="F2915" i="17"/>
  <c r="B2916" i="17"/>
  <c r="C2916" i="17"/>
  <c r="D2916" i="17"/>
  <c r="E2916" i="17"/>
  <c r="F2916" i="17"/>
  <c r="B2917" i="17"/>
  <c r="C2917" i="17"/>
  <c r="D2917" i="17"/>
  <c r="E2917" i="17"/>
  <c r="F2917" i="17"/>
  <c r="B2918" i="17"/>
  <c r="C2918" i="17"/>
  <c r="D2918" i="17"/>
  <c r="E2918" i="17"/>
  <c r="F2918" i="17"/>
  <c r="B2919" i="17"/>
  <c r="C2919" i="17"/>
  <c r="D2919" i="17"/>
  <c r="E2919" i="17"/>
  <c r="F2919" i="17"/>
  <c r="B2920" i="17"/>
  <c r="C2920" i="17"/>
  <c r="D2920" i="17"/>
  <c r="E2920" i="17"/>
  <c r="F2920" i="17"/>
  <c r="B2921" i="17"/>
  <c r="C2921" i="17"/>
  <c r="D2921" i="17"/>
  <c r="E2921" i="17"/>
  <c r="F2921" i="17"/>
  <c r="B2922" i="17"/>
  <c r="C2922" i="17"/>
  <c r="D2922" i="17"/>
  <c r="E2922" i="17"/>
  <c r="F2922" i="17"/>
  <c r="B2923" i="17"/>
  <c r="C2923" i="17"/>
  <c r="D2923" i="17"/>
  <c r="E2923" i="17"/>
  <c r="F2923" i="17"/>
  <c r="B2924" i="17"/>
  <c r="C2924" i="17"/>
  <c r="D2924" i="17"/>
  <c r="E2924" i="17"/>
  <c r="F2924" i="17"/>
  <c r="B2925" i="17"/>
  <c r="C2925" i="17"/>
  <c r="D2925" i="17"/>
  <c r="E2925" i="17"/>
  <c r="F2925" i="17"/>
  <c r="B2926" i="17"/>
  <c r="C2926" i="17"/>
  <c r="D2926" i="17"/>
  <c r="E2926" i="17"/>
  <c r="F2926" i="17"/>
  <c r="B2927" i="17"/>
  <c r="C2927" i="17"/>
  <c r="D2927" i="17"/>
  <c r="E2927" i="17"/>
  <c r="F2927" i="17"/>
  <c r="B2928" i="17"/>
  <c r="C2928" i="17"/>
  <c r="D2928" i="17"/>
  <c r="E2928" i="17"/>
  <c r="F2928" i="17"/>
  <c r="B2929" i="17"/>
  <c r="C2929" i="17"/>
  <c r="D2929" i="17"/>
  <c r="E2929" i="17"/>
  <c r="F2929" i="17"/>
  <c r="B2930" i="17"/>
  <c r="C2930" i="17"/>
  <c r="D2930" i="17"/>
  <c r="E2930" i="17"/>
  <c r="F2930" i="17"/>
  <c r="B2931" i="17"/>
  <c r="C2931" i="17"/>
  <c r="D2931" i="17"/>
  <c r="E2931" i="17"/>
  <c r="F2931" i="17"/>
  <c r="B2932" i="17"/>
  <c r="C2932" i="17"/>
  <c r="D2932" i="17"/>
  <c r="E2932" i="17"/>
  <c r="F2932" i="17"/>
  <c r="B2933" i="17"/>
  <c r="C2933" i="17"/>
  <c r="D2933" i="17"/>
  <c r="E2933" i="17"/>
  <c r="F2933" i="17"/>
  <c r="B2934" i="17"/>
  <c r="C2934" i="17"/>
  <c r="D2934" i="17"/>
  <c r="E2934" i="17"/>
  <c r="F2934" i="17"/>
  <c r="B2935" i="17"/>
  <c r="C2935" i="17"/>
  <c r="D2935" i="17"/>
  <c r="E2935" i="17"/>
  <c r="F2935" i="17"/>
  <c r="B2936" i="17"/>
  <c r="C2936" i="17"/>
  <c r="D2936" i="17"/>
  <c r="E2936" i="17"/>
  <c r="F2936" i="17"/>
  <c r="B2937" i="17"/>
  <c r="C2937" i="17"/>
  <c r="D2937" i="17"/>
  <c r="E2937" i="17"/>
  <c r="F2937" i="17"/>
  <c r="B2938" i="17"/>
  <c r="C2938" i="17"/>
  <c r="D2938" i="17"/>
  <c r="E2938" i="17"/>
  <c r="F2938" i="17"/>
  <c r="B2939" i="17"/>
  <c r="C2939" i="17"/>
  <c r="D2939" i="17"/>
  <c r="E2939" i="17"/>
  <c r="F2939" i="17"/>
  <c r="B2940" i="17"/>
  <c r="C2940" i="17"/>
  <c r="D2940" i="17"/>
  <c r="E2940" i="17"/>
  <c r="F2940" i="17"/>
  <c r="B2941" i="17"/>
  <c r="C2941" i="17"/>
  <c r="D2941" i="17"/>
  <c r="E2941" i="17"/>
  <c r="F2941" i="17"/>
  <c r="B2942" i="17"/>
  <c r="C2942" i="17"/>
  <c r="D2942" i="17"/>
  <c r="E2942" i="17"/>
  <c r="F2942" i="17"/>
  <c r="B2943" i="17"/>
  <c r="C2943" i="17"/>
  <c r="D2943" i="17"/>
  <c r="E2943" i="17"/>
  <c r="F2943" i="17"/>
  <c r="B2944" i="17"/>
  <c r="C2944" i="17"/>
  <c r="D2944" i="17"/>
  <c r="E2944" i="17"/>
  <c r="F2944" i="17"/>
  <c r="B2945" i="17"/>
  <c r="C2945" i="17"/>
  <c r="D2945" i="17"/>
  <c r="E2945" i="17"/>
  <c r="F2945" i="17"/>
  <c r="B2946" i="17"/>
  <c r="C2946" i="17"/>
  <c r="D2946" i="17"/>
  <c r="E2946" i="17"/>
  <c r="F2946" i="17"/>
  <c r="B2947" i="17"/>
  <c r="C2947" i="17"/>
  <c r="D2947" i="17"/>
  <c r="E2947" i="17"/>
  <c r="F2947" i="17"/>
  <c r="B2948" i="17"/>
  <c r="C2948" i="17"/>
  <c r="D2948" i="17"/>
  <c r="E2948" i="17"/>
  <c r="F2948" i="17"/>
  <c r="B2949" i="17"/>
  <c r="C2949" i="17"/>
  <c r="D2949" i="17"/>
  <c r="E2949" i="17"/>
  <c r="F2949" i="17"/>
  <c r="B2950" i="17"/>
  <c r="C2950" i="17"/>
  <c r="D2950" i="17"/>
  <c r="E2950" i="17"/>
  <c r="F2950" i="17"/>
  <c r="B2951" i="17"/>
  <c r="C2951" i="17"/>
  <c r="D2951" i="17"/>
  <c r="E2951" i="17"/>
  <c r="F2951" i="17"/>
  <c r="B2952" i="17"/>
  <c r="C2952" i="17"/>
  <c r="D2952" i="17"/>
  <c r="E2952" i="17"/>
  <c r="F2952" i="17"/>
  <c r="B2953" i="17"/>
  <c r="C2953" i="17"/>
  <c r="D2953" i="17"/>
  <c r="E2953" i="17"/>
  <c r="F2953" i="17"/>
  <c r="B2954" i="17"/>
  <c r="C2954" i="17"/>
  <c r="D2954" i="17"/>
  <c r="E2954" i="17"/>
  <c r="F2954" i="17"/>
  <c r="B2955" i="17"/>
  <c r="C2955" i="17"/>
  <c r="D2955" i="17"/>
  <c r="E2955" i="17"/>
  <c r="F2955" i="17"/>
  <c r="B2956" i="17"/>
  <c r="C2956" i="17"/>
  <c r="D2956" i="17"/>
  <c r="E2956" i="17"/>
  <c r="F2956" i="17"/>
  <c r="B2957" i="17"/>
  <c r="C2957" i="17"/>
  <c r="D2957" i="17"/>
  <c r="E2957" i="17"/>
  <c r="F2957" i="17"/>
  <c r="B2958" i="17"/>
  <c r="C2958" i="17"/>
  <c r="D2958" i="17"/>
  <c r="E2958" i="17"/>
  <c r="F2958" i="17"/>
  <c r="B2959" i="17"/>
  <c r="C2959" i="17"/>
  <c r="D2959" i="17"/>
  <c r="E2959" i="17"/>
  <c r="F2959" i="17"/>
  <c r="B2960" i="17"/>
  <c r="C2960" i="17"/>
  <c r="D2960" i="17"/>
  <c r="E2960" i="17"/>
  <c r="F2960" i="17"/>
  <c r="B2961" i="17"/>
  <c r="C2961" i="17"/>
  <c r="D2961" i="17"/>
  <c r="E2961" i="17"/>
  <c r="F2961" i="17"/>
  <c r="B2962" i="17"/>
  <c r="C2962" i="17"/>
  <c r="D2962" i="17"/>
  <c r="E2962" i="17"/>
  <c r="F2962" i="17"/>
  <c r="B2963" i="17"/>
  <c r="C2963" i="17"/>
  <c r="D2963" i="17"/>
  <c r="E2963" i="17"/>
  <c r="F2963" i="17"/>
  <c r="B2964" i="17"/>
  <c r="C2964" i="17"/>
  <c r="D2964" i="17"/>
  <c r="E2964" i="17"/>
  <c r="F2964" i="17"/>
  <c r="B2965" i="17"/>
  <c r="C2965" i="17"/>
  <c r="D2965" i="17"/>
  <c r="E2965" i="17"/>
  <c r="F2965" i="17"/>
  <c r="B2966" i="17"/>
  <c r="C2966" i="17"/>
  <c r="D2966" i="17"/>
  <c r="E2966" i="17"/>
  <c r="F2966" i="17"/>
  <c r="B2967" i="17"/>
  <c r="C2967" i="17"/>
  <c r="D2967" i="17"/>
  <c r="E2967" i="17"/>
  <c r="F2967" i="17"/>
  <c r="B2968" i="17"/>
  <c r="C2968" i="17"/>
  <c r="D2968" i="17"/>
  <c r="E2968" i="17"/>
  <c r="F2968" i="17"/>
  <c r="B2969" i="17"/>
  <c r="C2969" i="17"/>
  <c r="D2969" i="17"/>
  <c r="E2969" i="17"/>
  <c r="F2969" i="17"/>
  <c r="B2970" i="17"/>
  <c r="C2970" i="17"/>
  <c r="D2970" i="17"/>
  <c r="E2970" i="17"/>
  <c r="F2970" i="17"/>
  <c r="B2971" i="17"/>
  <c r="C2971" i="17"/>
  <c r="D2971" i="17"/>
  <c r="E2971" i="17"/>
  <c r="F2971" i="17"/>
  <c r="B2972" i="17"/>
  <c r="C2972" i="17"/>
  <c r="D2972" i="17"/>
  <c r="E2972" i="17"/>
  <c r="F2972" i="17"/>
  <c r="B2973" i="17"/>
  <c r="C2973" i="17"/>
  <c r="D2973" i="17"/>
  <c r="E2973" i="17"/>
  <c r="F2973" i="17"/>
  <c r="B2974" i="17"/>
  <c r="C2974" i="17"/>
  <c r="D2974" i="17"/>
  <c r="E2974" i="17"/>
  <c r="F2974" i="17"/>
  <c r="B2975" i="17"/>
  <c r="C2975" i="17"/>
  <c r="D2975" i="17"/>
  <c r="E2975" i="17"/>
  <c r="F2975" i="17"/>
  <c r="B2976" i="17"/>
  <c r="C2976" i="17"/>
  <c r="D2976" i="17"/>
  <c r="E2976" i="17"/>
  <c r="F2976" i="17"/>
  <c r="B2977" i="17"/>
  <c r="C2977" i="17"/>
  <c r="D2977" i="17"/>
  <c r="E2977" i="17"/>
  <c r="F2977" i="17"/>
  <c r="B2978" i="17"/>
  <c r="C2978" i="17"/>
  <c r="D2978" i="17"/>
  <c r="E2978" i="17"/>
  <c r="F2978" i="17"/>
  <c r="B2979" i="17"/>
  <c r="C2979" i="17"/>
  <c r="D2979" i="17"/>
  <c r="E2979" i="17"/>
  <c r="F2979" i="17"/>
  <c r="B2980" i="17"/>
  <c r="C2980" i="17"/>
  <c r="D2980" i="17"/>
  <c r="E2980" i="17"/>
  <c r="F2980" i="17"/>
  <c r="B2981" i="17"/>
  <c r="C2981" i="17"/>
  <c r="D2981" i="17"/>
  <c r="E2981" i="17"/>
  <c r="F2981" i="17"/>
  <c r="B2982" i="17"/>
  <c r="C2982" i="17"/>
  <c r="D2982" i="17"/>
  <c r="E2982" i="17"/>
  <c r="F2982" i="17"/>
  <c r="B2983" i="17"/>
  <c r="C2983" i="17"/>
  <c r="D2983" i="17"/>
  <c r="E2983" i="17"/>
  <c r="F2983" i="17"/>
  <c r="B2984" i="17"/>
  <c r="C2984" i="17"/>
  <c r="D2984" i="17"/>
  <c r="E2984" i="17"/>
  <c r="F2984" i="17"/>
  <c r="B2985" i="17"/>
  <c r="C2985" i="17"/>
  <c r="D2985" i="17"/>
  <c r="E2985" i="17"/>
  <c r="F2985" i="17"/>
  <c r="B2986" i="17"/>
  <c r="C2986" i="17"/>
  <c r="D2986" i="17"/>
  <c r="E2986" i="17"/>
  <c r="F2986" i="17"/>
  <c r="B2987" i="17"/>
  <c r="C2987" i="17"/>
  <c r="D2987" i="17"/>
  <c r="E2987" i="17"/>
  <c r="F2987" i="17"/>
  <c r="B2988" i="17"/>
  <c r="C2988" i="17"/>
  <c r="D2988" i="17"/>
  <c r="E2988" i="17"/>
  <c r="F2988" i="17"/>
  <c r="B2989" i="17"/>
  <c r="C2989" i="17"/>
  <c r="D2989" i="17"/>
  <c r="E2989" i="17"/>
  <c r="F2989" i="17"/>
  <c r="B2990" i="17"/>
  <c r="C2990" i="17"/>
  <c r="D2990" i="17"/>
  <c r="E2990" i="17"/>
  <c r="F2990" i="17"/>
  <c r="B2991" i="17"/>
  <c r="C2991" i="17"/>
  <c r="D2991" i="17"/>
  <c r="E2991" i="17"/>
  <c r="F2991" i="17"/>
  <c r="B2992" i="17"/>
  <c r="C2992" i="17"/>
  <c r="D2992" i="17"/>
  <c r="E2992" i="17"/>
  <c r="F2992" i="17"/>
  <c r="B2993" i="17"/>
  <c r="C2993" i="17"/>
  <c r="D2993" i="17"/>
  <c r="E2993" i="17"/>
  <c r="F2993" i="17"/>
  <c r="B2994" i="17"/>
  <c r="C2994" i="17"/>
  <c r="D2994" i="17"/>
  <c r="E2994" i="17"/>
  <c r="F2994" i="17"/>
  <c r="B2995" i="17"/>
  <c r="C2995" i="17"/>
  <c r="D2995" i="17"/>
  <c r="E2995" i="17"/>
  <c r="F2995" i="17"/>
  <c r="B2996" i="17"/>
  <c r="C2996" i="17"/>
  <c r="D2996" i="17"/>
  <c r="E2996" i="17"/>
  <c r="F2996" i="17"/>
  <c r="B2997" i="17"/>
  <c r="C2997" i="17"/>
  <c r="D2997" i="17"/>
  <c r="E2997" i="17"/>
  <c r="F2997" i="17"/>
  <c r="B2998" i="17"/>
  <c r="C2998" i="17"/>
  <c r="D2998" i="17"/>
  <c r="E2998" i="17"/>
  <c r="F2998" i="17"/>
  <c r="B2999" i="17"/>
  <c r="C2999" i="17"/>
  <c r="D2999" i="17"/>
  <c r="E2999" i="17"/>
  <c r="F2999" i="17"/>
  <c r="B3000" i="17"/>
  <c r="C3000" i="17"/>
  <c r="D3000" i="17"/>
  <c r="E3000" i="17"/>
  <c r="F3000" i="17"/>
  <c r="B3001" i="17"/>
  <c r="C3001" i="17"/>
  <c r="D3001" i="17"/>
  <c r="E3001" i="17"/>
  <c r="F3001" i="17"/>
  <c r="B3002" i="17"/>
  <c r="C3002" i="17"/>
  <c r="D3002" i="17"/>
  <c r="E3002" i="17"/>
  <c r="F3002" i="17"/>
  <c r="B3003" i="17"/>
  <c r="C3003" i="17"/>
  <c r="D3003" i="17"/>
  <c r="E3003" i="17"/>
  <c r="F3003" i="17"/>
  <c r="B3004" i="17"/>
  <c r="C3004" i="17"/>
  <c r="D3004" i="17"/>
  <c r="E3004" i="17"/>
  <c r="F3004" i="17"/>
  <c r="B3005" i="17"/>
  <c r="C3005" i="17"/>
  <c r="D3005" i="17"/>
  <c r="E3005" i="17"/>
  <c r="F3005" i="17"/>
  <c r="B3006" i="17"/>
  <c r="C3006" i="17"/>
  <c r="D3006" i="17"/>
  <c r="E3006" i="17"/>
  <c r="F3006" i="17"/>
  <c r="B3007" i="17"/>
  <c r="C3007" i="17"/>
  <c r="D3007" i="17"/>
  <c r="E3007" i="17"/>
  <c r="F3007" i="17"/>
  <c r="B3008" i="17"/>
  <c r="C3008" i="17"/>
  <c r="D3008" i="17"/>
  <c r="E3008" i="17"/>
  <c r="F3008" i="17"/>
  <c r="B3009" i="17"/>
  <c r="C3009" i="17"/>
  <c r="D3009" i="17"/>
  <c r="E3009" i="17"/>
  <c r="F3009" i="17"/>
  <c r="B3010" i="17"/>
  <c r="C3010" i="17"/>
  <c r="D3010" i="17"/>
  <c r="E3010" i="17"/>
  <c r="F3010" i="17"/>
  <c r="B3011" i="17"/>
  <c r="C3011" i="17"/>
  <c r="D3011" i="17"/>
  <c r="E3011" i="17"/>
  <c r="F3011" i="17"/>
  <c r="B3012" i="17"/>
  <c r="C3012" i="17"/>
  <c r="D3012" i="17"/>
  <c r="E3012" i="17"/>
  <c r="F3012" i="17"/>
  <c r="B3013" i="17"/>
  <c r="C3013" i="17"/>
  <c r="D3013" i="17"/>
  <c r="E3013" i="17"/>
  <c r="F3013" i="17"/>
  <c r="B3014" i="17"/>
  <c r="C3014" i="17"/>
  <c r="D3014" i="17"/>
  <c r="E3014" i="17"/>
  <c r="F3014" i="17"/>
  <c r="B3015" i="17"/>
  <c r="C3015" i="17"/>
  <c r="D3015" i="17"/>
  <c r="E3015" i="17"/>
  <c r="F3015" i="17"/>
  <c r="B3016" i="17"/>
  <c r="C3016" i="17"/>
  <c r="D3016" i="17"/>
  <c r="E3016" i="17"/>
  <c r="F3016" i="17"/>
  <c r="B3017" i="17"/>
  <c r="C3017" i="17"/>
  <c r="D3017" i="17"/>
  <c r="E3017" i="17"/>
  <c r="F3017" i="17"/>
  <c r="B3018" i="17"/>
  <c r="C3018" i="17"/>
  <c r="D3018" i="17"/>
  <c r="E3018" i="17"/>
  <c r="F3018" i="17"/>
  <c r="B3019" i="17"/>
  <c r="C3019" i="17"/>
  <c r="D3019" i="17"/>
  <c r="E3019" i="17"/>
  <c r="F3019" i="17"/>
  <c r="B3020" i="17"/>
  <c r="C3020" i="17"/>
  <c r="D3020" i="17"/>
  <c r="E3020" i="17"/>
  <c r="F3020" i="17"/>
  <c r="B3021" i="17"/>
  <c r="C3021" i="17"/>
  <c r="D3021" i="17"/>
  <c r="E3021" i="17"/>
  <c r="F3021" i="17"/>
  <c r="B3022" i="17"/>
  <c r="C3022" i="17"/>
  <c r="D3022" i="17"/>
  <c r="E3022" i="17"/>
  <c r="F3022" i="17"/>
  <c r="B3023" i="17"/>
  <c r="C3023" i="17"/>
  <c r="D3023" i="17"/>
  <c r="E3023" i="17"/>
  <c r="F3023" i="17"/>
  <c r="B3024" i="17"/>
  <c r="C3024" i="17"/>
  <c r="D3024" i="17"/>
  <c r="E3024" i="17"/>
  <c r="F3024" i="17"/>
  <c r="B3025" i="17"/>
  <c r="C3025" i="17"/>
  <c r="D3025" i="17"/>
  <c r="E3025" i="17"/>
  <c r="F3025" i="17"/>
  <c r="B3026" i="17"/>
  <c r="C3026" i="17"/>
  <c r="D3026" i="17"/>
  <c r="E3026" i="17"/>
  <c r="F3026" i="17"/>
  <c r="B3027" i="17"/>
  <c r="C3027" i="17"/>
  <c r="D3027" i="17"/>
  <c r="E3027" i="17"/>
  <c r="F3027" i="17"/>
  <c r="B3028" i="17"/>
  <c r="C3028" i="17"/>
  <c r="D3028" i="17"/>
  <c r="E3028" i="17"/>
  <c r="F3028" i="17"/>
  <c r="B3029" i="17"/>
  <c r="C3029" i="17"/>
  <c r="D3029" i="17"/>
  <c r="E3029" i="17"/>
  <c r="F3029" i="17"/>
  <c r="B3030" i="17"/>
  <c r="C3030" i="17"/>
  <c r="D3030" i="17"/>
  <c r="E3030" i="17"/>
  <c r="F3030" i="17"/>
  <c r="B3031" i="17"/>
  <c r="C3031" i="17"/>
  <c r="D3031" i="17"/>
  <c r="E3031" i="17"/>
  <c r="F3031" i="17"/>
  <c r="B3032" i="17"/>
  <c r="C3032" i="17"/>
  <c r="D3032" i="17"/>
  <c r="E3032" i="17"/>
  <c r="F3032" i="17"/>
  <c r="B3033" i="17"/>
  <c r="C3033" i="17"/>
  <c r="D3033" i="17"/>
  <c r="E3033" i="17"/>
  <c r="F3033" i="17"/>
  <c r="B3034" i="17"/>
  <c r="C3034" i="17"/>
  <c r="D3034" i="17"/>
  <c r="E3034" i="17"/>
  <c r="F3034" i="17"/>
  <c r="B3035" i="17"/>
  <c r="C3035" i="17"/>
  <c r="D3035" i="17"/>
  <c r="E3035" i="17"/>
  <c r="F3035" i="17"/>
  <c r="B3036" i="17"/>
  <c r="C3036" i="17"/>
  <c r="D3036" i="17"/>
  <c r="E3036" i="17"/>
  <c r="F3036" i="17"/>
  <c r="B3037" i="17"/>
  <c r="C3037" i="17"/>
  <c r="D3037" i="17"/>
  <c r="E3037" i="17"/>
  <c r="F3037" i="17"/>
  <c r="B3038" i="17"/>
  <c r="C3038" i="17"/>
  <c r="D3038" i="17"/>
  <c r="E3038" i="17"/>
  <c r="F3038" i="17"/>
  <c r="B3039" i="17"/>
  <c r="C3039" i="17"/>
  <c r="D3039" i="17"/>
  <c r="E3039" i="17"/>
  <c r="F3039" i="17"/>
  <c r="B3040" i="17"/>
  <c r="C3040" i="17"/>
  <c r="D3040" i="17"/>
  <c r="E3040" i="17"/>
  <c r="F3040" i="17"/>
  <c r="B3041" i="17"/>
  <c r="C3041" i="17"/>
  <c r="D3041" i="17"/>
  <c r="E3041" i="17"/>
  <c r="F3041" i="17"/>
  <c r="B3042" i="17"/>
  <c r="C3042" i="17"/>
  <c r="D3042" i="17"/>
  <c r="E3042" i="17"/>
  <c r="F3042" i="17"/>
  <c r="B3043" i="17"/>
  <c r="C3043" i="17"/>
  <c r="D3043" i="17"/>
  <c r="E3043" i="17"/>
  <c r="F3043" i="17"/>
  <c r="B3044" i="17"/>
  <c r="C3044" i="17"/>
  <c r="D3044" i="17"/>
  <c r="E3044" i="17"/>
  <c r="F3044" i="17"/>
  <c r="B3045" i="17"/>
  <c r="C3045" i="17"/>
  <c r="D3045" i="17"/>
  <c r="E3045" i="17"/>
  <c r="F3045" i="17"/>
  <c r="B3046" i="17"/>
  <c r="C3046" i="17"/>
  <c r="D3046" i="17"/>
  <c r="E3046" i="17"/>
  <c r="F3046" i="17"/>
  <c r="B3047" i="17"/>
  <c r="C3047" i="17"/>
  <c r="D3047" i="17"/>
  <c r="E3047" i="17"/>
  <c r="F3047" i="17"/>
  <c r="B3048" i="17"/>
  <c r="C3048" i="17"/>
  <c r="D3048" i="17"/>
  <c r="E3048" i="17"/>
  <c r="F3048" i="17"/>
  <c r="B3049" i="17"/>
  <c r="C3049" i="17"/>
  <c r="D3049" i="17"/>
  <c r="E3049" i="17"/>
  <c r="F3049" i="17"/>
  <c r="B3050" i="17"/>
  <c r="C3050" i="17"/>
  <c r="D3050" i="17"/>
  <c r="E3050" i="17"/>
  <c r="F3050" i="17"/>
  <c r="B3051" i="17"/>
  <c r="C3051" i="17"/>
  <c r="D3051" i="17"/>
  <c r="E3051" i="17"/>
  <c r="F3051" i="17"/>
  <c r="B3052" i="17"/>
  <c r="C3052" i="17"/>
  <c r="D3052" i="17"/>
  <c r="E3052" i="17"/>
  <c r="F3052" i="17"/>
  <c r="B3053" i="17"/>
  <c r="C3053" i="17"/>
  <c r="D3053" i="17"/>
  <c r="E3053" i="17"/>
  <c r="F3053" i="17"/>
  <c r="B3054" i="17"/>
  <c r="C3054" i="17"/>
  <c r="D3054" i="17"/>
  <c r="E3054" i="17"/>
  <c r="F3054" i="17"/>
  <c r="B3055" i="17"/>
  <c r="C3055" i="17"/>
  <c r="D3055" i="17"/>
  <c r="E3055" i="17"/>
  <c r="F3055" i="17"/>
  <c r="B3056" i="17"/>
  <c r="C3056" i="17"/>
  <c r="D3056" i="17"/>
  <c r="E3056" i="17"/>
  <c r="F3056" i="17"/>
  <c r="B3057" i="17"/>
  <c r="C3057" i="17"/>
  <c r="D3057" i="17"/>
  <c r="E3057" i="17"/>
  <c r="F3057" i="17"/>
  <c r="B3058" i="17"/>
  <c r="C3058" i="17"/>
  <c r="D3058" i="17"/>
  <c r="E3058" i="17"/>
  <c r="F3058" i="17"/>
  <c r="B3059" i="17"/>
  <c r="C3059" i="17"/>
  <c r="D3059" i="17"/>
  <c r="E3059" i="17"/>
  <c r="F3059" i="17"/>
  <c r="B3060" i="17"/>
  <c r="C3060" i="17"/>
  <c r="D3060" i="17"/>
  <c r="E3060" i="17"/>
  <c r="F3060" i="17"/>
  <c r="B3061" i="17"/>
  <c r="C3061" i="17"/>
  <c r="D3061" i="17"/>
  <c r="E3061" i="17"/>
  <c r="F3061" i="17"/>
  <c r="B3062" i="17"/>
  <c r="C3062" i="17"/>
  <c r="D3062" i="17"/>
  <c r="E3062" i="17"/>
  <c r="F3062" i="17"/>
  <c r="B3063" i="17"/>
  <c r="C3063" i="17"/>
  <c r="D3063" i="17"/>
  <c r="E3063" i="17"/>
  <c r="F3063" i="17"/>
  <c r="B3064" i="17"/>
  <c r="C3064" i="17"/>
  <c r="D3064" i="17"/>
  <c r="E3064" i="17"/>
  <c r="F3064" i="17"/>
  <c r="B3065" i="17"/>
  <c r="C3065" i="17"/>
  <c r="D3065" i="17"/>
  <c r="E3065" i="17"/>
  <c r="F3065" i="17"/>
  <c r="B3066" i="17"/>
  <c r="C3066" i="17"/>
  <c r="D3066" i="17"/>
  <c r="E3066" i="17"/>
  <c r="F3066" i="17"/>
  <c r="B3067" i="17"/>
  <c r="C3067" i="17"/>
  <c r="D3067" i="17"/>
  <c r="E3067" i="17"/>
  <c r="F3067" i="17"/>
  <c r="B3068" i="17"/>
  <c r="C3068" i="17"/>
  <c r="D3068" i="17"/>
  <c r="E3068" i="17"/>
  <c r="F3068" i="17"/>
  <c r="B3069" i="17"/>
  <c r="C3069" i="17"/>
  <c r="D3069" i="17"/>
  <c r="E3069" i="17"/>
  <c r="F3069" i="17"/>
  <c r="B3070" i="17"/>
  <c r="C3070" i="17"/>
  <c r="D3070" i="17"/>
  <c r="E3070" i="17"/>
  <c r="F3070" i="17"/>
  <c r="B3071" i="17"/>
  <c r="C3071" i="17"/>
  <c r="D3071" i="17"/>
  <c r="E3071" i="17"/>
  <c r="F3071" i="17"/>
  <c r="B3072" i="17"/>
  <c r="C3072" i="17"/>
  <c r="D3072" i="17"/>
  <c r="E3072" i="17"/>
  <c r="F3072" i="17"/>
  <c r="B3073" i="17"/>
  <c r="C3073" i="17"/>
  <c r="D3073" i="17"/>
  <c r="E3073" i="17"/>
  <c r="F3073" i="17"/>
  <c r="B3074" i="17"/>
  <c r="C3074" i="17"/>
  <c r="D3074" i="17"/>
  <c r="E3074" i="17"/>
  <c r="F3074" i="17"/>
  <c r="B3075" i="17"/>
  <c r="C3075" i="17"/>
  <c r="D3075" i="17"/>
  <c r="E3075" i="17"/>
  <c r="F3075" i="17"/>
  <c r="B3076" i="17"/>
  <c r="C3076" i="17"/>
  <c r="D3076" i="17"/>
  <c r="E3076" i="17"/>
  <c r="F3076" i="17"/>
  <c r="B3077" i="17"/>
  <c r="C3077" i="17"/>
  <c r="D3077" i="17"/>
  <c r="E3077" i="17"/>
  <c r="F3077" i="17"/>
  <c r="B3078" i="17"/>
  <c r="C3078" i="17"/>
  <c r="D3078" i="17"/>
  <c r="E3078" i="17"/>
  <c r="F3078" i="17"/>
  <c r="B3079" i="17"/>
  <c r="C3079" i="17"/>
  <c r="D3079" i="17"/>
  <c r="E3079" i="17"/>
  <c r="F3079" i="17"/>
  <c r="B3080" i="17"/>
  <c r="C3080" i="17"/>
  <c r="D3080" i="17"/>
  <c r="E3080" i="17"/>
  <c r="F3080" i="17"/>
  <c r="B3081" i="17"/>
  <c r="C3081" i="17"/>
  <c r="D3081" i="17"/>
  <c r="E3081" i="17"/>
  <c r="F3081" i="17"/>
  <c r="B3082" i="17"/>
  <c r="C3082" i="17"/>
  <c r="D3082" i="17"/>
  <c r="E3082" i="17"/>
  <c r="F3082" i="17"/>
  <c r="B3083" i="17"/>
  <c r="C3083" i="17"/>
  <c r="D3083" i="17"/>
  <c r="E3083" i="17"/>
  <c r="F3083" i="17"/>
  <c r="B3084" i="17"/>
  <c r="C3084" i="17"/>
  <c r="D3084" i="17"/>
  <c r="E3084" i="17"/>
  <c r="F3084" i="17"/>
  <c r="B3085" i="17"/>
  <c r="C3085" i="17"/>
  <c r="D3085" i="17"/>
  <c r="E3085" i="17"/>
  <c r="F3085" i="17"/>
  <c r="B3086" i="17"/>
  <c r="C3086" i="17"/>
  <c r="D3086" i="17"/>
  <c r="E3086" i="17"/>
  <c r="F3086" i="17"/>
  <c r="B3087" i="17"/>
  <c r="C3087" i="17"/>
  <c r="D3087" i="17"/>
  <c r="E3087" i="17"/>
  <c r="F3087" i="17"/>
  <c r="B3088" i="17"/>
  <c r="C3088" i="17"/>
  <c r="D3088" i="17"/>
  <c r="E3088" i="17"/>
  <c r="F3088" i="17"/>
  <c r="B3089" i="17"/>
  <c r="C3089" i="17"/>
  <c r="D3089" i="17"/>
  <c r="E3089" i="17"/>
  <c r="F3089" i="17"/>
  <c r="B3090" i="17"/>
  <c r="C3090" i="17"/>
  <c r="D3090" i="17"/>
  <c r="E3090" i="17"/>
  <c r="F3090" i="17"/>
  <c r="B3091" i="17"/>
  <c r="C3091" i="17"/>
  <c r="D3091" i="17"/>
  <c r="E3091" i="17"/>
  <c r="F3091" i="17"/>
  <c r="B3092" i="17"/>
  <c r="C3092" i="17"/>
  <c r="D3092" i="17"/>
  <c r="E3092" i="17"/>
  <c r="F3092" i="17"/>
  <c r="B3093" i="17"/>
  <c r="C3093" i="17"/>
  <c r="D3093" i="17"/>
  <c r="E3093" i="17"/>
  <c r="F3093" i="17"/>
  <c r="B3094" i="17"/>
  <c r="C3094" i="17"/>
  <c r="D3094" i="17"/>
  <c r="E3094" i="17"/>
  <c r="F3094" i="17"/>
  <c r="B3095" i="17"/>
  <c r="C3095" i="17"/>
  <c r="D3095" i="17"/>
  <c r="E3095" i="17"/>
  <c r="F3095" i="17"/>
  <c r="B3096" i="17"/>
  <c r="C3096" i="17"/>
  <c r="D3096" i="17"/>
  <c r="E3096" i="17"/>
  <c r="F3096" i="17"/>
  <c r="B3097" i="17"/>
  <c r="C3097" i="17"/>
  <c r="D3097" i="17"/>
  <c r="E3097" i="17"/>
  <c r="F3097" i="17"/>
  <c r="B3098" i="17"/>
  <c r="C3098" i="17"/>
  <c r="D3098" i="17"/>
  <c r="E3098" i="17"/>
  <c r="F3098" i="17"/>
  <c r="B3099" i="17"/>
  <c r="C3099" i="17"/>
  <c r="D3099" i="17"/>
  <c r="E3099" i="17"/>
  <c r="F3099" i="17"/>
  <c r="B3100" i="17"/>
  <c r="C3100" i="17"/>
  <c r="D3100" i="17"/>
  <c r="E3100" i="17"/>
  <c r="F3100" i="17"/>
  <c r="B3101" i="17"/>
  <c r="C3101" i="17"/>
  <c r="D3101" i="17"/>
  <c r="E3101" i="17"/>
  <c r="F3101" i="17"/>
  <c r="B3102" i="17"/>
  <c r="C3102" i="17"/>
  <c r="D3102" i="17"/>
  <c r="E3102" i="17"/>
  <c r="F3102" i="17"/>
  <c r="B3103" i="17"/>
  <c r="C3103" i="17"/>
  <c r="D3103" i="17"/>
  <c r="E3103" i="17"/>
  <c r="F3103" i="17"/>
  <c r="B3104" i="17"/>
  <c r="C3104" i="17"/>
  <c r="D3104" i="17"/>
  <c r="E3104" i="17"/>
  <c r="F3104" i="17"/>
  <c r="B3105" i="17"/>
  <c r="C3105" i="17"/>
  <c r="D3105" i="17"/>
  <c r="E3105" i="17"/>
  <c r="F3105" i="17"/>
  <c r="B3106" i="17"/>
  <c r="C3106" i="17"/>
  <c r="D3106" i="17"/>
  <c r="E3106" i="17"/>
  <c r="F3106" i="17"/>
  <c r="B3107" i="17"/>
  <c r="C3107" i="17"/>
  <c r="D3107" i="17"/>
  <c r="E3107" i="17"/>
  <c r="F3107" i="17"/>
  <c r="B3108" i="17"/>
  <c r="C3108" i="17"/>
  <c r="D3108" i="17"/>
  <c r="E3108" i="17"/>
  <c r="F3108" i="17"/>
  <c r="B3109" i="17"/>
  <c r="C3109" i="17"/>
  <c r="D3109" i="17"/>
  <c r="E3109" i="17"/>
  <c r="F3109" i="17"/>
  <c r="B3110" i="17"/>
  <c r="C3110" i="17"/>
  <c r="D3110" i="17"/>
  <c r="E3110" i="17"/>
  <c r="F3110" i="17"/>
  <c r="B3111" i="17"/>
  <c r="C3111" i="17"/>
  <c r="D3111" i="17"/>
  <c r="E3111" i="17"/>
  <c r="F3111" i="17"/>
  <c r="B3112" i="17"/>
  <c r="C3112" i="17"/>
  <c r="D3112" i="17"/>
  <c r="E3112" i="17"/>
  <c r="F3112" i="17"/>
  <c r="B3113" i="17"/>
  <c r="C3113" i="17"/>
  <c r="D3113" i="17"/>
  <c r="E3113" i="17"/>
  <c r="F3113" i="17"/>
  <c r="B3114" i="17"/>
  <c r="C3114" i="17"/>
  <c r="D3114" i="17"/>
  <c r="E3114" i="17"/>
  <c r="F3114" i="17"/>
  <c r="B3115" i="17"/>
  <c r="C3115" i="17"/>
  <c r="D3115" i="17"/>
  <c r="E3115" i="17"/>
  <c r="F3115" i="17"/>
  <c r="B3116" i="17"/>
  <c r="C3116" i="17"/>
  <c r="D3116" i="17"/>
  <c r="E3116" i="17"/>
  <c r="F3116" i="17"/>
  <c r="B3117" i="17"/>
  <c r="C3117" i="17"/>
  <c r="D3117" i="17"/>
  <c r="E3117" i="17"/>
  <c r="F3117" i="17"/>
  <c r="B3118" i="17"/>
  <c r="C3118" i="17"/>
  <c r="D3118" i="17"/>
  <c r="E3118" i="17"/>
  <c r="F3118" i="17"/>
  <c r="B3119" i="17"/>
  <c r="C3119" i="17"/>
  <c r="D3119" i="17"/>
  <c r="E3119" i="17"/>
  <c r="F3119" i="17"/>
  <c r="B3120" i="17"/>
  <c r="C3120" i="17"/>
  <c r="D3120" i="17"/>
  <c r="E3120" i="17"/>
  <c r="F3120" i="17"/>
  <c r="B3121" i="17"/>
  <c r="C3121" i="17"/>
  <c r="D3121" i="17"/>
  <c r="E3121" i="17"/>
  <c r="F3121" i="17"/>
  <c r="B3122" i="17"/>
  <c r="C3122" i="17"/>
  <c r="D3122" i="17"/>
  <c r="E3122" i="17"/>
  <c r="F3122" i="17"/>
  <c r="B3123" i="17"/>
  <c r="C3123" i="17"/>
  <c r="D3123" i="17"/>
  <c r="E3123" i="17"/>
  <c r="F3123" i="17"/>
  <c r="B3124" i="17"/>
  <c r="C3124" i="17"/>
  <c r="D3124" i="17"/>
  <c r="E3124" i="17"/>
  <c r="F3124" i="17"/>
  <c r="B3125" i="17"/>
  <c r="C3125" i="17"/>
  <c r="D3125" i="17"/>
  <c r="E3125" i="17"/>
  <c r="F3125" i="17"/>
  <c r="B3126" i="17"/>
  <c r="C3126" i="17"/>
  <c r="D3126" i="17"/>
  <c r="E3126" i="17"/>
  <c r="F3126" i="17"/>
  <c r="B3127" i="17"/>
  <c r="C3127" i="17"/>
  <c r="D3127" i="17"/>
  <c r="E3127" i="17"/>
  <c r="F3127" i="17"/>
  <c r="B3128" i="17"/>
  <c r="C3128" i="17"/>
  <c r="D3128" i="17"/>
  <c r="E3128" i="17"/>
  <c r="F3128" i="17"/>
  <c r="B3129" i="17"/>
  <c r="C3129" i="17"/>
  <c r="D3129" i="17"/>
  <c r="E3129" i="17"/>
  <c r="F3129" i="17"/>
  <c r="B3130" i="17"/>
  <c r="C3130" i="17"/>
  <c r="D3130" i="17"/>
  <c r="E3130" i="17"/>
  <c r="F3130" i="17"/>
  <c r="B3131" i="17"/>
  <c r="C3131" i="17"/>
  <c r="D3131" i="17"/>
  <c r="E3131" i="17"/>
  <c r="F3131" i="17"/>
  <c r="B3132" i="17"/>
  <c r="C3132" i="17"/>
  <c r="D3132" i="17"/>
  <c r="E3132" i="17"/>
  <c r="F3132" i="17"/>
  <c r="B3133" i="17"/>
  <c r="C3133" i="17"/>
  <c r="D3133" i="17"/>
  <c r="E3133" i="17"/>
  <c r="F3133" i="17"/>
  <c r="B3134" i="17"/>
  <c r="C3134" i="17"/>
  <c r="D3134" i="17"/>
  <c r="E3134" i="17"/>
  <c r="F3134" i="17"/>
  <c r="B3135" i="17"/>
  <c r="C3135" i="17"/>
  <c r="D3135" i="17"/>
  <c r="E3135" i="17"/>
  <c r="F3135" i="17"/>
  <c r="B3136" i="17"/>
  <c r="C3136" i="17"/>
  <c r="D3136" i="17"/>
  <c r="E3136" i="17"/>
  <c r="F3136" i="17"/>
  <c r="B3137" i="17"/>
  <c r="C3137" i="17"/>
  <c r="D3137" i="17"/>
  <c r="E3137" i="17"/>
  <c r="F3137" i="17"/>
  <c r="B3138" i="17"/>
  <c r="C3138" i="17"/>
  <c r="D3138" i="17"/>
  <c r="E3138" i="17"/>
  <c r="F3138" i="17"/>
  <c r="B3139" i="17"/>
  <c r="C3139" i="17"/>
  <c r="D3139" i="17"/>
  <c r="E3139" i="17"/>
  <c r="F3139" i="17"/>
  <c r="B3140" i="17"/>
  <c r="C3140" i="17"/>
  <c r="D3140" i="17"/>
  <c r="E3140" i="17"/>
  <c r="F3140" i="17"/>
  <c r="B3141" i="17"/>
  <c r="C3141" i="17"/>
  <c r="D3141" i="17"/>
  <c r="E3141" i="17"/>
  <c r="F3141" i="17"/>
  <c r="B3142" i="17"/>
  <c r="C3142" i="17"/>
  <c r="D3142" i="17"/>
  <c r="E3142" i="17"/>
  <c r="F3142" i="17"/>
  <c r="B3143" i="17"/>
  <c r="C3143" i="17"/>
  <c r="D3143" i="17"/>
  <c r="E3143" i="17"/>
  <c r="F3143" i="17"/>
  <c r="B3144" i="17"/>
  <c r="C3144" i="17"/>
  <c r="D3144" i="17"/>
  <c r="E3144" i="17"/>
  <c r="F3144" i="17"/>
  <c r="B3145" i="17"/>
  <c r="C3145" i="17"/>
  <c r="D3145" i="17"/>
  <c r="E3145" i="17"/>
  <c r="F3145" i="17"/>
  <c r="B3146" i="17"/>
  <c r="C3146" i="17"/>
  <c r="D3146" i="17"/>
  <c r="E3146" i="17"/>
  <c r="F3146" i="17"/>
  <c r="B3147" i="17"/>
  <c r="C3147" i="17"/>
  <c r="D3147" i="17"/>
  <c r="E3147" i="17"/>
  <c r="F3147" i="17"/>
  <c r="B3148" i="17"/>
  <c r="C3148" i="17"/>
  <c r="D3148" i="17"/>
  <c r="E3148" i="17"/>
  <c r="F3148" i="17"/>
  <c r="B3149" i="17"/>
  <c r="C3149" i="17"/>
  <c r="D3149" i="17"/>
  <c r="E3149" i="17"/>
  <c r="F3149" i="17"/>
  <c r="B3150" i="17"/>
  <c r="C3150" i="17"/>
  <c r="D3150" i="17"/>
  <c r="E3150" i="17"/>
  <c r="F3150" i="17"/>
  <c r="B3151" i="17"/>
  <c r="C3151" i="17"/>
  <c r="D3151" i="17"/>
  <c r="E3151" i="17"/>
  <c r="F3151" i="17"/>
  <c r="B3152" i="17"/>
  <c r="C3152" i="17"/>
  <c r="D3152" i="17"/>
  <c r="E3152" i="17"/>
  <c r="F3152" i="17"/>
  <c r="B3153" i="17"/>
  <c r="C3153" i="17"/>
  <c r="D3153" i="17"/>
  <c r="E3153" i="17"/>
  <c r="F3153" i="17"/>
  <c r="B3154" i="17"/>
  <c r="C3154" i="17"/>
  <c r="D3154" i="17"/>
  <c r="E3154" i="17"/>
  <c r="F3154" i="17"/>
  <c r="B3155" i="17"/>
  <c r="C3155" i="17"/>
  <c r="D3155" i="17"/>
  <c r="E3155" i="17"/>
  <c r="F3155" i="17"/>
  <c r="B3156" i="17"/>
  <c r="C3156" i="17"/>
  <c r="D3156" i="17"/>
  <c r="E3156" i="17"/>
  <c r="F3156" i="17"/>
  <c r="B3157" i="17"/>
  <c r="C3157" i="17"/>
  <c r="D3157" i="17"/>
  <c r="E3157" i="17"/>
  <c r="F3157" i="17"/>
  <c r="B3158" i="17"/>
  <c r="C3158" i="17"/>
  <c r="D3158" i="17"/>
  <c r="E3158" i="17"/>
  <c r="F3158" i="17"/>
  <c r="B3159" i="17"/>
  <c r="C3159" i="17"/>
  <c r="D3159" i="17"/>
  <c r="E3159" i="17"/>
  <c r="F3159" i="17"/>
  <c r="B3160" i="17"/>
  <c r="C3160" i="17"/>
  <c r="D3160" i="17"/>
  <c r="E3160" i="17"/>
  <c r="F3160" i="17"/>
  <c r="B3161" i="17"/>
  <c r="C3161" i="17"/>
  <c r="D3161" i="17"/>
  <c r="E3161" i="17"/>
  <c r="F3161" i="17"/>
  <c r="B3162" i="17"/>
  <c r="C3162" i="17"/>
  <c r="D3162" i="17"/>
  <c r="E3162" i="17"/>
  <c r="F3162" i="17"/>
  <c r="B3163" i="17"/>
  <c r="C3163" i="17"/>
  <c r="D3163" i="17"/>
  <c r="E3163" i="17"/>
  <c r="F3163" i="17"/>
  <c r="B3164" i="17"/>
  <c r="C3164" i="17"/>
  <c r="D3164" i="17"/>
  <c r="E3164" i="17"/>
  <c r="F3164" i="17"/>
  <c r="B3165" i="17"/>
  <c r="C3165" i="17"/>
  <c r="D3165" i="17"/>
  <c r="E3165" i="17"/>
  <c r="F3165" i="17"/>
  <c r="B3166" i="17"/>
  <c r="C3166" i="17"/>
  <c r="D3166" i="17"/>
  <c r="E3166" i="17"/>
  <c r="F3166" i="17"/>
  <c r="B3167" i="17"/>
  <c r="C3167" i="17"/>
  <c r="D3167" i="17"/>
  <c r="E3167" i="17"/>
  <c r="F3167" i="17"/>
  <c r="B3168" i="17"/>
  <c r="C3168" i="17"/>
  <c r="D3168" i="17"/>
  <c r="E3168" i="17"/>
  <c r="F3168" i="17"/>
  <c r="B3169" i="17"/>
  <c r="C3169" i="17"/>
  <c r="D3169" i="17"/>
  <c r="E3169" i="17"/>
  <c r="F3169" i="17"/>
  <c r="B3170" i="17"/>
  <c r="C3170" i="17"/>
  <c r="D3170" i="17"/>
  <c r="E3170" i="17"/>
  <c r="F3170" i="17"/>
  <c r="B3171" i="17"/>
  <c r="C3171" i="17"/>
  <c r="D3171" i="17"/>
  <c r="E3171" i="17"/>
  <c r="F3171" i="17"/>
  <c r="B3172" i="17"/>
  <c r="C3172" i="17"/>
  <c r="D3172" i="17"/>
  <c r="E3172" i="17"/>
  <c r="F3172" i="17"/>
  <c r="B3173" i="17"/>
  <c r="C3173" i="17"/>
  <c r="D3173" i="17"/>
  <c r="E3173" i="17"/>
  <c r="F3173" i="17"/>
  <c r="B3174" i="17"/>
  <c r="C3174" i="17"/>
  <c r="D3174" i="17"/>
  <c r="E3174" i="17"/>
  <c r="F3174" i="17"/>
  <c r="B3175" i="17"/>
  <c r="C3175" i="17"/>
  <c r="D3175" i="17"/>
  <c r="E3175" i="17"/>
  <c r="F3175" i="17"/>
  <c r="B3176" i="17"/>
  <c r="C3176" i="17"/>
  <c r="D3176" i="17"/>
  <c r="E3176" i="17"/>
  <c r="F3176" i="17"/>
  <c r="B3177" i="17"/>
  <c r="C3177" i="17"/>
  <c r="D3177" i="17"/>
  <c r="E3177" i="17"/>
  <c r="F3177" i="17"/>
  <c r="B3178" i="17"/>
  <c r="C3178" i="17"/>
  <c r="D3178" i="17"/>
  <c r="E3178" i="17"/>
  <c r="F3178" i="17"/>
  <c r="B3179" i="17"/>
  <c r="C3179" i="17"/>
  <c r="D3179" i="17"/>
  <c r="E3179" i="17"/>
  <c r="F3179" i="17"/>
  <c r="B3180" i="17"/>
  <c r="C3180" i="17"/>
  <c r="D3180" i="17"/>
  <c r="E3180" i="17"/>
  <c r="F3180" i="17"/>
  <c r="B3181" i="17"/>
  <c r="C3181" i="17"/>
  <c r="D3181" i="17"/>
  <c r="E3181" i="17"/>
  <c r="F3181" i="17"/>
  <c r="B3182" i="17"/>
  <c r="C3182" i="17"/>
  <c r="D3182" i="17"/>
  <c r="E3182" i="17"/>
  <c r="F3182" i="17"/>
  <c r="B3183" i="17"/>
  <c r="C3183" i="17"/>
  <c r="D3183" i="17"/>
  <c r="E3183" i="17"/>
  <c r="F3183" i="17"/>
  <c r="B3184" i="17"/>
  <c r="C3184" i="17"/>
  <c r="D3184" i="17"/>
  <c r="E3184" i="17"/>
  <c r="F3184" i="17"/>
  <c r="B3185" i="17"/>
  <c r="C3185" i="17"/>
  <c r="D3185" i="17"/>
  <c r="E3185" i="17"/>
  <c r="F3185" i="17"/>
  <c r="B3186" i="17"/>
  <c r="C3186" i="17"/>
  <c r="D3186" i="17"/>
  <c r="E3186" i="17"/>
  <c r="F3186" i="17"/>
  <c r="B3187" i="17"/>
  <c r="C3187" i="17"/>
  <c r="D3187" i="17"/>
  <c r="E3187" i="17"/>
  <c r="F3187" i="17"/>
  <c r="B3188" i="17"/>
  <c r="C3188" i="17"/>
  <c r="D3188" i="17"/>
  <c r="E3188" i="17"/>
  <c r="F3188" i="17"/>
  <c r="B3189" i="17"/>
  <c r="C3189" i="17"/>
  <c r="D3189" i="17"/>
  <c r="E3189" i="17"/>
  <c r="F3189" i="17"/>
  <c r="B3190" i="17"/>
  <c r="C3190" i="17"/>
  <c r="D3190" i="17"/>
  <c r="E3190" i="17"/>
  <c r="F3190" i="17"/>
  <c r="B3191" i="17"/>
  <c r="C3191" i="17"/>
  <c r="D3191" i="17"/>
  <c r="E3191" i="17"/>
  <c r="F3191" i="17"/>
  <c r="B3192" i="17"/>
  <c r="C3192" i="17"/>
  <c r="D3192" i="17"/>
  <c r="E3192" i="17"/>
  <c r="F3192" i="17"/>
  <c r="B3193" i="17"/>
  <c r="C3193" i="17"/>
  <c r="D3193" i="17"/>
  <c r="E3193" i="17"/>
  <c r="F3193" i="17"/>
  <c r="B3194" i="17"/>
  <c r="C3194" i="17"/>
  <c r="D3194" i="17"/>
  <c r="E3194" i="17"/>
  <c r="F3194" i="17"/>
  <c r="B3195" i="17"/>
  <c r="C3195" i="17"/>
  <c r="D3195" i="17"/>
  <c r="E3195" i="17"/>
  <c r="F3195" i="17"/>
  <c r="B3196" i="17"/>
  <c r="C3196" i="17"/>
  <c r="D3196" i="17"/>
  <c r="E3196" i="17"/>
  <c r="F3196" i="17"/>
  <c r="B3197" i="17"/>
  <c r="C3197" i="17"/>
  <c r="D3197" i="17"/>
  <c r="E3197" i="17"/>
  <c r="F3197" i="17"/>
  <c r="B3198" i="17"/>
  <c r="C3198" i="17"/>
  <c r="D3198" i="17"/>
  <c r="E3198" i="17"/>
  <c r="F3198" i="17"/>
  <c r="B3199" i="17"/>
  <c r="C3199" i="17"/>
  <c r="D3199" i="17"/>
  <c r="E3199" i="17"/>
  <c r="F3199" i="17"/>
  <c r="B3200" i="17"/>
  <c r="C3200" i="17"/>
  <c r="D3200" i="17"/>
  <c r="E3200" i="17"/>
  <c r="F3200" i="17"/>
  <c r="B3201" i="17"/>
  <c r="C3201" i="17"/>
  <c r="D3201" i="17"/>
  <c r="E3201" i="17"/>
  <c r="F3201" i="17"/>
  <c r="B3202" i="17"/>
  <c r="C3202" i="17"/>
  <c r="D3202" i="17"/>
  <c r="E3202" i="17"/>
  <c r="F3202" i="17"/>
  <c r="B3203" i="17"/>
  <c r="C3203" i="17"/>
  <c r="D3203" i="17"/>
  <c r="E3203" i="17"/>
  <c r="F3203" i="17"/>
  <c r="B3204" i="17"/>
  <c r="C3204" i="17"/>
  <c r="D3204" i="17"/>
  <c r="E3204" i="17"/>
  <c r="F3204" i="17"/>
  <c r="B3205" i="17"/>
  <c r="C3205" i="17"/>
  <c r="D3205" i="17"/>
  <c r="E3205" i="17"/>
  <c r="F3205" i="17"/>
  <c r="B3206" i="17"/>
  <c r="C3206" i="17"/>
  <c r="D3206" i="17"/>
  <c r="E3206" i="17"/>
  <c r="F3206" i="17"/>
  <c r="B3207" i="17"/>
  <c r="C3207" i="17"/>
  <c r="D3207" i="17"/>
  <c r="E3207" i="17"/>
  <c r="F3207" i="17"/>
  <c r="B3208" i="17"/>
  <c r="C3208" i="17"/>
  <c r="D3208" i="17"/>
  <c r="E3208" i="17"/>
  <c r="F3208" i="17"/>
  <c r="B3209" i="17"/>
  <c r="C3209" i="17"/>
  <c r="D3209" i="17"/>
  <c r="E3209" i="17"/>
  <c r="F3209" i="17"/>
  <c r="B3210" i="17"/>
  <c r="C3210" i="17"/>
  <c r="D3210" i="17"/>
  <c r="E3210" i="17"/>
  <c r="F3210" i="17"/>
  <c r="B3211" i="17"/>
  <c r="C3211" i="17"/>
  <c r="D3211" i="17"/>
  <c r="E3211" i="17"/>
  <c r="F3211" i="17"/>
  <c r="B3212" i="17"/>
  <c r="C3212" i="17"/>
  <c r="D3212" i="17"/>
  <c r="E3212" i="17"/>
  <c r="F3212" i="17"/>
  <c r="B3213" i="17"/>
  <c r="C3213" i="17"/>
  <c r="D3213" i="17"/>
  <c r="E3213" i="17"/>
  <c r="F3213" i="17"/>
  <c r="B3214" i="17"/>
  <c r="C3214" i="17"/>
  <c r="D3214" i="17"/>
  <c r="E3214" i="17"/>
  <c r="F3214" i="17"/>
  <c r="B3215" i="17"/>
  <c r="C3215" i="17"/>
  <c r="D3215" i="17"/>
  <c r="E3215" i="17"/>
  <c r="F3215" i="17"/>
  <c r="B3216" i="17"/>
  <c r="C3216" i="17"/>
  <c r="D3216" i="17"/>
  <c r="E3216" i="17"/>
  <c r="F3216" i="17"/>
  <c r="B3217" i="17"/>
  <c r="C3217" i="17"/>
  <c r="D3217" i="17"/>
  <c r="E3217" i="17"/>
  <c r="F3217" i="17"/>
  <c r="B3218" i="17"/>
  <c r="C3218" i="17"/>
  <c r="D3218" i="17"/>
  <c r="E3218" i="17"/>
  <c r="F3218" i="17"/>
  <c r="B3219" i="17"/>
  <c r="C3219" i="17"/>
  <c r="D3219" i="17"/>
  <c r="E3219" i="17"/>
  <c r="F3219" i="17"/>
  <c r="B3220" i="17"/>
  <c r="C3220" i="17"/>
  <c r="D3220" i="17"/>
  <c r="E3220" i="17"/>
  <c r="F3220" i="17"/>
  <c r="B3221" i="17"/>
  <c r="C3221" i="17"/>
  <c r="D3221" i="17"/>
  <c r="E3221" i="17"/>
  <c r="F3221" i="17"/>
  <c r="B3222" i="17"/>
  <c r="C3222" i="17"/>
  <c r="D3222" i="17"/>
  <c r="E3222" i="17"/>
  <c r="F3222" i="17"/>
  <c r="B3223" i="17"/>
  <c r="C3223" i="17"/>
  <c r="D3223" i="17"/>
  <c r="E3223" i="17"/>
  <c r="F3223" i="17"/>
  <c r="B3224" i="17"/>
  <c r="C3224" i="17"/>
  <c r="D3224" i="17"/>
  <c r="E3224" i="17"/>
  <c r="F3224" i="17"/>
  <c r="B3225" i="17"/>
  <c r="C3225" i="17"/>
  <c r="D3225" i="17"/>
  <c r="E3225" i="17"/>
  <c r="F3225" i="17"/>
  <c r="B3226" i="17"/>
  <c r="C3226" i="17"/>
  <c r="D3226" i="17"/>
  <c r="E3226" i="17"/>
  <c r="F3226" i="17"/>
  <c r="B3227" i="17"/>
  <c r="C3227" i="17"/>
  <c r="D3227" i="17"/>
  <c r="E3227" i="17"/>
  <c r="F3227" i="17"/>
  <c r="B3228" i="17"/>
  <c r="C3228" i="17"/>
  <c r="D3228" i="17"/>
  <c r="E3228" i="17"/>
  <c r="F3228" i="17"/>
  <c r="B3229" i="17"/>
  <c r="C3229" i="17"/>
  <c r="D3229" i="17"/>
  <c r="E3229" i="17"/>
  <c r="F3229" i="17"/>
  <c r="B3230" i="17"/>
  <c r="C3230" i="17"/>
  <c r="D3230" i="17"/>
  <c r="E3230" i="17"/>
  <c r="F3230" i="17"/>
  <c r="B3231" i="17"/>
  <c r="C3231" i="17"/>
  <c r="D3231" i="17"/>
  <c r="E3231" i="17"/>
  <c r="F3231" i="17"/>
  <c r="B3232" i="17"/>
  <c r="C3232" i="17"/>
  <c r="D3232" i="17"/>
  <c r="E3232" i="17"/>
  <c r="F3232" i="17"/>
  <c r="B3233" i="17"/>
  <c r="C3233" i="17"/>
  <c r="D3233" i="17"/>
  <c r="E3233" i="17"/>
  <c r="F3233" i="17"/>
  <c r="B3234" i="17"/>
  <c r="C3234" i="17"/>
  <c r="D3234" i="17"/>
  <c r="E3234" i="17"/>
  <c r="F3234" i="17"/>
  <c r="B3235" i="17"/>
  <c r="C3235" i="17"/>
  <c r="D3235" i="17"/>
  <c r="E3235" i="17"/>
  <c r="F3235" i="17"/>
  <c r="B3236" i="17"/>
  <c r="C3236" i="17"/>
  <c r="D3236" i="17"/>
  <c r="E3236" i="17"/>
  <c r="F3236" i="17"/>
  <c r="B3237" i="17"/>
  <c r="C3237" i="17"/>
  <c r="D3237" i="17"/>
  <c r="E3237" i="17"/>
  <c r="F3237" i="17"/>
  <c r="B3238" i="17"/>
  <c r="C3238" i="17"/>
  <c r="D3238" i="17"/>
  <c r="E3238" i="17"/>
  <c r="F3238" i="17"/>
  <c r="B3239" i="17"/>
  <c r="C3239" i="17"/>
  <c r="D3239" i="17"/>
  <c r="E3239" i="17"/>
  <c r="F3239" i="17"/>
  <c r="B3240" i="17"/>
  <c r="C3240" i="17"/>
  <c r="D3240" i="17"/>
  <c r="E3240" i="17"/>
  <c r="F3240" i="17"/>
  <c r="B3241" i="17"/>
  <c r="C3241" i="17"/>
  <c r="D3241" i="17"/>
  <c r="E3241" i="17"/>
  <c r="F3241" i="17"/>
  <c r="B3242" i="17"/>
  <c r="C3242" i="17"/>
  <c r="D3242" i="17"/>
  <c r="E3242" i="17"/>
  <c r="F3242" i="17"/>
  <c r="B3243" i="17"/>
  <c r="C3243" i="17"/>
  <c r="D3243" i="17"/>
  <c r="E3243" i="17"/>
  <c r="F3243" i="17"/>
  <c r="B3244" i="17"/>
  <c r="C3244" i="17"/>
  <c r="D3244" i="17"/>
  <c r="E3244" i="17"/>
  <c r="F3244" i="17"/>
  <c r="B3245" i="17"/>
  <c r="C3245" i="17"/>
  <c r="D3245" i="17"/>
  <c r="E3245" i="17"/>
  <c r="F3245" i="17"/>
  <c r="B3246" i="17"/>
  <c r="C3246" i="17"/>
  <c r="D3246" i="17"/>
  <c r="E3246" i="17"/>
  <c r="F3246" i="17"/>
  <c r="B3247" i="17"/>
  <c r="C3247" i="17"/>
  <c r="D3247" i="17"/>
  <c r="E3247" i="17"/>
  <c r="F3247" i="17"/>
  <c r="B3248" i="17"/>
  <c r="C3248" i="17"/>
  <c r="D3248" i="17"/>
  <c r="E3248" i="17"/>
  <c r="F3248" i="17"/>
  <c r="B3249" i="17"/>
  <c r="C3249" i="17"/>
  <c r="D3249" i="17"/>
  <c r="E3249" i="17"/>
  <c r="F3249" i="17"/>
  <c r="B3250" i="17"/>
  <c r="C3250" i="17"/>
  <c r="D3250" i="17"/>
  <c r="E3250" i="17"/>
  <c r="F3250" i="17"/>
  <c r="B3251" i="17"/>
  <c r="C3251" i="17"/>
  <c r="D3251" i="17"/>
  <c r="E3251" i="17"/>
  <c r="F3251" i="17"/>
  <c r="B3252" i="17"/>
  <c r="C3252" i="17"/>
  <c r="D3252" i="17"/>
  <c r="E3252" i="17"/>
  <c r="F3252" i="17"/>
  <c r="B3253" i="17"/>
  <c r="C3253" i="17"/>
  <c r="D3253" i="17"/>
  <c r="E3253" i="17"/>
  <c r="F3253" i="17"/>
  <c r="B3254" i="17"/>
  <c r="C3254" i="17"/>
  <c r="D3254" i="17"/>
  <c r="E3254" i="17"/>
  <c r="F3254" i="17"/>
  <c r="B3255" i="17"/>
  <c r="C3255" i="17"/>
  <c r="D3255" i="17"/>
  <c r="E3255" i="17"/>
  <c r="F3255" i="17"/>
  <c r="B3256" i="17"/>
  <c r="C3256" i="17"/>
  <c r="D3256" i="17"/>
  <c r="E3256" i="17"/>
  <c r="F3256" i="17"/>
  <c r="B3257" i="17"/>
  <c r="C3257" i="17"/>
  <c r="D3257" i="17"/>
  <c r="E3257" i="17"/>
  <c r="F3257" i="17"/>
  <c r="B3258" i="17"/>
  <c r="C3258" i="17"/>
  <c r="D3258" i="17"/>
  <c r="E3258" i="17"/>
  <c r="F3258" i="17"/>
  <c r="B3259" i="17"/>
  <c r="C3259" i="17"/>
  <c r="D3259" i="17"/>
  <c r="E3259" i="17"/>
  <c r="F3259" i="17"/>
  <c r="B3260" i="17"/>
  <c r="C3260" i="17"/>
  <c r="D3260" i="17"/>
  <c r="E3260" i="17"/>
  <c r="F3260" i="17"/>
  <c r="B3261" i="17"/>
  <c r="C3261" i="17"/>
  <c r="D3261" i="17"/>
  <c r="E3261" i="17"/>
  <c r="F3261" i="17"/>
  <c r="B3262" i="17"/>
  <c r="C3262" i="17"/>
  <c r="D3262" i="17"/>
  <c r="E3262" i="17"/>
  <c r="F3262" i="17"/>
  <c r="B3263" i="17"/>
  <c r="C3263" i="17"/>
  <c r="D3263" i="17"/>
  <c r="E3263" i="17"/>
  <c r="F3263" i="17"/>
  <c r="B3264" i="17"/>
  <c r="C3264" i="17"/>
  <c r="D3264" i="17"/>
  <c r="E3264" i="17"/>
  <c r="F3264" i="17"/>
  <c r="B3265" i="17"/>
  <c r="C3265" i="17"/>
  <c r="D3265" i="17"/>
  <c r="E3265" i="17"/>
  <c r="F3265" i="17"/>
  <c r="B3266" i="17"/>
  <c r="C3266" i="17"/>
  <c r="D3266" i="17"/>
  <c r="E3266" i="17"/>
  <c r="F3266" i="17"/>
  <c r="B3267" i="17"/>
  <c r="C3267" i="17"/>
  <c r="D3267" i="17"/>
  <c r="E3267" i="17"/>
  <c r="F3267" i="17"/>
  <c r="B3268" i="17"/>
  <c r="C3268" i="17"/>
  <c r="D3268" i="17"/>
  <c r="E3268" i="17"/>
  <c r="F3268" i="17"/>
  <c r="B3269" i="17"/>
  <c r="C3269" i="17"/>
  <c r="D3269" i="17"/>
  <c r="E3269" i="17"/>
  <c r="F3269" i="17"/>
  <c r="B3270" i="17"/>
  <c r="C3270" i="17"/>
  <c r="D3270" i="17"/>
  <c r="E3270" i="17"/>
  <c r="F3270" i="17"/>
  <c r="B3271" i="17"/>
  <c r="C3271" i="17"/>
  <c r="D3271" i="17"/>
  <c r="E3271" i="17"/>
  <c r="F3271" i="17"/>
  <c r="B3272" i="17"/>
  <c r="C3272" i="17"/>
  <c r="D3272" i="17"/>
  <c r="E3272" i="17"/>
  <c r="F3272" i="17"/>
  <c r="B3273" i="17"/>
  <c r="C3273" i="17"/>
  <c r="D3273" i="17"/>
  <c r="E3273" i="17"/>
  <c r="F3273" i="17"/>
  <c r="B3274" i="17"/>
  <c r="C3274" i="17"/>
  <c r="D3274" i="17"/>
  <c r="E3274" i="17"/>
  <c r="F3274" i="17"/>
  <c r="B3275" i="17"/>
  <c r="C3275" i="17"/>
  <c r="D3275" i="17"/>
  <c r="E3275" i="17"/>
  <c r="F3275" i="17"/>
  <c r="B3276" i="17"/>
  <c r="C3276" i="17"/>
  <c r="D3276" i="17"/>
  <c r="E3276" i="17"/>
  <c r="F3276" i="17"/>
  <c r="B3277" i="17"/>
  <c r="C3277" i="17"/>
  <c r="D3277" i="17"/>
  <c r="E3277" i="17"/>
  <c r="F3277" i="17"/>
  <c r="B3278" i="17"/>
  <c r="C3278" i="17"/>
  <c r="D3278" i="17"/>
  <c r="E3278" i="17"/>
  <c r="F3278" i="17"/>
  <c r="B3279" i="17"/>
  <c r="C3279" i="17"/>
  <c r="D3279" i="17"/>
  <c r="E3279" i="17"/>
  <c r="F3279" i="17"/>
  <c r="B3280" i="17"/>
  <c r="C3280" i="17"/>
  <c r="D3280" i="17"/>
  <c r="E3280" i="17"/>
  <c r="F3280" i="17"/>
  <c r="B3281" i="17"/>
  <c r="C3281" i="17"/>
  <c r="D3281" i="17"/>
  <c r="E3281" i="17"/>
  <c r="F3281" i="17"/>
  <c r="B3282" i="17"/>
  <c r="C3282" i="17"/>
  <c r="D3282" i="17"/>
  <c r="E3282" i="17"/>
  <c r="F3282" i="17"/>
  <c r="B3283" i="17"/>
  <c r="C3283" i="17"/>
  <c r="D3283" i="17"/>
  <c r="E3283" i="17"/>
  <c r="F3283" i="17"/>
  <c r="B3284" i="17"/>
  <c r="C3284" i="17"/>
  <c r="D3284" i="17"/>
  <c r="E3284" i="17"/>
  <c r="F3284" i="17"/>
  <c r="B3285" i="17"/>
  <c r="C3285" i="17"/>
  <c r="D3285" i="17"/>
  <c r="E3285" i="17"/>
  <c r="F3285" i="17"/>
  <c r="B3286" i="17"/>
  <c r="C3286" i="17"/>
  <c r="D3286" i="17"/>
  <c r="E3286" i="17"/>
  <c r="F3286" i="17"/>
  <c r="B3287" i="17"/>
  <c r="C3287" i="17"/>
  <c r="D3287" i="17"/>
  <c r="E3287" i="17"/>
  <c r="F3287" i="17"/>
  <c r="B3288" i="17"/>
  <c r="C3288" i="17"/>
  <c r="D3288" i="17"/>
  <c r="E3288" i="17"/>
  <c r="F3288" i="17"/>
  <c r="B3289" i="17"/>
  <c r="C3289" i="17"/>
  <c r="D3289" i="17"/>
  <c r="E3289" i="17"/>
  <c r="F3289" i="17"/>
  <c r="B3290" i="17"/>
  <c r="C3290" i="17"/>
  <c r="D3290" i="17"/>
  <c r="E3290" i="17"/>
  <c r="F3290" i="17"/>
  <c r="B3291" i="17"/>
  <c r="C3291" i="17"/>
  <c r="D3291" i="17"/>
  <c r="E3291" i="17"/>
  <c r="F3291" i="17"/>
  <c r="B3292" i="17"/>
  <c r="C3292" i="17"/>
  <c r="D3292" i="17"/>
  <c r="E3292" i="17"/>
  <c r="F3292" i="17"/>
  <c r="B3293" i="17"/>
  <c r="C3293" i="17"/>
  <c r="D3293" i="17"/>
  <c r="E3293" i="17"/>
  <c r="F3293" i="17"/>
  <c r="B3294" i="17"/>
  <c r="C3294" i="17"/>
  <c r="D3294" i="17"/>
  <c r="E3294" i="17"/>
  <c r="F3294" i="17"/>
  <c r="B3295" i="17"/>
  <c r="C3295" i="17"/>
  <c r="D3295" i="17"/>
  <c r="E3295" i="17"/>
  <c r="F3295" i="17"/>
  <c r="B3296" i="17"/>
  <c r="C3296" i="17"/>
  <c r="D3296" i="17"/>
  <c r="E3296" i="17"/>
  <c r="F3296" i="17"/>
  <c r="B3297" i="17"/>
  <c r="C3297" i="17"/>
  <c r="D3297" i="17"/>
  <c r="E3297" i="17"/>
  <c r="F3297" i="17"/>
  <c r="B3298" i="17"/>
  <c r="C3298" i="17"/>
  <c r="D3298" i="17"/>
  <c r="E3298" i="17"/>
  <c r="F3298" i="17"/>
  <c r="B3299" i="17"/>
  <c r="C3299" i="17"/>
  <c r="D3299" i="17"/>
  <c r="E3299" i="17"/>
  <c r="F3299" i="17"/>
  <c r="B3300" i="17"/>
  <c r="C3300" i="17"/>
  <c r="D3300" i="17"/>
  <c r="E3300" i="17"/>
  <c r="F3300" i="17"/>
  <c r="B3301" i="17"/>
  <c r="C3301" i="17"/>
  <c r="D3301" i="17"/>
  <c r="E3301" i="17"/>
  <c r="F3301" i="17"/>
  <c r="B3302" i="17"/>
  <c r="C3302" i="17"/>
  <c r="D3302" i="17"/>
  <c r="E3302" i="17"/>
  <c r="F3302" i="17"/>
  <c r="B3303" i="17"/>
  <c r="C3303" i="17"/>
  <c r="D3303" i="17"/>
  <c r="E3303" i="17"/>
  <c r="F3303" i="17"/>
  <c r="B3304" i="17"/>
  <c r="C3304" i="17"/>
  <c r="D3304" i="17"/>
  <c r="E3304" i="17"/>
  <c r="F3304" i="17"/>
  <c r="B3305" i="17"/>
  <c r="C3305" i="17"/>
  <c r="D3305" i="17"/>
  <c r="E3305" i="17"/>
  <c r="F3305" i="17"/>
  <c r="B3306" i="17"/>
  <c r="C3306" i="17"/>
  <c r="D3306" i="17"/>
  <c r="E3306" i="17"/>
  <c r="F3306" i="17"/>
  <c r="B3307" i="17"/>
  <c r="C3307" i="17"/>
  <c r="D3307" i="17"/>
  <c r="E3307" i="17"/>
  <c r="F3307" i="17"/>
  <c r="B3308" i="17"/>
  <c r="C3308" i="17"/>
  <c r="D3308" i="17"/>
  <c r="E3308" i="17"/>
  <c r="F3308" i="17"/>
  <c r="B3309" i="17"/>
  <c r="C3309" i="17"/>
  <c r="D3309" i="17"/>
  <c r="E3309" i="17"/>
  <c r="F3309" i="17"/>
  <c r="B3310" i="17"/>
  <c r="C3310" i="17"/>
  <c r="D3310" i="17"/>
  <c r="E3310" i="17"/>
  <c r="F3310" i="17"/>
  <c r="B3311" i="17"/>
  <c r="C3311" i="17"/>
  <c r="D3311" i="17"/>
  <c r="E3311" i="17"/>
  <c r="F3311" i="17"/>
  <c r="B3312" i="17"/>
  <c r="C3312" i="17"/>
  <c r="D3312" i="17"/>
  <c r="E3312" i="17"/>
  <c r="F3312" i="17"/>
  <c r="B3313" i="17"/>
  <c r="C3313" i="17"/>
  <c r="D3313" i="17"/>
  <c r="E3313" i="17"/>
  <c r="F3313" i="17"/>
  <c r="B3314" i="17"/>
  <c r="C3314" i="17"/>
  <c r="D3314" i="17"/>
  <c r="E3314" i="17"/>
  <c r="F3314" i="17"/>
  <c r="B3315" i="17"/>
  <c r="C3315" i="17"/>
  <c r="D3315" i="17"/>
  <c r="E3315" i="17"/>
  <c r="F3315" i="17"/>
  <c r="B3316" i="17"/>
  <c r="C3316" i="17"/>
  <c r="D3316" i="17"/>
  <c r="E3316" i="17"/>
  <c r="F3316" i="17"/>
  <c r="B3317" i="17"/>
  <c r="C3317" i="17"/>
  <c r="D3317" i="17"/>
  <c r="E3317" i="17"/>
  <c r="F3317" i="17"/>
  <c r="B3318" i="17"/>
  <c r="C3318" i="17"/>
  <c r="D3318" i="17"/>
  <c r="E3318" i="17"/>
  <c r="F3318" i="17"/>
  <c r="B3319" i="17"/>
  <c r="C3319" i="17"/>
  <c r="D3319" i="17"/>
  <c r="E3319" i="17"/>
  <c r="F3319" i="17"/>
  <c r="B3320" i="17"/>
  <c r="C3320" i="17"/>
  <c r="D3320" i="17"/>
  <c r="E3320" i="17"/>
  <c r="F3320" i="17"/>
  <c r="B3321" i="17"/>
  <c r="C3321" i="17"/>
  <c r="D3321" i="17"/>
  <c r="E3321" i="17"/>
  <c r="F3321" i="17"/>
  <c r="B3322" i="17"/>
  <c r="C3322" i="17"/>
  <c r="D3322" i="17"/>
  <c r="E3322" i="17"/>
  <c r="F3322" i="17"/>
  <c r="B3323" i="17"/>
  <c r="C3323" i="17"/>
  <c r="D3323" i="17"/>
  <c r="E3323" i="17"/>
  <c r="F3323" i="17"/>
  <c r="B3324" i="17"/>
  <c r="C3324" i="17"/>
  <c r="D3324" i="17"/>
  <c r="E3324" i="17"/>
  <c r="F3324" i="17"/>
  <c r="B3325" i="17"/>
  <c r="C3325" i="17"/>
  <c r="D3325" i="17"/>
  <c r="E3325" i="17"/>
  <c r="F3325" i="17"/>
  <c r="B3326" i="17"/>
  <c r="C3326" i="17"/>
  <c r="D3326" i="17"/>
  <c r="E3326" i="17"/>
  <c r="F3326" i="17"/>
  <c r="B3327" i="17"/>
  <c r="C3327" i="17"/>
  <c r="D3327" i="17"/>
  <c r="E3327" i="17"/>
  <c r="F3327" i="17"/>
  <c r="B3328" i="17"/>
  <c r="C3328" i="17"/>
  <c r="D3328" i="17"/>
  <c r="E3328" i="17"/>
  <c r="F3328" i="17"/>
  <c r="B3329" i="17"/>
  <c r="C3329" i="17"/>
  <c r="D3329" i="17"/>
  <c r="E3329" i="17"/>
  <c r="F3329" i="17"/>
  <c r="B3330" i="17"/>
  <c r="C3330" i="17"/>
  <c r="D3330" i="17"/>
  <c r="E3330" i="17"/>
  <c r="F3330" i="17"/>
  <c r="B3331" i="17"/>
  <c r="C3331" i="17"/>
  <c r="D3331" i="17"/>
  <c r="E3331" i="17"/>
  <c r="F3331" i="17"/>
  <c r="B3332" i="17"/>
  <c r="C3332" i="17"/>
  <c r="D3332" i="17"/>
  <c r="E3332" i="17"/>
  <c r="F3332" i="17"/>
  <c r="B3333" i="17"/>
  <c r="C3333" i="17"/>
  <c r="D3333" i="17"/>
  <c r="E3333" i="17"/>
  <c r="F3333" i="17"/>
  <c r="B3334" i="17"/>
  <c r="C3334" i="17"/>
  <c r="D3334" i="17"/>
  <c r="E3334" i="17"/>
  <c r="F3334" i="17"/>
  <c r="B3335" i="17"/>
  <c r="C3335" i="17"/>
  <c r="D3335" i="17"/>
  <c r="E3335" i="17"/>
  <c r="F3335" i="17"/>
  <c r="B3336" i="17"/>
  <c r="C3336" i="17"/>
  <c r="D3336" i="17"/>
  <c r="E3336" i="17"/>
  <c r="F3336" i="17"/>
  <c r="B3337" i="17"/>
  <c r="C3337" i="17"/>
  <c r="D3337" i="17"/>
  <c r="E3337" i="17"/>
  <c r="F3337" i="17"/>
  <c r="B3338" i="17"/>
  <c r="C3338" i="17"/>
  <c r="D3338" i="17"/>
  <c r="E3338" i="17"/>
  <c r="F3338" i="17"/>
  <c r="B3339" i="17"/>
  <c r="C3339" i="17"/>
  <c r="D3339" i="17"/>
  <c r="E3339" i="17"/>
  <c r="F3339" i="17"/>
  <c r="B3340" i="17"/>
  <c r="C3340" i="17"/>
  <c r="D3340" i="17"/>
  <c r="E3340" i="17"/>
  <c r="F3340" i="17"/>
  <c r="B3341" i="17"/>
  <c r="C3341" i="17"/>
  <c r="D3341" i="17"/>
  <c r="E3341" i="17"/>
  <c r="F3341" i="17"/>
  <c r="B3342" i="17"/>
  <c r="C3342" i="17"/>
  <c r="D3342" i="17"/>
  <c r="E3342" i="17"/>
  <c r="F3342" i="17"/>
  <c r="B3343" i="17"/>
  <c r="C3343" i="17"/>
  <c r="D3343" i="17"/>
  <c r="E3343" i="17"/>
  <c r="F3343" i="17"/>
  <c r="B3344" i="17"/>
  <c r="C3344" i="17"/>
  <c r="D3344" i="17"/>
  <c r="E3344" i="17"/>
  <c r="F3344" i="17"/>
  <c r="B3345" i="17"/>
  <c r="C3345" i="17"/>
  <c r="D3345" i="17"/>
  <c r="E3345" i="17"/>
  <c r="F3345" i="17"/>
  <c r="B3346" i="17"/>
  <c r="C3346" i="17"/>
  <c r="D3346" i="17"/>
  <c r="E3346" i="17"/>
  <c r="F3346" i="17"/>
  <c r="B3347" i="17"/>
  <c r="C3347" i="17"/>
  <c r="D3347" i="17"/>
  <c r="E3347" i="17"/>
  <c r="F3347" i="17"/>
  <c r="B3348" i="17"/>
  <c r="C3348" i="17"/>
  <c r="D3348" i="17"/>
  <c r="E3348" i="17"/>
  <c r="F3348" i="17"/>
  <c r="B3349" i="17"/>
  <c r="C3349" i="17"/>
  <c r="D3349" i="17"/>
  <c r="E3349" i="17"/>
  <c r="F3349" i="17"/>
  <c r="B3350" i="17"/>
  <c r="C3350" i="17"/>
  <c r="D3350" i="17"/>
  <c r="E3350" i="17"/>
  <c r="F3350" i="17"/>
  <c r="B3351" i="17"/>
  <c r="C3351" i="17"/>
  <c r="D3351" i="17"/>
  <c r="E3351" i="17"/>
  <c r="F3351" i="17"/>
  <c r="B3352" i="17"/>
  <c r="C3352" i="17"/>
  <c r="D3352" i="17"/>
  <c r="E3352" i="17"/>
  <c r="F3352" i="17"/>
  <c r="B3353" i="17"/>
  <c r="C3353" i="17"/>
  <c r="D3353" i="17"/>
  <c r="E3353" i="17"/>
  <c r="F3353" i="17"/>
  <c r="B3354" i="17"/>
  <c r="C3354" i="17"/>
  <c r="D3354" i="17"/>
  <c r="E3354" i="17"/>
  <c r="F3354" i="17"/>
  <c r="B3355" i="17"/>
  <c r="C3355" i="17"/>
  <c r="D3355" i="17"/>
  <c r="E3355" i="17"/>
  <c r="F3355" i="17"/>
  <c r="B3356" i="17"/>
  <c r="C3356" i="17"/>
  <c r="D3356" i="17"/>
  <c r="E3356" i="17"/>
  <c r="F3356" i="17"/>
  <c r="B3357" i="17"/>
  <c r="C3357" i="17"/>
  <c r="D3357" i="17"/>
  <c r="E3357" i="17"/>
  <c r="F3357" i="17"/>
  <c r="B3358" i="17"/>
  <c r="C3358" i="17"/>
  <c r="D3358" i="17"/>
  <c r="E3358" i="17"/>
  <c r="F3358" i="17"/>
  <c r="B3359" i="17"/>
  <c r="C3359" i="17"/>
  <c r="D3359" i="17"/>
  <c r="E3359" i="17"/>
  <c r="F3359" i="17"/>
  <c r="B3360" i="17"/>
  <c r="C3360" i="17"/>
  <c r="D3360" i="17"/>
  <c r="E3360" i="17"/>
  <c r="F3360" i="17"/>
  <c r="B3361" i="17"/>
  <c r="C3361" i="17"/>
  <c r="D3361" i="17"/>
  <c r="E3361" i="17"/>
  <c r="F3361" i="17"/>
  <c r="B3362" i="17"/>
  <c r="C3362" i="17"/>
  <c r="D3362" i="17"/>
  <c r="E3362" i="17"/>
  <c r="F3362" i="17"/>
  <c r="B3363" i="17"/>
  <c r="C3363" i="17"/>
  <c r="D3363" i="17"/>
  <c r="E3363" i="17"/>
  <c r="F3363" i="17"/>
  <c r="B3364" i="17"/>
  <c r="C3364" i="17"/>
  <c r="D3364" i="17"/>
  <c r="E3364" i="17"/>
  <c r="F3364" i="17"/>
  <c r="B3365" i="17"/>
  <c r="C3365" i="17"/>
  <c r="D3365" i="17"/>
  <c r="E3365" i="17"/>
  <c r="F3365" i="17"/>
  <c r="B3366" i="17"/>
  <c r="C3366" i="17"/>
  <c r="D3366" i="17"/>
  <c r="E3366" i="17"/>
  <c r="F3366" i="17"/>
  <c r="B3367" i="17"/>
  <c r="C3367" i="17"/>
  <c r="D3367" i="17"/>
  <c r="E3367" i="17"/>
  <c r="F3367" i="17"/>
  <c r="B3368" i="17"/>
  <c r="C3368" i="17"/>
  <c r="D3368" i="17"/>
  <c r="E3368" i="17"/>
  <c r="F3368" i="17"/>
  <c r="B3369" i="17"/>
  <c r="C3369" i="17"/>
  <c r="D3369" i="17"/>
  <c r="E3369" i="17"/>
  <c r="F3369" i="17"/>
  <c r="B3370" i="17"/>
  <c r="C3370" i="17"/>
  <c r="D3370" i="17"/>
  <c r="E3370" i="17"/>
  <c r="F3370" i="17"/>
  <c r="B3371" i="17"/>
  <c r="C3371" i="17"/>
  <c r="D3371" i="17"/>
  <c r="E3371" i="17"/>
  <c r="F3371" i="17"/>
  <c r="B3372" i="17"/>
  <c r="C3372" i="17"/>
  <c r="D3372" i="17"/>
  <c r="E3372" i="17"/>
  <c r="F3372" i="17"/>
  <c r="B3373" i="17"/>
  <c r="C3373" i="17"/>
  <c r="D3373" i="17"/>
  <c r="E3373" i="17"/>
  <c r="F3373" i="17"/>
  <c r="B3374" i="17"/>
  <c r="C3374" i="17"/>
  <c r="D3374" i="17"/>
  <c r="E3374" i="17"/>
  <c r="F3374" i="17"/>
  <c r="B3375" i="17"/>
  <c r="C3375" i="17"/>
  <c r="D3375" i="17"/>
  <c r="E3375" i="17"/>
  <c r="F3375" i="17"/>
  <c r="B3376" i="17"/>
  <c r="C3376" i="17"/>
  <c r="D3376" i="17"/>
  <c r="E3376" i="17"/>
  <c r="F3376" i="17"/>
  <c r="B3377" i="17"/>
  <c r="C3377" i="17"/>
  <c r="D3377" i="17"/>
  <c r="E3377" i="17"/>
  <c r="F3377" i="17"/>
  <c r="B3378" i="17"/>
  <c r="C3378" i="17"/>
  <c r="D3378" i="17"/>
  <c r="E3378" i="17"/>
  <c r="F3378" i="17"/>
  <c r="B3379" i="17"/>
  <c r="C3379" i="17"/>
  <c r="D3379" i="17"/>
  <c r="E3379" i="17"/>
  <c r="F3379" i="17"/>
  <c r="B3380" i="17"/>
  <c r="C3380" i="17"/>
  <c r="D3380" i="17"/>
  <c r="E3380" i="17"/>
  <c r="F3380" i="17"/>
  <c r="B3381" i="17"/>
  <c r="C3381" i="17"/>
  <c r="D3381" i="17"/>
  <c r="E3381" i="17"/>
  <c r="F3381" i="17"/>
  <c r="B3382" i="17"/>
  <c r="C3382" i="17"/>
  <c r="D3382" i="17"/>
  <c r="E3382" i="17"/>
  <c r="F3382" i="17"/>
  <c r="B3383" i="17"/>
  <c r="C3383" i="17"/>
  <c r="D3383" i="17"/>
  <c r="E3383" i="17"/>
  <c r="F3383" i="17"/>
  <c r="B3384" i="17"/>
  <c r="C3384" i="17"/>
  <c r="D3384" i="17"/>
  <c r="E3384" i="17"/>
  <c r="F3384" i="17"/>
  <c r="B3385" i="17"/>
  <c r="C3385" i="17"/>
  <c r="D3385" i="17"/>
  <c r="E3385" i="17"/>
  <c r="F3385" i="17"/>
  <c r="B3386" i="17"/>
  <c r="C3386" i="17"/>
  <c r="D3386" i="17"/>
  <c r="E3386" i="17"/>
  <c r="F3386" i="17"/>
  <c r="B3387" i="17"/>
  <c r="C3387" i="17"/>
  <c r="D3387" i="17"/>
  <c r="E3387" i="17"/>
  <c r="F3387" i="17"/>
  <c r="B3388" i="17"/>
  <c r="C3388" i="17"/>
  <c r="D3388" i="17"/>
  <c r="E3388" i="17"/>
  <c r="F3388" i="17"/>
  <c r="B3389" i="17"/>
  <c r="C3389" i="17"/>
  <c r="D3389" i="17"/>
  <c r="E3389" i="17"/>
  <c r="F3389" i="17"/>
  <c r="B3390" i="17"/>
  <c r="C3390" i="17"/>
  <c r="D3390" i="17"/>
  <c r="E3390" i="17"/>
  <c r="F3390" i="17"/>
  <c r="B3391" i="17"/>
  <c r="C3391" i="17"/>
  <c r="D3391" i="17"/>
  <c r="E3391" i="17"/>
  <c r="F3391" i="17"/>
  <c r="B3392" i="17"/>
  <c r="C3392" i="17"/>
  <c r="D3392" i="17"/>
  <c r="E3392" i="17"/>
  <c r="F3392" i="17"/>
  <c r="B3393" i="17"/>
  <c r="C3393" i="17"/>
  <c r="D3393" i="17"/>
  <c r="E3393" i="17"/>
  <c r="F3393" i="17"/>
  <c r="B3394" i="17"/>
  <c r="C3394" i="17"/>
  <c r="D3394" i="17"/>
  <c r="E3394" i="17"/>
  <c r="F3394" i="17"/>
  <c r="B3395" i="17"/>
  <c r="C3395" i="17"/>
  <c r="D3395" i="17"/>
  <c r="E3395" i="17"/>
  <c r="F3395" i="17"/>
  <c r="B3396" i="17"/>
  <c r="C3396" i="17"/>
  <c r="D3396" i="17"/>
  <c r="E3396" i="17"/>
  <c r="F3396" i="17"/>
  <c r="B3397" i="17"/>
  <c r="C3397" i="17"/>
  <c r="D3397" i="17"/>
  <c r="E3397" i="17"/>
  <c r="F3397" i="17"/>
  <c r="B3398" i="17"/>
  <c r="C3398" i="17"/>
  <c r="D3398" i="17"/>
  <c r="E3398" i="17"/>
  <c r="F3398" i="17"/>
  <c r="B3399" i="17"/>
  <c r="C3399" i="17"/>
  <c r="D3399" i="17"/>
  <c r="E3399" i="17"/>
  <c r="F3399" i="17"/>
  <c r="B3400" i="17"/>
  <c r="C3400" i="17"/>
  <c r="D3400" i="17"/>
  <c r="E3400" i="17"/>
  <c r="F3400" i="17"/>
  <c r="B3401" i="17"/>
  <c r="C3401" i="17"/>
  <c r="D3401" i="17"/>
  <c r="E3401" i="17"/>
  <c r="F3401" i="17"/>
  <c r="B3402" i="17"/>
  <c r="C3402" i="17"/>
  <c r="D3402" i="17"/>
  <c r="E3402" i="17"/>
  <c r="F3402" i="17"/>
  <c r="B3403" i="17"/>
  <c r="C3403" i="17"/>
  <c r="D3403" i="17"/>
  <c r="E3403" i="17"/>
  <c r="F3403" i="17"/>
  <c r="B3404" i="17"/>
  <c r="C3404" i="17"/>
  <c r="D3404" i="17"/>
  <c r="E3404" i="17"/>
  <c r="F3404" i="17"/>
  <c r="B3405" i="17"/>
  <c r="C3405" i="17"/>
  <c r="D3405" i="17"/>
  <c r="E3405" i="17"/>
  <c r="F3405" i="17"/>
  <c r="B3406" i="17"/>
  <c r="C3406" i="17"/>
  <c r="D3406" i="17"/>
  <c r="E3406" i="17"/>
  <c r="F3406" i="17"/>
  <c r="B3407" i="17"/>
  <c r="C3407" i="17"/>
  <c r="D3407" i="17"/>
  <c r="E3407" i="17"/>
  <c r="F3407" i="17"/>
  <c r="B3408" i="17"/>
  <c r="C3408" i="17"/>
  <c r="D3408" i="17"/>
  <c r="E3408" i="17"/>
  <c r="F3408" i="17"/>
  <c r="B3409" i="17"/>
  <c r="C3409" i="17"/>
  <c r="D3409" i="17"/>
  <c r="E3409" i="17"/>
  <c r="F3409" i="17"/>
  <c r="B3410" i="17"/>
  <c r="C3410" i="17"/>
  <c r="D3410" i="17"/>
  <c r="E3410" i="17"/>
  <c r="F3410" i="17"/>
  <c r="B3411" i="17"/>
  <c r="C3411" i="17"/>
  <c r="D3411" i="17"/>
  <c r="E3411" i="17"/>
  <c r="F3411" i="17"/>
  <c r="B3412" i="17"/>
  <c r="C3412" i="17"/>
  <c r="D3412" i="17"/>
  <c r="E3412" i="17"/>
  <c r="F3412" i="17"/>
  <c r="B3413" i="17"/>
  <c r="C3413" i="17"/>
  <c r="D3413" i="17"/>
  <c r="E3413" i="17"/>
  <c r="F3413" i="17"/>
  <c r="B3414" i="17"/>
  <c r="C3414" i="17"/>
  <c r="D3414" i="17"/>
  <c r="E3414" i="17"/>
  <c r="F3414" i="17"/>
  <c r="B3415" i="17"/>
  <c r="C3415" i="17"/>
  <c r="D3415" i="17"/>
  <c r="E3415" i="17"/>
  <c r="F3415" i="17"/>
  <c r="B3416" i="17"/>
  <c r="C3416" i="17"/>
  <c r="D3416" i="17"/>
  <c r="E3416" i="17"/>
  <c r="F3416" i="17"/>
  <c r="B3417" i="17"/>
  <c r="C3417" i="17"/>
  <c r="D3417" i="17"/>
  <c r="E3417" i="17"/>
  <c r="F3417" i="17"/>
  <c r="B3418" i="17"/>
  <c r="C3418" i="17"/>
  <c r="D3418" i="17"/>
  <c r="E3418" i="17"/>
  <c r="F3418" i="17"/>
  <c r="B3419" i="17"/>
  <c r="C3419" i="17"/>
  <c r="D3419" i="17"/>
  <c r="E3419" i="17"/>
  <c r="F3419" i="17"/>
  <c r="B3420" i="17"/>
  <c r="C3420" i="17"/>
  <c r="D3420" i="17"/>
  <c r="E3420" i="17"/>
  <c r="F3420" i="17"/>
  <c r="B3421" i="17"/>
  <c r="C3421" i="17"/>
  <c r="D3421" i="17"/>
  <c r="E3421" i="17"/>
  <c r="F3421" i="17"/>
  <c r="B3422" i="17"/>
  <c r="C3422" i="17"/>
  <c r="D3422" i="17"/>
  <c r="E3422" i="17"/>
  <c r="F3422" i="17"/>
  <c r="B3423" i="17"/>
  <c r="C3423" i="17"/>
  <c r="D3423" i="17"/>
  <c r="E3423" i="17"/>
  <c r="F3423" i="17"/>
  <c r="B3424" i="17"/>
  <c r="C3424" i="17"/>
  <c r="D3424" i="17"/>
  <c r="E3424" i="17"/>
  <c r="F3424" i="17"/>
  <c r="B3425" i="17"/>
  <c r="C3425" i="17"/>
  <c r="D3425" i="17"/>
  <c r="E3425" i="17"/>
  <c r="F3425" i="17"/>
  <c r="B3426" i="17"/>
  <c r="C3426" i="17"/>
  <c r="D3426" i="17"/>
  <c r="E3426" i="17"/>
  <c r="F3426" i="17"/>
  <c r="B3427" i="17"/>
  <c r="C3427" i="17"/>
  <c r="D3427" i="17"/>
  <c r="E3427" i="17"/>
  <c r="F3427" i="17"/>
  <c r="B3428" i="17"/>
  <c r="C3428" i="17"/>
  <c r="D3428" i="17"/>
  <c r="E3428" i="17"/>
  <c r="F3428" i="17"/>
  <c r="B3429" i="17"/>
  <c r="C3429" i="17"/>
  <c r="D3429" i="17"/>
  <c r="E3429" i="17"/>
  <c r="F3429" i="17"/>
  <c r="B3430" i="17"/>
  <c r="C3430" i="17"/>
  <c r="D3430" i="17"/>
  <c r="E3430" i="17"/>
  <c r="F3430" i="17"/>
  <c r="B3431" i="17"/>
  <c r="C3431" i="17"/>
  <c r="D3431" i="17"/>
  <c r="E3431" i="17"/>
  <c r="F3431" i="17"/>
  <c r="B3432" i="17"/>
  <c r="C3432" i="17"/>
  <c r="D3432" i="17"/>
  <c r="E3432" i="17"/>
  <c r="F3432" i="17"/>
  <c r="B3433" i="17"/>
  <c r="C3433" i="17"/>
  <c r="D3433" i="17"/>
  <c r="E3433" i="17"/>
  <c r="F3433" i="17"/>
  <c r="B3434" i="17"/>
  <c r="C3434" i="17"/>
  <c r="D3434" i="17"/>
  <c r="E3434" i="17"/>
  <c r="F3434" i="17"/>
  <c r="B3435" i="17"/>
  <c r="C3435" i="17"/>
  <c r="D3435" i="17"/>
  <c r="E3435" i="17"/>
  <c r="F3435" i="17"/>
  <c r="B3436" i="17"/>
  <c r="C3436" i="17"/>
  <c r="D3436" i="17"/>
  <c r="E3436" i="17"/>
  <c r="F3436" i="17"/>
  <c r="B3437" i="17"/>
  <c r="C3437" i="17"/>
  <c r="D3437" i="17"/>
  <c r="E3437" i="17"/>
  <c r="F3437" i="17"/>
  <c r="B3438" i="17"/>
  <c r="C3438" i="17"/>
  <c r="D3438" i="17"/>
  <c r="E3438" i="17"/>
  <c r="F3438" i="17"/>
  <c r="B3439" i="17"/>
  <c r="C3439" i="17"/>
  <c r="D3439" i="17"/>
  <c r="E3439" i="17"/>
  <c r="F3439" i="17"/>
  <c r="B3440" i="17"/>
  <c r="C3440" i="17"/>
  <c r="D3440" i="17"/>
  <c r="E3440" i="17"/>
  <c r="F3440" i="17"/>
  <c r="B3441" i="17"/>
  <c r="C3441" i="17"/>
  <c r="D3441" i="17"/>
  <c r="E3441" i="17"/>
  <c r="F3441" i="17"/>
  <c r="B3442" i="17"/>
  <c r="C3442" i="17"/>
  <c r="D3442" i="17"/>
  <c r="E3442" i="17"/>
  <c r="F3442" i="17"/>
  <c r="B3443" i="17"/>
  <c r="C3443" i="17"/>
  <c r="D3443" i="17"/>
  <c r="E3443" i="17"/>
  <c r="F3443" i="17"/>
  <c r="B3444" i="17"/>
  <c r="C3444" i="17"/>
  <c r="D3444" i="17"/>
  <c r="E3444" i="17"/>
  <c r="F3444" i="17"/>
  <c r="B3445" i="17"/>
  <c r="C3445" i="17"/>
  <c r="D3445" i="17"/>
  <c r="E3445" i="17"/>
  <c r="F3445" i="17"/>
  <c r="B3446" i="17"/>
  <c r="C3446" i="17"/>
  <c r="D3446" i="17"/>
  <c r="E3446" i="17"/>
  <c r="F3446" i="17"/>
  <c r="B3447" i="17"/>
  <c r="C3447" i="17"/>
  <c r="D3447" i="17"/>
  <c r="E3447" i="17"/>
  <c r="F3447" i="17"/>
  <c r="B3448" i="17"/>
  <c r="C3448" i="17"/>
  <c r="D3448" i="17"/>
  <c r="E3448" i="17"/>
  <c r="F3448" i="17"/>
  <c r="B3449" i="17"/>
  <c r="C3449" i="17"/>
  <c r="D3449" i="17"/>
  <c r="E3449" i="17"/>
  <c r="F3449" i="17"/>
  <c r="B3450" i="17"/>
  <c r="C3450" i="17"/>
  <c r="D3450" i="17"/>
  <c r="E3450" i="17"/>
  <c r="F3450" i="17"/>
  <c r="B3451" i="17"/>
  <c r="C3451" i="17"/>
  <c r="D3451" i="17"/>
  <c r="E3451" i="17"/>
  <c r="F3451" i="17"/>
  <c r="B3452" i="17"/>
  <c r="C3452" i="17"/>
  <c r="D3452" i="17"/>
  <c r="E3452" i="17"/>
  <c r="F3452" i="17"/>
  <c r="B3453" i="17"/>
  <c r="C3453" i="17"/>
  <c r="D3453" i="17"/>
  <c r="E3453" i="17"/>
  <c r="F3453" i="17"/>
  <c r="B3454" i="17"/>
  <c r="C3454" i="17"/>
  <c r="D3454" i="17"/>
  <c r="E3454" i="17"/>
  <c r="F3454" i="17"/>
  <c r="B3455" i="17"/>
  <c r="C3455" i="17"/>
  <c r="D3455" i="17"/>
  <c r="E3455" i="17"/>
  <c r="F3455" i="17"/>
  <c r="B3456" i="17"/>
  <c r="C3456" i="17"/>
  <c r="D3456" i="17"/>
  <c r="E3456" i="17"/>
  <c r="F3456" i="17"/>
  <c r="B3457" i="17"/>
  <c r="C3457" i="17"/>
  <c r="D3457" i="17"/>
  <c r="E3457" i="17"/>
  <c r="F3457" i="17"/>
  <c r="B3458" i="17"/>
  <c r="C3458" i="17"/>
  <c r="D3458" i="17"/>
  <c r="E3458" i="17"/>
  <c r="F3458" i="17"/>
  <c r="B3459" i="17"/>
  <c r="C3459" i="17"/>
  <c r="D3459" i="17"/>
  <c r="E3459" i="17"/>
  <c r="F3459" i="17"/>
  <c r="B3460" i="17"/>
  <c r="C3460" i="17"/>
  <c r="D3460" i="17"/>
  <c r="E3460" i="17"/>
  <c r="F3460" i="17"/>
  <c r="B3461" i="17"/>
  <c r="C3461" i="17"/>
  <c r="D3461" i="17"/>
  <c r="E3461" i="17"/>
  <c r="F3461" i="17"/>
  <c r="B3462" i="17"/>
  <c r="C3462" i="17"/>
  <c r="D3462" i="17"/>
  <c r="E3462" i="17"/>
  <c r="F3462" i="17"/>
  <c r="B3463" i="17"/>
  <c r="C3463" i="17"/>
  <c r="D3463" i="17"/>
  <c r="E3463" i="17"/>
  <c r="F3463" i="17"/>
  <c r="B3464" i="17"/>
  <c r="C3464" i="17"/>
  <c r="D3464" i="17"/>
  <c r="E3464" i="17"/>
  <c r="F3464" i="17"/>
  <c r="B3465" i="17"/>
  <c r="C3465" i="17"/>
  <c r="D3465" i="17"/>
  <c r="E3465" i="17"/>
  <c r="F3465" i="17"/>
  <c r="B3466" i="17"/>
  <c r="C3466" i="17"/>
  <c r="D3466" i="17"/>
  <c r="E3466" i="17"/>
  <c r="F3466" i="17"/>
  <c r="B3467" i="17"/>
  <c r="C3467" i="17"/>
  <c r="D3467" i="17"/>
  <c r="E3467" i="17"/>
  <c r="F3467" i="17"/>
  <c r="B3468" i="17"/>
  <c r="C3468" i="17"/>
  <c r="D3468" i="17"/>
  <c r="E3468" i="17"/>
  <c r="F3468" i="17"/>
  <c r="B3469" i="17"/>
  <c r="C3469" i="17"/>
  <c r="D3469" i="17"/>
  <c r="E3469" i="17"/>
  <c r="F3469" i="17"/>
  <c r="B3470" i="17"/>
  <c r="C3470" i="17"/>
  <c r="D3470" i="17"/>
  <c r="E3470" i="17"/>
  <c r="F3470" i="17"/>
  <c r="B3471" i="17"/>
  <c r="C3471" i="17"/>
  <c r="D3471" i="17"/>
  <c r="E3471" i="17"/>
  <c r="F3471" i="17"/>
  <c r="B3472" i="17"/>
  <c r="C3472" i="17"/>
  <c r="D3472" i="17"/>
  <c r="E3472" i="17"/>
  <c r="F3472" i="17"/>
  <c r="B3473" i="17"/>
  <c r="C3473" i="17"/>
  <c r="D3473" i="17"/>
  <c r="E3473" i="17"/>
  <c r="F3473" i="17"/>
  <c r="B3474" i="17"/>
  <c r="C3474" i="17"/>
  <c r="D3474" i="17"/>
  <c r="E3474" i="17"/>
  <c r="F3474" i="17"/>
  <c r="B3475" i="17"/>
  <c r="C3475" i="17"/>
  <c r="D3475" i="17"/>
  <c r="E3475" i="17"/>
  <c r="F3475" i="17"/>
  <c r="B3476" i="17"/>
  <c r="C3476" i="17"/>
  <c r="D3476" i="17"/>
  <c r="E3476" i="17"/>
  <c r="F3476" i="17"/>
  <c r="B3477" i="17"/>
  <c r="C3477" i="17"/>
  <c r="D3477" i="17"/>
  <c r="E3477" i="17"/>
  <c r="F3477" i="17"/>
  <c r="B3478" i="17"/>
  <c r="C3478" i="17"/>
  <c r="D3478" i="17"/>
  <c r="E3478" i="17"/>
  <c r="F3478" i="17"/>
  <c r="B3479" i="17"/>
  <c r="C3479" i="17"/>
  <c r="D3479" i="17"/>
  <c r="E3479" i="17"/>
  <c r="F3479" i="17"/>
  <c r="B3480" i="17"/>
  <c r="C3480" i="17"/>
  <c r="D3480" i="17"/>
  <c r="E3480" i="17"/>
  <c r="F3480" i="17"/>
  <c r="B3481" i="17"/>
  <c r="C3481" i="17"/>
  <c r="D3481" i="17"/>
  <c r="E3481" i="17"/>
  <c r="F3481" i="17"/>
  <c r="B3482" i="17"/>
  <c r="C3482" i="17"/>
  <c r="D3482" i="17"/>
  <c r="E3482" i="17"/>
  <c r="F3482" i="17"/>
  <c r="B3483" i="17"/>
  <c r="C3483" i="17"/>
  <c r="D3483" i="17"/>
  <c r="E3483" i="17"/>
  <c r="F3483" i="17"/>
  <c r="B3484" i="17"/>
  <c r="C3484" i="17"/>
  <c r="D3484" i="17"/>
  <c r="E3484" i="17"/>
  <c r="F3484" i="17"/>
  <c r="B3485" i="17"/>
  <c r="C3485" i="17"/>
  <c r="D3485" i="17"/>
  <c r="E3485" i="17"/>
  <c r="F3485" i="17"/>
  <c r="B3486" i="17"/>
  <c r="C3486" i="17"/>
  <c r="D3486" i="17"/>
  <c r="E3486" i="17"/>
  <c r="F3486" i="17"/>
  <c r="B3487" i="17"/>
  <c r="C3487" i="17"/>
  <c r="D3487" i="17"/>
  <c r="E3487" i="17"/>
  <c r="F3487" i="17"/>
  <c r="B3488" i="17"/>
  <c r="C3488" i="17"/>
  <c r="D3488" i="17"/>
  <c r="E3488" i="17"/>
  <c r="F3488" i="17"/>
  <c r="B3489" i="17"/>
  <c r="C3489" i="17"/>
  <c r="D3489" i="17"/>
  <c r="E3489" i="17"/>
  <c r="F3489" i="17"/>
  <c r="B3490" i="17"/>
  <c r="C3490" i="17"/>
  <c r="D3490" i="17"/>
  <c r="E3490" i="17"/>
  <c r="F3490" i="17"/>
  <c r="B3491" i="17"/>
  <c r="C3491" i="17"/>
  <c r="D3491" i="17"/>
  <c r="E3491" i="17"/>
  <c r="F3491" i="17"/>
  <c r="B3492" i="17"/>
  <c r="C3492" i="17"/>
  <c r="D3492" i="17"/>
  <c r="E3492" i="17"/>
  <c r="F3492" i="17"/>
  <c r="B3493" i="17"/>
  <c r="C3493" i="17"/>
  <c r="D3493" i="17"/>
  <c r="E3493" i="17"/>
  <c r="F3493" i="17"/>
  <c r="B3494" i="17"/>
  <c r="C3494" i="17"/>
  <c r="D3494" i="17"/>
  <c r="E3494" i="17"/>
  <c r="F3494" i="17"/>
  <c r="B3495" i="17"/>
  <c r="C3495" i="17"/>
  <c r="D3495" i="17"/>
  <c r="E3495" i="17"/>
  <c r="F3495" i="17"/>
  <c r="B3496" i="17"/>
  <c r="C3496" i="17"/>
  <c r="D3496" i="17"/>
  <c r="E3496" i="17"/>
  <c r="F3496" i="17"/>
  <c r="B3497" i="17"/>
  <c r="C3497" i="17"/>
  <c r="D3497" i="17"/>
  <c r="E3497" i="17"/>
  <c r="F3497" i="17"/>
  <c r="B3498" i="17"/>
  <c r="C3498" i="17"/>
  <c r="D3498" i="17"/>
  <c r="E3498" i="17"/>
  <c r="F3498" i="17"/>
  <c r="B3499" i="17"/>
  <c r="C3499" i="17"/>
  <c r="D3499" i="17"/>
  <c r="E3499" i="17"/>
  <c r="F3499" i="17"/>
  <c r="B3500" i="17"/>
  <c r="C3500" i="17"/>
  <c r="D3500" i="17"/>
  <c r="E3500" i="17"/>
  <c r="F3500" i="17"/>
  <c r="B3501" i="17"/>
  <c r="C3501" i="17"/>
  <c r="D3501" i="17"/>
  <c r="E3501" i="17"/>
  <c r="F3501" i="17"/>
  <c r="B3502" i="17"/>
  <c r="C3502" i="17"/>
  <c r="D3502" i="17"/>
  <c r="E3502" i="17"/>
  <c r="F3502" i="17"/>
  <c r="B3503" i="17"/>
  <c r="C3503" i="17"/>
  <c r="D3503" i="17"/>
  <c r="E3503" i="17"/>
  <c r="F3503" i="17"/>
  <c r="B3504" i="17"/>
  <c r="C3504" i="17"/>
  <c r="D3504" i="17"/>
  <c r="E3504" i="17"/>
  <c r="F3504" i="17"/>
  <c r="B3505" i="17"/>
  <c r="C3505" i="17"/>
  <c r="D3505" i="17"/>
  <c r="E3505" i="17"/>
  <c r="F3505" i="17"/>
  <c r="B3506" i="17"/>
  <c r="C3506" i="17"/>
  <c r="D3506" i="17"/>
  <c r="E3506" i="17"/>
  <c r="F3506" i="17"/>
  <c r="B3507" i="17"/>
  <c r="C3507" i="17"/>
  <c r="D3507" i="17"/>
  <c r="E3507" i="17"/>
  <c r="F3507" i="17"/>
  <c r="B3508" i="17"/>
  <c r="C3508" i="17"/>
  <c r="D3508" i="17"/>
  <c r="E3508" i="17"/>
  <c r="F3508" i="17"/>
  <c r="B3509" i="17"/>
  <c r="C3509" i="17"/>
  <c r="D3509" i="17"/>
  <c r="E3509" i="17"/>
  <c r="F3509" i="17"/>
  <c r="B3510" i="17"/>
  <c r="C3510" i="17"/>
  <c r="D3510" i="17"/>
  <c r="E3510" i="17"/>
  <c r="F3510" i="17"/>
  <c r="B3511" i="17"/>
  <c r="C3511" i="17"/>
  <c r="D3511" i="17"/>
  <c r="E3511" i="17"/>
  <c r="F3511" i="17"/>
  <c r="B3512" i="17"/>
  <c r="C3512" i="17"/>
  <c r="D3512" i="17"/>
  <c r="E3512" i="17"/>
  <c r="F3512" i="17"/>
  <c r="B3513" i="17"/>
  <c r="C3513" i="17"/>
  <c r="D3513" i="17"/>
  <c r="E3513" i="17"/>
  <c r="F3513" i="17"/>
  <c r="B3514" i="17"/>
  <c r="C3514" i="17"/>
  <c r="D3514" i="17"/>
  <c r="E3514" i="17"/>
  <c r="F3514" i="17"/>
  <c r="B3515" i="17"/>
  <c r="C3515" i="17"/>
  <c r="D3515" i="17"/>
  <c r="E3515" i="17"/>
  <c r="F3515" i="17"/>
  <c r="B3516" i="17"/>
  <c r="C3516" i="17"/>
  <c r="D3516" i="17"/>
  <c r="E3516" i="17"/>
  <c r="F3516" i="17"/>
  <c r="B3517" i="17"/>
  <c r="C3517" i="17"/>
  <c r="D3517" i="17"/>
  <c r="E3517" i="17"/>
  <c r="F3517" i="17"/>
  <c r="B3518" i="17"/>
  <c r="C3518" i="17"/>
  <c r="D3518" i="17"/>
  <c r="E3518" i="17"/>
  <c r="F3518" i="17"/>
  <c r="B3519" i="17"/>
  <c r="C3519" i="17"/>
  <c r="D3519" i="17"/>
  <c r="E3519" i="17"/>
  <c r="F3519" i="17"/>
  <c r="B3520" i="17"/>
  <c r="C3520" i="17"/>
  <c r="D3520" i="17"/>
  <c r="E3520" i="17"/>
  <c r="F3520" i="17"/>
  <c r="B3521" i="17"/>
  <c r="C3521" i="17"/>
  <c r="D3521" i="17"/>
  <c r="E3521" i="17"/>
  <c r="F3521" i="17"/>
  <c r="B3522" i="17"/>
  <c r="C3522" i="17"/>
  <c r="D3522" i="17"/>
  <c r="E3522" i="17"/>
  <c r="F3522" i="17"/>
  <c r="B3523" i="17"/>
  <c r="C3523" i="17"/>
  <c r="D3523" i="17"/>
  <c r="E3523" i="17"/>
  <c r="F3523" i="17"/>
  <c r="B3524" i="17"/>
  <c r="C3524" i="17"/>
  <c r="D3524" i="17"/>
  <c r="E3524" i="17"/>
  <c r="F3524" i="17"/>
  <c r="B3525" i="17"/>
  <c r="C3525" i="17"/>
  <c r="D3525" i="17"/>
  <c r="E3525" i="17"/>
  <c r="F3525" i="17"/>
  <c r="B3526" i="17"/>
  <c r="C3526" i="17"/>
  <c r="D3526" i="17"/>
  <c r="E3526" i="17"/>
  <c r="F3526" i="17"/>
  <c r="B3527" i="17"/>
  <c r="C3527" i="17"/>
  <c r="D3527" i="17"/>
  <c r="E3527" i="17"/>
  <c r="F3527" i="17"/>
  <c r="B3528" i="17"/>
  <c r="C3528" i="17"/>
  <c r="D3528" i="17"/>
  <c r="E3528" i="17"/>
  <c r="F3528" i="17"/>
  <c r="B3529" i="17"/>
  <c r="C3529" i="17"/>
  <c r="D3529" i="17"/>
  <c r="E3529" i="17"/>
  <c r="F3529" i="17"/>
  <c r="B3530" i="17"/>
  <c r="C3530" i="17"/>
  <c r="D3530" i="17"/>
  <c r="E3530" i="17"/>
  <c r="F3530" i="17"/>
  <c r="B3531" i="17"/>
  <c r="C3531" i="17"/>
  <c r="D3531" i="17"/>
  <c r="E3531" i="17"/>
  <c r="F3531" i="17"/>
  <c r="B3532" i="17"/>
  <c r="C3532" i="17"/>
  <c r="D3532" i="17"/>
  <c r="E3532" i="17"/>
  <c r="F3532" i="17"/>
  <c r="B3533" i="17"/>
  <c r="C3533" i="17"/>
  <c r="D3533" i="17"/>
  <c r="E3533" i="17"/>
  <c r="F3533" i="17"/>
  <c r="B3534" i="17"/>
  <c r="C3534" i="17"/>
  <c r="D3534" i="17"/>
  <c r="E3534" i="17"/>
  <c r="F3534" i="17"/>
  <c r="B3535" i="17"/>
  <c r="C3535" i="17"/>
  <c r="D3535" i="17"/>
  <c r="E3535" i="17"/>
  <c r="F3535" i="17"/>
  <c r="B3536" i="17"/>
  <c r="C3536" i="17"/>
  <c r="D3536" i="17"/>
  <c r="E3536" i="17"/>
  <c r="F3536" i="17"/>
  <c r="B3537" i="17"/>
  <c r="C3537" i="17"/>
  <c r="D3537" i="17"/>
  <c r="E3537" i="17"/>
  <c r="F3537" i="17"/>
  <c r="B3538" i="17"/>
  <c r="C3538" i="17"/>
  <c r="D3538" i="17"/>
  <c r="E3538" i="17"/>
  <c r="F3538" i="17"/>
  <c r="B3539" i="17"/>
  <c r="C3539" i="17"/>
  <c r="D3539" i="17"/>
  <c r="E3539" i="17"/>
  <c r="F3539" i="17"/>
  <c r="B3540" i="17"/>
  <c r="C3540" i="17"/>
  <c r="D3540" i="17"/>
  <c r="E3540" i="17"/>
  <c r="F3540" i="17"/>
  <c r="B3541" i="17"/>
  <c r="C3541" i="17"/>
  <c r="D3541" i="17"/>
  <c r="E3541" i="17"/>
  <c r="F3541" i="17"/>
  <c r="B3542" i="17"/>
  <c r="C3542" i="17"/>
  <c r="D3542" i="17"/>
  <c r="E3542" i="17"/>
  <c r="F3542" i="17"/>
  <c r="B3543" i="17"/>
  <c r="C3543" i="17"/>
  <c r="D3543" i="17"/>
  <c r="E3543" i="17"/>
  <c r="F3543" i="17"/>
  <c r="B3544" i="17"/>
  <c r="C3544" i="17"/>
  <c r="D3544" i="17"/>
  <c r="E3544" i="17"/>
  <c r="F3544" i="17"/>
  <c r="B3545" i="17"/>
  <c r="C3545" i="17"/>
  <c r="D3545" i="17"/>
  <c r="E3545" i="17"/>
  <c r="F3545" i="17"/>
  <c r="B3546" i="17"/>
  <c r="C3546" i="17"/>
  <c r="D3546" i="17"/>
  <c r="E3546" i="17"/>
  <c r="F3546" i="17"/>
  <c r="B3547" i="17"/>
  <c r="C3547" i="17"/>
  <c r="D3547" i="17"/>
  <c r="E3547" i="17"/>
  <c r="F3547" i="17"/>
  <c r="B3548" i="17"/>
  <c r="C3548" i="17"/>
  <c r="D3548" i="17"/>
  <c r="E3548" i="17"/>
  <c r="F3548" i="17"/>
  <c r="B3549" i="17"/>
  <c r="C3549" i="17"/>
  <c r="D3549" i="17"/>
  <c r="E3549" i="17"/>
  <c r="F3549" i="17"/>
  <c r="B3550" i="17"/>
  <c r="C3550" i="17"/>
  <c r="D3550" i="17"/>
  <c r="E3550" i="17"/>
  <c r="F3550" i="17"/>
  <c r="B3551" i="17"/>
  <c r="C3551" i="17"/>
  <c r="D3551" i="17"/>
  <c r="E3551" i="17"/>
  <c r="F3551" i="17"/>
  <c r="B3552" i="17"/>
  <c r="C3552" i="17"/>
  <c r="D3552" i="17"/>
  <c r="E3552" i="17"/>
  <c r="F3552" i="17"/>
  <c r="B3553" i="17"/>
  <c r="C3553" i="17"/>
  <c r="D3553" i="17"/>
  <c r="E3553" i="17"/>
  <c r="F3553" i="17"/>
  <c r="B3554" i="17"/>
  <c r="C3554" i="17"/>
  <c r="D3554" i="17"/>
  <c r="E3554" i="17"/>
  <c r="F3554" i="17"/>
  <c r="B3555" i="17"/>
  <c r="C3555" i="17"/>
  <c r="D3555" i="17"/>
  <c r="E3555" i="17"/>
  <c r="F3555" i="17"/>
  <c r="B3556" i="17"/>
  <c r="C3556" i="17"/>
  <c r="D3556" i="17"/>
  <c r="E3556" i="17"/>
  <c r="F3556" i="17"/>
  <c r="B3557" i="17"/>
  <c r="C3557" i="17"/>
  <c r="D3557" i="17"/>
  <c r="E3557" i="17"/>
  <c r="F3557" i="17"/>
  <c r="B3558" i="17"/>
  <c r="C3558" i="17"/>
  <c r="D3558" i="17"/>
  <c r="E3558" i="17"/>
  <c r="F3558" i="17"/>
  <c r="B3559" i="17"/>
  <c r="C3559" i="17"/>
  <c r="D3559" i="17"/>
  <c r="E3559" i="17"/>
  <c r="F3559" i="17"/>
  <c r="B3560" i="17"/>
  <c r="C3560" i="17"/>
  <c r="D3560" i="17"/>
  <c r="E3560" i="17"/>
  <c r="F3560" i="17"/>
  <c r="B3561" i="17"/>
  <c r="C3561" i="17"/>
  <c r="D3561" i="17"/>
  <c r="E3561" i="17"/>
  <c r="F3561" i="17"/>
  <c r="B3562" i="17"/>
  <c r="C3562" i="17"/>
  <c r="D3562" i="17"/>
  <c r="E3562" i="17"/>
  <c r="F3562" i="17"/>
  <c r="B3563" i="17"/>
  <c r="C3563" i="17"/>
  <c r="D3563" i="17"/>
  <c r="E3563" i="17"/>
  <c r="F3563" i="17"/>
  <c r="B3564" i="17"/>
  <c r="C3564" i="17"/>
  <c r="D3564" i="17"/>
  <c r="E3564" i="17"/>
  <c r="F3564" i="17"/>
  <c r="B3565" i="17"/>
  <c r="C3565" i="17"/>
  <c r="D3565" i="17"/>
  <c r="E3565" i="17"/>
  <c r="F3565" i="17"/>
  <c r="B3566" i="17"/>
  <c r="C3566" i="17"/>
  <c r="D3566" i="17"/>
  <c r="E3566" i="17"/>
  <c r="F3566" i="17"/>
  <c r="B3567" i="17"/>
  <c r="C3567" i="17"/>
  <c r="D3567" i="17"/>
  <c r="E3567" i="17"/>
  <c r="F3567" i="17"/>
  <c r="B3568" i="17"/>
  <c r="C3568" i="17"/>
  <c r="D3568" i="17"/>
  <c r="E3568" i="17"/>
  <c r="F3568" i="17"/>
  <c r="B3569" i="17"/>
  <c r="C3569" i="17"/>
  <c r="D3569" i="17"/>
  <c r="E3569" i="17"/>
  <c r="F3569" i="17"/>
  <c r="B3570" i="17"/>
  <c r="C3570" i="17"/>
  <c r="D3570" i="17"/>
  <c r="E3570" i="17"/>
  <c r="F3570" i="17"/>
  <c r="B3571" i="17"/>
  <c r="C3571" i="17"/>
  <c r="D3571" i="17"/>
  <c r="E3571" i="17"/>
  <c r="F3571" i="17"/>
  <c r="B3572" i="17"/>
  <c r="C3572" i="17"/>
  <c r="D3572" i="17"/>
  <c r="E3572" i="17"/>
  <c r="F3572" i="17"/>
  <c r="B3573" i="17"/>
  <c r="C3573" i="17"/>
  <c r="D3573" i="17"/>
  <c r="E3573" i="17"/>
  <c r="F3573" i="17"/>
  <c r="B3574" i="17"/>
  <c r="C3574" i="17"/>
  <c r="D3574" i="17"/>
  <c r="E3574" i="17"/>
  <c r="F3574" i="17"/>
  <c r="B3575" i="17"/>
  <c r="C3575" i="17"/>
  <c r="D3575" i="17"/>
  <c r="E3575" i="17"/>
  <c r="F3575" i="17"/>
  <c r="B3576" i="17"/>
  <c r="C3576" i="17"/>
  <c r="D3576" i="17"/>
  <c r="E3576" i="17"/>
  <c r="F3576" i="17"/>
  <c r="B3577" i="17"/>
  <c r="C3577" i="17"/>
  <c r="D3577" i="17"/>
  <c r="E3577" i="17"/>
  <c r="F3577" i="17"/>
  <c r="B3578" i="17"/>
  <c r="C3578" i="17"/>
  <c r="D3578" i="17"/>
  <c r="E3578" i="17"/>
  <c r="F3578" i="17"/>
  <c r="B3579" i="17"/>
  <c r="C3579" i="17"/>
  <c r="D3579" i="17"/>
  <c r="E3579" i="17"/>
  <c r="F3579" i="17"/>
  <c r="B3580" i="17"/>
  <c r="C3580" i="17"/>
  <c r="D3580" i="17"/>
  <c r="E3580" i="17"/>
  <c r="F3580" i="17"/>
  <c r="B3581" i="17"/>
  <c r="C3581" i="17"/>
  <c r="D3581" i="17"/>
  <c r="E3581" i="17"/>
  <c r="F3581" i="17"/>
  <c r="B3582" i="17"/>
  <c r="C3582" i="17"/>
  <c r="D3582" i="17"/>
  <c r="E3582" i="17"/>
  <c r="F3582" i="17"/>
  <c r="B3583" i="17"/>
  <c r="C3583" i="17"/>
  <c r="D3583" i="17"/>
  <c r="E3583" i="17"/>
  <c r="F3583" i="17"/>
  <c r="B3584" i="17"/>
  <c r="C3584" i="17"/>
  <c r="D3584" i="17"/>
  <c r="E3584" i="17"/>
  <c r="F3584" i="17"/>
  <c r="B3585" i="17"/>
  <c r="C3585" i="17"/>
  <c r="D3585" i="17"/>
  <c r="E3585" i="17"/>
  <c r="F3585" i="17"/>
  <c r="B3586" i="17"/>
  <c r="C3586" i="17"/>
  <c r="D3586" i="17"/>
  <c r="E3586" i="17"/>
  <c r="F3586" i="17"/>
  <c r="B3587" i="17"/>
  <c r="C3587" i="17"/>
  <c r="D3587" i="17"/>
  <c r="E3587" i="17"/>
  <c r="F3587" i="17"/>
  <c r="B3588" i="17"/>
  <c r="C3588" i="17"/>
  <c r="D3588" i="17"/>
  <c r="E3588" i="17"/>
  <c r="F3588" i="17"/>
  <c r="B3589" i="17"/>
  <c r="C3589" i="17"/>
  <c r="D3589" i="17"/>
  <c r="E3589" i="17"/>
  <c r="F3589" i="17"/>
  <c r="B3590" i="17"/>
  <c r="C3590" i="17"/>
  <c r="D3590" i="17"/>
  <c r="E3590" i="17"/>
  <c r="F3590" i="17"/>
  <c r="B3591" i="17"/>
  <c r="C3591" i="17"/>
  <c r="D3591" i="17"/>
  <c r="E3591" i="17"/>
  <c r="F3591" i="17"/>
  <c r="B3592" i="17"/>
  <c r="C3592" i="17"/>
  <c r="D3592" i="17"/>
  <c r="E3592" i="17"/>
  <c r="F3592" i="17"/>
  <c r="B3593" i="17"/>
  <c r="C3593" i="17"/>
  <c r="D3593" i="17"/>
  <c r="E3593" i="17"/>
  <c r="F3593" i="17"/>
  <c r="B3594" i="17"/>
  <c r="C3594" i="17"/>
  <c r="D3594" i="17"/>
  <c r="E3594" i="17"/>
  <c r="F3594" i="17"/>
  <c r="B3595" i="17"/>
  <c r="C3595" i="17"/>
  <c r="D3595" i="17"/>
  <c r="E3595" i="17"/>
  <c r="F3595" i="17"/>
  <c r="B3596" i="17"/>
  <c r="C3596" i="17"/>
  <c r="D3596" i="17"/>
  <c r="E3596" i="17"/>
  <c r="F3596" i="17"/>
  <c r="B3597" i="17"/>
  <c r="C3597" i="17"/>
  <c r="D3597" i="17"/>
  <c r="E3597" i="17"/>
  <c r="F3597" i="17"/>
  <c r="B3598" i="17"/>
  <c r="C3598" i="17"/>
  <c r="D3598" i="17"/>
  <c r="E3598" i="17"/>
  <c r="F3598" i="17"/>
  <c r="B3599" i="17"/>
  <c r="C3599" i="17"/>
  <c r="D3599" i="17"/>
  <c r="E3599" i="17"/>
  <c r="F3599" i="17"/>
  <c r="B3600" i="17"/>
  <c r="C3600" i="17"/>
  <c r="D3600" i="17"/>
  <c r="E3600" i="17"/>
  <c r="F3600" i="17"/>
  <c r="B3601" i="17"/>
  <c r="C3601" i="17"/>
  <c r="D3601" i="17"/>
  <c r="E3601" i="17"/>
  <c r="F3601" i="17"/>
  <c r="B3602" i="17"/>
  <c r="C3602" i="17"/>
  <c r="D3602" i="17"/>
  <c r="E3602" i="17"/>
  <c r="F3602" i="17"/>
  <c r="B3603" i="17"/>
  <c r="C3603" i="17"/>
  <c r="D3603" i="17"/>
  <c r="E3603" i="17"/>
  <c r="F3603" i="17"/>
  <c r="B3604" i="17"/>
  <c r="C3604" i="17"/>
  <c r="D3604" i="17"/>
  <c r="E3604" i="17"/>
  <c r="F3604" i="17"/>
  <c r="B3605" i="17"/>
  <c r="C3605" i="17"/>
  <c r="D3605" i="17"/>
  <c r="E3605" i="17"/>
  <c r="F3605" i="17"/>
  <c r="B3606" i="17"/>
  <c r="C3606" i="17"/>
  <c r="D3606" i="17"/>
  <c r="E3606" i="17"/>
  <c r="F3606" i="17"/>
  <c r="B3607" i="17"/>
  <c r="C3607" i="17"/>
  <c r="D3607" i="17"/>
  <c r="E3607" i="17"/>
  <c r="F3607" i="17"/>
  <c r="B3608" i="17"/>
  <c r="C3608" i="17"/>
  <c r="D3608" i="17"/>
  <c r="E3608" i="17"/>
  <c r="F3608" i="17"/>
  <c r="B3609" i="17"/>
  <c r="C3609" i="17"/>
  <c r="D3609" i="17"/>
  <c r="E3609" i="17"/>
  <c r="F3609" i="17"/>
  <c r="B3610" i="17"/>
  <c r="C3610" i="17"/>
  <c r="D3610" i="17"/>
  <c r="E3610" i="17"/>
  <c r="F3610" i="17"/>
  <c r="B3611" i="17"/>
  <c r="C3611" i="17"/>
  <c r="D3611" i="17"/>
  <c r="E3611" i="17"/>
  <c r="F3611" i="17"/>
  <c r="B3612" i="17"/>
  <c r="C3612" i="17"/>
  <c r="D3612" i="17"/>
  <c r="E3612" i="17"/>
  <c r="F3612" i="17"/>
  <c r="B3613" i="17"/>
  <c r="C3613" i="17"/>
  <c r="D3613" i="17"/>
  <c r="E3613" i="17"/>
  <c r="F3613" i="17"/>
  <c r="B3614" i="17"/>
  <c r="C3614" i="17"/>
  <c r="D3614" i="17"/>
  <c r="E3614" i="17"/>
  <c r="F3614" i="17"/>
  <c r="B3615" i="17"/>
  <c r="C3615" i="17"/>
  <c r="D3615" i="17"/>
  <c r="E3615" i="17"/>
  <c r="F3615" i="17"/>
  <c r="B3616" i="17"/>
  <c r="C3616" i="17"/>
  <c r="D3616" i="17"/>
  <c r="E3616" i="17"/>
  <c r="F3616" i="17"/>
  <c r="B3617" i="17"/>
  <c r="C3617" i="17"/>
  <c r="D3617" i="17"/>
  <c r="E3617" i="17"/>
  <c r="F3617" i="17"/>
  <c r="B3618" i="17"/>
  <c r="C3618" i="17"/>
  <c r="D3618" i="17"/>
  <c r="E3618" i="17"/>
  <c r="F3618" i="17"/>
  <c r="B3619" i="17"/>
  <c r="C3619" i="17"/>
  <c r="D3619" i="17"/>
  <c r="E3619" i="17"/>
  <c r="F3619" i="17"/>
  <c r="B3620" i="17"/>
  <c r="C3620" i="17"/>
  <c r="D3620" i="17"/>
  <c r="E3620" i="17"/>
  <c r="F3620" i="17"/>
  <c r="B3621" i="17"/>
  <c r="C3621" i="17"/>
  <c r="D3621" i="17"/>
  <c r="E3621" i="17"/>
  <c r="F3621" i="17"/>
  <c r="B3622" i="17"/>
  <c r="C3622" i="17"/>
  <c r="D3622" i="17"/>
  <c r="E3622" i="17"/>
  <c r="F3622" i="17"/>
  <c r="B3623" i="17"/>
  <c r="C3623" i="17"/>
  <c r="D3623" i="17"/>
  <c r="E3623" i="17"/>
  <c r="F3623" i="17"/>
  <c r="B3624" i="17"/>
  <c r="C3624" i="17"/>
  <c r="D3624" i="17"/>
  <c r="E3624" i="17"/>
  <c r="F3624" i="17"/>
  <c r="B3625" i="17"/>
  <c r="C3625" i="17"/>
  <c r="D3625" i="17"/>
  <c r="E3625" i="17"/>
  <c r="F3625" i="17"/>
  <c r="B3626" i="17"/>
  <c r="C3626" i="17"/>
  <c r="D3626" i="17"/>
  <c r="E3626" i="17"/>
  <c r="F3626" i="17"/>
  <c r="B3627" i="17"/>
  <c r="C3627" i="17"/>
  <c r="D3627" i="17"/>
  <c r="E3627" i="17"/>
  <c r="F3627" i="17"/>
  <c r="B3628" i="17"/>
  <c r="C3628" i="17"/>
  <c r="D3628" i="17"/>
  <c r="E3628" i="17"/>
  <c r="F3628" i="17"/>
  <c r="B3629" i="17"/>
  <c r="C3629" i="17"/>
  <c r="D3629" i="17"/>
  <c r="E3629" i="17"/>
  <c r="F3629" i="17"/>
  <c r="B3630" i="17"/>
  <c r="C3630" i="17"/>
  <c r="D3630" i="17"/>
  <c r="E3630" i="17"/>
  <c r="F3630" i="17"/>
  <c r="B3631" i="17"/>
  <c r="C3631" i="17"/>
  <c r="D3631" i="17"/>
  <c r="E3631" i="17"/>
  <c r="F3631" i="17"/>
  <c r="B3632" i="17"/>
  <c r="C3632" i="17"/>
  <c r="D3632" i="17"/>
  <c r="E3632" i="17"/>
  <c r="F3632" i="17"/>
  <c r="B3633" i="17"/>
  <c r="C3633" i="17"/>
  <c r="D3633" i="17"/>
  <c r="E3633" i="17"/>
  <c r="F3633" i="17"/>
  <c r="B3634" i="17"/>
  <c r="C3634" i="17"/>
  <c r="D3634" i="17"/>
  <c r="E3634" i="17"/>
  <c r="F3634" i="17"/>
  <c r="B3635" i="17"/>
  <c r="C3635" i="17"/>
  <c r="D3635" i="17"/>
  <c r="E3635" i="17"/>
  <c r="F3635" i="17"/>
  <c r="B3636" i="17"/>
  <c r="C3636" i="17"/>
  <c r="D3636" i="17"/>
  <c r="E3636" i="17"/>
  <c r="F3636" i="17"/>
  <c r="B3637" i="17"/>
  <c r="C3637" i="17"/>
  <c r="D3637" i="17"/>
  <c r="E3637" i="17"/>
  <c r="F3637" i="17"/>
  <c r="B3638" i="17"/>
  <c r="C3638" i="17"/>
  <c r="D3638" i="17"/>
  <c r="E3638" i="17"/>
  <c r="F3638" i="17"/>
  <c r="B3639" i="17"/>
  <c r="C3639" i="17"/>
  <c r="D3639" i="17"/>
  <c r="E3639" i="17"/>
  <c r="F3639" i="17"/>
  <c r="B3640" i="17"/>
  <c r="C3640" i="17"/>
  <c r="D3640" i="17"/>
  <c r="E3640" i="17"/>
  <c r="F3640" i="17"/>
  <c r="B3641" i="17"/>
  <c r="C3641" i="17"/>
  <c r="D3641" i="17"/>
  <c r="E3641" i="17"/>
  <c r="F3641" i="17"/>
  <c r="B3642" i="17"/>
  <c r="C3642" i="17"/>
  <c r="D3642" i="17"/>
  <c r="E3642" i="17"/>
  <c r="F3642" i="17"/>
  <c r="B3643" i="17"/>
  <c r="C3643" i="17"/>
  <c r="D3643" i="17"/>
  <c r="E3643" i="17"/>
  <c r="F3643" i="17"/>
  <c r="B3644" i="17"/>
  <c r="C3644" i="17"/>
  <c r="D3644" i="17"/>
  <c r="E3644" i="17"/>
  <c r="F3644" i="17"/>
  <c r="B3645" i="17"/>
  <c r="C3645" i="17"/>
  <c r="D3645" i="17"/>
  <c r="E3645" i="17"/>
  <c r="F3645" i="17"/>
  <c r="B3646" i="17"/>
  <c r="C3646" i="17"/>
  <c r="D3646" i="17"/>
  <c r="E3646" i="17"/>
  <c r="F3646" i="17"/>
  <c r="B3647" i="17"/>
  <c r="C3647" i="17"/>
  <c r="D3647" i="17"/>
  <c r="E3647" i="17"/>
  <c r="F3647" i="17"/>
  <c r="B3648" i="17"/>
  <c r="C3648" i="17"/>
  <c r="D3648" i="17"/>
  <c r="E3648" i="17"/>
  <c r="F3648" i="17"/>
  <c r="B3649" i="17"/>
  <c r="C3649" i="17"/>
  <c r="D3649" i="17"/>
  <c r="E3649" i="17"/>
  <c r="F3649" i="17"/>
  <c r="B3650" i="17"/>
  <c r="C3650" i="17"/>
  <c r="D3650" i="17"/>
  <c r="E3650" i="17"/>
  <c r="F3650" i="17"/>
  <c r="B3651" i="17"/>
  <c r="C3651" i="17"/>
  <c r="D3651" i="17"/>
  <c r="E3651" i="17"/>
  <c r="F3651" i="17"/>
  <c r="B3652" i="17"/>
  <c r="C3652" i="17"/>
  <c r="D3652" i="17"/>
  <c r="E3652" i="17"/>
  <c r="F3652" i="17"/>
  <c r="B3653" i="17"/>
  <c r="C3653" i="17"/>
  <c r="D3653" i="17"/>
  <c r="E3653" i="17"/>
  <c r="F3653" i="17"/>
  <c r="B3654" i="17"/>
  <c r="C3654" i="17"/>
  <c r="D3654" i="17"/>
  <c r="E3654" i="17"/>
  <c r="F3654" i="17"/>
  <c r="B3655" i="17"/>
  <c r="C3655" i="17"/>
  <c r="D3655" i="17"/>
  <c r="E3655" i="17"/>
  <c r="F3655" i="17"/>
  <c r="B3656" i="17"/>
  <c r="C3656" i="17"/>
  <c r="D3656" i="17"/>
  <c r="E3656" i="17"/>
  <c r="F3656" i="17"/>
  <c r="B3657" i="17"/>
  <c r="C3657" i="17"/>
  <c r="D3657" i="17"/>
  <c r="E3657" i="17"/>
  <c r="F3657" i="17"/>
  <c r="B3658" i="17"/>
  <c r="C3658" i="17"/>
  <c r="D3658" i="17"/>
  <c r="E3658" i="17"/>
  <c r="F3658" i="17"/>
  <c r="B3659" i="17"/>
  <c r="C3659" i="17"/>
  <c r="D3659" i="17"/>
  <c r="E3659" i="17"/>
  <c r="F3659" i="17"/>
  <c r="B3660" i="17"/>
  <c r="C3660" i="17"/>
  <c r="D3660" i="17"/>
  <c r="E3660" i="17"/>
  <c r="F3660" i="17"/>
  <c r="B3661" i="17"/>
  <c r="C3661" i="17"/>
  <c r="D3661" i="17"/>
  <c r="E3661" i="17"/>
  <c r="F3661" i="17"/>
  <c r="B3662" i="17"/>
  <c r="C3662" i="17"/>
  <c r="D3662" i="17"/>
  <c r="E3662" i="17"/>
  <c r="F3662" i="17"/>
  <c r="B3663" i="17"/>
  <c r="C3663" i="17"/>
  <c r="D3663" i="17"/>
  <c r="E3663" i="17"/>
  <c r="F3663" i="17"/>
  <c r="B3664" i="17"/>
  <c r="C3664" i="17"/>
  <c r="D3664" i="17"/>
  <c r="E3664" i="17"/>
  <c r="F3664" i="17"/>
  <c r="B3665" i="17"/>
  <c r="C3665" i="17"/>
  <c r="D3665" i="17"/>
  <c r="E3665" i="17"/>
  <c r="F3665" i="17"/>
  <c r="B3666" i="17"/>
  <c r="C3666" i="17"/>
  <c r="D3666" i="17"/>
  <c r="E3666" i="17"/>
  <c r="F3666" i="17"/>
  <c r="B3667" i="17"/>
  <c r="C3667" i="17"/>
  <c r="D3667" i="17"/>
  <c r="E3667" i="17"/>
  <c r="F3667" i="17"/>
  <c r="B3668" i="17"/>
  <c r="C3668" i="17"/>
  <c r="D3668" i="17"/>
  <c r="E3668" i="17"/>
  <c r="F3668" i="17"/>
  <c r="B3669" i="17"/>
  <c r="C3669" i="17"/>
  <c r="D3669" i="17"/>
  <c r="E3669" i="17"/>
  <c r="F3669" i="17"/>
  <c r="B3670" i="17"/>
  <c r="C3670" i="17"/>
  <c r="D3670" i="17"/>
  <c r="E3670" i="17"/>
  <c r="F3670" i="17"/>
  <c r="B3671" i="17"/>
  <c r="C3671" i="17"/>
  <c r="D3671" i="17"/>
  <c r="E3671" i="17"/>
  <c r="F3671" i="17"/>
  <c r="B3672" i="17"/>
  <c r="C3672" i="17"/>
  <c r="D3672" i="17"/>
  <c r="E3672" i="17"/>
  <c r="F3672" i="17"/>
  <c r="B3673" i="17"/>
  <c r="C3673" i="17"/>
  <c r="D3673" i="17"/>
  <c r="E3673" i="17"/>
  <c r="F3673" i="17"/>
  <c r="B3674" i="17"/>
  <c r="C3674" i="17"/>
  <c r="D3674" i="17"/>
  <c r="E3674" i="17"/>
  <c r="F3674" i="17"/>
  <c r="B3675" i="17"/>
  <c r="C3675" i="17"/>
  <c r="D3675" i="17"/>
  <c r="E3675" i="17"/>
  <c r="F3675" i="17"/>
  <c r="B3676" i="17"/>
  <c r="C3676" i="17"/>
  <c r="D3676" i="17"/>
  <c r="E3676" i="17"/>
  <c r="F3676" i="17"/>
  <c r="B3677" i="17"/>
  <c r="C3677" i="17"/>
  <c r="D3677" i="17"/>
  <c r="E3677" i="17"/>
  <c r="F3677" i="17"/>
  <c r="B3678" i="17"/>
  <c r="C3678" i="17"/>
  <c r="D3678" i="17"/>
  <c r="E3678" i="17"/>
  <c r="F3678" i="17"/>
  <c r="B3679" i="17"/>
  <c r="C3679" i="17"/>
  <c r="D3679" i="17"/>
  <c r="E3679" i="17"/>
  <c r="F3679" i="17"/>
  <c r="B3680" i="17"/>
  <c r="C3680" i="17"/>
  <c r="D3680" i="17"/>
  <c r="E3680" i="17"/>
  <c r="F3680" i="17"/>
  <c r="B3681" i="17"/>
  <c r="C3681" i="17"/>
  <c r="D3681" i="17"/>
  <c r="E3681" i="17"/>
  <c r="F3681" i="17"/>
  <c r="B3682" i="17"/>
  <c r="C3682" i="17"/>
  <c r="D3682" i="17"/>
  <c r="E3682" i="17"/>
  <c r="F3682" i="17"/>
  <c r="B3683" i="17"/>
  <c r="C3683" i="17"/>
  <c r="D3683" i="17"/>
  <c r="E3683" i="17"/>
  <c r="F3683" i="17"/>
  <c r="B3684" i="17"/>
  <c r="C3684" i="17"/>
  <c r="D3684" i="17"/>
  <c r="E3684" i="17"/>
  <c r="F3684" i="17"/>
  <c r="B3685" i="17"/>
  <c r="C3685" i="17"/>
  <c r="D3685" i="17"/>
  <c r="E3685" i="17"/>
  <c r="F3685" i="17"/>
  <c r="B3686" i="17"/>
  <c r="C3686" i="17"/>
  <c r="D3686" i="17"/>
  <c r="E3686" i="17"/>
  <c r="F3686" i="17"/>
  <c r="B3687" i="17"/>
  <c r="C3687" i="17"/>
  <c r="D3687" i="17"/>
  <c r="E3687" i="17"/>
  <c r="F3687" i="17"/>
  <c r="B3688" i="17"/>
  <c r="C3688" i="17"/>
  <c r="D3688" i="17"/>
  <c r="E3688" i="17"/>
  <c r="F3688" i="17"/>
  <c r="B3689" i="17"/>
  <c r="C3689" i="17"/>
  <c r="D3689" i="17"/>
  <c r="E3689" i="17"/>
  <c r="F3689" i="17"/>
  <c r="B3690" i="17"/>
  <c r="C3690" i="17"/>
  <c r="D3690" i="17"/>
  <c r="E3690" i="17"/>
  <c r="F3690" i="17"/>
  <c r="B3691" i="17"/>
  <c r="C3691" i="17"/>
  <c r="D3691" i="17"/>
  <c r="E3691" i="17"/>
  <c r="F3691" i="17"/>
  <c r="B3692" i="17"/>
  <c r="C3692" i="17"/>
  <c r="D3692" i="17"/>
  <c r="E3692" i="17"/>
  <c r="F3692" i="17"/>
  <c r="B3693" i="17"/>
  <c r="C3693" i="17"/>
  <c r="D3693" i="17"/>
  <c r="E3693" i="17"/>
  <c r="F3693" i="17"/>
  <c r="B3694" i="17"/>
  <c r="C3694" i="17"/>
  <c r="D3694" i="17"/>
  <c r="E3694" i="17"/>
  <c r="F3694" i="17"/>
  <c r="B3695" i="17"/>
  <c r="C3695" i="17"/>
  <c r="D3695" i="17"/>
  <c r="E3695" i="17"/>
  <c r="F3695" i="17"/>
  <c r="B3696" i="17"/>
  <c r="C3696" i="17"/>
  <c r="D3696" i="17"/>
  <c r="E3696" i="17"/>
  <c r="F3696" i="17"/>
  <c r="B3697" i="17"/>
  <c r="C3697" i="17"/>
  <c r="D3697" i="17"/>
  <c r="E3697" i="17"/>
  <c r="F3697" i="17"/>
  <c r="B3698" i="17"/>
  <c r="C3698" i="17"/>
  <c r="D3698" i="17"/>
  <c r="E3698" i="17"/>
  <c r="F3698" i="17"/>
  <c r="B3699" i="17"/>
  <c r="C3699" i="17"/>
  <c r="D3699" i="17"/>
  <c r="E3699" i="17"/>
  <c r="F3699" i="17"/>
  <c r="B3700" i="17"/>
  <c r="C3700" i="17"/>
  <c r="D3700" i="17"/>
  <c r="E3700" i="17"/>
  <c r="F3700" i="17"/>
  <c r="B3701" i="17"/>
  <c r="C3701" i="17"/>
  <c r="D3701" i="17"/>
  <c r="E3701" i="17"/>
  <c r="F3701" i="17"/>
  <c r="B3702" i="17"/>
  <c r="C3702" i="17"/>
  <c r="D3702" i="17"/>
  <c r="E3702" i="17"/>
  <c r="F3702" i="17"/>
  <c r="B3703" i="17"/>
  <c r="C3703" i="17"/>
  <c r="D3703" i="17"/>
  <c r="E3703" i="17"/>
  <c r="F3703" i="17"/>
  <c r="B3704" i="17"/>
  <c r="C3704" i="17"/>
  <c r="D3704" i="17"/>
  <c r="E3704" i="17"/>
  <c r="F3704" i="17"/>
  <c r="B3705" i="17"/>
  <c r="C3705" i="17"/>
  <c r="D3705" i="17"/>
  <c r="E3705" i="17"/>
  <c r="F3705" i="17"/>
  <c r="B3706" i="17"/>
  <c r="C3706" i="17"/>
  <c r="D3706" i="17"/>
  <c r="E3706" i="17"/>
  <c r="F3706" i="17"/>
  <c r="B3707" i="17"/>
  <c r="C3707" i="17"/>
  <c r="D3707" i="17"/>
  <c r="E3707" i="17"/>
  <c r="F3707" i="17"/>
  <c r="B3708" i="17"/>
  <c r="C3708" i="17"/>
  <c r="D3708" i="17"/>
  <c r="E3708" i="17"/>
  <c r="F3708" i="17"/>
  <c r="B3709" i="17"/>
  <c r="C3709" i="17"/>
  <c r="D3709" i="17"/>
  <c r="E3709" i="17"/>
  <c r="F3709" i="17"/>
  <c r="B3710" i="17"/>
  <c r="C3710" i="17"/>
  <c r="D3710" i="17"/>
  <c r="E3710" i="17"/>
  <c r="F3710" i="17"/>
  <c r="B3711" i="17"/>
  <c r="C3711" i="17"/>
  <c r="D3711" i="17"/>
  <c r="E3711" i="17"/>
  <c r="F3711" i="17"/>
  <c r="B3712" i="17"/>
  <c r="C3712" i="17"/>
  <c r="D3712" i="17"/>
  <c r="E3712" i="17"/>
  <c r="F3712" i="17"/>
  <c r="B3713" i="17"/>
  <c r="C3713" i="17"/>
  <c r="D3713" i="17"/>
  <c r="E3713" i="17"/>
  <c r="F3713" i="17"/>
  <c r="B3714" i="17"/>
  <c r="C3714" i="17"/>
  <c r="D3714" i="17"/>
  <c r="E3714" i="17"/>
  <c r="F3714" i="17"/>
  <c r="B3715" i="17"/>
  <c r="C3715" i="17"/>
  <c r="D3715" i="17"/>
  <c r="E3715" i="17"/>
  <c r="F3715" i="17"/>
  <c r="B3716" i="17"/>
  <c r="C3716" i="17"/>
  <c r="D3716" i="17"/>
  <c r="E3716" i="17"/>
  <c r="F3716" i="17"/>
  <c r="B3717" i="17"/>
  <c r="C3717" i="17"/>
  <c r="D3717" i="17"/>
  <c r="E3717" i="17"/>
  <c r="F3717" i="17"/>
  <c r="B3718" i="17"/>
  <c r="C3718" i="17"/>
  <c r="D3718" i="17"/>
  <c r="E3718" i="17"/>
  <c r="F3718" i="17"/>
  <c r="B3719" i="17"/>
  <c r="C3719" i="17"/>
  <c r="D3719" i="17"/>
  <c r="E3719" i="17"/>
  <c r="F3719" i="17"/>
  <c r="B3720" i="17"/>
  <c r="C3720" i="17"/>
  <c r="D3720" i="17"/>
  <c r="E3720" i="17"/>
  <c r="F3720" i="17"/>
  <c r="B3721" i="17"/>
  <c r="C3721" i="17"/>
  <c r="D3721" i="17"/>
  <c r="E3721" i="17"/>
  <c r="F3721" i="17"/>
  <c r="B3722" i="17"/>
  <c r="C3722" i="17"/>
  <c r="D3722" i="17"/>
  <c r="E3722" i="17"/>
  <c r="F3722" i="17"/>
  <c r="B3723" i="17"/>
  <c r="C3723" i="17"/>
  <c r="D3723" i="17"/>
  <c r="E3723" i="17"/>
  <c r="F3723" i="17"/>
  <c r="B3724" i="17"/>
  <c r="C3724" i="17"/>
  <c r="D3724" i="17"/>
  <c r="E3724" i="17"/>
  <c r="F3724" i="17"/>
  <c r="B3725" i="17"/>
  <c r="C3725" i="17"/>
  <c r="D3725" i="17"/>
  <c r="E3725" i="17"/>
  <c r="F3725" i="17"/>
  <c r="B3726" i="17"/>
  <c r="C3726" i="17"/>
  <c r="D3726" i="17"/>
  <c r="E3726" i="17"/>
  <c r="F3726" i="17"/>
  <c r="B3727" i="17"/>
  <c r="C3727" i="17"/>
  <c r="D3727" i="17"/>
  <c r="E3727" i="17"/>
  <c r="F3727" i="17"/>
  <c r="B3728" i="17"/>
  <c r="C3728" i="17"/>
  <c r="D3728" i="17"/>
  <c r="E3728" i="17"/>
  <c r="F3728" i="17"/>
  <c r="B3729" i="17"/>
  <c r="C3729" i="17"/>
  <c r="D3729" i="17"/>
  <c r="E3729" i="17"/>
  <c r="F3729" i="17"/>
  <c r="B3730" i="17"/>
  <c r="C3730" i="17"/>
  <c r="D3730" i="17"/>
  <c r="E3730" i="17"/>
  <c r="F3730" i="17"/>
  <c r="B3731" i="17"/>
  <c r="C3731" i="17"/>
  <c r="D3731" i="17"/>
  <c r="E3731" i="17"/>
  <c r="F3731" i="17"/>
  <c r="B3732" i="17"/>
  <c r="C3732" i="17"/>
  <c r="D3732" i="17"/>
  <c r="E3732" i="17"/>
  <c r="F3732" i="17"/>
  <c r="B3733" i="17"/>
  <c r="C3733" i="17"/>
  <c r="D3733" i="17"/>
  <c r="E3733" i="17"/>
  <c r="F3733" i="17"/>
  <c r="B3734" i="17"/>
  <c r="C3734" i="17"/>
  <c r="D3734" i="17"/>
  <c r="E3734" i="17"/>
  <c r="F3734" i="17"/>
  <c r="B3735" i="17"/>
  <c r="C3735" i="17"/>
  <c r="D3735" i="17"/>
  <c r="E3735" i="17"/>
  <c r="F3735" i="17"/>
  <c r="B3736" i="17"/>
  <c r="C3736" i="17"/>
  <c r="D3736" i="17"/>
  <c r="E3736" i="17"/>
  <c r="F3736" i="17"/>
  <c r="B3737" i="17"/>
  <c r="C3737" i="17"/>
  <c r="D3737" i="17"/>
  <c r="E3737" i="17"/>
  <c r="F3737" i="17"/>
  <c r="B3738" i="17"/>
  <c r="C3738" i="17"/>
  <c r="D3738" i="17"/>
  <c r="E3738" i="17"/>
  <c r="F3738" i="17"/>
  <c r="B3739" i="17"/>
  <c r="C3739" i="17"/>
  <c r="D3739" i="17"/>
  <c r="E3739" i="17"/>
  <c r="F3739" i="17"/>
  <c r="B3740" i="17"/>
  <c r="C3740" i="17"/>
  <c r="D3740" i="17"/>
  <c r="E3740" i="17"/>
  <c r="F3740" i="17"/>
  <c r="B3741" i="17"/>
  <c r="C3741" i="17"/>
  <c r="D3741" i="17"/>
  <c r="E3741" i="17"/>
  <c r="F3741" i="17"/>
  <c r="B3742" i="17"/>
  <c r="C3742" i="17"/>
  <c r="D3742" i="17"/>
  <c r="E3742" i="17"/>
  <c r="F3742" i="17"/>
  <c r="B3743" i="17"/>
  <c r="C3743" i="17"/>
  <c r="D3743" i="17"/>
  <c r="E3743" i="17"/>
  <c r="F3743" i="17"/>
  <c r="B3744" i="17"/>
  <c r="C3744" i="17"/>
  <c r="D3744" i="17"/>
  <c r="E3744" i="17"/>
  <c r="F3744" i="17"/>
  <c r="B3745" i="17"/>
  <c r="C3745" i="17"/>
  <c r="D3745" i="17"/>
  <c r="E3745" i="17"/>
  <c r="F3745" i="17"/>
  <c r="B3746" i="17"/>
  <c r="C3746" i="17"/>
  <c r="D3746" i="17"/>
  <c r="E3746" i="17"/>
  <c r="F3746" i="17"/>
  <c r="B3747" i="17"/>
  <c r="C3747" i="17"/>
  <c r="D3747" i="17"/>
  <c r="E3747" i="17"/>
  <c r="F3747" i="17"/>
  <c r="B3748" i="17"/>
  <c r="C3748" i="17"/>
  <c r="D3748" i="17"/>
  <c r="E3748" i="17"/>
  <c r="F3748" i="17"/>
  <c r="B3749" i="17"/>
  <c r="C3749" i="17"/>
  <c r="D3749" i="17"/>
  <c r="E3749" i="17"/>
  <c r="F3749" i="17"/>
  <c r="B3750" i="17"/>
  <c r="C3750" i="17"/>
  <c r="D3750" i="17"/>
  <c r="E3750" i="17"/>
  <c r="F3750" i="17"/>
  <c r="B3751" i="17"/>
  <c r="C3751" i="17"/>
  <c r="D3751" i="17"/>
  <c r="E3751" i="17"/>
  <c r="F3751" i="17"/>
  <c r="B3752" i="17"/>
  <c r="C3752" i="17"/>
  <c r="D3752" i="17"/>
  <c r="E3752" i="17"/>
  <c r="F3752" i="17"/>
  <c r="B3753" i="17"/>
  <c r="C3753" i="17"/>
  <c r="D3753" i="17"/>
  <c r="E3753" i="17"/>
  <c r="F3753" i="17"/>
  <c r="B3754" i="17"/>
  <c r="C3754" i="17"/>
  <c r="D3754" i="17"/>
  <c r="E3754" i="17"/>
  <c r="F3754" i="17"/>
  <c r="B3755" i="17"/>
  <c r="C3755" i="17"/>
  <c r="D3755" i="17"/>
  <c r="E3755" i="17"/>
  <c r="F3755" i="17"/>
  <c r="B3756" i="17"/>
  <c r="C3756" i="17"/>
  <c r="D3756" i="17"/>
  <c r="E3756" i="17"/>
  <c r="F3756" i="17"/>
  <c r="B3757" i="17"/>
  <c r="C3757" i="17"/>
  <c r="D3757" i="17"/>
  <c r="E3757" i="17"/>
  <c r="F3757" i="17"/>
  <c r="B3758" i="17"/>
  <c r="C3758" i="17"/>
  <c r="D3758" i="17"/>
  <c r="E3758" i="17"/>
  <c r="F3758" i="17"/>
  <c r="B3759" i="17"/>
  <c r="C3759" i="17"/>
  <c r="D3759" i="17"/>
  <c r="E3759" i="17"/>
  <c r="F3759" i="17"/>
  <c r="B3760" i="17"/>
  <c r="C3760" i="17"/>
  <c r="D3760" i="17"/>
  <c r="E3760" i="17"/>
  <c r="F3760" i="17"/>
  <c r="B3761" i="17"/>
  <c r="C3761" i="17"/>
  <c r="D3761" i="17"/>
  <c r="E3761" i="17"/>
  <c r="F3761" i="17"/>
  <c r="B3762" i="17"/>
  <c r="C3762" i="17"/>
  <c r="D3762" i="17"/>
  <c r="E3762" i="17"/>
  <c r="F3762" i="17"/>
  <c r="B3763" i="17"/>
  <c r="C3763" i="17"/>
  <c r="D3763" i="17"/>
  <c r="E3763" i="17"/>
  <c r="F3763" i="17"/>
  <c r="B3764" i="17"/>
  <c r="C3764" i="17"/>
  <c r="D3764" i="17"/>
  <c r="E3764" i="17"/>
  <c r="F3764" i="17"/>
  <c r="B3765" i="17"/>
  <c r="C3765" i="17"/>
  <c r="D3765" i="17"/>
  <c r="E3765" i="17"/>
  <c r="F3765" i="17"/>
  <c r="B3766" i="17"/>
  <c r="C3766" i="17"/>
  <c r="D3766" i="17"/>
  <c r="E3766" i="17"/>
  <c r="F3766" i="17"/>
  <c r="B3767" i="17"/>
  <c r="C3767" i="17"/>
  <c r="D3767" i="17"/>
  <c r="E3767" i="17"/>
  <c r="F3767" i="17"/>
  <c r="B3768" i="17"/>
  <c r="C3768" i="17"/>
  <c r="D3768" i="17"/>
  <c r="E3768" i="17"/>
  <c r="F3768" i="17"/>
  <c r="B3769" i="17"/>
  <c r="C3769" i="17"/>
  <c r="D3769" i="17"/>
  <c r="E3769" i="17"/>
  <c r="F3769" i="17"/>
  <c r="B3770" i="17"/>
  <c r="C3770" i="17"/>
  <c r="D3770" i="17"/>
  <c r="E3770" i="17"/>
  <c r="F3770" i="17"/>
  <c r="B3771" i="17"/>
  <c r="C3771" i="17"/>
  <c r="D3771" i="17"/>
  <c r="E3771" i="17"/>
  <c r="F3771" i="17"/>
  <c r="B3772" i="17"/>
  <c r="C3772" i="17"/>
  <c r="D3772" i="17"/>
  <c r="E3772" i="17"/>
  <c r="F3772" i="17"/>
  <c r="B3773" i="17"/>
  <c r="C3773" i="17"/>
  <c r="D3773" i="17"/>
  <c r="E3773" i="17"/>
  <c r="F3773" i="17"/>
  <c r="B3774" i="17"/>
  <c r="C3774" i="17"/>
  <c r="D3774" i="17"/>
  <c r="E3774" i="17"/>
  <c r="F3774" i="17"/>
  <c r="B3775" i="17"/>
  <c r="C3775" i="17"/>
  <c r="D3775" i="17"/>
  <c r="E3775" i="17"/>
  <c r="F3775" i="17"/>
  <c r="B3776" i="17"/>
  <c r="C3776" i="17"/>
  <c r="D3776" i="17"/>
  <c r="E3776" i="17"/>
  <c r="F3776" i="17"/>
  <c r="B3777" i="17"/>
  <c r="C3777" i="17"/>
  <c r="D3777" i="17"/>
  <c r="E3777" i="17"/>
  <c r="F3777" i="17"/>
  <c r="B3778" i="17"/>
  <c r="C3778" i="17"/>
  <c r="D3778" i="17"/>
  <c r="E3778" i="17"/>
  <c r="F3778" i="17"/>
  <c r="B3779" i="17"/>
  <c r="C3779" i="17"/>
  <c r="D3779" i="17"/>
  <c r="E3779" i="17"/>
  <c r="F3779" i="17"/>
  <c r="B3780" i="17"/>
  <c r="C3780" i="17"/>
  <c r="D3780" i="17"/>
  <c r="E3780" i="17"/>
  <c r="F3780" i="17"/>
  <c r="B3781" i="17"/>
  <c r="C3781" i="17"/>
  <c r="D3781" i="17"/>
  <c r="E3781" i="17"/>
  <c r="F3781" i="17"/>
  <c r="B3782" i="17"/>
  <c r="C3782" i="17"/>
  <c r="D3782" i="17"/>
  <c r="E3782" i="17"/>
  <c r="F3782" i="17"/>
  <c r="B3783" i="17"/>
  <c r="C3783" i="17"/>
  <c r="D3783" i="17"/>
  <c r="E3783" i="17"/>
  <c r="F3783" i="17"/>
  <c r="B3784" i="17"/>
  <c r="C3784" i="17"/>
  <c r="D3784" i="17"/>
  <c r="E3784" i="17"/>
  <c r="F3784" i="17"/>
  <c r="B3785" i="17"/>
  <c r="C3785" i="17"/>
  <c r="D3785" i="17"/>
  <c r="E3785" i="17"/>
  <c r="F3785" i="17"/>
  <c r="B3786" i="17"/>
  <c r="C3786" i="17"/>
  <c r="D3786" i="17"/>
  <c r="E3786" i="17"/>
  <c r="F3786" i="17"/>
  <c r="B3787" i="17"/>
  <c r="C3787" i="17"/>
  <c r="D3787" i="17"/>
  <c r="E3787" i="17"/>
  <c r="F3787" i="17"/>
  <c r="B3788" i="17"/>
  <c r="C3788" i="17"/>
  <c r="D3788" i="17"/>
  <c r="E3788" i="17"/>
  <c r="F3788" i="17"/>
  <c r="B3789" i="17"/>
  <c r="C3789" i="17"/>
  <c r="D3789" i="17"/>
  <c r="E3789" i="17"/>
  <c r="F3789" i="17"/>
  <c r="B3790" i="17"/>
  <c r="C3790" i="17"/>
  <c r="D3790" i="17"/>
  <c r="E3790" i="17"/>
  <c r="F3790" i="17"/>
  <c r="B3791" i="17"/>
  <c r="C3791" i="17"/>
  <c r="D3791" i="17"/>
  <c r="E3791" i="17"/>
  <c r="F3791" i="17"/>
  <c r="B3792" i="17"/>
  <c r="C3792" i="17"/>
  <c r="D3792" i="17"/>
  <c r="E3792" i="17"/>
  <c r="F3792" i="17"/>
  <c r="B3793" i="17"/>
  <c r="C3793" i="17"/>
  <c r="D3793" i="17"/>
  <c r="E3793" i="17"/>
  <c r="F3793" i="17"/>
  <c r="B3794" i="17"/>
  <c r="C3794" i="17"/>
  <c r="D3794" i="17"/>
  <c r="E3794" i="17"/>
  <c r="F3794" i="17"/>
  <c r="B3795" i="17"/>
  <c r="C3795" i="17"/>
  <c r="D3795" i="17"/>
  <c r="E3795" i="17"/>
  <c r="F3795" i="17"/>
  <c r="B3796" i="17"/>
  <c r="C3796" i="17"/>
  <c r="D3796" i="17"/>
  <c r="E3796" i="17"/>
  <c r="F3796" i="17"/>
  <c r="B3797" i="17"/>
  <c r="C3797" i="17"/>
  <c r="D3797" i="17"/>
  <c r="E3797" i="17"/>
  <c r="F3797" i="17"/>
  <c r="B3798" i="17"/>
  <c r="C3798" i="17"/>
  <c r="D3798" i="17"/>
  <c r="E3798" i="17"/>
  <c r="F3798" i="17"/>
  <c r="B3799" i="17"/>
  <c r="C3799" i="17"/>
  <c r="D3799" i="17"/>
  <c r="E3799" i="17"/>
  <c r="F3799" i="17"/>
  <c r="B3800" i="17"/>
  <c r="C3800" i="17"/>
  <c r="D3800" i="17"/>
  <c r="E3800" i="17"/>
  <c r="F3800" i="17"/>
  <c r="B3801" i="17"/>
  <c r="C3801" i="17"/>
  <c r="D3801" i="17"/>
  <c r="E3801" i="17"/>
  <c r="F3801" i="17"/>
  <c r="B3802" i="17"/>
  <c r="C3802" i="17"/>
  <c r="D3802" i="17"/>
  <c r="E3802" i="17"/>
  <c r="F3802" i="17"/>
  <c r="B3803" i="17"/>
  <c r="C3803" i="17"/>
  <c r="D3803" i="17"/>
  <c r="E3803" i="17"/>
  <c r="F3803" i="17"/>
  <c r="B3804" i="17"/>
  <c r="C3804" i="17"/>
  <c r="D3804" i="17"/>
  <c r="E3804" i="17"/>
  <c r="F3804" i="17"/>
  <c r="B3805" i="17"/>
  <c r="C3805" i="17"/>
  <c r="D3805" i="17"/>
  <c r="E3805" i="17"/>
  <c r="F3805" i="17"/>
  <c r="B3806" i="17"/>
  <c r="C3806" i="17"/>
  <c r="D3806" i="17"/>
  <c r="E3806" i="17"/>
  <c r="F3806" i="17"/>
  <c r="B3807" i="17"/>
  <c r="C3807" i="17"/>
  <c r="D3807" i="17"/>
  <c r="E3807" i="17"/>
  <c r="F3807" i="17"/>
  <c r="B3808" i="17"/>
  <c r="C3808" i="17"/>
  <c r="D3808" i="17"/>
  <c r="E3808" i="17"/>
  <c r="F3808" i="17"/>
  <c r="B3809" i="17"/>
  <c r="C3809" i="17"/>
  <c r="D3809" i="17"/>
  <c r="E3809" i="17"/>
  <c r="F3809" i="17"/>
  <c r="B3810" i="17"/>
  <c r="C3810" i="17"/>
  <c r="D3810" i="17"/>
  <c r="E3810" i="17"/>
  <c r="F3810" i="17"/>
  <c r="B3811" i="17"/>
  <c r="C3811" i="17"/>
  <c r="D3811" i="17"/>
  <c r="E3811" i="17"/>
  <c r="F3811" i="17"/>
  <c r="B3812" i="17"/>
  <c r="C3812" i="17"/>
  <c r="D3812" i="17"/>
  <c r="E3812" i="17"/>
  <c r="F3812" i="17"/>
  <c r="B3813" i="17"/>
  <c r="C3813" i="17"/>
  <c r="D3813" i="17"/>
  <c r="E3813" i="17"/>
  <c r="F3813" i="17"/>
  <c r="B3814" i="17"/>
  <c r="C3814" i="17"/>
  <c r="D3814" i="17"/>
  <c r="E3814" i="17"/>
  <c r="F3814" i="17"/>
  <c r="B3815" i="17"/>
  <c r="C3815" i="17"/>
  <c r="D3815" i="17"/>
  <c r="E3815" i="17"/>
  <c r="F3815" i="17"/>
  <c r="B3816" i="17"/>
  <c r="C3816" i="17"/>
  <c r="D3816" i="17"/>
  <c r="E3816" i="17"/>
  <c r="F3816" i="17"/>
  <c r="B3817" i="17"/>
  <c r="C3817" i="17"/>
  <c r="D3817" i="17"/>
  <c r="E3817" i="17"/>
  <c r="F3817" i="17"/>
  <c r="B3818" i="17"/>
  <c r="C3818" i="17"/>
  <c r="D3818" i="17"/>
  <c r="E3818" i="17"/>
  <c r="F3818" i="17"/>
  <c r="B3819" i="17"/>
  <c r="C3819" i="17"/>
  <c r="D3819" i="17"/>
  <c r="E3819" i="17"/>
  <c r="F3819" i="17"/>
  <c r="B3820" i="17"/>
  <c r="C3820" i="17"/>
  <c r="D3820" i="17"/>
  <c r="E3820" i="17"/>
  <c r="F3820" i="17"/>
  <c r="B3821" i="17"/>
  <c r="C3821" i="17"/>
  <c r="D3821" i="17"/>
  <c r="E3821" i="17"/>
  <c r="F3821" i="17"/>
  <c r="B3822" i="17"/>
  <c r="C3822" i="17"/>
  <c r="D3822" i="17"/>
  <c r="E3822" i="17"/>
  <c r="F3822" i="17"/>
  <c r="B3823" i="17"/>
  <c r="C3823" i="17"/>
  <c r="D3823" i="17"/>
  <c r="E3823" i="17"/>
  <c r="F3823" i="17"/>
  <c r="B3824" i="17"/>
  <c r="C3824" i="17"/>
  <c r="D3824" i="17"/>
  <c r="E3824" i="17"/>
  <c r="F3824" i="17"/>
  <c r="B3825" i="17"/>
  <c r="C3825" i="17"/>
  <c r="D3825" i="17"/>
  <c r="E3825" i="17"/>
  <c r="F3825" i="17"/>
  <c r="B3826" i="17"/>
  <c r="C3826" i="17"/>
  <c r="D3826" i="17"/>
  <c r="E3826" i="17"/>
  <c r="F3826" i="17"/>
  <c r="B3827" i="17"/>
  <c r="C3827" i="17"/>
  <c r="D3827" i="17"/>
  <c r="E3827" i="17"/>
  <c r="F3827" i="17"/>
  <c r="B3828" i="17"/>
  <c r="C3828" i="17"/>
  <c r="D3828" i="17"/>
  <c r="E3828" i="17"/>
  <c r="F3828" i="17"/>
  <c r="B3829" i="17"/>
  <c r="C3829" i="17"/>
  <c r="D3829" i="17"/>
  <c r="E3829" i="17"/>
  <c r="F3829" i="17"/>
  <c r="B3830" i="17"/>
  <c r="C3830" i="17"/>
  <c r="D3830" i="17"/>
  <c r="E3830" i="17"/>
  <c r="F3830" i="17"/>
  <c r="B3831" i="17"/>
  <c r="C3831" i="17"/>
  <c r="D3831" i="17"/>
  <c r="E3831" i="17"/>
  <c r="F3831" i="17"/>
  <c r="B3832" i="17"/>
  <c r="C3832" i="17"/>
  <c r="D3832" i="17"/>
  <c r="E3832" i="17"/>
  <c r="F3832" i="17"/>
  <c r="B3833" i="17"/>
  <c r="C3833" i="17"/>
  <c r="D3833" i="17"/>
  <c r="E3833" i="17"/>
  <c r="F3833" i="17"/>
  <c r="B3834" i="17"/>
  <c r="C3834" i="17"/>
  <c r="D3834" i="17"/>
  <c r="E3834" i="17"/>
  <c r="F3834" i="17"/>
  <c r="B3835" i="17"/>
  <c r="C3835" i="17"/>
  <c r="D3835" i="17"/>
  <c r="E3835" i="17"/>
  <c r="F3835" i="17"/>
  <c r="B3836" i="17"/>
  <c r="C3836" i="17"/>
  <c r="D3836" i="17"/>
  <c r="E3836" i="17"/>
  <c r="F3836" i="17"/>
  <c r="B3837" i="17"/>
  <c r="C3837" i="17"/>
  <c r="D3837" i="17"/>
  <c r="E3837" i="17"/>
  <c r="F3837" i="17"/>
  <c r="B3838" i="17"/>
  <c r="C3838" i="17"/>
  <c r="D3838" i="17"/>
  <c r="E3838" i="17"/>
  <c r="F3838" i="17"/>
  <c r="B3839" i="17"/>
  <c r="C3839" i="17"/>
  <c r="D3839" i="17"/>
  <c r="E3839" i="17"/>
  <c r="F3839" i="17"/>
  <c r="B3840" i="17"/>
  <c r="C3840" i="17"/>
  <c r="D3840" i="17"/>
  <c r="E3840" i="17"/>
  <c r="F3840" i="17"/>
  <c r="B3841" i="17"/>
  <c r="C3841" i="17"/>
  <c r="D3841" i="17"/>
  <c r="E3841" i="17"/>
  <c r="F3841" i="17"/>
  <c r="B3842" i="17"/>
  <c r="C3842" i="17"/>
  <c r="D3842" i="17"/>
  <c r="E3842" i="17"/>
  <c r="F3842" i="17"/>
  <c r="B3843" i="17"/>
  <c r="C3843" i="17"/>
  <c r="D3843" i="17"/>
  <c r="E3843" i="17"/>
  <c r="F3843" i="17"/>
  <c r="B3844" i="17"/>
  <c r="C3844" i="17"/>
  <c r="D3844" i="17"/>
  <c r="E3844" i="17"/>
  <c r="F3844" i="17"/>
  <c r="B3845" i="17"/>
  <c r="C3845" i="17"/>
  <c r="D3845" i="17"/>
  <c r="E3845" i="17"/>
  <c r="F3845" i="17"/>
  <c r="B3846" i="17"/>
  <c r="C3846" i="17"/>
  <c r="D3846" i="17"/>
  <c r="E3846" i="17"/>
  <c r="F3846" i="17"/>
  <c r="B3847" i="17"/>
  <c r="C3847" i="17"/>
  <c r="D3847" i="17"/>
  <c r="E3847" i="17"/>
  <c r="F3847" i="17"/>
  <c r="B3848" i="17"/>
  <c r="C3848" i="17"/>
  <c r="D3848" i="17"/>
  <c r="E3848" i="17"/>
  <c r="F3848" i="17"/>
  <c r="B3849" i="17"/>
  <c r="C3849" i="17"/>
  <c r="D3849" i="17"/>
  <c r="E3849" i="17"/>
  <c r="F3849" i="17"/>
  <c r="B3850" i="17"/>
  <c r="C3850" i="17"/>
  <c r="D3850" i="17"/>
  <c r="E3850" i="17"/>
  <c r="F3850" i="17"/>
  <c r="B3851" i="17"/>
  <c r="C3851" i="17"/>
  <c r="D3851" i="17"/>
  <c r="E3851" i="17"/>
  <c r="F3851" i="17"/>
  <c r="B3852" i="17"/>
  <c r="C3852" i="17"/>
  <c r="D3852" i="17"/>
  <c r="E3852" i="17"/>
  <c r="F3852" i="17"/>
  <c r="B3853" i="17"/>
  <c r="C3853" i="17"/>
  <c r="D3853" i="17"/>
  <c r="E3853" i="17"/>
  <c r="F3853" i="17"/>
  <c r="B3854" i="17"/>
  <c r="C3854" i="17"/>
  <c r="D3854" i="17"/>
  <c r="E3854" i="17"/>
  <c r="F3854" i="17"/>
  <c r="B3855" i="17"/>
  <c r="C3855" i="17"/>
  <c r="D3855" i="17"/>
  <c r="E3855" i="17"/>
  <c r="F3855" i="17"/>
  <c r="B3856" i="17"/>
  <c r="C3856" i="17"/>
  <c r="D3856" i="17"/>
  <c r="E3856" i="17"/>
  <c r="F3856" i="17"/>
  <c r="B3857" i="17"/>
  <c r="C3857" i="17"/>
  <c r="D3857" i="17"/>
  <c r="E3857" i="17"/>
  <c r="F3857" i="17"/>
  <c r="B3858" i="17"/>
  <c r="C3858" i="17"/>
  <c r="D3858" i="17"/>
  <c r="E3858" i="17"/>
  <c r="F3858" i="17"/>
  <c r="B3859" i="17"/>
  <c r="C3859" i="17"/>
  <c r="D3859" i="17"/>
  <c r="E3859" i="17"/>
  <c r="F3859" i="17"/>
  <c r="B3860" i="17"/>
  <c r="C3860" i="17"/>
  <c r="D3860" i="17"/>
  <c r="E3860" i="17"/>
  <c r="F3860" i="17"/>
  <c r="B3861" i="17"/>
  <c r="C3861" i="17"/>
  <c r="D3861" i="17"/>
  <c r="E3861" i="17"/>
  <c r="F3861" i="17"/>
  <c r="B3862" i="17"/>
  <c r="C3862" i="17"/>
  <c r="D3862" i="17"/>
  <c r="E3862" i="17"/>
  <c r="F3862" i="17"/>
  <c r="B3863" i="17"/>
  <c r="C3863" i="17"/>
  <c r="D3863" i="17"/>
  <c r="E3863" i="17"/>
  <c r="F3863" i="17"/>
  <c r="B3864" i="17"/>
  <c r="C3864" i="17"/>
  <c r="D3864" i="17"/>
  <c r="E3864" i="17"/>
  <c r="F3864" i="17"/>
  <c r="B3865" i="17"/>
  <c r="C3865" i="17"/>
  <c r="D3865" i="17"/>
  <c r="E3865" i="17"/>
  <c r="F3865" i="17"/>
  <c r="B3866" i="17"/>
  <c r="C3866" i="17"/>
  <c r="D3866" i="17"/>
  <c r="E3866" i="17"/>
  <c r="F3866" i="17"/>
  <c r="B3867" i="17"/>
  <c r="C3867" i="17"/>
  <c r="D3867" i="17"/>
  <c r="E3867" i="17"/>
  <c r="F3867" i="17"/>
  <c r="B3868" i="17"/>
  <c r="C3868" i="17"/>
  <c r="D3868" i="17"/>
  <c r="E3868" i="17"/>
  <c r="F3868" i="17"/>
  <c r="B3869" i="17"/>
  <c r="C3869" i="17"/>
  <c r="D3869" i="17"/>
  <c r="E3869" i="17"/>
  <c r="F3869" i="17"/>
  <c r="B3870" i="17"/>
  <c r="C3870" i="17"/>
  <c r="D3870" i="17"/>
  <c r="E3870" i="17"/>
  <c r="F3870" i="17"/>
  <c r="B3871" i="17"/>
  <c r="C3871" i="17"/>
  <c r="D3871" i="17"/>
  <c r="E3871" i="17"/>
  <c r="F3871" i="17"/>
  <c r="B3872" i="17"/>
  <c r="C3872" i="17"/>
  <c r="D3872" i="17"/>
  <c r="E3872" i="17"/>
  <c r="F3872" i="17"/>
  <c r="B3873" i="17"/>
  <c r="C3873" i="17"/>
  <c r="D3873" i="17"/>
  <c r="E3873" i="17"/>
  <c r="F3873" i="17"/>
  <c r="B3874" i="17"/>
  <c r="C3874" i="17"/>
  <c r="D3874" i="17"/>
  <c r="E3874" i="17"/>
  <c r="F3874" i="17"/>
  <c r="B3875" i="17"/>
  <c r="C3875" i="17"/>
  <c r="D3875" i="17"/>
  <c r="E3875" i="17"/>
  <c r="F3875" i="17"/>
  <c r="B3876" i="17"/>
  <c r="C3876" i="17"/>
  <c r="D3876" i="17"/>
  <c r="E3876" i="17"/>
  <c r="F3876" i="17"/>
  <c r="B3877" i="17"/>
  <c r="C3877" i="17"/>
  <c r="D3877" i="17"/>
  <c r="E3877" i="17"/>
  <c r="F3877" i="17"/>
  <c r="B3878" i="17"/>
  <c r="C3878" i="17"/>
  <c r="D3878" i="17"/>
  <c r="E3878" i="17"/>
  <c r="F3878" i="17"/>
  <c r="B3879" i="17"/>
  <c r="C3879" i="17"/>
  <c r="D3879" i="17"/>
  <c r="E3879" i="17"/>
  <c r="F3879" i="17"/>
  <c r="B3880" i="17"/>
  <c r="C3880" i="17"/>
  <c r="D3880" i="17"/>
  <c r="E3880" i="17"/>
  <c r="F3880" i="17"/>
  <c r="B3881" i="17"/>
  <c r="C3881" i="17"/>
  <c r="D3881" i="17"/>
  <c r="E3881" i="17"/>
  <c r="F3881" i="17"/>
  <c r="B3882" i="17"/>
  <c r="C3882" i="17"/>
  <c r="D3882" i="17"/>
  <c r="E3882" i="17"/>
  <c r="F3882" i="17"/>
  <c r="B3883" i="17"/>
  <c r="C3883" i="17"/>
  <c r="D3883" i="17"/>
  <c r="E3883" i="17"/>
  <c r="F3883" i="17"/>
  <c r="B3884" i="17"/>
  <c r="C3884" i="17"/>
  <c r="D3884" i="17"/>
  <c r="E3884" i="17"/>
  <c r="F3884" i="17"/>
  <c r="B3885" i="17"/>
  <c r="C3885" i="17"/>
  <c r="D3885" i="17"/>
  <c r="E3885" i="17"/>
  <c r="F3885" i="17"/>
  <c r="B3886" i="17"/>
  <c r="C3886" i="17"/>
  <c r="D3886" i="17"/>
  <c r="E3886" i="17"/>
  <c r="F3886" i="17"/>
  <c r="B3887" i="17"/>
  <c r="C3887" i="17"/>
  <c r="D3887" i="17"/>
  <c r="E3887" i="17"/>
  <c r="F3887" i="17"/>
  <c r="B3888" i="17"/>
  <c r="C3888" i="17"/>
  <c r="D3888" i="17"/>
  <c r="E3888" i="17"/>
  <c r="F3888" i="17"/>
  <c r="B3889" i="17"/>
  <c r="C3889" i="17"/>
  <c r="D3889" i="17"/>
  <c r="E3889" i="17"/>
  <c r="F3889" i="17"/>
  <c r="B3890" i="17"/>
  <c r="C3890" i="17"/>
  <c r="D3890" i="17"/>
  <c r="E3890" i="17"/>
  <c r="F3890" i="17"/>
  <c r="B3891" i="17"/>
  <c r="C3891" i="17"/>
  <c r="D3891" i="17"/>
  <c r="E3891" i="17"/>
  <c r="F3891" i="17"/>
  <c r="B3892" i="17"/>
  <c r="C3892" i="17"/>
  <c r="D3892" i="17"/>
  <c r="E3892" i="17"/>
  <c r="F3892" i="17"/>
  <c r="B3893" i="17"/>
  <c r="C3893" i="17"/>
  <c r="D3893" i="17"/>
  <c r="E3893" i="17"/>
  <c r="F3893" i="17"/>
  <c r="B3894" i="17"/>
  <c r="C3894" i="17"/>
  <c r="D3894" i="17"/>
  <c r="E3894" i="17"/>
  <c r="F3894" i="17"/>
  <c r="B3895" i="17"/>
  <c r="C3895" i="17"/>
  <c r="D3895" i="17"/>
  <c r="E3895" i="17"/>
  <c r="F3895" i="17"/>
  <c r="B3896" i="17"/>
  <c r="C3896" i="17"/>
  <c r="D3896" i="17"/>
  <c r="E3896" i="17"/>
  <c r="F3896" i="17"/>
  <c r="B3897" i="17"/>
  <c r="C3897" i="17"/>
  <c r="D3897" i="17"/>
  <c r="E3897" i="17"/>
  <c r="F3897" i="17"/>
  <c r="B3898" i="17"/>
  <c r="C3898" i="17"/>
  <c r="D3898" i="17"/>
  <c r="E3898" i="17"/>
  <c r="F3898" i="17"/>
  <c r="B3899" i="17"/>
  <c r="C3899" i="17"/>
  <c r="D3899" i="17"/>
  <c r="E3899" i="17"/>
  <c r="F3899" i="17"/>
  <c r="B3900" i="17"/>
  <c r="C3900" i="17"/>
  <c r="D3900" i="17"/>
  <c r="E3900" i="17"/>
  <c r="F3900" i="17"/>
  <c r="B3901" i="17"/>
  <c r="C3901" i="17"/>
  <c r="D3901" i="17"/>
  <c r="E3901" i="17"/>
  <c r="F3901" i="17"/>
  <c r="B3902" i="17"/>
  <c r="C3902" i="17"/>
  <c r="D3902" i="17"/>
  <c r="E3902" i="17"/>
  <c r="F3902" i="17"/>
  <c r="B3903" i="17"/>
  <c r="C3903" i="17"/>
  <c r="D3903" i="17"/>
  <c r="E3903" i="17"/>
  <c r="F3903" i="17"/>
  <c r="B3904" i="17"/>
  <c r="C3904" i="17"/>
  <c r="D3904" i="17"/>
  <c r="E3904" i="17"/>
  <c r="F3904" i="17"/>
  <c r="B3905" i="17"/>
  <c r="C3905" i="17"/>
  <c r="D3905" i="17"/>
  <c r="E3905" i="17"/>
  <c r="F3905" i="17"/>
  <c r="B3906" i="17"/>
  <c r="C3906" i="17"/>
  <c r="D3906" i="17"/>
  <c r="E3906" i="17"/>
  <c r="F3906" i="17"/>
  <c r="B3907" i="17"/>
  <c r="C3907" i="17"/>
  <c r="D3907" i="17"/>
  <c r="E3907" i="17"/>
  <c r="F3907" i="17"/>
  <c r="B3908" i="17"/>
  <c r="C3908" i="17"/>
  <c r="D3908" i="17"/>
  <c r="E3908" i="17"/>
  <c r="F3908" i="17"/>
  <c r="B3909" i="17"/>
  <c r="C3909" i="17"/>
  <c r="D3909" i="17"/>
  <c r="E3909" i="17"/>
  <c r="F3909" i="17"/>
  <c r="B3910" i="17"/>
  <c r="C3910" i="17"/>
  <c r="D3910" i="17"/>
  <c r="E3910" i="17"/>
  <c r="F3910" i="17"/>
  <c r="B3911" i="17"/>
  <c r="C3911" i="17"/>
  <c r="D3911" i="17"/>
  <c r="E3911" i="17"/>
  <c r="F3911" i="17"/>
  <c r="B3912" i="17"/>
  <c r="C3912" i="17"/>
  <c r="D3912" i="17"/>
  <c r="E3912" i="17"/>
  <c r="F3912" i="17"/>
  <c r="B3913" i="17"/>
  <c r="C3913" i="17"/>
  <c r="D3913" i="17"/>
  <c r="E3913" i="17"/>
  <c r="F3913" i="17"/>
  <c r="B3914" i="17"/>
  <c r="C3914" i="17"/>
  <c r="D3914" i="17"/>
  <c r="E3914" i="17"/>
  <c r="F3914" i="17"/>
  <c r="B3915" i="17"/>
  <c r="C3915" i="17"/>
  <c r="D3915" i="17"/>
  <c r="E3915" i="17"/>
  <c r="F3915" i="17"/>
  <c r="B3916" i="17"/>
  <c r="C3916" i="17"/>
  <c r="D3916" i="17"/>
  <c r="E3916" i="17"/>
  <c r="F3916" i="17"/>
  <c r="B3917" i="17"/>
  <c r="C3917" i="17"/>
  <c r="D3917" i="17"/>
  <c r="E3917" i="17"/>
  <c r="F3917" i="17"/>
  <c r="B3918" i="17"/>
  <c r="C3918" i="17"/>
  <c r="D3918" i="17"/>
  <c r="E3918" i="17"/>
  <c r="F3918" i="17"/>
  <c r="B3919" i="17"/>
  <c r="C3919" i="17"/>
  <c r="D3919" i="17"/>
  <c r="E3919" i="17"/>
  <c r="F3919" i="17"/>
  <c r="B3920" i="17"/>
  <c r="C3920" i="17"/>
  <c r="D3920" i="17"/>
  <c r="E3920" i="17"/>
  <c r="F3920" i="17"/>
  <c r="B3921" i="17"/>
  <c r="C3921" i="17"/>
  <c r="D3921" i="17"/>
  <c r="E3921" i="17"/>
  <c r="F3921" i="17"/>
  <c r="B3922" i="17"/>
  <c r="C3922" i="17"/>
  <c r="D3922" i="17"/>
  <c r="E3922" i="17"/>
  <c r="F3922" i="17"/>
  <c r="B3923" i="17"/>
  <c r="C3923" i="17"/>
  <c r="D3923" i="17"/>
  <c r="E3923" i="17"/>
  <c r="F3923" i="17"/>
  <c r="B3924" i="17"/>
  <c r="C3924" i="17"/>
  <c r="D3924" i="17"/>
  <c r="E3924" i="17"/>
  <c r="F3924" i="17"/>
  <c r="B3925" i="17"/>
  <c r="C3925" i="17"/>
  <c r="D3925" i="17"/>
  <c r="E3925" i="17"/>
  <c r="F3925" i="17"/>
  <c r="B3926" i="17"/>
  <c r="C3926" i="17"/>
  <c r="D3926" i="17"/>
  <c r="E3926" i="17"/>
  <c r="F3926" i="17"/>
  <c r="B3927" i="17"/>
  <c r="C3927" i="17"/>
  <c r="D3927" i="17"/>
  <c r="E3927" i="17"/>
  <c r="F3927" i="17"/>
  <c r="B3928" i="17"/>
  <c r="C3928" i="17"/>
  <c r="D3928" i="17"/>
  <c r="E3928" i="17"/>
  <c r="F3928" i="17"/>
  <c r="B3929" i="17"/>
  <c r="C3929" i="17"/>
  <c r="D3929" i="17"/>
  <c r="E3929" i="17"/>
  <c r="F3929" i="17"/>
  <c r="B3930" i="17"/>
  <c r="C3930" i="17"/>
  <c r="D3930" i="17"/>
  <c r="E3930" i="17"/>
  <c r="F3930" i="17"/>
  <c r="B3931" i="17"/>
  <c r="C3931" i="17"/>
  <c r="D3931" i="17"/>
  <c r="E3931" i="17"/>
  <c r="F3931" i="17"/>
  <c r="B3932" i="17"/>
  <c r="C3932" i="17"/>
  <c r="D3932" i="17"/>
  <c r="E3932" i="17"/>
  <c r="F3932" i="17"/>
  <c r="B3933" i="17"/>
  <c r="C3933" i="17"/>
  <c r="D3933" i="17"/>
  <c r="E3933" i="17"/>
  <c r="F3933" i="17"/>
  <c r="B3934" i="17"/>
  <c r="C3934" i="17"/>
  <c r="D3934" i="17"/>
  <c r="E3934" i="17"/>
  <c r="F3934" i="17"/>
  <c r="B3935" i="17"/>
  <c r="C3935" i="17"/>
  <c r="D3935" i="17"/>
  <c r="E3935" i="17"/>
  <c r="F3935" i="17"/>
  <c r="B3936" i="17"/>
  <c r="C3936" i="17"/>
  <c r="D3936" i="17"/>
  <c r="E3936" i="17"/>
  <c r="F3936" i="17"/>
  <c r="B3937" i="17"/>
  <c r="C3937" i="17"/>
  <c r="D3937" i="17"/>
  <c r="E3937" i="17"/>
  <c r="F3937" i="17"/>
  <c r="B3938" i="17"/>
  <c r="C3938" i="17"/>
  <c r="D3938" i="17"/>
  <c r="E3938" i="17"/>
  <c r="F3938" i="17"/>
  <c r="B3939" i="17"/>
  <c r="C3939" i="17"/>
  <c r="D3939" i="17"/>
  <c r="E3939" i="17"/>
  <c r="F3939" i="17"/>
  <c r="B3940" i="17"/>
  <c r="C3940" i="17"/>
  <c r="D3940" i="17"/>
  <c r="E3940" i="17"/>
  <c r="F3940" i="17"/>
  <c r="B3941" i="17"/>
  <c r="C3941" i="17"/>
  <c r="D3941" i="17"/>
  <c r="E3941" i="17"/>
  <c r="F3941" i="17"/>
  <c r="B3942" i="17"/>
  <c r="C3942" i="17"/>
  <c r="D3942" i="17"/>
  <c r="E3942" i="17"/>
  <c r="F3942" i="17"/>
  <c r="B3943" i="17"/>
  <c r="C3943" i="17"/>
  <c r="D3943" i="17"/>
  <c r="E3943" i="17"/>
  <c r="F3943" i="17"/>
  <c r="B3944" i="17"/>
  <c r="C3944" i="17"/>
  <c r="D3944" i="17"/>
  <c r="E3944" i="17"/>
  <c r="F3944" i="17"/>
  <c r="B3945" i="17"/>
  <c r="C3945" i="17"/>
  <c r="D3945" i="17"/>
  <c r="E3945" i="17"/>
  <c r="F3945" i="17"/>
  <c r="B3946" i="17"/>
  <c r="C3946" i="17"/>
  <c r="D3946" i="17"/>
  <c r="E3946" i="17"/>
  <c r="F3946" i="17"/>
  <c r="B3947" i="17"/>
  <c r="C3947" i="17"/>
  <c r="D3947" i="17"/>
  <c r="E3947" i="17"/>
  <c r="F3947" i="17"/>
  <c r="B3948" i="17"/>
  <c r="C3948" i="17"/>
  <c r="D3948" i="17"/>
  <c r="E3948" i="17"/>
  <c r="F3948" i="17"/>
  <c r="B3949" i="17"/>
  <c r="C3949" i="17"/>
  <c r="D3949" i="17"/>
  <c r="E3949" i="17"/>
  <c r="F3949" i="17"/>
  <c r="B3950" i="17"/>
  <c r="C3950" i="17"/>
  <c r="D3950" i="17"/>
  <c r="E3950" i="17"/>
  <c r="F3950" i="17"/>
  <c r="B3951" i="17"/>
  <c r="C3951" i="17"/>
  <c r="D3951" i="17"/>
  <c r="E3951" i="17"/>
  <c r="F3951" i="17"/>
  <c r="B3952" i="17"/>
  <c r="C3952" i="17"/>
  <c r="D3952" i="17"/>
  <c r="E3952" i="17"/>
  <c r="F3952" i="17"/>
  <c r="B3953" i="17"/>
  <c r="C3953" i="17"/>
  <c r="D3953" i="17"/>
  <c r="E3953" i="17"/>
  <c r="F3953" i="17"/>
  <c r="B3954" i="17"/>
  <c r="C3954" i="17"/>
  <c r="D3954" i="17"/>
  <c r="E3954" i="17"/>
  <c r="F3954" i="17"/>
  <c r="B3955" i="17"/>
  <c r="C3955" i="17"/>
  <c r="D3955" i="17"/>
  <c r="E3955" i="17"/>
  <c r="F3955" i="17"/>
  <c r="B3956" i="17"/>
  <c r="C3956" i="17"/>
  <c r="D3956" i="17"/>
  <c r="E3956" i="17"/>
  <c r="F3956" i="17"/>
  <c r="B3957" i="17"/>
  <c r="C3957" i="17"/>
  <c r="D3957" i="17"/>
  <c r="E3957" i="17"/>
  <c r="F3957" i="17"/>
  <c r="B3958" i="17"/>
  <c r="C3958" i="17"/>
  <c r="D3958" i="17"/>
  <c r="E3958" i="17"/>
  <c r="F3958" i="17"/>
  <c r="B3959" i="17"/>
  <c r="C3959" i="17"/>
  <c r="D3959" i="17"/>
  <c r="E3959" i="17"/>
  <c r="F3959" i="17"/>
  <c r="B3960" i="17"/>
  <c r="C3960" i="17"/>
  <c r="D3960" i="17"/>
  <c r="E3960" i="17"/>
  <c r="F3960" i="17"/>
  <c r="B3961" i="17"/>
  <c r="C3961" i="17"/>
  <c r="D3961" i="17"/>
  <c r="E3961" i="17"/>
  <c r="F3961" i="17"/>
  <c r="B3962" i="17"/>
  <c r="C3962" i="17"/>
  <c r="D3962" i="17"/>
  <c r="E3962" i="17"/>
  <c r="F3962" i="17"/>
  <c r="B3963" i="17"/>
  <c r="C3963" i="17"/>
  <c r="D3963" i="17"/>
  <c r="E3963" i="17"/>
  <c r="F3963" i="17"/>
  <c r="B3964" i="17"/>
  <c r="C3964" i="17"/>
  <c r="D3964" i="17"/>
  <c r="E3964" i="17"/>
  <c r="F3964" i="17"/>
  <c r="B3965" i="17"/>
  <c r="C3965" i="17"/>
  <c r="D3965" i="17"/>
  <c r="E3965" i="17"/>
  <c r="F3965" i="17"/>
  <c r="B3966" i="17"/>
  <c r="C3966" i="17"/>
  <c r="D3966" i="17"/>
  <c r="E3966" i="17"/>
  <c r="F3966" i="17"/>
  <c r="B3967" i="17"/>
  <c r="C3967" i="17"/>
  <c r="D3967" i="17"/>
  <c r="E3967" i="17"/>
  <c r="F3967" i="17"/>
  <c r="B3968" i="17"/>
  <c r="C3968" i="17"/>
  <c r="D3968" i="17"/>
  <c r="E3968" i="17"/>
  <c r="F3968" i="17"/>
  <c r="B3969" i="17"/>
  <c r="C3969" i="17"/>
  <c r="D3969" i="17"/>
  <c r="E3969" i="17"/>
  <c r="F3969" i="17"/>
  <c r="B3970" i="17"/>
  <c r="C3970" i="17"/>
  <c r="D3970" i="17"/>
  <c r="E3970" i="17"/>
  <c r="F3970" i="17"/>
  <c r="B3971" i="17"/>
  <c r="C3971" i="17"/>
  <c r="D3971" i="17"/>
  <c r="E3971" i="17"/>
  <c r="F3971" i="17"/>
  <c r="B3972" i="17"/>
  <c r="C3972" i="17"/>
  <c r="D3972" i="17"/>
  <c r="E3972" i="17"/>
  <c r="F3972" i="17"/>
  <c r="B3973" i="17"/>
  <c r="C3973" i="17"/>
  <c r="D3973" i="17"/>
  <c r="E3973" i="17"/>
  <c r="F3973" i="17"/>
  <c r="B3974" i="17"/>
  <c r="C3974" i="17"/>
  <c r="D3974" i="17"/>
  <c r="E3974" i="17"/>
  <c r="F3974" i="17"/>
  <c r="B3975" i="17"/>
  <c r="C3975" i="17"/>
  <c r="D3975" i="17"/>
  <c r="E3975" i="17"/>
  <c r="F3975" i="17"/>
  <c r="B3976" i="17"/>
  <c r="C3976" i="17"/>
  <c r="D3976" i="17"/>
  <c r="E3976" i="17"/>
  <c r="F3976" i="17"/>
  <c r="B3977" i="17"/>
  <c r="C3977" i="17"/>
  <c r="D3977" i="17"/>
  <c r="E3977" i="17"/>
  <c r="F3977" i="17"/>
  <c r="B3978" i="17"/>
  <c r="C3978" i="17"/>
  <c r="D3978" i="17"/>
  <c r="E3978" i="17"/>
  <c r="F3978" i="17"/>
  <c r="B3979" i="17"/>
  <c r="C3979" i="17"/>
  <c r="D3979" i="17"/>
  <c r="E3979" i="17"/>
  <c r="F3979" i="17"/>
  <c r="B3980" i="17"/>
  <c r="C3980" i="17"/>
  <c r="D3980" i="17"/>
  <c r="E3980" i="17"/>
  <c r="F3980" i="17"/>
  <c r="B3981" i="17"/>
  <c r="C3981" i="17"/>
  <c r="D3981" i="17"/>
  <c r="E3981" i="17"/>
  <c r="F3981" i="17"/>
  <c r="B3982" i="17"/>
  <c r="C3982" i="17"/>
  <c r="D3982" i="17"/>
  <c r="E3982" i="17"/>
  <c r="F3982" i="17"/>
  <c r="B3983" i="17"/>
  <c r="C3983" i="17"/>
  <c r="D3983" i="17"/>
  <c r="E3983" i="17"/>
  <c r="F3983" i="17"/>
  <c r="B3984" i="17"/>
  <c r="C3984" i="17"/>
  <c r="D3984" i="17"/>
  <c r="E3984" i="17"/>
  <c r="F3984" i="17"/>
  <c r="B3985" i="17"/>
  <c r="C3985" i="17"/>
  <c r="D3985" i="17"/>
  <c r="E3985" i="17"/>
  <c r="F3985" i="17"/>
  <c r="B3986" i="17"/>
  <c r="C3986" i="17"/>
  <c r="D3986" i="17"/>
  <c r="E3986" i="17"/>
  <c r="F3986" i="17"/>
  <c r="B3987" i="17"/>
  <c r="C3987" i="17"/>
  <c r="D3987" i="17"/>
  <c r="E3987" i="17"/>
  <c r="F3987" i="17"/>
  <c r="B3988" i="17"/>
  <c r="C3988" i="17"/>
  <c r="D3988" i="17"/>
  <c r="E3988" i="17"/>
  <c r="F3988" i="17"/>
  <c r="B3989" i="17"/>
  <c r="C3989" i="17"/>
  <c r="D3989" i="17"/>
  <c r="E3989" i="17"/>
  <c r="F3989" i="17"/>
  <c r="B3990" i="17"/>
  <c r="C3990" i="17"/>
  <c r="D3990" i="17"/>
  <c r="E3990" i="17"/>
  <c r="F3990" i="17"/>
  <c r="B3991" i="17"/>
  <c r="C3991" i="17"/>
  <c r="D3991" i="17"/>
  <c r="E3991" i="17"/>
  <c r="F3991" i="17"/>
  <c r="B3992" i="17"/>
  <c r="C3992" i="17"/>
  <c r="D3992" i="17"/>
  <c r="E3992" i="17"/>
  <c r="F3992" i="17"/>
  <c r="B3993" i="17"/>
  <c r="C3993" i="17"/>
  <c r="D3993" i="17"/>
  <c r="E3993" i="17"/>
  <c r="F3993" i="17"/>
  <c r="B3994" i="17"/>
  <c r="C3994" i="17"/>
  <c r="D3994" i="17"/>
  <c r="E3994" i="17"/>
  <c r="F3994" i="17"/>
  <c r="B3995" i="17"/>
  <c r="C3995" i="17"/>
  <c r="D3995" i="17"/>
  <c r="E3995" i="17"/>
  <c r="F3995" i="17"/>
  <c r="B3996" i="17"/>
  <c r="C3996" i="17"/>
  <c r="D3996" i="17"/>
  <c r="E3996" i="17"/>
  <c r="F3996" i="17"/>
  <c r="B3997" i="17"/>
  <c r="C3997" i="17"/>
  <c r="D3997" i="17"/>
  <c r="E3997" i="17"/>
  <c r="F3997" i="17"/>
  <c r="B3998" i="17"/>
  <c r="C3998" i="17"/>
  <c r="D3998" i="17"/>
  <c r="E3998" i="17"/>
  <c r="F3998" i="17"/>
  <c r="B3999" i="17"/>
  <c r="C3999" i="17"/>
  <c r="D3999" i="17"/>
  <c r="E3999" i="17"/>
  <c r="F3999" i="17"/>
  <c r="B4000" i="17"/>
  <c r="C4000" i="17"/>
  <c r="D4000" i="17"/>
  <c r="E4000" i="17"/>
  <c r="F4000" i="17"/>
  <c r="B4001" i="17"/>
  <c r="C4001" i="17"/>
  <c r="D4001" i="17"/>
  <c r="E4001" i="17"/>
  <c r="F4001" i="17"/>
  <c r="B4002" i="17"/>
  <c r="C4002" i="17"/>
  <c r="D4002" i="17"/>
  <c r="E4002" i="17"/>
  <c r="F4002" i="17"/>
  <c r="B4003" i="17"/>
  <c r="C4003" i="17"/>
  <c r="D4003" i="17"/>
  <c r="E4003" i="17"/>
  <c r="F4003" i="17"/>
  <c r="B4004" i="17"/>
  <c r="C4004" i="17"/>
  <c r="D4004" i="17"/>
  <c r="E4004" i="17"/>
  <c r="F4004" i="17"/>
  <c r="B4005" i="17"/>
  <c r="C4005" i="17"/>
  <c r="D4005" i="17"/>
  <c r="E4005" i="17"/>
  <c r="F4005" i="17"/>
  <c r="B4006" i="17"/>
  <c r="C4006" i="17"/>
  <c r="D4006" i="17"/>
  <c r="E4006" i="17"/>
  <c r="F4006" i="17"/>
  <c r="B4007" i="17"/>
  <c r="C4007" i="17"/>
  <c r="D4007" i="17"/>
  <c r="E4007" i="17"/>
  <c r="F4007" i="17"/>
  <c r="B4008" i="17"/>
  <c r="C4008" i="17"/>
  <c r="D4008" i="17"/>
  <c r="E4008" i="17"/>
  <c r="F4008" i="17"/>
  <c r="B4009" i="17"/>
  <c r="C4009" i="17"/>
  <c r="D4009" i="17"/>
  <c r="E4009" i="17"/>
  <c r="F4009" i="17"/>
  <c r="B4010" i="17"/>
  <c r="C4010" i="17"/>
  <c r="D4010" i="17"/>
  <c r="E4010" i="17"/>
  <c r="F4010" i="17"/>
  <c r="B4011" i="17"/>
  <c r="C4011" i="17"/>
  <c r="D4011" i="17"/>
  <c r="E4011" i="17"/>
  <c r="F4011" i="17"/>
  <c r="B4012" i="17"/>
  <c r="C4012" i="17"/>
  <c r="D4012" i="17"/>
  <c r="E4012" i="17"/>
  <c r="F4012" i="17"/>
  <c r="B4013" i="17"/>
  <c r="C4013" i="17"/>
  <c r="D4013" i="17"/>
  <c r="E4013" i="17"/>
  <c r="F4013" i="17"/>
  <c r="B4014" i="17"/>
  <c r="C4014" i="17"/>
  <c r="D4014" i="17"/>
  <c r="E4014" i="17"/>
  <c r="F4014" i="17"/>
  <c r="B4015" i="17"/>
  <c r="C4015" i="17"/>
  <c r="D4015" i="17"/>
  <c r="E4015" i="17"/>
  <c r="F4015" i="17"/>
  <c r="B4016" i="17"/>
  <c r="C4016" i="17"/>
  <c r="D4016" i="17"/>
  <c r="E4016" i="17"/>
  <c r="F4016" i="17"/>
  <c r="B4017" i="17"/>
  <c r="C4017" i="17"/>
  <c r="D4017" i="17"/>
  <c r="E4017" i="17"/>
  <c r="F4017" i="17"/>
  <c r="B4018" i="17"/>
  <c r="C4018" i="17"/>
  <c r="D4018" i="17"/>
  <c r="E4018" i="17"/>
  <c r="F4018" i="17"/>
  <c r="B4019" i="17"/>
  <c r="C4019" i="17"/>
  <c r="D4019" i="17"/>
  <c r="E4019" i="17"/>
  <c r="F4019" i="17"/>
  <c r="B4020" i="17"/>
  <c r="C4020" i="17"/>
  <c r="D4020" i="17"/>
  <c r="E4020" i="17"/>
  <c r="F4020" i="17"/>
  <c r="B4021" i="17"/>
  <c r="C4021" i="17"/>
  <c r="D4021" i="17"/>
  <c r="E4021" i="17"/>
  <c r="F4021" i="17"/>
  <c r="B4022" i="17"/>
  <c r="C4022" i="17"/>
  <c r="D4022" i="17"/>
  <c r="E4022" i="17"/>
  <c r="F4022" i="17"/>
  <c r="B4023" i="17"/>
  <c r="C4023" i="17"/>
  <c r="D4023" i="17"/>
  <c r="E4023" i="17"/>
  <c r="F4023" i="17"/>
  <c r="B4024" i="17"/>
  <c r="C4024" i="17"/>
  <c r="D4024" i="17"/>
  <c r="E4024" i="17"/>
  <c r="F4024" i="17"/>
  <c r="B4025" i="17"/>
  <c r="C4025" i="17"/>
  <c r="D4025" i="17"/>
  <c r="E4025" i="17"/>
  <c r="F4025" i="17"/>
  <c r="B4026" i="17"/>
  <c r="C4026" i="17"/>
  <c r="D4026" i="17"/>
  <c r="E4026" i="17"/>
  <c r="F4026" i="17"/>
  <c r="B4027" i="17"/>
  <c r="C4027" i="17"/>
  <c r="D4027" i="17"/>
  <c r="E4027" i="17"/>
  <c r="F4027" i="17"/>
  <c r="B4028" i="17"/>
  <c r="C4028" i="17"/>
  <c r="D4028" i="17"/>
  <c r="E4028" i="17"/>
  <c r="F4028" i="17"/>
  <c r="B4029" i="17"/>
  <c r="C4029" i="17"/>
  <c r="D4029" i="17"/>
  <c r="E4029" i="17"/>
  <c r="F4029" i="17"/>
  <c r="B4030" i="17"/>
  <c r="C4030" i="17"/>
  <c r="D4030" i="17"/>
  <c r="E4030" i="17"/>
  <c r="F4030" i="17"/>
  <c r="B4031" i="17"/>
  <c r="C4031" i="17"/>
  <c r="D4031" i="17"/>
  <c r="E4031" i="17"/>
  <c r="F4031" i="17"/>
  <c r="B4032" i="17"/>
  <c r="C4032" i="17"/>
  <c r="D4032" i="17"/>
  <c r="E4032" i="17"/>
  <c r="F4032" i="17"/>
  <c r="B4033" i="17"/>
  <c r="C4033" i="17"/>
  <c r="D4033" i="17"/>
  <c r="E4033" i="17"/>
  <c r="F4033" i="17"/>
  <c r="B4034" i="17"/>
  <c r="C4034" i="17"/>
  <c r="D4034" i="17"/>
  <c r="E4034" i="17"/>
  <c r="F4034" i="17"/>
  <c r="B4035" i="17"/>
  <c r="C4035" i="17"/>
  <c r="D4035" i="17"/>
  <c r="E4035" i="17"/>
  <c r="F4035" i="17"/>
  <c r="B4036" i="17"/>
  <c r="C4036" i="17"/>
  <c r="D4036" i="17"/>
  <c r="E4036" i="17"/>
  <c r="F4036" i="17"/>
  <c r="B4037" i="17"/>
  <c r="C4037" i="17"/>
  <c r="D4037" i="17"/>
  <c r="E4037" i="17"/>
  <c r="F4037" i="17"/>
  <c r="B4038" i="17"/>
  <c r="C4038" i="17"/>
  <c r="D4038" i="17"/>
  <c r="E4038" i="17"/>
  <c r="F4038" i="17"/>
  <c r="B4039" i="17"/>
  <c r="C4039" i="17"/>
  <c r="D4039" i="17"/>
  <c r="E4039" i="17"/>
  <c r="F4039" i="17"/>
  <c r="B4040" i="17"/>
  <c r="C4040" i="17"/>
  <c r="D4040" i="17"/>
  <c r="E4040" i="17"/>
  <c r="F4040" i="17"/>
  <c r="B4041" i="17"/>
  <c r="C4041" i="17"/>
  <c r="D4041" i="17"/>
  <c r="E4041" i="17"/>
  <c r="F4041" i="17"/>
  <c r="B4042" i="17"/>
  <c r="C4042" i="17"/>
  <c r="D4042" i="17"/>
  <c r="E4042" i="17"/>
  <c r="F4042" i="17"/>
  <c r="B4043" i="17"/>
  <c r="C4043" i="17"/>
  <c r="D4043" i="17"/>
  <c r="E4043" i="17"/>
  <c r="F4043" i="17"/>
  <c r="B4044" i="17"/>
  <c r="C4044" i="17"/>
  <c r="D4044" i="17"/>
  <c r="E4044" i="17"/>
  <c r="F4044" i="17"/>
  <c r="B4045" i="17"/>
  <c r="C4045" i="17"/>
  <c r="D4045" i="17"/>
  <c r="E4045" i="17"/>
  <c r="F4045" i="17"/>
  <c r="B4046" i="17"/>
  <c r="C4046" i="17"/>
  <c r="D4046" i="17"/>
  <c r="E4046" i="17"/>
  <c r="F4046" i="17"/>
  <c r="B4047" i="17"/>
  <c r="C4047" i="17"/>
  <c r="D4047" i="17"/>
  <c r="E4047" i="17"/>
  <c r="F4047" i="17"/>
  <c r="B4048" i="17"/>
  <c r="C4048" i="17"/>
  <c r="D4048" i="17"/>
  <c r="E4048" i="17"/>
  <c r="F4048" i="17"/>
  <c r="B4049" i="17"/>
  <c r="C4049" i="17"/>
  <c r="D4049" i="17"/>
  <c r="E4049" i="17"/>
  <c r="F4049" i="17"/>
  <c r="B4050" i="17"/>
  <c r="C4050" i="17"/>
  <c r="D4050" i="17"/>
  <c r="E4050" i="17"/>
  <c r="F4050" i="17"/>
  <c r="B4051" i="17"/>
  <c r="C4051" i="17"/>
  <c r="D4051" i="17"/>
  <c r="E4051" i="17"/>
  <c r="F4051" i="17"/>
  <c r="B4052" i="17"/>
  <c r="C4052" i="17"/>
  <c r="D4052" i="17"/>
  <c r="E4052" i="17"/>
  <c r="F4052" i="17"/>
  <c r="B4053" i="17"/>
  <c r="C4053" i="17"/>
  <c r="D4053" i="17"/>
  <c r="E4053" i="17"/>
  <c r="F4053" i="17"/>
  <c r="B4054" i="17"/>
  <c r="C4054" i="17"/>
  <c r="D4054" i="17"/>
  <c r="E4054" i="17"/>
  <c r="F4054" i="17"/>
  <c r="B4055" i="17"/>
  <c r="C4055" i="17"/>
  <c r="D4055" i="17"/>
  <c r="E4055" i="17"/>
  <c r="F4055" i="17"/>
  <c r="B4056" i="17"/>
  <c r="C4056" i="17"/>
  <c r="D4056" i="17"/>
  <c r="E4056" i="17"/>
  <c r="F4056" i="17"/>
  <c r="B4057" i="17"/>
  <c r="C4057" i="17"/>
  <c r="D4057" i="17"/>
  <c r="E4057" i="17"/>
  <c r="F4057" i="17"/>
  <c r="B4058" i="17"/>
  <c r="C4058" i="17"/>
  <c r="D4058" i="17"/>
  <c r="E4058" i="17"/>
  <c r="F4058" i="17"/>
  <c r="B4059" i="17"/>
  <c r="C4059" i="17"/>
  <c r="D4059" i="17"/>
  <c r="E4059" i="17"/>
  <c r="F4059" i="17"/>
  <c r="B4060" i="17"/>
  <c r="C4060" i="17"/>
  <c r="D4060" i="17"/>
  <c r="E4060" i="17"/>
  <c r="F4060" i="17"/>
  <c r="B4061" i="17"/>
  <c r="C4061" i="17"/>
  <c r="D4061" i="17"/>
  <c r="E4061" i="17"/>
  <c r="F4061" i="17"/>
  <c r="B4062" i="17"/>
  <c r="C4062" i="17"/>
  <c r="D4062" i="17"/>
  <c r="E4062" i="17"/>
  <c r="F4062" i="17"/>
  <c r="B4063" i="17"/>
  <c r="C4063" i="17"/>
  <c r="D4063" i="17"/>
  <c r="E4063" i="17"/>
  <c r="F4063" i="17"/>
  <c r="B4064" i="17"/>
  <c r="C4064" i="17"/>
  <c r="D4064" i="17"/>
  <c r="E4064" i="17"/>
  <c r="F4064" i="17"/>
  <c r="B4065" i="17"/>
  <c r="C4065" i="17"/>
  <c r="D4065" i="17"/>
  <c r="E4065" i="17"/>
  <c r="F4065" i="17"/>
  <c r="B4066" i="17"/>
  <c r="C4066" i="17"/>
  <c r="D4066" i="17"/>
  <c r="E4066" i="17"/>
  <c r="F4066" i="17"/>
  <c r="B4067" i="17"/>
  <c r="C4067" i="17"/>
  <c r="D4067" i="17"/>
  <c r="E4067" i="17"/>
  <c r="F4067" i="17"/>
  <c r="B4068" i="17"/>
  <c r="C4068" i="17"/>
  <c r="D4068" i="17"/>
  <c r="E4068" i="17"/>
  <c r="F4068" i="17"/>
  <c r="B4069" i="17"/>
  <c r="C4069" i="17"/>
  <c r="D4069" i="17"/>
  <c r="E4069" i="17"/>
  <c r="F4069" i="17"/>
  <c r="B4070" i="17"/>
  <c r="C4070" i="17"/>
  <c r="D4070" i="17"/>
  <c r="E4070" i="17"/>
  <c r="F4070" i="17"/>
  <c r="B4071" i="17"/>
  <c r="C4071" i="17"/>
  <c r="D4071" i="17"/>
  <c r="E4071" i="17"/>
  <c r="F4071" i="17"/>
  <c r="B4072" i="17"/>
  <c r="C4072" i="17"/>
  <c r="D4072" i="17"/>
  <c r="E4072" i="17"/>
  <c r="F4072" i="17"/>
  <c r="B4073" i="17"/>
  <c r="C4073" i="17"/>
  <c r="D4073" i="17"/>
  <c r="E4073" i="17"/>
  <c r="F4073" i="17"/>
  <c r="B4074" i="17"/>
  <c r="C4074" i="17"/>
  <c r="D4074" i="17"/>
  <c r="E4074" i="17"/>
  <c r="F4074" i="17"/>
  <c r="B4075" i="17"/>
  <c r="C4075" i="17"/>
  <c r="D4075" i="17"/>
  <c r="E4075" i="17"/>
  <c r="F4075" i="17"/>
  <c r="B4076" i="17"/>
  <c r="C4076" i="17"/>
  <c r="D4076" i="17"/>
  <c r="E4076" i="17"/>
  <c r="F4076" i="17"/>
  <c r="B4077" i="17"/>
  <c r="C4077" i="17"/>
  <c r="D4077" i="17"/>
  <c r="E4077" i="17"/>
  <c r="F4077" i="17"/>
  <c r="B4078" i="17"/>
  <c r="C4078" i="17"/>
  <c r="D4078" i="17"/>
  <c r="E4078" i="17"/>
  <c r="F4078" i="17"/>
  <c r="B4079" i="17"/>
  <c r="C4079" i="17"/>
  <c r="D4079" i="17"/>
  <c r="E4079" i="17"/>
  <c r="F4079" i="17"/>
  <c r="B4080" i="17"/>
  <c r="C4080" i="17"/>
  <c r="D4080" i="17"/>
  <c r="E4080" i="17"/>
  <c r="F4080" i="17"/>
  <c r="B4081" i="17"/>
  <c r="C4081" i="17"/>
  <c r="D4081" i="17"/>
  <c r="E4081" i="17"/>
  <c r="F4081" i="17"/>
  <c r="B4082" i="17"/>
  <c r="C4082" i="17"/>
  <c r="D4082" i="17"/>
  <c r="E4082" i="17"/>
  <c r="F4082" i="17"/>
  <c r="B4083" i="17"/>
  <c r="C4083" i="17"/>
  <c r="D4083" i="17"/>
  <c r="E4083" i="17"/>
  <c r="F4083" i="17"/>
  <c r="B4084" i="17"/>
  <c r="C4084" i="17"/>
  <c r="D4084" i="17"/>
  <c r="E4084" i="17"/>
  <c r="F4084" i="17"/>
  <c r="B4085" i="17"/>
  <c r="C4085" i="17"/>
  <c r="D4085" i="17"/>
  <c r="E4085" i="17"/>
  <c r="F4085" i="17"/>
  <c r="B4086" i="17"/>
  <c r="C4086" i="17"/>
  <c r="D4086" i="17"/>
  <c r="E4086" i="17"/>
  <c r="F4086" i="17"/>
  <c r="B4087" i="17"/>
  <c r="C4087" i="17"/>
  <c r="D4087" i="17"/>
  <c r="E4087" i="17"/>
  <c r="F4087" i="17"/>
  <c r="B4088" i="17"/>
  <c r="C4088" i="17"/>
  <c r="D4088" i="17"/>
  <c r="E4088" i="17"/>
  <c r="F4088" i="17"/>
  <c r="B4089" i="17"/>
  <c r="C4089" i="17"/>
  <c r="D4089" i="17"/>
  <c r="E4089" i="17"/>
  <c r="F4089" i="17"/>
  <c r="B4090" i="17"/>
  <c r="C4090" i="17"/>
  <c r="D4090" i="17"/>
  <c r="E4090" i="17"/>
  <c r="F4090" i="17"/>
  <c r="B4091" i="17"/>
  <c r="C4091" i="17"/>
  <c r="D4091" i="17"/>
  <c r="E4091" i="17"/>
  <c r="F4091" i="17"/>
  <c r="B4092" i="17"/>
  <c r="C4092" i="17"/>
  <c r="D4092" i="17"/>
  <c r="E4092" i="17"/>
  <c r="F4092" i="17"/>
  <c r="B4093" i="17"/>
  <c r="C4093" i="17"/>
  <c r="D4093" i="17"/>
  <c r="E4093" i="17"/>
  <c r="F4093" i="17"/>
  <c r="B4094" i="17"/>
  <c r="C4094" i="17"/>
  <c r="D4094" i="17"/>
  <c r="E4094" i="17"/>
  <c r="F4094" i="17"/>
  <c r="B4095" i="17"/>
  <c r="C4095" i="17"/>
  <c r="D4095" i="17"/>
  <c r="E4095" i="17"/>
  <c r="F4095" i="17"/>
  <c r="B4096" i="17"/>
  <c r="C4096" i="17"/>
  <c r="D4096" i="17"/>
  <c r="E4096" i="17"/>
  <c r="F4096" i="17"/>
  <c r="B4097" i="17"/>
  <c r="C4097" i="17"/>
  <c r="D4097" i="17"/>
  <c r="E4097" i="17"/>
  <c r="F4097" i="17"/>
  <c r="B4098" i="17"/>
  <c r="C4098" i="17"/>
  <c r="D4098" i="17"/>
  <c r="E4098" i="17"/>
  <c r="F4098" i="17"/>
  <c r="B4099" i="17"/>
  <c r="C4099" i="17"/>
  <c r="D4099" i="17"/>
  <c r="E4099" i="17"/>
  <c r="F4099" i="17"/>
  <c r="B4100" i="17"/>
  <c r="C4100" i="17"/>
  <c r="D4100" i="17"/>
  <c r="E4100" i="17"/>
  <c r="F4100" i="17"/>
  <c r="B4101" i="17"/>
  <c r="C4101" i="17"/>
  <c r="D4101" i="17"/>
  <c r="E4101" i="17"/>
  <c r="F4101" i="17"/>
  <c r="B4102" i="17"/>
  <c r="C4102" i="17"/>
  <c r="D4102" i="17"/>
  <c r="E4102" i="17"/>
  <c r="F4102" i="17"/>
  <c r="B4103" i="17"/>
  <c r="C4103" i="17"/>
  <c r="D4103" i="17"/>
  <c r="E4103" i="17"/>
  <c r="F4103" i="17"/>
  <c r="B4104" i="17"/>
  <c r="C4104" i="17"/>
  <c r="D4104" i="17"/>
  <c r="E4104" i="17"/>
  <c r="F4104" i="17"/>
  <c r="B4105" i="17"/>
  <c r="C4105" i="17"/>
  <c r="D4105" i="17"/>
  <c r="E4105" i="17"/>
  <c r="F4105" i="17"/>
  <c r="B4106" i="17"/>
  <c r="C4106" i="17"/>
  <c r="D4106" i="17"/>
  <c r="E4106" i="17"/>
  <c r="F4106" i="17"/>
  <c r="B4107" i="17"/>
  <c r="C4107" i="17"/>
  <c r="D4107" i="17"/>
  <c r="E4107" i="17"/>
  <c r="F4107" i="17"/>
  <c r="B4108" i="17"/>
  <c r="C4108" i="17"/>
  <c r="D4108" i="17"/>
  <c r="E4108" i="17"/>
  <c r="F4108" i="17"/>
  <c r="B4109" i="17"/>
  <c r="C4109" i="17"/>
  <c r="D4109" i="17"/>
  <c r="E4109" i="17"/>
  <c r="F4109" i="17"/>
  <c r="B4110" i="17"/>
  <c r="C4110" i="17"/>
  <c r="D4110" i="17"/>
  <c r="E4110" i="17"/>
  <c r="F4110" i="17"/>
  <c r="B4111" i="17"/>
  <c r="C4111" i="17"/>
  <c r="D4111" i="17"/>
  <c r="E4111" i="17"/>
  <c r="F4111" i="17"/>
  <c r="B4112" i="17"/>
  <c r="C4112" i="17"/>
  <c r="D4112" i="17"/>
  <c r="E4112" i="17"/>
  <c r="F4112" i="17"/>
  <c r="B4113" i="17"/>
  <c r="C4113" i="17"/>
  <c r="D4113" i="17"/>
  <c r="E4113" i="17"/>
  <c r="F4113" i="17"/>
  <c r="B4114" i="17"/>
  <c r="C4114" i="17"/>
  <c r="D4114" i="17"/>
  <c r="E4114" i="17"/>
  <c r="F4114" i="17"/>
  <c r="B4115" i="17"/>
  <c r="C4115" i="17"/>
  <c r="D4115" i="17"/>
  <c r="E4115" i="17"/>
  <c r="F4115" i="17"/>
  <c r="B4116" i="17"/>
  <c r="C4116" i="17"/>
  <c r="D4116" i="17"/>
  <c r="E4116" i="17"/>
  <c r="F4116" i="17"/>
  <c r="B4117" i="17"/>
  <c r="C4117" i="17"/>
  <c r="D4117" i="17"/>
  <c r="E4117" i="17"/>
  <c r="F4117" i="17"/>
  <c r="B4118" i="17"/>
  <c r="C4118" i="17"/>
  <c r="D4118" i="17"/>
  <c r="E4118" i="17"/>
  <c r="F4118" i="17"/>
  <c r="B4119" i="17"/>
  <c r="C4119" i="17"/>
  <c r="D4119" i="17"/>
  <c r="E4119" i="17"/>
  <c r="F4119" i="17"/>
  <c r="B4120" i="17"/>
  <c r="C4120" i="17"/>
  <c r="D4120" i="17"/>
  <c r="E4120" i="17"/>
  <c r="F4120" i="17"/>
  <c r="B4121" i="17"/>
  <c r="C4121" i="17"/>
  <c r="D4121" i="17"/>
  <c r="E4121" i="17"/>
  <c r="F4121" i="17"/>
  <c r="B4122" i="17"/>
  <c r="C4122" i="17"/>
  <c r="D4122" i="17"/>
  <c r="E4122" i="17"/>
  <c r="F4122" i="17"/>
  <c r="B4123" i="17"/>
  <c r="C4123" i="17"/>
  <c r="D4123" i="17"/>
  <c r="E4123" i="17"/>
  <c r="F4123" i="17"/>
  <c r="B4124" i="17"/>
  <c r="C4124" i="17"/>
  <c r="D4124" i="17"/>
  <c r="E4124" i="17"/>
  <c r="F4124" i="17"/>
  <c r="B4125" i="17"/>
  <c r="C4125" i="17"/>
  <c r="D4125" i="17"/>
  <c r="E4125" i="17"/>
  <c r="F4125" i="17"/>
  <c r="B4126" i="17"/>
  <c r="C4126" i="17"/>
  <c r="D4126" i="17"/>
  <c r="E4126" i="17"/>
  <c r="F4126" i="17"/>
  <c r="B4127" i="17"/>
  <c r="C4127" i="17"/>
  <c r="D4127" i="17"/>
  <c r="E4127" i="17"/>
  <c r="F4127" i="17"/>
  <c r="B4128" i="17"/>
  <c r="C4128" i="17"/>
  <c r="D4128" i="17"/>
  <c r="E4128" i="17"/>
  <c r="F4128" i="17"/>
  <c r="B4129" i="17"/>
  <c r="C4129" i="17"/>
  <c r="D4129" i="17"/>
  <c r="E4129" i="17"/>
  <c r="F4129" i="17"/>
  <c r="B4130" i="17"/>
  <c r="C4130" i="17"/>
  <c r="D4130" i="17"/>
  <c r="E4130" i="17"/>
  <c r="F4130" i="17"/>
  <c r="B4131" i="17"/>
  <c r="C4131" i="17"/>
  <c r="D4131" i="17"/>
  <c r="E4131" i="17"/>
  <c r="F4131" i="17"/>
  <c r="B4132" i="17"/>
  <c r="C4132" i="17"/>
  <c r="D4132" i="17"/>
  <c r="E4132" i="17"/>
  <c r="F4132" i="17"/>
  <c r="B4133" i="17"/>
  <c r="C4133" i="17"/>
  <c r="D4133" i="17"/>
  <c r="E4133" i="17"/>
  <c r="F4133" i="17"/>
  <c r="B4134" i="17"/>
  <c r="C4134" i="17"/>
  <c r="D4134" i="17"/>
  <c r="E4134" i="17"/>
  <c r="F4134" i="17"/>
  <c r="B4135" i="17"/>
  <c r="C4135" i="17"/>
  <c r="D4135" i="17"/>
  <c r="E4135" i="17"/>
  <c r="F4135" i="17"/>
  <c r="B4136" i="17"/>
  <c r="C4136" i="17"/>
  <c r="D4136" i="17"/>
  <c r="E4136" i="17"/>
  <c r="F4136" i="17"/>
  <c r="B4137" i="17"/>
  <c r="C4137" i="17"/>
  <c r="D4137" i="17"/>
  <c r="E4137" i="17"/>
  <c r="F4137" i="17"/>
  <c r="B4138" i="17"/>
  <c r="C4138" i="17"/>
  <c r="D4138" i="17"/>
  <c r="E4138" i="17"/>
  <c r="F4138" i="17"/>
  <c r="B4139" i="17"/>
  <c r="C4139" i="17"/>
  <c r="D4139" i="17"/>
  <c r="E4139" i="17"/>
  <c r="F4139" i="17"/>
  <c r="B4140" i="17"/>
  <c r="C4140" i="17"/>
  <c r="D4140" i="17"/>
  <c r="E4140" i="17"/>
  <c r="F4140" i="17"/>
  <c r="B4141" i="17"/>
  <c r="C4141" i="17"/>
  <c r="D4141" i="17"/>
  <c r="E4141" i="17"/>
  <c r="F4141" i="17"/>
  <c r="B4142" i="17"/>
  <c r="C4142" i="17"/>
  <c r="D4142" i="17"/>
  <c r="E4142" i="17"/>
  <c r="F4142" i="17"/>
  <c r="B4143" i="17"/>
  <c r="C4143" i="17"/>
  <c r="D4143" i="17"/>
  <c r="E4143" i="17"/>
  <c r="F4143" i="17"/>
  <c r="B4144" i="17"/>
  <c r="C4144" i="17"/>
  <c r="D4144" i="17"/>
  <c r="E4144" i="17"/>
  <c r="F4144" i="17"/>
  <c r="B4145" i="17"/>
  <c r="C4145" i="17"/>
  <c r="D4145" i="17"/>
  <c r="E4145" i="17"/>
  <c r="F4145" i="17"/>
  <c r="B4146" i="17"/>
  <c r="C4146" i="17"/>
  <c r="D4146" i="17"/>
  <c r="E4146" i="17"/>
  <c r="F4146" i="17"/>
  <c r="B4147" i="17"/>
  <c r="C4147" i="17"/>
  <c r="D4147" i="17"/>
  <c r="E4147" i="17"/>
  <c r="F4147" i="17"/>
  <c r="B4148" i="17"/>
  <c r="C4148" i="17"/>
  <c r="D4148" i="17"/>
  <c r="E4148" i="17"/>
  <c r="F4148" i="17"/>
  <c r="B4149" i="17"/>
  <c r="C4149" i="17"/>
  <c r="D4149" i="17"/>
  <c r="E4149" i="17"/>
  <c r="F4149" i="17"/>
  <c r="B4150" i="17"/>
  <c r="C4150" i="17"/>
  <c r="D4150" i="17"/>
  <c r="E4150" i="17"/>
  <c r="F4150" i="17"/>
  <c r="B4151" i="17"/>
  <c r="C4151" i="17"/>
  <c r="D4151" i="17"/>
  <c r="E4151" i="17"/>
  <c r="F4151" i="17"/>
  <c r="B4152" i="17"/>
  <c r="C4152" i="17"/>
  <c r="D4152" i="17"/>
  <c r="E4152" i="17"/>
  <c r="F4152" i="17"/>
  <c r="B4153" i="17"/>
  <c r="C4153" i="17"/>
  <c r="D4153" i="17"/>
  <c r="E4153" i="17"/>
  <c r="F4153" i="17"/>
  <c r="B4154" i="17"/>
  <c r="C4154" i="17"/>
  <c r="D4154" i="17"/>
  <c r="E4154" i="17"/>
  <c r="F4154" i="17"/>
  <c r="B4155" i="17"/>
  <c r="C4155" i="17"/>
  <c r="D4155" i="17"/>
  <c r="E4155" i="17"/>
  <c r="F4155" i="17"/>
  <c r="B4156" i="17"/>
  <c r="C4156" i="17"/>
  <c r="D4156" i="17"/>
  <c r="E4156" i="17"/>
  <c r="F4156" i="17"/>
  <c r="B4157" i="17"/>
  <c r="C4157" i="17"/>
  <c r="D4157" i="17"/>
  <c r="E4157" i="17"/>
  <c r="F4157" i="17"/>
  <c r="B4158" i="17"/>
  <c r="C4158" i="17"/>
  <c r="D4158" i="17"/>
  <c r="E4158" i="17"/>
  <c r="F4158" i="17"/>
  <c r="B4159" i="17"/>
  <c r="C4159" i="17"/>
  <c r="D4159" i="17"/>
  <c r="E4159" i="17"/>
  <c r="F4159" i="17"/>
  <c r="B4160" i="17"/>
  <c r="C4160" i="17"/>
  <c r="D4160" i="17"/>
  <c r="E4160" i="17"/>
  <c r="F4160" i="17"/>
  <c r="B4161" i="17"/>
  <c r="C4161" i="17"/>
  <c r="D4161" i="17"/>
  <c r="E4161" i="17"/>
  <c r="F4161" i="17"/>
  <c r="B4162" i="17"/>
  <c r="C4162" i="17"/>
  <c r="D4162" i="17"/>
  <c r="E4162" i="17"/>
  <c r="F4162" i="17"/>
  <c r="B4163" i="17"/>
  <c r="C4163" i="17"/>
  <c r="D4163" i="17"/>
  <c r="E4163" i="17"/>
  <c r="F4163" i="17"/>
  <c r="B4164" i="17"/>
  <c r="C4164" i="17"/>
  <c r="D4164" i="17"/>
  <c r="E4164" i="17"/>
  <c r="F4164" i="17"/>
  <c r="B4165" i="17"/>
  <c r="C4165" i="17"/>
  <c r="D4165" i="17"/>
  <c r="E4165" i="17"/>
  <c r="F4165" i="17"/>
  <c r="B4166" i="17"/>
  <c r="C4166" i="17"/>
  <c r="D4166" i="17"/>
  <c r="E4166" i="17"/>
  <c r="F4166" i="17"/>
  <c r="B4167" i="17"/>
  <c r="C4167" i="17"/>
  <c r="D4167" i="17"/>
  <c r="E4167" i="17"/>
  <c r="F4167" i="17"/>
  <c r="B4168" i="17"/>
  <c r="C4168" i="17"/>
  <c r="D4168" i="17"/>
  <c r="E4168" i="17"/>
  <c r="F4168" i="17"/>
  <c r="B4169" i="17"/>
  <c r="C4169" i="17"/>
  <c r="D4169" i="17"/>
  <c r="E4169" i="17"/>
  <c r="F4169" i="17"/>
  <c r="B4170" i="17"/>
  <c r="C4170" i="17"/>
  <c r="D4170" i="17"/>
  <c r="E4170" i="17"/>
  <c r="F4170" i="17"/>
  <c r="B4171" i="17"/>
  <c r="C4171" i="17"/>
  <c r="D4171" i="17"/>
  <c r="E4171" i="17"/>
  <c r="F4171" i="17"/>
  <c r="B4172" i="17"/>
  <c r="C4172" i="17"/>
  <c r="D4172" i="17"/>
  <c r="E4172" i="17"/>
  <c r="F4172" i="17"/>
  <c r="B4173" i="17"/>
  <c r="C4173" i="17"/>
  <c r="D4173" i="17"/>
  <c r="E4173" i="17"/>
  <c r="F4173" i="17"/>
  <c r="B4174" i="17"/>
  <c r="C4174" i="17"/>
  <c r="D4174" i="17"/>
  <c r="E4174" i="17"/>
  <c r="F4174" i="17"/>
  <c r="B4175" i="17"/>
  <c r="C4175" i="17"/>
  <c r="D4175" i="17"/>
  <c r="E4175" i="17"/>
  <c r="F4175" i="17"/>
  <c r="B4176" i="17"/>
  <c r="C4176" i="17"/>
  <c r="D4176" i="17"/>
  <c r="E4176" i="17"/>
  <c r="F4176" i="17"/>
  <c r="B4177" i="17"/>
  <c r="C4177" i="17"/>
  <c r="D4177" i="17"/>
  <c r="E4177" i="17"/>
  <c r="F4177" i="17"/>
  <c r="B4178" i="17"/>
  <c r="C4178" i="17"/>
  <c r="D4178" i="17"/>
  <c r="E4178" i="17"/>
  <c r="F4178" i="17"/>
  <c r="B4179" i="17"/>
  <c r="C4179" i="17"/>
  <c r="D4179" i="17"/>
  <c r="E4179" i="17"/>
  <c r="F4179" i="17"/>
  <c r="B4180" i="17"/>
  <c r="C4180" i="17"/>
  <c r="D4180" i="17"/>
  <c r="E4180" i="17"/>
  <c r="F4180" i="17"/>
  <c r="B4181" i="17"/>
  <c r="C4181" i="17"/>
  <c r="D4181" i="17"/>
  <c r="E4181" i="17"/>
  <c r="F4181" i="17"/>
  <c r="B4182" i="17"/>
  <c r="C4182" i="17"/>
  <c r="D4182" i="17"/>
  <c r="E4182" i="17"/>
  <c r="F4182" i="17"/>
  <c r="B4183" i="17"/>
  <c r="C4183" i="17"/>
  <c r="D4183" i="17"/>
  <c r="E4183" i="17"/>
  <c r="F4183" i="17"/>
  <c r="B4184" i="17"/>
  <c r="C4184" i="17"/>
  <c r="D4184" i="17"/>
  <c r="E4184" i="17"/>
  <c r="F4184" i="17"/>
  <c r="B4185" i="17"/>
  <c r="C4185" i="17"/>
  <c r="D4185" i="17"/>
  <c r="E4185" i="17"/>
  <c r="F4185" i="17"/>
  <c r="B4186" i="17"/>
  <c r="C4186" i="17"/>
  <c r="D4186" i="17"/>
  <c r="E4186" i="17"/>
  <c r="F4186" i="17"/>
  <c r="B4187" i="17"/>
  <c r="C4187" i="17"/>
  <c r="D4187" i="17"/>
  <c r="E4187" i="17"/>
  <c r="F4187" i="17"/>
  <c r="B4188" i="17"/>
  <c r="C4188" i="17"/>
  <c r="D4188" i="17"/>
  <c r="E4188" i="17"/>
  <c r="F4188" i="17"/>
  <c r="B4189" i="17"/>
  <c r="C4189" i="17"/>
  <c r="D4189" i="17"/>
  <c r="E4189" i="17"/>
  <c r="F4189" i="17"/>
  <c r="B4190" i="17"/>
  <c r="C4190" i="17"/>
  <c r="D4190" i="17"/>
  <c r="E4190" i="17"/>
  <c r="F4190" i="17"/>
  <c r="B4191" i="17"/>
  <c r="C4191" i="17"/>
  <c r="D4191" i="17"/>
  <c r="E4191" i="17"/>
  <c r="F4191" i="17"/>
  <c r="B4192" i="17"/>
  <c r="C4192" i="17"/>
  <c r="D4192" i="17"/>
  <c r="E4192" i="17"/>
  <c r="F4192" i="17"/>
  <c r="B4193" i="17"/>
  <c r="C4193" i="17"/>
  <c r="D4193" i="17"/>
  <c r="E4193" i="17"/>
  <c r="F4193" i="17"/>
  <c r="B4194" i="17"/>
  <c r="C4194" i="17"/>
  <c r="D4194" i="17"/>
  <c r="E4194" i="17"/>
  <c r="F4194" i="17"/>
  <c r="B4195" i="17"/>
  <c r="C4195" i="17"/>
  <c r="D4195" i="17"/>
  <c r="E4195" i="17"/>
  <c r="F4195" i="17"/>
  <c r="B4196" i="17"/>
  <c r="C4196" i="17"/>
  <c r="D4196" i="17"/>
  <c r="E4196" i="17"/>
  <c r="F4196" i="17"/>
  <c r="B4197" i="17"/>
  <c r="C4197" i="17"/>
  <c r="D4197" i="17"/>
  <c r="E4197" i="17"/>
  <c r="F4197" i="17"/>
  <c r="B4198" i="17"/>
  <c r="C4198" i="17"/>
  <c r="D4198" i="17"/>
  <c r="E4198" i="17"/>
  <c r="F4198" i="17"/>
  <c r="B4199" i="17"/>
  <c r="C4199" i="17"/>
  <c r="D4199" i="17"/>
  <c r="E4199" i="17"/>
  <c r="F4199" i="17"/>
  <c r="B4200" i="17"/>
  <c r="C4200" i="17"/>
  <c r="D4200" i="17"/>
  <c r="E4200" i="17"/>
  <c r="F4200" i="17"/>
  <c r="B4201" i="17"/>
  <c r="C4201" i="17"/>
  <c r="D4201" i="17"/>
  <c r="E4201" i="17"/>
  <c r="F4201" i="17"/>
  <c r="B4202" i="17"/>
  <c r="C4202" i="17"/>
  <c r="D4202" i="17"/>
  <c r="E4202" i="17"/>
  <c r="F4202" i="17"/>
  <c r="B4203" i="17"/>
  <c r="C4203" i="17"/>
  <c r="D4203" i="17"/>
  <c r="E4203" i="17"/>
  <c r="F4203" i="17"/>
  <c r="B4204" i="17"/>
  <c r="C4204" i="17"/>
  <c r="D4204" i="17"/>
  <c r="E4204" i="17"/>
  <c r="F4204" i="17"/>
  <c r="B4205" i="17"/>
  <c r="C4205" i="17"/>
  <c r="D4205" i="17"/>
  <c r="E4205" i="17"/>
  <c r="F4205" i="17"/>
  <c r="B4206" i="17"/>
  <c r="C4206" i="17"/>
  <c r="D4206" i="17"/>
  <c r="E4206" i="17"/>
  <c r="F4206" i="17"/>
  <c r="B4207" i="17"/>
  <c r="C4207" i="17"/>
  <c r="D4207" i="17"/>
  <c r="E4207" i="17"/>
  <c r="F4207" i="17"/>
  <c r="B4208" i="17"/>
  <c r="C4208" i="17"/>
  <c r="D4208" i="17"/>
  <c r="E4208" i="17"/>
  <c r="F4208" i="17"/>
  <c r="B4209" i="17"/>
  <c r="C4209" i="17"/>
  <c r="D4209" i="17"/>
  <c r="E4209" i="17"/>
  <c r="F4209" i="17"/>
  <c r="B4210" i="17"/>
  <c r="C4210" i="17"/>
  <c r="D4210" i="17"/>
  <c r="E4210" i="17"/>
  <c r="F4210" i="17"/>
  <c r="B4211" i="17"/>
  <c r="C4211" i="17"/>
  <c r="D4211" i="17"/>
  <c r="E4211" i="17"/>
  <c r="F4211" i="17"/>
  <c r="B4212" i="17"/>
  <c r="C4212" i="17"/>
  <c r="D4212" i="17"/>
  <c r="E4212" i="17"/>
  <c r="F4212" i="17"/>
  <c r="B4213" i="17"/>
  <c r="C4213" i="17"/>
  <c r="D4213" i="17"/>
  <c r="E4213" i="17"/>
  <c r="F4213" i="17"/>
  <c r="B4214" i="17"/>
  <c r="C4214" i="17"/>
  <c r="D4214" i="17"/>
  <c r="E4214" i="17"/>
  <c r="F4214" i="17"/>
  <c r="B4215" i="17"/>
  <c r="C4215" i="17"/>
  <c r="D4215" i="17"/>
  <c r="E4215" i="17"/>
  <c r="F4215" i="17"/>
  <c r="B4216" i="17"/>
  <c r="C4216" i="17"/>
  <c r="D4216" i="17"/>
  <c r="E4216" i="17"/>
  <c r="F4216" i="17"/>
  <c r="B4217" i="17"/>
  <c r="C4217" i="17"/>
  <c r="D4217" i="17"/>
  <c r="E4217" i="17"/>
  <c r="F4217" i="17"/>
  <c r="B4218" i="17"/>
  <c r="C4218" i="17"/>
  <c r="D4218" i="17"/>
  <c r="E4218" i="17"/>
  <c r="F4218" i="17"/>
  <c r="B4219" i="17"/>
  <c r="C4219" i="17"/>
  <c r="D4219" i="17"/>
  <c r="E4219" i="17"/>
  <c r="F4219" i="17"/>
  <c r="B4220" i="17"/>
  <c r="C4220" i="17"/>
  <c r="D4220" i="17"/>
  <c r="E4220" i="17"/>
  <c r="F4220" i="17"/>
  <c r="B4221" i="17"/>
  <c r="C4221" i="17"/>
  <c r="D4221" i="17"/>
  <c r="E4221" i="17"/>
  <c r="F4221" i="17"/>
  <c r="B4222" i="17"/>
  <c r="C4222" i="17"/>
  <c r="D4222" i="17"/>
  <c r="E4222" i="17"/>
  <c r="F4222" i="17"/>
  <c r="B4223" i="17"/>
  <c r="C4223" i="17"/>
  <c r="D4223" i="17"/>
  <c r="E4223" i="17"/>
  <c r="F4223" i="17"/>
  <c r="B4224" i="17"/>
  <c r="C4224" i="17"/>
  <c r="D4224" i="17"/>
  <c r="E4224" i="17"/>
  <c r="F4224" i="17"/>
  <c r="B4225" i="17"/>
  <c r="C4225" i="17"/>
  <c r="D4225" i="17"/>
  <c r="E4225" i="17"/>
  <c r="F4225" i="17"/>
  <c r="B4226" i="17"/>
  <c r="C4226" i="17"/>
  <c r="D4226" i="17"/>
  <c r="E4226" i="17"/>
  <c r="F4226" i="17"/>
  <c r="B4227" i="17"/>
  <c r="C4227" i="17"/>
  <c r="D4227" i="17"/>
  <c r="E4227" i="17"/>
  <c r="F4227" i="17"/>
  <c r="B4228" i="17"/>
  <c r="C4228" i="17"/>
  <c r="D4228" i="17"/>
  <c r="E4228" i="17"/>
  <c r="F4228" i="17"/>
  <c r="B4229" i="17"/>
  <c r="C4229" i="17"/>
  <c r="D4229" i="17"/>
  <c r="E4229" i="17"/>
  <c r="F4229" i="17"/>
  <c r="B4230" i="17"/>
  <c r="C4230" i="17"/>
  <c r="D4230" i="17"/>
  <c r="E4230" i="17"/>
  <c r="F4230" i="17"/>
  <c r="B4231" i="17"/>
  <c r="C4231" i="17"/>
  <c r="D4231" i="17"/>
  <c r="E4231" i="17"/>
  <c r="F4231" i="17"/>
  <c r="B4232" i="17"/>
  <c r="C4232" i="17"/>
  <c r="D4232" i="17"/>
  <c r="E4232" i="17"/>
  <c r="F4232" i="17"/>
  <c r="B4233" i="17"/>
  <c r="C4233" i="17"/>
  <c r="D4233" i="17"/>
  <c r="E4233" i="17"/>
  <c r="F4233" i="17"/>
  <c r="B4234" i="17"/>
  <c r="C4234" i="17"/>
  <c r="D4234" i="17"/>
  <c r="E4234" i="17"/>
  <c r="F4234" i="17"/>
  <c r="B4235" i="17"/>
  <c r="C4235" i="17"/>
  <c r="D4235" i="17"/>
  <c r="E4235" i="17"/>
  <c r="F4235" i="17"/>
  <c r="B4236" i="17"/>
  <c r="C4236" i="17"/>
  <c r="D4236" i="17"/>
  <c r="E4236" i="17"/>
  <c r="F4236" i="17"/>
  <c r="B4237" i="17"/>
  <c r="C4237" i="17"/>
  <c r="D4237" i="17"/>
  <c r="E4237" i="17"/>
  <c r="F4237" i="17"/>
  <c r="B4238" i="17"/>
  <c r="C4238" i="17"/>
  <c r="D4238" i="17"/>
  <c r="E4238" i="17"/>
  <c r="F4238" i="17"/>
  <c r="B4239" i="17"/>
  <c r="C4239" i="17"/>
  <c r="D4239" i="17"/>
  <c r="E4239" i="17"/>
  <c r="F4239" i="17"/>
  <c r="B4240" i="17"/>
  <c r="C4240" i="17"/>
  <c r="D4240" i="17"/>
  <c r="E4240" i="17"/>
  <c r="F4240" i="17"/>
  <c r="B4241" i="17"/>
  <c r="C4241" i="17"/>
  <c r="D4241" i="17"/>
  <c r="E4241" i="17"/>
  <c r="F4241" i="17"/>
  <c r="B4242" i="17"/>
  <c r="C4242" i="17"/>
  <c r="D4242" i="17"/>
  <c r="E4242" i="17"/>
  <c r="F4242" i="17"/>
  <c r="B4243" i="17"/>
  <c r="C4243" i="17"/>
  <c r="D4243" i="17"/>
  <c r="E4243" i="17"/>
  <c r="F4243" i="17"/>
  <c r="B4244" i="17"/>
  <c r="C4244" i="17"/>
  <c r="D4244" i="17"/>
  <c r="E4244" i="17"/>
  <c r="F4244" i="17"/>
  <c r="B4245" i="17"/>
  <c r="C4245" i="17"/>
  <c r="D4245" i="17"/>
  <c r="E4245" i="17"/>
  <c r="F4245" i="17"/>
  <c r="B4246" i="17"/>
  <c r="C4246" i="17"/>
  <c r="D4246" i="17"/>
  <c r="E4246" i="17"/>
  <c r="F4246" i="17"/>
  <c r="B4247" i="17"/>
  <c r="C4247" i="17"/>
  <c r="D4247" i="17"/>
  <c r="E4247" i="17"/>
  <c r="F4247" i="17"/>
  <c r="B4248" i="17"/>
  <c r="C4248" i="17"/>
  <c r="D4248" i="17"/>
  <c r="E4248" i="17"/>
  <c r="F4248" i="17"/>
  <c r="B4249" i="17"/>
  <c r="C4249" i="17"/>
  <c r="D4249" i="17"/>
  <c r="E4249" i="17"/>
  <c r="F4249" i="17"/>
  <c r="B4250" i="17"/>
  <c r="C4250" i="17"/>
  <c r="D4250" i="17"/>
  <c r="E4250" i="17"/>
  <c r="F4250" i="17"/>
  <c r="B4251" i="17"/>
  <c r="C4251" i="17"/>
  <c r="D4251" i="17"/>
  <c r="E4251" i="17"/>
  <c r="F4251" i="17"/>
  <c r="B4252" i="17"/>
  <c r="C4252" i="17"/>
  <c r="D4252" i="17"/>
  <c r="E4252" i="17"/>
  <c r="F4252" i="17"/>
  <c r="B4253" i="17"/>
  <c r="C4253" i="17"/>
  <c r="D4253" i="17"/>
  <c r="E4253" i="17"/>
  <c r="F4253" i="17"/>
  <c r="B4254" i="17"/>
  <c r="C4254" i="17"/>
  <c r="D4254" i="17"/>
  <c r="E4254" i="17"/>
  <c r="F4254" i="17"/>
  <c r="B4255" i="17"/>
  <c r="C4255" i="17"/>
  <c r="D4255" i="17"/>
  <c r="E4255" i="17"/>
  <c r="F4255" i="17"/>
  <c r="B4256" i="17"/>
  <c r="C4256" i="17"/>
  <c r="D4256" i="17"/>
  <c r="E4256" i="17"/>
  <c r="F4256" i="17"/>
  <c r="B4257" i="17"/>
  <c r="C4257" i="17"/>
  <c r="D4257" i="17"/>
  <c r="E4257" i="17"/>
  <c r="F4257" i="17"/>
  <c r="B4258" i="17"/>
  <c r="C4258" i="17"/>
  <c r="D4258" i="17"/>
  <c r="E4258" i="17"/>
  <c r="F4258" i="17"/>
  <c r="B4259" i="17"/>
  <c r="C4259" i="17"/>
  <c r="D4259" i="17"/>
  <c r="E4259" i="17"/>
  <c r="F4259" i="17"/>
  <c r="B4260" i="17"/>
  <c r="C4260" i="17"/>
  <c r="D4260" i="17"/>
  <c r="E4260" i="17"/>
  <c r="F4260" i="17"/>
  <c r="B4261" i="17"/>
  <c r="C4261" i="17"/>
  <c r="D4261" i="17"/>
  <c r="E4261" i="17"/>
  <c r="F4261" i="17"/>
  <c r="B4262" i="17"/>
  <c r="C4262" i="17"/>
  <c r="D4262" i="17"/>
  <c r="E4262" i="17"/>
  <c r="F4262" i="17"/>
  <c r="B4263" i="17"/>
  <c r="C4263" i="17"/>
  <c r="D4263" i="17"/>
  <c r="E4263" i="17"/>
  <c r="F4263" i="17"/>
  <c r="B4264" i="17"/>
  <c r="C4264" i="17"/>
  <c r="D4264" i="17"/>
  <c r="E4264" i="17"/>
  <c r="F4264" i="17"/>
  <c r="B4265" i="17"/>
  <c r="C4265" i="17"/>
  <c r="D4265" i="17"/>
  <c r="E4265" i="17"/>
  <c r="F4265" i="17"/>
  <c r="B4266" i="17"/>
  <c r="C4266" i="17"/>
  <c r="D4266" i="17"/>
  <c r="E4266" i="17"/>
  <c r="F4266" i="17"/>
  <c r="B4267" i="17"/>
  <c r="C4267" i="17"/>
  <c r="D4267" i="17"/>
  <c r="E4267" i="17"/>
  <c r="F4267" i="17"/>
  <c r="B4268" i="17"/>
  <c r="C4268" i="17"/>
  <c r="D4268" i="17"/>
  <c r="E4268" i="17"/>
  <c r="F4268" i="17"/>
  <c r="B4269" i="17"/>
  <c r="C4269" i="17"/>
  <c r="D4269" i="17"/>
  <c r="E4269" i="17"/>
  <c r="F4269" i="17"/>
  <c r="B4270" i="17"/>
  <c r="C4270" i="17"/>
  <c r="D4270" i="17"/>
  <c r="E4270" i="17"/>
  <c r="F4270" i="17"/>
  <c r="B4271" i="17"/>
  <c r="C4271" i="17"/>
  <c r="D4271" i="17"/>
  <c r="E4271" i="17"/>
  <c r="F4271" i="17"/>
  <c r="B4272" i="17"/>
  <c r="C4272" i="17"/>
  <c r="D4272" i="17"/>
  <c r="E4272" i="17"/>
  <c r="F4272" i="17"/>
  <c r="B4273" i="17"/>
  <c r="C4273" i="17"/>
  <c r="D4273" i="17"/>
  <c r="E4273" i="17"/>
  <c r="F4273" i="17"/>
  <c r="B4274" i="17"/>
  <c r="C4274" i="17"/>
  <c r="D4274" i="17"/>
  <c r="E4274" i="17"/>
  <c r="F4274" i="17"/>
  <c r="B4275" i="17"/>
  <c r="C4275" i="17"/>
  <c r="D4275" i="17"/>
  <c r="E4275" i="17"/>
  <c r="F4275" i="17"/>
  <c r="B4276" i="17"/>
  <c r="C4276" i="17"/>
  <c r="D4276" i="17"/>
  <c r="E4276" i="17"/>
  <c r="F4276" i="17"/>
  <c r="B4277" i="17"/>
  <c r="C4277" i="17"/>
  <c r="D4277" i="17"/>
  <c r="E4277" i="17"/>
  <c r="F4277" i="17"/>
  <c r="B4278" i="17"/>
  <c r="C4278" i="17"/>
  <c r="D4278" i="17"/>
  <c r="E4278" i="17"/>
  <c r="F4278" i="17"/>
  <c r="B4279" i="17"/>
  <c r="C4279" i="17"/>
  <c r="D4279" i="17"/>
  <c r="E4279" i="17"/>
  <c r="F4279" i="17"/>
  <c r="B4280" i="17"/>
  <c r="C4280" i="17"/>
  <c r="D4280" i="17"/>
  <c r="E4280" i="17"/>
  <c r="F4280" i="17"/>
  <c r="B4281" i="17"/>
  <c r="C4281" i="17"/>
  <c r="D4281" i="17"/>
  <c r="E4281" i="17"/>
  <c r="F4281" i="17"/>
  <c r="B4282" i="17"/>
  <c r="C4282" i="17"/>
  <c r="D4282" i="17"/>
  <c r="E4282" i="17"/>
  <c r="F4282" i="17"/>
  <c r="B4283" i="17"/>
  <c r="C4283" i="17"/>
  <c r="D4283" i="17"/>
  <c r="E4283" i="17"/>
  <c r="F4283" i="17"/>
  <c r="B4284" i="17"/>
  <c r="C4284" i="17"/>
  <c r="D4284" i="17"/>
  <c r="E4284" i="17"/>
  <c r="F4284" i="17"/>
  <c r="B4285" i="17"/>
  <c r="C4285" i="17"/>
  <c r="D4285" i="17"/>
  <c r="E4285" i="17"/>
  <c r="F4285" i="17"/>
  <c r="B4286" i="17"/>
  <c r="C4286" i="17"/>
  <c r="D4286" i="17"/>
  <c r="E4286" i="17"/>
  <c r="F4286" i="17"/>
  <c r="B4287" i="17"/>
  <c r="C4287" i="17"/>
  <c r="D4287" i="17"/>
  <c r="E4287" i="17"/>
  <c r="F4287" i="17"/>
  <c r="B4288" i="17"/>
  <c r="C4288" i="17"/>
  <c r="D4288" i="17"/>
  <c r="E4288" i="17"/>
  <c r="F4288" i="17"/>
  <c r="B4289" i="17"/>
  <c r="C4289" i="17"/>
  <c r="D4289" i="17"/>
  <c r="E4289" i="17"/>
  <c r="F4289" i="17"/>
  <c r="B4290" i="17"/>
  <c r="C4290" i="17"/>
  <c r="D4290" i="17"/>
  <c r="E4290" i="17"/>
  <c r="F4290" i="17"/>
  <c r="B4291" i="17"/>
  <c r="C4291" i="17"/>
  <c r="D4291" i="17"/>
  <c r="E4291" i="17"/>
  <c r="F4291" i="17"/>
  <c r="B4292" i="17"/>
  <c r="C4292" i="17"/>
  <c r="D4292" i="17"/>
  <c r="E4292" i="17"/>
  <c r="F4292" i="17"/>
  <c r="B4293" i="17"/>
  <c r="C4293" i="17"/>
  <c r="D4293" i="17"/>
  <c r="E4293" i="17"/>
  <c r="F4293" i="17"/>
  <c r="B4294" i="17"/>
  <c r="C4294" i="17"/>
  <c r="D4294" i="17"/>
  <c r="E4294" i="17"/>
  <c r="F4294" i="17"/>
  <c r="B4295" i="17"/>
  <c r="C4295" i="17"/>
  <c r="D4295" i="17"/>
  <c r="E4295" i="17"/>
  <c r="F4295" i="17"/>
  <c r="B4296" i="17"/>
  <c r="C4296" i="17"/>
  <c r="D4296" i="17"/>
  <c r="E4296" i="17"/>
  <c r="F4296" i="17"/>
  <c r="B4297" i="17"/>
  <c r="C4297" i="17"/>
  <c r="D4297" i="17"/>
  <c r="E4297" i="17"/>
  <c r="F4297" i="17"/>
  <c r="B4298" i="17"/>
  <c r="C4298" i="17"/>
  <c r="D4298" i="17"/>
  <c r="E4298" i="17"/>
  <c r="F4298" i="17"/>
  <c r="B4299" i="17"/>
  <c r="C4299" i="17"/>
  <c r="D4299" i="17"/>
  <c r="E4299" i="17"/>
  <c r="F4299" i="17"/>
  <c r="B4300" i="17"/>
  <c r="C4300" i="17"/>
  <c r="D4300" i="17"/>
  <c r="E4300" i="17"/>
  <c r="F4300" i="17"/>
  <c r="B4301" i="17"/>
  <c r="C4301" i="17"/>
  <c r="D4301" i="17"/>
  <c r="E4301" i="17"/>
  <c r="F4301" i="17"/>
  <c r="B4302" i="17"/>
  <c r="C4302" i="17"/>
  <c r="D4302" i="17"/>
  <c r="E4302" i="17"/>
  <c r="F4302" i="17"/>
  <c r="B4303" i="17"/>
  <c r="C4303" i="17"/>
  <c r="D4303" i="17"/>
  <c r="E4303" i="17"/>
  <c r="F4303" i="17"/>
  <c r="B4304" i="17"/>
  <c r="C4304" i="17"/>
  <c r="D4304" i="17"/>
  <c r="E4304" i="17"/>
  <c r="F4304" i="17"/>
  <c r="B4305" i="17"/>
  <c r="C4305" i="17"/>
  <c r="D4305" i="17"/>
  <c r="E4305" i="17"/>
  <c r="F4305" i="17"/>
  <c r="B4306" i="17"/>
  <c r="C4306" i="17"/>
  <c r="D4306" i="17"/>
  <c r="E4306" i="17"/>
  <c r="F4306" i="17"/>
  <c r="B4307" i="17"/>
  <c r="C4307" i="17"/>
  <c r="D4307" i="17"/>
  <c r="E4307" i="17"/>
  <c r="F4307" i="17"/>
  <c r="B4308" i="17"/>
  <c r="C4308" i="17"/>
  <c r="D4308" i="17"/>
  <c r="E4308" i="17"/>
  <c r="F4308" i="17"/>
  <c r="B4309" i="17"/>
  <c r="C4309" i="17"/>
  <c r="D4309" i="17"/>
  <c r="E4309" i="17"/>
  <c r="F4309" i="17"/>
  <c r="B4310" i="17"/>
  <c r="C4310" i="17"/>
  <c r="D4310" i="17"/>
  <c r="E4310" i="17"/>
  <c r="F4310" i="17"/>
  <c r="B4311" i="17"/>
  <c r="C4311" i="17"/>
  <c r="D4311" i="17"/>
  <c r="E4311" i="17"/>
  <c r="F4311" i="17"/>
  <c r="B4312" i="17"/>
  <c r="C4312" i="17"/>
  <c r="D4312" i="17"/>
  <c r="E4312" i="17"/>
  <c r="F4312" i="17"/>
  <c r="B4313" i="17"/>
  <c r="C4313" i="17"/>
  <c r="D4313" i="17"/>
  <c r="E4313" i="17"/>
  <c r="F4313" i="17"/>
  <c r="B4314" i="17"/>
  <c r="C4314" i="17"/>
  <c r="D4314" i="17"/>
  <c r="E4314" i="17"/>
  <c r="F4314" i="17"/>
  <c r="B4315" i="17"/>
  <c r="C4315" i="17"/>
  <c r="D4315" i="17"/>
  <c r="E4315" i="17"/>
  <c r="F4315" i="17"/>
  <c r="B4316" i="17"/>
  <c r="C4316" i="17"/>
  <c r="D4316" i="17"/>
  <c r="E4316" i="17"/>
  <c r="F4316" i="17"/>
  <c r="B4317" i="17"/>
  <c r="C4317" i="17"/>
  <c r="D4317" i="17"/>
  <c r="E4317" i="17"/>
  <c r="F4317" i="17"/>
  <c r="B4318" i="17"/>
  <c r="C4318" i="17"/>
  <c r="D4318" i="17"/>
  <c r="E4318" i="17"/>
  <c r="F4318" i="17"/>
  <c r="B4319" i="17"/>
  <c r="C4319" i="17"/>
  <c r="D4319" i="17"/>
  <c r="E4319" i="17"/>
  <c r="F4319" i="17"/>
  <c r="B4320" i="17"/>
  <c r="C4320" i="17"/>
  <c r="D4320" i="17"/>
  <c r="E4320" i="17"/>
  <c r="F4320" i="17"/>
  <c r="B4321" i="17"/>
  <c r="C4321" i="17"/>
  <c r="D4321" i="17"/>
  <c r="E4321" i="17"/>
  <c r="F4321" i="17"/>
  <c r="B4322" i="17"/>
  <c r="C4322" i="17"/>
  <c r="D4322" i="17"/>
  <c r="E4322" i="17"/>
  <c r="F4322" i="17"/>
  <c r="B4323" i="17"/>
  <c r="C4323" i="17"/>
  <c r="D4323" i="17"/>
  <c r="E4323" i="17"/>
  <c r="F4323" i="17"/>
  <c r="B4324" i="17"/>
  <c r="C4324" i="17"/>
  <c r="D4324" i="17"/>
  <c r="E4324" i="17"/>
  <c r="F4324" i="17"/>
  <c r="B4325" i="17"/>
  <c r="C4325" i="17"/>
  <c r="D4325" i="17"/>
  <c r="E4325" i="17"/>
  <c r="F4325" i="17"/>
  <c r="B4326" i="17"/>
  <c r="C4326" i="17"/>
  <c r="D4326" i="17"/>
  <c r="E4326" i="17"/>
  <c r="F4326" i="17"/>
  <c r="B4327" i="17"/>
  <c r="C4327" i="17"/>
  <c r="D4327" i="17"/>
  <c r="E4327" i="17"/>
  <c r="F4327" i="17"/>
  <c r="B4328" i="17"/>
  <c r="C4328" i="17"/>
  <c r="D4328" i="17"/>
  <c r="E4328" i="17"/>
  <c r="F4328" i="17"/>
  <c r="B4329" i="17"/>
  <c r="C4329" i="17"/>
  <c r="D4329" i="17"/>
  <c r="E4329" i="17"/>
  <c r="F4329" i="17"/>
  <c r="B4330" i="17"/>
  <c r="C4330" i="17"/>
  <c r="D4330" i="17"/>
  <c r="E4330" i="17"/>
  <c r="F4330" i="17"/>
  <c r="B4331" i="17"/>
  <c r="C4331" i="17"/>
  <c r="D4331" i="17"/>
  <c r="E4331" i="17"/>
  <c r="F4331" i="17"/>
  <c r="B4332" i="17"/>
  <c r="C4332" i="17"/>
  <c r="D4332" i="17"/>
  <c r="E4332" i="17"/>
  <c r="F4332" i="17"/>
  <c r="B4333" i="17"/>
  <c r="C4333" i="17"/>
  <c r="D4333" i="17"/>
  <c r="E4333" i="17"/>
  <c r="F4333" i="17"/>
  <c r="B4334" i="17"/>
  <c r="C4334" i="17"/>
  <c r="D4334" i="17"/>
  <c r="E4334" i="17"/>
  <c r="F4334" i="17"/>
  <c r="B4335" i="17"/>
  <c r="C4335" i="17"/>
  <c r="D4335" i="17"/>
  <c r="E4335" i="17"/>
  <c r="F4335" i="17"/>
  <c r="B4336" i="17"/>
  <c r="C4336" i="17"/>
  <c r="D4336" i="17"/>
  <c r="E4336" i="17"/>
  <c r="F4336" i="17"/>
  <c r="B4337" i="17"/>
  <c r="C4337" i="17"/>
  <c r="D4337" i="17"/>
  <c r="E4337" i="17"/>
  <c r="F4337" i="17"/>
  <c r="B4338" i="17"/>
  <c r="C4338" i="17"/>
  <c r="D4338" i="17"/>
  <c r="E4338" i="17"/>
  <c r="F4338" i="17"/>
  <c r="B4339" i="17"/>
  <c r="C4339" i="17"/>
  <c r="D4339" i="17"/>
  <c r="E4339" i="17"/>
  <c r="F4339" i="17"/>
  <c r="B4340" i="17"/>
  <c r="C4340" i="17"/>
  <c r="D4340" i="17"/>
  <c r="E4340" i="17"/>
  <c r="F4340" i="17"/>
  <c r="B4341" i="17"/>
  <c r="C4341" i="17"/>
  <c r="D4341" i="17"/>
  <c r="E4341" i="17"/>
  <c r="F4341" i="17"/>
  <c r="B4342" i="17"/>
  <c r="C4342" i="17"/>
  <c r="D4342" i="17"/>
  <c r="E4342" i="17"/>
  <c r="F4342" i="17"/>
  <c r="B4343" i="17"/>
  <c r="C4343" i="17"/>
  <c r="D4343" i="17"/>
  <c r="E4343" i="17"/>
  <c r="F4343" i="17"/>
  <c r="B4344" i="17"/>
  <c r="C4344" i="17"/>
  <c r="D4344" i="17"/>
  <c r="E4344" i="17"/>
  <c r="F4344" i="17"/>
  <c r="B4345" i="17"/>
  <c r="C4345" i="17"/>
  <c r="D4345" i="17"/>
  <c r="E4345" i="17"/>
  <c r="F4345" i="17"/>
  <c r="B4346" i="17"/>
  <c r="C4346" i="17"/>
  <c r="D4346" i="17"/>
  <c r="E4346" i="17"/>
  <c r="F4346" i="17"/>
  <c r="B4347" i="17"/>
  <c r="C4347" i="17"/>
  <c r="D4347" i="17"/>
  <c r="E4347" i="17"/>
  <c r="F4347" i="17"/>
  <c r="B4348" i="17"/>
  <c r="C4348" i="17"/>
  <c r="D4348" i="17"/>
  <c r="E4348" i="17"/>
  <c r="F4348" i="17"/>
  <c r="B4349" i="17"/>
  <c r="C4349" i="17"/>
  <c r="D4349" i="17"/>
  <c r="E4349" i="17"/>
  <c r="F4349" i="17"/>
  <c r="B4350" i="17"/>
  <c r="C4350" i="17"/>
  <c r="D4350" i="17"/>
  <c r="E4350" i="17"/>
  <c r="F4350" i="17"/>
  <c r="B4351" i="17"/>
  <c r="C4351" i="17"/>
  <c r="D4351" i="17"/>
  <c r="E4351" i="17"/>
  <c r="F4351" i="17"/>
  <c r="B4352" i="17"/>
  <c r="C4352" i="17"/>
  <c r="D4352" i="17"/>
  <c r="E4352" i="17"/>
  <c r="F4352" i="17"/>
  <c r="B4353" i="17"/>
  <c r="C4353" i="17"/>
  <c r="D4353" i="17"/>
  <c r="E4353" i="17"/>
  <c r="F4353" i="17"/>
  <c r="B4354" i="17"/>
  <c r="C4354" i="17"/>
  <c r="D4354" i="17"/>
  <c r="E4354" i="17"/>
  <c r="F4354" i="17"/>
  <c r="B4355" i="17"/>
  <c r="C4355" i="17"/>
  <c r="D4355" i="17"/>
  <c r="E4355" i="17"/>
  <c r="F4355" i="17"/>
  <c r="B4356" i="17"/>
  <c r="C4356" i="17"/>
  <c r="D4356" i="17"/>
  <c r="E4356" i="17"/>
  <c r="F4356" i="17"/>
  <c r="B4357" i="17"/>
  <c r="C4357" i="17"/>
  <c r="D4357" i="17"/>
  <c r="E4357" i="17"/>
  <c r="F4357" i="17"/>
  <c r="B4358" i="17"/>
  <c r="C4358" i="17"/>
  <c r="D4358" i="17"/>
  <c r="E4358" i="17"/>
  <c r="F4358" i="17"/>
  <c r="B4359" i="17"/>
  <c r="C4359" i="17"/>
  <c r="D4359" i="17"/>
  <c r="E4359" i="17"/>
  <c r="F4359" i="17"/>
  <c r="B4360" i="17"/>
  <c r="C4360" i="17"/>
  <c r="D4360" i="17"/>
  <c r="E4360" i="17"/>
  <c r="F4360" i="17"/>
  <c r="B4361" i="17"/>
  <c r="C4361" i="17"/>
  <c r="D4361" i="17"/>
  <c r="E4361" i="17"/>
  <c r="F4361" i="17"/>
  <c r="B4362" i="17"/>
  <c r="C4362" i="17"/>
  <c r="D4362" i="17"/>
  <c r="E4362" i="17"/>
  <c r="F4362" i="17"/>
  <c r="B4363" i="17"/>
  <c r="C4363" i="17"/>
  <c r="D4363" i="17"/>
  <c r="E4363" i="17"/>
  <c r="F4363" i="17"/>
  <c r="B4364" i="17"/>
  <c r="C4364" i="17"/>
  <c r="D4364" i="17"/>
  <c r="E4364" i="17"/>
  <c r="F4364" i="17"/>
  <c r="B4365" i="17"/>
  <c r="C4365" i="17"/>
  <c r="D4365" i="17"/>
  <c r="E4365" i="17"/>
  <c r="F4365" i="17"/>
  <c r="B4366" i="17"/>
  <c r="C4366" i="17"/>
  <c r="D4366" i="17"/>
  <c r="E4366" i="17"/>
  <c r="F4366" i="17"/>
  <c r="B4367" i="17"/>
  <c r="C4367" i="17"/>
  <c r="D4367" i="17"/>
  <c r="E4367" i="17"/>
  <c r="F4367" i="17"/>
  <c r="B4368" i="17"/>
  <c r="C4368" i="17"/>
  <c r="D4368" i="17"/>
  <c r="E4368" i="17"/>
  <c r="F4368" i="17"/>
  <c r="B4369" i="17"/>
  <c r="C4369" i="17"/>
  <c r="D4369" i="17"/>
  <c r="E4369" i="17"/>
  <c r="F4369" i="17"/>
  <c r="B4370" i="17"/>
  <c r="C4370" i="17"/>
  <c r="D4370" i="17"/>
  <c r="E4370" i="17"/>
  <c r="F4370" i="17"/>
  <c r="B4371" i="17"/>
  <c r="C4371" i="17"/>
  <c r="D4371" i="17"/>
  <c r="E4371" i="17"/>
  <c r="F4371" i="17"/>
  <c r="B4372" i="17"/>
  <c r="C4372" i="17"/>
  <c r="D4372" i="17"/>
  <c r="E4372" i="17"/>
  <c r="F4372" i="17"/>
  <c r="B4373" i="17"/>
  <c r="C4373" i="17"/>
  <c r="D4373" i="17"/>
  <c r="E4373" i="17"/>
  <c r="F4373" i="17"/>
  <c r="B4374" i="17"/>
  <c r="C4374" i="17"/>
  <c r="D4374" i="17"/>
  <c r="E4374" i="17"/>
  <c r="F4374" i="17"/>
  <c r="B4375" i="17"/>
  <c r="C4375" i="17"/>
  <c r="D4375" i="17"/>
  <c r="E4375" i="17"/>
  <c r="F4375" i="17"/>
  <c r="B4376" i="17"/>
  <c r="C4376" i="17"/>
  <c r="D4376" i="17"/>
  <c r="E4376" i="17"/>
  <c r="F4376" i="17"/>
  <c r="B4377" i="17"/>
  <c r="C4377" i="17"/>
  <c r="D4377" i="17"/>
  <c r="E4377" i="17"/>
  <c r="F4377" i="17"/>
  <c r="B4378" i="17"/>
  <c r="C4378" i="17"/>
  <c r="D4378" i="17"/>
  <c r="E4378" i="17"/>
  <c r="F4378" i="17"/>
  <c r="B4379" i="17"/>
  <c r="C4379" i="17"/>
  <c r="D4379" i="17"/>
  <c r="E4379" i="17"/>
  <c r="F4379" i="17"/>
  <c r="B4380" i="17"/>
  <c r="C4380" i="17"/>
  <c r="D4380" i="17"/>
  <c r="E4380" i="17"/>
  <c r="F4380" i="17"/>
  <c r="B4381" i="17"/>
  <c r="C4381" i="17"/>
  <c r="D4381" i="17"/>
  <c r="E4381" i="17"/>
  <c r="F4381" i="17"/>
  <c r="B4382" i="17"/>
  <c r="C4382" i="17"/>
  <c r="D4382" i="17"/>
  <c r="E4382" i="17"/>
  <c r="F4382" i="17"/>
  <c r="B4383" i="17"/>
  <c r="C4383" i="17"/>
  <c r="D4383" i="17"/>
  <c r="E4383" i="17"/>
  <c r="F4383" i="17"/>
  <c r="B4384" i="17"/>
  <c r="C4384" i="17"/>
  <c r="D4384" i="17"/>
  <c r="E4384" i="17"/>
  <c r="F4384" i="17"/>
  <c r="B4385" i="17"/>
  <c r="C4385" i="17"/>
  <c r="D4385" i="17"/>
  <c r="E4385" i="17"/>
  <c r="F4385" i="17"/>
  <c r="B4386" i="17"/>
  <c r="C4386" i="17"/>
  <c r="D4386" i="17"/>
  <c r="E4386" i="17"/>
  <c r="F4386" i="17"/>
  <c r="B4387" i="17"/>
  <c r="C4387" i="17"/>
  <c r="D4387" i="17"/>
  <c r="E4387" i="17"/>
  <c r="F4387" i="17"/>
  <c r="B4388" i="17"/>
  <c r="C4388" i="17"/>
  <c r="D4388" i="17"/>
  <c r="E4388" i="17"/>
  <c r="F4388" i="17"/>
  <c r="B4389" i="17"/>
  <c r="C4389" i="17"/>
  <c r="D4389" i="17"/>
  <c r="E4389" i="17"/>
  <c r="F4389" i="17"/>
  <c r="B4390" i="17"/>
  <c r="C4390" i="17"/>
  <c r="D4390" i="17"/>
  <c r="E4390" i="17"/>
  <c r="F4390" i="17"/>
  <c r="B4391" i="17"/>
  <c r="C4391" i="17"/>
  <c r="D4391" i="17"/>
  <c r="E4391" i="17"/>
  <c r="F4391" i="17"/>
  <c r="B4392" i="17"/>
  <c r="C4392" i="17"/>
  <c r="D4392" i="17"/>
  <c r="E4392" i="17"/>
  <c r="F4392" i="17"/>
  <c r="B4393" i="17"/>
  <c r="C4393" i="17"/>
  <c r="D4393" i="17"/>
  <c r="E4393" i="17"/>
  <c r="F4393" i="17"/>
  <c r="B4394" i="17"/>
  <c r="C4394" i="17"/>
  <c r="D4394" i="17"/>
  <c r="E4394" i="17"/>
  <c r="F4394" i="17"/>
  <c r="B4395" i="17"/>
  <c r="C4395" i="17"/>
  <c r="D4395" i="17"/>
  <c r="E4395" i="17"/>
  <c r="F4395" i="17"/>
  <c r="B4396" i="17"/>
  <c r="C4396" i="17"/>
  <c r="D4396" i="17"/>
  <c r="E4396" i="17"/>
  <c r="F4396" i="17"/>
  <c r="B4397" i="17"/>
  <c r="C4397" i="17"/>
  <c r="D4397" i="17"/>
  <c r="E4397" i="17"/>
  <c r="F4397" i="17"/>
  <c r="B4398" i="17"/>
  <c r="C4398" i="17"/>
  <c r="D4398" i="17"/>
  <c r="E4398" i="17"/>
  <c r="F4398" i="17"/>
  <c r="B4399" i="17"/>
  <c r="C4399" i="17"/>
  <c r="D4399" i="17"/>
  <c r="E4399" i="17"/>
  <c r="F4399" i="17"/>
  <c r="B4400" i="17"/>
  <c r="C4400" i="17"/>
  <c r="D4400" i="17"/>
  <c r="E4400" i="17"/>
  <c r="F4400" i="17"/>
  <c r="B4401" i="17"/>
  <c r="C4401" i="17"/>
  <c r="D4401" i="17"/>
  <c r="E4401" i="17"/>
  <c r="F4401" i="17"/>
  <c r="B4402" i="17"/>
  <c r="C4402" i="17"/>
  <c r="D4402" i="17"/>
  <c r="E4402" i="17"/>
  <c r="F4402" i="17"/>
  <c r="B4403" i="17"/>
  <c r="C4403" i="17"/>
  <c r="D4403" i="17"/>
  <c r="E4403" i="17"/>
  <c r="F4403" i="17"/>
  <c r="B4404" i="17"/>
  <c r="C4404" i="17"/>
  <c r="D4404" i="17"/>
  <c r="E4404" i="17"/>
  <c r="F4404" i="17"/>
  <c r="B4405" i="17"/>
  <c r="C4405" i="17"/>
  <c r="D4405" i="17"/>
  <c r="E4405" i="17"/>
  <c r="F4405" i="17"/>
  <c r="B4406" i="17"/>
  <c r="C4406" i="17"/>
  <c r="D4406" i="17"/>
  <c r="E4406" i="17"/>
  <c r="F4406" i="17"/>
  <c r="B4407" i="17"/>
  <c r="C4407" i="17"/>
  <c r="D4407" i="17"/>
  <c r="E4407" i="17"/>
  <c r="F4407" i="17"/>
  <c r="B4408" i="17"/>
  <c r="C4408" i="17"/>
  <c r="D4408" i="17"/>
  <c r="E4408" i="17"/>
  <c r="F4408" i="17"/>
  <c r="B4409" i="17"/>
  <c r="C4409" i="17"/>
  <c r="D4409" i="17"/>
  <c r="E4409" i="17"/>
  <c r="F4409" i="17"/>
  <c r="B4410" i="17"/>
  <c r="C4410" i="17"/>
  <c r="D4410" i="17"/>
  <c r="E4410" i="17"/>
  <c r="F4410" i="17"/>
  <c r="B4411" i="17"/>
  <c r="C4411" i="17"/>
  <c r="D4411" i="17"/>
  <c r="E4411" i="17"/>
  <c r="F4411" i="17"/>
  <c r="B4412" i="17"/>
  <c r="C4412" i="17"/>
  <c r="D4412" i="17"/>
  <c r="E4412" i="17"/>
  <c r="F4412" i="17"/>
  <c r="B4413" i="17"/>
  <c r="C4413" i="17"/>
  <c r="D4413" i="17"/>
  <c r="E4413" i="17"/>
  <c r="F4413" i="17"/>
  <c r="B4414" i="17"/>
  <c r="C4414" i="17"/>
  <c r="D4414" i="17"/>
  <c r="E4414" i="17"/>
  <c r="F4414" i="17"/>
  <c r="B4415" i="17"/>
  <c r="C4415" i="17"/>
  <c r="D4415" i="17"/>
  <c r="E4415" i="17"/>
  <c r="F4415" i="17"/>
  <c r="B4416" i="17"/>
  <c r="C4416" i="17"/>
  <c r="D4416" i="17"/>
  <c r="E4416" i="17"/>
  <c r="F4416" i="17"/>
  <c r="B4417" i="17"/>
  <c r="C4417" i="17"/>
  <c r="D4417" i="17"/>
  <c r="E4417" i="17"/>
  <c r="F4417" i="17"/>
  <c r="B4418" i="17"/>
  <c r="C4418" i="17"/>
  <c r="D4418" i="17"/>
  <c r="E4418" i="17"/>
  <c r="F4418" i="17"/>
  <c r="B4419" i="17"/>
  <c r="C4419" i="17"/>
  <c r="D4419" i="17"/>
  <c r="E4419" i="17"/>
  <c r="F4419" i="17"/>
  <c r="B4420" i="17"/>
  <c r="C4420" i="17"/>
  <c r="D4420" i="17"/>
  <c r="E4420" i="17"/>
  <c r="F4420" i="17"/>
  <c r="B4421" i="17"/>
  <c r="C4421" i="17"/>
  <c r="D4421" i="17"/>
  <c r="E4421" i="17"/>
  <c r="F4421" i="17"/>
  <c r="B4422" i="17"/>
  <c r="C4422" i="17"/>
  <c r="D4422" i="17"/>
  <c r="E4422" i="17"/>
  <c r="F4422" i="17"/>
  <c r="B4423" i="17"/>
  <c r="C4423" i="17"/>
  <c r="D4423" i="17"/>
  <c r="E4423" i="17"/>
  <c r="F4423" i="17"/>
  <c r="B4424" i="17"/>
  <c r="C4424" i="17"/>
  <c r="D4424" i="17"/>
  <c r="E4424" i="17"/>
  <c r="F4424" i="17"/>
  <c r="B4425" i="17"/>
  <c r="C4425" i="17"/>
  <c r="D4425" i="17"/>
  <c r="E4425" i="17"/>
  <c r="F4425" i="17"/>
  <c r="B4426" i="17"/>
  <c r="C4426" i="17"/>
  <c r="D4426" i="17"/>
  <c r="E4426" i="17"/>
  <c r="F4426" i="17"/>
  <c r="B4427" i="17"/>
  <c r="C4427" i="17"/>
  <c r="D4427" i="17"/>
  <c r="E4427" i="17"/>
  <c r="F4427" i="17"/>
  <c r="B4428" i="17"/>
  <c r="C4428" i="17"/>
  <c r="D4428" i="17"/>
  <c r="E4428" i="17"/>
  <c r="F4428" i="17"/>
  <c r="B4429" i="17"/>
  <c r="C4429" i="17"/>
  <c r="D4429" i="17"/>
  <c r="E4429" i="17"/>
  <c r="F4429" i="17"/>
  <c r="B4430" i="17"/>
  <c r="C4430" i="17"/>
  <c r="D4430" i="17"/>
  <c r="E4430" i="17"/>
  <c r="F4430" i="17"/>
  <c r="B4431" i="17"/>
  <c r="C4431" i="17"/>
  <c r="D4431" i="17"/>
  <c r="E4431" i="17"/>
  <c r="F4431" i="17"/>
  <c r="B4432" i="17"/>
  <c r="C4432" i="17"/>
  <c r="D4432" i="17"/>
  <c r="E4432" i="17"/>
  <c r="F4432" i="17"/>
  <c r="B4433" i="17"/>
  <c r="C4433" i="17"/>
  <c r="D4433" i="17"/>
  <c r="E4433" i="17"/>
  <c r="F4433" i="17"/>
  <c r="B4434" i="17"/>
  <c r="C4434" i="17"/>
  <c r="D4434" i="17"/>
  <c r="E4434" i="17"/>
  <c r="F4434" i="17"/>
  <c r="B4435" i="17"/>
  <c r="C4435" i="17"/>
  <c r="D4435" i="17"/>
  <c r="E4435" i="17"/>
  <c r="F4435" i="17"/>
  <c r="B4436" i="17"/>
  <c r="C4436" i="17"/>
  <c r="D4436" i="17"/>
  <c r="E4436" i="17"/>
  <c r="F4436" i="17"/>
  <c r="B4437" i="17"/>
  <c r="C4437" i="17"/>
  <c r="D4437" i="17"/>
  <c r="E4437" i="17"/>
  <c r="F4437" i="17"/>
  <c r="B4438" i="17"/>
  <c r="C4438" i="17"/>
  <c r="D4438" i="17"/>
  <c r="E4438" i="17"/>
  <c r="F4438" i="17"/>
  <c r="G3" i="4" l="1"/>
  <c r="G4" i="4"/>
  <c r="G5" i="4"/>
  <c r="G6" i="4"/>
  <c r="G7" i="4"/>
  <c r="B3" i="4"/>
  <c r="C3" i="4"/>
  <c r="D3" i="4"/>
  <c r="E3" i="4"/>
  <c r="B4" i="4"/>
  <c r="C4" i="4"/>
  <c r="D4" i="4"/>
  <c r="E4" i="4"/>
  <c r="B5" i="4"/>
  <c r="C5" i="4"/>
  <c r="D5" i="4"/>
  <c r="E5" i="4"/>
  <c r="B6" i="4"/>
  <c r="C6" i="4"/>
  <c r="D6" i="4"/>
  <c r="E6" i="4"/>
  <c r="B7" i="4"/>
  <c r="C7" i="4"/>
  <c r="D7" i="4"/>
  <c r="E7" i="4"/>
  <c r="B549" i="14" l="1"/>
  <c r="C549" i="14"/>
  <c r="D549" i="14"/>
  <c r="E549" i="14"/>
  <c r="B550" i="14"/>
  <c r="C550" i="14"/>
  <c r="D550" i="14"/>
  <c r="E550" i="14"/>
  <c r="B551" i="14"/>
  <c r="C551" i="14"/>
  <c r="D551" i="14"/>
  <c r="E551" i="14"/>
  <c r="B552" i="14"/>
  <c r="C552" i="14"/>
  <c r="D552" i="14"/>
  <c r="E552" i="14"/>
  <c r="B201" i="22"/>
  <c r="B200" i="22"/>
  <c r="B199" i="22"/>
  <c r="B198" i="22"/>
  <c r="B189" i="22"/>
  <c r="B188" i="22"/>
  <c r="B147" i="22"/>
  <c r="B146" i="22"/>
  <c r="B145" i="22"/>
  <c r="B548" i="14"/>
  <c r="S346" i="9" l="1"/>
  <c r="S347" i="9"/>
  <c r="P347" i="9"/>
  <c r="P346" i="9"/>
  <c r="L346" i="9"/>
  <c r="L347" i="9"/>
  <c r="I347" i="9"/>
  <c r="I346" i="9"/>
  <c r="J82" i="4"/>
  <c r="J74" i="4"/>
  <c r="J77" i="4"/>
  <c r="N88" i="4"/>
  <c r="N87" i="4"/>
  <c r="N86" i="4"/>
  <c r="N81" i="4"/>
  <c r="J81" i="4"/>
  <c r="G4257" i="17"/>
  <c r="G4256" i="17"/>
  <c r="G4255" i="17"/>
  <c r="G4254" i="17"/>
  <c r="G4253" i="17"/>
  <c r="G4252" i="17"/>
  <c r="G4251" i="17"/>
  <c r="G4250" i="17"/>
  <c r="G4249" i="17"/>
  <c r="G4248" i="17"/>
  <c r="G4247" i="17"/>
  <c r="G4246" i="17"/>
  <c r="G4245" i="17"/>
  <c r="G4244" i="17"/>
  <c r="G4229" i="17"/>
  <c r="G4228" i="17"/>
  <c r="G4227" i="17"/>
  <c r="G4226" i="17"/>
  <c r="G4225" i="17"/>
  <c r="G4224" i="17"/>
  <c r="G4223" i="17"/>
  <c r="G4222" i="17"/>
  <c r="G4221" i="17"/>
  <c r="G4220" i="17"/>
  <c r="G4219" i="17"/>
  <c r="G4218" i="17"/>
  <c r="G4217" i="17"/>
  <c r="G4216" i="17"/>
  <c r="G4215" i="17"/>
  <c r="G4214" i="17"/>
  <c r="G4213" i="17"/>
  <c r="G4212" i="17"/>
  <c r="G4211" i="17"/>
  <c r="G4210" i="17"/>
  <c r="G4209" i="17"/>
  <c r="G4208" i="17"/>
  <c r="G4207" i="17"/>
  <c r="G4206" i="17"/>
  <c r="G4205" i="17"/>
  <c r="G4204" i="17"/>
  <c r="G4203" i="17"/>
  <c r="G4202" i="17"/>
  <c r="G4201" i="17"/>
  <c r="G4200" i="17"/>
  <c r="G4199" i="17"/>
  <c r="G4198" i="17"/>
  <c r="G4197" i="17"/>
  <c r="G4186" i="17"/>
  <c r="G4185" i="17"/>
  <c r="G4184" i="17"/>
  <c r="G4183" i="17"/>
  <c r="G4182" i="17"/>
  <c r="G4181" i="17"/>
  <c r="G4180" i="17"/>
  <c r="G4179" i="17"/>
  <c r="G4178" i="17"/>
  <c r="G4177" i="17"/>
  <c r="G4176" i="17"/>
  <c r="G4175" i="17"/>
  <c r="G4162" i="17"/>
  <c r="G4161" i="17"/>
  <c r="G4160" i="17"/>
  <c r="G4159" i="17"/>
  <c r="G4158" i="17"/>
  <c r="G4157" i="17"/>
  <c r="G4156" i="17"/>
  <c r="G4155" i="17"/>
  <c r="G4154" i="17"/>
  <c r="G4153" i="17"/>
  <c r="G4152" i="17"/>
  <c r="G4151" i="17"/>
  <c r="G4138" i="17"/>
  <c r="G4137" i="17"/>
  <c r="G4136" i="17"/>
  <c r="G4135" i="17"/>
  <c r="G4134" i="17"/>
  <c r="G4133" i="17"/>
  <c r="G4132" i="17"/>
  <c r="G4131" i="17"/>
  <c r="G4130" i="17"/>
  <c r="G4129" i="17"/>
  <c r="G4128" i="17"/>
  <c r="G4127" i="17"/>
  <c r="G4126" i="17"/>
  <c r="G4125" i="17"/>
  <c r="G4124" i="17"/>
  <c r="G4123" i="17"/>
  <c r="G4122" i="17"/>
  <c r="G4121" i="17"/>
  <c r="G4120" i="17"/>
  <c r="G4119" i="17"/>
  <c r="G4118" i="17"/>
  <c r="G4117" i="17"/>
  <c r="G4105" i="17"/>
  <c r="G4104" i="17"/>
  <c r="G4103" i="17"/>
  <c r="G4102" i="17"/>
  <c r="G4101" i="17"/>
  <c r="G4100" i="17"/>
  <c r="G4099" i="17"/>
  <c r="G4098" i="17"/>
  <c r="G4097" i="17"/>
  <c r="G4096" i="17"/>
  <c r="G4095" i="17"/>
  <c r="G4094" i="17"/>
  <c r="G4093" i="17"/>
  <c r="G4092" i="17"/>
  <c r="G4091" i="17"/>
  <c r="G4090" i="17"/>
  <c r="G4089" i="17"/>
  <c r="G4088" i="17"/>
  <c r="G4087" i="17"/>
  <c r="G4086" i="17"/>
  <c r="G4085" i="17"/>
  <c r="G4084" i="17"/>
  <c r="G4083" i="17"/>
  <c r="G4082" i="17"/>
  <c r="G4081" i="17"/>
  <c r="G4079" i="17"/>
  <c r="G4078" i="17"/>
  <c r="G4077" i="17"/>
  <c r="G4076" i="17"/>
  <c r="G4075" i="17"/>
  <c r="G4074" i="17"/>
  <c r="G4073" i="17"/>
  <c r="G4072" i="17"/>
  <c r="G4071" i="17"/>
  <c r="G4070" i="17"/>
  <c r="G4069" i="17"/>
  <c r="G4068" i="17"/>
  <c r="G4067" i="17"/>
  <c r="G4066" i="17"/>
  <c r="G4065" i="17"/>
  <c r="G4064" i="17"/>
  <c r="G4063" i="17"/>
  <c r="G4062" i="17"/>
  <c r="G4061" i="17"/>
  <c r="G4060" i="17"/>
  <c r="G4059" i="17"/>
  <c r="G4058" i="17"/>
  <c r="G4057" i="17"/>
  <c r="G4056" i="17"/>
  <c r="G4055" i="17"/>
  <c r="G4054" i="17"/>
  <c r="G4053" i="17"/>
  <c r="G4052" i="17"/>
  <c r="G4051" i="17"/>
  <c r="G4050" i="17"/>
  <c r="G4049" i="17"/>
  <c r="G4048" i="17"/>
  <c r="G4047" i="17"/>
  <c r="G4046" i="17"/>
  <c r="G4045" i="17"/>
  <c r="G4044" i="17"/>
  <c r="G4043" i="17"/>
  <c r="G4042" i="17"/>
  <c r="G4041" i="17"/>
  <c r="G4040" i="17"/>
  <c r="G4039" i="17"/>
  <c r="G4038" i="17"/>
  <c r="J92" i="4"/>
  <c r="G339" i="9"/>
  <c r="G342" i="9"/>
  <c r="N25" i="4"/>
  <c r="N33" i="4"/>
  <c r="J34" i="4"/>
  <c r="J33" i="4"/>
  <c r="J70" i="4"/>
  <c r="J69" i="4"/>
  <c r="T71" i="4"/>
  <c r="J72" i="4"/>
  <c r="J71" i="4"/>
  <c r="G3319" i="17"/>
  <c r="G3320" i="17"/>
  <c r="G3321" i="17"/>
  <c r="G3322" i="17"/>
  <c r="G3323" i="17"/>
  <c r="G3324" i="17"/>
  <c r="G3325" i="17"/>
  <c r="G3318" i="17"/>
  <c r="J61" i="4"/>
  <c r="T61" i="4"/>
  <c r="AN17" i="4"/>
  <c r="AN18" i="4"/>
  <c r="AN19" i="4"/>
  <c r="AN20" i="4"/>
  <c r="AN21" i="4"/>
  <c r="AN22" i="4"/>
  <c r="AN3" i="4"/>
  <c r="AN4" i="4"/>
  <c r="AN5" i="4"/>
  <c r="AN6" i="4"/>
  <c r="AN7" i="4"/>
  <c r="AN8" i="4"/>
  <c r="AN9" i="4"/>
  <c r="AN10" i="4"/>
  <c r="AN11" i="4"/>
  <c r="AN12" i="4"/>
  <c r="AN13" i="4"/>
  <c r="AN14" i="4"/>
  <c r="AN15" i="4"/>
  <c r="AN16" i="4"/>
  <c r="AN2" i="4"/>
  <c r="Q2601" i="17"/>
  <c r="Q2602" i="17"/>
  <c r="Q2603" i="17"/>
  <c r="Q2604" i="17"/>
  <c r="Q2605" i="17"/>
  <c r="Q2606" i="17"/>
  <c r="Q2607" i="17"/>
  <c r="Q2608" i="17"/>
  <c r="Q2609" i="17"/>
  <c r="Q2610" i="17"/>
  <c r="Q2611" i="17"/>
  <c r="Q2612" i="17"/>
  <c r="Q2613" i="17"/>
  <c r="Q2614" i="17"/>
  <c r="Q2615" i="17"/>
  <c r="Q2616" i="17"/>
  <c r="Q2617" i="17"/>
  <c r="Q2618" i="17"/>
  <c r="Q2619" i="17"/>
  <c r="Q2620" i="17"/>
  <c r="Q2621" i="17"/>
  <c r="Q2622" i="17"/>
  <c r="Q2623" i="17"/>
  <c r="Q2624" i="17"/>
  <c r="Q2625" i="17"/>
  <c r="Q2626" i="17"/>
  <c r="Q2627" i="17"/>
  <c r="Q2628" i="17"/>
  <c r="Q2629" i="17"/>
  <c r="Q2630" i="17"/>
  <c r="Q2631" i="17"/>
  <c r="Q2632" i="17"/>
  <c r="Q2633" i="17"/>
  <c r="Q2634" i="17"/>
  <c r="Q2635" i="17"/>
  <c r="Q2636" i="17"/>
  <c r="Q2637" i="17"/>
  <c r="Q2638" i="17"/>
  <c r="Q2639" i="17"/>
  <c r="Q2640" i="17"/>
  <c r="Q2641" i="17"/>
  <c r="Q2642" i="17"/>
  <c r="Q2643" i="17"/>
  <c r="Q2644" i="17"/>
  <c r="Q2645" i="17"/>
  <c r="Q2646" i="17"/>
  <c r="Q2647" i="17"/>
  <c r="Q2648" i="17"/>
  <c r="Q2649" i="17"/>
  <c r="Q2650" i="17"/>
  <c r="Q2651" i="17"/>
  <c r="Q2652" i="17"/>
  <c r="Q2653" i="17"/>
  <c r="Q2654" i="17"/>
  <c r="Q2655" i="17"/>
  <c r="Q2656" i="17"/>
  <c r="Q2657" i="17"/>
  <c r="Q2658" i="17"/>
  <c r="Q2659" i="17"/>
  <c r="Q2660" i="17"/>
  <c r="Q2661" i="17"/>
  <c r="Q2662" i="17"/>
  <c r="Q2663" i="17"/>
  <c r="Q2664" i="17"/>
  <c r="Q2665" i="17"/>
  <c r="Q2666" i="17"/>
  <c r="Q2667" i="17"/>
  <c r="Q2668" i="17"/>
  <c r="Q2669" i="17"/>
  <c r="Q2670" i="17"/>
  <c r="Q2671" i="17"/>
  <c r="Q2672" i="17"/>
  <c r="Q2673" i="17"/>
  <c r="Q2674" i="17"/>
  <c r="Q2675" i="17"/>
  <c r="Q2676" i="17"/>
  <c r="Q2677" i="17"/>
  <c r="Q2678" i="17"/>
  <c r="Q2679" i="17"/>
  <c r="Q2680" i="17"/>
  <c r="Q2681" i="17"/>
  <c r="Q2682" i="17"/>
  <c r="Q2683" i="17"/>
  <c r="Q2684" i="17"/>
  <c r="Q2685" i="17"/>
  <c r="Q2686" i="17"/>
  <c r="Q2687" i="17"/>
  <c r="Q2688" i="17"/>
  <c r="Q2689" i="17"/>
  <c r="Q2690" i="17"/>
  <c r="Q2691" i="17"/>
  <c r="Q2692" i="17"/>
  <c r="Q2693" i="17"/>
  <c r="Q2694" i="17"/>
  <c r="Q2695" i="17"/>
  <c r="Q2696" i="17"/>
  <c r="Q2697" i="17"/>
  <c r="Q2698" i="17"/>
  <c r="Q2699" i="17"/>
  <c r="Q2700" i="17"/>
  <c r="Q2701" i="17"/>
  <c r="Q2702" i="17"/>
  <c r="Q2703" i="17"/>
  <c r="Q2704" i="17"/>
  <c r="Q2705" i="17"/>
  <c r="Q2706" i="17"/>
  <c r="Q2707" i="17"/>
  <c r="Q2708" i="17"/>
  <c r="Q2709" i="17"/>
  <c r="Q2710" i="17"/>
  <c r="Q2711" i="17"/>
  <c r="Q2712" i="17"/>
  <c r="Q2713" i="17"/>
  <c r="Q2714" i="17"/>
  <c r="Q2715" i="17"/>
  <c r="Q2716" i="17"/>
  <c r="Q2717" i="17"/>
  <c r="Q2718" i="17"/>
  <c r="Q2719" i="17"/>
  <c r="Q2720" i="17"/>
  <c r="Q2721" i="17"/>
  <c r="Q2722" i="17"/>
  <c r="Q2723" i="17"/>
  <c r="Q2724" i="17"/>
  <c r="Q2725" i="17"/>
  <c r="Q2726" i="17"/>
  <c r="Q2727" i="17"/>
  <c r="Q2728" i="17"/>
  <c r="Q2729" i="17"/>
  <c r="Q2730" i="17"/>
  <c r="Q2731" i="17"/>
  <c r="Q2732" i="17"/>
  <c r="Q2733" i="17"/>
  <c r="Q2734" i="17"/>
  <c r="Q2735" i="17"/>
  <c r="Q2736" i="17"/>
  <c r="Q2737" i="17"/>
  <c r="Q2738" i="17"/>
  <c r="Q2739" i="17"/>
  <c r="Q2740" i="17"/>
  <c r="Q2741" i="17"/>
  <c r="Q2742" i="17"/>
  <c r="Q2743" i="17"/>
  <c r="Q2744" i="17"/>
  <c r="Q2745" i="17"/>
  <c r="Q2746" i="17"/>
  <c r="Q2747" i="17"/>
  <c r="Q2748" i="17"/>
  <c r="Q2749" i="17"/>
  <c r="Q2750" i="17"/>
  <c r="Q2751" i="17"/>
  <c r="Q2752" i="17"/>
  <c r="Q2753" i="17"/>
  <c r="Q2754" i="17"/>
  <c r="Q2755" i="17"/>
  <c r="Q2756" i="17"/>
  <c r="Q2757" i="17"/>
  <c r="Q2758" i="17"/>
  <c r="Q2759" i="17"/>
  <c r="Q2760" i="17"/>
  <c r="Q2761" i="17"/>
  <c r="Q2762" i="17"/>
  <c r="Q2763" i="17"/>
  <c r="Q2764" i="17"/>
  <c r="Q2765" i="17"/>
  <c r="Q2766" i="17"/>
  <c r="Q2767" i="17"/>
  <c r="Q2768" i="17"/>
  <c r="Q2769" i="17"/>
  <c r="Q2770" i="17"/>
  <c r="Q2771" i="17"/>
  <c r="Q2772" i="17"/>
  <c r="Q2773" i="17"/>
  <c r="Q2774" i="17"/>
  <c r="Q2775" i="17"/>
  <c r="Q2776" i="17"/>
  <c r="Q2777" i="17"/>
  <c r="Q2778" i="17"/>
  <c r="Q2779" i="17"/>
  <c r="Q2780" i="17"/>
  <c r="Q2781" i="17"/>
  <c r="Q2782" i="17"/>
  <c r="Q2783" i="17"/>
  <c r="Q2784" i="17"/>
  <c r="Q2785" i="17"/>
  <c r="Q2786" i="17"/>
  <c r="Q2787" i="17"/>
  <c r="Q2788" i="17"/>
  <c r="Q2789" i="17"/>
  <c r="Q2790" i="17"/>
  <c r="Q2791" i="17"/>
  <c r="Q2792" i="17"/>
  <c r="Q2793" i="17"/>
  <c r="Q2794" i="17"/>
  <c r="Q2795" i="17"/>
  <c r="Q2796" i="17"/>
  <c r="Q2797" i="17"/>
  <c r="Q2798" i="17"/>
  <c r="Q2799" i="17"/>
  <c r="Q2800" i="17"/>
  <c r="Q2801" i="17"/>
  <c r="Q2802" i="17"/>
  <c r="Q2803" i="17"/>
  <c r="Q2804" i="17"/>
  <c r="Q2805" i="17"/>
  <c r="Q2806" i="17"/>
  <c r="Q2807" i="17"/>
  <c r="Q2808" i="17"/>
  <c r="Q2809" i="17"/>
  <c r="Q2810" i="17"/>
  <c r="Q2811" i="17"/>
  <c r="Q2812" i="17"/>
  <c r="Q2813" i="17"/>
  <c r="Q2814" i="17"/>
  <c r="Q2815" i="17"/>
  <c r="Q2816" i="17"/>
  <c r="Q2817" i="17"/>
  <c r="Q2818" i="17"/>
  <c r="Q2819" i="17"/>
  <c r="Q2820" i="17"/>
  <c r="Q2821" i="17"/>
  <c r="Q2822" i="17"/>
  <c r="Q2823" i="17"/>
  <c r="Q2824" i="17"/>
  <c r="Q2825" i="17"/>
  <c r="Q2826" i="17"/>
  <c r="Q2827" i="17"/>
  <c r="Q2828" i="17"/>
  <c r="Q2829" i="17"/>
  <c r="Q2830" i="17"/>
  <c r="Q2831" i="17"/>
  <c r="Q2832" i="17"/>
  <c r="Q2833" i="17"/>
  <c r="Q2834" i="17"/>
  <c r="Q2835" i="17"/>
  <c r="Q2836" i="17"/>
  <c r="Q2837" i="17"/>
  <c r="Q2838" i="17"/>
  <c r="Q2839" i="17"/>
  <c r="Q2840" i="17"/>
  <c r="Q2841" i="17"/>
  <c r="Q2842" i="17"/>
  <c r="Q2843" i="17"/>
  <c r="Q2844" i="17"/>
  <c r="Q2845" i="17"/>
  <c r="Q2846" i="17"/>
  <c r="Q2847" i="17"/>
  <c r="Q2848" i="17"/>
  <c r="Q2849" i="17"/>
  <c r="Q2850" i="17"/>
  <c r="Q2851" i="17"/>
  <c r="Q2852" i="17"/>
  <c r="Q2853" i="17"/>
  <c r="Q2854" i="17"/>
  <c r="Q2855" i="17"/>
  <c r="Q2856" i="17"/>
  <c r="Q2857" i="17"/>
  <c r="Q2858" i="17"/>
  <c r="Q2859" i="17"/>
  <c r="Q2860" i="17"/>
  <c r="Q2861" i="17"/>
  <c r="Q2862" i="17"/>
  <c r="Q2863" i="17"/>
  <c r="Q2864" i="17"/>
  <c r="Q2865" i="17"/>
  <c r="Q2866" i="17"/>
  <c r="Q2867" i="17"/>
  <c r="Q2868" i="17"/>
  <c r="Q2869" i="17"/>
  <c r="Q2870" i="17"/>
  <c r="Q2871" i="17"/>
  <c r="Q2872" i="17"/>
  <c r="Q2873" i="17"/>
  <c r="Q2874" i="17"/>
  <c r="Q2875" i="17"/>
  <c r="Q2876" i="17"/>
  <c r="Q2877" i="17"/>
  <c r="Q2878" i="17"/>
  <c r="Q2879" i="17"/>
  <c r="Q2880" i="17"/>
  <c r="Q2881" i="17"/>
  <c r="Q2882" i="17"/>
  <c r="Q2883" i="17"/>
  <c r="Q2884" i="17"/>
  <c r="Q2885" i="17"/>
  <c r="Q2886" i="17"/>
  <c r="Q2887" i="17"/>
  <c r="Q2888" i="17"/>
  <c r="Q2889" i="17"/>
  <c r="Q2890" i="17"/>
  <c r="Q2891" i="17"/>
  <c r="Q2892" i="17"/>
  <c r="Q2893" i="17"/>
  <c r="Q2894" i="17"/>
  <c r="Q2895" i="17"/>
  <c r="Q2896" i="17"/>
  <c r="Q2897" i="17"/>
  <c r="Q2898" i="17"/>
  <c r="Q2899" i="17"/>
  <c r="Q2900" i="17"/>
  <c r="Q2901" i="17"/>
  <c r="Q2902" i="17"/>
  <c r="Q2903" i="17"/>
  <c r="Q2904" i="17"/>
  <c r="Q2905" i="17"/>
  <c r="Q2906" i="17"/>
  <c r="Q2907" i="17"/>
  <c r="Q2908" i="17"/>
  <c r="Q2909" i="17"/>
  <c r="Q2910" i="17"/>
  <c r="Q2911" i="17"/>
  <c r="Q2912" i="17"/>
  <c r="Q2913" i="17"/>
  <c r="Q2914" i="17"/>
  <c r="Q2915" i="17"/>
  <c r="Q2916" i="17"/>
  <c r="Q2917" i="17"/>
  <c r="Q2918" i="17"/>
  <c r="Q2919" i="17"/>
  <c r="Q2920" i="17"/>
  <c r="Q2921" i="17"/>
  <c r="Q2922" i="17"/>
  <c r="Q2923" i="17"/>
  <c r="Q2924" i="17"/>
  <c r="Q2925" i="17"/>
  <c r="Q2926" i="17"/>
  <c r="Q2927" i="17"/>
  <c r="Q2928" i="17"/>
  <c r="Q2929" i="17"/>
  <c r="Q2930" i="17"/>
  <c r="Q2931" i="17"/>
  <c r="Q2932" i="17"/>
  <c r="Q2933" i="17"/>
  <c r="Q2934" i="17"/>
  <c r="Q2935" i="17"/>
  <c r="Q2936" i="17"/>
  <c r="Q2937" i="17"/>
  <c r="Q2938" i="17"/>
  <c r="Q2939" i="17"/>
  <c r="Q2940" i="17"/>
  <c r="Q2941" i="17"/>
  <c r="Q2942" i="17"/>
  <c r="Q2943" i="17"/>
  <c r="Q2944" i="17"/>
  <c r="Q2945" i="17"/>
  <c r="Q2946" i="17"/>
  <c r="Q2947" i="17"/>
  <c r="Q2948" i="17"/>
  <c r="Q2949" i="17"/>
  <c r="Q2950" i="17"/>
  <c r="Q2951" i="17"/>
  <c r="Q2952" i="17"/>
  <c r="Q2953" i="17"/>
  <c r="Q2954" i="17"/>
  <c r="Q2955" i="17"/>
  <c r="Q2956" i="17"/>
  <c r="Q2957" i="17"/>
  <c r="Q2958" i="17"/>
  <c r="Q2959" i="17"/>
  <c r="Q2960" i="17"/>
  <c r="Q2961" i="17"/>
  <c r="Q2962" i="17"/>
  <c r="Q2963" i="17"/>
  <c r="Q2964" i="17"/>
  <c r="Q2965" i="17"/>
  <c r="Q2966" i="17"/>
  <c r="Q2967" i="17"/>
  <c r="Q2968" i="17"/>
  <c r="Q2969" i="17"/>
  <c r="Q2970" i="17"/>
  <c r="Q2971" i="17"/>
  <c r="Q2972" i="17"/>
  <c r="Q2973" i="17"/>
  <c r="Q2974" i="17"/>
  <c r="Q2975" i="17"/>
  <c r="Q2976" i="17"/>
  <c r="Q2977" i="17"/>
  <c r="Q2978" i="17"/>
  <c r="Q2979" i="17"/>
  <c r="Q2980" i="17"/>
  <c r="Q2981" i="17"/>
  <c r="Q2982" i="17"/>
  <c r="Q2983" i="17"/>
  <c r="Q2984" i="17"/>
  <c r="Q2985" i="17"/>
  <c r="Q2986" i="17"/>
  <c r="Q2987" i="17"/>
  <c r="Q2988" i="17"/>
  <c r="Q2989" i="17"/>
  <c r="Q2990" i="17"/>
  <c r="Q2991" i="17"/>
  <c r="Q2992" i="17"/>
  <c r="Q2993" i="17"/>
  <c r="Q2994" i="17"/>
  <c r="Q2995" i="17"/>
  <c r="Q2996" i="17"/>
  <c r="Q2997" i="17"/>
  <c r="Q2998" i="17"/>
  <c r="Q2999" i="17"/>
  <c r="Q3000" i="17"/>
  <c r="Q3001" i="17"/>
  <c r="Q3002" i="17"/>
  <c r="Q3003" i="17"/>
  <c r="Q3004" i="17"/>
  <c r="Q3005" i="17"/>
  <c r="Q3006" i="17"/>
  <c r="Q3007" i="17"/>
  <c r="Q3008" i="17"/>
  <c r="Q3009" i="17"/>
  <c r="Q3010" i="17"/>
  <c r="Q3011" i="17"/>
  <c r="Q3012" i="17"/>
  <c r="Q3013" i="17"/>
  <c r="Q3014" i="17"/>
  <c r="Q3015" i="17"/>
  <c r="Q3016" i="17"/>
  <c r="Q3017" i="17"/>
  <c r="Q3018" i="17"/>
  <c r="Q3019" i="17"/>
  <c r="Q3020" i="17"/>
  <c r="Q3021" i="17"/>
  <c r="Q3022" i="17"/>
  <c r="Q3023" i="17"/>
  <c r="Q3024" i="17"/>
  <c r="Q3025" i="17"/>
  <c r="Q3026" i="17"/>
  <c r="Q3027" i="17"/>
  <c r="Q3028" i="17"/>
  <c r="Q3029" i="17"/>
  <c r="Q3030" i="17"/>
  <c r="Q3031" i="17"/>
  <c r="Q3032" i="17"/>
  <c r="Q3033" i="17"/>
  <c r="Q3034" i="17"/>
  <c r="Q3035" i="17"/>
  <c r="Q3036" i="17"/>
  <c r="Q3037" i="17"/>
  <c r="Q3038" i="17"/>
  <c r="Q3039" i="17"/>
  <c r="Q3040" i="17"/>
  <c r="Q3041" i="17"/>
  <c r="Q3042" i="17"/>
  <c r="Q3043" i="17"/>
  <c r="Q3044" i="17"/>
  <c r="Q3045" i="17"/>
  <c r="Q3046" i="17"/>
  <c r="Q3047" i="17"/>
  <c r="Q3048" i="17"/>
  <c r="Q3049" i="17"/>
  <c r="Q3050" i="17"/>
  <c r="Q3051" i="17"/>
  <c r="Q3052" i="17"/>
  <c r="Q3053" i="17"/>
  <c r="Q3054" i="17"/>
  <c r="Q3055" i="17"/>
  <c r="Q3056" i="17"/>
  <c r="Q3057" i="17"/>
  <c r="Q3058" i="17"/>
  <c r="Q3059" i="17"/>
  <c r="Q3060" i="17"/>
  <c r="Q3061" i="17"/>
  <c r="Q3062" i="17"/>
  <c r="Q3063" i="17"/>
  <c r="Q3064" i="17"/>
  <c r="Q3065" i="17"/>
  <c r="Q3066" i="17"/>
  <c r="Q3067" i="17"/>
  <c r="Q3068" i="17"/>
  <c r="Q3069" i="17"/>
  <c r="Q3070" i="17"/>
  <c r="Q3071" i="17"/>
  <c r="Q3072" i="17"/>
  <c r="Q3073" i="17"/>
  <c r="Q3074" i="17"/>
  <c r="Q3075" i="17"/>
  <c r="Q3076" i="17"/>
  <c r="Q3077" i="17"/>
  <c r="Q3078" i="17"/>
  <c r="Q3079" i="17"/>
  <c r="Q3080" i="17"/>
  <c r="Q3081" i="17"/>
  <c r="Q3082" i="17"/>
  <c r="Q3083" i="17"/>
  <c r="Q3084" i="17"/>
  <c r="Q3085" i="17"/>
  <c r="Q3086" i="17"/>
  <c r="Q3087" i="17"/>
  <c r="Q3088" i="17"/>
  <c r="Q3089" i="17"/>
  <c r="Q3090" i="17"/>
  <c r="Q3091" i="17"/>
  <c r="Q3092" i="17"/>
  <c r="Q3093" i="17"/>
  <c r="Q3094" i="17"/>
  <c r="Q3095" i="17"/>
  <c r="Q3096" i="17"/>
  <c r="Q3097" i="17"/>
  <c r="Q3098" i="17"/>
  <c r="Q3099" i="17"/>
  <c r="Q3100" i="17"/>
  <c r="Q3101" i="17"/>
  <c r="Q3102" i="17"/>
  <c r="Q3103" i="17"/>
  <c r="Q3104" i="17"/>
  <c r="Q3105" i="17"/>
  <c r="Q3106" i="17"/>
  <c r="Q3107" i="17"/>
  <c r="Q3108" i="17"/>
  <c r="Q3109" i="17"/>
  <c r="Q3110" i="17"/>
  <c r="Q3111" i="17"/>
  <c r="Q3112" i="17"/>
  <c r="Q3113" i="17"/>
  <c r="Q3114" i="17"/>
  <c r="Q3115" i="17"/>
  <c r="Q3116" i="17"/>
  <c r="Q3117" i="17"/>
  <c r="Q3118" i="17"/>
  <c r="Q3119" i="17"/>
  <c r="Q3120" i="17"/>
  <c r="Q3121" i="17"/>
  <c r="Q3122" i="17"/>
  <c r="Q3123" i="17"/>
  <c r="Q3124" i="17"/>
  <c r="Q3125" i="17"/>
  <c r="Q3126" i="17"/>
  <c r="Q3127" i="17"/>
  <c r="Q3128" i="17"/>
  <c r="Q3129" i="17"/>
  <c r="Q3130" i="17"/>
  <c r="Q3131" i="17"/>
  <c r="Q3132" i="17"/>
  <c r="Q3133" i="17"/>
  <c r="Q3134" i="17"/>
  <c r="Q3135" i="17"/>
  <c r="Q3136" i="17"/>
  <c r="Q3137" i="17"/>
  <c r="Q3138" i="17"/>
  <c r="Q3139" i="17"/>
  <c r="Q3140" i="17"/>
  <c r="Q3141" i="17"/>
  <c r="Q3142" i="17"/>
  <c r="Q3143" i="17"/>
  <c r="Q3144" i="17"/>
  <c r="Q3145" i="17"/>
  <c r="Q3146" i="17"/>
  <c r="Q3147" i="17"/>
  <c r="Q3148" i="17"/>
  <c r="Q3149" i="17"/>
  <c r="Q3150" i="17"/>
  <c r="Q3151" i="17"/>
  <c r="Q3152" i="17"/>
  <c r="Q3153" i="17"/>
  <c r="Q3154" i="17"/>
  <c r="Q3155" i="17"/>
  <c r="Q3156" i="17"/>
  <c r="Q3157" i="17"/>
  <c r="Q3158" i="17"/>
  <c r="Q3159" i="17"/>
  <c r="Q3160" i="17"/>
  <c r="Q3161" i="17"/>
  <c r="Q3162" i="17"/>
  <c r="Q3163" i="17"/>
  <c r="Q3164" i="17"/>
  <c r="Q3165" i="17"/>
  <c r="Q3166" i="17"/>
  <c r="Q3167" i="17"/>
  <c r="Q3168" i="17"/>
  <c r="Q3169" i="17"/>
  <c r="Q3170" i="17"/>
  <c r="Q3171" i="17"/>
  <c r="Q3172" i="17"/>
  <c r="Q3173" i="17"/>
  <c r="Q3174" i="17"/>
  <c r="Q3175" i="17"/>
  <c r="Q3176" i="17"/>
  <c r="Q3177" i="17"/>
  <c r="Q3178" i="17"/>
  <c r="Q3179" i="17"/>
  <c r="Q3180" i="17"/>
  <c r="Q3181" i="17"/>
  <c r="Q3182" i="17"/>
  <c r="Q3183" i="17"/>
  <c r="Q3184" i="17"/>
  <c r="Q3185" i="17"/>
  <c r="Q3186" i="17"/>
  <c r="Q3187" i="17"/>
  <c r="Q3188" i="17"/>
  <c r="Q3189" i="17"/>
  <c r="Q3190" i="17"/>
  <c r="Q3191" i="17"/>
  <c r="Q3192" i="17"/>
  <c r="Q3193" i="17"/>
  <c r="Q3194" i="17"/>
  <c r="Q3195" i="17"/>
  <c r="Q3196" i="17"/>
  <c r="Q3197" i="17"/>
  <c r="Q3198" i="17"/>
  <c r="Q3199" i="17"/>
  <c r="Q3200" i="17"/>
  <c r="Q3201" i="17"/>
  <c r="Q3202" i="17"/>
  <c r="Q3203" i="17"/>
  <c r="Q3204" i="17"/>
  <c r="Q3205" i="17"/>
  <c r="Q3206" i="17"/>
  <c r="Q3207" i="17"/>
  <c r="Q3208" i="17"/>
  <c r="Q3209" i="17"/>
  <c r="Q3210" i="17"/>
  <c r="Q3211" i="17"/>
  <c r="Q3212" i="17"/>
  <c r="Q3213" i="17"/>
  <c r="Q3214" i="17"/>
  <c r="Q3215" i="17"/>
  <c r="Q3216" i="17"/>
  <c r="Q3217" i="17"/>
  <c r="Q3218" i="17"/>
  <c r="Q3219" i="17"/>
  <c r="Q3220" i="17"/>
  <c r="Q3221" i="17"/>
  <c r="Q3222" i="17"/>
  <c r="Q3223" i="17"/>
  <c r="Q3224" i="17"/>
  <c r="Q3225" i="17"/>
  <c r="Q3226" i="17"/>
  <c r="Q3227" i="17"/>
  <c r="Q3228" i="17"/>
  <c r="Q3229" i="17"/>
  <c r="Q3230" i="17"/>
  <c r="Q3231" i="17"/>
  <c r="Q3232" i="17"/>
  <c r="Q3233" i="17"/>
  <c r="Q3234" i="17"/>
  <c r="Q3235" i="17"/>
  <c r="Q3236" i="17"/>
  <c r="Q3237" i="17"/>
  <c r="Q3238" i="17"/>
  <c r="Q3239" i="17"/>
  <c r="Q3240" i="17"/>
  <c r="Q3241" i="17"/>
  <c r="Q3242" i="17"/>
  <c r="Q3243" i="17"/>
  <c r="Q3244" i="17"/>
  <c r="Q3245" i="17"/>
  <c r="Q3246" i="17"/>
  <c r="Q3247" i="17"/>
  <c r="Q3248" i="17"/>
  <c r="Q3249" i="17"/>
  <c r="Q3250" i="17"/>
  <c r="Q3251" i="17"/>
  <c r="Q3252" i="17"/>
  <c r="Q3253" i="17"/>
  <c r="Q3254" i="17"/>
  <c r="Q3255" i="17"/>
  <c r="Q3256" i="17"/>
  <c r="Q3257" i="17"/>
  <c r="Q3258" i="17"/>
  <c r="Q3259" i="17"/>
  <c r="Q3260" i="17"/>
  <c r="Q3261" i="17"/>
  <c r="Q3262" i="17"/>
  <c r="Q3263" i="17"/>
  <c r="Q3264" i="17"/>
  <c r="Q3265" i="17"/>
  <c r="Q3266" i="17"/>
  <c r="Q3267" i="17"/>
  <c r="Q3268" i="17"/>
  <c r="Q3269" i="17"/>
  <c r="Q3270" i="17"/>
  <c r="Q3271" i="17"/>
  <c r="Q3272" i="17"/>
  <c r="Q3273" i="17"/>
  <c r="Q3274" i="17"/>
  <c r="Q3275" i="17"/>
  <c r="Q3276" i="17"/>
  <c r="Q3277" i="17"/>
  <c r="Q3278" i="17"/>
  <c r="Q3279" i="17"/>
  <c r="Q3280" i="17"/>
  <c r="Q3281" i="17"/>
  <c r="Q3282" i="17"/>
  <c r="Q3283" i="17"/>
  <c r="Q3284" i="17"/>
  <c r="Q3285" i="17"/>
  <c r="Q3286" i="17"/>
  <c r="Q3287" i="17"/>
  <c r="Q3288" i="17"/>
  <c r="Q3289" i="17"/>
  <c r="Q3290" i="17"/>
  <c r="Q3291" i="17"/>
  <c r="Q3292" i="17"/>
  <c r="Q3293" i="17"/>
  <c r="Q3294" i="17"/>
  <c r="Q3295" i="17"/>
  <c r="Q3296" i="17"/>
  <c r="Q3297" i="17"/>
  <c r="Q3298" i="17"/>
  <c r="Q3299" i="17"/>
  <c r="Q3300" i="17"/>
  <c r="Q3301" i="17"/>
  <c r="Q3302" i="17"/>
  <c r="Q3303" i="17"/>
  <c r="Q3304" i="17"/>
  <c r="Q3305" i="17"/>
  <c r="Q3306" i="17"/>
  <c r="Q3307" i="17"/>
  <c r="Q3308" i="17"/>
  <c r="Q3309" i="17"/>
  <c r="Q3310" i="17"/>
  <c r="Q3311" i="17"/>
  <c r="Q3312" i="17"/>
  <c r="Q3313" i="17"/>
  <c r="Q3314" i="17"/>
  <c r="Q3315" i="17"/>
  <c r="Q3316" i="17"/>
  <c r="Q3317" i="17"/>
  <c r="Q3318" i="17"/>
  <c r="Q3319" i="17"/>
  <c r="Q3320" i="17"/>
  <c r="Q3321" i="17"/>
  <c r="Q3322" i="17"/>
  <c r="Q3323" i="17"/>
  <c r="Q3324" i="17"/>
  <c r="Q3325" i="17"/>
  <c r="Q3326" i="17"/>
  <c r="Q3327" i="17"/>
  <c r="Q3328" i="17"/>
  <c r="Q3329" i="17"/>
  <c r="Q3330" i="17"/>
  <c r="Q3331" i="17"/>
  <c r="Q3332" i="17"/>
  <c r="Q3333" i="17"/>
  <c r="Q3334" i="17"/>
  <c r="Q3335" i="17"/>
  <c r="Q3336" i="17"/>
  <c r="Q3337" i="17"/>
  <c r="Q3338" i="17"/>
  <c r="Q3339" i="17"/>
  <c r="Q3340" i="17"/>
  <c r="Q3341" i="17"/>
  <c r="Q3342" i="17"/>
  <c r="Q3343" i="17"/>
  <c r="Q3344" i="17"/>
  <c r="Q3345" i="17"/>
  <c r="Q3346" i="17"/>
  <c r="Q3347" i="17"/>
  <c r="Q3348" i="17"/>
  <c r="Q3349" i="17"/>
  <c r="Q3350" i="17"/>
  <c r="Q3351" i="17"/>
  <c r="Q3352" i="17"/>
  <c r="Q3353" i="17"/>
  <c r="Q3354" i="17"/>
  <c r="Q3355" i="17"/>
  <c r="Q3356" i="17"/>
  <c r="Q3357" i="17"/>
  <c r="Q3358" i="17"/>
  <c r="Q3359" i="17"/>
  <c r="Q3360" i="17"/>
  <c r="Q3361" i="17"/>
  <c r="Q3362" i="17"/>
  <c r="Q3363" i="17"/>
  <c r="Q3364" i="17"/>
  <c r="Q3365" i="17"/>
  <c r="Q3366" i="17"/>
  <c r="Q3367" i="17"/>
  <c r="Q3368" i="17"/>
  <c r="Q3369" i="17"/>
  <c r="Q3370" i="17"/>
  <c r="Q3371" i="17"/>
  <c r="Q3372" i="17"/>
  <c r="Q3373" i="17"/>
  <c r="Q3388" i="17"/>
  <c r="Q3389" i="17"/>
  <c r="Q3390" i="17"/>
  <c r="Q3391" i="17"/>
  <c r="Q3392" i="17"/>
  <c r="Q3393" i="17"/>
  <c r="Q3394" i="17"/>
  <c r="Q3395" i="17"/>
  <c r="Q3396" i="17"/>
  <c r="Q3397" i="17"/>
  <c r="Q3398" i="17"/>
  <c r="Q3399" i="17"/>
  <c r="Q3400" i="17"/>
  <c r="Q3401" i="17"/>
  <c r="Q3402" i="17"/>
  <c r="Q3403" i="17"/>
  <c r="Q3404" i="17"/>
  <c r="Q3405" i="17"/>
  <c r="Q3406" i="17"/>
  <c r="Q3407" i="17"/>
  <c r="Q3408" i="17"/>
  <c r="Q3409" i="17"/>
  <c r="Q3410" i="17"/>
  <c r="Q3411" i="17"/>
  <c r="Q3412" i="17"/>
  <c r="Q3413" i="17"/>
  <c r="Q3414" i="17"/>
  <c r="Q3415" i="17"/>
  <c r="Q3416" i="17"/>
  <c r="Q3417" i="17"/>
  <c r="Q3418" i="17"/>
  <c r="Q3419" i="17"/>
  <c r="Q3420" i="17"/>
  <c r="Q3421" i="17"/>
  <c r="Q3422" i="17"/>
  <c r="Q3423" i="17"/>
  <c r="Q3424" i="17"/>
  <c r="Q3425" i="17"/>
  <c r="Q3426" i="17"/>
  <c r="Q3427" i="17"/>
  <c r="Q3428" i="17"/>
  <c r="Q3429" i="17"/>
  <c r="Q3430" i="17"/>
  <c r="Q3431" i="17"/>
  <c r="Q3432" i="17"/>
  <c r="Q3433" i="17"/>
  <c r="Q3434" i="17"/>
  <c r="Q3435" i="17"/>
  <c r="Q3436" i="17"/>
  <c r="Q3437" i="17"/>
  <c r="Q3438" i="17"/>
  <c r="Q3439" i="17"/>
  <c r="Q3440" i="17"/>
  <c r="Q3441" i="17"/>
  <c r="Q3442" i="17"/>
  <c r="Q3443" i="17"/>
  <c r="Q3444" i="17"/>
  <c r="Q3445" i="17"/>
  <c r="Q3446" i="17"/>
  <c r="Q3447" i="17"/>
  <c r="Q3448" i="17"/>
  <c r="Q3449" i="17"/>
  <c r="Q3450" i="17"/>
  <c r="Q3451" i="17"/>
  <c r="Q3452" i="17"/>
  <c r="Q3453" i="17"/>
  <c r="Q3454" i="17"/>
  <c r="Q3455" i="17"/>
  <c r="Q3456" i="17"/>
  <c r="Q3457" i="17"/>
  <c r="Q3458" i="17"/>
  <c r="Q3459" i="17"/>
  <c r="Q3460" i="17"/>
  <c r="Q3461" i="17"/>
  <c r="Q3462" i="17"/>
  <c r="Q3463" i="17"/>
  <c r="Q3464" i="17"/>
  <c r="Q3465" i="17"/>
  <c r="Q3466" i="17"/>
  <c r="Q3467" i="17"/>
  <c r="Q3468" i="17"/>
  <c r="Q3469" i="17"/>
  <c r="Q3470" i="17"/>
  <c r="Q3471" i="17"/>
  <c r="Q3472" i="17"/>
  <c r="Q3473" i="17"/>
  <c r="Q3474" i="17"/>
  <c r="Q3475" i="17"/>
  <c r="Q3476" i="17"/>
  <c r="Q3477" i="17"/>
  <c r="Q3478" i="17"/>
  <c r="Q3479" i="17"/>
  <c r="Q3480" i="17"/>
  <c r="Q3481" i="17"/>
  <c r="Q3482" i="17"/>
  <c r="Q3483" i="17"/>
  <c r="Q3484" i="17"/>
  <c r="Q3485" i="17"/>
  <c r="Q3486" i="17"/>
  <c r="Q3487" i="17"/>
  <c r="Q3488" i="17"/>
  <c r="Q3489" i="17"/>
  <c r="Q3490" i="17"/>
  <c r="Q3491" i="17"/>
  <c r="Q3492" i="17"/>
  <c r="Q3493" i="17"/>
  <c r="Q3494" i="17"/>
  <c r="Q3495" i="17"/>
  <c r="Q3496" i="17"/>
  <c r="Q3497" i="17"/>
  <c r="Q3498" i="17"/>
  <c r="Q3499" i="17"/>
  <c r="Q3500" i="17"/>
  <c r="Q3501" i="17"/>
  <c r="Q3502" i="17"/>
  <c r="Q3503" i="17"/>
  <c r="Q3504" i="17"/>
  <c r="Q3505" i="17"/>
  <c r="Q3506" i="17"/>
  <c r="Q3507" i="17"/>
  <c r="Q3508" i="17"/>
  <c r="Q3509" i="17"/>
  <c r="Q3510" i="17"/>
  <c r="Q3511" i="17"/>
  <c r="Q3512" i="17"/>
  <c r="Q3513" i="17"/>
  <c r="Q3514" i="17"/>
  <c r="Q3515" i="17"/>
  <c r="Q3516" i="17"/>
  <c r="Q3517" i="17"/>
  <c r="Q3518" i="17"/>
  <c r="Q3519" i="17"/>
  <c r="Q3520" i="17"/>
  <c r="Q3521" i="17"/>
  <c r="Q3522" i="17"/>
  <c r="Q3523" i="17"/>
  <c r="Q3524" i="17"/>
  <c r="Q3525" i="17"/>
  <c r="Q3526" i="17"/>
  <c r="Q3527" i="17"/>
  <c r="Q3528" i="17"/>
  <c r="Q3529" i="17"/>
  <c r="Q3530" i="17"/>
  <c r="Q3531" i="17"/>
  <c r="Q3532" i="17"/>
  <c r="Q3533" i="17"/>
  <c r="Q3534" i="17"/>
  <c r="Q3535" i="17"/>
  <c r="Q3536" i="17"/>
  <c r="Q3537" i="17"/>
  <c r="Q3538" i="17"/>
  <c r="Q3539" i="17"/>
  <c r="Q3540" i="17"/>
  <c r="Q3541" i="17"/>
  <c r="Q3542" i="17"/>
  <c r="Q3543" i="17"/>
  <c r="Q3544" i="17"/>
  <c r="Q3545" i="17"/>
  <c r="Q3546" i="17"/>
  <c r="Q3547" i="17"/>
  <c r="Q3548" i="17"/>
  <c r="Q3549" i="17"/>
  <c r="Q3550" i="17"/>
  <c r="Q3551" i="17"/>
  <c r="Q3552" i="17"/>
  <c r="Q3553" i="17"/>
  <c r="Q3554" i="17"/>
  <c r="Q3555" i="17"/>
  <c r="Q3556" i="17"/>
  <c r="Q3557" i="17"/>
  <c r="Q3558" i="17"/>
  <c r="Q3559" i="17"/>
  <c r="Q3560" i="17"/>
  <c r="Q3561" i="17"/>
  <c r="Q3562" i="17"/>
  <c r="Q3563" i="17"/>
  <c r="Q3564" i="17"/>
  <c r="Q3565" i="17"/>
  <c r="Q3566" i="17"/>
  <c r="Q3567" i="17"/>
  <c r="Q3568" i="17"/>
  <c r="Q3569" i="17"/>
  <c r="Q3570" i="17"/>
  <c r="Q3571" i="17"/>
  <c r="Q3572" i="17"/>
  <c r="Q3573" i="17"/>
  <c r="Q3574" i="17"/>
  <c r="Q3575" i="17"/>
  <c r="Q3576" i="17"/>
  <c r="Q3577" i="17"/>
  <c r="Q3578" i="17"/>
  <c r="Q3579" i="17"/>
  <c r="Q3580" i="17"/>
  <c r="Q3581" i="17"/>
  <c r="Q3582" i="17"/>
  <c r="Q3583" i="17"/>
  <c r="Q3584" i="17"/>
  <c r="Q3585" i="17"/>
  <c r="Q3586" i="17"/>
  <c r="Q3587" i="17"/>
  <c r="Q3588" i="17"/>
  <c r="Q3589" i="17"/>
  <c r="Q3590" i="17"/>
  <c r="Q3591" i="17"/>
  <c r="Q3592" i="17"/>
  <c r="Q3593" i="17"/>
  <c r="Q3594" i="17"/>
  <c r="Q3595" i="17"/>
  <c r="Q3596" i="17"/>
  <c r="Q3597" i="17"/>
  <c r="Q3598" i="17"/>
  <c r="Q3599" i="17"/>
  <c r="Q3600" i="17"/>
  <c r="Q3601" i="17"/>
  <c r="Q3602" i="17"/>
  <c r="Q3603" i="17"/>
  <c r="Q3604" i="17"/>
  <c r="Q3605" i="17"/>
  <c r="Q3606" i="17"/>
  <c r="Q3607" i="17"/>
  <c r="Q3608" i="17"/>
  <c r="Q3609" i="17"/>
  <c r="Q3610" i="17"/>
  <c r="Q3611" i="17"/>
  <c r="Q3612" i="17"/>
  <c r="Q3613" i="17"/>
  <c r="Q3614" i="17"/>
  <c r="Q3615" i="17"/>
  <c r="Q3616" i="17"/>
  <c r="Q3617" i="17"/>
  <c r="Q3618" i="17"/>
  <c r="Q3619" i="17"/>
  <c r="Q3620" i="17"/>
  <c r="Q3621" i="17"/>
  <c r="Q3622" i="17"/>
  <c r="Q3623" i="17"/>
  <c r="Q3624" i="17"/>
  <c r="Q3625" i="17"/>
  <c r="Q3626" i="17"/>
  <c r="Q3627" i="17"/>
  <c r="Q3628" i="17"/>
  <c r="Q3629" i="17"/>
  <c r="Q3630" i="17"/>
  <c r="Q3631" i="17"/>
  <c r="Q3632" i="17"/>
  <c r="Q3633" i="17"/>
  <c r="Q3634" i="17"/>
  <c r="Q3635" i="17"/>
  <c r="Q3636" i="17"/>
  <c r="Q3637" i="17"/>
  <c r="Q3638" i="17"/>
  <c r="Q3639" i="17"/>
  <c r="Q3640" i="17"/>
  <c r="Q3641" i="17"/>
  <c r="Q3642" i="17"/>
  <c r="Q3643" i="17"/>
  <c r="Q3644" i="17"/>
  <c r="Q3645" i="17"/>
  <c r="Q3646" i="17"/>
  <c r="Q3647" i="17"/>
  <c r="Q3648" i="17"/>
  <c r="Q3649" i="17"/>
  <c r="Q3650" i="17"/>
  <c r="Q3651" i="17"/>
  <c r="Q3652" i="17"/>
  <c r="Q3653" i="17"/>
  <c r="Q3654" i="17"/>
  <c r="Q3655" i="17"/>
  <c r="Q3656" i="17"/>
  <c r="Q3657" i="17"/>
  <c r="Q3658" i="17"/>
  <c r="Q3659" i="17"/>
  <c r="Q3660" i="17"/>
  <c r="Q3661" i="17"/>
  <c r="Q3662" i="17"/>
  <c r="Q3663" i="17"/>
  <c r="Q3664" i="17"/>
  <c r="Q3665" i="17"/>
  <c r="Q3666" i="17"/>
  <c r="Q3667" i="17"/>
  <c r="Q3668" i="17"/>
  <c r="Q3669" i="17"/>
  <c r="Q3670" i="17"/>
  <c r="Q3671" i="17"/>
  <c r="Q3672" i="17"/>
  <c r="Q3673" i="17"/>
  <c r="Q3674" i="17"/>
  <c r="Q3675" i="17"/>
  <c r="Q3676" i="17"/>
  <c r="Q3677" i="17"/>
  <c r="Q3678" i="17"/>
  <c r="Q3679" i="17"/>
  <c r="Q3680" i="17"/>
  <c r="Q3681" i="17"/>
  <c r="Q3682" i="17"/>
  <c r="Q3683" i="17"/>
  <c r="Q3684" i="17"/>
  <c r="Q3685" i="17"/>
  <c r="Q3686" i="17"/>
  <c r="Q3687" i="17"/>
  <c r="Q3688" i="17"/>
  <c r="Q3689" i="17"/>
  <c r="Q3690" i="17"/>
  <c r="Q3691" i="17"/>
  <c r="Q3692" i="17"/>
  <c r="Q3693" i="17"/>
  <c r="Q3694" i="17"/>
  <c r="Q3695" i="17"/>
  <c r="Q3696" i="17"/>
  <c r="Q3697" i="17"/>
  <c r="Q3698" i="17"/>
  <c r="Q3699" i="17"/>
  <c r="Q3700" i="17"/>
  <c r="Q3701" i="17"/>
  <c r="Q3702" i="17"/>
  <c r="Q3703" i="17"/>
  <c r="Q3704" i="17"/>
  <c r="Q3705" i="17"/>
  <c r="Q3706" i="17"/>
  <c r="Q3707" i="17"/>
  <c r="Q3708" i="17"/>
  <c r="Q3709" i="17"/>
  <c r="Q3710" i="17"/>
  <c r="Q3711" i="17"/>
  <c r="Q3712" i="17"/>
  <c r="Q3713" i="17"/>
  <c r="Q3714" i="17"/>
  <c r="Q3715" i="17"/>
  <c r="Q3716" i="17"/>
  <c r="Q3717" i="17"/>
  <c r="Q3718" i="17"/>
  <c r="Q3719" i="17"/>
  <c r="Q3720" i="17"/>
  <c r="Q3721" i="17"/>
  <c r="Q3722" i="17"/>
  <c r="Q3723" i="17"/>
  <c r="Q3724" i="17"/>
  <c r="Q3725" i="17"/>
  <c r="Q3726" i="17"/>
  <c r="Q3727" i="17"/>
  <c r="Q3728" i="17"/>
  <c r="Q3729" i="17"/>
  <c r="Q3730" i="17"/>
  <c r="Q3731" i="17"/>
  <c r="Q3732" i="17"/>
  <c r="Q3733" i="17"/>
  <c r="Q3734" i="17"/>
  <c r="Q3735" i="17"/>
  <c r="Q3736" i="17"/>
  <c r="Q3737" i="17"/>
  <c r="Q3738" i="17"/>
  <c r="Q3739" i="17"/>
  <c r="Q3740" i="17"/>
  <c r="Q3741" i="17"/>
  <c r="Q3742" i="17"/>
  <c r="Q3743" i="17"/>
  <c r="Q3744" i="17"/>
  <c r="Q3745" i="17"/>
  <c r="Q3746" i="17"/>
  <c r="Q3747" i="17"/>
  <c r="Q3748" i="17"/>
  <c r="Q3749" i="17"/>
  <c r="Q3750" i="17"/>
  <c r="Q3751" i="17"/>
  <c r="Q3752" i="17"/>
  <c r="Q3753" i="17"/>
  <c r="Q3754" i="17"/>
  <c r="Q3755" i="17"/>
  <c r="Q3756" i="17"/>
  <c r="Q3757" i="17"/>
  <c r="Q3758" i="17"/>
  <c r="Q3759" i="17"/>
  <c r="Q3760" i="17"/>
  <c r="Q3761" i="17"/>
  <c r="Q3762" i="17"/>
  <c r="Q3763" i="17"/>
  <c r="Q3764" i="17"/>
  <c r="Q3765" i="17"/>
  <c r="Q3766" i="17"/>
  <c r="Q3767" i="17"/>
  <c r="Q3768" i="17"/>
  <c r="Q3769" i="17"/>
  <c r="Q3770" i="17"/>
  <c r="Q3771" i="17"/>
  <c r="Q3772" i="17"/>
  <c r="Q3773" i="17"/>
  <c r="Q3774" i="17"/>
  <c r="Q3775" i="17"/>
  <c r="Q3776" i="17"/>
  <c r="Q3777" i="17"/>
  <c r="Q3778" i="17"/>
  <c r="Q3779" i="17"/>
  <c r="Q3780" i="17"/>
  <c r="Q3781" i="17"/>
  <c r="Q3782" i="17"/>
  <c r="Q3783" i="17"/>
  <c r="Q3784" i="17"/>
  <c r="Q3785" i="17"/>
  <c r="Q3786" i="17"/>
  <c r="Q3787" i="17"/>
  <c r="Q3788" i="17"/>
  <c r="Q3789" i="17"/>
  <c r="Q3790" i="17"/>
  <c r="Q3791" i="17"/>
  <c r="Q3792" i="17"/>
  <c r="Q3793" i="17"/>
  <c r="Q3794" i="17"/>
  <c r="Q3795" i="17"/>
  <c r="Q3796" i="17"/>
  <c r="Q3797" i="17"/>
  <c r="Q3798" i="17"/>
  <c r="Q3799" i="17"/>
  <c r="Q3800" i="17"/>
  <c r="Q3801" i="17"/>
  <c r="Q3802" i="17"/>
  <c r="Q3803" i="17"/>
  <c r="Q3804" i="17"/>
  <c r="Q3805" i="17"/>
  <c r="Q3806" i="17"/>
  <c r="Q3807" i="17"/>
  <c r="Q3808" i="17"/>
  <c r="Q3809" i="17"/>
  <c r="Q3810" i="17"/>
  <c r="Q3811" i="17"/>
  <c r="Q3812" i="17"/>
  <c r="Q3813" i="17"/>
  <c r="Q3814" i="17"/>
  <c r="Q3815" i="17"/>
  <c r="Q3816" i="17"/>
  <c r="Q3817" i="17"/>
  <c r="Q3818" i="17"/>
  <c r="Q3819" i="17"/>
  <c r="Q3820" i="17"/>
  <c r="Q3821" i="17"/>
  <c r="Q3822" i="17"/>
  <c r="Q3823" i="17"/>
  <c r="Q3824" i="17"/>
  <c r="Q3825" i="17"/>
  <c r="Q3826" i="17"/>
  <c r="Q3827" i="17"/>
  <c r="Q3828" i="17"/>
  <c r="Q3829" i="17"/>
  <c r="Q3830" i="17"/>
  <c r="Q3831" i="17"/>
  <c r="Q3832" i="17"/>
  <c r="Q3833" i="17"/>
  <c r="Q3834" i="17"/>
  <c r="Q3835" i="17"/>
  <c r="Q3836" i="17"/>
  <c r="Q3837" i="17"/>
  <c r="Q3838" i="17"/>
  <c r="Q3839" i="17"/>
  <c r="Q3840" i="17"/>
  <c r="Q3841" i="17"/>
  <c r="Q3842" i="17"/>
  <c r="Q3843" i="17"/>
  <c r="Q3844" i="17"/>
  <c r="Q3845" i="17"/>
  <c r="Q3846" i="17"/>
  <c r="Q3847" i="17"/>
  <c r="Q3848" i="17"/>
  <c r="Q3849" i="17"/>
  <c r="Q3850" i="17"/>
  <c r="Q3851" i="17"/>
  <c r="Q3852" i="17"/>
  <c r="Q3853" i="17"/>
  <c r="Q3854" i="17"/>
  <c r="Q3855" i="17"/>
  <c r="Q3856" i="17"/>
  <c r="Q3857" i="17"/>
  <c r="Q3858" i="17"/>
  <c r="Q3859" i="17"/>
  <c r="Q3860" i="17"/>
  <c r="Q3861" i="17"/>
  <c r="Q3862" i="17"/>
  <c r="Q3863" i="17"/>
  <c r="Q3864" i="17"/>
  <c r="Q3865" i="17"/>
  <c r="Q3866" i="17"/>
  <c r="Q3867" i="17"/>
  <c r="Q3868" i="17"/>
  <c r="Q3869" i="17"/>
  <c r="Q3870" i="17"/>
  <c r="Q3871" i="17"/>
  <c r="Q3872" i="17"/>
  <c r="Q3873" i="17"/>
  <c r="Q3874" i="17"/>
  <c r="Q3875" i="17"/>
  <c r="Q3876" i="17"/>
  <c r="Q3877" i="17"/>
  <c r="Q3878" i="17"/>
  <c r="Q3879" i="17"/>
  <c r="Q3880" i="17"/>
  <c r="Q3881" i="17"/>
  <c r="Q3882" i="17"/>
  <c r="Q3883" i="17"/>
  <c r="Q3884" i="17"/>
  <c r="Q3885" i="17"/>
  <c r="Q3886" i="17"/>
  <c r="Q3887" i="17"/>
  <c r="Q3888" i="17"/>
  <c r="Q3889" i="17"/>
  <c r="Q3890" i="17"/>
  <c r="Q3891" i="17"/>
  <c r="Q3892" i="17"/>
  <c r="Q3893" i="17"/>
  <c r="Q3894" i="17"/>
  <c r="Q3895" i="17"/>
  <c r="Q3896" i="17"/>
  <c r="Q3897" i="17"/>
  <c r="Q3898" i="17"/>
  <c r="Q3899" i="17"/>
  <c r="Q3900" i="17"/>
  <c r="Q3901" i="17"/>
  <c r="Q3902" i="17"/>
  <c r="Q3903" i="17"/>
  <c r="Q3904" i="17"/>
  <c r="Q3905" i="17"/>
  <c r="Q3906" i="17"/>
  <c r="Q3907" i="17"/>
  <c r="Q3908" i="17"/>
  <c r="Q3909" i="17"/>
  <c r="Q3910" i="17"/>
  <c r="Q3911" i="17"/>
  <c r="Q3912" i="17"/>
  <c r="Q3913" i="17"/>
  <c r="Q3914" i="17"/>
  <c r="Q3915" i="17"/>
  <c r="Q3916" i="17"/>
  <c r="Q3917" i="17"/>
  <c r="Q3918" i="17"/>
  <c r="Q3919" i="17"/>
  <c r="Q3920" i="17"/>
  <c r="Q3921" i="17"/>
  <c r="Q3922" i="17"/>
  <c r="Q3923" i="17"/>
  <c r="Q3924" i="17"/>
  <c r="Q3925" i="17"/>
  <c r="Q3926" i="17"/>
  <c r="Q3927" i="17"/>
  <c r="Q3928" i="17"/>
  <c r="Q3929" i="17"/>
  <c r="Q3930" i="17"/>
  <c r="Q3931" i="17"/>
  <c r="Q3932" i="17"/>
  <c r="Q3933" i="17"/>
  <c r="Q3934" i="17"/>
  <c r="Q3935" i="17"/>
  <c r="Q3936" i="17"/>
  <c r="Q3937" i="17"/>
  <c r="Q3938" i="17"/>
  <c r="Q3939" i="17"/>
  <c r="Q3940" i="17"/>
  <c r="Q3941" i="17"/>
  <c r="Q3942" i="17"/>
  <c r="Q3943" i="17"/>
  <c r="Q3944" i="17"/>
  <c r="Q3945" i="17"/>
  <c r="Q3946" i="17"/>
  <c r="Q3947" i="17"/>
  <c r="Q3948" i="17"/>
  <c r="Q3949" i="17"/>
  <c r="Q3950" i="17"/>
  <c r="Q3951" i="17"/>
  <c r="Q3952" i="17"/>
  <c r="Q3953" i="17"/>
  <c r="Q3954" i="17"/>
  <c r="Q3955" i="17"/>
  <c r="Q3956" i="17"/>
  <c r="Q3957" i="17"/>
  <c r="Q3958" i="17"/>
  <c r="Q3959" i="17"/>
  <c r="Q3960" i="17"/>
  <c r="Q3961" i="17"/>
  <c r="Q3962" i="17"/>
  <c r="Q3963" i="17"/>
  <c r="Q3964" i="17"/>
  <c r="Q3965" i="17"/>
  <c r="Q3966" i="17"/>
  <c r="Q3967" i="17"/>
  <c r="Q3968" i="17"/>
  <c r="Q3969" i="17"/>
  <c r="Q3970" i="17"/>
  <c r="Q3971" i="17"/>
  <c r="Q3972" i="17"/>
  <c r="Q3973" i="17"/>
  <c r="Q3974" i="17"/>
  <c r="Q3975" i="17"/>
  <c r="Q3976" i="17"/>
  <c r="Q3977" i="17"/>
  <c r="Q3978" i="17"/>
  <c r="Q3979" i="17"/>
  <c r="Q3980" i="17"/>
  <c r="Q3981" i="17"/>
  <c r="Q3982" i="17"/>
  <c r="Q3983" i="17"/>
  <c r="Q3984" i="17"/>
  <c r="Q3985" i="17"/>
  <c r="Q3986" i="17"/>
  <c r="Q3987" i="17"/>
  <c r="Q3988" i="17"/>
  <c r="Q3989" i="17"/>
  <c r="Q3990" i="17"/>
  <c r="Q3991" i="17"/>
  <c r="Q3992" i="17"/>
  <c r="Q3993" i="17"/>
  <c r="Q3994" i="17"/>
  <c r="Q3995" i="17"/>
  <c r="Q3996" i="17"/>
  <c r="Q3997" i="17"/>
  <c r="Q3998" i="17"/>
  <c r="Q3999" i="17"/>
  <c r="Q4000" i="17"/>
  <c r="Q4001" i="17"/>
  <c r="Q4002" i="17"/>
  <c r="Q4003" i="17"/>
  <c r="G2697" i="17"/>
  <c r="G2696" i="17"/>
  <c r="G2695" i="17"/>
  <c r="G2694" i="17"/>
  <c r="G2693" i="17"/>
  <c r="G2692" i="17"/>
  <c r="G2691" i="17"/>
  <c r="G2690" i="17"/>
  <c r="G2689" i="17"/>
  <c r="G2688" i="17"/>
  <c r="G2687" i="17"/>
  <c r="G2686" i="17"/>
  <c r="G2685" i="17"/>
  <c r="G2684" i="17"/>
  <c r="G2683" i="17"/>
  <c r="G2682" i="17"/>
  <c r="G2681" i="17"/>
  <c r="G2680" i="17"/>
  <c r="G2679" i="17"/>
  <c r="G2678" i="17"/>
  <c r="G2677" i="17"/>
  <c r="G2676" i="17"/>
  <c r="G2675" i="17"/>
  <c r="G2674" i="17"/>
  <c r="G2673" i="17"/>
  <c r="G2672" i="17"/>
  <c r="G2671" i="17"/>
  <c r="G2669" i="17"/>
  <c r="G2668" i="17"/>
  <c r="G2667" i="17"/>
  <c r="G2666" i="17"/>
  <c r="G2665" i="17"/>
  <c r="G2664" i="17"/>
  <c r="G2663" i="17"/>
  <c r="G2662" i="17"/>
  <c r="G2661" i="17"/>
  <c r="G2660" i="17"/>
  <c r="G2659" i="17"/>
  <c r="G2658" i="17"/>
  <c r="G2657" i="17"/>
  <c r="G2656" i="17"/>
  <c r="G2641" i="17"/>
  <c r="G2640" i="17"/>
  <c r="G2639" i="17"/>
  <c r="G2638" i="17"/>
  <c r="G2637" i="17"/>
  <c r="G2636" i="17"/>
  <c r="G2635" i="17"/>
  <c r="G2634" i="17"/>
  <c r="G2633" i="17"/>
  <c r="G2632" i="17"/>
  <c r="G2631" i="17"/>
  <c r="G2620" i="17"/>
  <c r="G2619" i="17"/>
  <c r="G2618" i="17"/>
  <c r="G2617" i="17"/>
  <c r="G2616" i="17"/>
  <c r="G2615" i="17"/>
  <c r="G2614" i="17"/>
  <c r="G2613" i="17"/>
  <c r="G2612" i="17"/>
  <c r="G2611"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1002" i="17"/>
  <c r="Q1003" i="17"/>
  <c r="Q1004" i="17"/>
  <c r="Q1005" i="17"/>
  <c r="Q1006" i="17"/>
  <c r="Q1007" i="17"/>
  <c r="Q1008" i="17"/>
  <c r="Q1009" i="17"/>
  <c r="Q1010" i="17"/>
  <c r="Q1011" i="17"/>
  <c r="Q1012" i="17"/>
  <c r="Q1013" i="17"/>
  <c r="Q1014" i="17"/>
  <c r="Q1015" i="17"/>
  <c r="Q1016" i="17"/>
  <c r="Q1017" i="17"/>
  <c r="Q1018" i="17"/>
  <c r="Q1019" i="17"/>
  <c r="Q1020" i="17"/>
  <c r="Q1021" i="17"/>
  <c r="Q1022" i="17"/>
  <c r="Q1023" i="17"/>
  <c r="Q1024" i="17"/>
  <c r="Q1025" i="17"/>
  <c r="Q1026" i="17"/>
  <c r="Q1027" i="17"/>
  <c r="Q1028" i="17"/>
  <c r="Q1029" i="17"/>
  <c r="Q1030" i="17"/>
  <c r="Q1031" i="17"/>
  <c r="Q1032" i="17"/>
  <c r="Q1033" i="17"/>
  <c r="Q1034" i="17"/>
  <c r="Q1035" i="17"/>
  <c r="Q1036" i="17"/>
  <c r="Q1037" i="17"/>
  <c r="Q1038" i="17"/>
  <c r="Q1039" i="17"/>
  <c r="Q1040" i="17"/>
  <c r="Q1041" i="17"/>
  <c r="Q1042" i="17"/>
  <c r="Q1043" i="17"/>
  <c r="Q1044" i="17"/>
  <c r="Q1045" i="17"/>
  <c r="Q1046" i="17"/>
  <c r="Q1047" i="17"/>
  <c r="Q1048" i="17"/>
  <c r="Q1049" i="17"/>
  <c r="Q1050" i="17"/>
  <c r="Q1051" i="17"/>
  <c r="Q1052" i="17"/>
  <c r="Q1053" i="17"/>
  <c r="Q1054" i="17"/>
  <c r="Q1055" i="17"/>
  <c r="Q1056" i="17"/>
  <c r="Q1057" i="17"/>
  <c r="Q1058" i="17"/>
  <c r="Q1059" i="17"/>
  <c r="Q1060" i="17"/>
  <c r="Q1061" i="17"/>
  <c r="Q1062" i="17"/>
  <c r="Q1063" i="17"/>
  <c r="Q1064" i="17"/>
  <c r="Q1065" i="17"/>
  <c r="Q1066" i="17"/>
  <c r="Q1067" i="17"/>
  <c r="Q1068" i="17"/>
  <c r="Q1069" i="17"/>
  <c r="Q1070" i="17"/>
  <c r="Q1071" i="17"/>
  <c r="Q1072" i="17"/>
  <c r="Q1073" i="17"/>
  <c r="Q1074" i="17"/>
  <c r="Q1075" i="17"/>
  <c r="Q1076" i="17"/>
  <c r="Q1077" i="17"/>
  <c r="Q1078" i="17"/>
  <c r="Q1079" i="17"/>
  <c r="Q1080" i="17"/>
  <c r="Q1081" i="17"/>
  <c r="Q1082" i="17"/>
  <c r="Q1083" i="17"/>
  <c r="Q1084" i="17"/>
  <c r="Q1085" i="17"/>
  <c r="Q1086" i="17"/>
  <c r="Q1087" i="17"/>
  <c r="Q1088" i="17"/>
  <c r="Q1089" i="17"/>
  <c r="Q1090" i="17"/>
  <c r="Q1091" i="17"/>
  <c r="Q1092" i="17"/>
  <c r="Q1093" i="17"/>
  <c r="Q1094" i="17"/>
  <c r="Q1095" i="17"/>
  <c r="Q1096" i="17"/>
  <c r="Q1097" i="17"/>
  <c r="Q1098" i="17"/>
  <c r="Q1099" i="17"/>
  <c r="Q1100" i="17"/>
  <c r="Q1101" i="17"/>
  <c r="Q1102" i="17"/>
  <c r="Q1103" i="17"/>
  <c r="Q1104" i="17"/>
  <c r="Q1105" i="17"/>
  <c r="Q1106" i="17"/>
  <c r="Q1107" i="17"/>
  <c r="Q1108" i="17"/>
  <c r="Q1109" i="17"/>
  <c r="Q1110" i="17"/>
  <c r="Q1111" i="17"/>
  <c r="Q1112" i="17"/>
  <c r="Q1113" i="17"/>
  <c r="Q1114" i="17"/>
  <c r="Q1115" i="17"/>
  <c r="Q1116" i="17"/>
  <c r="Q1117" i="17"/>
  <c r="Q1118" i="17"/>
  <c r="Q1119" i="17"/>
  <c r="Q1120" i="17"/>
  <c r="Q1121" i="17"/>
  <c r="Q1122" i="17"/>
  <c r="Q1123" i="17"/>
  <c r="Q1124" i="17"/>
  <c r="Q1125" i="17"/>
  <c r="Q1126" i="17"/>
  <c r="Q1127" i="17"/>
  <c r="Q1128" i="17"/>
  <c r="Q1129" i="17"/>
  <c r="Q1130" i="17"/>
  <c r="Q1131" i="17"/>
  <c r="Q1132" i="17"/>
  <c r="Q1133" i="17"/>
  <c r="Q1134" i="17"/>
  <c r="Q1135" i="17"/>
  <c r="Q1136" i="17"/>
  <c r="Q1137" i="17"/>
  <c r="Q1138" i="17"/>
  <c r="Q1139" i="17"/>
  <c r="Q1140" i="17"/>
  <c r="Q1141" i="17"/>
  <c r="Q1142" i="17"/>
  <c r="Q1143" i="17"/>
  <c r="Q1144" i="17"/>
  <c r="Q1145" i="17"/>
  <c r="Q1146" i="17"/>
  <c r="Q1147" i="17"/>
  <c r="Q1148" i="17"/>
  <c r="Q1149" i="17"/>
  <c r="Q1159" i="17"/>
  <c r="Q1217" i="17"/>
  <c r="Q1218" i="17"/>
  <c r="Q1219" i="17"/>
  <c r="Q1220" i="17"/>
  <c r="Q1221" i="17"/>
  <c r="Q1222" i="17"/>
  <c r="Q1223" i="17"/>
  <c r="Q1224" i="17"/>
  <c r="Q1225" i="17"/>
  <c r="Q1226" i="17"/>
  <c r="Q1227" i="17"/>
  <c r="Q1228" i="17"/>
  <c r="Q1229" i="17"/>
  <c r="Q1230" i="17"/>
  <c r="Q1231" i="17"/>
  <c r="Q1232" i="17"/>
  <c r="Q1233" i="17"/>
  <c r="Q1234" i="17"/>
  <c r="Q1235" i="17"/>
  <c r="Q1236" i="17"/>
  <c r="Q1237" i="17"/>
  <c r="Q1238" i="17"/>
  <c r="Q1239" i="17"/>
  <c r="Q1240" i="17"/>
  <c r="Q1241" i="17"/>
  <c r="Q1242" i="17"/>
  <c r="Q1243" i="17"/>
  <c r="Q1244" i="17"/>
  <c r="Q1245" i="17"/>
  <c r="Q1246" i="17"/>
  <c r="Q1247" i="17"/>
  <c r="Q1248" i="17"/>
  <c r="Q1249" i="17"/>
  <c r="Q1250" i="17"/>
  <c r="Q1251" i="17"/>
  <c r="Q1252" i="17"/>
  <c r="Q1253" i="17"/>
  <c r="Q1254" i="17"/>
  <c r="Q1255" i="17"/>
  <c r="Q1256" i="17"/>
  <c r="Q1257" i="17"/>
  <c r="Q1258" i="17"/>
  <c r="Q1259" i="17"/>
  <c r="Q1260" i="17"/>
  <c r="Q1261" i="17"/>
  <c r="Q1262" i="17"/>
  <c r="Q1263" i="17"/>
  <c r="Q1264" i="17"/>
  <c r="Q1265" i="17"/>
  <c r="Q1266" i="17"/>
  <c r="Q1267" i="17"/>
  <c r="Q1268" i="17"/>
  <c r="Q1269" i="17"/>
  <c r="Q1270" i="17"/>
  <c r="Q1271" i="17"/>
  <c r="Q1272" i="17"/>
  <c r="Q1273" i="17"/>
  <c r="Q1274" i="17"/>
  <c r="Q1275" i="17"/>
  <c r="Q1276" i="17"/>
  <c r="Q1277" i="17"/>
  <c r="Q1278" i="17"/>
  <c r="Q1279" i="17"/>
  <c r="Q1280" i="17"/>
  <c r="Q1281" i="17"/>
  <c r="Q1282" i="17"/>
  <c r="Q1283" i="17"/>
  <c r="Q1284" i="17"/>
  <c r="Q1285" i="17"/>
  <c r="Q1286" i="17"/>
  <c r="Q1287" i="17"/>
  <c r="Q1288" i="17"/>
  <c r="Q1289" i="17"/>
  <c r="Q1290" i="17"/>
  <c r="Q1291" i="17"/>
  <c r="Q1292" i="17"/>
  <c r="Q1293" i="17"/>
  <c r="Q1294" i="17"/>
  <c r="Q1295" i="17"/>
  <c r="Q1296" i="17"/>
  <c r="Q1297" i="17"/>
  <c r="Q1298" i="17"/>
  <c r="Q1299" i="17"/>
  <c r="Q1300" i="17"/>
  <c r="Q1301" i="17"/>
  <c r="Q1302" i="17"/>
  <c r="Q1303" i="17"/>
  <c r="Q1304" i="17"/>
  <c r="Q1305" i="17"/>
  <c r="Q1306" i="17"/>
  <c r="Q1307" i="17"/>
  <c r="Q1308" i="17"/>
  <c r="Q1309" i="17"/>
  <c r="Q1310" i="17"/>
  <c r="Q1311" i="17"/>
  <c r="Q1312" i="17"/>
  <c r="Q1313" i="17"/>
  <c r="Q1314" i="17"/>
  <c r="Q1315" i="17"/>
  <c r="Q1316" i="17"/>
  <c r="Q1317" i="17"/>
  <c r="Q1318" i="17"/>
  <c r="Q1319" i="17"/>
  <c r="Q1320" i="17"/>
  <c r="Q1321" i="17"/>
  <c r="Q1322" i="17"/>
  <c r="Q1323" i="17"/>
  <c r="Q1324" i="17"/>
  <c r="Q1325" i="17"/>
  <c r="Q1326" i="17"/>
  <c r="Q1327" i="17"/>
  <c r="Q1328" i="17"/>
  <c r="Q1329" i="17"/>
  <c r="Q1330" i="17"/>
  <c r="Q1331" i="17"/>
  <c r="Q1332" i="17"/>
  <c r="Q1333" i="17"/>
  <c r="Q1334" i="17"/>
  <c r="Q1335" i="17"/>
  <c r="Q1336" i="17"/>
  <c r="Q1337" i="17"/>
  <c r="Q1338" i="17"/>
  <c r="Q1339" i="17"/>
  <c r="Q1340" i="17"/>
  <c r="Q1341" i="17"/>
  <c r="Q1342" i="17"/>
  <c r="Q1343" i="17"/>
  <c r="Q1344" i="17"/>
  <c r="Q1345" i="17"/>
  <c r="Q1346" i="17"/>
  <c r="Q1347" i="17"/>
  <c r="Q1348" i="17"/>
  <c r="Q1349" i="17"/>
  <c r="Q1350" i="17"/>
  <c r="Q1351" i="17"/>
  <c r="Q1352" i="17"/>
  <c r="Q1353" i="17"/>
  <c r="Q1354" i="17"/>
  <c r="Q1355" i="17"/>
  <c r="Q1356" i="17"/>
  <c r="Q1357" i="17"/>
  <c r="Q1358" i="17"/>
  <c r="Q1359" i="17"/>
  <c r="Q1360" i="17"/>
  <c r="Q1361" i="17"/>
  <c r="Q1362" i="17"/>
  <c r="Q1363" i="17"/>
  <c r="Q1364" i="17"/>
  <c r="Q1365" i="17"/>
  <c r="Q1366" i="17"/>
  <c r="Q1367" i="17"/>
  <c r="Q1368" i="17"/>
  <c r="Q1369" i="17"/>
  <c r="Q1370" i="17"/>
  <c r="Q1371" i="17"/>
  <c r="Q1372" i="17"/>
  <c r="Q1373" i="17"/>
  <c r="Q1374" i="17"/>
  <c r="Q1375" i="17"/>
  <c r="Q1376" i="17"/>
  <c r="Q1377" i="17"/>
  <c r="Q1378" i="17"/>
  <c r="Q1379" i="17"/>
  <c r="Q1380" i="17"/>
  <c r="Q1381" i="17"/>
  <c r="Q1382" i="17"/>
  <c r="Q1383" i="17"/>
  <c r="Q1384" i="17"/>
  <c r="Q1385" i="17"/>
  <c r="Q1386" i="17"/>
  <c r="Q1387" i="17"/>
  <c r="Q1388" i="17"/>
  <c r="Q1389" i="17"/>
  <c r="Q1390" i="17"/>
  <c r="Q1391" i="17"/>
  <c r="Q1392" i="17"/>
  <c r="Q1393" i="17"/>
  <c r="Q1394" i="17"/>
  <c r="Q1395" i="17"/>
  <c r="Q1396" i="17"/>
  <c r="Q1397" i="17"/>
  <c r="Q1398" i="17"/>
  <c r="Q1399" i="17"/>
  <c r="Q1400" i="17"/>
  <c r="Q1401" i="17"/>
  <c r="Q1402" i="17"/>
  <c r="Q1403" i="17"/>
  <c r="Q1404" i="17"/>
  <c r="Q1405" i="17"/>
  <c r="Q1406" i="17"/>
  <c r="Q1407" i="17"/>
  <c r="Q1408" i="17"/>
  <c r="Q1409" i="17"/>
  <c r="Q1410" i="17"/>
  <c r="Q1411" i="17"/>
  <c r="Q1412" i="17"/>
  <c r="Q1413" i="17"/>
  <c r="Q1414" i="17"/>
  <c r="Q1415" i="17"/>
  <c r="Q1416" i="17"/>
  <c r="Q1417" i="17"/>
  <c r="Q1418" i="17"/>
  <c r="Q1419" i="17"/>
  <c r="Q1420" i="17"/>
  <c r="Q1421" i="17"/>
  <c r="Q1422" i="17"/>
  <c r="Q1423" i="17"/>
  <c r="Q1424" i="17"/>
  <c r="Q1425" i="17"/>
  <c r="Q1426" i="17"/>
  <c r="Q1427" i="17"/>
  <c r="Q1428" i="17"/>
  <c r="Q1429" i="17"/>
  <c r="Q1430" i="17"/>
  <c r="Q1431" i="17"/>
  <c r="Q1432" i="17"/>
  <c r="Q1433" i="17"/>
  <c r="Q1434" i="17"/>
  <c r="Q1435" i="17"/>
  <c r="Q1436" i="17"/>
  <c r="Q1437" i="17"/>
  <c r="Q1438" i="17"/>
  <c r="Q1439" i="17"/>
  <c r="Q1440" i="17"/>
  <c r="Q1441" i="17"/>
  <c r="Q1442" i="17"/>
  <c r="Q1443" i="17"/>
  <c r="Q1444" i="17"/>
  <c r="Q1445" i="17"/>
  <c r="Q1446" i="17"/>
  <c r="Q1447" i="17"/>
  <c r="Q1448" i="17"/>
  <c r="Q1449" i="17"/>
  <c r="Q1450" i="17"/>
  <c r="Q1451" i="17"/>
  <c r="Q1452" i="17"/>
  <c r="Q1453" i="17"/>
  <c r="Q1454" i="17"/>
  <c r="Q1455" i="17"/>
  <c r="Q1456" i="17"/>
  <c r="Q1457" i="17"/>
  <c r="Q1458" i="17"/>
  <c r="Q1459" i="17"/>
  <c r="Q1460" i="17"/>
  <c r="Q1461" i="17"/>
  <c r="Q1462" i="17"/>
  <c r="Q1463" i="17"/>
  <c r="Q1464" i="17"/>
  <c r="Q1465" i="17"/>
  <c r="Q1466" i="17"/>
  <c r="Q1467" i="17"/>
  <c r="Q1468" i="17"/>
  <c r="Q1469" i="17"/>
  <c r="Q1470" i="17"/>
  <c r="Q1471" i="17"/>
  <c r="Q1472" i="17"/>
  <c r="Q1473" i="17"/>
  <c r="Q1474" i="17"/>
  <c r="Q1475" i="17"/>
  <c r="Q1476" i="17"/>
  <c r="Q1477" i="17"/>
  <c r="Q1478" i="17"/>
  <c r="Q1479" i="17"/>
  <c r="Q1480" i="17"/>
  <c r="Q1481" i="17"/>
  <c r="Q1482" i="17"/>
  <c r="Q1483" i="17"/>
  <c r="Q1484" i="17"/>
  <c r="Q1485" i="17"/>
  <c r="Q1486" i="17"/>
  <c r="Q1487" i="17"/>
  <c r="Q1488" i="17"/>
  <c r="Q1489" i="17"/>
  <c r="Q1490" i="17"/>
  <c r="Q1491" i="17"/>
  <c r="Q1492" i="17"/>
  <c r="Q1493" i="17"/>
  <c r="Q1494" i="17"/>
  <c r="Q1495" i="17"/>
  <c r="Q1496" i="17"/>
  <c r="Q1497" i="17"/>
  <c r="Q1498" i="17"/>
  <c r="Q1499" i="17"/>
  <c r="Q1500" i="17"/>
  <c r="Q1501" i="17"/>
  <c r="Q1502" i="17"/>
  <c r="Q1503" i="17"/>
  <c r="Q1504" i="17"/>
  <c r="Q1505" i="17"/>
  <c r="Q1506" i="17"/>
  <c r="Q1507" i="17"/>
  <c r="Q1508" i="17"/>
  <c r="Q1509" i="17"/>
  <c r="Q1510" i="17"/>
  <c r="Q1511" i="17"/>
  <c r="Q1512" i="17"/>
  <c r="Q1513" i="17"/>
  <c r="Q1514" i="17"/>
  <c r="Q1515" i="17"/>
  <c r="Q1516" i="17"/>
  <c r="Q1517" i="17"/>
  <c r="Q1518" i="17"/>
  <c r="Q1519" i="17"/>
  <c r="Q1520" i="17"/>
  <c r="Q1521" i="17"/>
  <c r="Q1522" i="17"/>
  <c r="Q1523" i="17"/>
  <c r="Q1524" i="17"/>
  <c r="Q1525" i="17"/>
  <c r="Q1526" i="17"/>
  <c r="Q1527" i="17"/>
  <c r="Q1528" i="17"/>
  <c r="Q1529" i="17"/>
  <c r="Q1530" i="17"/>
  <c r="Q1531" i="17"/>
  <c r="Q1532" i="17"/>
  <c r="Q1533" i="17"/>
  <c r="Q1534" i="17"/>
  <c r="Q1535" i="17"/>
  <c r="Q1536" i="17"/>
  <c r="Q1537" i="17"/>
  <c r="Q1538" i="17"/>
  <c r="Q1539" i="17"/>
  <c r="Q1540" i="17"/>
  <c r="Q1541" i="17"/>
  <c r="Q1542" i="17"/>
  <c r="Q1543" i="17"/>
  <c r="Q1544" i="17"/>
  <c r="Q1545" i="17"/>
  <c r="Q1546" i="17"/>
  <c r="Q1547" i="17"/>
  <c r="Q1548" i="17"/>
  <c r="Q1549" i="17"/>
  <c r="Q1550" i="17"/>
  <c r="Q1551" i="17"/>
  <c r="Q1552" i="17"/>
  <c r="Q1553" i="17"/>
  <c r="Q1554" i="17"/>
  <c r="Q1555" i="17"/>
  <c r="Q1556" i="17"/>
  <c r="Q1557" i="17"/>
  <c r="Q1558" i="17"/>
  <c r="Q1559" i="17"/>
  <c r="Q1560" i="17"/>
  <c r="Q1561" i="17"/>
  <c r="Q1562" i="17"/>
  <c r="Q1563" i="17"/>
  <c r="Q1564" i="17"/>
  <c r="Q1565" i="17"/>
  <c r="Q1566" i="17"/>
  <c r="Q1567" i="17"/>
  <c r="Q1568" i="17"/>
  <c r="Q1569" i="17"/>
  <c r="Q1570" i="17"/>
  <c r="Q1571" i="17"/>
  <c r="Q1572" i="17"/>
  <c r="Q1573" i="17"/>
  <c r="Q1574" i="17"/>
  <c r="Q1575" i="17"/>
  <c r="Q1576" i="17"/>
  <c r="Q1577" i="17"/>
  <c r="Q1578" i="17"/>
  <c r="Q1579" i="17"/>
  <c r="Q1580" i="17"/>
  <c r="Q1581" i="17"/>
  <c r="Q1582" i="17"/>
  <c r="Q1583" i="17"/>
  <c r="Q1584" i="17"/>
  <c r="Q1585" i="17"/>
  <c r="Q1586" i="17"/>
  <c r="Q1587" i="17"/>
  <c r="Q1588" i="17"/>
  <c r="Q1589" i="17"/>
  <c r="Q1590" i="17"/>
  <c r="Q1591" i="17"/>
  <c r="Q1592" i="17"/>
  <c r="Q1593" i="17"/>
  <c r="Q1594" i="17"/>
  <c r="Q1595" i="17"/>
  <c r="Q1596" i="17"/>
  <c r="Q1597" i="17"/>
  <c r="Q1598" i="17"/>
  <c r="Q1599" i="17"/>
  <c r="Q1600" i="17"/>
  <c r="Q1601" i="17"/>
  <c r="Q1602" i="17"/>
  <c r="Q1603" i="17"/>
  <c r="Q1604" i="17"/>
  <c r="Q1605" i="17"/>
  <c r="Q1606" i="17"/>
  <c r="Q1607" i="17"/>
  <c r="Q1608" i="17"/>
  <c r="Q1609" i="17"/>
  <c r="Q1610" i="17"/>
  <c r="Q1611" i="17"/>
  <c r="Q1612" i="17"/>
  <c r="Q1613" i="17"/>
  <c r="Q1614" i="17"/>
  <c r="Q1615" i="17"/>
  <c r="Q1616" i="17"/>
  <c r="Q1617" i="17"/>
  <c r="Q1618" i="17"/>
  <c r="Q1619" i="17"/>
  <c r="Q1620" i="17"/>
  <c r="Q1621" i="17"/>
  <c r="Q1622" i="17"/>
  <c r="Q1623" i="17"/>
  <c r="Q1624" i="17"/>
  <c r="Q1625" i="17"/>
  <c r="Q1626" i="17"/>
  <c r="Q1627" i="17"/>
  <c r="Q1628" i="17"/>
  <c r="Q1629" i="17"/>
  <c r="Q1630" i="17"/>
  <c r="Q1631" i="17"/>
  <c r="Q1632" i="17"/>
  <c r="Q1633" i="17"/>
  <c r="Q1634" i="17"/>
  <c r="Q1635" i="17"/>
  <c r="Q1636" i="17"/>
  <c r="Q1637" i="17"/>
  <c r="Q1638" i="17"/>
  <c r="Q1639" i="17"/>
  <c r="Q1640" i="17"/>
  <c r="Q1641" i="17"/>
  <c r="Q1642" i="17"/>
  <c r="Q1643" i="17"/>
  <c r="Q1644" i="17"/>
  <c r="Q1645" i="17"/>
  <c r="Q1646" i="17"/>
  <c r="Q1647" i="17"/>
  <c r="Q1648" i="17"/>
  <c r="Q1649" i="17"/>
  <c r="Q1650" i="17"/>
  <c r="Q1651" i="17"/>
  <c r="Q1652" i="17"/>
  <c r="Q1653" i="17"/>
  <c r="Q1654" i="17"/>
  <c r="Q1655" i="17"/>
  <c r="Q1656" i="17"/>
  <c r="Q1657" i="17"/>
  <c r="Q1658" i="17"/>
  <c r="Q1659" i="17"/>
  <c r="Q1660" i="17"/>
  <c r="Q1661" i="17"/>
  <c r="Q1662" i="17"/>
  <c r="Q1663" i="17"/>
  <c r="Q1664" i="17"/>
  <c r="Q1665" i="17"/>
  <c r="Q1666" i="17"/>
  <c r="Q1667" i="17"/>
  <c r="Q1668" i="17"/>
  <c r="Q1669" i="17"/>
  <c r="Q1670" i="17"/>
  <c r="Q1671" i="17"/>
  <c r="Q1672" i="17"/>
  <c r="Q1673" i="17"/>
  <c r="Q1674" i="17"/>
  <c r="Q1675" i="17"/>
  <c r="Q1676" i="17"/>
  <c r="Q1677" i="17"/>
  <c r="Q1678" i="17"/>
  <c r="Q1679" i="17"/>
  <c r="Q1680" i="17"/>
  <c r="Q1681" i="17"/>
  <c r="Q1682" i="17"/>
  <c r="Q1683" i="17"/>
  <c r="Q1684" i="17"/>
  <c r="Q1685" i="17"/>
  <c r="Q1686" i="17"/>
  <c r="Q1687" i="17"/>
  <c r="Q1688" i="17"/>
  <c r="Q1689" i="17"/>
  <c r="Q1690" i="17"/>
  <c r="Q1691" i="17"/>
  <c r="Q1692" i="17"/>
  <c r="Q1693" i="17"/>
  <c r="Q1694" i="17"/>
  <c r="Q1695" i="17"/>
  <c r="Q1696" i="17"/>
  <c r="Q1697" i="17"/>
  <c r="Q1698" i="17"/>
  <c r="Q1699" i="17"/>
  <c r="Q1700" i="17"/>
  <c r="Q1701" i="17"/>
  <c r="Q1702" i="17"/>
  <c r="Q1703" i="17"/>
  <c r="Q1704" i="17"/>
  <c r="Q1705" i="17"/>
  <c r="Q1706" i="17"/>
  <c r="Q1707" i="17"/>
  <c r="Q1708" i="17"/>
  <c r="Q1709" i="17"/>
  <c r="Q1710" i="17"/>
  <c r="Q1711" i="17"/>
  <c r="Q1712" i="17"/>
  <c r="Q1713" i="17"/>
  <c r="Q1714" i="17"/>
  <c r="Q1715" i="17"/>
  <c r="Q1716" i="17"/>
  <c r="Q1717" i="17"/>
  <c r="Q1718" i="17"/>
  <c r="Q1719" i="17"/>
  <c r="Q1720" i="17"/>
  <c r="Q1721" i="17"/>
  <c r="Q1722" i="17"/>
  <c r="Q1723" i="17"/>
  <c r="Q1724" i="17"/>
  <c r="Q1725" i="17"/>
  <c r="Q1726" i="17"/>
  <c r="Q1727" i="17"/>
  <c r="Q1728" i="17"/>
  <c r="Q1729" i="17"/>
  <c r="Q1730" i="17"/>
  <c r="Q1731" i="17"/>
  <c r="Q1732" i="17"/>
  <c r="Q1733" i="17"/>
  <c r="Q1734" i="17"/>
  <c r="Q1735" i="17"/>
  <c r="Q1736" i="17"/>
  <c r="Q1737" i="17"/>
  <c r="Q1738" i="17"/>
  <c r="Q1739" i="17"/>
  <c r="Q1740" i="17"/>
  <c r="Q1741" i="17"/>
  <c r="Q1742" i="17"/>
  <c r="Q1743" i="17"/>
  <c r="Q1744" i="17"/>
  <c r="Q1745" i="17"/>
  <c r="Q1746" i="17"/>
  <c r="Q1747" i="17"/>
  <c r="Q1748" i="17"/>
  <c r="Q1749" i="17"/>
  <c r="Q1750" i="17"/>
  <c r="Q1751" i="17"/>
  <c r="Q1752" i="17"/>
  <c r="Q1753" i="17"/>
  <c r="Q1754" i="17"/>
  <c r="Q1755" i="17"/>
  <c r="Q1756" i="17"/>
  <c r="Q1757" i="17"/>
  <c r="Q1758" i="17"/>
  <c r="Q1759" i="17"/>
  <c r="Q1760" i="17"/>
  <c r="Q1761" i="17"/>
  <c r="Q1762" i="17"/>
  <c r="Q1763" i="17"/>
  <c r="Q1764" i="17"/>
  <c r="Q1765" i="17"/>
  <c r="Q1766" i="17"/>
  <c r="Q1767" i="17"/>
  <c r="Q1768" i="17"/>
  <c r="Q1769" i="17"/>
  <c r="Q1770" i="17"/>
  <c r="Q1771" i="17"/>
  <c r="Q1772" i="17"/>
  <c r="Q1773" i="17"/>
  <c r="Q1774" i="17"/>
  <c r="Q1775" i="17"/>
  <c r="Q1776" i="17"/>
  <c r="Q1777" i="17"/>
  <c r="Q1778" i="17"/>
  <c r="Q1779" i="17"/>
  <c r="Q1780" i="17"/>
  <c r="Q1781" i="17"/>
  <c r="Q1782" i="17"/>
  <c r="Q1783" i="17"/>
  <c r="Q1784" i="17"/>
  <c r="Q1785" i="17"/>
  <c r="Q1786" i="17"/>
  <c r="Q1787" i="17"/>
  <c r="Q1788" i="17"/>
  <c r="Q1789" i="17"/>
  <c r="Q1790" i="17"/>
  <c r="Q1791" i="17"/>
  <c r="Q1792" i="17"/>
  <c r="Q1793" i="17"/>
  <c r="Q1794" i="17"/>
  <c r="Q1795" i="17"/>
  <c r="Q1796" i="17"/>
  <c r="Q1797" i="17"/>
  <c r="Q1798" i="17"/>
  <c r="Q1799" i="17"/>
  <c r="Q1800" i="17"/>
  <c r="Q1801" i="17"/>
  <c r="Q1802" i="17"/>
  <c r="Q1803" i="17"/>
  <c r="Q1804" i="17"/>
  <c r="Q1805" i="17"/>
  <c r="Q1806" i="17"/>
  <c r="Q1807" i="17"/>
  <c r="Q1808" i="17"/>
  <c r="Q1809" i="17"/>
  <c r="Q1810" i="17"/>
  <c r="Q1811" i="17"/>
  <c r="Q1812" i="17"/>
  <c r="Q1813" i="17"/>
  <c r="Q1814" i="17"/>
  <c r="Q1815" i="17"/>
  <c r="Q1816" i="17"/>
  <c r="Q1817" i="17"/>
  <c r="Q1818" i="17"/>
  <c r="Q1819" i="17"/>
  <c r="Q1820" i="17"/>
  <c r="Q1821" i="17"/>
  <c r="Q1822" i="17"/>
  <c r="Q1823" i="17"/>
  <c r="Q1824" i="17"/>
  <c r="Q1825" i="17"/>
  <c r="Q1826" i="17"/>
  <c r="Q1827" i="17"/>
  <c r="Q1828" i="17"/>
  <c r="Q1829" i="17"/>
  <c r="Q1830" i="17"/>
  <c r="Q1831" i="17"/>
  <c r="Q1832" i="17"/>
  <c r="Q1833" i="17"/>
  <c r="Q1834" i="17"/>
  <c r="Q1835" i="17"/>
  <c r="Q1836" i="17"/>
  <c r="Q1837" i="17"/>
  <c r="Q1838" i="17"/>
  <c r="Q1839" i="17"/>
  <c r="Q1840" i="17"/>
  <c r="Q1841" i="17"/>
  <c r="Q1842" i="17"/>
  <c r="Q1843" i="17"/>
  <c r="Q1844" i="17"/>
  <c r="Q1845" i="17"/>
  <c r="Q1846" i="17"/>
  <c r="Q1847" i="17"/>
  <c r="Q1848" i="17"/>
  <c r="Q1849" i="17"/>
  <c r="Q1850" i="17"/>
  <c r="Q1851" i="17"/>
  <c r="Q1852" i="17"/>
  <c r="Q1853" i="17"/>
  <c r="Q1854" i="17"/>
  <c r="Q1855" i="17"/>
  <c r="Q1856" i="17"/>
  <c r="Q1857" i="17"/>
  <c r="Q1858" i="17"/>
  <c r="Q1859" i="17"/>
  <c r="Q1860" i="17"/>
  <c r="Q1861" i="17"/>
  <c r="Q1862" i="17"/>
  <c r="Q1863" i="17"/>
  <c r="Q1864" i="17"/>
  <c r="Q1865" i="17"/>
  <c r="Q1866" i="17"/>
  <c r="Q1867" i="17"/>
  <c r="Q1868" i="17"/>
  <c r="Q1869" i="17"/>
  <c r="Q1870" i="17"/>
  <c r="Q1871" i="17"/>
  <c r="Q1872" i="17"/>
  <c r="Q1873" i="17"/>
  <c r="Q1874" i="17"/>
  <c r="Q1875" i="17"/>
  <c r="Q1876" i="17"/>
  <c r="Q1877" i="17"/>
  <c r="Q1878" i="17"/>
  <c r="Q1879" i="17"/>
  <c r="Q1880" i="17"/>
  <c r="Q1881" i="17"/>
  <c r="Q1882" i="17"/>
  <c r="Q1883" i="17"/>
  <c r="Q1884" i="17"/>
  <c r="Q1885" i="17"/>
  <c r="Q1886" i="17"/>
  <c r="Q1887" i="17"/>
  <c r="Q1888" i="17"/>
  <c r="Q1889" i="17"/>
  <c r="Q1890" i="17"/>
  <c r="Q1891" i="17"/>
  <c r="Q1892" i="17"/>
  <c r="Q1893" i="17"/>
  <c r="Q1894" i="17"/>
  <c r="Q1895" i="17"/>
  <c r="Q1896" i="17"/>
  <c r="Q1897" i="17"/>
  <c r="Q1898" i="17"/>
  <c r="Q1899" i="17"/>
  <c r="Q1900" i="17"/>
  <c r="Q1901" i="17"/>
  <c r="Q1902" i="17"/>
  <c r="Q1903" i="17"/>
  <c r="Q1904" i="17"/>
  <c r="Q1905" i="17"/>
  <c r="Q1906" i="17"/>
  <c r="Q1907" i="17"/>
  <c r="Q1908" i="17"/>
  <c r="Q1909" i="17"/>
  <c r="Q1910" i="17"/>
  <c r="Q1911" i="17"/>
  <c r="Q1912" i="17"/>
  <c r="Q1913" i="17"/>
  <c r="Q1914" i="17"/>
  <c r="Q1915" i="17"/>
  <c r="Q1916" i="17"/>
  <c r="Q1917" i="17"/>
  <c r="Q1918" i="17"/>
  <c r="Q1919" i="17"/>
  <c r="Q1920" i="17"/>
  <c r="Q1921" i="17"/>
  <c r="Q1922" i="17"/>
  <c r="Q1923" i="17"/>
  <c r="Q1924" i="17"/>
  <c r="Q1925" i="17"/>
  <c r="Q1926" i="17"/>
  <c r="Q1927" i="17"/>
  <c r="Q1928" i="17"/>
  <c r="Q1929" i="17"/>
  <c r="Q1930" i="17"/>
  <c r="Q1931" i="17"/>
  <c r="Q1932" i="17"/>
  <c r="Q1933" i="17"/>
  <c r="Q1934" i="17"/>
  <c r="Q1935" i="17"/>
  <c r="Q1936" i="17"/>
  <c r="Q1937" i="17"/>
  <c r="Q1938" i="17"/>
  <c r="Q1939" i="17"/>
  <c r="Q1940" i="17"/>
  <c r="Q1941" i="17"/>
  <c r="Q1942" i="17"/>
  <c r="Q1943" i="17"/>
  <c r="Q1944" i="17"/>
  <c r="Q1945" i="17"/>
  <c r="Q1946" i="17"/>
  <c r="Q1947" i="17"/>
  <c r="Q1948" i="17"/>
  <c r="Q1949" i="17"/>
  <c r="Q1950" i="17"/>
  <c r="Q1951" i="17"/>
  <c r="Q1952" i="17"/>
  <c r="Q1953" i="17"/>
  <c r="Q1954" i="17"/>
  <c r="Q1955" i="17"/>
  <c r="Q1956" i="17"/>
  <c r="Q1957" i="17"/>
  <c r="Q1958" i="17"/>
  <c r="Q1959" i="17"/>
  <c r="Q1960" i="17"/>
  <c r="Q1961" i="17"/>
  <c r="Q1962" i="17"/>
  <c r="Q1963" i="17"/>
  <c r="Q1964" i="17"/>
  <c r="Q1965" i="17"/>
  <c r="Q1966" i="17"/>
  <c r="Q1967" i="17"/>
  <c r="Q1968" i="17"/>
  <c r="Q1969" i="17"/>
  <c r="Q1970" i="17"/>
  <c r="Q1971" i="17"/>
  <c r="Q1972" i="17"/>
  <c r="Q1973" i="17"/>
  <c r="Q1974" i="17"/>
  <c r="Q1975" i="17"/>
  <c r="Q1976" i="17"/>
  <c r="Q1977" i="17"/>
  <c r="Q1978" i="17"/>
  <c r="Q1979" i="17"/>
  <c r="Q1980" i="17"/>
  <c r="Q1981" i="17"/>
  <c r="Q1982" i="17"/>
  <c r="Q1983" i="17"/>
  <c r="Q1984" i="17"/>
  <c r="Q1985" i="17"/>
  <c r="Q1986" i="17"/>
  <c r="Q1987" i="17"/>
  <c r="Q1988" i="17"/>
  <c r="Q1989" i="17"/>
  <c r="Q1990" i="17"/>
  <c r="Q1991" i="17"/>
  <c r="Q1992" i="17"/>
  <c r="Q1993" i="17"/>
  <c r="Q1994" i="17"/>
  <c r="Q1995" i="17"/>
  <c r="Q1996" i="17"/>
  <c r="Q1997" i="17"/>
  <c r="Q1998" i="17"/>
  <c r="Q1999" i="17"/>
  <c r="Q2000" i="17"/>
  <c r="Q2001" i="17"/>
  <c r="Q2002" i="17"/>
  <c r="Q2003" i="17"/>
  <c r="Q2004" i="17"/>
  <c r="Q2005" i="17"/>
  <c r="Q2006" i="17"/>
  <c r="Q2007" i="17"/>
  <c r="Q2008" i="17"/>
  <c r="Q2009" i="17"/>
  <c r="Q2010" i="17"/>
  <c r="Q2011" i="17"/>
  <c r="Q2012" i="17"/>
  <c r="Q2013" i="17"/>
  <c r="Q2014" i="17"/>
  <c r="Q2015" i="17"/>
  <c r="Q2016" i="17"/>
  <c r="Q2017" i="17"/>
  <c r="Q2018" i="17"/>
  <c r="Q2019" i="17"/>
  <c r="Q2020" i="17"/>
  <c r="Q2021" i="17"/>
  <c r="Q2022" i="17"/>
  <c r="Q2023" i="17"/>
  <c r="Q2024" i="17"/>
  <c r="Q2025" i="17"/>
  <c r="Q2026" i="17"/>
  <c r="Q2027" i="17"/>
  <c r="Q2058" i="17"/>
  <c r="Q2059" i="17"/>
  <c r="Q2060" i="17"/>
  <c r="Q2061" i="17"/>
  <c r="Q2062" i="17"/>
  <c r="Q2063" i="17"/>
  <c r="Q2064" i="17"/>
  <c r="Q2065" i="17"/>
  <c r="Q2066" i="17"/>
  <c r="Q2067" i="17"/>
  <c r="Q2068" i="17"/>
  <c r="Q2069" i="17"/>
  <c r="Q2070" i="17"/>
  <c r="Q2071" i="17"/>
  <c r="Q2072" i="17"/>
  <c r="Q2073" i="17"/>
  <c r="Q2074" i="17"/>
  <c r="Q2075" i="17"/>
  <c r="Q2076" i="17"/>
  <c r="Q2077" i="17"/>
  <c r="Q2078" i="17"/>
  <c r="Q2079" i="17"/>
  <c r="Q2080" i="17"/>
  <c r="Q2081" i="17"/>
  <c r="Q2082" i="17"/>
  <c r="Q2083" i="17"/>
  <c r="Q2084" i="17"/>
  <c r="Q2085" i="17"/>
  <c r="Q2086" i="17"/>
  <c r="Q2087" i="17"/>
  <c r="Q2088" i="17"/>
  <c r="Q2089" i="17"/>
  <c r="Q2090" i="17"/>
  <c r="Q2091" i="17"/>
  <c r="Q2092" i="17"/>
  <c r="Q2093" i="17"/>
  <c r="Q2094" i="17"/>
  <c r="Q2095" i="17"/>
  <c r="Q2096" i="17"/>
  <c r="Q2097" i="17"/>
  <c r="Q2098" i="17"/>
  <c r="Q2099" i="17"/>
  <c r="Q2100" i="17"/>
  <c r="Q2101" i="17"/>
  <c r="Q2102" i="17"/>
  <c r="Q2103" i="17"/>
  <c r="Q2104" i="17"/>
  <c r="Q2105" i="17"/>
  <c r="Q2106" i="17"/>
  <c r="Q2107" i="17"/>
  <c r="Q2108" i="17"/>
  <c r="Q2109" i="17"/>
  <c r="Q2110" i="17"/>
  <c r="Q2111" i="17"/>
  <c r="Q2112" i="17"/>
  <c r="Q2113" i="17"/>
  <c r="Q2114" i="17"/>
  <c r="Q2115" i="17"/>
  <c r="Q2116" i="17"/>
  <c r="Q2117" i="17"/>
  <c r="Q2118" i="17"/>
  <c r="Q2119" i="17"/>
  <c r="Q2120" i="17"/>
  <c r="Q2121" i="17"/>
  <c r="Q2122" i="17"/>
  <c r="Q2123" i="17"/>
  <c r="Q2124" i="17"/>
  <c r="Q2125" i="17"/>
  <c r="Q2126" i="17"/>
  <c r="Q2127" i="17"/>
  <c r="Q2128" i="17"/>
  <c r="Q2129" i="17"/>
  <c r="Q2130" i="17"/>
  <c r="Q2131" i="17"/>
  <c r="Q2132" i="17"/>
  <c r="Q2133" i="17"/>
  <c r="Q2134" i="17"/>
  <c r="Q2135" i="17"/>
  <c r="Q2136" i="17"/>
  <c r="Q2137" i="17"/>
  <c r="Q2138" i="17"/>
  <c r="Q2139" i="17"/>
  <c r="Q2140" i="17"/>
  <c r="Q2141" i="17"/>
  <c r="Q2142" i="17"/>
  <c r="Q2143" i="17"/>
  <c r="Q2144" i="17"/>
  <c r="Q2145" i="17"/>
  <c r="Q2146" i="17"/>
  <c r="Q2147" i="17"/>
  <c r="Q2148" i="17"/>
  <c r="Q2149" i="17"/>
  <c r="Q2150" i="17"/>
  <c r="Q2151" i="17"/>
  <c r="Q2152" i="17"/>
  <c r="Q2153" i="17"/>
  <c r="Q2154" i="17"/>
  <c r="Q2155" i="17"/>
  <c r="Q2156" i="17"/>
  <c r="Q2157" i="17"/>
  <c r="Q2158" i="17"/>
  <c r="Q2159" i="17"/>
  <c r="Q2160" i="17"/>
  <c r="Q2161" i="17"/>
  <c r="Q2162" i="17"/>
  <c r="Q2163" i="17"/>
  <c r="Q2164" i="17"/>
  <c r="Q2165" i="17"/>
  <c r="Q2166" i="17"/>
  <c r="Q2167" i="17"/>
  <c r="Q2168" i="17"/>
  <c r="Q2169" i="17"/>
  <c r="Q2170" i="17"/>
  <c r="Q2171" i="17"/>
  <c r="Q2172" i="17"/>
  <c r="Q2173" i="17"/>
  <c r="Q2174" i="17"/>
  <c r="Q2175" i="17"/>
  <c r="Q2176" i="17"/>
  <c r="Q2177" i="17"/>
  <c r="Q2178" i="17"/>
  <c r="Q2179" i="17"/>
  <c r="Q2180" i="17"/>
  <c r="Q2181" i="17"/>
  <c r="Q2182" i="17"/>
  <c r="Q2183" i="17"/>
  <c r="Q2184" i="17"/>
  <c r="Q2185" i="17"/>
  <c r="Q2186" i="17"/>
  <c r="Q2187" i="17"/>
  <c r="Q2188" i="17"/>
  <c r="Q2189" i="17"/>
  <c r="Q2190" i="17"/>
  <c r="Q2191" i="17"/>
  <c r="Q2192" i="17"/>
  <c r="Q2193" i="17"/>
  <c r="Q2194" i="17"/>
  <c r="Q2195" i="17"/>
  <c r="Q2196" i="17"/>
  <c r="Q2197" i="17"/>
  <c r="Q2198" i="17"/>
  <c r="Q2199" i="17"/>
  <c r="Q2200" i="17"/>
  <c r="Q2201" i="17"/>
  <c r="Q2202" i="17"/>
  <c r="Q2203" i="17"/>
  <c r="Q2204" i="17"/>
  <c r="Q2205" i="17"/>
  <c r="Q2206" i="17"/>
  <c r="Q2207" i="17"/>
  <c r="Q2208" i="17"/>
  <c r="Q2209" i="17"/>
  <c r="Q2210" i="17"/>
  <c r="Q2211" i="17"/>
  <c r="Q2212" i="17"/>
  <c r="Q2213" i="17"/>
  <c r="Q2214" i="17"/>
  <c r="Q2215" i="17"/>
  <c r="Q2216" i="17"/>
  <c r="Q2235" i="17"/>
  <c r="Q2236" i="17"/>
  <c r="Q2237" i="17"/>
  <c r="Q2238" i="17"/>
  <c r="Q2239" i="17"/>
  <c r="Q2240" i="17"/>
  <c r="Q2241" i="17"/>
  <c r="Q2242" i="17"/>
  <c r="Q2243" i="17"/>
  <c r="Q2244" i="17"/>
  <c r="Q2245" i="17"/>
  <c r="Q2246" i="17"/>
  <c r="Q2247" i="17"/>
  <c r="Q2248" i="17"/>
  <c r="Q2249" i="17"/>
  <c r="Q2250" i="17"/>
  <c r="Q2251" i="17"/>
  <c r="Q2252" i="17"/>
  <c r="Q2253" i="17"/>
  <c r="Q2254" i="17"/>
  <c r="Q2255" i="17"/>
  <c r="Q2256" i="17"/>
  <c r="Q2257" i="17"/>
  <c r="Q2258" i="17"/>
  <c r="Q2259" i="17"/>
  <c r="Q2260" i="17"/>
  <c r="Q2261" i="17"/>
  <c r="Q2262" i="17"/>
  <c r="Q2263" i="17"/>
  <c r="Q2264" i="17"/>
  <c r="Q2265" i="17"/>
  <c r="Q2266" i="17"/>
  <c r="Q2267" i="17"/>
  <c r="Q2268" i="17"/>
  <c r="Q2269" i="17"/>
  <c r="Q2270" i="17"/>
  <c r="Q2271" i="17"/>
  <c r="Q2272" i="17"/>
  <c r="Q2273" i="17"/>
  <c r="Q2274" i="17"/>
  <c r="Q2275" i="17"/>
  <c r="Q2276" i="17"/>
  <c r="Q2277" i="17"/>
  <c r="Q2278" i="17"/>
  <c r="Q2279" i="17"/>
  <c r="Q2280" i="17"/>
  <c r="Q2281" i="17"/>
  <c r="Q2282" i="17"/>
  <c r="Q2283" i="17"/>
  <c r="Q2284" i="17"/>
  <c r="Q2285" i="17"/>
  <c r="Q2286" i="17"/>
  <c r="Q2287" i="17"/>
  <c r="Q2288" i="17"/>
  <c r="Q2289" i="17"/>
  <c r="Q2290" i="17"/>
  <c r="Q2291" i="17"/>
  <c r="Q2292" i="17"/>
  <c r="Q2293" i="17"/>
  <c r="Q2294" i="17"/>
  <c r="Q2295" i="17"/>
  <c r="Q2296" i="17"/>
  <c r="Q2297" i="17"/>
  <c r="Q2298" i="17"/>
  <c r="Q2299" i="17"/>
  <c r="Q2300" i="17"/>
  <c r="Q2301" i="17"/>
  <c r="Q2302" i="17"/>
  <c r="Q2303" i="17"/>
  <c r="Q2304" i="17"/>
  <c r="Q2305" i="17"/>
  <c r="Q2306" i="17"/>
  <c r="Q2307" i="17"/>
  <c r="Q2308" i="17"/>
  <c r="Q2309" i="17"/>
  <c r="Q2310" i="17"/>
  <c r="Q2311" i="17"/>
  <c r="Q2312" i="17"/>
  <c r="Q2313" i="17"/>
  <c r="Q2314" i="17"/>
  <c r="Q2315" i="17"/>
  <c r="Q2316" i="17"/>
  <c r="Q2317" i="17"/>
  <c r="Q2318" i="17"/>
  <c r="Q2319" i="17"/>
  <c r="Q2320" i="17"/>
  <c r="Q2321" i="17"/>
  <c r="Q2322" i="17"/>
  <c r="Q2323" i="17"/>
  <c r="Q2324" i="17"/>
  <c r="Q2325" i="17"/>
  <c r="Q2326" i="17"/>
  <c r="Q2327" i="17"/>
  <c r="Q2328" i="17"/>
  <c r="Q2329" i="17"/>
  <c r="Q2330" i="17"/>
  <c r="Q2331" i="17"/>
  <c r="Q2332" i="17"/>
  <c r="Q2333" i="17"/>
  <c r="Q2334" i="17"/>
  <c r="Q2335" i="17"/>
  <c r="Q2336" i="17"/>
  <c r="Q2337" i="17"/>
  <c r="Q2338" i="17"/>
  <c r="Q2339" i="17"/>
  <c r="Q2340" i="17"/>
  <c r="Q2341" i="17"/>
  <c r="Q2342" i="17"/>
  <c r="Q2343" i="17"/>
  <c r="Q2344" i="17"/>
  <c r="Q2345" i="17"/>
  <c r="Q2346" i="17"/>
  <c r="Q2347" i="17"/>
  <c r="Q2348" i="17"/>
  <c r="Q2349" i="17"/>
  <c r="Q2350" i="17"/>
  <c r="Q2351" i="17"/>
  <c r="Q2352" i="17"/>
  <c r="Q2353" i="17"/>
  <c r="Q2354" i="17"/>
  <c r="Q2355" i="17"/>
  <c r="Q2356" i="17"/>
  <c r="Q2357" i="17"/>
  <c r="Q2358" i="17"/>
  <c r="Q2359" i="17"/>
  <c r="Q2360" i="17"/>
  <c r="Q2361" i="17"/>
  <c r="Q2362" i="17"/>
  <c r="Q2363" i="17"/>
  <c r="Q2364" i="17"/>
  <c r="Q2365" i="17"/>
  <c r="Q2366" i="17"/>
  <c r="Q2367" i="17"/>
  <c r="Q2368" i="17"/>
  <c r="Q2369" i="17"/>
  <c r="Q2370" i="17"/>
  <c r="Q2371" i="17"/>
  <c r="Q2372" i="17"/>
  <c r="Q2373" i="17"/>
  <c r="Q2374" i="17"/>
  <c r="Q2375" i="17"/>
  <c r="Q2376" i="17"/>
  <c r="Q2377" i="17"/>
  <c r="Q2378" i="17"/>
  <c r="Q2379" i="17"/>
  <c r="Q2380" i="17"/>
  <c r="Q2381" i="17"/>
  <c r="Q2382" i="17"/>
  <c r="Q2383" i="17"/>
  <c r="Q2384" i="17"/>
  <c r="Q2385" i="17"/>
  <c r="Q2386" i="17"/>
  <c r="Q2387" i="17"/>
  <c r="Q2388" i="17"/>
  <c r="Q2389" i="17"/>
  <c r="Q2390" i="17"/>
  <c r="Q2391" i="17"/>
  <c r="Q2392" i="17"/>
  <c r="Q2393" i="17"/>
  <c r="Q2394" i="17"/>
  <c r="Q2395" i="17"/>
  <c r="Q2396" i="17"/>
  <c r="Q2397" i="17"/>
  <c r="Q2398" i="17"/>
  <c r="Q2399" i="17"/>
  <c r="Q2400" i="17"/>
  <c r="Q2401" i="17"/>
  <c r="Q2402" i="17"/>
  <c r="Q2403" i="17"/>
  <c r="Q2404" i="17"/>
  <c r="Q2405" i="17"/>
  <c r="Q2406" i="17"/>
  <c r="Q2407" i="17"/>
  <c r="Q2408" i="17"/>
  <c r="Q2409" i="17"/>
  <c r="Q2410" i="17"/>
  <c r="Q2411" i="17"/>
  <c r="Q2412" i="17"/>
  <c r="Q2413" i="17"/>
  <c r="Q2414" i="17"/>
  <c r="Q2415" i="17"/>
  <c r="Q2416" i="17"/>
  <c r="Q2417" i="17"/>
  <c r="Q2418" i="17"/>
  <c r="Q2419" i="17"/>
  <c r="Q2420" i="17"/>
  <c r="Q2421" i="17"/>
  <c r="Q2475" i="17"/>
  <c r="Q2476" i="17"/>
  <c r="Q2477" i="17"/>
  <c r="Q2478" i="17"/>
  <c r="Q2479" i="17"/>
  <c r="Q2480" i="17"/>
  <c r="Q2481" i="17"/>
  <c r="Q2482" i="17"/>
  <c r="Q2483" i="17"/>
  <c r="Q2484" i="17"/>
  <c r="Q2485" i="17"/>
  <c r="Q2486" i="17"/>
  <c r="Q2487" i="17"/>
  <c r="Q2488" i="17"/>
  <c r="Q2489" i="17"/>
  <c r="Q2490" i="17"/>
  <c r="Q2491" i="17"/>
  <c r="Q2492" i="17"/>
  <c r="Q2583" i="17"/>
  <c r="Q2584" i="17"/>
  <c r="Q2585" i="17"/>
  <c r="Q2" i="17"/>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90" i="22"/>
  <c r="B191" i="22"/>
  <c r="B192" i="22"/>
  <c r="B193" i="22"/>
  <c r="B194" i="22"/>
  <c r="B195" i="22"/>
  <c r="B196" i="22"/>
  <c r="B197" i="22"/>
  <c r="B2" i="22"/>
  <c r="AE268" i="9"/>
  <c r="AE269" i="9"/>
  <c r="AE270" i="9"/>
  <c r="AE271" i="9"/>
  <c r="AE272" i="9"/>
  <c r="AE273" i="9"/>
  <c r="AE274" i="9"/>
  <c r="AE275" i="9"/>
  <c r="AE276" i="9"/>
  <c r="AE277" i="9"/>
  <c r="AE278" i="9"/>
  <c r="AE279" i="9"/>
  <c r="AE280" i="9"/>
  <c r="AE281" i="9"/>
  <c r="AE282" i="9"/>
  <c r="AE283" i="9"/>
  <c r="AE284" i="9"/>
  <c r="AE285" i="9"/>
  <c r="AE286" i="9"/>
  <c r="AE287" i="9"/>
  <c r="AE288" i="9"/>
  <c r="AE289" i="9"/>
  <c r="AE290" i="9"/>
  <c r="AE291" i="9"/>
  <c r="AE292" i="9"/>
  <c r="AE293" i="9"/>
  <c r="AE294" i="9"/>
  <c r="AE295" i="9"/>
  <c r="AE296" i="9"/>
  <c r="AE297" i="9"/>
  <c r="AE298" i="9"/>
  <c r="AE299" i="9"/>
  <c r="AE300" i="9"/>
  <c r="AE301" i="9"/>
  <c r="AE302" i="9"/>
  <c r="AE303" i="9"/>
  <c r="AE304" i="9"/>
  <c r="AE305" i="9"/>
  <c r="AE306" i="9"/>
  <c r="AE307" i="9"/>
  <c r="AE308" i="9"/>
  <c r="AE309" i="9"/>
  <c r="AE310" i="9"/>
  <c r="AE311" i="9"/>
  <c r="AE312" i="9"/>
  <c r="AE313" i="9"/>
  <c r="AE314" i="9"/>
  <c r="AE315" i="9"/>
  <c r="AE316" i="9"/>
  <c r="AE317" i="9"/>
  <c r="AE318" i="9"/>
  <c r="AE319" i="9"/>
  <c r="AE320" i="9"/>
  <c r="AE321" i="9"/>
  <c r="AE322" i="9"/>
  <c r="AE323" i="9"/>
  <c r="AE324" i="9"/>
  <c r="AE326" i="9"/>
  <c r="AE327" i="9"/>
  <c r="AE328" i="9"/>
  <c r="AE329" i="9"/>
  <c r="AE330" i="9"/>
  <c r="AE331" i="9"/>
  <c r="AE332" i="9"/>
  <c r="AE333" i="9"/>
  <c r="AE334" i="9"/>
  <c r="AE335" i="9"/>
  <c r="AE336" i="9"/>
  <c r="AE337" i="9"/>
  <c r="AE338" i="9"/>
  <c r="AE339" i="9"/>
  <c r="AE340" i="9"/>
  <c r="AE341" i="9"/>
  <c r="AE342" i="9"/>
  <c r="AE343" i="9"/>
  <c r="AE344" i="9"/>
  <c r="AE345" i="9"/>
  <c r="AE346" i="9"/>
  <c r="AE347" i="9"/>
  <c r="AE348" i="9"/>
  <c r="AE349" i="9"/>
  <c r="AE350" i="9"/>
  <c r="AE351" i="9"/>
  <c r="AE352" i="9"/>
  <c r="AE353" i="9"/>
  <c r="AE354" i="9"/>
  <c r="AE355" i="9"/>
  <c r="AE356" i="9"/>
  <c r="AE357" i="9"/>
  <c r="AE358" i="9"/>
  <c r="AE359" i="9"/>
  <c r="AE360" i="9"/>
  <c r="AE361" i="9"/>
  <c r="AE362" i="9"/>
  <c r="AE363" i="9"/>
  <c r="AE364" i="9"/>
  <c r="AE365" i="9"/>
  <c r="AE366" i="9"/>
  <c r="AE367" i="9"/>
  <c r="AE368" i="9"/>
  <c r="AE369" i="9"/>
  <c r="AE370" i="9"/>
  <c r="AE371" i="9"/>
  <c r="AE372" i="9"/>
  <c r="AE373" i="9"/>
  <c r="AE374" i="9"/>
  <c r="AE166" i="9"/>
  <c r="AE167" i="9"/>
  <c r="AE168" i="9"/>
  <c r="AE169" i="9"/>
  <c r="AE170" i="9"/>
  <c r="AE171" i="9"/>
  <c r="AE172" i="9"/>
  <c r="AE173" i="9"/>
  <c r="AE174" i="9"/>
  <c r="AE175" i="9"/>
  <c r="AE176" i="9"/>
  <c r="AE177" i="9"/>
  <c r="AE178" i="9"/>
  <c r="AE179" i="9"/>
  <c r="AE180" i="9"/>
  <c r="AE181" i="9"/>
  <c r="AE182" i="9"/>
  <c r="AE183" i="9"/>
  <c r="AE184" i="9"/>
  <c r="AE185" i="9"/>
  <c r="AE186" i="9"/>
  <c r="AE187" i="9"/>
  <c r="AE188" i="9"/>
  <c r="AE189" i="9"/>
  <c r="AE190" i="9"/>
  <c r="AE191" i="9"/>
  <c r="AE192" i="9"/>
  <c r="AE193" i="9"/>
  <c r="AE194" i="9"/>
  <c r="AE195" i="9"/>
  <c r="AE196" i="9"/>
  <c r="AE197" i="9"/>
  <c r="AE198" i="9"/>
  <c r="AE199" i="9"/>
  <c r="AE200" i="9"/>
  <c r="AE201" i="9"/>
  <c r="AE202" i="9"/>
  <c r="AE203" i="9"/>
  <c r="AE204" i="9"/>
  <c r="AE205" i="9"/>
  <c r="AE206" i="9"/>
  <c r="AE207" i="9"/>
  <c r="AE208" i="9"/>
  <c r="AE209" i="9"/>
  <c r="AE210" i="9"/>
  <c r="AE211" i="9"/>
  <c r="AE212" i="9"/>
  <c r="AE213" i="9"/>
  <c r="AE214" i="9"/>
  <c r="AE215" i="9"/>
  <c r="AE216" i="9"/>
  <c r="AE217" i="9"/>
  <c r="AE218" i="9"/>
  <c r="AE219" i="9"/>
  <c r="AE220" i="9"/>
  <c r="AE221" i="9"/>
  <c r="AE222" i="9"/>
  <c r="AE223" i="9"/>
  <c r="AE224" i="9"/>
  <c r="AE225" i="9"/>
  <c r="AE226" i="9"/>
  <c r="AE227" i="9"/>
  <c r="AE228" i="9"/>
  <c r="AE229" i="9"/>
  <c r="AE230" i="9"/>
  <c r="AE231" i="9"/>
  <c r="AE232" i="9"/>
  <c r="AE233" i="9"/>
  <c r="AE234" i="9"/>
  <c r="AE235" i="9"/>
  <c r="AE236" i="9"/>
  <c r="AE237" i="9"/>
  <c r="AE238" i="9"/>
  <c r="AE239" i="9"/>
  <c r="AE240" i="9"/>
  <c r="AE241" i="9"/>
  <c r="AE242" i="9"/>
  <c r="AE243" i="9"/>
  <c r="AE244" i="9"/>
  <c r="AE245" i="9"/>
  <c r="AE246" i="9"/>
  <c r="AE247" i="9"/>
  <c r="AE248" i="9"/>
  <c r="AE249" i="9"/>
  <c r="AE250" i="9"/>
  <c r="AE251" i="9"/>
  <c r="AE252" i="9"/>
  <c r="AE253" i="9"/>
  <c r="AE254" i="9"/>
  <c r="AE255" i="9"/>
  <c r="AE256" i="9"/>
  <c r="AE257" i="9"/>
  <c r="AE258" i="9"/>
  <c r="AE259" i="9"/>
  <c r="AE260" i="9"/>
  <c r="AE261" i="9"/>
  <c r="AE262" i="9"/>
  <c r="AE263" i="9"/>
  <c r="AE264" i="9"/>
  <c r="AE265" i="9"/>
  <c r="AE266" i="9"/>
  <c r="AE267" i="9"/>
  <c r="AE3" i="9"/>
  <c r="AE4" i="9"/>
  <c r="AE5" i="9"/>
  <c r="AE6" i="9"/>
  <c r="AE7" i="9"/>
  <c r="AE8" i="9"/>
  <c r="AE9" i="9"/>
  <c r="AE10" i="9"/>
  <c r="AE11" i="9"/>
  <c r="AE12" i="9"/>
  <c r="AE13" i="9"/>
  <c r="AE14" i="9"/>
  <c r="AE15" i="9"/>
  <c r="AE16" i="9"/>
  <c r="AE17" i="9"/>
  <c r="AE18" i="9"/>
  <c r="AE19" i="9"/>
  <c r="AE20" i="9"/>
  <c r="AE21" i="9"/>
  <c r="AE22" i="9"/>
  <c r="AE23" i="9"/>
  <c r="AE24" i="9"/>
  <c r="AE25" i="9"/>
  <c r="AE26" i="9"/>
  <c r="AE27" i="9"/>
  <c r="AE28" i="9"/>
  <c r="AE29" i="9"/>
  <c r="AE30" i="9"/>
  <c r="AE31" i="9"/>
  <c r="AE32" i="9"/>
  <c r="AE33" i="9"/>
  <c r="AE34" i="9"/>
  <c r="AE35" i="9"/>
  <c r="AE36" i="9"/>
  <c r="AE37" i="9"/>
  <c r="AE38" i="9"/>
  <c r="AE39" i="9"/>
  <c r="AE40" i="9"/>
  <c r="AE41" i="9"/>
  <c r="AE42" i="9"/>
  <c r="AE43" i="9"/>
  <c r="AE44" i="9"/>
  <c r="AE45" i="9"/>
  <c r="AE46" i="9"/>
  <c r="AE47" i="9"/>
  <c r="AE48" i="9"/>
  <c r="AE49" i="9"/>
  <c r="AE50" i="9"/>
  <c r="AE51" i="9"/>
  <c r="AE52" i="9"/>
  <c r="AE53" i="9"/>
  <c r="AE54" i="9"/>
  <c r="AE55" i="9"/>
  <c r="AE56" i="9"/>
  <c r="AE57" i="9"/>
  <c r="AE58" i="9"/>
  <c r="AE59" i="9"/>
  <c r="AE60" i="9"/>
  <c r="AE61" i="9"/>
  <c r="AE62" i="9"/>
  <c r="AE63" i="9"/>
  <c r="AE64" i="9"/>
  <c r="AE65" i="9"/>
  <c r="AE66" i="9"/>
  <c r="AE67" i="9"/>
  <c r="AE68" i="9"/>
  <c r="AE69" i="9"/>
  <c r="AE70" i="9"/>
  <c r="AE71" i="9"/>
  <c r="AE72" i="9"/>
  <c r="AE73" i="9"/>
  <c r="AE74" i="9"/>
  <c r="AE75" i="9"/>
  <c r="AE76" i="9"/>
  <c r="AE77" i="9"/>
  <c r="AE78" i="9"/>
  <c r="AE79" i="9"/>
  <c r="AE80" i="9"/>
  <c r="AE81" i="9"/>
  <c r="AE82" i="9"/>
  <c r="AE83" i="9"/>
  <c r="AE84" i="9"/>
  <c r="AE85" i="9"/>
  <c r="AE86" i="9"/>
  <c r="AE87" i="9"/>
  <c r="AE88" i="9"/>
  <c r="AE89" i="9"/>
  <c r="AE90" i="9"/>
  <c r="AE91" i="9"/>
  <c r="AE92" i="9"/>
  <c r="AE93" i="9"/>
  <c r="AE94" i="9"/>
  <c r="AE95" i="9"/>
  <c r="AE96" i="9"/>
  <c r="AE97" i="9"/>
  <c r="AE98" i="9"/>
  <c r="AE99" i="9"/>
  <c r="AE100" i="9"/>
  <c r="AE101" i="9"/>
  <c r="AE102" i="9"/>
  <c r="AE103" i="9"/>
  <c r="AE104" i="9"/>
  <c r="AE105" i="9"/>
  <c r="AE106" i="9"/>
  <c r="AE107" i="9"/>
  <c r="AE108" i="9"/>
  <c r="AE109" i="9"/>
  <c r="AE110" i="9"/>
  <c r="AE111" i="9"/>
  <c r="AE112" i="9"/>
  <c r="AE113" i="9"/>
  <c r="AE114" i="9"/>
  <c r="AE115" i="9"/>
  <c r="AE116" i="9"/>
  <c r="AE117" i="9"/>
  <c r="AE118" i="9"/>
  <c r="AE119" i="9"/>
  <c r="AE120" i="9"/>
  <c r="AE121" i="9"/>
  <c r="AE122" i="9"/>
  <c r="AE123" i="9"/>
  <c r="AE124" i="9"/>
  <c r="AE125" i="9"/>
  <c r="AE126" i="9"/>
  <c r="AE127" i="9"/>
  <c r="AE128" i="9"/>
  <c r="AE129" i="9"/>
  <c r="AE130" i="9"/>
  <c r="AE131" i="9"/>
  <c r="AE132" i="9"/>
  <c r="AE133" i="9"/>
  <c r="AE134" i="9"/>
  <c r="AE135" i="9"/>
  <c r="AE136" i="9"/>
  <c r="AE137" i="9"/>
  <c r="AE138" i="9"/>
  <c r="AE139" i="9"/>
  <c r="AE140" i="9"/>
  <c r="AE141" i="9"/>
  <c r="AE142" i="9"/>
  <c r="AE143" i="9"/>
  <c r="AE144" i="9"/>
  <c r="AE145" i="9"/>
  <c r="AE146" i="9"/>
  <c r="AE147" i="9"/>
  <c r="AE148" i="9"/>
  <c r="AE149" i="9"/>
  <c r="AE150" i="9"/>
  <c r="AE151" i="9"/>
  <c r="AE152" i="9"/>
  <c r="AE153" i="9"/>
  <c r="AE154" i="9"/>
  <c r="AE155" i="9"/>
  <c r="AE156" i="9"/>
  <c r="AE157" i="9"/>
  <c r="AE158" i="9"/>
  <c r="AE159" i="9"/>
  <c r="AE160" i="9"/>
  <c r="AE161" i="9"/>
  <c r="AE162" i="9"/>
  <c r="AE163" i="9"/>
  <c r="AE164" i="9"/>
  <c r="AE165" i="9"/>
  <c r="AE2" i="9"/>
  <c r="A2587" i="17"/>
  <c r="A2588" i="17"/>
  <c r="A2586" i="17"/>
  <c r="Q2586" i="17" s="1"/>
  <c r="A2494" i="17"/>
  <c r="Q2494" i="17" s="1"/>
  <c r="A2495" i="17"/>
  <c r="A2513" i="17" s="1"/>
  <c r="A2496" i="17"/>
  <c r="A2497" i="17"/>
  <c r="A2498" i="17"/>
  <c r="A2499" i="17"/>
  <c r="A2500" i="17"/>
  <c r="A2501" i="17"/>
  <c r="A2519" i="17" s="1"/>
  <c r="A2502" i="17"/>
  <c r="Q2502" i="17" s="1"/>
  <c r="A2503" i="17"/>
  <c r="Q2503" i="17" s="1"/>
  <c r="A2504" i="17"/>
  <c r="A2505" i="17"/>
  <c r="A2506" i="17"/>
  <c r="A2507" i="17"/>
  <c r="A2508" i="17"/>
  <c r="A2509" i="17"/>
  <c r="A2510" i="17"/>
  <c r="Q2510" i="17" s="1"/>
  <c r="A2493" i="17"/>
  <c r="Q2493" i="17" s="1"/>
  <c r="A2427" i="17"/>
  <c r="A2433" i="17" s="1"/>
  <c r="Q2433" i="17" s="1"/>
  <c r="A2422" i="17"/>
  <c r="A2428" i="17" s="1"/>
  <c r="F255" i="9"/>
  <c r="F256" i="9"/>
  <c r="F257" i="9"/>
  <c r="F258" i="9"/>
  <c r="F259" i="9"/>
  <c r="F260" i="9"/>
  <c r="F261" i="9"/>
  <c r="F262" i="9"/>
  <c r="F263" i="9"/>
  <c r="F264" i="9"/>
  <c r="F265" i="9"/>
  <c r="F266" i="9"/>
  <c r="F267" i="9"/>
  <c r="F254" i="9"/>
  <c r="N13" i="4"/>
  <c r="N12" i="4"/>
  <c r="J14" i="4"/>
  <c r="N14" i="4"/>
  <c r="N15" i="4"/>
  <c r="J15" i="4"/>
  <c r="J13" i="4"/>
  <c r="J12" i="4"/>
  <c r="N24" i="4"/>
  <c r="J24" i="4"/>
  <c r="J23" i="4"/>
  <c r="N23" i="4"/>
  <c r="N274" i="1"/>
  <c r="G249" i="9"/>
  <c r="F249" i="9"/>
  <c r="G245" i="9"/>
  <c r="G244" i="9"/>
  <c r="G243" i="9"/>
  <c r="G242" i="9"/>
  <c r="A2218" i="17"/>
  <c r="Q2218" i="17" s="1"/>
  <c r="A2219" i="17"/>
  <c r="A2220" i="17"/>
  <c r="A2226" i="17" s="1"/>
  <c r="A2221" i="17"/>
  <c r="Q2221" i="17" s="1"/>
  <c r="A2222" i="17"/>
  <c r="A2228" i="17" s="1"/>
  <c r="A2217" i="17"/>
  <c r="Q2217" i="17" s="1"/>
  <c r="N11" i="4"/>
  <c r="N10" i="4"/>
  <c r="N9" i="4"/>
  <c r="N8" i="4"/>
  <c r="J11" i="4"/>
  <c r="J10" i="4"/>
  <c r="J9" i="4"/>
  <c r="J8" i="4"/>
  <c r="N79" i="1"/>
  <c r="N78" i="1"/>
  <c r="N76" i="1"/>
  <c r="N75" i="1"/>
  <c r="E548" i="14"/>
  <c r="D548" i="14"/>
  <c r="C548" i="14"/>
  <c r="E547" i="14"/>
  <c r="D547" i="14"/>
  <c r="C547" i="14"/>
  <c r="B547" i="14"/>
  <c r="G100" i="14"/>
  <c r="G101" i="14"/>
  <c r="B94" i="14"/>
  <c r="C94" i="14"/>
  <c r="D94" i="14"/>
  <c r="E94" i="14"/>
  <c r="G94" i="14"/>
  <c r="B95" i="14"/>
  <c r="C95" i="14"/>
  <c r="D95" i="14"/>
  <c r="E95" i="14"/>
  <c r="G95" i="14"/>
  <c r="B96" i="14"/>
  <c r="C96" i="14"/>
  <c r="D96" i="14"/>
  <c r="E96" i="14"/>
  <c r="G96" i="14"/>
  <c r="B97" i="14"/>
  <c r="C97" i="14"/>
  <c r="D97" i="14"/>
  <c r="E97" i="14"/>
  <c r="G97" i="14"/>
  <c r="B98" i="14"/>
  <c r="C98" i="14"/>
  <c r="D98" i="14"/>
  <c r="E98" i="14"/>
  <c r="G98" i="14"/>
  <c r="B99" i="14"/>
  <c r="C99" i="14"/>
  <c r="D99" i="14"/>
  <c r="E99" i="14"/>
  <c r="G99" i="14"/>
  <c r="B100" i="14"/>
  <c r="C100" i="14"/>
  <c r="D100" i="14"/>
  <c r="E100"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371" i="14"/>
  <c r="G372" i="14"/>
  <c r="G373" i="14"/>
  <c r="G374" i="14"/>
  <c r="G375" i="14"/>
  <c r="G376" i="14"/>
  <c r="G377" i="14"/>
  <c r="G378" i="14"/>
  <c r="G379" i="14"/>
  <c r="G380" i="14"/>
  <c r="G381" i="14"/>
  <c r="G382" i="14"/>
  <c r="G383" i="14"/>
  <c r="G384" i="14"/>
  <c r="G385" i="14"/>
  <c r="G386" i="14"/>
  <c r="G387" i="14"/>
  <c r="G388" i="14"/>
  <c r="G389" i="14"/>
  <c r="G390" i="14"/>
  <c r="G391" i="14"/>
  <c r="G392" i="14"/>
  <c r="G393" i="14"/>
  <c r="G394" i="14"/>
  <c r="G395" i="14"/>
  <c r="G396" i="14"/>
  <c r="G397" i="14"/>
  <c r="G398" i="14"/>
  <c r="G399" i="14"/>
  <c r="G400" i="14"/>
  <c r="G401" i="14"/>
  <c r="G402" i="14"/>
  <c r="G403" i="14"/>
  <c r="G404" i="14"/>
  <c r="G405" i="14"/>
  <c r="G406" i="14"/>
  <c r="G407" i="14"/>
  <c r="G408" i="14"/>
  <c r="G409" i="14"/>
  <c r="G410" i="14"/>
  <c r="G411" i="14"/>
  <c r="G412" i="14"/>
  <c r="G413" i="14"/>
  <c r="G414" i="14"/>
  <c r="G415" i="14"/>
  <c r="G416" i="14"/>
  <c r="G417" i="14"/>
  <c r="G418" i="14"/>
  <c r="G419" i="14"/>
  <c r="G420" i="14"/>
  <c r="G421" i="14"/>
  <c r="G422" i="14"/>
  <c r="G423" i="14"/>
  <c r="G424" i="14"/>
  <c r="G425" i="14"/>
  <c r="G426" i="14"/>
  <c r="G427" i="14"/>
  <c r="G428" i="14"/>
  <c r="G429" i="14"/>
  <c r="G430" i="14"/>
  <c r="G431" i="14"/>
  <c r="G432" i="14"/>
  <c r="G433" i="14"/>
  <c r="G434" i="14"/>
  <c r="G435" i="14"/>
  <c r="G436" i="14"/>
  <c r="G437" i="14"/>
  <c r="G438" i="14"/>
  <c r="G439" i="14"/>
  <c r="G440" i="14"/>
  <c r="G441" i="14"/>
  <c r="G442" i="14"/>
  <c r="G443" i="14"/>
  <c r="G444" i="14"/>
  <c r="G445" i="14"/>
  <c r="G446" i="14"/>
  <c r="G447" i="14"/>
  <c r="G448" i="14"/>
  <c r="G449" i="14"/>
  <c r="G450" i="14"/>
  <c r="G451" i="14"/>
  <c r="G452" i="14"/>
  <c r="G453" i="14"/>
  <c r="G454" i="14"/>
  <c r="G455" i="14"/>
  <c r="G456" i="14"/>
  <c r="G457" i="14"/>
  <c r="G458" i="14"/>
  <c r="G459" i="14"/>
  <c r="G460" i="14"/>
  <c r="G461" i="14"/>
  <c r="G462" i="14"/>
  <c r="G463" i="14"/>
  <c r="G464" i="14"/>
  <c r="G465" i="14"/>
  <c r="G466" i="14"/>
  <c r="G467" i="14"/>
  <c r="G468" i="14"/>
  <c r="G469" i="14"/>
  <c r="G470" i="14"/>
  <c r="G471" i="14"/>
  <c r="G472" i="14"/>
  <c r="G473" i="14"/>
  <c r="G474" i="14"/>
  <c r="G475" i="14"/>
  <c r="G476" i="14"/>
  <c r="G477" i="14"/>
  <c r="G478" i="14"/>
  <c r="G479" i="14"/>
  <c r="G480" i="14"/>
  <c r="G481" i="14"/>
  <c r="G482" i="14"/>
  <c r="G483" i="14"/>
  <c r="G484" i="14"/>
  <c r="G485" i="14"/>
  <c r="G486" i="14"/>
  <c r="G487" i="14"/>
  <c r="G488" i="14"/>
  <c r="G489" i="14"/>
  <c r="G490" i="14"/>
  <c r="G491" i="14"/>
  <c r="G492" i="14"/>
  <c r="G493" i="14"/>
  <c r="G494" i="14"/>
  <c r="G495" i="14"/>
  <c r="G496" i="14"/>
  <c r="G497" i="14"/>
  <c r="G498" i="14"/>
  <c r="G499" i="14"/>
  <c r="G500" i="14"/>
  <c r="G501" i="14"/>
  <c r="G502" i="14"/>
  <c r="G503" i="14"/>
  <c r="G504" i="14"/>
  <c r="G505" i="14"/>
  <c r="G506" i="14"/>
  <c r="G507" i="14"/>
  <c r="G508" i="14"/>
  <c r="G509" i="14"/>
  <c r="G510" i="14"/>
  <c r="G511" i="14"/>
  <c r="G512" i="14"/>
  <c r="G513" i="14"/>
  <c r="G514" i="14"/>
  <c r="G515" i="14"/>
  <c r="G516" i="14"/>
  <c r="G517" i="14"/>
  <c r="G518" i="14"/>
  <c r="G519" i="14"/>
  <c r="G520" i="14"/>
  <c r="G521" i="14"/>
  <c r="G522" i="14"/>
  <c r="G523" i="14"/>
  <c r="G524" i="14"/>
  <c r="G525" i="14"/>
  <c r="G526" i="14"/>
  <c r="G527" i="14"/>
  <c r="G528" i="14"/>
  <c r="G529" i="14"/>
  <c r="G530" i="14"/>
  <c r="G531" i="14"/>
  <c r="G532" i="14"/>
  <c r="G533" i="14"/>
  <c r="G534" i="14"/>
  <c r="G535" i="14"/>
  <c r="G536" i="14"/>
  <c r="G537" i="14"/>
  <c r="G538" i="14"/>
  <c r="G539" i="14"/>
  <c r="G540" i="14"/>
  <c r="G3" i="14"/>
  <c r="B232" i="14"/>
  <c r="C232" i="14"/>
  <c r="D232" i="14"/>
  <c r="E232" i="14"/>
  <c r="B233" i="14"/>
  <c r="C233" i="14"/>
  <c r="D233" i="14"/>
  <c r="E233" i="14"/>
  <c r="B234" i="14"/>
  <c r="C234" i="14"/>
  <c r="D234" i="14"/>
  <c r="E234" i="14"/>
  <c r="B235" i="14"/>
  <c r="C235" i="14"/>
  <c r="D235" i="14"/>
  <c r="E235" i="14"/>
  <c r="B236" i="14"/>
  <c r="C236" i="14"/>
  <c r="D236" i="14"/>
  <c r="E236" i="14"/>
  <c r="B237" i="14"/>
  <c r="C237" i="14"/>
  <c r="D237" i="14"/>
  <c r="E237" i="14"/>
  <c r="B238" i="14"/>
  <c r="C238" i="14"/>
  <c r="D238" i="14"/>
  <c r="E238" i="14"/>
  <c r="B239" i="14"/>
  <c r="C239" i="14"/>
  <c r="D239" i="14"/>
  <c r="E239" i="14"/>
  <c r="B240" i="14"/>
  <c r="C240" i="14"/>
  <c r="D240" i="14"/>
  <c r="E240" i="14"/>
  <c r="I1680" i="17"/>
  <c r="I1679" i="17"/>
  <c r="B484" i="14"/>
  <c r="C484" i="14"/>
  <c r="D484" i="14"/>
  <c r="E484" i="14"/>
  <c r="B485" i="14"/>
  <c r="C485" i="14"/>
  <c r="D485" i="14"/>
  <c r="E485" i="14"/>
  <c r="B486" i="14"/>
  <c r="C486" i="14"/>
  <c r="D486" i="14"/>
  <c r="E486" i="14"/>
  <c r="B487" i="14"/>
  <c r="C487" i="14"/>
  <c r="D487" i="14"/>
  <c r="E487" i="14"/>
  <c r="B488" i="14"/>
  <c r="C488" i="14"/>
  <c r="D488" i="14"/>
  <c r="E488" i="14"/>
  <c r="B489" i="14"/>
  <c r="C489" i="14"/>
  <c r="D489" i="14"/>
  <c r="E489" i="14"/>
  <c r="B490" i="14"/>
  <c r="C490" i="14"/>
  <c r="D490" i="14"/>
  <c r="E490" i="14"/>
  <c r="B491" i="14"/>
  <c r="C491" i="14"/>
  <c r="D491" i="14"/>
  <c r="E491" i="14"/>
  <c r="B492" i="14"/>
  <c r="C492" i="14"/>
  <c r="D492" i="14"/>
  <c r="E492" i="14"/>
  <c r="B493" i="14"/>
  <c r="C493" i="14"/>
  <c r="D493" i="14"/>
  <c r="E493" i="14"/>
  <c r="B494" i="14"/>
  <c r="C494" i="14"/>
  <c r="D494" i="14"/>
  <c r="E494" i="14"/>
  <c r="B495" i="14"/>
  <c r="C495" i="14"/>
  <c r="D495" i="14"/>
  <c r="E495" i="14"/>
  <c r="B496" i="14"/>
  <c r="C496" i="14"/>
  <c r="D496" i="14"/>
  <c r="E496" i="14"/>
  <c r="B497" i="14"/>
  <c r="C497" i="14"/>
  <c r="D497" i="14"/>
  <c r="E497" i="14"/>
  <c r="B498" i="14"/>
  <c r="C498" i="14"/>
  <c r="D498" i="14"/>
  <c r="E498" i="14"/>
  <c r="B499" i="14"/>
  <c r="C499" i="14"/>
  <c r="D499" i="14"/>
  <c r="E499" i="14"/>
  <c r="B500" i="14"/>
  <c r="C500" i="14"/>
  <c r="D500" i="14"/>
  <c r="E500" i="14"/>
  <c r="B501" i="14"/>
  <c r="C501" i="14"/>
  <c r="D501" i="14"/>
  <c r="E501" i="14"/>
  <c r="B502" i="14"/>
  <c r="C502" i="14"/>
  <c r="D502" i="14"/>
  <c r="E502" i="14"/>
  <c r="B503" i="14"/>
  <c r="C503" i="14"/>
  <c r="D503" i="14"/>
  <c r="E503" i="14"/>
  <c r="B504" i="14"/>
  <c r="C504" i="14"/>
  <c r="D504" i="14"/>
  <c r="E504" i="14"/>
  <c r="B505" i="14"/>
  <c r="C505" i="14"/>
  <c r="D505" i="14"/>
  <c r="E505" i="14"/>
  <c r="B506" i="14"/>
  <c r="C506" i="14"/>
  <c r="D506" i="14"/>
  <c r="E506" i="14"/>
  <c r="B507" i="14"/>
  <c r="C507" i="14"/>
  <c r="D507" i="14"/>
  <c r="E507" i="14"/>
  <c r="B508" i="14"/>
  <c r="C508" i="14"/>
  <c r="D508" i="14"/>
  <c r="E508" i="14"/>
  <c r="B509" i="14"/>
  <c r="C509" i="14"/>
  <c r="D509" i="14"/>
  <c r="E509" i="14"/>
  <c r="B510" i="14"/>
  <c r="C510" i="14"/>
  <c r="D510" i="14"/>
  <c r="E510" i="14"/>
  <c r="B511" i="14"/>
  <c r="C511" i="14"/>
  <c r="D511" i="14"/>
  <c r="E511" i="14"/>
  <c r="B512" i="14"/>
  <c r="C512" i="14"/>
  <c r="D512" i="14"/>
  <c r="E512" i="14"/>
  <c r="B513" i="14"/>
  <c r="C513" i="14"/>
  <c r="D513" i="14"/>
  <c r="E513" i="14"/>
  <c r="B514" i="14"/>
  <c r="C514" i="14"/>
  <c r="D514" i="14"/>
  <c r="E514" i="14"/>
  <c r="B515" i="14"/>
  <c r="C515" i="14"/>
  <c r="D515" i="14"/>
  <c r="E515" i="14"/>
  <c r="B516" i="14"/>
  <c r="C516" i="14"/>
  <c r="D516" i="14"/>
  <c r="E516" i="14"/>
  <c r="B517" i="14"/>
  <c r="C517" i="14"/>
  <c r="D517" i="14"/>
  <c r="E517" i="14"/>
  <c r="B518" i="14"/>
  <c r="C518" i="14"/>
  <c r="D518" i="14"/>
  <c r="E518" i="14"/>
  <c r="B519" i="14"/>
  <c r="C519" i="14"/>
  <c r="D519" i="14"/>
  <c r="E519" i="14"/>
  <c r="B520" i="14"/>
  <c r="C520" i="14"/>
  <c r="D520" i="14"/>
  <c r="E520" i="14"/>
  <c r="B521" i="14"/>
  <c r="C521" i="14"/>
  <c r="D521" i="14"/>
  <c r="E521" i="14"/>
  <c r="B522" i="14"/>
  <c r="C522" i="14"/>
  <c r="D522" i="14"/>
  <c r="E522" i="14"/>
  <c r="B523" i="14"/>
  <c r="C523" i="14"/>
  <c r="D523" i="14"/>
  <c r="E523" i="14"/>
  <c r="B524" i="14"/>
  <c r="C524" i="14"/>
  <c r="D524" i="14"/>
  <c r="E524" i="14"/>
  <c r="B525" i="14"/>
  <c r="C525" i="14"/>
  <c r="D525" i="14"/>
  <c r="E525" i="14"/>
  <c r="B526" i="14"/>
  <c r="C526" i="14"/>
  <c r="D526" i="14"/>
  <c r="E526" i="14"/>
  <c r="B527" i="14"/>
  <c r="C527" i="14"/>
  <c r="D527" i="14"/>
  <c r="E527" i="14"/>
  <c r="B528" i="14"/>
  <c r="C528" i="14"/>
  <c r="D528" i="14"/>
  <c r="E528" i="14"/>
  <c r="B529" i="14"/>
  <c r="C529" i="14"/>
  <c r="D529" i="14"/>
  <c r="E529" i="14"/>
  <c r="B530" i="14"/>
  <c r="C530" i="14"/>
  <c r="D530" i="14"/>
  <c r="E530" i="14"/>
  <c r="B531" i="14"/>
  <c r="C531" i="14"/>
  <c r="D531" i="14"/>
  <c r="E531" i="14"/>
  <c r="B532" i="14"/>
  <c r="C532" i="14"/>
  <c r="D532" i="14"/>
  <c r="E532" i="14"/>
  <c r="B533" i="14"/>
  <c r="C533" i="14"/>
  <c r="D533" i="14"/>
  <c r="E533" i="14"/>
  <c r="B534" i="14"/>
  <c r="C534" i="14"/>
  <c r="D534" i="14"/>
  <c r="E534" i="14"/>
  <c r="B535" i="14"/>
  <c r="C535" i="14"/>
  <c r="D535" i="14"/>
  <c r="E535" i="14"/>
  <c r="B536" i="14"/>
  <c r="C536" i="14"/>
  <c r="D536" i="14"/>
  <c r="E536" i="14"/>
  <c r="B537" i="14"/>
  <c r="C537" i="14"/>
  <c r="D537" i="14"/>
  <c r="E537" i="14"/>
  <c r="B538" i="14"/>
  <c r="C538" i="14"/>
  <c r="D538" i="14"/>
  <c r="E538" i="14"/>
  <c r="B539" i="14"/>
  <c r="C539" i="14"/>
  <c r="D539" i="14"/>
  <c r="E539" i="14"/>
  <c r="B540" i="14"/>
  <c r="C540" i="14"/>
  <c r="D540" i="14"/>
  <c r="E540" i="14"/>
  <c r="B541" i="14"/>
  <c r="C541" i="14"/>
  <c r="D541" i="14"/>
  <c r="E541" i="14"/>
  <c r="B542" i="14"/>
  <c r="C542" i="14"/>
  <c r="D542" i="14"/>
  <c r="E542" i="14"/>
  <c r="B543" i="14"/>
  <c r="C543" i="14"/>
  <c r="D543" i="14"/>
  <c r="E543" i="14"/>
  <c r="B544" i="14"/>
  <c r="C544" i="14"/>
  <c r="D544" i="14"/>
  <c r="E544" i="14"/>
  <c r="B545" i="14"/>
  <c r="C545" i="14"/>
  <c r="D545" i="14"/>
  <c r="E545" i="14"/>
  <c r="B546" i="14"/>
  <c r="C546" i="14"/>
  <c r="D546" i="14"/>
  <c r="E546" i="14"/>
  <c r="B472" i="14"/>
  <c r="C472" i="14"/>
  <c r="D472" i="14"/>
  <c r="E472" i="14"/>
  <c r="B473" i="14"/>
  <c r="C473" i="14"/>
  <c r="D473" i="14"/>
  <c r="E473" i="14"/>
  <c r="B474" i="14"/>
  <c r="C474" i="14"/>
  <c r="D474" i="14"/>
  <c r="E474" i="14"/>
  <c r="B475" i="14"/>
  <c r="C475" i="14"/>
  <c r="D475" i="14"/>
  <c r="E475" i="14"/>
  <c r="B476" i="14"/>
  <c r="C476" i="14"/>
  <c r="D476" i="14"/>
  <c r="E476" i="14"/>
  <c r="B477" i="14"/>
  <c r="C477" i="14"/>
  <c r="D477" i="14"/>
  <c r="E477" i="14"/>
  <c r="B478" i="14"/>
  <c r="C478" i="14"/>
  <c r="D478" i="14"/>
  <c r="E478" i="14"/>
  <c r="B479" i="14"/>
  <c r="C479" i="14"/>
  <c r="D479" i="14"/>
  <c r="E479" i="14"/>
  <c r="B480" i="14"/>
  <c r="C480" i="14"/>
  <c r="D480" i="14"/>
  <c r="E480" i="14"/>
  <c r="B481" i="14"/>
  <c r="C481" i="14"/>
  <c r="D481" i="14"/>
  <c r="E481" i="14"/>
  <c r="B482" i="14"/>
  <c r="C482" i="14"/>
  <c r="D482" i="14"/>
  <c r="E482" i="14"/>
  <c r="B483" i="14"/>
  <c r="C483" i="14"/>
  <c r="D483" i="14"/>
  <c r="E483" i="14"/>
  <c r="A2029" i="17"/>
  <c r="A2035" i="17" s="1"/>
  <c r="A2030" i="17"/>
  <c r="A2036" i="17" s="1"/>
  <c r="A2031" i="17"/>
  <c r="A2037" i="17" s="1"/>
  <c r="A2032" i="17"/>
  <c r="A2033" i="17"/>
  <c r="A2039" i="17" s="1"/>
  <c r="A2028" i="17"/>
  <c r="F204" i="9"/>
  <c r="G204" i="9" s="1"/>
  <c r="G203" i="9"/>
  <c r="F205" i="9"/>
  <c r="G205" i="9" s="1"/>
  <c r="F189" i="9"/>
  <c r="G189" i="9" s="1"/>
  <c r="F188" i="9"/>
  <c r="G188" i="9" s="1"/>
  <c r="G187" i="9"/>
  <c r="G173" i="9"/>
  <c r="G171" i="9"/>
  <c r="G169" i="9"/>
  <c r="G167" i="9"/>
  <c r="A1161" i="17"/>
  <c r="A1180" i="17" s="1"/>
  <c r="A1162" i="17"/>
  <c r="A1163" i="17"/>
  <c r="A1164" i="17"/>
  <c r="A1165" i="17"/>
  <c r="A1166" i="17"/>
  <c r="A1185" i="17" s="1"/>
  <c r="A1167" i="17"/>
  <c r="A1186" i="17" s="1"/>
  <c r="A1168" i="17"/>
  <c r="Q1168" i="17" s="1"/>
  <c r="A1178" i="17"/>
  <c r="Q1178" i="17" s="1"/>
  <c r="A1160" i="17"/>
  <c r="Q1160" i="17" s="1"/>
  <c r="A1151" i="17"/>
  <c r="A1152" i="17"/>
  <c r="A1153" i="17"/>
  <c r="A1154" i="17"/>
  <c r="A1173" i="17" s="1"/>
  <c r="A1155" i="17"/>
  <c r="A1174" i="17" s="1"/>
  <c r="Q1174" i="17" s="1"/>
  <c r="A1156" i="17"/>
  <c r="Q1156" i="17" s="1"/>
  <c r="A1157" i="17"/>
  <c r="A1176" i="17" s="1"/>
  <c r="A1158" i="17"/>
  <c r="A1150" i="17"/>
  <c r="G2" i="4"/>
  <c r="I2" i="4"/>
  <c r="F24" i="9"/>
  <c r="G24" i="9" s="1"/>
  <c r="F23" i="9"/>
  <c r="G23" i="9" s="1"/>
  <c r="F22" i="9"/>
  <c r="G22" i="9" s="1"/>
  <c r="F21" i="9"/>
  <c r="G21" i="9" s="1"/>
  <c r="F20" i="9"/>
  <c r="G20" i="9" s="1"/>
  <c r="F16" i="9"/>
  <c r="G16" i="9"/>
  <c r="F17" i="9"/>
  <c r="G17" i="9"/>
  <c r="F18" i="9"/>
  <c r="G18" i="9"/>
  <c r="F19" i="9"/>
  <c r="G19" i="9"/>
  <c r="F15" i="9"/>
  <c r="G15" i="9" s="1"/>
  <c r="F9" i="9"/>
  <c r="G9" i="9" s="1"/>
  <c r="F10" i="9"/>
  <c r="G10" i="9"/>
  <c r="F11" i="9"/>
  <c r="G11" i="9" s="1"/>
  <c r="F12" i="9"/>
  <c r="G12" i="9" s="1"/>
  <c r="F13" i="9"/>
  <c r="G13" i="9" s="1"/>
  <c r="F14" i="9"/>
  <c r="G14" i="9"/>
  <c r="F8" i="9"/>
  <c r="G8" i="9" s="1"/>
  <c r="E2" i="9"/>
  <c r="G165" i="9"/>
  <c r="G163" i="9"/>
  <c r="F2" i="17"/>
  <c r="E2" i="17"/>
  <c r="D2" i="17"/>
  <c r="C2" i="17"/>
  <c r="B2" i="17"/>
  <c r="B431" i="14"/>
  <c r="C431" i="14"/>
  <c r="D431" i="14"/>
  <c r="E431" i="14"/>
  <c r="B432" i="14"/>
  <c r="C432" i="14"/>
  <c r="D432" i="14"/>
  <c r="E432" i="14"/>
  <c r="B265" i="14"/>
  <c r="C265" i="14"/>
  <c r="D265" i="14"/>
  <c r="E265" i="14"/>
  <c r="B266" i="14"/>
  <c r="C266" i="14"/>
  <c r="D266" i="14"/>
  <c r="E266" i="14"/>
  <c r="B267" i="14"/>
  <c r="C267" i="14"/>
  <c r="D267" i="14"/>
  <c r="E267" i="14"/>
  <c r="B268" i="14"/>
  <c r="C268" i="14"/>
  <c r="D268" i="14"/>
  <c r="E268" i="14"/>
  <c r="B429" i="14"/>
  <c r="C429" i="14"/>
  <c r="D429" i="14"/>
  <c r="E429" i="14"/>
  <c r="B430" i="14"/>
  <c r="C430" i="14"/>
  <c r="D430" i="14"/>
  <c r="E430" i="14"/>
  <c r="B120" i="14"/>
  <c r="C120" i="14"/>
  <c r="D120" i="14"/>
  <c r="E120" i="14"/>
  <c r="B121" i="14"/>
  <c r="C121" i="14"/>
  <c r="D121" i="14"/>
  <c r="E121" i="14"/>
  <c r="B172" i="14"/>
  <c r="C172" i="14"/>
  <c r="D172" i="14"/>
  <c r="E172" i="14"/>
  <c r="B173" i="14"/>
  <c r="C173" i="14"/>
  <c r="D173" i="14"/>
  <c r="E173" i="14"/>
  <c r="B174" i="14"/>
  <c r="C174" i="14"/>
  <c r="D174" i="14"/>
  <c r="E174" i="14"/>
  <c r="B175" i="14"/>
  <c r="C175" i="14"/>
  <c r="D175" i="14"/>
  <c r="E175" i="14"/>
  <c r="B261" i="14"/>
  <c r="C261" i="14"/>
  <c r="D261" i="14"/>
  <c r="E261" i="14"/>
  <c r="B262" i="14"/>
  <c r="C262" i="14"/>
  <c r="D262" i="14"/>
  <c r="E262" i="14"/>
  <c r="B263" i="14"/>
  <c r="C263" i="14"/>
  <c r="D263" i="14"/>
  <c r="E263" i="14"/>
  <c r="B264" i="14"/>
  <c r="C264" i="14"/>
  <c r="D264" i="14"/>
  <c r="E264" i="14"/>
  <c r="B275" i="14"/>
  <c r="C275" i="14"/>
  <c r="D275" i="14"/>
  <c r="E275" i="14"/>
  <c r="B276" i="14"/>
  <c r="C276" i="14"/>
  <c r="D276" i="14"/>
  <c r="E276" i="14"/>
  <c r="B277" i="14"/>
  <c r="C277" i="14"/>
  <c r="D277" i="14"/>
  <c r="E277" i="14"/>
  <c r="B278" i="14"/>
  <c r="C278" i="14"/>
  <c r="D278" i="14"/>
  <c r="E278" i="14"/>
  <c r="B351" i="14"/>
  <c r="C351" i="14"/>
  <c r="D351" i="14"/>
  <c r="E351" i="14"/>
  <c r="B352" i="14"/>
  <c r="C352" i="14"/>
  <c r="D352" i="14"/>
  <c r="E352" i="14"/>
  <c r="B374" i="14"/>
  <c r="C374" i="14"/>
  <c r="D374" i="14"/>
  <c r="E374" i="14"/>
  <c r="B375" i="14"/>
  <c r="C375" i="14"/>
  <c r="D375" i="14"/>
  <c r="E375" i="14"/>
  <c r="B376" i="14"/>
  <c r="C376" i="14"/>
  <c r="D376" i="14"/>
  <c r="E376" i="14"/>
  <c r="B377" i="14"/>
  <c r="C377" i="14"/>
  <c r="D377" i="14"/>
  <c r="E377" i="14"/>
  <c r="B378" i="14"/>
  <c r="C378" i="14"/>
  <c r="D378" i="14"/>
  <c r="E378" i="14"/>
  <c r="B379" i="14"/>
  <c r="C379" i="14"/>
  <c r="D379" i="14"/>
  <c r="E379" i="14"/>
  <c r="B380" i="14"/>
  <c r="C380" i="14"/>
  <c r="D380" i="14"/>
  <c r="E380" i="14"/>
  <c r="B381" i="14"/>
  <c r="C381" i="14"/>
  <c r="D381" i="14"/>
  <c r="E381" i="14"/>
  <c r="B382" i="14"/>
  <c r="C382" i="14"/>
  <c r="D382" i="14"/>
  <c r="E382" i="14"/>
  <c r="B369" i="14"/>
  <c r="C369" i="14"/>
  <c r="D369" i="14"/>
  <c r="E369" i="14"/>
  <c r="B370" i="14"/>
  <c r="C370" i="14"/>
  <c r="D370" i="14"/>
  <c r="E370" i="14"/>
  <c r="B371" i="14"/>
  <c r="C371" i="14"/>
  <c r="D371" i="14"/>
  <c r="E371" i="14"/>
  <c r="B372" i="14"/>
  <c r="C372" i="14"/>
  <c r="D372" i="14"/>
  <c r="E372" i="14"/>
  <c r="B373" i="14"/>
  <c r="C373" i="14"/>
  <c r="D373" i="14"/>
  <c r="E373" i="14"/>
  <c r="B365" i="14"/>
  <c r="C365" i="14"/>
  <c r="D365" i="14"/>
  <c r="E365" i="14"/>
  <c r="B366" i="14"/>
  <c r="C366" i="14"/>
  <c r="D366" i="14"/>
  <c r="E366" i="14"/>
  <c r="B367" i="14"/>
  <c r="C367" i="14"/>
  <c r="D367" i="14"/>
  <c r="E367" i="14"/>
  <c r="B368" i="14"/>
  <c r="C368" i="14"/>
  <c r="D368" i="14"/>
  <c r="E368" i="14"/>
  <c r="B400" i="14"/>
  <c r="C400" i="14"/>
  <c r="D400" i="14"/>
  <c r="E400" i="14"/>
  <c r="B401" i="14"/>
  <c r="C401" i="14"/>
  <c r="D401" i="14"/>
  <c r="E401" i="14"/>
  <c r="B402" i="14"/>
  <c r="C402" i="14"/>
  <c r="D402" i="14"/>
  <c r="E402" i="14"/>
  <c r="B403" i="14"/>
  <c r="C403" i="14"/>
  <c r="D403" i="14"/>
  <c r="E403" i="14"/>
  <c r="B404" i="14"/>
  <c r="C404" i="14"/>
  <c r="D404" i="14"/>
  <c r="E404" i="14"/>
  <c r="B405" i="14"/>
  <c r="C405" i="14"/>
  <c r="D405" i="14"/>
  <c r="E405" i="14"/>
  <c r="B414" i="14"/>
  <c r="C414" i="14"/>
  <c r="D414" i="14"/>
  <c r="E414" i="14"/>
  <c r="B415" i="14"/>
  <c r="C415" i="14"/>
  <c r="D415" i="14"/>
  <c r="E415" i="14"/>
  <c r="B416" i="14"/>
  <c r="C416" i="14"/>
  <c r="D416" i="14"/>
  <c r="E416" i="14"/>
  <c r="B417" i="14"/>
  <c r="C417" i="14"/>
  <c r="D417" i="14"/>
  <c r="E417" i="14"/>
  <c r="B419" i="14"/>
  <c r="C419" i="14"/>
  <c r="D419" i="14"/>
  <c r="E419" i="14"/>
  <c r="B420" i="14"/>
  <c r="C420" i="14"/>
  <c r="D420" i="14"/>
  <c r="E420" i="14"/>
  <c r="B180" i="14"/>
  <c r="C180" i="14"/>
  <c r="D180" i="14"/>
  <c r="E180" i="14"/>
  <c r="B181" i="14"/>
  <c r="C181" i="14"/>
  <c r="D181" i="14"/>
  <c r="E181" i="14"/>
  <c r="B182" i="14"/>
  <c r="C182" i="14"/>
  <c r="D182" i="14"/>
  <c r="E182" i="14"/>
  <c r="B183" i="14"/>
  <c r="C183" i="14"/>
  <c r="D183" i="14"/>
  <c r="E183" i="14"/>
  <c r="B184" i="14"/>
  <c r="C184" i="14"/>
  <c r="D184" i="14"/>
  <c r="E184" i="14"/>
  <c r="B185" i="14"/>
  <c r="C185" i="14"/>
  <c r="D185" i="14"/>
  <c r="E185" i="14"/>
  <c r="B186" i="14"/>
  <c r="C186" i="14"/>
  <c r="D186" i="14"/>
  <c r="E186" i="14"/>
  <c r="B187" i="14"/>
  <c r="C187" i="14"/>
  <c r="D187" i="14"/>
  <c r="E187" i="14"/>
  <c r="B188" i="14"/>
  <c r="C188" i="14"/>
  <c r="D188" i="14"/>
  <c r="E188" i="14"/>
  <c r="B189" i="14"/>
  <c r="C189" i="14"/>
  <c r="D189" i="14"/>
  <c r="E189" i="14"/>
  <c r="B218" i="14"/>
  <c r="C218" i="14"/>
  <c r="D218" i="14"/>
  <c r="E218" i="14"/>
  <c r="B219" i="14"/>
  <c r="C219" i="14"/>
  <c r="D219" i="14"/>
  <c r="E219" i="14"/>
  <c r="B224" i="14"/>
  <c r="C224" i="14"/>
  <c r="D224" i="14"/>
  <c r="E224" i="14"/>
  <c r="B225" i="14"/>
  <c r="C225" i="14"/>
  <c r="D225" i="14"/>
  <c r="E225" i="14"/>
  <c r="B353" i="14"/>
  <c r="C353" i="14"/>
  <c r="D353" i="14"/>
  <c r="E353" i="14"/>
  <c r="B354" i="14"/>
  <c r="C354" i="14"/>
  <c r="D354" i="14"/>
  <c r="E354" i="14"/>
  <c r="B361" i="14"/>
  <c r="C361" i="14"/>
  <c r="D361" i="14"/>
  <c r="E361" i="14"/>
  <c r="B362" i="14"/>
  <c r="C362" i="14"/>
  <c r="D362" i="14"/>
  <c r="E362" i="14"/>
  <c r="B363" i="14"/>
  <c r="C363" i="14"/>
  <c r="D363" i="14"/>
  <c r="E363" i="14"/>
  <c r="B364" i="14"/>
  <c r="C364" i="14"/>
  <c r="D364" i="14"/>
  <c r="E364" i="14"/>
  <c r="B423" i="14"/>
  <c r="C423" i="14"/>
  <c r="D423" i="14"/>
  <c r="E423" i="14"/>
  <c r="B424" i="14"/>
  <c r="C424" i="14"/>
  <c r="D424" i="14"/>
  <c r="E424" i="14"/>
  <c r="B425" i="14"/>
  <c r="C425" i="14"/>
  <c r="D425" i="14"/>
  <c r="E425" i="14"/>
  <c r="B426" i="14"/>
  <c r="C426" i="14"/>
  <c r="D426" i="14"/>
  <c r="E426" i="14"/>
  <c r="B427" i="14"/>
  <c r="C427" i="14"/>
  <c r="D427" i="14"/>
  <c r="E427" i="14"/>
  <c r="B428" i="14"/>
  <c r="C428" i="14"/>
  <c r="D428" i="14"/>
  <c r="E428" i="14"/>
  <c r="B249" i="14"/>
  <c r="C249" i="14"/>
  <c r="D249" i="14"/>
  <c r="E249" i="14"/>
  <c r="B250" i="14"/>
  <c r="C250" i="14"/>
  <c r="D250" i="14"/>
  <c r="E250" i="14"/>
  <c r="B251" i="14"/>
  <c r="C251" i="14"/>
  <c r="D251" i="14"/>
  <c r="E251" i="14"/>
  <c r="B252" i="14"/>
  <c r="C252" i="14"/>
  <c r="D252" i="14"/>
  <c r="E252" i="14"/>
  <c r="B253" i="14"/>
  <c r="C253" i="14"/>
  <c r="D253" i="14"/>
  <c r="E253" i="14"/>
  <c r="B254" i="14"/>
  <c r="C254" i="14"/>
  <c r="D254" i="14"/>
  <c r="E254" i="14"/>
  <c r="B255" i="14"/>
  <c r="C255" i="14"/>
  <c r="D255" i="14"/>
  <c r="E255" i="14"/>
  <c r="B256" i="14"/>
  <c r="C256" i="14"/>
  <c r="D256" i="14"/>
  <c r="E256" i="14"/>
  <c r="B257" i="14"/>
  <c r="C257" i="14"/>
  <c r="D257" i="14"/>
  <c r="E257" i="14"/>
  <c r="B258" i="14"/>
  <c r="C258" i="14"/>
  <c r="D258" i="14"/>
  <c r="E258" i="14"/>
  <c r="B259" i="14"/>
  <c r="C259" i="14"/>
  <c r="D259" i="14"/>
  <c r="E259" i="14"/>
  <c r="B260" i="14"/>
  <c r="C260" i="14"/>
  <c r="D260" i="14"/>
  <c r="E260" i="14"/>
  <c r="B50" i="14"/>
  <c r="C50" i="14"/>
  <c r="D50" i="14"/>
  <c r="E50" i="14"/>
  <c r="B51" i="14"/>
  <c r="C51" i="14"/>
  <c r="D51" i="14"/>
  <c r="E51" i="14"/>
  <c r="B468" i="14"/>
  <c r="C468" i="14"/>
  <c r="D468" i="14"/>
  <c r="E468" i="14"/>
  <c r="B469" i="14"/>
  <c r="C469" i="14"/>
  <c r="D469" i="14"/>
  <c r="E469" i="14"/>
  <c r="B470" i="14"/>
  <c r="C470" i="14"/>
  <c r="D470" i="14"/>
  <c r="E470" i="14"/>
  <c r="B471" i="14"/>
  <c r="C471" i="14"/>
  <c r="D471" i="14"/>
  <c r="E471" i="14"/>
  <c r="B105" i="14"/>
  <c r="C105" i="14"/>
  <c r="D105" i="14"/>
  <c r="E105" i="14"/>
  <c r="B106" i="14"/>
  <c r="C106" i="14"/>
  <c r="D106" i="14"/>
  <c r="E106" i="14"/>
  <c r="B107" i="14"/>
  <c r="C107" i="14"/>
  <c r="D107" i="14"/>
  <c r="E107" i="14"/>
  <c r="B108" i="14"/>
  <c r="C108" i="14"/>
  <c r="D108" i="14"/>
  <c r="E108" i="14"/>
  <c r="B243" i="14"/>
  <c r="C243" i="14"/>
  <c r="D243" i="14"/>
  <c r="E243" i="14"/>
  <c r="B244" i="14"/>
  <c r="C244" i="14"/>
  <c r="D244" i="14"/>
  <c r="E244" i="14"/>
  <c r="B245" i="14"/>
  <c r="C245" i="14"/>
  <c r="D245" i="14"/>
  <c r="E245" i="14"/>
  <c r="B246" i="14"/>
  <c r="C246" i="14"/>
  <c r="D246" i="14"/>
  <c r="E246" i="14"/>
  <c r="B247" i="14"/>
  <c r="C247" i="14"/>
  <c r="D247" i="14"/>
  <c r="E247" i="14"/>
  <c r="B248" i="14"/>
  <c r="C248" i="14"/>
  <c r="D248" i="14"/>
  <c r="E248" i="14"/>
  <c r="B52" i="14"/>
  <c r="C52" i="14"/>
  <c r="D52" i="14"/>
  <c r="E52" i="14"/>
  <c r="B53" i="14"/>
  <c r="C53" i="14"/>
  <c r="D53" i="14"/>
  <c r="E53" i="14"/>
  <c r="B119" i="14"/>
  <c r="C119" i="14"/>
  <c r="D119" i="14"/>
  <c r="E119" i="14"/>
  <c r="B63" i="14"/>
  <c r="C63" i="14"/>
  <c r="D63" i="14"/>
  <c r="E63" i="14"/>
  <c r="B64" i="14"/>
  <c r="C64" i="14"/>
  <c r="D64" i="14"/>
  <c r="E64" i="14"/>
  <c r="B65" i="14"/>
  <c r="C65" i="14"/>
  <c r="D65" i="14"/>
  <c r="E65" i="14"/>
  <c r="B66" i="14"/>
  <c r="C66" i="14"/>
  <c r="D66" i="14"/>
  <c r="E66" i="14"/>
  <c r="B67" i="14"/>
  <c r="C67" i="14"/>
  <c r="D67" i="14"/>
  <c r="E67" i="14"/>
  <c r="B68" i="14"/>
  <c r="C68" i="14"/>
  <c r="D68" i="14"/>
  <c r="E68" i="14"/>
  <c r="B69" i="14"/>
  <c r="C69" i="14"/>
  <c r="D69" i="14"/>
  <c r="E69" i="14"/>
  <c r="B70" i="14"/>
  <c r="C70" i="14"/>
  <c r="D70" i="14"/>
  <c r="E70" i="14"/>
  <c r="B71" i="14"/>
  <c r="C71" i="14"/>
  <c r="D71" i="14"/>
  <c r="E71" i="14"/>
  <c r="B72" i="14"/>
  <c r="C72" i="14"/>
  <c r="D72" i="14"/>
  <c r="E72" i="14"/>
  <c r="B73" i="14"/>
  <c r="C73" i="14"/>
  <c r="D73" i="14"/>
  <c r="E73" i="14"/>
  <c r="B74" i="14"/>
  <c r="C74" i="14"/>
  <c r="D74" i="14"/>
  <c r="E74" i="14"/>
  <c r="B75" i="14"/>
  <c r="C75" i="14"/>
  <c r="D75" i="14"/>
  <c r="E75" i="14"/>
  <c r="B76" i="14"/>
  <c r="C76" i="14"/>
  <c r="D76" i="14"/>
  <c r="E76" i="14"/>
  <c r="B77" i="14"/>
  <c r="C77" i="14"/>
  <c r="D77" i="14"/>
  <c r="E77" i="14"/>
  <c r="B78" i="14"/>
  <c r="C78" i="14"/>
  <c r="D78" i="14"/>
  <c r="E78" i="14"/>
  <c r="B79" i="14"/>
  <c r="C79" i="14"/>
  <c r="D79" i="14"/>
  <c r="E79" i="14"/>
  <c r="B124" i="14"/>
  <c r="C124" i="14"/>
  <c r="D124" i="14"/>
  <c r="E124" i="14"/>
  <c r="B125" i="14"/>
  <c r="C125" i="14"/>
  <c r="D125" i="14"/>
  <c r="E125" i="14"/>
  <c r="B126" i="14"/>
  <c r="C126" i="14"/>
  <c r="D126" i="14"/>
  <c r="E126" i="14"/>
  <c r="B127" i="14"/>
  <c r="C127" i="14"/>
  <c r="D127" i="14"/>
  <c r="E127" i="14"/>
  <c r="B128" i="14"/>
  <c r="C128" i="14"/>
  <c r="D128" i="14"/>
  <c r="E128" i="14"/>
  <c r="B134" i="14"/>
  <c r="C134" i="14"/>
  <c r="D134" i="14"/>
  <c r="E134" i="14"/>
  <c r="B168" i="14"/>
  <c r="C168" i="14"/>
  <c r="D168" i="14"/>
  <c r="E168" i="14"/>
  <c r="B169" i="14"/>
  <c r="C169" i="14"/>
  <c r="D169" i="14"/>
  <c r="E169" i="14"/>
  <c r="B170" i="14"/>
  <c r="C170" i="14"/>
  <c r="D170" i="14"/>
  <c r="E170" i="14"/>
  <c r="B171" i="14"/>
  <c r="C171" i="14"/>
  <c r="D171" i="14"/>
  <c r="E171" i="14"/>
  <c r="B165" i="14"/>
  <c r="C165" i="14"/>
  <c r="D165" i="14"/>
  <c r="E165" i="14"/>
  <c r="B166" i="14"/>
  <c r="C166" i="14"/>
  <c r="D166" i="14"/>
  <c r="E166" i="14"/>
  <c r="B167" i="14"/>
  <c r="C167" i="14"/>
  <c r="D167" i="14"/>
  <c r="E167" i="14"/>
  <c r="B230" i="14"/>
  <c r="C230" i="14"/>
  <c r="D230" i="14"/>
  <c r="E230" i="14"/>
  <c r="B231" i="14"/>
  <c r="C231" i="14"/>
  <c r="D231" i="14"/>
  <c r="E231" i="14"/>
  <c r="B317" i="14"/>
  <c r="C317" i="14"/>
  <c r="D317" i="14"/>
  <c r="E317" i="14"/>
  <c r="B318" i="14"/>
  <c r="C318" i="14"/>
  <c r="D318" i="14"/>
  <c r="E318" i="14"/>
  <c r="B319" i="14"/>
  <c r="C319" i="14"/>
  <c r="D319" i="14"/>
  <c r="E319" i="14"/>
  <c r="B320" i="14"/>
  <c r="C320" i="14"/>
  <c r="D320" i="14"/>
  <c r="E320" i="14"/>
  <c r="B321" i="14"/>
  <c r="C321" i="14"/>
  <c r="D321" i="14"/>
  <c r="E321" i="14"/>
  <c r="B322" i="14"/>
  <c r="C322" i="14"/>
  <c r="D322" i="14"/>
  <c r="E322" i="14"/>
  <c r="B323" i="14"/>
  <c r="C323" i="14"/>
  <c r="D323" i="14"/>
  <c r="E323" i="14"/>
  <c r="B324" i="14"/>
  <c r="C324" i="14"/>
  <c r="D324" i="14"/>
  <c r="E324" i="14"/>
  <c r="B325" i="14"/>
  <c r="C325" i="14"/>
  <c r="D325" i="14"/>
  <c r="E325" i="14"/>
  <c r="B326" i="14"/>
  <c r="C326" i="14"/>
  <c r="D326" i="14"/>
  <c r="E326" i="14"/>
  <c r="B327" i="14"/>
  <c r="C327" i="14"/>
  <c r="D327" i="14"/>
  <c r="E327" i="14"/>
  <c r="B328" i="14"/>
  <c r="C328" i="14"/>
  <c r="D328" i="14"/>
  <c r="E328" i="14"/>
  <c r="B329" i="14"/>
  <c r="C329" i="14"/>
  <c r="D329" i="14"/>
  <c r="E329" i="14"/>
  <c r="B330" i="14"/>
  <c r="C330" i="14"/>
  <c r="D330" i="14"/>
  <c r="E330" i="14"/>
  <c r="B331" i="14"/>
  <c r="C331" i="14"/>
  <c r="D331" i="14"/>
  <c r="E331" i="14"/>
  <c r="B332" i="14"/>
  <c r="C332" i="14"/>
  <c r="D332" i="14"/>
  <c r="E332" i="14"/>
  <c r="B333" i="14"/>
  <c r="C333" i="14"/>
  <c r="D333" i="14"/>
  <c r="E333" i="14"/>
  <c r="B334" i="14"/>
  <c r="C334" i="14"/>
  <c r="D334" i="14"/>
  <c r="E334" i="14"/>
  <c r="B335" i="14"/>
  <c r="C335" i="14"/>
  <c r="D335" i="14"/>
  <c r="E335" i="14"/>
  <c r="B339" i="14"/>
  <c r="C339" i="14"/>
  <c r="D339" i="14"/>
  <c r="E339" i="14"/>
  <c r="B340" i="14"/>
  <c r="C340" i="14"/>
  <c r="D340" i="14"/>
  <c r="E340" i="14"/>
  <c r="B269" i="14"/>
  <c r="C269" i="14"/>
  <c r="D269" i="14"/>
  <c r="E269" i="14"/>
  <c r="B135" i="14"/>
  <c r="C135" i="14"/>
  <c r="D135" i="14"/>
  <c r="E135" i="14"/>
  <c r="B136" i="14"/>
  <c r="C136" i="14"/>
  <c r="D136" i="14"/>
  <c r="E136" i="14"/>
  <c r="B137" i="14"/>
  <c r="C137" i="14"/>
  <c r="D137" i="14"/>
  <c r="E137" i="14"/>
  <c r="B138" i="14"/>
  <c r="C138" i="14"/>
  <c r="D138" i="14"/>
  <c r="E138" i="14"/>
  <c r="B139" i="14"/>
  <c r="C139" i="14"/>
  <c r="D139" i="14"/>
  <c r="E139" i="14"/>
  <c r="B140" i="14"/>
  <c r="C140" i="14"/>
  <c r="D140" i="14"/>
  <c r="E140" i="14"/>
  <c r="B141" i="14"/>
  <c r="C141" i="14"/>
  <c r="D141" i="14"/>
  <c r="E141" i="14"/>
  <c r="B142" i="14"/>
  <c r="C142" i="14"/>
  <c r="D142" i="14"/>
  <c r="E142" i="14"/>
  <c r="B143" i="14"/>
  <c r="C143" i="14"/>
  <c r="D143" i="14"/>
  <c r="E143" i="14"/>
  <c r="B144" i="14"/>
  <c r="C144" i="14"/>
  <c r="D144" i="14"/>
  <c r="E144" i="14"/>
  <c r="B145" i="14"/>
  <c r="C145" i="14"/>
  <c r="D145" i="14"/>
  <c r="E145" i="14"/>
  <c r="B146" i="14"/>
  <c r="C146" i="14"/>
  <c r="D146" i="14"/>
  <c r="E146" i="14"/>
  <c r="B147" i="14"/>
  <c r="C147" i="14"/>
  <c r="D147" i="14"/>
  <c r="E147" i="14"/>
  <c r="B148" i="14"/>
  <c r="C148" i="14"/>
  <c r="D148" i="14"/>
  <c r="E148" i="14"/>
  <c r="B149" i="14"/>
  <c r="C149" i="14"/>
  <c r="D149" i="14"/>
  <c r="E149" i="14"/>
  <c r="B150" i="14"/>
  <c r="C150" i="14"/>
  <c r="D150" i="14"/>
  <c r="E150" i="14"/>
  <c r="B151" i="14"/>
  <c r="C151" i="14"/>
  <c r="D151" i="14"/>
  <c r="E151" i="14"/>
  <c r="B152" i="14"/>
  <c r="C152" i="14"/>
  <c r="D152" i="14"/>
  <c r="E152" i="14"/>
  <c r="B153" i="14"/>
  <c r="C153" i="14"/>
  <c r="D153" i="14"/>
  <c r="E153" i="14"/>
  <c r="B154" i="14"/>
  <c r="C154" i="14"/>
  <c r="D154" i="14"/>
  <c r="E154" i="14"/>
  <c r="B433" i="14"/>
  <c r="C433" i="14"/>
  <c r="D433" i="14"/>
  <c r="E433" i="14"/>
  <c r="B434" i="14"/>
  <c r="C434" i="14"/>
  <c r="D434" i="14"/>
  <c r="E434" i="14"/>
  <c r="B435" i="14"/>
  <c r="C435" i="14"/>
  <c r="D435" i="14"/>
  <c r="E435" i="14"/>
  <c r="B436" i="14"/>
  <c r="C436" i="14"/>
  <c r="D436" i="14"/>
  <c r="E436" i="14"/>
  <c r="B437" i="14"/>
  <c r="C437" i="14"/>
  <c r="D437" i="14"/>
  <c r="E437" i="14"/>
  <c r="B438" i="14"/>
  <c r="C438" i="14"/>
  <c r="D438" i="14"/>
  <c r="E438" i="14"/>
  <c r="B439" i="14"/>
  <c r="C439" i="14"/>
  <c r="D439" i="14"/>
  <c r="E439" i="14"/>
  <c r="B440" i="14"/>
  <c r="C440" i="14"/>
  <c r="D440" i="14"/>
  <c r="E440" i="14"/>
  <c r="B441" i="14"/>
  <c r="C441" i="14"/>
  <c r="D441" i="14"/>
  <c r="E441" i="14"/>
  <c r="B442" i="14"/>
  <c r="C442" i="14"/>
  <c r="D442" i="14"/>
  <c r="E442" i="14"/>
  <c r="B443" i="14"/>
  <c r="C443" i="14"/>
  <c r="D443" i="14"/>
  <c r="E443" i="14"/>
  <c r="B444" i="14"/>
  <c r="C444" i="14"/>
  <c r="D444" i="14"/>
  <c r="E444" i="14"/>
  <c r="B445" i="14"/>
  <c r="C445" i="14"/>
  <c r="D445" i="14"/>
  <c r="E445" i="14"/>
  <c r="B446" i="14"/>
  <c r="C446" i="14"/>
  <c r="D446" i="14"/>
  <c r="E446" i="14"/>
  <c r="B447" i="14"/>
  <c r="C447" i="14"/>
  <c r="D447" i="14"/>
  <c r="E447" i="14"/>
  <c r="B448" i="14"/>
  <c r="C448" i="14"/>
  <c r="D448" i="14"/>
  <c r="E448" i="14"/>
  <c r="B449" i="14"/>
  <c r="C449" i="14"/>
  <c r="D449" i="14"/>
  <c r="E449" i="14"/>
  <c r="B450" i="14"/>
  <c r="C450" i="14"/>
  <c r="D450" i="14"/>
  <c r="E450" i="14"/>
  <c r="B451" i="14"/>
  <c r="C451" i="14"/>
  <c r="D451" i="14"/>
  <c r="E451" i="14"/>
  <c r="B452" i="14"/>
  <c r="C452" i="14"/>
  <c r="D452" i="14"/>
  <c r="E452" i="14"/>
  <c r="B453" i="14"/>
  <c r="C453" i="14"/>
  <c r="D453" i="14"/>
  <c r="E453" i="14"/>
  <c r="B454" i="14"/>
  <c r="C454" i="14"/>
  <c r="D454" i="14"/>
  <c r="E454" i="14"/>
  <c r="B455" i="14"/>
  <c r="C455" i="14"/>
  <c r="D455" i="14"/>
  <c r="E455" i="14"/>
  <c r="B456" i="14"/>
  <c r="C456" i="14"/>
  <c r="D456" i="14"/>
  <c r="E456" i="14"/>
  <c r="B457" i="14"/>
  <c r="C457" i="14"/>
  <c r="D457" i="14"/>
  <c r="E457" i="14"/>
  <c r="B458" i="14"/>
  <c r="C458" i="14"/>
  <c r="D458" i="14"/>
  <c r="E458" i="14"/>
  <c r="B459" i="14"/>
  <c r="C459" i="14"/>
  <c r="D459" i="14"/>
  <c r="E459" i="14"/>
  <c r="B460" i="14"/>
  <c r="C460" i="14"/>
  <c r="D460" i="14"/>
  <c r="E460" i="14"/>
  <c r="B461" i="14"/>
  <c r="C461" i="14"/>
  <c r="D461" i="14"/>
  <c r="E461" i="14"/>
  <c r="B462" i="14"/>
  <c r="C462" i="14"/>
  <c r="D462" i="14"/>
  <c r="E462" i="14"/>
  <c r="B463" i="14"/>
  <c r="C463" i="14"/>
  <c r="D463" i="14"/>
  <c r="E463" i="14"/>
  <c r="B464" i="14"/>
  <c r="C464" i="14"/>
  <c r="D464" i="14"/>
  <c r="E464" i="14"/>
  <c r="B465" i="14"/>
  <c r="C465" i="14"/>
  <c r="D465" i="14"/>
  <c r="E465" i="14"/>
  <c r="B466" i="14"/>
  <c r="C466" i="14"/>
  <c r="D466" i="14"/>
  <c r="E466" i="14"/>
  <c r="B103" i="14"/>
  <c r="C103" i="14"/>
  <c r="D103" i="14"/>
  <c r="E103" i="14"/>
  <c r="B104" i="14"/>
  <c r="C104" i="14"/>
  <c r="D104" i="14"/>
  <c r="E104" i="14"/>
  <c r="B241" i="14"/>
  <c r="C241" i="14"/>
  <c r="D241" i="14"/>
  <c r="E241" i="14"/>
  <c r="B242" i="14"/>
  <c r="C242" i="14"/>
  <c r="D242" i="14"/>
  <c r="E242" i="14"/>
  <c r="B408" i="14"/>
  <c r="C408" i="14"/>
  <c r="D408" i="14"/>
  <c r="E408" i="14"/>
  <c r="B409" i="14"/>
  <c r="C409" i="14"/>
  <c r="D409" i="14"/>
  <c r="E409" i="14"/>
  <c r="B410" i="14"/>
  <c r="C410" i="14"/>
  <c r="D410" i="14"/>
  <c r="E410" i="14"/>
  <c r="B411" i="14"/>
  <c r="C411" i="14"/>
  <c r="D411" i="14"/>
  <c r="E411" i="14"/>
  <c r="B412" i="14"/>
  <c r="C412" i="14"/>
  <c r="D412" i="14"/>
  <c r="E412" i="14"/>
  <c r="B413" i="14"/>
  <c r="C413" i="14"/>
  <c r="D413" i="14"/>
  <c r="E413" i="14"/>
  <c r="B109" i="14"/>
  <c r="C109" i="14"/>
  <c r="D109" i="14"/>
  <c r="E109" i="14"/>
  <c r="B467" i="14"/>
  <c r="C467" i="14"/>
  <c r="D467" i="14"/>
  <c r="E467" i="14"/>
  <c r="B122" i="14"/>
  <c r="C122" i="14"/>
  <c r="D122" i="14"/>
  <c r="E122" i="14"/>
  <c r="B123" i="14"/>
  <c r="C123" i="14"/>
  <c r="D123" i="14"/>
  <c r="E123" i="14"/>
  <c r="B194" i="14"/>
  <c r="C194" i="14"/>
  <c r="D194" i="14"/>
  <c r="E194" i="14"/>
  <c r="B195" i="14"/>
  <c r="C195" i="14"/>
  <c r="D195" i="14"/>
  <c r="E195" i="14"/>
  <c r="B196" i="14"/>
  <c r="C196" i="14"/>
  <c r="D196" i="14"/>
  <c r="E196" i="14"/>
  <c r="B197" i="14"/>
  <c r="C197" i="14"/>
  <c r="D197" i="14"/>
  <c r="E197" i="14"/>
  <c r="B198" i="14"/>
  <c r="C198" i="14"/>
  <c r="D198" i="14"/>
  <c r="E198" i="14"/>
  <c r="B199" i="14"/>
  <c r="C199" i="14"/>
  <c r="D199" i="14"/>
  <c r="E199" i="14"/>
  <c r="B200" i="14"/>
  <c r="C200" i="14"/>
  <c r="D200" i="14"/>
  <c r="E200" i="14"/>
  <c r="B201" i="14"/>
  <c r="C201" i="14"/>
  <c r="D201" i="14"/>
  <c r="E201" i="14"/>
  <c r="B202" i="14"/>
  <c r="C202" i="14"/>
  <c r="D202" i="14"/>
  <c r="E202" i="14"/>
  <c r="B203" i="14"/>
  <c r="C203" i="14"/>
  <c r="D203" i="14"/>
  <c r="E203" i="14"/>
  <c r="B204" i="14"/>
  <c r="C204" i="14"/>
  <c r="D204" i="14"/>
  <c r="E204" i="14"/>
  <c r="B205" i="14"/>
  <c r="C205" i="14"/>
  <c r="D205" i="14"/>
  <c r="E205" i="14"/>
  <c r="B206" i="14"/>
  <c r="C206" i="14"/>
  <c r="D206" i="14"/>
  <c r="E206" i="14"/>
  <c r="B207" i="14"/>
  <c r="C207" i="14"/>
  <c r="D207" i="14"/>
  <c r="E207" i="14"/>
  <c r="B208" i="14"/>
  <c r="C208" i="14"/>
  <c r="D208" i="14"/>
  <c r="E208" i="14"/>
  <c r="B209" i="14"/>
  <c r="C209" i="14"/>
  <c r="D209" i="14"/>
  <c r="E209" i="14"/>
  <c r="B210" i="14"/>
  <c r="C210" i="14"/>
  <c r="D210" i="14"/>
  <c r="E210" i="14"/>
  <c r="B211" i="14"/>
  <c r="C211" i="14"/>
  <c r="D211" i="14"/>
  <c r="E211" i="14"/>
  <c r="B212" i="14"/>
  <c r="C212" i="14"/>
  <c r="D212" i="14"/>
  <c r="E212" i="14"/>
  <c r="B213" i="14"/>
  <c r="C213" i="14"/>
  <c r="D213" i="14"/>
  <c r="E213" i="14"/>
  <c r="B80" i="14"/>
  <c r="C80" i="14"/>
  <c r="D80" i="14"/>
  <c r="E80" i="14"/>
  <c r="B81" i="14"/>
  <c r="C81" i="14"/>
  <c r="D81" i="14"/>
  <c r="E81" i="14"/>
  <c r="B82" i="14"/>
  <c r="C82" i="14"/>
  <c r="D82" i="14"/>
  <c r="E82" i="14"/>
  <c r="B83" i="14"/>
  <c r="C83" i="14"/>
  <c r="D83" i="14"/>
  <c r="E83" i="14"/>
  <c r="B84" i="14"/>
  <c r="C84" i="14"/>
  <c r="D84" i="14"/>
  <c r="E84" i="14"/>
  <c r="B85" i="14"/>
  <c r="C85" i="14"/>
  <c r="D85" i="14"/>
  <c r="E85" i="14"/>
  <c r="B86" i="14"/>
  <c r="C86" i="14"/>
  <c r="D86" i="14"/>
  <c r="E86" i="14"/>
  <c r="B87" i="14"/>
  <c r="C87" i="14"/>
  <c r="D87" i="14"/>
  <c r="E87" i="14"/>
  <c r="B88" i="14"/>
  <c r="C88" i="14"/>
  <c r="D88" i="14"/>
  <c r="E88" i="14"/>
  <c r="B89" i="14"/>
  <c r="C89" i="14"/>
  <c r="D89" i="14"/>
  <c r="E89" i="14"/>
  <c r="B90" i="14"/>
  <c r="C90" i="14"/>
  <c r="D90" i="14"/>
  <c r="E90" i="14"/>
  <c r="B91" i="14"/>
  <c r="C91" i="14"/>
  <c r="D91" i="14"/>
  <c r="E91" i="14"/>
  <c r="B92" i="14"/>
  <c r="C92" i="14"/>
  <c r="D92" i="14"/>
  <c r="E92" i="14"/>
  <c r="B93" i="14"/>
  <c r="C93" i="14"/>
  <c r="D93" i="14"/>
  <c r="E93" i="14"/>
  <c r="B54" i="14"/>
  <c r="C54" i="14"/>
  <c r="D54" i="14"/>
  <c r="E54" i="14"/>
  <c r="B55" i="14"/>
  <c r="C55" i="14"/>
  <c r="D55" i="14"/>
  <c r="E55" i="14"/>
  <c r="B56" i="14"/>
  <c r="C56" i="14"/>
  <c r="D56" i="14"/>
  <c r="E56" i="14"/>
  <c r="B57" i="14"/>
  <c r="C57" i="14"/>
  <c r="D57" i="14"/>
  <c r="E57" i="14"/>
  <c r="B58" i="14"/>
  <c r="C58" i="14"/>
  <c r="D58" i="14"/>
  <c r="E58" i="14"/>
  <c r="B59" i="14"/>
  <c r="C59" i="14"/>
  <c r="D59" i="14"/>
  <c r="E59" i="14"/>
  <c r="B60" i="14"/>
  <c r="C60" i="14"/>
  <c r="D60" i="14"/>
  <c r="E60" i="14"/>
  <c r="B113" i="14"/>
  <c r="C113" i="14"/>
  <c r="D113" i="14"/>
  <c r="E113" i="14"/>
  <c r="B114" i="14"/>
  <c r="C114" i="14"/>
  <c r="D114" i="14"/>
  <c r="E114" i="14"/>
  <c r="B115" i="14"/>
  <c r="C115" i="14"/>
  <c r="D115" i="14"/>
  <c r="E115" i="14"/>
  <c r="B116" i="14"/>
  <c r="C116" i="14"/>
  <c r="D116" i="14"/>
  <c r="E116" i="14"/>
  <c r="B117" i="14"/>
  <c r="C117" i="14"/>
  <c r="D117" i="14"/>
  <c r="E117" i="14"/>
  <c r="B118" i="14"/>
  <c r="C118" i="14"/>
  <c r="D118" i="14"/>
  <c r="E118" i="14"/>
  <c r="B129" i="14"/>
  <c r="C129" i="14"/>
  <c r="D129" i="14"/>
  <c r="E129" i="14"/>
  <c r="B130" i="14"/>
  <c r="C130" i="14"/>
  <c r="D130" i="14"/>
  <c r="E130" i="14"/>
  <c r="B131" i="14"/>
  <c r="C131" i="14"/>
  <c r="D131" i="14"/>
  <c r="E131" i="14"/>
  <c r="B132" i="14"/>
  <c r="C132" i="14"/>
  <c r="D132" i="14"/>
  <c r="E132" i="14"/>
  <c r="B133" i="14"/>
  <c r="C133" i="14"/>
  <c r="D133" i="14"/>
  <c r="E133" i="14"/>
  <c r="B176" i="14"/>
  <c r="C176" i="14"/>
  <c r="D176" i="14"/>
  <c r="E176" i="14"/>
  <c r="B177" i="14"/>
  <c r="C177" i="14"/>
  <c r="D177" i="14"/>
  <c r="E177" i="14"/>
  <c r="B178" i="14"/>
  <c r="C178" i="14"/>
  <c r="D178" i="14"/>
  <c r="E178" i="14"/>
  <c r="B179" i="14"/>
  <c r="C179" i="14"/>
  <c r="D179" i="14"/>
  <c r="E179" i="14"/>
  <c r="B214" i="14"/>
  <c r="C214" i="14"/>
  <c r="D214" i="14"/>
  <c r="E214" i="14"/>
  <c r="B215" i="14"/>
  <c r="C215" i="14"/>
  <c r="D215" i="14"/>
  <c r="E215" i="14"/>
  <c r="B216" i="14"/>
  <c r="C216" i="14"/>
  <c r="D216" i="14"/>
  <c r="E216" i="14"/>
  <c r="B217" i="14"/>
  <c r="C217" i="14"/>
  <c r="D217" i="14"/>
  <c r="E217" i="14"/>
  <c r="B220" i="14"/>
  <c r="C220" i="14"/>
  <c r="D220" i="14"/>
  <c r="E220" i="14"/>
  <c r="B221" i="14"/>
  <c r="C221" i="14"/>
  <c r="D221" i="14"/>
  <c r="E221" i="14"/>
  <c r="B222" i="14"/>
  <c r="C222" i="14"/>
  <c r="D222" i="14"/>
  <c r="E222" i="14"/>
  <c r="B223" i="14"/>
  <c r="C223" i="14"/>
  <c r="D223" i="14"/>
  <c r="E223" i="14"/>
  <c r="B226" i="14"/>
  <c r="C226" i="14"/>
  <c r="D226" i="14"/>
  <c r="E226" i="14"/>
  <c r="B227" i="14"/>
  <c r="C227" i="14"/>
  <c r="D227" i="14"/>
  <c r="E227" i="14"/>
  <c r="B228" i="14"/>
  <c r="C228" i="14"/>
  <c r="D228" i="14"/>
  <c r="E228" i="14"/>
  <c r="B229" i="14"/>
  <c r="C229" i="14"/>
  <c r="D229" i="14"/>
  <c r="E229" i="14"/>
  <c r="B279" i="14"/>
  <c r="C279" i="14"/>
  <c r="D279" i="14"/>
  <c r="E279" i="14"/>
  <c r="B280" i="14"/>
  <c r="C280" i="14"/>
  <c r="D280" i="14"/>
  <c r="E280" i="14"/>
  <c r="B281" i="14"/>
  <c r="C281" i="14"/>
  <c r="D281" i="14"/>
  <c r="E281" i="14"/>
  <c r="B282" i="14"/>
  <c r="C282" i="14"/>
  <c r="D282" i="14"/>
  <c r="E282" i="14"/>
  <c r="B283" i="14"/>
  <c r="C283" i="14"/>
  <c r="D283" i="14"/>
  <c r="E283" i="14"/>
  <c r="B284" i="14"/>
  <c r="C284" i="14"/>
  <c r="D284" i="14"/>
  <c r="E284" i="14"/>
  <c r="B285" i="14"/>
  <c r="C285" i="14"/>
  <c r="D285" i="14"/>
  <c r="E285" i="14"/>
  <c r="B286" i="14"/>
  <c r="C286" i="14"/>
  <c r="D286" i="14"/>
  <c r="E286" i="14"/>
  <c r="B287" i="14"/>
  <c r="C287" i="14"/>
  <c r="D287" i="14"/>
  <c r="E287" i="14"/>
  <c r="B288" i="14"/>
  <c r="C288" i="14"/>
  <c r="D288" i="14"/>
  <c r="E288" i="14"/>
  <c r="B289" i="14"/>
  <c r="C289" i="14"/>
  <c r="D289" i="14"/>
  <c r="E289" i="14"/>
  <c r="B290" i="14"/>
  <c r="C290" i="14"/>
  <c r="D290" i="14"/>
  <c r="E290" i="14"/>
  <c r="B291" i="14"/>
  <c r="C291" i="14"/>
  <c r="D291" i="14"/>
  <c r="E291" i="14"/>
  <c r="B292" i="14"/>
  <c r="C292" i="14"/>
  <c r="D292" i="14"/>
  <c r="E292" i="14"/>
  <c r="B293" i="14"/>
  <c r="C293" i="14"/>
  <c r="D293" i="14"/>
  <c r="E293" i="14"/>
  <c r="B294" i="14"/>
  <c r="C294" i="14"/>
  <c r="D294" i="14"/>
  <c r="E294" i="14"/>
  <c r="B295" i="14"/>
  <c r="C295" i="14"/>
  <c r="D295" i="14"/>
  <c r="E295" i="14"/>
  <c r="B296" i="14"/>
  <c r="C296" i="14"/>
  <c r="D296" i="14"/>
  <c r="E296" i="14"/>
  <c r="B297" i="14"/>
  <c r="C297" i="14"/>
  <c r="D297" i="14"/>
  <c r="E297" i="14"/>
  <c r="B298" i="14"/>
  <c r="C298" i="14"/>
  <c r="D298" i="14"/>
  <c r="E298" i="14"/>
  <c r="B299" i="14"/>
  <c r="C299" i="14"/>
  <c r="D299" i="14"/>
  <c r="E299" i="14"/>
  <c r="B300" i="14"/>
  <c r="C300" i="14"/>
  <c r="D300" i="14"/>
  <c r="E300" i="14"/>
  <c r="B301" i="14"/>
  <c r="C301" i="14"/>
  <c r="D301" i="14"/>
  <c r="E301" i="14"/>
  <c r="B302" i="14"/>
  <c r="C302" i="14"/>
  <c r="D302" i="14"/>
  <c r="E302" i="14"/>
  <c r="B303" i="14"/>
  <c r="C303" i="14"/>
  <c r="D303" i="14"/>
  <c r="E303" i="14"/>
  <c r="B304" i="14"/>
  <c r="C304" i="14"/>
  <c r="D304" i="14"/>
  <c r="E304" i="14"/>
  <c r="B305" i="14"/>
  <c r="C305" i="14"/>
  <c r="D305" i="14"/>
  <c r="E305" i="14"/>
  <c r="B306" i="14"/>
  <c r="C306" i="14"/>
  <c r="D306" i="14"/>
  <c r="E306" i="14"/>
  <c r="B307" i="14"/>
  <c r="C307" i="14"/>
  <c r="D307" i="14"/>
  <c r="E307" i="14"/>
  <c r="B308" i="14"/>
  <c r="C308" i="14"/>
  <c r="D308" i="14"/>
  <c r="E308" i="14"/>
  <c r="B309" i="14"/>
  <c r="C309" i="14"/>
  <c r="D309" i="14"/>
  <c r="E309" i="14"/>
  <c r="B310" i="14"/>
  <c r="C310" i="14"/>
  <c r="D310" i="14"/>
  <c r="E310" i="14"/>
  <c r="B311" i="14"/>
  <c r="C311" i="14"/>
  <c r="D311" i="14"/>
  <c r="E311" i="14"/>
  <c r="B312" i="14"/>
  <c r="C312" i="14"/>
  <c r="D312" i="14"/>
  <c r="E312" i="14"/>
  <c r="B341" i="14"/>
  <c r="C341" i="14"/>
  <c r="D341" i="14"/>
  <c r="E341" i="14"/>
  <c r="B342" i="14"/>
  <c r="C342" i="14"/>
  <c r="D342" i="14"/>
  <c r="E342" i="14"/>
  <c r="B343" i="14"/>
  <c r="C343" i="14"/>
  <c r="D343" i="14"/>
  <c r="E343" i="14"/>
  <c r="B344" i="14"/>
  <c r="C344" i="14"/>
  <c r="D344" i="14"/>
  <c r="E344" i="14"/>
  <c r="B392" i="14"/>
  <c r="C392" i="14"/>
  <c r="D392" i="14"/>
  <c r="E392" i="14"/>
  <c r="B393" i="14"/>
  <c r="C393" i="14"/>
  <c r="D393" i="14"/>
  <c r="E393" i="14"/>
  <c r="B394" i="14"/>
  <c r="C394" i="14"/>
  <c r="D394" i="14"/>
  <c r="E394" i="14"/>
  <c r="B395" i="14"/>
  <c r="C395" i="14"/>
  <c r="D395" i="14"/>
  <c r="E395" i="14"/>
  <c r="B396" i="14"/>
  <c r="C396" i="14"/>
  <c r="D396" i="14"/>
  <c r="E396" i="14"/>
  <c r="B397" i="14"/>
  <c r="C397" i="14"/>
  <c r="D397" i="14"/>
  <c r="E397" i="14"/>
  <c r="B398" i="14"/>
  <c r="C398" i="14"/>
  <c r="D398" i="14"/>
  <c r="E398" i="14"/>
  <c r="B399" i="14"/>
  <c r="C399" i="14"/>
  <c r="D399" i="14"/>
  <c r="E399" i="14"/>
  <c r="B388" i="14"/>
  <c r="C388" i="14"/>
  <c r="D388" i="14"/>
  <c r="E388" i="14"/>
  <c r="B389" i="14"/>
  <c r="C389" i="14"/>
  <c r="D389" i="14"/>
  <c r="E389" i="14"/>
  <c r="B390" i="14"/>
  <c r="C390" i="14"/>
  <c r="D390" i="14"/>
  <c r="E390" i="14"/>
  <c r="B391" i="14"/>
  <c r="C391" i="14"/>
  <c r="D391" i="14"/>
  <c r="E391" i="14"/>
  <c r="B421" i="14"/>
  <c r="C421" i="14"/>
  <c r="D421" i="14"/>
  <c r="E421" i="14"/>
  <c r="B422" i="14"/>
  <c r="C422" i="14"/>
  <c r="D422" i="14"/>
  <c r="E422" i="14"/>
  <c r="B190" i="14"/>
  <c r="C190" i="14"/>
  <c r="D190" i="14"/>
  <c r="E190" i="14"/>
  <c r="B191" i="14"/>
  <c r="C191" i="14"/>
  <c r="D191" i="14"/>
  <c r="E191" i="14"/>
  <c r="B192" i="14"/>
  <c r="C192" i="14"/>
  <c r="D192" i="14"/>
  <c r="E192" i="14"/>
  <c r="B193" i="14"/>
  <c r="C193" i="14"/>
  <c r="D193" i="14"/>
  <c r="E193" i="14"/>
  <c r="B336" i="14"/>
  <c r="C336" i="14"/>
  <c r="D336" i="14"/>
  <c r="E336" i="14"/>
  <c r="B337" i="14"/>
  <c r="C337" i="14"/>
  <c r="D337" i="14"/>
  <c r="E337" i="14"/>
  <c r="B338" i="14"/>
  <c r="C338" i="14"/>
  <c r="D338" i="14"/>
  <c r="E338" i="14"/>
  <c r="B355" i="14"/>
  <c r="C355" i="14"/>
  <c r="D355" i="14"/>
  <c r="E355" i="14"/>
  <c r="B356" i="14"/>
  <c r="C356" i="14"/>
  <c r="D356" i="14"/>
  <c r="E356" i="14"/>
  <c r="B357" i="14"/>
  <c r="C357" i="14"/>
  <c r="D357" i="14"/>
  <c r="E357" i="14"/>
  <c r="B358" i="14"/>
  <c r="C358" i="14"/>
  <c r="D358" i="14"/>
  <c r="E358" i="14"/>
  <c r="B359" i="14"/>
  <c r="C359" i="14"/>
  <c r="D359" i="14"/>
  <c r="E359" i="14"/>
  <c r="B360" i="14"/>
  <c r="C360" i="14"/>
  <c r="D360" i="14"/>
  <c r="E360" i="14"/>
  <c r="B406" i="14"/>
  <c r="C406" i="14"/>
  <c r="D406" i="14"/>
  <c r="E406" i="14"/>
  <c r="B407" i="14"/>
  <c r="C407" i="14"/>
  <c r="D407" i="14"/>
  <c r="E407" i="14"/>
  <c r="B10" i="14"/>
  <c r="C10" i="14"/>
  <c r="D10" i="14"/>
  <c r="E10" i="14"/>
  <c r="B11" i="14"/>
  <c r="C11" i="14"/>
  <c r="D11" i="14"/>
  <c r="E11" i="14"/>
  <c r="B12" i="14"/>
  <c r="C12" i="14"/>
  <c r="D12" i="14"/>
  <c r="E12" i="14"/>
  <c r="B13" i="14"/>
  <c r="C13" i="14"/>
  <c r="D13" i="14"/>
  <c r="E13" i="14"/>
  <c r="B14" i="14"/>
  <c r="C14" i="14"/>
  <c r="D14" i="14"/>
  <c r="E14" i="14"/>
  <c r="B15" i="14"/>
  <c r="C15" i="14"/>
  <c r="D15" i="14"/>
  <c r="E15" i="14"/>
  <c r="B16" i="14"/>
  <c r="C16" i="14"/>
  <c r="D16" i="14"/>
  <c r="E16" i="14"/>
  <c r="B17" i="14"/>
  <c r="C17" i="14"/>
  <c r="D17" i="14"/>
  <c r="E17" i="14"/>
  <c r="B18" i="14"/>
  <c r="C18" i="14"/>
  <c r="D18" i="14"/>
  <c r="E18" i="14"/>
  <c r="B19" i="14"/>
  <c r="C19" i="14"/>
  <c r="D19" i="14"/>
  <c r="E19" i="14"/>
  <c r="B20" i="14"/>
  <c r="C20" i="14"/>
  <c r="D20" i="14"/>
  <c r="E20" i="14"/>
  <c r="B21" i="14"/>
  <c r="C21" i="14"/>
  <c r="D21" i="14"/>
  <c r="E21" i="14"/>
  <c r="B22" i="14"/>
  <c r="C22" i="14"/>
  <c r="D22" i="14"/>
  <c r="E22" i="14"/>
  <c r="B23" i="14"/>
  <c r="C23" i="14"/>
  <c r="D23" i="14"/>
  <c r="E23" i="14"/>
  <c r="B24" i="14"/>
  <c r="C24" i="14"/>
  <c r="D24" i="14"/>
  <c r="E24" i="14"/>
  <c r="B25" i="14"/>
  <c r="C25" i="14"/>
  <c r="D25" i="14"/>
  <c r="E25" i="14"/>
  <c r="B26" i="14"/>
  <c r="C26" i="14"/>
  <c r="D26" i="14"/>
  <c r="E26" i="14"/>
  <c r="B27" i="14"/>
  <c r="C27" i="14"/>
  <c r="D27" i="14"/>
  <c r="E27" i="14"/>
  <c r="B28" i="14"/>
  <c r="C28" i="14"/>
  <c r="D28" i="14"/>
  <c r="E28" i="14"/>
  <c r="B29" i="14"/>
  <c r="C29" i="14"/>
  <c r="D29" i="14"/>
  <c r="E29" i="14"/>
  <c r="B30" i="14"/>
  <c r="C30" i="14"/>
  <c r="D30" i="14"/>
  <c r="E30" i="14"/>
  <c r="B2" i="14"/>
  <c r="C2" i="14"/>
  <c r="D2" i="14"/>
  <c r="E2" i="14"/>
  <c r="B3" i="14"/>
  <c r="C3" i="14"/>
  <c r="D3" i="14"/>
  <c r="E3" i="14"/>
  <c r="B4" i="14"/>
  <c r="C4" i="14"/>
  <c r="D4" i="14"/>
  <c r="E4" i="14"/>
  <c r="B5" i="14"/>
  <c r="C5" i="14"/>
  <c r="D5" i="14"/>
  <c r="E5" i="14"/>
  <c r="B6" i="14"/>
  <c r="C6" i="14"/>
  <c r="D6" i="14"/>
  <c r="E6" i="14"/>
  <c r="B7" i="14"/>
  <c r="C7" i="14"/>
  <c r="D7" i="14"/>
  <c r="E7" i="14"/>
  <c r="B8" i="14"/>
  <c r="C8" i="14"/>
  <c r="D8" i="14"/>
  <c r="E8" i="14"/>
  <c r="B9" i="14"/>
  <c r="C9" i="14"/>
  <c r="D9" i="14"/>
  <c r="E9" i="14"/>
  <c r="B61" i="14"/>
  <c r="C61" i="14"/>
  <c r="D61" i="14"/>
  <c r="E61" i="14"/>
  <c r="B101" i="14"/>
  <c r="C101" i="14"/>
  <c r="D101" i="14"/>
  <c r="E101" i="14"/>
  <c r="B102" i="14"/>
  <c r="C102" i="14"/>
  <c r="D102" i="14"/>
  <c r="E102" i="14"/>
  <c r="B111" i="14"/>
  <c r="C111" i="14"/>
  <c r="D111" i="14"/>
  <c r="E111" i="14"/>
  <c r="B112" i="14"/>
  <c r="C112" i="14"/>
  <c r="D112" i="14"/>
  <c r="E112" i="14"/>
  <c r="B383" i="14"/>
  <c r="C383" i="14"/>
  <c r="D383" i="14"/>
  <c r="E383" i="14"/>
  <c r="B155" i="14"/>
  <c r="C155" i="14"/>
  <c r="D155" i="14"/>
  <c r="E155" i="14"/>
  <c r="B156" i="14"/>
  <c r="C156" i="14"/>
  <c r="D156" i="14"/>
  <c r="E156" i="14"/>
  <c r="B345" i="14"/>
  <c r="C345" i="14"/>
  <c r="D345" i="14"/>
  <c r="E345" i="14"/>
  <c r="B346" i="14"/>
  <c r="C346" i="14"/>
  <c r="D346" i="14"/>
  <c r="E346" i="14"/>
  <c r="B347" i="14"/>
  <c r="C347" i="14"/>
  <c r="D347" i="14"/>
  <c r="E347" i="14"/>
  <c r="B348" i="14"/>
  <c r="C348" i="14"/>
  <c r="D348" i="14"/>
  <c r="E348" i="14"/>
  <c r="B349" i="14"/>
  <c r="C349" i="14"/>
  <c r="D349" i="14"/>
  <c r="E349" i="14"/>
  <c r="B350" i="14"/>
  <c r="C350" i="14"/>
  <c r="D350" i="14"/>
  <c r="E350" i="14"/>
  <c r="B31" i="14"/>
  <c r="C31" i="14"/>
  <c r="D31" i="14"/>
  <c r="E31" i="14"/>
  <c r="B32" i="14"/>
  <c r="C32" i="14"/>
  <c r="D32" i="14"/>
  <c r="E32" i="14"/>
  <c r="B33" i="14"/>
  <c r="C33" i="14"/>
  <c r="D33" i="14"/>
  <c r="E33" i="14"/>
  <c r="B34" i="14"/>
  <c r="C34" i="14"/>
  <c r="D34" i="14"/>
  <c r="E34" i="14"/>
  <c r="B35" i="14"/>
  <c r="C35" i="14"/>
  <c r="D35" i="14"/>
  <c r="E35" i="14"/>
  <c r="B36" i="14"/>
  <c r="C36" i="14"/>
  <c r="D36" i="14"/>
  <c r="E36" i="14"/>
  <c r="B37" i="14"/>
  <c r="C37" i="14"/>
  <c r="D37" i="14"/>
  <c r="E37" i="14"/>
  <c r="B38" i="14"/>
  <c r="C38" i="14"/>
  <c r="D38" i="14"/>
  <c r="E38" i="14"/>
  <c r="B39" i="14"/>
  <c r="C39" i="14"/>
  <c r="D39" i="14"/>
  <c r="E39" i="14"/>
  <c r="B40" i="14"/>
  <c r="C40" i="14"/>
  <c r="D40" i="14"/>
  <c r="E40" i="14"/>
  <c r="B41" i="14"/>
  <c r="C41" i="14"/>
  <c r="D41" i="14"/>
  <c r="E41" i="14"/>
  <c r="B42" i="14"/>
  <c r="C42" i="14"/>
  <c r="D42" i="14"/>
  <c r="E42" i="14"/>
  <c r="B43" i="14"/>
  <c r="C43" i="14"/>
  <c r="D43" i="14"/>
  <c r="E43" i="14"/>
  <c r="B44" i="14"/>
  <c r="C44" i="14"/>
  <c r="D44" i="14"/>
  <c r="E44" i="14"/>
  <c r="B45" i="14"/>
  <c r="C45" i="14"/>
  <c r="D45" i="14"/>
  <c r="E45" i="14"/>
  <c r="B46" i="14"/>
  <c r="C46" i="14"/>
  <c r="D46" i="14"/>
  <c r="E46" i="14"/>
  <c r="B47" i="14"/>
  <c r="C47" i="14"/>
  <c r="D47" i="14"/>
  <c r="E47" i="14"/>
  <c r="B48" i="14"/>
  <c r="C48" i="14"/>
  <c r="D48" i="14"/>
  <c r="E48" i="14"/>
  <c r="B384" i="14"/>
  <c r="C384" i="14"/>
  <c r="D384" i="14"/>
  <c r="E384" i="14"/>
  <c r="B385" i="14"/>
  <c r="C385" i="14"/>
  <c r="D385" i="14"/>
  <c r="E385" i="14"/>
  <c r="B386" i="14"/>
  <c r="C386" i="14"/>
  <c r="D386" i="14"/>
  <c r="E386" i="14"/>
  <c r="B387" i="14"/>
  <c r="C387" i="14"/>
  <c r="D387" i="14"/>
  <c r="E387" i="14"/>
  <c r="B110" i="14"/>
  <c r="C110" i="14"/>
  <c r="D110" i="14"/>
  <c r="E110" i="14"/>
  <c r="B418" i="14"/>
  <c r="C418" i="14"/>
  <c r="D418" i="14"/>
  <c r="E418" i="14"/>
  <c r="B49" i="14"/>
  <c r="C49" i="14"/>
  <c r="D49" i="14"/>
  <c r="E49" i="14"/>
  <c r="B157" i="14"/>
  <c r="C157" i="14"/>
  <c r="D157" i="14"/>
  <c r="E157" i="14"/>
  <c r="B158" i="14"/>
  <c r="C158" i="14"/>
  <c r="D158" i="14"/>
  <c r="E158" i="14"/>
  <c r="B159" i="14"/>
  <c r="C159" i="14"/>
  <c r="D159" i="14"/>
  <c r="E159" i="14"/>
  <c r="B160" i="14"/>
  <c r="C160" i="14"/>
  <c r="D160" i="14"/>
  <c r="E160" i="14"/>
  <c r="B161" i="14"/>
  <c r="C161" i="14"/>
  <c r="D161" i="14"/>
  <c r="E161" i="14"/>
  <c r="B162" i="14"/>
  <c r="C162" i="14"/>
  <c r="D162" i="14"/>
  <c r="E162" i="14"/>
  <c r="B163" i="14"/>
  <c r="C163" i="14"/>
  <c r="D163" i="14"/>
  <c r="E163" i="14"/>
  <c r="B164" i="14"/>
  <c r="C164" i="14"/>
  <c r="D164" i="14"/>
  <c r="E164" i="14"/>
  <c r="B313" i="14"/>
  <c r="C313" i="14"/>
  <c r="D313" i="14"/>
  <c r="E313" i="14"/>
  <c r="B314" i="14"/>
  <c r="C314" i="14"/>
  <c r="D314" i="14"/>
  <c r="E314" i="14"/>
  <c r="B315" i="14"/>
  <c r="C315" i="14"/>
  <c r="D315" i="14"/>
  <c r="E315" i="14"/>
  <c r="B316" i="14"/>
  <c r="C316" i="14"/>
  <c r="D316" i="14"/>
  <c r="E316" i="14"/>
  <c r="B270" i="14"/>
  <c r="C270" i="14"/>
  <c r="D270" i="14"/>
  <c r="E270" i="14"/>
  <c r="B271" i="14"/>
  <c r="C271" i="14"/>
  <c r="D271" i="14"/>
  <c r="E271" i="14"/>
  <c r="B272" i="14"/>
  <c r="C272" i="14"/>
  <c r="D272" i="14"/>
  <c r="E272" i="14"/>
  <c r="B273" i="14"/>
  <c r="C273" i="14"/>
  <c r="D273" i="14"/>
  <c r="E273" i="14"/>
  <c r="B274" i="14"/>
  <c r="C274" i="14"/>
  <c r="D274" i="14"/>
  <c r="E274" i="14"/>
  <c r="E62" i="14"/>
  <c r="D62" i="14"/>
  <c r="C62" i="14"/>
  <c r="B62" i="14"/>
  <c r="E2" i="4"/>
  <c r="D2" i="4"/>
  <c r="C2" i="4"/>
  <c r="B2" i="4"/>
  <c r="D2" i="9"/>
  <c r="C2" i="9"/>
  <c r="B2" i="9"/>
  <c r="G150" i="9"/>
  <c r="G148" i="9"/>
  <c r="G147" i="9"/>
  <c r="G144" i="9"/>
  <c r="G143" i="9"/>
  <c r="G140" i="9"/>
  <c r="G139" i="9"/>
  <c r="K107" i="1"/>
  <c r="K106" i="1"/>
  <c r="K105" i="1"/>
  <c r="K104" i="1"/>
  <c r="K103" i="1"/>
  <c r="K102" i="1"/>
  <c r="K101" i="1"/>
  <c r="K100" i="1"/>
  <c r="K99" i="1"/>
  <c r="K98" i="1"/>
  <c r="K97" i="1"/>
  <c r="K96" i="1"/>
  <c r="K95" i="1"/>
  <c r="K94" i="1"/>
  <c r="K93" i="1"/>
  <c r="K92" i="1"/>
  <c r="K91" i="1"/>
  <c r="K90" i="1"/>
  <c r="K89" i="1"/>
  <c r="K88" i="1"/>
  <c r="K41" i="1"/>
  <c r="K40" i="1"/>
  <c r="K39" i="1"/>
  <c r="K38" i="1"/>
  <c r="K37" i="1"/>
  <c r="K36" i="1"/>
  <c r="K47" i="1"/>
  <c r="K46" i="1"/>
  <c r="K45" i="1"/>
  <c r="K44" i="1"/>
  <c r="K43" i="1"/>
  <c r="K42" i="1"/>
  <c r="K170" i="1"/>
  <c r="K197" i="1"/>
  <c r="K188" i="1"/>
  <c r="K186" i="1"/>
  <c r="K31" i="1"/>
  <c r="K32" i="1"/>
  <c r="K33" i="1"/>
  <c r="K34" i="1"/>
  <c r="K35" i="1"/>
  <c r="K82" i="1"/>
  <c r="K83" i="1"/>
  <c r="K84" i="1"/>
  <c r="K85" i="1"/>
  <c r="K86" i="1"/>
  <c r="K87" i="1"/>
  <c r="K111" i="1"/>
  <c r="K112" i="1"/>
  <c r="K113" i="1"/>
  <c r="K114" i="1"/>
  <c r="K108" i="1"/>
  <c r="K109" i="1"/>
  <c r="K110" i="1"/>
  <c r="K135" i="1"/>
  <c r="K136" i="1"/>
  <c r="K185" i="1"/>
  <c r="K190" i="1"/>
  <c r="K191" i="1"/>
  <c r="K192" i="1"/>
  <c r="K193" i="1"/>
  <c r="K194" i="1"/>
  <c r="K195" i="1"/>
  <c r="K196" i="1"/>
  <c r="K198" i="1"/>
  <c r="K199" i="1"/>
  <c r="K201" i="1"/>
  <c r="K203" i="1"/>
  <c r="K204" i="1"/>
  <c r="K205" i="1"/>
  <c r="K30" i="1"/>
  <c r="A1175" i="17" l="1"/>
  <c r="Q1175" i="17" s="1"/>
  <c r="Q2220" i="17"/>
  <c r="A2589" i="17"/>
  <c r="A2592" i="17" s="1"/>
  <c r="B2592" i="17" s="1"/>
  <c r="A2528" i="17"/>
  <c r="B2528" i="17" s="1"/>
  <c r="Q1161" i="17"/>
  <c r="Q2222" i="17"/>
  <c r="Q1167" i="17"/>
  <c r="A2224" i="17"/>
  <c r="A2230" i="17" s="1"/>
  <c r="F2230" i="17" s="1"/>
  <c r="A1187" i="17"/>
  <c r="A1206" i="17" s="1"/>
  <c r="D1206" i="17" s="1"/>
  <c r="Q2035" i="17"/>
  <c r="A2041" i="17"/>
  <c r="F2041" i="17" s="1"/>
  <c r="Q2029" i="17"/>
  <c r="Q2030" i="17"/>
  <c r="A2512" i="17"/>
  <c r="D2512" i="17" s="1"/>
  <c r="A1179" i="17"/>
  <c r="A1198" i="17" s="1"/>
  <c r="Q1198" i="17" s="1"/>
  <c r="Q2495" i="17"/>
  <c r="A2521" i="17"/>
  <c r="Q2521" i="17" s="1"/>
  <c r="E2228" i="17"/>
  <c r="F2228" i="17"/>
  <c r="C2228" i="17"/>
  <c r="D2228" i="17"/>
  <c r="B2228" i="17"/>
  <c r="C2513" i="17"/>
  <c r="F2513" i="17"/>
  <c r="B2513" i="17"/>
  <c r="D2513" i="17"/>
  <c r="E2513" i="17"/>
  <c r="Q2513" i="17"/>
  <c r="A2531" i="17"/>
  <c r="Q2531" i="17" s="1"/>
  <c r="D1185" i="17"/>
  <c r="E1185" i="17"/>
  <c r="F1185" i="17"/>
  <c r="B1185" i="17"/>
  <c r="C1185" i="17"/>
  <c r="B1152" i="17"/>
  <c r="C1152" i="17"/>
  <c r="F1152" i="17"/>
  <c r="E1152" i="17"/>
  <c r="D1152" i="17"/>
  <c r="E1164" i="17"/>
  <c r="F1164" i="17"/>
  <c r="B1164" i="17"/>
  <c r="C1164" i="17"/>
  <c r="D1164" i="17"/>
  <c r="F2039" i="17"/>
  <c r="B2039" i="17"/>
  <c r="E2039" i="17"/>
  <c r="D2039" i="17"/>
  <c r="C2039" i="17"/>
  <c r="E2028" i="17"/>
  <c r="F2028" i="17"/>
  <c r="C2028" i="17"/>
  <c r="B2028" i="17"/>
  <c r="D2028" i="17"/>
  <c r="C2422" i="17"/>
  <c r="D2422" i="17"/>
  <c r="F2422" i="17"/>
  <c r="E2422" i="17"/>
  <c r="B2422" i="17"/>
  <c r="F2505" i="17"/>
  <c r="B2505" i="17"/>
  <c r="C2505" i="17"/>
  <c r="D2505" i="17"/>
  <c r="E2505" i="17"/>
  <c r="E2497" i="17"/>
  <c r="F2497" i="17"/>
  <c r="C2497" i="17"/>
  <c r="B2497" i="17"/>
  <c r="D2497" i="17"/>
  <c r="C1150" i="17"/>
  <c r="D1150" i="17"/>
  <c r="E1150" i="17"/>
  <c r="F1150" i="17"/>
  <c r="B1150" i="17"/>
  <c r="F1151" i="17"/>
  <c r="C1151" i="17"/>
  <c r="D1151" i="17"/>
  <c r="B1151" i="17"/>
  <c r="E1151" i="17"/>
  <c r="B1163" i="17"/>
  <c r="C1163" i="17"/>
  <c r="D1163" i="17"/>
  <c r="F1163" i="17"/>
  <c r="E1163" i="17"/>
  <c r="D2033" i="17"/>
  <c r="E2033" i="17"/>
  <c r="F2033" i="17"/>
  <c r="C2033" i="17"/>
  <c r="B2033" i="17"/>
  <c r="C2519" i="17"/>
  <c r="D2519" i="17"/>
  <c r="E2519" i="17"/>
  <c r="F2519" i="17"/>
  <c r="B2519" i="17"/>
  <c r="B2427" i="17"/>
  <c r="C2427" i="17"/>
  <c r="D2427" i="17"/>
  <c r="F2427" i="17"/>
  <c r="E2427" i="17"/>
  <c r="F2504" i="17"/>
  <c r="B2504" i="17"/>
  <c r="D2504" i="17"/>
  <c r="C2504" i="17"/>
  <c r="E2504" i="17"/>
  <c r="F2496" i="17"/>
  <c r="E2496" i="17"/>
  <c r="B2496" i="17"/>
  <c r="D2496" i="17"/>
  <c r="C2496" i="17"/>
  <c r="B1176" i="17"/>
  <c r="C1176" i="17"/>
  <c r="F1176" i="17"/>
  <c r="E1176" i="17"/>
  <c r="D1176" i="17"/>
  <c r="B1173" i="17"/>
  <c r="E1173" i="17"/>
  <c r="F1173" i="17"/>
  <c r="C1173" i="17"/>
  <c r="D1173" i="17"/>
  <c r="D1154" i="17"/>
  <c r="E1154" i="17"/>
  <c r="F1154" i="17"/>
  <c r="B1154" i="17"/>
  <c r="C1154" i="17"/>
  <c r="C1166" i="17"/>
  <c r="D1166" i="17"/>
  <c r="E1166" i="17"/>
  <c r="B1166" i="17"/>
  <c r="F1166" i="17"/>
  <c r="E2036" i="17"/>
  <c r="F2036" i="17"/>
  <c r="D2036" i="17"/>
  <c r="B2036" i="17"/>
  <c r="C2036" i="17"/>
  <c r="B2219" i="17"/>
  <c r="C2219" i="17"/>
  <c r="F2219" i="17"/>
  <c r="D2219" i="17"/>
  <c r="E2219" i="17"/>
  <c r="E2507" i="17"/>
  <c r="C2507" i="17"/>
  <c r="D2507" i="17"/>
  <c r="F2507" i="17"/>
  <c r="B2507" i="17"/>
  <c r="B2587" i="17"/>
  <c r="C2587" i="17"/>
  <c r="E2587" i="17"/>
  <c r="F2587" i="17"/>
  <c r="D2587" i="17"/>
  <c r="B1165" i="17"/>
  <c r="E1165" i="17"/>
  <c r="F1165" i="17"/>
  <c r="C1165" i="17"/>
  <c r="D1165" i="17"/>
  <c r="B2037" i="17"/>
  <c r="F2037" i="17"/>
  <c r="E2037" i="17"/>
  <c r="C2037" i="17"/>
  <c r="D2037" i="17"/>
  <c r="C2226" i="17"/>
  <c r="F2226" i="17"/>
  <c r="B2226" i="17"/>
  <c r="D2226" i="17"/>
  <c r="E2226" i="17"/>
  <c r="E2218" i="17"/>
  <c r="D2218" i="17"/>
  <c r="F2218" i="17"/>
  <c r="B2218" i="17"/>
  <c r="C2218" i="17"/>
  <c r="B2032" i="17"/>
  <c r="E2032" i="17"/>
  <c r="C2032" i="17"/>
  <c r="D2032" i="17"/>
  <c r="F2032" i="17"/>
  <c r="Q2226" i="17"/>
  <c r="D2217" i="17"/>
  <c r="E2217" i="17"/>
  <c r="F2217" i="17"/>
  <c r="C2217" i="17"/>
  <c r="B2217" i="17"/>
  <c r="E2428" i="17"/>
  <c r="F2428" i="17"/>
  <c r="C2428" i="17"/>
  <c r="B2428" i="17"/>
  <c r="D2428" i="17"/>
  <c r="C2503" i="17"/>
  <c r="F2503" i="17"/>
  <c r="B2503" i="17"/>
  <c r="D2503" i="17"/>
  <c r="E2503" i="17"/>
  <c r="C1206" i="17"/>
  <c r="E2499" i="17"/>
  <c r="D2499" i="17"/>
  <c r="B2499" i="17"/>
  <c r="C2499" i="17"/>
  <c r="F2499" i="17"/>
  <c r="D1153" i="17"/>
  <c r="E1153" i="17"/>
  <c r="F1153" i="17"/>
  <c r="B1153" i="17"/>
  <c r="C1153" i="17"/>
  <c r="D2506" i="17"/>
  <c r="B2506" i="17"/>
  <c r="F2506" i="17"/>
  <c r="C2506" i="17"/>
  <c r="E2506" i="17"/>
  <c r="D2498" i="17"/>
  <c r="E2498" i="17"/>
  <c r="B2498" i="17"/>
  <c r="C2498" i="17"/>
  <c r="F2498" i="17"/>
  <c r="Q1158" i="17"/>
  <c r="C1158" i="17"/>
  <c r="D1158" i="17"/>
  <c r="E1158" i="17"/>
  <c r="B1158" i="17"/>
  <c r="F1158" i="17"/>
  <c r="B1160" i="17"/>
  <c r="C1160" i="17"/>
  <c r="F1160" i="17"/>
  <c r="E1160" i="17"/>
  <c r="D1160" i="17"/>
  <c r="Q1162" i="17"/>
  <c r="D1162" i="17"/>
  <c r="E1162" i="17"/>
  <c r="B1162" i="17"/>
  <c r="C1162" i="17"/>
  <c r="F1162" i="17"/>
  <c r="E2493" i="17"/>
  <c r="B2493" i="17"/>
  <c r="D2493" i="17"/>
  <c r="C2493" i="17"/>
  <c r="F2493" i="17"/>
  <c r="C2495" i="17"/>
  <c r="E2495" i="17"/>
  <c r="D2495" i="17"/>
  <c r="F2495" i="17"/>
  <c r="B2495" i="17"/>
  <c r="E1180" i="17"/>
  <c r="F1180" i="17"/>
  <c r="B1180" i="17"/>
  <c r="C1180" i="17"/>
  <c r="D1180" i="17"/>
  <c r="B1157" i="17"/>
  <c r="E1157" i="17"/>
  <c r="F1157" i="17"/>
  <c r="C1157" i="17"/>
  <c r="D1157" i="17"/>
  <c r="D1161" i="17"/>
  <c r="E1161" i="17"/>
  <c r="F1161" i="17"/>
  <c r="B1161" i="17"/>
  <c r="C1161" i="17"/>
  <c r="F2031" i="17"/>
  <c r="D2031" i="17"/>
  <c r="C2031" i="17"/>
  <c r="E2031" i="17"/>
  <c r="B2031" i="17"/>
  <c r="A2232" i="17"/>
  <c r="A2223" i="17"/>
  <c r="C2222" i="17"/>
  <c r="D2222" i="17"/>
  <c r="B2222" i="17"/>
  <c r="E2222" i="17"/>
  <c r="F2222" i="17"/>
  <c r="A2423" i="17"/>
  <c r="A2429" i="17" s="1"/>
  <c r="C2502" i="17"/>
  <c r="E2502" i="17"/>
  <c r="F2502" i="17"/>
  <c r="B2502" i="17"/>
  <c r="D2502" i="17"/>
  <c r="Q1176" i="17"/>
  <c r="F1175" i="17"/>
  <c r="C1175" i="17"/>
  <c r="D1175" i="17"/>
  <c r="B1175" i="17"/>
  <c r="E1175" i="17"/>
  <c r="A1177" i="17"/>
  <c r="Q1177" i="17" s="1"/>
  <c r="E1156" i="17"/>
  <c r="F1156" i="17"/>
  <c r="B1156" i="17"/>
  <c r="C1156" i="17"/>
  <c r="D1156" i="17"/>
  <c r="B1168" i="17"/>
  <c r="C1168" i="17"/>
  <c r="F1168" i="17"/>
  <c r="D1168" i="17"/>
  <c r="E1168" i="17"/>
  <c r="C2030" i="17"/>
  <c r="D2030" i="17"/>
  <c r="E2030" i="17"/>
  <c r="B2030" i="17"/>
  <c r="F2030" i="17"/>
  <c r="Q2219" i="17"/>
  <c r="B2221" i="17"/>
  <c r="F2221" i="17"/>
  <c r="D2221" i="17"/>
  <c r="E2221" i="17"/>
  <c r="C2221" i="17"/>
  <c r="D2433" i="17"/>
  <c r="E2433" i="17"/>
  <c r="F2433" i="17"/>
  <c r="C2433" i="17"/>
  <c r="B2433" i="17"/>
  <c r="A2527" i="17"/>
  <c r="E2509" i="17"/>
  <c r="D2509" i="17"/>
  <c r="F2509" i="17"/>
  <c r="B2509" i="17"/>
  <c r="C2509" i="17"/>
  <c r="E2501" i="17"/>
  <c r="F2501" i="17"/>
  <c r="C2501" i="17"/>
  <c r="D2501" i="17"/>
  <c r="B2501" i="17"/>
  <c r="F2586" i="17"/>
  <c r="D2586" i="17"/>
  <c r="B2586" i="17"/>
  <c r="C2586" i="17"/>
  <c r="E2586" i="17"/>
  <c r="D1186" i="17"/>
  <c r="E1186" i="17"/>
  <c r="B1186" i="17"/>
  <c r="C1186" i="17"/>
  <c r="F1186" i="17"/>
  <c r="D1178" i="17"/>
  <c r="E1178" i="17"/>
  <c r="F1178" i="17"/>
  <c r="C1178" i="17"/>
  <c r="B1178" i="17"/>
  <c r="C2510" i="17"/>
  <c r="B2510" i="17"/>
  <c r="D2510" i="17"/>
  <c r="F2510" i="17"/>
  <c r="E2510" i="17"/>
  <c r="F2494" i="17"/>
  <c r="E2494" i="17"/>
  <c r="B2494" i="17"/>
  <c r="C2494" i="17"/>
  <c r="D2494" i="17"/>
  <c r="C1174" i="17"/>
  <c r="D1174" i="17"/>
  <c r="E1174" i="17"/>
  <c r="F1174" i="17"/>
  <c r="B1174" i="17"/>
  <c r="A1197" i="17"/>
  <c r="Q1155" i="17"/>
  <c r="B1155" i="17"/>
  <c r="C1155" i="17"/>
  <c r="D1155" i="17"/>
  <c r="E1155" i="17"/>
  <c r="F1155" i="17"/>
  <c r="F1167" i="17"/>
  <c r="C1167" i="17"/>
  <c r="D1167" i="17"/>
  <c r="E1167" i="17"/>
  <c r="B1167" i="17"/>
  <c r="B2035" i="17"/>
  <c r="C2035" i="17"/>
  <c r="F2035" i="17"/>
  <c r="D2035" i="17"/>
  <c r="E2035" i="17"/>
  <c r="D2029" i="17"/>
  <c r="C2029" i="17"/>
  <c r="E2029" i="17"/>
  <c r="B2029" i="17"/>
  <c r="F2029" i="17"/>
  <c r="A2225" i="17"/>
  <c r="E2220" i="17"/>
  <c r="F2220" i="17"/>
  <c r="D2220" i="17"/>
  <c r="B2220" i="17"/>
  <c r="C2220" i="17"/>
  <c r="A2520" i="17"/>
  <c r="A2538" i="17" s="1"/>
  <c r="A2511" i="17"/>
  <c r="B2508" i="17"/>
  <c r="C2508" i="17"/>
  <c r="D2508" i="17"/>
  <c r="E2508" i="17"/>
  <c r="F2508" i="17"/>
  <c r="B2500" i="17"/>
  <c r="D2500" i="17"/>
  <c r="C2500" i="17"/>
  <c r="E2500" i="17"/>
  <c r="F2500" i="17"/>
  <c r="D2588" i="17"/>
  <c r="E2588" i="17"/>
  <c r="F2588" i="17"/>
  <c r="B2588" i="17"/>
  <c r="C2588" i="17"/>
  <c r="Q1151" i="17"/>
  <c r="A2516" i="17"/>
  <c r="Q2498" i="17"/>
  <c r="A1195" i="17"/>
  <c r="Q1153" i="17"/>
  <c r="A1172" i="17"/>
  <c r="Q2037" i="17"/>
  <c r="A2043" i="17"/>
  <c r="Q2588" i="17"/>
  <c r="A2591" i="17"/>
  <c r="Q1186" i="17"/>
  <c r="A1205" i="17"/>
  <c r="Q1164" i="17"/>
  <c r="A1183" i="17"/>
  <c r="A2525" i="17"/>
  <c r="Q2507" i="17"/>
  <c r="Q2039" i="17"/>
  <c r="A2045" i="17"/>
  <c r="A2234" i="17"/>
  <c r="Q2228" i="17"/>
  <c r="A1170" i="17"/>
  <c r="A1184" i="17"/>
  <c r="Q2032" i="17"/>
  <c r="A2518" i="17"/>
  <c r="Q2500" i="17"/>
  <c r="Q1165" i="17"/>
  <c r="A1171" i="17"/>
  <c r="A2038" i="17"/>
  <c r="Q2031" i="17"/>
  <c r="Q2499" i="17"/>
  <c r="A2517" i="17"/>
  <c r="Q1150" i="17"/>
  <c r="A1169" i="17"/>
  <c r="A1182" i="17"/>
  <c r="Q1163" i="17"/>
  <c r="A1192" i="17"/>
  <c r="Q1173" i="17"/>
  <c r="A2526" i="17"/>
  <c r="Q2508" i="17"/>
  <c r="A2590" i="17"/>
  <c r="Q2587" i="17"/>
  <c r="Q2428" i="17"/>
  <c r="A2434" i="17"/>
  <c r="A2524" i="17"/>
  <c r="Q2506" i="17"/>
  <c r="Q1185" i="17"/>
  <c r="A1204" i="17"/>
  <c r="Q1152" i="17"/>
  <c r="Q1180" i="17"/>
  <c r="A1199" i="17"/>
  <c r="Q1154" i="17"/>
  <c r="Q1166" i="17"/>
  <c r="Q2036" i="17"/>
  <c r="A2042" i="17"/>
  <c r="Q2033" i="17"/>
  <c r="Q2505" i="17"/>
  <c r="Q2504" i="17"/>
  <c r="A2522" i="17"/>
  <c r="Q1157" i="17"/>
  <c r="A2439" i="17"/>
  <c r="Q2422" i="17"/>
  <c r="A1181" i="17"/>
  <c r="A2523" i="17"/>
  <c r="A2515" i="17"/>
  <c r="Q2497" i="17"/>
  <c r="Q2427" i="17"/>
  <c r="A2514" i="17"/>
  <c r="Q2496" i="17"/>
  <c r="Q2519" i="17"/>
  <c r="A2537" i="17"/>
  <c r="A1193" i="17"/>
  <c r="A2034" i="17"/>
  <c r="Q2028" i="17"/>
  <c r="A2227" i="17"/>
  <c r="Q2509" i="17"/>
  <c r="Q2501" i="17"/>
  <c r="Q2592" i="17" l="1"/>
  <c r="F2589" i="17"/>
  <c r="D2592" i="17"/>
  <c r="D2589" i="17"/>
  <c r="C2592" i="17"/>
  <c r="E2230" i="17"/>
  <c r="D2230" i="17"/>
  <c r="A1194" i="17"/>
  <c r="C1194" i="17" s="1"/>
  <c r="D2041" i="17"/>
  <c r="A2595" i="17"/>
  <c r="C2595" i="17" s="1"/>
  <c r="E2592" i="17"/>
  <c r="F2592" i="17"/>
  <c r="E2589" i="17"/>
  <c r="Q2589" i="17"/>
  <c r="E1187" i="17"/>
  <c r="B1194" i="17"/>
  <c r="C2589" i="17"/>
  <c r="A2047" i="17"/>
  <c r="C2047" i="17" s="1"/>
  <c r="Q2041" i="17"/>
  <c r="Q2528" i="17"/>
  <c r="E2528" i="17"/>
  <c r="A2546" i="17"/>
  <c r="C2546" i="17" s="1"/>
  <c r="E2041" i="17"/>
  <c r="B2589" i="17"/>
  <c r="D2528" i="17"/>
  <c r="F2528" i="17"/>
  <c r="C2528" i="17"/>
  <c r="F1179" i="17"/>
  <c r="E1179" i="17"/>
  <c r="B1187" i="17"/>
  <c r="Q1179" i="17"/>
  <c r="C1179" i="17"/>
  <c r="B1206" i="17"/>
  <c r="D2224" i="17"/>
  <c r="Q2224" i="17"/>
  <c r="C1187" i="17"/>
  <c r="C2230" i="17"/>
  <c r="Q1206" i="17"/>
  <c r="B1179" i="17"/>
  <c r="F1206" i="17"/>
  <c r="C2224" i="17"/>
  <c r="Q2230" i="17"/>
  <c r="F2224" i="17"/>
  <c r="D1179" i="17"/>
  <c r="E1206" i="17"/>
  <c r="B2224" i="17"/>
  <c r="Q1187" i="17"/>
  <c r="B2230" i="17"/>
  <c r="D1187" i="17"/>
  <c r="E2224" i="17"/>
  <c r="F1187" i="17"/>
  <c r="C2041" i="17"/>
  <c r="A2530" i="17"/>
  <c r="D2530" i="17" s="1"/>
  <c r="B2041" i="17"/>
  <c r="B2512" i="17"/>
  <c r="A2539" i="17"/>
  <c r="A2557" i="17" s="1"/>
  <c r="F2557" i="17" s="1"/>
  <c r="C2512" i="17"/>
  <c r="D2521" i="17"/>
  <c r="F2512" i="17"/>
  <c r="B2521" i="17"/>
  <c r="Q2512" i="17"/>
  <c r="E2512" i="17"/>
  <c r="F2521" i="17"/>
  <c r="C2521" i="17"/>
  <c r="E2521" i="17"/>
  <c r="E2034" i="17"/>
  <c r="F2034" i="17"/>
  <c r="D2034" i="17"/>
  <c r="C2034" i="17"/>
  <c r="B2034" i="17"/>
  <c r="E2234" i="17"/>
  <c r="F2234" i="17"/>
  <c r="B2234" i="17"/>
  <c r="D2234" i="17"/>
  <c r="C2234" i="17"/>
  <c r="D1193" i="17"/>
  <c r="E1193" i="17"/>
  <c r="F1193" i="17"/>
  <c r="B1193" i="17"/>
  <c r="C1193" i="17"/>
  <c r="C2038" i="17"/>
  <c r="D2038" i="17"/>
  <c r="B2038" i="17"/>
  <c r="E2038" i="17"/>
  <c r="F2038" i="17"/>
  <c r="D2429" i="17"/>
  <c r="B2429" i="17"/>
  <c r="C2429" i="17"/>
  <c r="E2429" i="17"/>
  <c r="F2429" i="17"/>
  <c r="F2423" i="17"/>
  <c r="B2423" i="17"/>
  <c r="C2423" i="17"/>
  <c r="D2423" i="17"/>
  <c r="E2423" i="17"/>
  <c r="B2232" i="17"/>
  <c r="E2232" i="17"/>
  <c r="F2232" i="17"/>
  <c r="C2232" i="17"/>
  <c r="D2232" i="17"/>
  <c r="E1204" i="17"/>
  <c r="F1204" i="17"/>
  <c r="B1204" i="17"/>
  <c r="C1204" i="17"/>
  <c r="D1204" i="17"/>
  <c r="C1182" i="17"/>
  <c r="D1182" i="17"/>
  <c r="E1182" i="17"/>
  <c r="B1182" i="17"/>
  <c r="F1182" i="17"/>
  <c r="B2515" i="17"/>
  <c r="C2515" i="17"/>
  <c r="E2515" i="17"/>
  <c r="F2515" i="17"/>
  <c r="D2515" i="17"/>
  <c r="C2538" i="17"/>
  <c r="D2538" i="17"/>
  <c r="E2538" i="17"/>
  <c r="F2538" i="17"/>
  <c r="B2538" i="17"/>
  <c r="F2434" i="17"/>
  <c r="B2434" i="17"/>
  <c r="D2434" i="17"/>
  <c r="C2434" i="17"/>
  <c r="E2434" i="17"/>
  <c r="B1192" i="17"/>
  <c r="C1192" i="17"/>
  <c r="F1192" i="17"/>
  <c r="D1192" i="17"/>
  <c r="E1192" i="17"/>
  <c r="C2511" i="17"/>
  <c r="D2511" i="17"/>
  <c r="E2511" i="17"/>
  <c r="B2511" i="17"/>
  <c r="F2511" i="17"/>
  <c r="Q2511" i="17"/>
  <c r="A2529" i="17"/>
  <c r="B2527" i="17"/>
  <c r="F2527" i="17"/>
  <c r="D2527" i="17"/>
  <c r="C2527" i="17"/>
  <c r="E2527" i="17"/>
  <c r="F2223" i="17"/>
  <c r="B2223" i="17"/>
  <c r="E2223" i="17"/>
  <c r="C2223" i="17"/>
  <c r="D2223" i="17"/>
  <c r="A2229" i="17"/>
  <c r="F2523" i="17"/>
  <c r="E2523" i="17"/>
  <c r="C2523" i="17"/>
  <c r="B2523" i="17"/>
  <c r="D2523" i="17"/>
  <c r="B1181" i="17"/>
  <c r="E1181" i="17"/>
  <c r="F1181" i="17"/>
  <c r="C1181" i="17"/>
  <c r="D1181" i="17"/>
  <c r="D2045" i="17"/>
  <c r="B2045" i="17"/>
  <c r="F2045" i="17"/>
  <c r="C2045" i="17"/>
  <c r="E2045" i="17"/>
  <c r="E2591" i="17"/>
  <c r="F2591" i="17"/>
  <c r="C2591" i="17"/>
  <c r="D2591" i="17"/>
  <c r="B2591" i="17"/>
  <c r="F2520" i="17"/>
  <c r="D2520" i="17"/>
  <c r="E2520" i="17"/>
  <c r="C2520" i="17"/>
  <c r="B2520" i="17"/>
  <c r="D2225" i="17"/>
  <c r="E2225" i="17"/>
  <c r="B2225" i="17"/>
  <c r="C2225" i="17"/>
  <c r="F2225" i="17"/>
  <c r="A2231" i="17"/>
  <c r="Q2225" i="17"/>
  <c r="C2537" i="17"/>
  <c r="F2537" i="17"/>
  <c r="D2537" i="17"/>
  <c r="E2537" i="17"/>
  <c r="B2537" i="17"/>
  <c r="B1171" i="17"/>
  <c r="C1171" i="17"/>
  <c r="D1171" i="17"/>
  <c r="F1171" i="17"/>
  <c r="E1171" i="17"/>
  <c r="Q2423" i="17"/>
  <c r="F2439" i="17"/>
  <c r="E2439" i="17"/>
  <c r="C2439" i="17"/>
  <c r="B2439" i="17"/>
  <c r="D2439" i="17"/>
  <c r="C2042" i="17"/>
  <c r="F2042" i="17"/>
  <c r="B2042" i="17"/>
  <c r="D2042" i="17"/>
  <c r="E2042" i="17"/>
  <c r="B2590" i="17"/>
  <c r="C2590" i="17"/>
  <c r="D2590" i="17"/>
  <c r="F2590" i="17"/>
  <c r="E2590" i="17"/>
  <c r="D1169" i="17"/>
  <c r="E1169" i="17"/>
  <c r="F1169" i="17"/>
  <c r="B1169" i="17"/>
  <c r="C1169" i="17"/>
  <c r="D1170" i="17"/>
  <c r="E1170" i="17"/>
  <c r="C1170" i="17"/>
  <c r="F1170" i="17"/>
  <c r="B1170" i="17"/>
  <c r="B2043" i="17"/>
  <c r="C2043" i="17"/>
  <c r="D2043" i="17"/>
  <c r="E2043" i="17"/>
  <c r="F2043" i="17"/>
  <c r="A2424" i="17"/>
  <c r="Q2527" i="17"/>
  <c r="D2525" i="17"/>
  <c r="F2525" i="17"/>
  <c r="C2525" i="17"/>
  <c r="B2525" i="17"/>
  <c r="E2525" i="17"/>
  <c r="B1195" i="17"/>
  <c r="C1195" i="17"/>
  <c r="D1195" i="17"/>
  <c r="F1195" i="17"/>
  <c r="E1195" i="17"/>
  <c r="A2545" i="17"/>
  <c r="D2514" i="17"/>
  <c r="C2514" i="17"/>
  <c r="E2514" i="17"/>
  <c r="F2514" i="17"/>
  <c r="B2514" i="17"/>
  <c r="Q2223" i="17"/>
  <c r="E2517" i="17"/>
  <c r="B2517" i="17"/>
  <c r="C2517" i="17"/>
  <c r="D2517" i="17"/>
  <c r="F2517" i="17"/>
  <c r="E2518" i="17"/>
  <c r="D2518" i="17"/>
  <c r="F2518" i="17"/>
  <c r="B2518" i="17"/>
  <c r="C2518" i="17"/>
  <c r="F1183" i="17"/>
  <c r="C1183" i="17"/>
  <c r="D1183" i="17"/>
  <c r="B1183" i="17"/>
  <c r="E1183" i="17"/>
  <c r="E1172" i="17"/>
  <c r="F1172" i="17"/>
  <c r="B1172" i="17"/>
  <c r="C1172" i="17"/>
  <c r="D1172" i="17"/>
  <c r="D1177" i="17"/>
  <c r="E1177" i="17"/>
  <c r="F1177" i="17"/>
  <c r="B1177" i="17"/>
  <c r="C1177" i="17"/>
  <c r="A1196" i="17"/>
  <c r="B2227" i="17"/>
  <c r="C2227" i="17"/>
  <c r="D2227" i="17"/>
  <c r="E2227" i="17"/>
  <c r="F2227" i="17"/>
  <c r="Q2232" i="17"/>
  <c r="C2526" i="17"/>
  <c r="B2526" i="17"/>
  <c r="D2526" i="17"/>
  <c r="E2526" i="17"/>
  <c r="F2526" i="17"/>
  <c r="B2516" i="17"/>
  <c r="F2516" i="17"/>
  <c r="D2516" i="17"/>
  <c r="C2516" i="17"/>
  <c r="E2516" i="17"/>
  <c r="Q2520" i="17"/>
  <c r="C2522" i="17"/>
  <c r="E2522" i="17"/>
  <c r="B2522" i="17"/>
  <c r="D2522" i="17"/>
  <c r="F2522" i="17"/>
  <c r="F1199" i="17"/>
  <c r="C1199" i="17"/>
  <c r="D1199" i="17"/>
  <c r="B1199" i="17"/>
  <c r="E1199" i="17"/>
  <c r="D2524" i="17"/>
  <c r="B2524" i="17"/>
  <c r="C2524" i="17"/>
  <c r="F2524" i="17"/>
  <c r="E2524" i="17"/>
  <c r="B1184" i="17"/>
  <c r="C1184" i="17"/>
  <c r="F1184" i="17"/>
  <c r="D1184" i="17"/>
  <c r="E1184" i="17"/>
  <c r="B1205" i="17"/>
  <c r="E1205" i="17"/>
  <c r="F1205" i="17"/>
  <c r="C1205" i="17"/>
  <c r="D1205" i="17"/>
  <c r="B1197" i="17"/>
  <c r="E1197" i="17"/>
  <c r="F1197" i="17"/>
  <c r="C1197" i="17"/>
  <c r="D1197" i="17"/>
  <c r="A1216" i="17"/>
  <c r="Q1197" i="17"/>
  <c r="C1198" i="17"/>
  <c r="D1198" i="17"/>
  <c r="E1198" i="17"/>
  <c r="B1198" i="17"/>
  <c r="F1198" i="17"/>
  <c r="F2531" i="17"/>
  <c r="E2531" i="17"/>
  <c r="D2531" i="17"/>
  <c r="B2531" i="17"/>
  <c r="C2531" i="17"/>
  <c r="A2549" i="17"/>
  <c r="Q2042" i="17"/>
  <c r="A2048" i="17"/>
  <c r="Q2515" i="17"/>
  <c r="A2533" i="17"/>
  <c r="A2544" i="17"/>
  <c r="Q2526" i="17"/>
  <c r="A2543" i="17"/>
  <c r="Q2525" i="17"/>
  <c r="A2435" i="17"/>
  <c r="Q2429" i="17"/>
  <c r="A1212" i="17"/>
  <c r="Q1193" i="17"/>
  <c r="Q1182" i="17"/>
  <c r="A1201" i="17"/>
  <c r="Q2517" i="17"/>
  <c r="A2535" i="17"/>
  <c r="A2044" i="17"/>
  <c r="Q2038" i="17"/>
  <c r="Q2234" i="17"/>
  <c r="Q2591" i="17"/>
  <c r="A2594" i="17"/>
  <c r="A2049" i="17"/>
  <c r="Q2043" i="17"/>
  <c r="A1200" i="17"/>
  <c r="Q1181" i="17"/>
  <c r="A1191" i="17"/>
  <c r="Q1172" i="17"/>
  <c r="A2534" i="17"/>
  <c r="Q2516" i="17"/>
  <c r="Q2514" i="17"/>
  <c r="A2532" i="17"/>
  <c r="Q1204" i="17"/>
  <c r="A2542" i="17"/>
  <c r="Q2524" i="17"/>
  <c r="A1211" i="17"/>
  <c r="Q1192" i="17"/>
  <c r="A1214" i="17"/>
  <c r="Q1195" i="17"/>
  <c r="A2556" i="17"/>
  <c r="Q2538" i="17"/>
  <c r="Q2522" i="17"/>
  <c r="A2540" i="17"/>
  <c r="A2440" i="17"/>
  <c r="Q2434" i="17"/>
  <c r="Q1183" i="17"/>
  <c r="A1202" i="17"/>
  <c r="A2040" i="17"/>
  <c r="Q2034" i="17"/>
  <c r="A2541" i="17"/>
  <c r="Q2523" i="17"/>
  <c r="A1190" i="17"/>
  <c r="Q1171" i="17"/>
  <c r="Q1205" i="17"/>
  <c r="A2555" i="17"/>
  <c r="Q2537" i="17"/>
  <c r="Q1169" i="17"/>
  <c r="A1188" i="17"/>
  <c r="A1203" i="17"/>
  <c r="Q1184" i="17"/>
  <c r="A2593" i="17"/>
  <c r="Q2590" i="17"/>
  <c r="Q2518" i="17"/>
  <c r="A2536" i="17"/>
  <c r="A2233" i="17"/>
  <c r="Q2227" i="17"/>
  <c r="A2445" i="17"/>
  <c r="Q2439" i="17"/>
  <c r="Q1199" i="17"/>
  <c r="A1189" i="17"/>
  <c r="Q1170" i="17"/>
  <c r="Q2045" i="17"/>
  <c r="A2051" i="17"/>
  <c r="B2595" i="17" l="1"/>
  <c r="A1213" i="17"/>
  <c r="C1213" i="17" s="1"/>
  <c r="A2053" i="17"/>
  <c r="B2053" i="17" s="1"/>
  <c r="E1194" i="17"/>
  <c r="Q1194" i="17"/>
  <c r="E2539" i="17"/>
  <c r="F2595" i="17"/>
  <c r="Q2595" i="17"/>
  <c r="B2047" i="17"/>
  <c r="E2595" i="17"/>
  <c r="E2047" i="17"/>
  <c r="D2595" i="17"/>
  <c r="A2598" i="17"/>
  <c r="B2598" i="17" s="1"/>
  <c r="F1194" i="17"/>
  <c r="D1194" i="17"/>
  <c r="D2546" i="17"/>
  <c r="D2047" i="17"/>
  <c r="F2047" i="17"/>
  <c r="Q2546" i="17"/>
  <c r="E2546" i="17"/>
  <c r="Q2047" i="17"/>
  <c r="A2564" i="17"/>
  <c r="B2564" i="17" s="1"/>
  <c r="B2546" i="17"/>
  <c r="F2546" i="17"/>
  <c r="Q2530" i="17"/>
  <c r="D2539" i="17"/>
  <c r="B2539" i="17"/>
  <c r="E2557" i="17"/>
  <c r="Q1213" i="17"/>
  <c r="Q2557" i="17"/>
  <c r="F2530" i="17"/>
  <c r="E2530" i="17"/>
  <c r="A2548" i="17"/>
  <c r="D2548" i="17" s="1"/>
  <c r="B2530" i="17"/>
  <c r="C2530" i="17"/>
  <c r="C2557" i="17"/>
  <c r="A2575" i="17"/>
  <c r="F2575" i="17" s="1"/>
  <c r="C2539" i="17"/>
  <c r="B2557" i="17"/>
  <c r="D2557" i="17"/>
  <c r="F2539" i="17"/>
  <c r="Q2539" i="17"/>
  <c r="E2536" i="17"/>
  <c r="C2536" i="17"/>
  <c r="D2536" i="17"/>
  <c r="F2536" i="17"/>
  <c r="B2536" i="17"/>
  <c r="B2545" i="17"/>
  <c r="C2545" i="17"/>
  <c r="E2545" i="17"/>
  <c r="F2545" i="17"/>
  <c r="D2545" i="17"/>
  <c r="B2424" i="17"/>
  <c r="E2424" i="17"/>
  <c r="C2424" i="17"/>
  <c r="D2424" i="17"/>
  <c r="F2424" i="17"/>
  <c r="D1202" i="17"/>
  <c r="E1202" i="17"/>
  <c r="C1202" i="17"/>
  <c r="B1202" i="17"/>
  <c r="F1202" i="17"/>
  <c r="Q2545" i="17"/>
  <c r="E1188" i="17"/>
  <c r="F1188" i="17"/>
  <c r="B1188" i="17"/>
  <c r="C1188" i="17"/>
  <c r="D1188" i="17"/>
  <c r="C1190" i="17"/>
  <c r="D1190" i="17"/>
  <c r="E1190" i="17"/>
  <c r="B1190" i="17"/>
  <c r="F1190" i="17"/>
  <c r="A2563" i="17"/>
  <c r="A2581" i="17" s="1"/>
  <c r="B1203" i="17"/>
  <c r="C1203" i="17"/>
  <c r="D1203" i="17"/>
  <c r="E1203" i="17"/>
  <c r="F1203" i="17"/>
  <c r="E1212" i="17"/>
  <c r="F1212" i="17"/>
  <c r="B1212" i="17"/>
  <c r="C1212" i="17"/>
  <c r="D1212" i="17"/>
  <c r="E2544" i="17"/>
  <c r="D2544" i="17"/>
  <c r="F2544" i="17"/>
  <c r="B2544" i="17"/>
  <c r="C2544" i="17"/>
  <c r="E2445" i="17"/>
  <c r="B2445" i="17"/>
  <c r="F2445" i="17"/>
  <c r="D2445" i="17"/>
  <c r="C2445" i="17"/>
  <c r="D2533" i="17"/>
  <c r="E2533" i="17"/>
  <c r="F2533" i="17"/>
  <c r="B2533" i="17"/>
  <c r="C2533" i="17"/>
  <c r="B1216" i="17"/>
  <c r="C1216" i="17"/>
  <c r="F1216" i="17"/>
  <c r="D1216" i="17"/>
  <c r="E1216" i="17"/>
  <c r="Q1216" i="17"/>
  <c r="Q1196" i="17"/>
  <c r="E1196" i="17"/>
  <c r="F1196" i="17"/>
  <c r="B1196" i="17"/>
  <c r="C1196" i="17"/>
  <c r="D1196" i="17"/>
  <c r="A1215" i="17"/>
  <c r="C2534" i="17"/>
  <c r="D2534" i="17"/>
  <c r="E2534" i="17"/>
  <c r="B2534" i="17"/>
  <c r="F2534" i="17"/>
  <c r="F2231" i="17"/>
  <c r="D2231" i="17"/>
  <c r="E2231" i="17"/>
  <c r="B2231" i="17"/>
  <c r="C2231" i="17"/>
  <c r="Q2231" i="17"/>
  <c r="B2051" i="17"/>
  <c r="C2051" i="17"/>
  <c r="F2051" i="17"/>
  <c r="D2051" i="17"/>
  <c r="E2051" i="17"/>
  <c r="D2233" i="17"/>
  <c r="E2233" i="17"/>
  <c r="F2233" i="17"/>
  <c r="C2233" i="17"/>
  <c r="B2233" i="17"/>
  <c r="A2430" i="17"/>
  <c r="A2436" i="17" s="1"/>
  <c r="B2440" i="17"/>
  <c r="C2440" i="17"/>
  <c r="F2440" i="17"/>
  <c r="E2440" i="17"/>
  <c r="D2440" i="17"/>
  <c r="B1211" i="17"/>
  <c r="C1211" i="17"/>
  <c r="D1211" i="17"/>
  <c r="E1211" i="17"/>
  <c r="F1211" i="17"/>
  <c r="B2048" i="17"/>
  <c r="E2048" i="17"/>
  <c r="C2048" i="17"/>
  <c r="D2048" i="17"/>
  <c r="F2048" i="17"/>
  <c r="Q2424" i="17"/>
  <c r="E2555" i="17"/>
  <c r="B2555" i="17"/>
  <c r="C2555" i="17"/>
  <c r="D2555" i="17"/>
  <c r="F2555" i="17"/>
  <c r="F2540" i="17"/>
  <c r="D2540" i="17"/>
  <c r="E2540" i="17"/>
  <c r="B2540" i="17"/>
  <c r="C2540" i="17"/>
  <c r="F1191" i="17"/>
  <c r="C1191" i="17"/>
  <c r="D1191" i="17"/>
  <c r="E1191" i="17"/>
  <c r="B1191" i="17"/>
  <c r="D1201" i="17"/>
  <c r="E1201" i="17"/>
  <c r="F1201" i="17"/>
  <c r="B1201" i="17"/>
  <c r="C1201" i="17"/>
  <c r="B2543" i="17"/>
  <c r="C2543" i="17"/>
  <c r="D2543" i="17"/>
  <c r="E2543" i="17"/>
  <c r="F2543" i="17"/>
  <c r="F2529" i="17"/>
  <c r="D2529" i="17"/>
  <c r="B2529" i="17"/>
  <c r="C2529" i="17"/>
  <c r="E2529" i="17"/>
  <c r="Q2529" i="17"/>
  <c r="A2547" i="17"/>
  <c r="B1189" i="17"/>
  <c r="E1189" i="17"/>
  <c r="F1189" i="17"/>
  <c r="D1189" i="17"/>
  <c r="C1189" i="17"/>
  <c r="C2593" i="17"/>
  <c r="D2593" i="17"/>
  <c r="E2593" i="17"/>
  <c r="F2593" i="17"/>
  <c r="B2593" i="17"/>
  <c r="B2040" i="17"/>
  <c r="C2040" i="17"/>
  <c r="E2040" i="17"/>
  <c r="F2040" i="17"/>
  <c r="D2040" i="17"/>
  <c r="C2556" i="17"/>
  <c r="B2556" i="17"/>
  <c r="D2556" i="17"/>
  <c r="E2556" i="17"/>
  <c r="F2556" i="17"/>
  <c r="C2532" i="17"/>
  <c r="D2532" i="17"/>
  <c r="E2532" i="17"/>
  <c r="F2532" i="17"/>
  <c r="B2532" i="17"/>
  <c r="B1200" i="17"/>
  <c r="C1200" i="17"/>
  <c r="F1200" i="17"/>
  <c r="D1200" i="17"/>
  <c r="E1200" i="17"/>
  <c r="C1214" i="17"/>
  <c r="D1214" i="17"/>
  <c r="E1214" i="17"/>
  <c r="B1214" i="17"/>
  <c r="F1214" i="17"/>
  <c r="E2044" i="17"/>
  <c r="F2044" i="17"/>
  <c r="C2044" i="17"/>
  <c r="D2044" i="17"/>
  <c r="B2044" i="17"/>
  <c r="D2229" i="17"/>
  <c r="F2229" i="17"/>
  <c r="B2229" i="17"/>
  <c r="E2229" i="17"/>
  <c r="C2229" i="17"/>
  <c r="Q2229" i="17"/>
  <c r="A2425" i="17"/>
  <c r="A2426" i="17" s="1"/>
  <c r="B2535" i="17"/>
  <c r="D2535" i="17"/>
  <c r="F2535" i="17"/>
  <c r="C2535" i="17"/>
  <c r="E2535" i="17"/>
  <c r="B2435" i="17"/>
  <c r="C2435" i="17"/>
  <c r="F2435" i="17"/>
  <c r="D2435" i="17"/>
  <c r="E2435" i="17"/>
  <c r="D2049" i="17"/>
  <c r="E2049" i="17"/>
  <c r="F2049" i="17"/>
  <c r="B2049" i="17"/>
  <c r="C2049" i="17"/>
  <c r="D2541" i="17"/>
  <c r="B2541" i="17"/>
  <c r="E2541" i="17"/>
  <c r="F2541" i="17"/>
  <c r="C2541" i="17"/>
  <c r="E2542" i="17"/>
  <c r="D2542" i="17"/>
  <c r="F2542" i="17"/>
  <c r="B2542" i="17"/>
  <c r="C2542" i="17"/>
  <c r="F2594" i="17"/>
  <c r="D2594" i="17"/>
  <c r="B2594" i="17"/>
  <c r="C2594" i="17"/>
  <c r="E2594" i="17"/>
  <c r="F2549" i="17"/>
  <c r="B2549" i="17"/>
  <c r="C2549" i="17"/>
  <c r="E2549" i="17"/>
  <c r="D2549" i="17"/>
  <c r="A2567" i="17"/>
  <c r="Q2549" i="17"/>
  <c r="A2554" i="17"/>
  <c r="Q2536" i="17"/>
  <c r="Q1190" i="17"/>
  <c r="A1209" i="17"/>
  <c r="Q2556" i="17"/>
  <c r="A2574" i="17"/>
  <c r="Q1211" i="17"/>
  <c r="Q2044" i="17"/>
  <c r="A2050" i="17"/>
  <c r="Q2593" i="17"/>
  <c r="A2596" i="17"/>
  <c r="Q1214" i="17"/>
  <c r="Q2594" i="17"/>
  <c r="A2597" i="17"/>
  <c r="Q1201" i="17"/>
  <c r="A2551" i="17"/>
  <c r="Q2533" i="17"/>
  <c r="Q2048" i="17"/>
  <c r="A2054" i="17"/>
  <c r="A1207" i="17"/>
  <c r="Q1188" i="17"/>
  <c r="Q1202" i="17"/>
  <c r="Q2540" i="17"/>
  <c r="A2558" i="17"/>
  <c r="A2441" i="17"/>
  <c r="Q2435" i="17"/>
  <c r="A2451" i="17"/>
  <c r="Q2445" i="17"/>
  <c r="Q2051" i="17"/>
  <c r="A2057" i="17"/>
  <c r="Q1189" i="17"/>
  <c r="A1208" i="17"/>
  <c r="A2561" i="17"/>
  <c r="Q2543" i="17"/>
  <c r="Q2233" i="17"/>
  <c r="A2553" i="17"/>
  <c r="Q2535" i="17"/>
  <c r="A2446" i="17"/>
  <c r="Q2440" i="17"/>
  <c r="A2552" i="17"/>
  <c r="Q2534" i="17"/>
  <c r="Q1191" i="17"/>
  <c r="A1210" i="17"/>
  <c r="Q1212" i="17"/>
  <c r="Q1203" i="17"/>
  <c r="A2573" i="17"/>
  <c r="Q2555" i="17"/>
  <c r="A2559" i="17"/>
  <c r="Q2541" i="17"/>
  <c r="Q2532" i="17"/>
  <c r="A2550" i="17"/>
  <c r="Q2040" i="17"/>
  <c r="A2046" i="17"/>
  <c r="A2560" i="17"/>
  <c r="Q2542" i="17"/>
  <c r="Q1200" i="17"/>
  <c r="A2055" i="17"/>
  <c r="Q2049" i="17"/>
  <c r="A2562" i="17"/>
  <c r="Q2544" i="17"/>
  <c r="D1213" i="17" l="1"/>
  <c r="C2053" i="17"/>
  <c r="A2582" i="17"/>
  <c r="D2582" i="17" s="1"/>
  <c r="D2053" i="17"/>
  <c r="Q2053" i="17"/>
  <c r="E2053" i="17"/>
  <c r="F2053" i="17"/>
  <c r="F1213" i="17"/>
  <c r="B1213" i="17"/>
  <c r="E1213" i="17"/>
  <c r="C2564" i="17"/>
  <c r="F2564" i="17"/>
  <c r="Q2598" i="17"/>
  <c r="F2598" i="17"/>
  <c r="E2598" i="17"/>
  <c r="D2598" i="17"/>
  <c r="C2598" i="17"/>
  <c r="F2548" i="17"/>
  <c r="D2564" i="17"/>
  <c r="Q2564" i="17"/>
  <c r="E2564" i="17"/>
  <c r="A2431" i="17"/>
  <c r="D2431" i="17" s="1"/>
  <c r="C2548" i="17"/>
  <c r="Q2548" i="17"/>
  <c r="E2548" i="17"/>
  <c r="A2566" i="17"/>
  <c r="Q2566" i="17" s="1"/>
  <c r="B2548" i="17"/>
  <c r="D2575" i="17"/>
  <c r="E2575" i="17"/>
  <c r="C2575" i="17"/>
  <c r="Q2575" i="17"/>
  <c r="Q2430" i="17"/>
  <c r="Q2425" i="17"/>
  <c r="B2575" i="17"/>
  <c r="C2046" i="17"/>
  <c r="D2046" i="17"/>
  <c r="E2046" i="17"/>
  <c r="B2046" i="17"/>
  <c r="F2046" i="17"/>
  <c r="E2451" i="17"/>
  <c r="D2451" i="17"/>
  <c r="F2451" i="17"/>
  <c r="B2451" i="17"/>
  <c r="C2451" i="17"/>
  <c r="E2581" i="17"/>
  <c r="C2581" i="17"/>
  <c r="F2581" i="17"/>
  <c r="D2581" i="17"/>
  <c r="B2581" i="17"/>
  <c r="D2563" i="17"/>
  <c r="E2563" i="17"/>
  <c r="F2563" i="17"/>
  <c r="B2563" i="17"/>
  <c r="C2563" i="17"/>
  <c r="D1210" i="17"/>
  <c r="E1210" i="17"/>
  <c r="F1210" i="17"/>
  <c r="B1210" i="17"/>
  <c r="C1210" i="17"/>
  <c r="D2057" i="17"/>
  <c r="E2057" i="17"/>
  <c r="B2057" i="17"/>
  <c r="F2057" i="17"/>
  <c r="C2057" i="17"/>
  <c r="E2597" i="17"/>
  <c r="C2597" i="17"/>
  <c r="B2597" i="17"/>
  <c r="D2597" i="17"/>
  <c r="F2597" i="17"/>
  <c r="B2574" i="17"/>
  <c r="C2574" i="17"/>
  <c r="D2574" i="17"/>
  <c r="F2574" i="17"/>
  <c r="E2574" i="17"/>
  <c r="D2425" i="17"/>
  <c r="E2425" i="17"/>
  <c r="B2425" i="17"/>
  <c r="C2425" i="17"/>
  <c r="F2425" i="17"/>
  <c r="D1209" i="17"/>
  <c r="E1209" i="17"/>
  <c r="F1209" i="17"/>
  <c r="B1209" i="17"/>
  <c r="C1209" i="17"/>
  <c r="D2552" i="17"/>
  <c r="E2552" i="17"/>
  <c r="F2552" i="17"/>
  <c r="B2552" i="17"/>
  <c r="C2552" i="17"/>
  <c r="D2567" i="17"/>
  <c r="B2567" i="17"/>
  <c r="C2567" i="17"/>
  <c r="E2567" i="17"/>
  <c r="F2567" i="17"/>
  <c r="Q2567" i="17"/>
  <c r="F1215" i="17"/>
  <c r="C1215" i="17"/>
  <c r="D1215" i="17"/>
  <c r="B1215" i="17"/>
  <c r="E1215" i="17"/>
  <c r="Q1215" i="17"/>
  <c r="B2560" i="17"/>
  <c r="C2560" i="17"/>
  <c r="E2560" i="17"/>
  <c r="F2560" i="17"/>
  <c r="D2560" i="17"/>
  <c r="E2550" i="17"/>
  <c r="F2550" i="17"/>
  <c r="C2550" i="17"/>
  <c r="B2550" i="17"/>
  <c r="D2550" i="17"/>
  <c r="D2559" i="17"/>
  <c r="F2559" i="17"/>
  <c r="C2559" i="17"/>
  <c r="B2559" i="17"/>
  <c r="E2559" i="17"/>
  <c r="B2553" i="17"/>
  <c r="F2553" i="17"/>
  <c r="D2553" i="17"/>
  <c r="E2553" i="17"/>
  <c r="C2553" i="17"/>
  <c r="F1207" i="17"/>
  <c r="C1207" i="17"/>
  <c r="D1207" i="17"/>
  <c r="E1207" i="17"/>
  <c r="B1207" i="17"/>
  <c r="C2054" i="17"/>
  <c r="D2054" i="17"/>
  <c r="F2054" i="17"/>
  <c r="B2054" i="17"/>
  <c r="E2054" i="17"/>
  <c r="D2596" i="17"/>
  <c r="E2596" i="17"/>
  <c r="F2596" i="17"/>
  <c r="B2596" i="17"/>
  <c r="C2596" i="17"/>
  <c r="E2562" i="17"/>
  <c r="B2562" i="17"/>
  <c r="C2562" i="17"/>
  <c r="D2562" i="17"/>
  <c r="F2562" i="17"/>
  <c r="C2446" i="17"/>
  <c r="E2446" i="17"/>
  <c r="F2446" i="17"/>
  <c r="B2446" i="17"/>
  <c r="D2446" i="17"/>
  <c r="B2561" i="17"/>
  <c r="E2561" i="17"/>
  <c r="F2561" i="17"/>
  <c r="C2561" i="17"/>
  <c r="D2561" i="17"/>
  <c r="D2441" i="17"/>
  <c r="E2441" i="17"/>
  <c r="C2441" i="17"/>
  <c r="F2441" i="17"/>
  <c r="B2441" i="17"/>
  <c r="E2050" i="17"/>
  <c r="F2050" i="17"/>
  <c r="B2050" i="17"/>
  <c r="C2050" i="17"/>
  <c r="D2050" i="17"/>
  <c r="E2554" i="17"/>
  <c r="C2554" i="17"/>
  <c r="D2554" i="17"/>
  <c r="F2554" i="17"/>
  <c r="B2554" i="17"/>
  <c r="E2573" i="17"/>
  <c r="B2573" i="17"/>
  <c r="C2573" i="17"/>
  <c r="D2573" i="17"/>
  <c r="F2573" i="17"/>
  <c r="E2436" i="17"/>
  <c r="F2436" i="17"/>
  <c r="D2436" i="17"/>
  <c r="B2436" i="17"/>
  <c r="C2436" i="17"/>
  <c r="F2547" i="17"/>
  <c r="B2547" i="17"/>
  <c r="C2547" i="17"/>
  <c r="D2547" i="17"/>
  <c r="E2547" i="17"/>
  <c r="Q2547" i="17"/>
  <c r="A2565" i="17"/>
  <c r="C2430" i="17"/>
  <c r="D2430" i="17"/>
  <c r="B2430" i="17"/>
  <c r="E2430" i="17"/>
  <c r="F2430" i="17"/>
  <c r="F2055" i="17"/>
  <c r="B2055" i="17"/>
  <c r="D2055" i="17"/>
  <c r="C2055" i="17"/>
  <c r="E2055" i="17"/>
  <c r="Q2563" i="17"/>
  <c r="B2582" i="17"/>
  <c r="C2582" i="17"/>
  <c r="E2582" i="17"/>
  <c r="B2426" i="17"/>
  <c r="C2426" i="17"/>
  <c r="D2426" i="17"/>
  <c r="F2426" i="17"/>
  <c r="E2426" i="17"/>
  <c r="B1208" i="17"/>
  <c r="C1208" i="17"/>
  <c r="F1208" i="17"/>
  <c r="E1208" i="17"/>
  <c r="D1208" i="17"/>
  <c r="B2558" i="17"/>
  <c r="C2558" i="17"/>
  <c r="D2558" i="17"/>
  <c r="E2558" i="17"/>
  <c r="F2558" i="17"/>
  <c r="D2551" i="17"/>
  <c r="B2551" i="17"/>
  <c r="C2551" i="17"/>
  <c r="E2551" i="17"/>
  <c r="F2551" i="17"/>
  <c r="A2578" i="17"/>
  <c r="Q2560" i="17"/>
  <c r="Q2055" i="17"/>
  <c r="Q2558" i="17"/>
  <c r="A2576" i="17"/>
  <c r="Q1207" i="17"/>
  <c r="Q2426" i="17"/>
  <c r="A2432" i="17"/>
  <c r="A2569" i="17"/>
  <c r="Q2551" i="17"/>
  <c r="Q2562" i="17"/>
  <c r="A2580" i="17"/>
  <c r="Q2581" i="17"/>
  <c r="Q2552" i="17"/>
  <c r="A2570" i="17"/>
  <c r="Q2573" i="17"/>
  <c r="Q1210" i="17"/>
  <c r="A2571" i="17"/>
  <c r="Q2553" i="17"/>
  <c r="A2579" i="17"/>
  <c r="Q2561" i="17"/>
  <c r="Q2057" i="17"/>
  <c r="Q1209" i="17"/>
  <c r="Q2550" i="17"/>
  <c r="A2568" i="17"/>
  <c r="A2599" i="17"/>
  <c r="Q2596" i="17"/>
  <c r="Q1208" i="17"/>
  <c r="A2052" i="17"/>
  <c r="Q2046" i="17"/>
  <c r="A2600" i="17"/>
  <c r="Q2597" i="17"/>
  <c r="Q2574" i="17"/>
  <c r="A2442" i="17"/>
  <c r="Q2436" i="17"/>
  <c r="Q2559" i="17"/>
  <c r="A2577" i="17"/>
  <c r="Q2446" i="17"/>
  <c r="A2452" i="17"/>
  <c r="A2457" i="17"/>
  <c r="Q2451" i="17"/>
  <c r="A2572" i="17"/>
  <c r="Q2554" i="17"/>
  <c r="Q2582" i="17"/>
  <c r="Q2441" i="17"/>
  <c r="A2447" i="17"/>
  <c r="Q2054" i="17"/>
  <c r="Q2050" i="17"/>
  <c r="A2056" i="17"/>
  <c r="F2582" i="17" l="1"/>
  <c r="A2437" i="17"/>
  <c r="C2437" i="17" s="1"/>
  <c r="C2431" i="17"/>
  <c r="F2431" i="17"/>
  <c r="B2431" i="17"/>
  <c r="Q2431" i="17"/>
  <c r="D2566" i="17"/>
  <c r="E2431" i="17"/>
  <c r="E2566" i="17"/>
  <c r="F2566" i="17"/>
  <c r="C2566" i="17"/>
  <c r="B2566" i="17"/>
  <c r="E2570" i="17"/>
  <c r="F2570" i="17"/>
  <c r="C2570" i="17"/>
  <c r="B2570" i="17"/>
  <c r="D2570" i="17"/>
  <c r="D2572" i="17"/>
  <c r="E2572" i="17"/>
  <c r="F2572" i="17"/>
  <c r="B2572" i="17"/>
  <c r="C2572" i="17"/>
  <c r="C2442" i="17"/>
  <c r="D2442" i="17"/>
  <c r="B2442" i="17"/>
  <c r="E2442" i="17"/>
  <c r="F2442" i="17"/>
  <c r="E2599" i="17"/>
  <c r="F2599" i="17"/>
  <c r="C2599" i="17"/>
  <c r="B2599" i="17"/>
  <c r="D2599" i="17"/>
  <c r="B2571" i="17"/>
  <c r="C2571" i="17"/>
  <c r="E2571" i="17"/>
  <c r="F2571" i="17"/>
  <c r="D2571" i="17"/>
  <c r="B2056" i="17"/>
  <c r="C2056" i="17"/>
  <c r="D2056" i="17"/>
  <c r="E2056" i="17"/>
  <c r="F2056" i="17"/>
  <c r="F2568" i="17"/>
  <c r="D2568" i="17"/>
  <c r="B2568" i="17"/>
  <c r="C2568" i="17"/>
  <c r="E2568" i="17"/>
  <c r="B2569" i="17"/>
  <c r="C2569" i="17"/>
  <c r="D2569" i="17"/>
  <c r="E2569" i="17"/>
  <c r="F2569" i="17"/>
  <c r="B2600" i="17"/>
  <c r="D2600" i="17"/>
  <c r="F2600" i="17"/>
  <c r="E2600" i="17"/>
  <c r="C2600" i="17"/>
  <c r="C2577" i="17"/>
  <c r="D2577" i="17"/>
  <c r="E2577" i="17"/>
  <c r="F2577" i="17"/>
  <c r="B2577" i="17"/>
  <c r="C2457" i="17"/>
  <c r="B2457" i="17"/>
  <c r="D2457" i="17"/>
  <c r="E2457" i="17"/>
  <c r="F2457" i="17"/>
  <c r="B2432" i="17"/>
  <c r="E2432" i="17"/>
  <c r="C2432" i="17"/>
  <c r="D2432" i="17"/>
  <c r="F2432" i="17"/>
  <c r="F2437" i="17"/>
  <c r="D2437" i="17"/>
  <c r="C2447" i="17"/>
  <c r="B2447" i="17"/>
  <c r="D2447" i="17"/>
  <c r="F2447" i="17"/>
  <c r="E2447" i="17"/>
  <c r="F2578" i="17"/>
  <c r="D2578" i="17"/>
  <c r="B2578" i="17"/>
  <c r="C2578" i="17"/>
  <c r="E2578" i="17"/>
  <c r="E2052" i="17"/>
  <c r="F2052" i="17"/>
  <c r="B2052" i="17"/>
  <c r="C2052" i="17"/>
  <c r="D2052" i="17"/>
  <c r="B2579" i="17"/>
  <c r="C2579" i="17"/>
  <c r="D2579" i="17"/>
  <c r="E2579" i="17"/>
  <c r="F2579" i="17"/>
  <c r="D2580" i="17"/>
  <c r="E2580" i="17"/>
  <c r="F2580" i="17"/>
  <c r="B2580" i="17"/>
  <c r="C2580" i="17"/>
  <c r="B2576" i="17"/>
  <c r="F2576" i="17"/>
  <c r="C2576" i="17"/>
  <c r="D2576" i="17"/>
  <c r="E2576" i="17"/>
  <c r="F2565" i="17"/>
  <c r="C2565" i="17"/>
  <c r="D2565" i="17"/>
  <c r="E2565" i="17"/>
  <c r="B2565" i="17"/>
  <c r="Q2565" i="17"/>
  <c r="B2452" i="17"/>
  <c r="F2452" i="17"/>
  <c r="C2452" i="17"/>
  <c r="E2452" i="17"/>
  <c r="D2452" i="17"/>
  <c r="Q2442" i="17"/>
  <c r="A2448" i="17"/>
  <c r="Q2572" i="17"/>
  <c r="Q2432" i="17"/>
  <c r="A2438" i="17"/>
  <c r="A2453" i="17"/>
  <c r="Q2447" i="17"/>
  <c r="Q2599" i="17"/>
  <c r="A2458" i="17"/>
  <c r="Q2452" i="17"/>
  <c r="Q2580" i="17"/>
  <c r="Q2569" i="17"/>
  <c r="A2443" i="17"/>
  <c r="Q2437" i="17"/>
  <c r="Q2578" i="17"/>
  <c r="Q2052" i="17"/>
  <c r="Q2577" i="17"/>
  <c r="Q2568" i="17"/>
  <c r="A2463" i="17"/>
  <c r="Q2457" i="17"/>
  <c r="Q2600" i="17"/>
  <c r="Q2056" i="17"/>
  <c r="Q2579" i="17"/>
  <c r="Q2571" i="17"/>
  <c r="Q2570" i="17"/>
  <c r="Q2576" i="17"/>
  <c r="E2437" i="17" l="1"/>
  <c r="B2437" i="17"/>
  <c r="C2463" i="17"/>
  <c r="D2463" i="17"/>
  <c r="E2463" i="17"/>
  <c r="F2463" i="17"/>
  <c r="B2463" i="17"/>
  <c r="F2448" i="17"/>
  <c r="B2448" i="17"/>
  <c r="E2448" i="17"/>
  <c r="D2448" i="17"/>
  <c r="C2448" i="17"/>
  <c r="E2453" i="17"/>
  <c r="D2453" i="17"/>
  <c r="C2453" i="17"/>
  <c r="B2453" i="17"/>
  <c r="F2453" i="17"/>
  <c r="B2443" i="17"/>
  <c r="E2443" i="17"/>
  <c r="C2443" i="17"/>
  <c r="D2443" i="17"/>
  <c r="F2443" i="17"/>
  <c r="C2438" i="17"/>
  <c r="D2438" i="17"/>
  <c r="E2438" i="17"/>
  <c r="F2438" i="17"/>
  <c r="B2438" i="17"/>
  <c r="D2458" i="17"/>
  <c r="E2458" i="17"/>
  <c r="F2458" i="17"/>
  <c r="B2458" i="17"/>
  <c r="C2458" i="17"/>
  <c r="Q2463" i="17"/>
  <c r="A2469" i="17"/>
  <c r="Q2453" i="17"/>
  <c r="A2459" i="17"/>
  <c r="A2449" i="17"/>
  <c r="Q2443" i="17"/>
  <c r="A2464" i="17"/>
  <c r="Q2458" i="17"/>
  <c r="Q2448" i="17"/>
  <c r="A2454" i="17"/>
  <c r="Q2438" i="17"/>
  <c r="A2444" i="17"/>
  <c r="F2454" i="17" l="1"/>
  <c r="B2454" i="17"/>
  <c r="C2454" i="17"/>
  <c r="D2454" i="17"/>
  <c r="E2454" i="17"/>
  <c r="F2464" i="17"/>
  <c r="D2464" i="17"/>
  <c r="B2464" i="17"/>
  <c r="E2464" i="17"/>
  <c r="C2464" i="17"/>
  <c r="E2469" i="17"/>
  <c r="D2469" i="17"/>
  <c r="F2469" i="17"/>
  <c r="C2469" i="17"/>
  <c r="B2469" i="17"/>
  <c r="F2449" i="17"/>
  <c r="C2449" i="17"/>
  <c r="D2449" i="17"/>
  <c r="E2449" i="17"/>
  <c r="B2449" i="17"/>
  <c r="B2444" i="17"/>
  <c r="D2444" i="17"/>
  <c r="E2444" i="17"/>
  <c r="C2444" i="17"/>
  <c r="F2444" i="17"/>
  <c r="B2459" i="17"/>
  <c r="C2459" i="17"/>
  <c r="D2459" i="17"/>
  <c r="F2459" i="17"/>
  <c r="E2459" i="17"/>
  <c r="A2450" i="17"/>
  <c r="Q2444" i="17"/>
  <c r="Q2469" i="17"/>
  <c r="Q2464" i="17"/>
  <c r="A2470" i="17"/>
  <c r="A2465" i="17"/>
  <c r="Q2459" i="17"/>
  <c r="Q2449" i="17"/>
  <c r="A2455" i="17"/>
  <c r="A2460" i="17"/>
  <c r="Q2454" i="17"/>
  <c r="C2455" i="17" l="1"/>
  <c r="D2455" i="17"/>
  <c r="F2455" i="17"/>
  <c r="E2455" i="17"/>
  <c r="B2455" i="17"/>
  <c r="D2450" i="17"/>
  <c r="F2450" i="17"/>
  <c r="E2450" i="17"/>
  <c r="C2450" i="17"/>
  <c r="B2450" i="17"/>
  <c r="D2465" i="17"/>
  <c r="F2465" i="17"/>
  <c r="C2465" i="17"/>
  <c r="B2465" i="17"/>
  <c r="E2465" i="17"/>
  <c r="B2470" i="17"/>
  <c r="E2470" i="17"/>
  <c r="F2470" i="17"/>
  <c r="C2470" i="17"/>
  <c r="D2470" i="17"/>
  <c r="B2460" i="17"/>
  <c r="F2460" i="17"/>
  <c r="D2460" i="17"/>
  <c r="C2460" i="17"/>
  <c r="E2460" i="17"/>
  <c r="A2466" i="17"/>
  <c r="Q2460" i="17"/>
  <c r="Q2465" i="17"/>
  <c r="A2471" i="17"/>
  <c r="Q2455" i="17"/>
  <c r="A2461" i="17"/>
  <c r="Q2470" i="17"/>
  <c r="A2456" i="17"/>
  <c r="Q2450" i="17"/>
  <c r="F2456" i="17" l="1"/>
  <c r="C2456" i="17"/>
  <c r="D2456" i="17"/>
  <c r="E2456" i="17"/>
  <c r="B2456" i="17"/>
  <c r="E2461" i="17"/>
  <c r="C2461" i="17"/>
  <c r="B2461" i="17"/>
  <c r="D2461" i="17"/>
  <c r="F2461" i="17"/>
  <c r="D2466" i="17"/>
  <c r="C2466" i="17"/>
  <c r="B2466" i="17"/>
  <c r="E2466" i="17"/>
  <c r="F2466" i="17"/>
  <c r="C2471" i="17"/>
  <c r="F2471" i="17"/>
  <c r="E2471" i="17"/>
  <c r="B2471" i="17"/>
  <c r="D2471" i="17"/>
  <c r="Q2471" i="17"/>
  <c r="A2462" i="17"/>
  <c r="Q2456" i="17"/>
  <c r="Q2461" i="17"/>
  <c r="A2467" i="17"/>
  <c r="A2472" i="17"/>
  <c r="Q2466" i="17"/>
  <c r="E2462" i="17" l="1"/>
  <c r="F2462" i="17"/>
  <c r="C2462" i="17"/>
  <c r="B2462" i="17"/>
  <c r="D2462" i="17"/>
  <c r="F2472" i="17"/>
  <c r="D2472" i="17"/>
  <c r="B2472" i="17"/>
  <c r="C2472" i="17"/>
  <c r="E2472" i="17"/>
  <c r="D2467" i="17"/>
  <c r="E2467" i="17"/>
  <c r="B2467" i="17"/>
  <c r="C2467" i="17"/>
  <c r="F2467" i="17"/>
  <c r="A2468" i="17"/>
  <c r="Q2462" i="17"/>
  <c r="Q2472" i="17"/>
  <c r="A2473" i="17"/>
  <c r="Q2467" i="17"/>
  <c r="E2473" i="17" l="1"/>
  <c r="F2473" i="17"/>
  <c r="B2473" i="17"/>
  <c r="C2473" i="17"/>
  <c r="D2473" i="17"/>
  <c r="B2468" i="17"/>
  <c r="C2468" i="17"/>
  <c r="D2468" i="17"/>
  <c r="E2468" i="17"/>
  <c r="F2468" i="17"/>
  <c r="Q2473" i="17"/>
  <c r="A2474" i="17"/>
  <c r="Q2468" i="17"/>
  <c r="D2474" i="17" l="1"/>
  <c r="F2474" i="17"/>
  <c r="E2474" i="17"/>
  <c r="C2474" i="17"/>
  <c r="B2474" i="17"/>
  <c r="Q2474" i="17"/>
</calcChain>
</file>

<file path=xl/comments1.xml><?xml version="1.0" encoding="utf-8"?>
<comments xmlns="http://schemas.openxmlformats.org/spreadsheetml/2006/main">
  <authors>
    <author>Sebastian Frechen</author>
  </authors>
  <commentList>
    <comment ref="J87" authorId="0">
      <text>
        <r>
          <rPr>
            <b/>
            <sz val="9"/>
            <color indexed="81"/>
            <rFont val="Tahoma"/>
            <family val="2"/>
          </rPr>
          <t>Sebastian Frechen:</t>
        </r>
        <r>
          <rPr>
            <sz val="9"/>
            <color indexed="81"/>
            <rFont val="Tahoma"/>
            <family val="2"/>
          </rPr>
          <t xml:space="preserve">
Specific dosing table in table 1
</t>
        </r>
      </text>
    </comment>
    <comment ref="AA185" authorId="0">
      <text>
        <r>
          <rPr>
            <b/>
            <sz val="9"/>
            <color indexed="81"/>
            <rFont val="Tahoma"/>
            <family val="2"/>
          </rPr>
          <t>Sebastian Frechen:</t>
        </r>
        <r>
          <rPr>
            <sz val="9"/>
            <color indexed="81"/>
            <rFont val="Tahoma"/>
            <family val="2"/>
          </rPr>
          <t xml:space="preserve">
Specific table is given</t>
        </r>
      </text>
    </comment>
    <comment ref="AA194" authorId="0">
      <text>
        <r>
          <rPr>
            <b/>
            <sz val="9"/>
            <color indexed="81"/>
            <rFont val="Tahoma"/>
            <family val="2"/>
          </rPr>
          <t>Sebastian Frechen:</t>
        </r>
        <r>
          <rPr>
            <sz val="9"/>
            <color indexed="81"/>
            <rFont val="Tahoma"/>
            <family val="2"/>
          </rPr>
          <t xml:space="preserve">
Specific table is given</t>
        </r>
      </text>
    </comment>
    <comment ref="AA203" authorId="0">
      <text>
        <r>
          <rPr>
            <b/>
            <sz val="9"/>
            <color indexed="81"/>
            <rFont val="Tahoma"/>
            <family val="2"/>
          </rPr>
          <t>Sebastian Frechen:</t>
        </r>
        <r>
          <rPr>
            <sz val="9"/>
            <color indexed="81"/>
            <rFont val="Tahoma"/>
            <family val="2"/>
          </rPr>
          <t xml:space="preserve">
Specific table is given.</t>
        </r>
      </text>
    </comment>
  </commentList>
</comments>
</file>

<file path=xl/sharedStrings.xml><?xml version="1.0" encoding="utf-8"?>
<sst xmlns="http://schemas.openxmlformats.org/spreadsheetml/2006/main" count="37385" uniqueCount="1513">
  <si>
    <t>PK properties</t>
  </si>
  <si>
    <t>DOSING REGIMEN</t>
  </si>
  <si>
    <t>Details on administration/formulation</t>
  </si>
  <si>
    <t>Food</t>
  </si>
  <si>
    <t>Total</t>
  </si>
  <si>
    <t>Gender</t>
  </si>
  <si>
    <t xml:space="preserve">Age </t>
  </si>
  <si>
    <t>Weight [kg]</t>
  </si>
  <si>
    <t xml:space="preserve">Height </t>
  </si>
  <si>
    <t xml:space="preserve">BMI </t>
  </si>
  <si>
    <t xml:space="preserve">BSA </t>
  </si>
  <si>
    <t>ID</t>
  </si>
  <si>
    <t>Study</t>
  </si>
  <si>
    <t>Reference</t>
  </si>
  <si>
    <t>Grouping</t>
  </si>
  <si>
    <t>Compound/Analyte</t>
  </si>
  <si>
    <t>Compartment</t>
  </si>
  <si>
    <t>Data type</t>
  </si>
  <si>
    <t>Source</t>
  </si>
  <si>
    <t>Comment PK</t>
  </si>
  <si>
    <t>Dose</t>
  </si>
  <si>
    <t>Dose free API</t>
  </si>
  <si>
    <t>Dose Unit</t>
  </si>
  <si>
    <t>Route</t>
  </si>
  <si>
    <t>Times of Administration</t>
  </si>
  <si>
    <t>Times Unit</t>
  </si>
  <si>
    <t>Comment Regimen</t>
  </si>
  <si>
    <t>Administered form</t>
  </si>
  <si>
    <t>Formulation type</t>
  </si>
  <si>
    <t>Infusion duration [min]</t>
  </si>
  <si>
    <t>Water volume ingested for drug intake [mL]</t>
  </si>
  <si>
    <t>Comment on administration/formulation</t>
  </si>
  <si>
    <t>Fasted/Fed state</t>
  </si>
  <si>
    <t>Duration of fasting before drug administration [h]</t>
  </si>
  <si>
    <t>Duration of fasting after drug administration [h]</t>
  </si>
  <si>
    <t>Comment on food intake</t>
  </si>
  <si>
    <t>Species</t>
  </si>
  <si>
    <t>N</t>
  </si>
  <si>
    <t>N female</t>
  </si>
  <si>
    <t>Avg</t>
  </si>
  <si>
    <t>AvgUnit</t>
  </si>
  <si>
    <t>AvgType</t>
  </si>
  <si>
    <t>Var</t>
  </si>
  <si>
    <t>VarUnit</t>
  </si>
  <si>
    <t>VarType</t>
  </si>
  <si>
    <t>Min</t>
  </si>
  <si>
    <t>Max</t>
  </si>
  <si>
    <t>Ethnicity or country</t>
  </si>
  <si>
    <t>Comment Population</t>
  </si>
  <si>
    <t>NewID</t>
  </si>
  <si>
    <t>Notghi</t>
  </si>
  <si>
    <t>Acocella 1972a</t>
  </si>
  <si>
    <t>https://doi.org/10.1007/BF00561755</t>
  </si>
  <si>
    <t>day 1</t>
  </si>
  <si>
    <t>Rifampicin</t>
  </si>
  <si>
    <t>Serum</t>
  </si>
  <si>
    <t>Aggregated</t>
  </si>
  <si>
    <t>Fig. 1</t>
  </si>
  <si>
    <t>mg</t>
  </si>
  <si>
    <t>PO</t>
  </si>
  <si>
    <t>h</t>
  </si>
  <si>
    <t>OD 1 week</t>
  </si>
  <si>
    <t>Fasted</t>
  </si>
  <si>
    <t>Human</t>
  </si>
  <si>
    <t>T-tubes inserted in the bile after cholecystectomy</t>
  </si>
  <si>
    <t>day 7</t>
  </si>
  <si>
    <t>Fig. 2</t>
  </si>
  <si>
    <t>(S-0,T-24,R-7)</t>
  </si>
  <si>
    <t>Bile</t>
  </si>
  <si>
    <t>Fig. 3 / Tab. 1</t>
  </si>
  <si>
    <t>collected via T-tube</t>
  </si>
  <si>
    <t>Urine</t>
  </si>
  <si>
    <t>Fig. 4 / Tab. 1</t>
  </si>
  <si>
    <t>Acocella 1977</t>
  </si>
  <si>
    <t>https://www.ncbi.nlm.nih.gov/pubmed/578447</t>
  </si>
  <si>
    <t>Subject 1 (150 mg)</t>
  </si>
  <si>
    <t>Individual</t>
  </si>
  <si>
    <t>Table 1</t>
  </si>
  <si>
    <t>IV</t>
  </si>
  <si>
    <t>SD</t>
  </si>
  <si>
    <t>years</t>
  </si>
  <si>
    <t>kg</t>
  </si>
  <si>
    <t>Subject 2 (150 mg)</t>
  </si>
  <si>
    <t>Subject 3 (300 mg)</t>
  </si>
  <si>
    <t>Subject 4 (300 mg)</t>
  </si>
  <si>
    <t>Subject 5 (450 mg)</t>
  </si>
  <si>
    <t>Subject 6 (450 mg)</t>
  </si>
  <si>
    <t>Subject 7 (600 mg)</t>
  </si>
  <si>
    <t>Subject 8 (600 mg)</t>
  </si>
  <si>
    <t>Subject 9 (600 mg)</t>
  </si>
  <si>
    <t>Subject 10 (600 mg MD)</t>
  </si>
  <si>
    <t>Table 4</t>
  </si>
  <si>
    <t>MD</t>
  </si>
  <si>
    <t>Subject 11 (600 mg MD)</t>
  </si>
  <si>
    <t>Subject 12 (600 mg MD)</t>
  </si>
  <si>
    <t>Subject 13 (600 mg MD)</t>
  </si>
  <si>
    <t>Subject 14 (600 mg MD)</t>
  </si>
  <si>
    <t>mean 600 mg MD</t>
  </si>
  <si>
    <t>Table 6</t>
  </si>
  <si>
    <t>Allonen 1981</t>
  </si>
  <si>
    <t>https://www.ncbi.nlm.nih.gov/pubmed/6117393</t>
  </si>
  <si>
    <t>oral</t>
  </si>
  <si>
    <t>Midazolam</t>
  </si>
  <si>
    <t>Plasma</t>
  </si>
  <si>
    <t>Fig. 3A</t>
  </si>
  <si>
    <t>Unknown</t>
  </si>
  <si>
    <t>iv</t>
  </si>
  <si>
    <t>mg/kg</t>
  </si>
  <si>
    <t>Barbhaiya 1993</t>
  </si>
  <si>
    <t>https://www.ncbi.nlm.nih.gov/pubmed/7911763</t>
  </si>
  <si>
    <t>Day 1 Normal</t>
  </si>
  <si>
    <t>Buspirone</t>
  </si>
  <si>
    <t>BID</t>
  </si>
  <si>
    <t>buspirone hydrochloride</t>
  </si>
  <si>
    <t>tablet (BMS)</t>
  </si>
  <si>
    <t>fasted from 22.00 h until 4 h after drug administration</t>
  </si>
  <si>
    <t>arith. mean</t>
  </si>
  <si>
    <t>arith. SD</t>
  </si>
  <si>
    <t>arith.mean</t>
  </si>
  <si>
    <t>cm</t>
  </si>
  <si>
    <t>m2</t>
  </si>
  <si>
    <t>U.S.</t>
  </si>
  <si>
    <t>Day 1 Renal mild</t>
  </si>
  <si>
    <t>m3</t>
  </si>
  <si>
    <t>Day 1 Renal moderate</t>
  </si>
  <si>
    <t>m4</t>
  </si>
  <si>
    <t>Day 1 Renal severe</t>
  </si>
  <si>
    <t>m5</t>
  </si>
  <si>
    <t>Day 1 Hepatic compensated</t>
  </si>
  <si>
    <t>m6</t>
  </si>
  <si>
    <t>Day 1 Hepatic decompensated</t>
  </si>
  <si>
    <t>m7</t>
  </si>
  <si>
    <t>Day 5 Normal</t>
  </si>
  <si>
    <t>0-(S-36,T-12,R-6)</t>
  </si>
  <si>
    <t>Day 5 Renal mild</t>
  </si>
  <si>
    <t>Day 5 Renal moderate</t>
  </si>
  <si>
    <t>Day 5 Renal severe</t>
  </si>
  <si>
    <t>Day 5 Hepatic compensated</t>
  </si>
  <si>
    <t>Day 5 Hepatic decompensated</t>
  </si>
  <si>
    <t>Day 10 Normal</t>
  </si>
  <si>
    <t>Day 10 Renal mild</t>
  </si>
  <si>
    <t>0-(S-36,T-12,R-16)</t>
  </si>
  <si>
    <t>Day 10 Renal moderate</t>
  </si>
  <si>
    <t>Day 10 Renal severe</t>
  </si>
  <si>
    <t>Day 10 Hepatic compensated</t>
  </si>
  <si>
    <t>Day 10 Hepatic decompensated</t>
  </si>
  <si>
    <t>Barone 1993</t>
  </si>
  <si>
    <t>https://www.ncbi.nlm.nih.gov/pubmed/8388198</t>
  </si>
  <si>
    <t>day 1 fasted</t>
  </si>
  <si>
    <t>Itraconazole</t>
  </si>
  <si>
    <t>Capsule</t>
  </si>
  <si>
    <t>2x 100-mg itraconazole capsules with coated sugar spheres</t>
  </si>
  <si>
    <t>Hydroxy-Itraconazole</t>
  </si>
  <si>
    <t>day 1 fed</t>
  </si>
  <si>
    <t>Breakfast</t>
  </si>
  <si>
    <t>orange juice, egg, bacon, toast with butter and jam, whole milk, and fresh banana</t>
  </si>
  <si>
    <t>day 15 fed</t>
  </si>
  <si>
    <t>Fig. 3</t>
  </si>
  <si>
    <t>0-(S-72,T-12,R-29)-432</t>
  </si>
  <si>
    <t>Barone 1998a</t>
  </si>
  <si>
    <t>https://www.ncbi.nlm.nih.gov/pubmed/9545149</t>
  </si>
  <si>
    <t>Sporanox Oral Solution</t>
  </si>
  <si>
    <t>hydroxypropyl-beta-cyclodextrin solution (HP-beta-CD) of 20 ml</t>
  </si>
  <si>
    <t>orange juice, egg, bacon, toast with butter and jam, whole milk, and banana</t>
  </si>
  <si>
    <t>lbs</t>
  </si>
  <si>
    <t>day 15 fasted</t>
  </si>
  <si>
    <t>(S-0,T-24,R-15)</t>
  </si>
  <si>
    <t>OD</t>
  </si>
  <si>
    <t>Fig. 4</t>
  </si>
  <si>
    <t>Barone 1998b</t>
  </si>
  <si>
    <t>https://www.ncbi.nlm.nih.gov/pubmed/9661037</t>
  </si>
  <si>
    <t>Solution</t>
  </si>
  <si>
    <t>Sporanox oral solution</t>
  </si>
  <si>
    <t>containing hydroxypropyl-beta-cyclodextrin</t>
  </si>
  <si>
    <t>fried egg and bacon, toast with butter and jam, whole milk, orange juice, and banana</t>
  </si>
  <si>
    <t>lb</t>
  </si>
  <si>
    <t>F05 Capsule</t>
  </si>
  <si>
    <t>F05 capsule</t>
  </si>
  <si>
    <t>2x 100-mx capsules</t>
  </si>
  <si>
    <t>F12 Capsule</t>
  </si>
  <si>
    <t>F12 capsule</t>
  </si>
  <si>
    <t>Belfayol 1996</t>
  </si>
  <si>
    <t>https://www.ncbi.nlm.nih.gov/pubmed/11866842</t>
  </si>
  <si>
    <t>mean</t>
  </si>
  <si>
    <t>Amikacin</t>
  </si>
  <si>
    <t>Tab.1</t>
  </si>
  <si>
    <t>0-24-48-72-96</t>
  </si>
  <si>
    <t>Infusion, OD for minimum of 5 days, with pk samples on day 2 and 5, where only final dose on day 5 was used</t>
  </si>
  <si>
    <t>amikacin in 0.9% sodium chloride</t>
  </si>
  <si>
    <t>France</t>
  </si>
  <si>
    <t>Patients who were receiving an amikacin for infection or presumed infection</t>
  </si>
  <si>
    <t>Blume 1989</t>
  </si>
  <si>
    <t>https://doi.org/10.1002/pauz.19900190516</t>
  </si>
  <si>
    <t>450 mg REFERENZ</t>
  </si>
  <si>
    <t>Figure p. 15</t>
  </si>
  <si>
    <t>Rifa 450 Dragees</t>
  </si>
  <si>
    <t>Median</t>
  </si>
  <si>
    <t>600 mg REFERENZ</t>
  </si>
  <si>
    <t>Figure p. 23</t>
  </si>
  <si>
    <t>Rifa 600 Dragees</t>
  </si>
  <si>
    <t>Boekh 1988</t>
  </si>
  <si>
    <t>https://www.ncbi.nlm.nih.gov/pubmed/3279907</t>
  </si>
  <si>
    <t>mean 0.5g</t>
  </si>
  <si>
    <t>vancomycin</t>
  </si>
  <si>
    <t>Fig.1</t>
  </si>
  <si>
    <t>g</t>
  </si>
  <si>
    <t>Infusion</t>
  </si>
  <si>
    <t>amikacin in 5% glucose solution</t>
  </si>
  <si>
    <t>Germany</t>
  </si>
  <si>
    <t xml:space="preserve">Healthy </t>
  </si>
  <si>
    <t>mean 1g</t>
  </si>
  <si>
    <t>Bovill 1984</t>
  </si>
  <si>
    <t>https://www.ncbi.nlm.nih.gov/pubmed/6238552</t>
  </si>
  <si>
    <t>Sufentanil</t>
  </si>
  <si>
    <t>bolus infusion</t>
  </si>
  <si>
    <t>Sufentanil citrate solution (50µg/mL)</t>
  </si>
  <si>
    <t>Netherlands</t>
  </si>
  <si>
    <t>Adult patients undergoing elective surgery expected to last 2-4h</t>
  </si>
  <si>
    <t>Chung 2006</t>
  </si>
  <si>
    <t>https://www.ncbi.nlm.nih.gov/pubmed/16580903</t>
  </si>
  <si>
    <t>Control (Perpetrator Placebo)</t>
  </si>
  <si>
    <t>Syrup</t>
  </si>
  <si>
    <t>2 mg/Ml cherry-flavored midazolam syrup</t>
  </si>
  <si>
    <t>4</t>
  </si>
  <si>
    <t>kg/m²</t>
  </si>
  <si>
    <t>with Perpetrator (Rifampicin)</t>
  </si>
  <si>
    <t>8</t>
  </si>
  <si>
    <t>with Perpetrator (Ketoconazole)</t>
  </si>
  <si>
    <t>Simvastatin</t>
  </si>
  <si>
    <t>Zocor tablet</t>
  </si>
  <si>
    <t>Zocor; Merck &amp; Co</t>
  </si>
  <si>
    <t>Davis 1987</t>
  </si>
  <si>
    <t>https://www.ncbi.nlm.nih.gov/pubmed/2950809</t>
  </si>
  <si>
    <t>Arterial Plasma</t>
  </si>
  <si>
    <t>Tab.3</t>
  </si>
  <si>
    <t>The patients who were surface-cooled are not included because of the difficulty in separating the hemodynamic effects of hypothermia from those sufentanil</t>
  </si>
  <si>
    <t>µg/kg</t>
  </si>
  <si>
    <t>months</t>
  </si>
  <si>
    <t>USA</t>
  </si>
  <si>
    <t>scheduled for elective repair of a complex congenital heart defect were studied</t>
  </si>
  <si>
    <t>Dockens 2006</t>
  </si>
  <si>
    <t>https://www.ncbi.nlm.nih.gov/pubmed/17050795</t>
  </si>
  <si>
    <t>Day 5</t>
  </si>
  <si>
    <t>(S-0,T-12,R-10)</t>
  </si>
  <si>
    <t>BID escalation</t>
  </si>
  <si>
    <t>BuSpar® Dividose® 15-mg tablets</t>
  </si>
  <si>
    <t>Day 10</t>
  </si>
  <si>
    <t>(S-0,T-12,R-20)</t>
  </si>
  <si>
    <t>Day 15</t>
  </si>
  <si>
    <t>(S-0,T-12,R-30)</t>
  </si>
  <si>
    <t>Day 20</t>
  </si>
  <si>
    <t>(S-0,T-12,R-40)</t>
  </si>
  <si>
    <t>Day 25</t>
  </si>
  <si>
    <t>(S-0,T-12,R-50)</t>
  </si>
  <si>
    <t>Edwards 2006</t>
  </si>
  <si>
    <t>https://www.ncbi.nlm.nih.gov/pubmed/16638734</t>
  </si>
  <si>
    <t>Autistic children</t>
  </si>
  <si>
    <t>SD, mean dose 3.6 (SD: 1.3; range 2.5 - 5)</t>
  </si>
  <si>
    <t>solution 2.5 mg/mL</t>
  </si>
  <si>
    <t>1 to 3</t>
  </si>
  <si>
    <t>age-appropriate breakfast</t>
  </si>
  <si>
    <t>Mixed</t>
  </si>
  <si>
    <t>Subject 1</t>
  </si>
  <si>
    <t>Tab. 2</t>
  </si>
  <si>
    <t>individual</t>
  </si>
  <si>
    <t>White</t>
  </si>
  <si>
    <t>Subject 2</t>
  </si>
  <si>
    <t>Subject 3</t>
  </si>
  <si>
    <t>Subject 5</t>
  </si>
  <si>
    <t>Black/AA</t>
  </si>
  <si>
    <t>Subject 7</t>
  </si>
  <si>
    <t>Subject 8</t>
  </si>
  <si>
    <t>Subject 9</t>
  </si>
  <si>
    <t>Subject 10</t>
  </si>
  <si>
    <t>Subject 12</t>
  </si>
  <si>
    <t>Asian</t>
  </si>
  <si>
    <t>Subject 13</t>
  </si>
  <si>
    <t>Subject 14</t>
  </si>
  <si>
    <t>Subject 15</t>
  </si>
  <si>
    <t>Subject 16</t>
  </si>
  <si>
    <t>Subject 17</t>
  </si>
  <si>
    <t>Subject 18</t>
  </si>
  <si>
    <t>Subject 19</t>
  </si>
  <si>
    <t>Subject 20</t>
  </si>
  <si>
    <t>Subject 21</t>
  </si>
  <si>
    <t>Subject 23</t>
  </si>
  <si>
    <t>Subject 24</t>
  </si>
  <si>
    <t>Gammans 1985</t>
  </si>
  <si>
    <t>https://www.ncbi.nlm.nih.gov/pubmed/2860931</t>
  </si>
  <si>
    <t>10 mg</t>
  </si>
  <si>
    <t>solution</t>
  </si>
  <si>
    <t>20 mg</t>
  </si>
  <si>
    <t>40 mg</t>
  </si>
  <si>
    <t>Gammans 1986</t>
  </si>
  <si>
    <t>Intravenous 1mg (n=8)</t>
  </si>
  <si>
    <t>Fig. 1 A</t>
  </si>
  <si>
    <t>14C-buspirone hydrochloride</t>
  </si>
  <si>
    <t>Oral 20 mg (n=8)</t>
  </si>
  <si>
    <t>Fig. 1 B</t>
  </si>
  <si>
    <t>Fig 3</t>
  </si>
  <si>
    <t>Fig 4</t>
  </si>
  <si>
    <t>Guay 1991</t>
  </si>
  <si>
    <t>https://www.ncbi.nlm.nih.gov/pubmed/1531117</t>
  </si>
  <si>
    <t>ID1</t>
  </si>
  <si>
    <t xml:space="preserve">Sufentanil citrate solution </t>
  </si>
  <si>
    <t>Canada</t>
  </si>
  <si>
    <t>healthy children selected for elective anaesthesia and surgery</t>
  </si>
  <si>
    <t>ID2</t>
  </si>
  <si>
    <t>ID3</t>
  </si>
  <si>
    <t>ID4</t>
  </si>
  <si>
    <t>ID5</t>
  </si>
  <si>
    <t>ID6</t>
  </si>
  <si>
    <t>ID7</t>
  </si>
  <si>
    <t>ID8</t>
  </si>
  <si>
    <t>ID9</t>
  </si>
  <si>
    <t>ID10</t>
  </si>
  <si>
    <t>ID11</t>
  </si>
  <si>
    <t>ID12</t>
  </si>
  <si>
    <t>ID13</t>
  </si>
  <si>
    <t>ID14</t>
  </si>
  <si>
    <t>ID15</t>
  </si>
  <si>
    <t>ID16</t>
  </si>
  <si>
    <t>ID17</t>
  </si>
  <si>
    <t>ID18</t>
  </si>
  <si>
    <t>ID19</t>
  </si>
  <si>
    <t>ID20</t>
  </si>
  <si>
    <t>Hanley 2013</t>
  </si>
  <si>
    <t>https://www.ncbi.nlm.nih.gov/pubmed/22943633</t>
  </si>
  <si>
    <t>with Perpetrator (GFJ)</t>
  </si>
  <si>
    <t>Hardin 1988</t>
  </si>
  <si>
    <t>https://www.ncbi.nlm.nih.gov/pubmed/2848442</t>
  </si>
  <si>
    <t>A 100 mg OD (day 1)</t>
  </si>
  <si>
    <t>Tab. 1, 2, 3</t>
  </si>
  <si>
    <t>50-mg capsule</t>
  </si>
  <si>
    <t>Standardized meal</t>
  </si>
  <si>
    <t>A 100 mg OD (day 7-15)</t>
  </si>
  <si>
    <t>0-(S-72,T-24,R-13)</t>
  </si>
  <si>
    <t>A 100 mg OD (day 15)</t>
  </si>
  <si>
    <t>B 200 mg OD (day 1)</t>
  </si>
  <si>
    <t>B 200 mg OD (day 7-15)</t>
  </si>
  <si>
    <t>B 200 mg OD (day 15)</t>
  </si>
  <si>
    <t>C 200 mg BID (day 1)</t>
  </si>
  <si>
    <t>0-12</t>
  </si>
  <si>
    <t>C 200 mg BID (day 7-15)</t>
  </si>
  <si>
    <t>0-12-(S-84,T-12,R-24)</t>
  </si>
  <si>
    <t>C 200 mg BID (day 15)</t>
  </si>
  <si>
    <t>Healy 1987</t>
  </si>
  <si>
    <t>https://www.ncbi.nlm.nih.gov/pubmed/3579256</t>
  </si>
  <si>
    <t>0-12-24</t>
  </si>
  <si>
    <t>Vancocin (vancomycin hydrochloride) in sterile water</t>
  </si>
  <si>
    <t>Fig.2</t>
  </si>
  <si>
    <t>Heizmann 1983</t>
  </si>
  <si>
    <t>http://www.ncbi.nlm.nih.gov/pubmed/6138080</t>
  </si>
  <si>
    <t>iv 0.15 mg/kg - Indiv. CH.B.</t>
  </si>
  <si>
    <t>Tab. 1</t>
  </si>
  <si>
    <t>iv 0.15 mg/kg - Indiv. K.M.</t>
  </si>
  <si>
    <t>iv 0.15 mg/kg - Indiv. E.Sch.</t>
  </si>
  <si>
    <t>iv 0.15 mg/kg - Indiv. R.H.</t>
  </si>
  <si>
    <t>iv 0.15 mg/kg - Indiv. A.St.</t>
  </si>
  <si>
    <t>iv 0.15 mg/kg - Indiv. O.A.</t>
  </si>
  <si>
    <t>po 10 mg - Indiv. K.M.</t>
  </si>
  <si>
    <t>Tablet</t>
  </si>
  <si>
    <t>po 10 mg - Indiv. O.A.</t>
  </si>
  <si>
    <t>po 10 mg - Indiv. R.H.</t>
  </si>
  <si>
    <t>po 20 mg - Indiv. A.St.</t>
  </si>
  <si>
    <t>2x 10 mg tablet</t>
  </si>
  <si>
    <t>po 20 mg - Indiv. CH.B.</t>
  </si>
  <si>
    <t>po 20 mg - Indiv. E.Sch.</t>
  </si>
  <si>
    <t>po 20 mg - Indiv. K.M.</t>
  </si>
  <si>
    <t>po 20 mg - Indiv. O.A.</t>
  </si>
  <si>
    <t>po 20 mg - Indiv. R.H.</t>
  </si>
  <si>
    <t>po 40 mg - Indiv. A.St.</t>
  </si>
  <si>
    <t>po 40 mg - Indiv. CH.B.</t>
  </si>
  <si>
    <t>po 40 mg - Indiv. E.Sch.</t>
  </si>
  <si>
    <t>Hyland 2009</t>
  </si>
  <si>
    <t>https://www.ncbi.nlm.nih.gov/pubmed/19371318</t>
  </si>
  <si>
    <t>3-mg oral dose</t>
  </si>
  <si>
    <t>Midazolam-N-Glucuronide</t>
  </si>
  <si>
    <t>Tab. 3</t>
  </si>
  <si>
    <t>1-mg i.v. dose</t>
  </si>
  <si>
    <t>3-mg oral dose (as fraction of dose)</t>
  </si>
  <si>
    <t>1-mg i.v. dose (as fraction of dose)</t>
  </si>
  <si>
    <t>Jajoo 1989</t>
  </si>
  <si>
    <t>https://www.ncbi.nlm.nih.gov/pubmed/2575499</t>
  </si>
  <si>
    <t>Healthy Volunteers</t>
  </si>
  <si>
    <t>Kharasch 2004</t>
  </si>
  <si>
    <t>https://www.ncbi.nlm.nih.gov/pubmed/15536460</t>
  </si>
  <si>
    <t>iv Control (Perpetrator Placebo)</t>
  </si>
  <si>
    <t>2</t>
  </si>
  <si>
    <t>arith. Mean</t>
  </si>
  <si>
    <t>iv with Perpetrator (Rifampicin)</t>
  </si>
  <si>
    <t>assuming a night duration of 8 hours</t>
  </si>
  <si>
    <t>iv with Perpetrator (GFJ)</t>
  </si>
  <si>
    <t>Alfentanil</t>
  </si>
  <si>
    <t>po #1 Control (Perpetrator Placebo)</t>
  </si>
  <si>
    <t>in 50 mL apple juice</t>
  </si>
  <si>
    <t>po #1 with Perpetrator (Rifampicin)</t>
  </si>
  <si>
    <t>po #1 (60 µg/kg) Control (Perpetrator Placebo)</t>
  </si>
  <si>
    <t>aqueous solution</t>
  </si>
  <si>
    <t>po #1 (60 µg/kg) with Perpetrator (Rifampicin)</t>
  </si>
  <si>
    <t>po #2 Control (Perpetrator Placebo)</t>
  </si>
  <si>
    <t>po #2 with Perpetrator (GFJ)</t>
  </si>
  <si>
    <t>po #2 (23 µg/kg) Control (Perpetrator Placebo)</t>
  </si>
  <si>
    <t>po #2 (23 µg/kg) with Perpetrator (GFJ)</t>
  </si>
  <si>
    <t>Kivistö 1997</t>
  </si>
  <si>
    <t>https://www.ncbi.nlm.nih.gov/pubmed/9333111</t>
  </si>
  <si>
    <t>Buspar tablets</t>
  </si>
  <si>
    <t>wrt. administration of buspirone</t>
  </si>
  <si>
    <t>Finland</t>
  </si>
  <si>
    <t>with Perpetrator (Erythromycin)</t>
  </si>
  <si>
    <t>Erythromycin</t>
  </si>
  <si>
    <t>0-6-14-24-30-38-48-54-62-72-78</t>
  </si>
  <si>
    <t>erythromycin base</t>
  </si>
  <si>
    <t>Ery-Max 250 mg enterocapsule</t>
  </si>
  <si>
    <t>with Perpetrator (Itraconazole)</t>
  </si>
  <si>
    <t>0-6-24-30-48-54-72-78</t>
  </si>
  <si>
    <t>Sporanox</t>
  </si>
  <si>
    <t>Kranke 2012</t>
  </si>
  <si>
    <t>https://www.ncbi.nlm.nih.gov/pubmed/22546895</t>
  </si>
  <si>
    <t>Patients @ 0.3 mg</t>
  </si>
  <si>
    <t>s</t>
  </si>
  <si>
    <t>kg/m2</t>
  </si>
  <si>
    <t>96% Cauc.</t>
  </si>
  <si>
    <t>Patients at moderate to high PONV risk undergoing surgery dose</t>
  </si>
  <si>
    <t>Patients @ 1 mg</t>
  </si>
  <si>
    <t>Patients @ 2 mg</t>
  </si>
  <si>
    <t>98% Cauc.</t>
  </si>
  <si>
    <t>Patients @ 3 mg</t>
  </si>
  <si>
    <t>86% Cauc.</t>
  </si>
  <si>
    <t>Lamberg 1998a</t>
  </si>
  <si>
    <t>https://www.ncbi.nlm.nih.gov/pubmed/9923581</t>
  </si>
  <si>
    <t>with Perpetrator (Fluvoxamine)</t>
  </si>
  <si>
    <t>Lamberg 1998b</t>
  </si>
  <si>
    <t>https://www.ncbi.nlm.nih.gov/pubmed/9578186</t>
  </si>
  <si>
    <t>Lamberg 1998c</t>
  </si>
  <si>
    <t>https://www.ncbi.nlm.nih.gov/pubmed/9663178</t>
  </si>
  <si>
    <t>with Perpetrator (Verapamil)</t>
  </si>
  <si>
    <t>Verapamil</t>
  </si>
  <si>
    <t>0-5-12-24-29</t>
  </si>
  <si>
    <t>Verapamil tablet Orion</t>
  </si>
  <si>
    <t>with Perpetrator (Diltiazem)</t>
  </si>
  <si>
    <t>Diltiazem</t>
  </si>
  <si>
    <t>Diltiazem tablet Orion</t>
  </si>
  <si>
    <t>Lamberg 1999</t>
  </si>
  <si>
    <t>https://www.ncbi.nlm.nih.gov/pubmed/10227067</t>
  </si>
  <si>
    <t>Lilja 1998</t>
  </si>
  <si>
    <t>https://www.ncbi.nlm.nih.gov/pubmed/9871430</t>
  </si>
  <si>
    <t>Markert 2013</t>
  </si>
  <si>
    <t>https://www.ncbi.nlm.nih.gov/pubmed/23748747</t>
  </si>
  <si>
    <t>with Perpetrator (Clarithromycin)</t>
  </si>
  <si>
    <t>Nitti 1977</t>
  </si>
  <si>
    <t>https://www.ncbi.nlm.nih.gov/pubmed/832508</t>
  </si>
  <si>
    <t>300 mg</t>
  </si>
  <si>
    <t>Table I</t>
  </si>
  <si>
    <t>Patients with normal liver function</t>
  </si>
  <si>
    <t>450 mg</t>
  </si>
  <si>
    <t>600 mg</t>
  </si>
  <si>
    <t>Table III</t>
  </si>
  <si>
    <t>Reitman 2011</t>
  </si>
  <si>
    <t>https://www.ncbi.nlm.nih.gov/pubmed/21191377</t>
  </si>
  <si>
    <t>Week 0 after Perpetrator (Rifampicin)</t>
  </si>
  <si>
    <t>Fig. 1a</t>
  </si>
  <si>
    <t>2 mg/ml</t>
  </si>
  <si>
    <t>Week 1 after Perpetrator (Rifampicin)</t>
  </si>
  <si>
    <t>Week 2 after Perpetrator (Rifampicin)</t>
  </si>
  <si>
    <t>Week 4 after Perpetrator (Rifampicin)</t>
  </si>
  <si>
    <t>Digoxin</t>
  </si>
  <si>
    <t>Fig. 1c</t>
  </si>
  <si>
    <t>Tablet (2x 0.25 mg)</t>
  </si>
  <si>
    <t>2x 0.25 mg DSM</t>
  </si>
  <si>
    <t>3</t>
  </si>
  <si>
    <t>sanofi-aventis U.S. LLC. 2013</t>
  </si>
  <si>
    <t>https://www.accessdata.fda.gov/drugsatfda_docs/label/2013/050420s075,050627s014lbl.pdf</t>
  </si>
  <si>
    <t>Table (p. 2)</t>
  </si>
  <si>
    <t>RIFADIN® IV (rifampin for injection USP)</t>
  </si>
  <si>
    <t>Schaad 1980</t>
  </si>
  <si>
    <t>https://www.ncbi.nlm.nih.gov/pubmed/7350291</t>
  </si>
  <si>
    <t>ID 1</t>
  </si>
  <si>
    <t>Tab.2</t>
  </si>
  <si>
    <t>Patient wotj proved or suspected bacterial infection.</t>
  </si>
  <si>
    <t>ID 2</t>
  </si>
  <si>
    <t>ID 3</t>
  </si>
  <si>
    <t>Tab.4</t>
  </si>
  <si>
    <t>ID 4</t>
  </si>
  <si>
    <t>Tab.5</t>
  </si>
  <si>
    <t>ID 5</t>
  </si>
  <si>
    <t>Tab.6</t>
  </si>
  <si>
    <t>ID 6</t>
  </si>
  <si>
    <t>Tab.7</t>
  </si>
  <si>
    <t>Smith 1981</t>
  </si>
  <si>
    <t>https://www.ncbi.nlm.nih.gov/pubmed/6116606</t>
  </si>
  <si>
    <t>iv 5 mg</t>
  </si>
  <si>
    <t>Bolus adminsitration assumed</t>
  </si>
  <si>
    <t>Light fluid breakfast 2h before administration</t>
  </si>
  <si>
    <t>oral solution 10 mg</t>
  </si>
  <si>
    <t>oral tablet 10 mg</t>
  </si>
  <si>
    <t>Fig. 5</t>
  </si>
  <si>
    <t>Stone 2004</t>
  </si>
  <si>
    <t>https://www.ncbi.nlm.nih.gov/pubmed/4037525</t>
  </si>
  <si>
    <t>Day 14 of Rifampin alone</t>
  </si>
  <si>
    <t>Fig. 6</t>
  </si>
  <si>
    <t>(S0-T24-R14)</t>
  </si>
  <si>
    <t>Fed</t>
  </si>
  <si>
    <t>fixed moderate-fat meal prior to dosing</t>
  </si>
  <si>
    <t>4 white, 3 black and 19 Hispanic subjects</t>
  </si>
  <si>
    <t>Thummel 1996</t>
  </si>
  <si>
    <t>https://www.ncbi.nlm.nih.gov/pubmed/8646820</t>
  </si>
  <si>
    <t>iv - female</t>
  </si>
  <si>
    <t>Tab. II</t>
  </si>
  <si>
    <t>iv - male</t>
  </si>
  <si>
    <t>po - female</t>
  </si>
  <si>
    <t>diluted in 50 ml apple juice</t>
  </si>
  <si>
    <t>po - male</t>
  </si>
  <si>
    <t>Treluyer 2002</t>
  </si>
  <si>
    <t>https://www.ncbi.nlm.nih.gov/pubmed/11959572</t>
  </si>
  <si>
    <t>days</t>
  </si>
  <si>
    <t>geomean</t>
  </si>
  <si>
    <t>%</t>
  </si>
  <si>
    <t>geocv</t>
  </si>
  <si>
    <t>ICU patients, received amikacin for a suspected infection</t>
  </si>
  <si>
    <t>ICU patient, received amikacin for a suspected infection</t>
  </si>
  <si>
    <t>.48.73</t>
  </si>
  <si>
    <t>Vogelstein</t>
  </si>
  <si>
    <t>https://www.ncbi.nlm.nih.gov/pubmed/874697</t>
  </si>
  <si>
    <t>mg/m2</t>
  </si>
  <si>
    <t>Bristol Myers Squibb (Solution)</t>
  </si>
  <si>
    <t xml:space="preserve"> </t>
  </si>
  <si>
    <t>Patients who were receiving an aminoglycoside drug for infection or presumed infection</t>
  </si>
  <si>
    <t>Vogelstein 1977</t>
  </si>
  <si>
    <t>Willsie 2015</t>
  </si>
  <si>
    <t>https://www.ncbi.nlm.nih.gov/pubmed/25544247</t>
  </si>
  <si>
    <t>µg</t>
  </si>
  <si>
    <t xml:space="preserve">Sufenta® </t>
  </si>
  <si>
    <t xml:space="preserve">kg/m2 </t>
  </si>
  <si>
    <t>arith.SD</t>
  </si>
  <si>
    <t>48%black,44%white, 8%other</t>
  </si>
  <si>
    <t>Yeates 1996</t>
  </si>
  <si>
    <t>http://www.ncbi.nlm.nih.gov/pubmed/8880291</t>
  </si>
  <si>
    <t>Dormicum tablet</t>
  </si>
  <si>
    <t>2x 7.5 mgDormicum tablet from Roche</t>
  </si>
  <si>
    <t>Zimmermann 1996</t>
  </si>
  <si>
    <t>https://www.ncbi.nlm.nih.gov/pubmed/8720318</t>
  </si>
  <si>
    <t>Templeton 2008</t>
  </si>
  <si>
    <t>https://www.ncbi.nlm.nih.gov/pubmed/17495874</t>
  </si>
  <si>
    <t>ITZ day 1</t>
  </si>
  <si>
    <t>MD OD</t>
  </si>
  <si>
    <t>10 mL of 10 mg/mL</t>
  </si>
  <si>
    <t>2-1.5</t>
  </si>
  <si>
    <t>ITZ day 7</t>
  </si>
  <si>
    <t>(S-0,T-24,7)</t>
  </si>
  <si>
    <t>OH-ITZ day 1</t>
  </si>
  <si>
    <t>OH-ITZ day 7</t>
  </si>
  <si>
    <t>keto-ITZ day 1</t>
  </si>
  <si>
    <t>Keto-Itraconazole</t>
  </si>
  <si>
    <t>keto-ITZ day 7</t>
  </si>
  <si>
    <t>ND-OH-ITZ day 1</t>
  </si>
  <si>
    <t>N-desalkyl-Itraconazole</t>
  </si>
  <si>
    <t>ND-OH-ITZ day 7</t>
  </si>
  <si>
    <t>Van de Velde 1996</t>
  </si>
  <si>
    <t>https://www.ncbi.nlm.nih.gov/pubmed/8726601</t>
  </si>
  <si>
    <t>Fasting ITZ</t>
  </si>
  <si>
    <t>hydroxypropyl-beta-cyclodextrin solution (HP-beta-CD) of 10 ml (10 mg/mL)</t>
  </si>
  <si>
    <t>Fasting OH-ITZ</t>
  </si>
  <si>
    <t>Fed ITZ</t>
  </si>
  <si>
    <t>four slices of buttered bread, a slice each of ham and cheese, jelly, and two cups of coffee or tea with milk and/or sugar</t>
  </si>
  <si>
    <t>Fed OH-ITZ</t>
  </si>
  <si>
    <t>Van Peer 1989</t>
  </si>
  <si>
    <t>https://www.ncbi.nlm.nih.gov/pubmed/2544431</t>
  </si>
  <si>
    <t>100 mg Solution, fasting</t>
  </si>
  <si>
    <t>dimethyl-beta-cyclodextrin solution (5 mg/mL)</t>
  </si>
  <si>
    <t>4-5</t>
  </si>
  <si>
    <t>100 mg Capsules, fasting</t>
  </si>
  <si>
    <t>2x 50 mg capsules</t>
  </si>
  <si>
    <t>four slices of bread, one slice of ham, one slice of cheese, 20 g of butter, jam, and two cups of coffee</t>
  </si>
  <si>
    <t>100 mg Capsules, with food</t>
  </si>
  <si>
    <t>100 mg Capsules, with food, 15 days MD</t>
  </si>
  <si>
    <t>Fig. 1b</t>
  </si>
  <si>
    <t>(S-0,T-24,15)</t>
  </si>
  <si>
    <t>50 mg Capsules, with food</t>
  </si>
  <si>
    <t>only PK parameter reported</t>
  </si>
  <si>
    <t>1x 50 mg capsules</t>
  </si>
  <si>
    <t>200 mg Capsules, with food</t>
  </si>
  <si>
    <t>4x 50 mg capsules</t>
  </si>
  <si>
    <t>Heykants 1989</t>
  </si>
  <si>
    <t>https://www.ncbi.nlm.nih.gov/pubmed/2561187</t>
  </si>
  <si>
    <t>iv 100 mg SD</t>
  </si>
  <si>
    <t>po 100 mg SD fed</t>
  </si>
  <si>
    <t>po 100 mg SD (metabolite screening)</t>
  </si>
  <si>
    <t>po 100 mg MD OD</t>
  </si>
  <si>
    <t>(S-0,T-24,R-29)</t>
  </si>
  <si>
    <t>Miura 2010</t>
  </si>
  <si>
    <t>https://www.ncbi.nlm.nih.gov/pubmed/20595406</t>
  </si>
  <si>
    <t>po 100 mg MD Japanese</t>
  </si>
  <si>
    <t>(S-0,T-24,R-10)</t>
  </si>
  <si>
    <t>ITRIZOLE Capsules 50</t>
  </si>
  <si>
    <t>Janssen Pharmaceutical KK</t>
  </si>
  <si>
    <t>Japanese</t>
  </si>
  <si>
    <t>Gubbins 2004</t>
  </si>
  <si>
    <t>https://www.ncbi.nlm.nih.gov/pubmed/15098799</t>
  </si>
  <si>
    <t>po 200 mg solution with water</t>
  </si>
  <si>
    <t>hydroxypropyl-beta -cyclodextrin solution (10 mg/mL)</t>
  </si>
  <si>
    <t>Light breakfast</t>
  </si>
  <si>
    <t>light standard breakfast consisting of a lowfat bagel with butter and jam within 30 minutes</t>
  </si>
  <si>
    <t>po 200 mg solution with GFJ</t>
  </si>
  <si>
    <t>Gubbins 2007</t>
  </si>
  <si>
    <t>https://www.ncbi.nlm.nih.gov/pubmed/18172627</t>
  </si>
  <si>
    <t>po 200 mg solution female with water</t>
  </si>
  <si>
    <t>po 200 mg solution male with water</t>
  </si>
  <si>
    <t>po 200 mg solution female with GFJ</t>
  </si>
  <si>
    <t>po 200 mg solution male with GFJ</t>
  </si>
  <si>
    <t>Uno 2006</t>
  </si>
  <si>
    <t>https://www.ncbi.nlm.nih.gov/pubmed/16885720</t>
  </si>
  <si>
    <t>day 1 (Japanese)</t>
  </si>
  <si>
    <t>4x capsules, Janssen Pharmaceutical KK</t>
  </si>
  <si>
    <t>day 6 (Japanese)</t>
  </si>
  <si>
    <t>(S-0,T-24,R-6)</t>
  </si>
  <si>
    <t>Bae 2011</t>
  </si>
  <si>
    <t>https://www.ncbi.nlm.nih.gov/pubmed/20400647</t>
  </si>
  <si>
    <t>po 200 mg capsule with water (Korean)</t>
  </si>
  <si>
    <t>Fig. 1A</t>
  </si>
  <si>
    <t xml:space="preserve">Sporanox Capsules </t>
  </si>
  <si>
    <t>Sporanox 100 mg, 2 capsules; Janssen, Korea</t>
  </si>
  <si>
    <t>median</t>
  </si>
  <si>
    <t>Korean</t>
  </si>
  <si>
    <t>Fig. 1B</t>
  </si>
  <si>
    <t>po 200 mg capsule with cola (Korean)</t>
  </si>
  <si>
    <t>po 200 mg capsule with vit. C (Korean)</t>
  </si>
  <si>
    <t>Mouton 2006</t>
  </si>
  <si>
    <t>https://www.ncbi.nlm.nih.gov/pubmed/16982783</t>
  </si>
  <si>
    <t>SAD_A 50 mg</t>
  </si>
  <si>
    <t>NCF</t>
  </si>
  <si>
    <t>NanoCrystal formulation</t>
  </si>
  <si>
    <t>SAD_A 200 mg</t>
  </si>
  <si>
    <t>SAD_B 100 mg</t>
  </si>
  <si>
    <t>SAD_B 300 mg</t>
  </si>
  <si>
    <t>MAD_m_A 100 mg</t>
  </si>
  <si>
    <t>0-8-24-32-48-72-96-120-144</t>
  </si>
  <si>
    <t>MAD_m_B 200 mg</t>
  </si>
  <si>
    <t>MAD_m_C 300 mg</t>
  </si>
  <si>
    <t>MAD_m_D 200 mg (HPBCD)</t>
  </si>
  <si>
    <t>HPBCF</t>
  </si>
  <si>
    <t>hydroxypropyl-beta-cyclodextrin formulation</t>
  </si>
  <si>
    <t>MAD_m_A 100 mg (terminal phase only)</t>
  </si>
  <si>
    <t>MAD_m_B 200 mg (terminal phase only)</t>
  </si>
  <si>
    <t>MAD_m_C 300 mg (terminal phase only)</t>
  </si>
  <si>
    <t>MAD_s_A 100 mg</t>
  </si>
  <si>
    <t>MAD_s_B 200 mg</t>
  </si>
  <si>
    <t>MAD_s_C 300 mg</t>
  </si>
  <si>
    <t>Zhou 1998</t>
  </si>
  <si>
    <t>https://www.ncbi.nlm.nih.gov/pubmed/9702843</t>
  </si>
  <si>
    <t>IV 200 mg OD</t>
  </si>
  <si>
    <t>iv part only</t>
  </si>
  <si>
    <t>0-12-24-36-48-72-96-120-144</t>
  </si>
  <si>
    <t>MD-BID/OD</t>
  </si>
  <si>
    <t>HIV patients</t>
  </si>
  <si>
    <t>Rouini 2005</t>
  </si>
  <si>
    <t>https://www.ncbi.nlm.nih.gov/pubmed/14698254</t>
  </si>
  <si>
    <t>Mefenamic acid</t>
  </si>
  <si>
    <t>Ponstan capsule</t>
  </si>
  <si>
    <t>Mahadik 2012</t>
  </si>
  <si>
    <t>https://www.ncbi.nlm.nih.gov/pubmed/22275128</t>
  </si>
  <si>
    <t>Acocella 1972b</t>
  </si>
  <si>
    <t>https://www.ncbi.nlm.nih.gov/pubmed/5060669</t>
  </si>
  <si>
    <t>normal subjects</t>
  </si>
  <si>
    <t>300 mg capsules</t>
  </si>
  <si>
    <t>administration after an overnight fast</t>
  </si>
  <si>
    <t>Italy</t>
  </si>
  <si>
    <t>adult age, no further specification of age, weight, height etc.</t>
  </si>
  <si>
    <t>x</t>
  </si>
  <si>
    <t>patients with liver disease</t>
  </si>
  <si>
    <t>Results</t>
  </si>
  <si>
    <t>Acocella 1984</t>
  </si>
  <si>
    <t>https://www.ncbi.nlm.nih.gov/pubmed/6473487</t>
  </si>
  <si>
    <t>Individual 1 (600 mg, 3 h infusion)</t>
  </si>
  <si>
    <t>lyphilized rifampicin, dissolved in the appropriate solvent and added to 500 ml of 5% glucose solution for phleboclysis</t>
  </si>
  <si>
    <t>Male patients not suffering from diseases or syndromes known or likely to alter the kinetics of the antibiotic and who could benefit from the administration of rifampicin.</t>
  </si>
  <si>
    <t>Individual 2 (600 mg, 3 h infusion)</t>
  </si>
  <si>
    <t>Individual 3 (600 mg, 2 h infusion)</t>
  </si>
  <si>
    <t>Individual 4 (600 mg, 2 h infusion)</t>
  </si>
  <si>
    <t>Individual 5 (600 mg, 1 h infusion)</t>
  </si>
  <si>
    <t>Individual 6 (600 mg, 1 h infusion)</t>
  </si>
  <si>
    <t>Individual 7 (900 mg, 3 h infusion)</t>
  </si>
  <si>
    <t>Individual 8 (900 mg, 3 h infusion)</t>
  </si>
  <si>
    <t>Individual 9 (900 mg, 2 h infusion)</t>
  </si>
  <si>
    <t>Individual 10 (900 mg, 2 h infusion)</t>
  </si>
  <si>
    <t>Individual 11 (900 mg, 1 h infusion)</t>
  </si>
  <si>
    <t>Individual 12 (900 mg, 1 h infusion)</t>
  </si>
  <si>
    <t>Individual 13 (1200 mg, 3 h infusion)</t>
  </si>
  <si>
    <t>Individual 14 (1200 mg, 3 h infusion)</t>
  </si>
  <si>
    <t>Individual 15 (1200 mg, 2 h infusion)</t>
  </si>
  <si>
    <t>Individual 16 (1200 mg, 2 h infusion)</t>
  </si>
  <si>
    <t>Individual 17 (1200 mg, 1 h infusion)</t>
  </si>
  <si>
    <t>Individual 18 (1200 mg, 1 h infusion)</t>
  </si>
  <si>
    <t>Acocella 1985</t>
  </si>
  <si>
    <t>R alone</t>
  </si>
  <si>
    <t>Ahonen 1995</t>
  </si>
  <si>
    <t>http://www.ncbi.nlm.nih.gov/pubmed/6138081</t>
  </si>
  <si>
    <t>Backman 1996</t>
  </si>
  <si>
    <t>https://www.ncbi.nlm.nih.gov/pubmed/8549036</t>
  </si>
  <si>
    <t>Dormicum, tablet</t>
  </si>
  <si>
    <t>fasted</t>
  </si>
  <si>
    <t>individual age and weight data are available (table I)</t>
  </si>
  <si>
    <t>Backman 1998</t>
  </si>
  <si>
    <t>https://www.ncbi.nlm.nih.gov/pubmed/9591931</t>
  </si>
  <si>
    <t>Phase I (Control (Perpetrator Placebo))</t>
  </si>
  <si>
    <t>Fig. 1 &amp; Tab. 1</t>
  </si>
  <si>
    <t>midazolam</t>
  </si>
  <si>
    <t>Dormicum 7.5-mg tablet, Homann-La Roche</t>
  </si>
  <si>
    <t>at 1pm</t>
  </si>
  <si>
    <t>Apart from the use of contraceptive steroids (two subjects), none of the subjects was receiving continuous medication. Five of the subjects were smokers. They were not allowed to smoke tobacco or ingest coee, tea, alcohol, cola, grapefruit or grapefruit juice during the test days.</t>
  </si>
  <si>
    <t>Phase IV (during Perpetrator (Rifampicin))</t>
  </si>
  <si>
    <t>Phase V (4 days after Perpetrator (Rifampicin))</t>
  </si>
  <si>
    <t>Phase II (during Perpetrator (Itraconazole))</t>
  </si>
  <si>
    <t>Dose corrected for comparison purpose</t>
  </si>
  <si>
    <t>15 (actually 7.5)</t>
  </si>
  <si>
    <t>Phase III (4 days after Perpetrator (Itraconazole))</t>
  </si>
  <si>
    <t>Baneyx 2014</t>
  </si>
  <si>
    <t>https://www.ncbi.nlm.nih.gov/pubmed/24530864</t>
  </si>
  <si>
    <t>Fig. A2A</t>
  </si>
  <si>
    <t>Bornemann 1986</t>
  </si>
  <si>
    <t>https://www.ncbi.nlm.nih.gov/pubmed/2936766</t>
  </si>
  <si>
    <t>1 h after a meal</t>
  </si>
  <si>
    <t>1 h before a meal</t>
  </si>
  <si>
    <t>with a meal</t>
  </si>
  <si>
    <t>fasting condition</t>
  </si>
  <si>
    <t>Burger 2006</t>
  </si>
  <si>
    <t>https://www.ncbi.nlm.nih.gov/pubmed/17005814</t>
  </si>
  <si>
    <t>Rifampin alone</t>
  </si>
  <si>
    <t>0-(S24-T24-R9)</t>
  </si>
  <si>
    <t>fed</t>
  </si>
  <si>
    <t>study drugs were administered within 5 min after completing a light meal (~300 kcal, 20% fat)</t>
  </si>
  <si>
    <t>standard deviation</t>
  </si>
  <si>
    <t>kg/m^2</t>
  </si>
  <si>
    <t>89% Caucasian, 6% black, 6% other (mixed black/Asian, mixed Caucasian/black, and American Indian/Alaskan Native (two subjects))</t>
  </si>
  <si>
    <t>healthy volunteers; sex, age, weight, BMI and race were listed for all 71 subjects enrolled</t>
  </si>
  <si>
    <t>Chouchane 1995</t>
  </si>
  <si>
    <t>https://www.ncbi.nlm.nih.gov/pubmed/8983939</t>
  </si>
  <si>
    <t>Rimactan</t>
  </si>
  <si>
    <t>Table II</t>
  </si>
  <si>
    <t>300 mg capsules Rimactan®</t>
  </si>
  <si>
    <t>overnight fast</t>
  </si>
  <si>
    <t>Rifampicin Generic</t>
  </si>
  <si>
    <t>300 mg capsules Rifampicine Generic</t>
  </si>
  <si>
    <t>Darwish 2008</t>
  </si>
  <si>
    <t>https://www.ncbi.nlm.nih.gov/pubmed/18076219</t>
  </si>
  <si>
    <t>USA, 8 white, 16 black</t>
  </si>
  <si>
    <t xml:space="preserve">https://www.ncbi.nlm.nih.gov/pubmed/18076219 </t>
  </si>
  <si>
    <t>Caffeine</t>
  </si>
  <si>
    <t>USA, 16 white, 3 black, 6 asian, 4 others</t>
  </si>
  <si>
    <t>Eap 2004</t>
  </si>
  <si>
    <t>https://www.ncbi.nlm.nih.gov/pubmed/15114429</t>
  </si>
  <si>
    <t>7.5 mg Control (Perpetrator Placebo)</t>
  </si>
  <si>
    <t>7.5 mg with Perpetrator (Rifampicin)</t>
  </si>
  <si>
    <t>Eon Labs Manufacturing, Inc. 1997</t>
  </si>
  <si>
    <t>https://www.accessdata.fda.gov/drugsatfda_docs/anda/97/064150review.pdf</t>
  </si>
  <si>
    <t>2X300mg Tab (Eon)</t>
  </si>
  <si>
    <t>Table 1 (p. 41)</t>
  </si>
  <si>
    <t>2X300mg Rifadine Tab</t>
  </si>
  <si>
    <t>Furesz 1970</t>
  </si>
  <si>
    <t>https://www.ncbi.nlm.nih.gov/pubmed/5002304</t>
  </si>
  <si>
    <t>100 mg</t>
  </si>
  <si>
    <t>Table XIX</t>
  </si>
  <si>
    <t>150 mg</t>
  </si>
  <si>
    <t>250 mg</t>
  </si>
  <si>
    <t>750 mg</t>
  </si>
  <si>
    <t>900 mg</t>
  </si>
  <si>
    <t>Gorski 1998</t>
  </si>
  <si>
    <t>https://www.ncbi.nlm.nih.gov/pubmed/9728893</t>
  </si>
  <si>
    <t>po Control (Perpetrator Placebo)</t>
  </si>
  <si>
    <t>Whole Blood</t>
  </si>
  <si>
    <t>Fig. 2 &amp; Tab. 1</t>
  </si>
  <si>
    <t>15N3-midazolam solution</t>
  </si>
  <si>
    <t>stable isotope 15N3-midazolam</t>
  </si>
  <si>
    <t>M: 34, F: 29</t>
  </si>
  <si>
    <t>M: 4, F: 5</t>
  </si>
  <si>
    <t>M: 78, F: 65</t>
  </si>
  <si>
    <t>M: 7, F: 14</t>
  </si>
  <si>
    <t>USA, M: 6 white, 2 hispanic; F: 6 white, 1 black, 1 asian</t>
  </si>
  <si>
    <t>no long-term use of medications, except for two female volunteers taking oral contraceptive steroids;</t>
  </si>
  <si>
    <t>po with Perpetrator (Clarithromycin)</t>
  </si>
  <si>
    <t>iv with Perpetrator (Clarithromycin)</t>
  </si>
  <si>
    <t>Gorski 2003</t>
  </si>
  <si>
    <t>https://www.ncbi.nlm.nih.gov/pubmed/12966371</t>
  </si>
  <si>
    <t>Fig. 1, Tab 2 &amp; 3</t>
  </si>
  <si>
    <t>YM: 27, EM: 70, YF: 26, EF: 72</t>
  </si>
  <si>
    <t>YM: 4, EM: 4, YF: 4, EF: 5</t>
  </si>
  <si>
    <t>po with Perpetrator (Rifampicin)</t>
  </si>
  <si>
    <t>Greenblat 1984</t>
  </si>
  <si>
    <t>https://www.ncbi.nlm.nih.gov/pubmed/6742481</t>
  </si>
  <si>
    <t>iv - f, 136kg, 36y (obese female)</t>
  </si>
  <si>
    <t>Typical</t>
  </si>
  <si>
    <t>Fig. 7</t>
  </si>
  <si>
    <t>parenteral midazolam preparation (5 mg/ml) was diluted to 50 ml with physiologic saline</t>
  </si>
  <si>
    <t>iv - f, 61kg, 37y (normal female)</t>
  </si>
  <si>
    <t>iv - m, 70kg, 32y (young male)</t>
  </si>
  <si>
    <t>iv - m, 80kg, 70y (elderly male)</t>
  </si>
  <si>
    <t>po - f, 136kg, 36y (obese female)</t>
  </si>
  <si>
    <t>tablet form</t>
  </si>
  <si>
    <t>100-200</t>
  </si>
  <si>
    <t>po - f, 61kg, 37y (normal female)</t>
  </si>
  <si>
    <t>po - m, 70kg, 32y (young male)</t>
  </si>
  <si>
    <t>po - m, 80kg, 70y (elderly male)</t>
  </si>
  <si>
    <t>Greenblat 2003</t>
  </si>
  <si>
    <t>https://www.ncbi.nlm.nih.gov/pubmed/12891222</t>
  </si>
  <si>
    <t>oral solution</t>
  </si>
  <si>
    <t>https://www.ncbi.nlm.nih.gov/pubmed/12891223</t>
  </si>
  <si>
    <t>administered as 3 mL of the 2-mg/mL commercially available liquid syrup dosage form (Roche Laboratories)</t>
  </si>
  <si>
    <t>light breakfast</t>
  </si>
  <si>
    <t>Greiner 1999</t>
  </si>
  <si>
    <t>https://www.ncbi.nlm.nih.gov/pubmed/10411543</t>
  </si>
  <si>
    <t>healthy volunteers</t>
  </si>
  <si>
    <t>Lanicor, Boehringer Ingelheim</t>
  </si>
  <si>
    <t>Gurley 2006</t>
  </si>
  <si>
    <t>https://www.ncbi.nlm.nih.gov/pubmed/16432272</t>
  </si>
  <si>
    <t>Control pre-Rifampicin (Perpetrator Placebo)</t>
  </si>
  <si>
    <t>Methods</t>
  </si>
  <si>
    <t>8 mg, Bedford Laboratories</t>
  </si>
  <si>
    <t>overnight fasting</t>
  </si>
  <si>
    <t>All subjects were nonsmokers, ate a normal diet, were not users of botanical dietary supplements, and were not taking prescription or nonprescription medications. All female subjects had a negative pregnancy test at baseline. All subjects were instructed to abstain from alcohol, caffeine, fruit juices, cruciferous vegetables, and charbroiled meat throughout each two-week phase of the study. Adherence to these restrictions was further emphasized five days before midazolam administration. Subjects were also instructed to refrain from taking prescription and nonprescription medications during supplementation periods, and any medication use during this time was documented.</t>
  </si>
  <si>
    <t>SD, 2 hours delay for MDZ assumed</t>
  </si>
  <si>
    <t>Control pre-Clarithromycin (Perpetrator Placebo)</t>
  </si>
  <si>
    <t>with Perpetrator (Clarithomycin)</t>
  </si>
  <si>
    <t>Control pre-Black cohosh (Perpetrator Placebo)</t>
  </si>
  <si>
    <t>Control pre-Milk thistle (Perpetrator Placebo)</t>
  </si>
  <si>
    <t>Gurley 2008a</t>
  </si>
  <si>
    <t>https://www.ncbi.nlm.nih.gov/pubmed/17495878</t>
  </si>
  <si>
    <t>MDZ</t>
  </si>
  <si>
    <t>All subjects were nonsmokers, ate a normal diet, and were not users of botanical dietary
supplements; nor were they taking any prescription medications. All female subjects had a negative pregnancy test at baseline, and all subjects were instructed to use a barrier method of contraception during the study. Subjects were instructed to abstain from alcohol, caffeine, fruit juices, cruciferous vegetables, and charbroiled meat throughout the study.</t>
  </si>
  <si>
    <t>Control pre-Goldenseal (Perpetrator Placebo)</t>
  </si>
  <si>
    <t>Control pre-Kava kava (Perpetrator Placebo)</t>
  </si>
  <si>
    <t>Gurley 2008b</t>
  </si>
  <si>
    <t>https://www.ncbi.nlm.nih.gov/pubmed/18214850</t>
  </si>
  <si>
    <t>Material &amp; Methods</t>
  </si>
  <si>
    <t>digoxin</t>
  </si>
  <si>
    <t>0.25 mg, Lanoxin®, GlaxoSmithKline</t>
  </si>
  <si>
    <t>All subjects were nonsmokers, ate a normal diet, were not users of botanical dietary supplements, and were not taking prescription (including oral contraceptives) or nonprescription medications. All female subjects had a negative pregnancy test at baseline. All subjects were instructed to abstain from alcohol, caffeine, fruit juices, cruciferous vegetables, and charbroiled meat throughout each two-week phase of the study.</t>
  </si>
  <si>
    <t>Hohmann 2015</t>
  </si>
  <si>
    <t>https://www.ncbi.nlm.nih.gov/pubmed/25588320</t>
  </si>
  <si>
    <t>Fig.1, Table 1 &amp; 3</t>
  </si>
  <si>
    <t>1ml of Dormicum® was diluted in 999 ml of physiological saline solution for a concentration of 1 μgml−1. Two ml were transferred into a 50ml syringe containing 38 ml of saline solution (final concentration 0.05 μgml−1) and 20 ml were injected in 5 min using a syringe pump.</t>
  </si>
  <si>
    <t>Germany, one asian</t>
  </si>
  <si>
    <t>None of the participants had been on any regular drug treatment in the 2 weeks prior to the study nor were they taking any drugs or any substances known to induce or inhibit drug metabolizing enzymes or transporters (e.g. grapefruit juice or St John’s wort) within a period of less than 10 times the respective elimination half-life. Participants with known intolerance against midazolam were excluded as were participants with any of the following conditions: regular smoking, excessive alcohol drinking, blood donation within the last 4 weeks, participation in another study within the last 6 weeks before inclusion, suspected non-adherence, or inability to give written informed consent or to communicate well with the investigator.</t>
  </si>
  <si>
    <t>iv 1 mg</t>
  </si>
  <si>
    <t>2ml of Dormicum® were transferred into a 50ml syringe containing 38 ml of saline solution (Fresenius, Germany) (final concentration 0.05 mg ml−1) and 20 ml were injected in 5 min using a syringe pump.</t>
  </si>
  <si>
    <t>Oral solution</t>
  </si>
  <si>
    <t>100 μl of Dormicum® were diluted in 9900 μl of water for a concentration of 10 μgml−1. Then 300 μl of this solution were transferred into a plastic cup containing 100 ml of water.</t>
  </si>
  <si>
    <t>po 3 mg</t>
  </si>
  <si>
    <t>3000 μl of Dormicum® were directly transferred into a plastic cup containing 100 ml of water.</t>
  </si>
  <si>
    <t>Jalava 1997</t>
  </si>
  <si>
    <t>https://www.ncbi.nlm.nih.gov/pubmed/9421099</t>
  </si>
  <si>
    <t>po with Perpetrator (Itraconazole)</t>
  </si>
  <si>
    <t>Kharasch 1997</t>
  </si>
  <si>
    <t>https://www.ncbi.nlm.nih.gov/pubmed/9232132</t>
  </si>
  <si>
    <t>1-mg intravenous bolus dose</t>
  </si>
  <si>
    <t>2h after ALF admin, subjects received a standard breakfast</t>
  </si>
  <si>
    <t>assuming a night duration of 12 hours</t>
  </si>
  <si>
    <t>20µg/kg intravenous bolus dose</t>
  </si>
  <si>
    <t>Kharasch 2011</t>
  </si>
  <si>
    <t>https://www.ncbi.nlm.nih.gov/pubmed/21562488</t>
  </si>
  <si>
    <t>had no remarkable medical problems, history of hepatic or renal disease, and were taking no drugs or natural products known to alter CYP3A activity. Subjects using oral or implanted contraceptives were excluded, due to potential rifampin effects on their effectiveness. Subjects were instructed to consume no grapefruit-containing foods 5d before and during each study day, abstain from alcohol for 24 hr prior to and during study days, and from caffeine on study days.</t>
  </si>
  <si>
    <t>iv with Perpetrator (Rifampicin @ 5 mg)</t>
  </si>
  <si>
    <t>iv with Perpetrator (Rifampicin @ 10 mg)</t>
  </si>
  <si>
    <t>iv with Perpetrator (Rifampicin @ 25 mg)</t>
  </si>
  <si>
    <t>iv with Perpetrator (Rifampicin @ 75 mg)</t>
  </si>
  <si>
    <t>injectable formulations, used without modification</t>
  </si>
  <si>
    <t>po with Perpetrator (Rifampicin @ 5 mg)</t>
  </si>
  <si>
    <t>po with Perpetrator (Rifampicin @ 10 mg)</t>
  </si>
  <si>
    <t>po with Perpetrator (Rifampicin @ 25 mg)</t>
  </si>
  <si>
    <t>po with Perpetrator (Rifampicin @ 75 mg)</t>
  </si>
  <si>
    <t>Kirby 2012</t>
  </si>
  <si>
    <t>https://www.ncbi.nlm.nih.gov/pubmed/22190694</t>
  </si>
  <si>
    <t>Study 1 - Staggered Administration Control</t>
  </si>
  <si>
    <t>Study 1 - Staggered Administration with RIF</t>
  </si>
  <si>
    <t>Study 2 - Simultaneous Administration Control</t>
  </si>
  <si>
    <t>Study 2 - Simultaneous Administration with RIF</t>
  </si>
  <si>
    <t>Larsen 2007</t>
  </si>
  <si>
    <t>https://www.ncbi.nlm.nih.gov/pubmed/17365992</t>
  </si>
  <si>
    <t>Link 2008</t>
  </si>
  <si>
    <t>https://www.ncbi.nlm.nih.gov/pubmed/18537963</t>
  </si>
  <si>
    <t>Fig. 1, Tab.1</t>
  </si>
  <si>
    <t>Switzerland</t>
  </si>
  <si>
    <t>The use of any drug, including over the counter medication, as well as vitamins and dietary or herbal supplements known to affect CYP3A activity was prohibited at least 14 days before study start and for the entire duration of the study. Subjects had to abstain from grapefruit-containing foods or juices at least 1 week prior to the study, as well as during and between the study sessions. Subjects with clinically significant abnormalities on pre-study examination, known or suspected history of alcohol or drug abuse or known hypersensitivity to benzodiazepines or to rifampicin were excluded. Caffeine containing food and beverages, and alcohol (24 h before and during study visits) were not permitted.</t>
  </si>
  <si>
    <t>Fig. 5, Tab.3</t>
  </si>
  <si>
    <t>Dormicum® Hoffmann-LaRoche Ltd</t>
  </si>
  <si>
    <t>Loos 1985</t>
  </si>
  <si>
    <t>http://www.ncbi.nlm.nih.gov/pubmed/4087830</t>
  </si>
  <si>
    <t>oral day 2 (Patient 4)</t>
  </si>
  <si>
    <t>oral day 9 (Patient 4)</t>
  </si>
  <si>
    <t>oral day 23 (Patient 4)</t>
  </si>
  <si>
    <t>iv day 1 (Patient 4)</t>
  </si>
  <si>
    <t>iv day 8 (Patient 4)</t>
  </si>
  <si>
    <t>iv day 22 (Patient 4)</t>
  </si>
  <si>
    <t>Majumdar 2007</t>
  </si>
  <si>
    <t>https://www.ncbi.nlm.nih.gov/pubmed/17463213</t>
  </si>
  <si>
    <t>None of the subjects used concomitant medications during the study.</t>
  </si>
  <si>
    <t>po with Perpetrator (Aprepitant)</t>
  </si>
  <si>
    <t>Okudaira 2007</t>
  </si>
  <si>
    <t>https://www.ncbi.nlm.nih.gov/pubmed/17585116</t>
  </si>
  <si>
    <t>EM 0 Control (Perpetrator Placebo)</t>
  </si>
  <si>
    <t>2.5 (actually 5)</t>
  </si>
  <si>
    <t>Dormicum, injectable solution; Astellas Pharma Inc</t>
  </si>
  <si>
    <t>Subjects took a standardized light breakfast at 07:20.</t>
  </si>
  <si>
    <t>Japan</t>
  </si>
  <si>
    <t>None of the subjects were taking other medications. None had a history of either medical disease or smoking.</t>
  </si>
  <si>
    <t>EM 2 with Perpetrator (Erythromycin)</t>
  </si>
  <si>
    <t>EM 4 with Perpetrator (Erythromycin)</t>
  </si>
  <si>
    <t>EM 7 with Perpetrator (Erythromycin)</t>
  </si>
  <si>
    <t>Olkkola 1993</t>
  </si>
  <si>
    <t>https://www.ncbi.nlm.nih.gov/pubmed/8453848</t>
  </si>
  <si>
    <t>Dormicum, 15 mg tablets, Hoffmann-La Roche Ltd.</t>
  </si>
  <si>
    <t>Before entering the study, the subjects had been ascertained to be healthy by means of a clinical examination. No subject was receiving continuous medication except for two subjects (participating in both studies) who were using contraceptive steroids.</t>
  </si>
  <si>
    <t>po with Perpetrator (Erythromycin)</t>
  </si>
  <si>
    <t>Dormicum, 1 mg/ml injection, Hoffmann-La Roche Ltd.</t>
  </si>
  <si>
    <t>iv with Perpetrator (Erythromycin)</t>
  </si>
  <si>
    <t>Olkkola 1994</t>
  </si>
  <si>
    <t>https://www.ncbi.nlm.nih.gov/pubmed/8181191</t>
  </si>
  <si>
    <t>Dormicum, Hoffmann-La Roche</t>
  </si>
  <si>
    <t>po with Perpetrator (Ketoconazole</t>
  </si>
  <si>
    <t>0-24-48-72</t>
  </si>
  <si>
    <t>itraconazole</t>
  </si>
  <si>
    <t>Sporanox, Orion</t>
  </si>
  <si>
    <t>Ketoconazole</t>
  </si>
  <si>
    <t>ketoconazole</t>
  </si>
  <si>
    <t>Nizoral, Orion</t>
  </si>
  <si>
    <t>Olkkola 1996</t>
  </si>
  <si>
    <t>https://www.ncbi.nlm.nih.gov/pubmed/8623953</t>
  </si>
  <si>
    <t>day 1 (po) Control (Perpetrator Placebo)</t>
  </si>
  <si>
    <t>None of them were on continuous medication, except for the five female subjects using contraceptive steroids.</t>
  </si>
  <si>
    <t>day 4 (iv) Control (Perpetrator Placebo)</t>
  </si>
  <si>
    <t>day 6 (po) Control (Perpetrator Placebo)</t>
  </si>
  <si>
    <t>day 1 (po) with Perpetrator (Itraconazole)</t>
  </si>
  <si>
    <t>day 4 (iv) with Perpetrator (Itraconazole)</t>
  </si>
  <si>
    <t>day 6 (po) with Perpetrator (Itraconazole)</t>
  </si>
  <si>
    <t>day 1 (po) with Perpetrator (Fluconazole)</t>
  </si>
  <si>
    <t>day 4 (iv) with Perpetrator (Fluconazole)</t>
  </si>
  <si>
    <t>day 6 (po) with Perpetrator (Fluconazole)</t>
  </si>
  <si>
    <t>Peloquin 1997</t>
  </si>
  <si>
    <t>https://www.ncbi.nlm.nih.gov/pubmed/9420037</t>
  </si>
  <si>
    <t>300mg capsules, RIF; lot no. 645CB; Hoechst Marion Roussel</t>
  </si>
  <si>
    <t>fasted from 10pm before the doses were given; water was allowed ad libitum until 2 h before the doses were administered</t>
  </si>
  <si>
    <t>USA, 23 Caucasians and 1 Hispanic</t>
  </si>
  <si>
    <t>The subjects agreed to refrain from the use of medications and alcohol during the entire study period.</t>
  </si>
  <si>
    <t>Peloquin 1999</t>
  </si>
  <si>
    <t>https://www.ncbi.nlm.nih.gov/pubmed/9925057</t>
  </si>
  <si>
    <t>fast1</t>
  </si>
  <si>
    <t>The subjects were allowed to ingest water ad libitum after the doses were given, and identical, nutritionally balanced meals were</t>
  </si>
  <si>
    <t>overnight fasting from 11pm</t>
  </si>
  <si>
    <t>The subjects agreed to refrain from the use of other prescription or nonprescription drugs (including vitamins) and alcohol during the entire study period. Women who were taking oral contraceptives at the start of the study were allowed to continue taking these during the study. They were required to agree to use additional contraceptive methods during the study period and for a week after the last dose of RIF. All subjects denied the use of any nonprotocol medications during the study period.</t>
  </si>
  <si>
    <t>fast2</t>
  </si>
  <si>
    <t>antacid</t>
  </si>
  <si>
    <t>Phimmasone 2001</t>
  </si>
  <si>
    <t>https://www.ncbi.nlm.nih.gov/pubmed/11753266</t>
  </si>
  <si>
    <t>Fig. 1, Tab.1&amp;2</t>
  </si>
  <si>
    <t xml:space="preserve">bolus </t>
  </si>
  <si>
    <t>had no history of hepatic or renal disease, and were taking no prescription medications or nonprescription medications known to alter CYP3A4 activity, including oral contraceptives.
Both smokers and nonsmokers were enrolled. Subjects were instructed to consume no alcohol, caffeine, grapefruit, or grapefruit juice for 24 hours before each study session and on the study day.</t>
  </si>
  <si>
    <t>assuming that RIF was given in the evening (~8pm) and a sleeping time of 10h)</t>
  </si>
  <si>
    <t>Saari 2006</t>
  </si>
  <si>
    <t>https://www.ncbi.nlm.nih.gov/pubmed/16580904</t>
  </si>
  <si>
    <t>Dormicum, 7.5-mg tablet; Roche</t>
  </si>
  <si>
    <t>po with Perpetrator (Voriconazole)</t>
  </si>
  <si>
    <t>Voriconazole</t>
  </si>
  <si>
    <t>400/200</t>
  </si>
  <si>
    <t>400mg: 0-12; 200mg: 24-36</t>
  </si>
  <si>
    <t>voriconazole</t>
  </si>
  <si>
    <t>Vfend tablet; Pfizer</t>
  </si>
  <si>
    <t>The last dose of voriconazole was given at 8 AM with 150 mL of water</t>
  </si>
  <si>
    <t>Dormicum, 1-mg/mL injection; Roche</t>
  </si>
  <si>
    <t>iv with Perpetrator (Voriconazole)</t>
  </si>
  <si>
    <t>Schwagmeier 1998</t>
  </si>
  <si>
    <t>https://www.ncbi.nlm.nih.gov/pubmed/9764959</t>
  </si>
  <si>
    <t>iv administration</t>
  </si>
  <si>
    <t>Volunteers simultaneously received 0.5 ml of a bitter tasting placebo buccally</t>
  </si>
  <si>
    <t>Only healthy volunteers (physical status ASA I or II) receiving no medication were included. Other exclusion criteria were chronic or acute drug or alcohol abuse, benzodiazepine allergy, women who were pregnant or breast feeding and patients with decreased liver or renal function.</t>
  </si>
  <si>
    <t>Swart 2002</t>
  </si>
  <si>
    <t xml:space="preserve">https://www.ncbi.nlm.nih.gov/pubmed/11851636 </t>
  </si>
  <si>
    <t>day 5 Control (Perpetrator Placebo)</t>
  </si>
  <si>
    <t>Szalat 2007</t>
  </si>
  <si>
    <t>https://www.ncbi.nlm.nih.gov/pubmed/17553741</t>
  </si>
  <si>
    <t>bolus, 1% midazolam (Rafa Ltd., Israel)</t>
  </si>
  <si>
    <t>Israel</t>
  </si>
  <si>
    <t>Patients 1 and 2 were on CDCA treatment which they discontinued at the initiation of the current study and patient 3 was newly diagnosed and untreated. None of the patients were on HMG-CoA reductase inhibitors.</t>
  </si>
  <si>
    <t>MDZ was only given once, which is before RIF administration. We assume 12h before RIF admin (8pm).</t>
  </si>
  <si>
    <t>Templeton 2010</t>
  </si>
  <si>
    <t>https://www.ncbi.nlm.nih.gov/pubmed/20739919</t>
  </si>
  <si>
    <t>All subjects were within 20% of optimal BMI, and homozygous for CYP3A5*3</t>
  </si>
  <si>
    <t>with Perpetrator (Itraconazole @ 50 mg)</t>
  </si>
  <si>
    <t>with Perpetrator (Itraconazole @ 200 mg)</t>
  </si>
  <si>
    <t>with Perpetrator (Itraconazole @ 400 mg)</t>
  </si>
  <si>
    <t>Tham 2006</t>
  </si>
  <si>
    <t>https://www.ncbi.nlm.nih.gov/pubmed/16628140</t>
  </si>
  <si>
    <t>midazolam hydrochloride</t>
  </si>
  <si>
    <t>5 mg in 5 mL</t>
  </si>
  <si>
    <t>Singapore, Chinese: 23, Malay: 2, Indian: 1, Other: 0</t>
  </si>
  <si>
    <t>All patients accrued in this study were patients with malignancy.</t>
  </si>
  <si>
    <t>with Perpetrator (Ketoconazole 50 mg)</t>
  </si>
  <si>
    <t>MDZ was set to 7am, since KET is given after MDZ acc. to paper (8am and 8 pm)</t>
  </si>
  <si>
    <t>Singapore, Chinese: 26, Malay: 1, Indian: 1, Other: 1</t>
  </si>
  <si>
    <t>Analyte</t>
  </si>
  <si>
    <t>t0</t>
  </si>
  <si>
    <t>tend</t>
  </si>
  <si>
    <t>t Unit</t>
  </si>
  <si>
    <t>AUC Avg</t>
  </si>
  <si>
    <t>AUC AvgUnit</t>
  </si>
  <si>
    <t>AUC AvgType</t>
  </si>
  <si>
    <t>AUC Var</t>
  </si>
  <si>
    <t>AUC VarUnit</t>
  </si>
  <si>
    <t>AUC VarType</t>
  </si>
  <si>
    <t>AUC Type</t>
  </si>
  <si>
    <t>Cmax Avg</t>
  </si>
  <si>
    <t>Cmax AvgUnit</t>
  </si>
  <si>
    <t>Cmax AvgType</t>
  </si>
  <si>
    <t>Cmax Var</t>
  </si>
  <si>
    <t>Cmax VarUnit</t>
  </si>
  <si>
    <t>Cmax VarType</t>
  </si>
  <si>
    <t>Cmax Type</t>
  </si>
  <si>
    <t>CL Avg</t>
  </si>
  <si>
    <t>CL AvgUnit</t>
  </si>
  <si>
    <t>CL AvgType</t>
  </si>
  <si>
    <t>CL Var</t>
  </si>
  <si>
    <t>CL VarUnit</t>
  </si>
  <si>
    <t>CL VarType</t>
  </si>
  <si>
    <t>CL Type</t>
  </si>
  <si>
    <t>Comment</t>
  </si>
  <si>
    <t>inf</t>
  </si>
  <si>
    <t>ng*h/mL</t>
  </si>
  <si>
    <t>AUC_inf</t>
  </si>
  <si>
    <t>ng/mL</t>
  </si>
  <si>
    <t>Cmax</t>
  </si>
  <si>
    <t>AUC_tau</t>
  </si>
  <si>
    <t>geo. mean</t>
  </si>
  <si>
    <t>geo. CV</t>
  </si>
  <si>
    <t>pg/mL</t>
  </si>
  <si>
    <t>L/h/kg</t>
  </si>
  <si>
    <t>CL/F</t>
  </si>
  <si>
    <t>arith. SEM</t>
  </si>
  <si>
    <t>means taken from Gammans 1986 Table III</t>
  </si>
  <si>
    <t>L/min</t>
  </si>
  <si>
    <t>geoSD</t>
  </si>
  <si>
    <t>CL total</t>
  </si>
  <si>
    <t>Table 2</t>
  </si>
  <si>
    <t>POP-PK Point estimate Scanned from figure 1</t>
  </si>
  <si>
    <t>min</t>
  </si>
  <si>
    <t>mL/kg/min</t>
  </si>
  <si>
    <t>mL/min</t>
  </si>
  <si>
    <t>mL/min/1.73m2</t>
  </si>
  <si>
    <t>At steady state (Table 1)</t>
  </si>
  <si>
    <t>At steady state (Table 2)</t>
  </si>
  <si>
    <t>Table 3</t>
  </si>
  <si>
    <t>pg*h/mL</t>
  </si>
  <si>
    <t>Table 3, last samples taken 120 OR until the initiation of cardiopulmonary bypass</t>
  </si>
  <si>
    <t>t_end is time to reach limit of quanititation after dose</t>
  </si>
  <si>
    <t>µg*h/mL</t>
  </si>
  <si>
    <t>AUC_tend</t>
  </si>
  <si>
    <t>ANOVA</t>
  </si>
  <si>
    <t>µg/mL</t>
  </si>
  <si>
    <t>mg*h/L</t>
  </si>
  <si>
    <t>arith. CV</t>
  </si>
  <si>
    <t>mg/L</t>
  </si>
  <si>
    <t>nmol*h/L</t>
  </si>
  <si>
    <t>nmol/L</t>
  </si>
  <si>
    <t>mg*h/mL</t>
  </si>
  <si>
    <t>L/h</t>
  </si>
  <si>
    <t>µg*h/L</t>
  </si>
  <si>
    <t>µg/L</t>
  </si>
  <si>
    <t>CLiv</t>
  </si>
  <si>
    <t>geom. mean</t>
  </si>
  <si>
    <t>22-103</t>
  </si>
  <si>
    <t>range</t>
  </si>
  <si>
    <t>9-41</t>
  </si>
  <si>
    <t>Range</t>
  </si>
  <si>
    <t>12-57</t>
  </si>
  <si>
    <t>mL/min/kg</t>
  </si>
  <si>
    <t>3.4-10</t>
  </si>
  <si>
    <t>1.7-6.2</t>
  </si>
  <si>
    <t>125-371</t>
  </si>
  <si>
    <t>146-1010</t>
  </si>
  <si>
    <t>31-100</t>
  </si>
  <si>
    <t>1.2-8.5</t>
  </si>
  <si>
    <t>8-56</t>
  </si>
  <si>
    <t>3.1-19</t>
  </si>
  <si>
    <t>151-1478</t>
  </si>
  <si>
    <t>0.8-26</t>
  </si>
  <si>
    <t>0.3-7.2</t>
  </si>
  <si>
    <t>413-10329</t>
  </si>
  <si>
    <t>84-1351</t>
  </si>
  <si>
    <t>17-218</t>
  </si>
  <si>
    <t>8.0-147</t>
  </si>
  <si>
    <t>geom. CV</t>
  </si>
  <si>
    <t>Cliv</t>
  </si>
  <si>
    <t>µg*min/ml</t>
  </si>
  <si>
    <t>ng/ml</t>
  </si>
  <si>
    <t>geom. Mean</t>
  </si>
  <si>
    <t>ng*h/ml</t>
  </si>
  <si>
    <t>CL Type: renal Clearance, AUC(0-144h)=38,2+/-12,4</t>
  </si>
  <si>
    <t>CL Type: renal Clearance, AUC(240-384h)=54,8+/-11,6</t>
  </si>
  <si>
    <t>CL Type: renal Clearance; AUC(0-144,5h)=87,3+/-8,3; nonrenal clearance = 17+/-17 ml/min; systemic clearance = renal + nonrenal clearance</t>
  </si>
  <si>
    <t>CL Type: renal Clearance; AUC(240-384,5h)=74,5+/-10,5; nonrenal clearance = 54+/-29 ml/min; systemic clearance = renal + nonrenal clearance</t>
  </si>
  <si>
    <t>individual AUC could be extracted from fig. 1b</t>
  </si>
  <si>
    <t>geo. Mean</t>
  </si>
  <si>
    <t>ng*min/mL</t>
  </si>
  <si>
    <t>75.7-155.7</t>
  </si>
  <si>
    <t>CL: n = 23</t>
  </si>
  <si>
    <t>µg/L/hr</t>
  </si>
  <si>
    <t>ml/min</t>
  </si>
  <si>
    <t>arith. SE</t>
  </si>
  <si>
    <t>Significantly different from control (P&lt;0.05). Microconstants were not statistically compared.</t>
  </si>
  <si>
    <t>AUC AvgUnit &amp; AUC VarUnit in paper: ng*mL-1*h-1 (not in list; might be wrong)</t>
  </si>
  <si>
    <t>µg*min/mL</t>
  </si>
  <si>
    <t>mL/h</t>
  </si>
  <si>
    <t>CL=dose/AUC</t>
  </si>
  <si>
    <t>Time</t>
  </si>
  <si>
    <t>TimeUnit</t>
  </si>
  <si>
    <t>LLOQ</t>
  </si>
  <si>
    <t>As there are samples missing in the plot with very narrow sampling times, it is not clear which belongs to the reported times, therefore the scanned times are kept for fitting.</t>
  </si>
  <si>
    <t>&lt;0.4</t>
  </si>
  <si>
    <t>from Fig. 3</t>
  </si>
  <si>
    <t>from Table 1</t>
  </si>
  <si>
    <t>from Fig. 4</t>
  </si>
  <si>
    <t>cumulated</t>
  </si>
  <si>
    <t>&lt;4</t>
  </si>
  <si>
    <t>geo. SD</t>
  </si>
  <si>
    <t>cumulated, calculated from individual data</t>
  </si>
  <si>
    <t>arith. SD to be exctracted</t>
  </si>
  <si>
    <t>arith. SEM to be exctracted</t>
  </si>
  <si>
    <t>arith. SD to be extracted</t>
  </si>
  <si>
    <t>SD TODO</t>
  </si>
  <si>
    <t>µg/ml</t>
  </si>
  <si>
    <t>&lt;0.1</t>
  </si>
  <si>
    <t>&lt;1</t>
  </si>
  <si>
    <t>nmol/l</t>
  </si>
  <si>
    <t>Var values for this paper have not been chartscanned due to too many different values</t>
  </si>
  <si>
    <t>intern: no time point for 12h</t>
  </si>
  <si>
    <t>timpoint in figure, but not mentioned in paper</t>
  </si>
  <si>
    <t>intern: Fig. 1a, t=0</t>
  </si>
  <si>
    <t>intern: Fig. 1a, t=0,5</t>
  </si>
  <si>
    <t>intern: Fig. 1a, t=1</t>
  </si>
  <si>
    <t>intern: Fig. 1a, t=2</t>
  </si>
  <si>
    <t>intern: Fig. 1a, t=3</t>
  </si>
  <si>
    <t>intern: Fig. 1a, t=4</t>
  </si>
  <si>
    <t>intern: Fig. 1a, t=6</t>
  </si>
  <si>
    <t>intern: Fig. 1a, t=8</t>
  </si>
  <si>
    <t>intern: Fig. 1a, t=12</t>
  </si>
  <si>
    <t>intern: Fig. 1a, t=20</t>
  </si>
  <si>
    <t>intern: Fig. 1a,  t=8</t>
  </si>
  <si>
    <t>2.5h is not supposed to be measured, but 8h, 12h and 24h</t>
  </si>
  <si>
    <t>146.5h is not supposed to be measured, but 8h, 12h and 24h</t>
  </si>
  <si>
    <t>95th CI</t>
  </si>
  <si>
    <t>na =  had no arith SD value in figure</t>
  </si>
  <si>
    <t>too many values at once space</t>
  </si>
  <si>
    <t>missing timepoints: 20. 40. 50</t>
  </si>
  <si>
    <t>timepoint not mentioned in paper</t>
  </si>
  <si>
    <t>na</t>
  </si>
  <si>
    <t>&lt;2</t>
  </si>
  <si>
    <t>Original author multiplied by 2 (corrected for a 15-mg dose)</t>
  </si>
  <si>
    <t>&lt;25</t>
  </si>
  <si>
    <t>missing timepoints in fig.2: 0.08, 5, 10, 12, 24</t>
  </si>
  <si>
    <t>missing timepoints in fig.2: 5, 24</t>
  </si>
  <si>
    <t>missing timepoints in fig.2: 5, 12, 24</t>
  </si>
  <si>
    <t>missing timepoints in fig.2: 12, 24</t>
  </si>
  <si>
    <t>missing timepoints in fig.2: 8</t>
  </si>
  <si>
    <t>missing timepoints in fig.2: 0.08</t>
  </si>
  <si>
    <t>missing timepoints: 24</t>
  </si>
  <si>
    <t>missing timepoints: 1.5, 12, 24</t>
  </si>
  <si>
    <t>missing timepoints: 0.08, 0.17, 0.25</t>
  </si>
  <si>
    <t>timepoint 10 &amp; 15 were not mentioned in paper</t>
  </si>
  <si>
    <t>missing timepoints: 0.08, 0.17, 24</t>
  </si>
  <si>
    <t>missing timepoints: 0.08, 12, 24</t>
  </si>
  <si>
    <t>missing timepoints: 12, 24</t>
  </si>
  <si>
    <t>timepoints 73-790 were not mentioned in paper</t>
  </si>
  <si>
    <t>timepoints 63-242 were not mentioned in paper</t>
  </si>
  <si>
    <t>missing timepoints: 0.08, 0.17 (due to too many values in one place), 0.25, 12, 24</t>
  </si>
  <si>
    <t>missing timepoints: 5, 6, 7, 8, 10, 12, 24</t>
  </si>
  <si>
    <t>Original scanned value: 0.001999307</t>
  </si>
  <si>
    <t>timepoint 1.5 is not mentioned in paper</t>
  </si>
  <si>
    <t>missing timepoint: 5</t>
  </si>
  <si>
    <t>missing timepoint: 22 h</t>
  </si>
  <si>
    <t>Study ID</t>
  </si>
  <si>
    <t>Substrate</t>
  </si>
  <si>
    <t>Perpetrator</t>
  </si>
  <si>
    <t>Route Substrate</t>
  </si>
  <si>
    <t>Route Perpetrator</t>
  </si>
  <si>
    <t>AUCR Avg</t>
  </si>
  <si>
    <t>AUCR AvgType</t>
  </si>
  <si>
    <t>AUCR Var</t>
  </si>
  <si>
    <t>AUCR VarType</t>
  </si>
  <si>
    <t>CmaxR Avg</t>
  </si>
  <si>
    <t>CmaxR AvgType</t>
  </si>
  <si>
    <t>CmaxR Var</t>
  </si>
  <si>
    <t>CmaxR VarType</t>
  </si>
  <si>
    <t>t_placebo_0</t>
  </si>
  <si>
    <t>t_placebo_end</t>
  </si>
  <si>
    <t>t_treatment_0</t>
  </si>
  <si>
    <t>t_treatment_end</t>
  </si>
  <si>
    <t>Fluvoxamine</t>
  </si>
  <si>
    <t>0.75-4.69</t>
  </si>
  <si>
    <t>0.69-3.96</t>
  </si>
  <si>
    <t>Fevarin</t>
  </si>
  <si>
    <t>0.063-0.145</t>
  </si>
  <si>
    <t>95% CI</t>
  </si>
  <si>
    <t>0.101-0.226</t>
  </si>
  <si>
    <t>Rimapen Orion</t>
  </si>
  <si>
    <t>Approx. Avg</t>
  </si>
  <si>
    <t>Approx. CmaxR</t>
  </si>
  <si>
    <t>(S-0,T-24,R-9)</t>
  </si>
  <si>
    <t>300-mg capsules (UDL)</t>
  </si>
  <si>
    <t>2x 300 mg capsules</t>
  </si>
  <si>
    <t>200-mg tablets (Taro)</t>
  </si>
  <si>
    <t>2x 200 mg tablets</t>
  </si>
  <si>
    <t>Week 4 as Control</t>
  </si>
  <si>
    <t>(S-0,T-24,R-28)</t>
  </si>
  <si>
    <t>Rifadin (2x 300mg)</t>
  </si>
  <si>
    <t>Rifadin 2x 300 mg (Merrel)</t>
  </si>
  <si>
    <t>Clarithromycin</t>
  </si>
  <si>
    <t>(S-0,T-12-R-10)</t>
  </si>
  <si>
    <t>MD BID</t>
  </si>
  <si>
    <t>Klacid tabelts</t>
  </si>
  <si>
    <t>Kacid tablets from Abbot</t>
  </si>
  <si>
    <t>(S-0,T-8-R-15)</t>
  </si>
  <si>
    <t>MD TID</t>
  </si>
  <si>
    <t>Zithromax</t>
  </si>
  <si>
    <t>Zitrhromax Pfizer</t>
  </si>
  <si>
    <t>Arith.mean</t>
  </si>
  <si>
    <t>300 mg capsules, Rimapen Orion</t>
  </si>
  <si>
    <t>Arith. SEM</t>
  </si>
  <si>
    <t>Arith. Mean</t>
  </si>
  <si>
    <t>Sporanox 100-mg capsule</t>
  </si>
  <si>
    <t>from CL (L/hr/kg), Cmax dose-corrrected</t>
  </si>
  <si>
    <t>0-(S24-T24-R6)</t>
  </si>
  <si>
    <t>pill, INN, rifampicin</t>
  </si>
  <si>
    <t>from CL (L/hr/kg)</t>
  </si>
  <si>
    <t>(S-0,T-12,R-14)</t>
  </si>
  <si>
    <t>Rifampin</t>
  </si>
  <si>
    <t>300mg, Rifadin®, Aventis Pharmaceuticals</t>
  </si>
  <si>
    <t>twice daily</t>
  </si>
  <si>
    <t>clarithromycin</t>
  </si>
  <si>
    <t>500 mg, Biaxin®, Abbott Laboratories</t>
  </si>
  <si>
    <t>Rifadin®, Aventis Pharmaceuticals</t>
  </si>
  <si>
    <t>Biaxin®, Abbott Laboratories</t>
  </si>
  <si>
    <t>+/- 90%CI</t>
  </si>
  <si>
    <t>0-24-48-72-96-120</t>
  </si>
  <si>
    <t>rifampin</t>
  </si>
  <si>
    <t>capsules</t>
  </si>
  <si>
    <t>at bedtime</t>
  </si>
  <si>
    <t>Approx. Median</t>
  </si>
  <si>
    <t>rifampicin</t>
  </si>
  <si>
    <t>Rimactan®, 600 mg coated tablet, Medika AG,</t>
  </si>
  <si>
    <t>in the morning</t>
  </si>
  <si>
    <t>in the evening</t>
  </si>
  <si>
    <t>0-24-48-72-96-120-144</t>
  </si>
  <si>
    <t>rifampicin (Sandoz GmbH)</t>
  </si>
  <si>
    <t>0-(S24-T24-R15)</t>
  </si>
  <si>
    <t>RIFA; Grünenthal GmbH</t>
  </si>
  <si>
    <t>0-(S12-T-12-R13)</t>
  </si>
  <si>
    <t>pill</t>
  </si>
  <si>
    <t>AUCR estimated from CL ratio</t>
  </si>
  <si>
    <t>Fluconazole</t>
  </si>
  <si>
    <t>400: 0; 200: 24-48-72</t>
  </si>
  <si>
    <t>400: 0; 200: 24-48-72-96-120</t>
  </si>
  <si>
    <t>(S0-T8-R16)-126-136-144-152-160</t>
  </si>
  <si>
    <t>three times a day</t>
  </si>
  <si>
    <t>Etromycin, 500 mg enterotablet, Orion Pharmaceutical Company Ltd.</t>
  </si>
  <si>
    <t>8.23-11.79</t>
  </si>
  <si>
    <t>90% CI</t>
  </si>
  <si>
    <t>2.85-4.44</t>
  </si>
  <si>
    <t>3.20-4.08</t>
  </si>
  <si>
    <t>0-5-10.5-15-24-29-34.5-39</t>
  </si>
  <si>
    <t>erythromycin</t>
  </si>
  <si>
    <t>Erythrocin; Dainippon Pharmaceutical Co</t>
  </si>
  <si>
    <t>standardized light breakfast at 07:20am</t>
  </si>
  <si>
    <t>0-5-10.5-15-24-29-34.5-39-48-53-58.5-63-72-77-82.5-87</t>
  </si>
  <si>
    <t>0-5-10.5-15-24-29-34.5-39-48-53-58.5-63-72-77-82.5-87-96-101-106.5-111-120-125-130.5-135-144-149-154.5-159</t>
  </si>
  <si>
    <t>wrt. administration of midazolam</t>
  </si>
  <si>
    <t>0-12-24-36-48-60</t>
  </si>
  <si>
    <t>Janssen Cilag</t>
  </si>
  <si>
    <t>at 8am and 8pm</t>
  </si>
  <si>
    <t>Name</t>
  </si>
  <si>
    <t>Molecular weight [g/mol]</t>
  </si>
  <si>
    <t>Vancomycin</t>
  </si>
  <si>
    <t>Propofol</t>
  </si>
  <si>
    <t>Raltegravir</t>
  </si>
  <si>
    <t>Paclitaxel</t>
  </si>
  <si>
    <t>Midazolam-N-glucuronide</t>
  </si>
  <si>
    <t>Types</t>
  </si>
  <si>
    <t>Units</t>
  </si>
  <si>
    <t>AUC</t>
  </si>
  <si>
    <t>CL</t>
  </si>
  <si>
    <t>DVMean</t>
  </si>
  <si>
    <t>DVVar</t>
  </si>
  <si>
    <t>ConcentrationMean</t>
  </si>
  <si>
    <t>ConcentrationVar</t>
  </si>
  <si>
    <t>FractionVar</t>
  </si>
  <si>
    <t>AUCMean</t>
  </si>
  <si>
    <t>AUCVar</t>
  </si>
  <si>
    <t>CLMean</t>
  </si>
  <si>
    <t>CLVar</t>
  </si>
  <si>
    <t>Data Type</t>
  </si>
  <si>
    <t>Cmax_unbound</t>
  </si>
  <si>
    <t>Cliv_unbound</t>
  </si>
  <si>
    <t>ng/L</t>
  </si>
  <si>
    <t>ng*h/L</t>
  </si>
  <si>
    <t>AUC_inf_unbound</t>
  </si>
  <si>
    <t>CL/F_unbound</t>
  </si>
  <si>
    <t>pg/L</t>
  </si>
  <si>
    <t>pg*h/L</t>
  </si>
  <si>
    <t>AUC_tend_unbound</t>
  </si>
  <si>
    <t>mg/dL</t>
  </si>
  <si>
    <t>mg*h/dL</t>
  </si>
  <si>
    <t>AUC_tau_unbound</t>
  </si>
  <si>
    <t>µg/dL</t>
  </si>
  <si>
    <t>µg*h/dL</t>
  </si>
  <si>
    <t>L/min/kg</t>
  </si>
  <si>
    <t>ng/dL</t>
  </si>
  <si>
    <t>ng*h/dL</t>
  </si>
  <si>
    <t>mL/h/kg</t>
  </si>
  <si>
    <t>pg/dL</t>
  </si>
  <si>
    <t>pg*h/dL</t>
  </si>
  <si>
    <t>mg/mL</t>
  </si>
  <si>
    <t>mmol/L</t>
  </si>
  <si>
    <t>mmol*h/L</t>
  </si>
  <si>
    <t>µmol/L</t>
  </si>
  <si>
    <t>µmol*h/L</t>
  </si>
  <si>
    <t>pmol/L</t>
  </si>
  <si>
    <t>pmol*h/L</t>
  </si>
  <si>
    <t>mmol/dL</t>
  </si>
  <si>
    <t>mmol*h/dL</t>
  </si>
  <si>
    <t>µmol/dL</t>
  </si>
  <si>
    <t>µmol*h/dL</t>
  </si>
  <si>
    <t>nmol/dL</t>
  </si>
  <si>
    <t>nmol*h/dL</t>
  </si>
  <si>
    <t>pmol/dL</t>
  </si>
  <si>
    <t>pmol*h/dL</t>
  </si>
  <si>
    <t>mmol/mL</t>
  </si>
  <si>
    <t>mmol*h/mL</t>
  </si>
  <si>
    <t>µmol/mL</t>
  </si>
  <si>
    <t>µmol*h/mL</t>
  </si>
  <si>
    <t>nmol/mL</t>
  </si>
  <si>
    <t>nmol*h/mL</t>
  </si>
  <si>
    <t>pmol/mL</t>
  </si>
  <si>
    <t>pmol*h/mL</t>
  </si>
  <si>
    <t>mg*min/L</t>
  </si>
  <si>
    <t>µg*min/L</t>
  </si>
  <si>
    <t>ng</t>
  </si>
  <si>
    <t>ng*min/L</t>
  </si>
  <si>
    <t>pg</t>
  </si>
  <si>
    <t>pg*min/L</t>
  </si>
  <si>
    <t>mmol</t>
  </si>
  <si>
    <t>mg*min/dL</t>
  </si>
  <si>
    <t>µmol</t>
  </si>
  <si>
    <t>µg*min/dL</t>
  </si>
  <si>
    <t>nmol</t>
  </si>
  <si>
    <t>ng*min/dL</t>
  </si>
  <si>
    <t>pmol</t>
  </si>
  <si>
    <t>pg*min/dL</t>
  </si>
  <si>
    <t>mg*min/mL</t>
  </si>
  <si>
    <t>pg*min/mL</t>
  </si>
  <si>
    <t>mmol*min/L</t>
  </si>
  <si>
    <t>µmol*min/L</t>
  </si>
  <si>
    <t>nmol*min/L</t>
  </si>
  <si>
    <t>pmol*min/L</t>
  </si>
  <si>
    <t>mmol*min/dL</t>
  </si>
  <si>
    <t>µmol*min/dL</t>
  </si>
  <si>
    <t>nmol*min/dL</t>
  </si>
  <si>
    <t>pmol*min/dL</t>
  </si>
  <si>
    <t>mmol*min/mL</t>
  </si>
  <si>
    <t>µmol*min/mL</t>
  </si>
  <si>
    <t>nmol*min/mL</t>
  </si>
  <si>
    <t>pmol*min/mL</t>
  </si>
  <si>
    <t>mg*h/L/kg</t>
  </si>
  <si>
    <t>Projects</t>
  </si>
  <si>
    <t>Midazolam, Itraconazole-Midazolam-DDI</t>
  </si>
  <si>
    <t>Itraconazole-Midazolam-DDI</t>
  </si>
  <si>
    <t>Midazolam, Rifampicin-Midazolam-DDI</t>
  </si>
  <si>
    <t>Rifampicin-Midazolam-DDI</t>
  </si>
  <si>
    <t>Midazolam, Rifampicin-Midazolam-DDI, Itraconazole-Midazolam-DDI</t>
  </si>
  <si>
    <t>Midazolam, Rifampicin-Midazolam-DDI, Ketoconazole-Midazolam-DDI</t>
  </si>
  <si>
    <t>Ketoconazole-Midazolam-DDI</t>
  </si>
  <si>
    <t>Digoxin, Rifampicin-Digoxin-DDI</t>
  </si>
  <si>
    <t>Rifampicin-Digoxin-DDI</t>
  </si>
  <si>
    <t>Midazolam, Clarithromycin-Midazolam-DDI</t>
  </si>
  <si>
    <t>Clarithromycin-Midazolam-DDI</t>
  </si>
  <si>
    <t>Digoxin, Clarithromycin-Digoxin-DDI</t>
  </si>
  <si>
    <t>Clarithromycin-Digoxin-DDI</t>
  </si>
  <si>
    <t>Digoxin, Itraconazole-Digoxin-DDI</t>
  </si>
  <si>
    <t>Itraconazole-Digoxin-DDI</t>
  </si>
  <si>
    <t>Itraconazole, Itraconazole-Digoxin-DDI</t>
  </si>
  <si>
    <t>Alfentanil, Rifampicin-Alfentanil-DDI</t>
  </si>
  <si>
    <t>Rifampicin-Alfentanil-DDI</t>
  </si>
  <si>
    <t>Buspirone, Erythromycin-Buspirone-DDI</t>
  </si>
  <si>
    <t>Erythromycin-Buspirone-DDI</t>
  </si>
  <si>
    <t>Erythromycin, Erythromycin-Buspirone-DDI</t>
  </si>
  <si>
    <t>Itraconazole-Buspirone-DDI</t>
  </si>
  <si>
    <t>Itraconazole, Itraconazole-Buspirone-DDI</t>
  </si>
  <si>
    <t>Buspirone, Fluvoxamine-Buspirone-DDI</t>
  </si>
  <si>
    <t>Fluvoxamine-Buspirone-DDI</t>
  </si>
  <si>
    <t>Buspirone, Rifampicin-Buspirone-DDI</t>
  </si>
  <si>
    <t>Rifampicin-Buspirone-DDI</t>
  </si>
  <si>
    <t>Buspirone, Verapamil-Buspirone-DDI</t>
  </si>
  <si>
    <t>Verapamil-Buspirone-DDI</t>
  </si>
  <si>
    <t>Verapamil, Verapamil-Buspirone-DDI</t>
  </si>
  <si>
    <t>Diltiazem-Buspirone-DDI</t>
  </si>
  <si>
    <t>Verapamil, Diltiazem-Buspirone-DDI</t>
  </si>
  <si>
    <t>Ketoconazole-Digoxin-DDI</t>
  </si>
  <si>
    <t>Midazolam, Erythromycin-Midazolam-DDI</t>
  </si>
  <si>
    <t>Erythromycin-Midazolam-DDI</t>
  </si>
  <si>
    <t>Midazolam, Itraconazole-Midazolam-DDI, Ketoconazole-Midazolam-DDI</t>
  </si>
  <si>
    <t>Itraconazole, Itraconazole-Midazolam-DDI</t>
  </si>
  <si>
    <t>Ketoconazole, Ketoconazole-Midazolam-DDI</t>
  </si>
  <si>
    <t>Midazolam, Voriconazole-Midazolam-DDI</t>
  </si>
  <si>
    <t>Voriconazole-Midazolam-DDI</t>
  </si>
  <si>
    <t>Voriconazole, Voriconazole-Midazolam-DDI</t>
  </si>
  <si>
    <t>Midazolam, Ketoconazole-Midazolam-DDI</t>
  </si>
  <si>
    <t>Paper</t>
  </si>
  <si>
    <t>Done</t>
  </si>
  <si>
    <t>Open</t>
  </si>
  <si>
    <t>Checked</t>
  </si>
  <si>
    <t>Abdel-Rahman 2007</t>
  </si>
  <si>
    <t>https://www.ncbi.nlm.nih.gov/pubmed/17517842</t>
  </si>
  <si>
    <t>6m-2y</t>
  </si>
  <si>
    <t>infusion</t>
  </si>
  <si>
    <t>in 0.1-g/kg HP-beta-CD</t>
  </si>
  <si>
    <t>African amerikan, caucasian, asian. considered to be at risk for developing a fungal infection</t>
  </si>
  <si>
    <t>2-6y</t>
  </si>
  <si>
    <t>African amerikan, caucasian, hispanic,  considered to be at risk for developing a fungal infection</t>
  </si>
  <si>
    <t>6-12y</t>
  </si>
  <si>
    <t>African amerikan, caucasian, hispanic,   considered to be at risk for developing a fungal infection</t>
  </si>
  <si>
    <t>12-16y</t>
  </si>
  <si>
    <t>Cmax_total</t>
  </si>
  <si>
    <t>Fluconazole-Midazolam-DDI</t>
  </si>
  <si>
    <t>(S-0,T-24,R-5)</t>
  </si>
  <si>
    <t>QD</t>
  </si>
  <si>
    <t>0-12-24-36</t>
  </si>
  <si>
    <t>(S-0,T-24,R-4)</t>
  </si>
  <si>
    <t>Sporanox Janssen</t>
  </si>
  <si>
    <t>missing timepoints: 26, 28, 30, 34, 48</t>
  </si>
  <si>
    <t>missing timepoints: 386, 388, 390, 394, 408</t>
  </si>
  <si>
    <t>LLOQ  10 µg/L???</t>
  </si>
  <si>
    <t>missing timepoint: 8h</t>
  </si>
  <si>
    <t>missing timepoint: 104h</t>
  </si>
  <si>
    <t>missing timepoint: 6</t>
  </si>
  <si>
    <t>missing timepoint: 24</t>
  </si>
  <si>
    <t>Day 4 - 600 mg po MD</t>
  </si>
  <si>
    <t>Day 7 - 600 mg po MD</t>
  </si>
  <si>
    <t>The gender (P = 0.9) or the use of contraceptives (P = 0.3) did not affect the pharmacokinetics of midazolam.</t>
  </si>
  <si>
    <t>Dormicum, Hoffman-La-Roche, Switzerland</t>
  </si>
  <si>
    <t>healthy subjects</t>
  </si>
  <si>
    <t>healthy</t>
  </si>
  <si>
    <t>Total subjects: 21 healthy volunteers (19 Caucasian, 1 North African, 1 black African; 8 male; mean±SD, range: age 33±9 years, 23–55 years; weight 62±10 kg, 50–78 kg)</t>
  </si>
  <si>
    <t>100 ml water containing either 0.075 mg or 7.5 mg MID, prepared by diluting 75 µl of a 1-mg/ml MID solution into 100 ml of water or 1.5 ml of a 5-mg/ml MID solution into 100 ml of water, respectively.</t>
  </si>
  <si>
    <t>PK param missing</t>
  </si>
  <si>
    <t>Fig. 2A</t>
  </si>
  <si>
    <t>Fig. 2B</t>
  </si>
  <si>
    <t>timepoints not mentioned in paper: 0.25 and 0.5</t>
  </si>
  <si>
    <t>missing timepoints: 0.33, 0.67, 1.33 and 2</t>
  </si>
  <si>
    <t>timepoints not mentioned in paper: 0.25, 0.5, 0.75 and 10</t>
  </si>
  <si>
    <t>missing timepoints: 0.33, 0.67 and 12</t>
  </si>
  <si>
    <t>timepoints not mentioned in paper: 0.25, 0.5</t>
  </si>
  <si>
    <t>missing timepoints: 0.25, 12, 16, 24</t>
  </si>
  <si>
    <t>missing timepoints: 12, 16, 24</t>
  </si>
  <si>
    <t>missing timepoints: 16, 24</t>
  </si>
  <si>
    <t>day 10 Control with Perpetrator (Erythromycin)</t>
  </si>
  <si>
    <t>15-mg tablet</t>
  </si>
  <si>
    <t>DIG</t>
  </si>
  <si>
    <t>Lanoxin, 0.25-mg tablets; GlaxoSmithKline</t>
  </si>
  <si>
    <t>Unexpected Interaction between Digoxin and Bupropion. An unexpected DDI was observed when the pharmacokinetics of DIG before any treatment (control) were compared between staggered (study 1) versus simultaneous (study 2) administration (Fig. 4A). In the control phase of study 2 where DIG was given ~24 h after BUP (extended release, 150 mg), the DIG AUC0–24 h was decreased 1.6-fold, and Clrenal was increased 1.8-fold compared with study 1 (Table 1; Fig. 5). This interaction was also observed during RTV, NFV, or RIF treatment (Fig. 4, B through D). DIG Cmax, Tmax, and AUC0–4 h were not significantly different between studies 1 and 2.</t>
  </si>
  <si>
    <t>mixture of digoxin</t>
  </si>
  <si>
    <t>10 mL 50 µg mL-1, Digoxin SAD; Medicine Agency of the Danish Region</t>
  </si>
  <si>
    <t>Denmark (Viborg County), only of Danish ethnicity</t>
  </si>
  <si>
    <t>All the volunteers were ascertained to be of good health by medical examination and standard laboratory blood tests. None of the subjects was taking any medication or herbal drugs (including hormonal contraceptives). 2 smokers, no daily alcohol users.</t>
  </si>
  <si>
    <t>Fig. 1 &amp; 2</t>
  </si>
  <si>
    <t>IV/PO</t>
  </si>
  <si>
    <t>0-24</t>
  </si>
  <si>
    <t>PO administration: 24</t>
  </si>
  <si>
    <t>rifampicin solution</t>
  </si>
  <si>
    <t>solution for the rifampicin infusion was prepared by dissolving the content of a 600 mg vial in 10 ml solvent, which was transferred into 500 ml isotonic saline solution</t>
  </si>
  <si>
    <t>Patients suffering from active pulmonary tuberculosis consented to participate in this study.</t>
  </si>
  <si>
    <t>0-(S24-T24-R8)</t>
  </si>
  <si>
    <t>PO administration: 192</t>
  </si>
  <si>
    <t>0-(S24-T24-R22)</t>
  </si>
  <si>
    <t>PO administration: 528</t>
  </si>
  <si>
    <t>0-(S24-T24-R7)</t>
  </si>
  <si>
    <t>IV administration: 168</t>
  </si>
  <si>
    <t>0-(S24-T24-R21)</t>
  </si>
  <si>
    <t>IV administration: 504</t>
  </si>
  <si>
    <t>all patients also received 1 mg/kg lignocaine (Lidocaine HCL 10 mg/ml Miniplasco, Braun, Uden, the Netherlands) after midazolam.</t>
  </si>
  <si>
    <t>Dormicum 3 mg/ml, Roche, Mijdrecht, the Netherlands</t>
  </si>
  <si>
    <t>arrith. Mean</t>
  </si>
  <si>
    <t>healthy volunteers.  One male subject was taking pravastatin (20 mg once daily) for familial hypercholesterolaemia, but pravastatin has little potential for drug interactions with substrates, inhibitors, or inducers of the CYP3A4 system</t>
  </si>
  <si>
    <t>on days 0-4, all patients also received 1 mg/kg lignocaine (Lidocaine HCL 10 mg/ml Miniplasco, Braun, Uden, the Netherlands), on day 4 after midazolam.</t>
  </si>
  <si>
    <t>Erythromycin was taken 4 times per day, but timing was not specified. A fixed dose interval of tau=6h was assumed. Midazolam and lignocaine were co-administered with erythromycin. It was not specified, which dose of the day was chosen for co-administration.</t>
  </si>
  <si>
    <t>Oral soultion</t>
  </si>
  <si>
    <t>300-mg capsules; Novartis</t>
  </si>
  <si>
    <t>according to the methods section, AUC was calculated, but data are not given in text or tables.</t>
  </si>
  <si>
    <t>0-(S0-T6-R20)</t>
  </si>
  <si>
    <t>erythromycin was taken 4 times per day, but timing was not specified. A fixed dose interval oh tau=6h was assumed. Midazolam and lignocaine were co-administered with erythromycin.</t>
  </si>
  <si>
    <t>2x 300 mg</t>
  </si>
  <si>
    <t>Eon Labs 300 mg Capsule</t>
  </si>
  <si>
    <t>Rifadin 300 mg Capsule</t>
  </si>
  <si>
    <t>0.075 mg Control (Perpetrator Placebo)</t>
  </si>
  <si>
    <t>0.075 mg with Perpetrator (Rifampicin)</t>
  </si>
  <si>
    <t>0.075 mg with Perpetrator (Ketoconazole)</t>
  </si>
  <si>
    <t>iv 0.001 mg</t>
  </si>
  <si>
    <t>po 0.003 mg</t>
  </si>
  <si>
    <t>SD, individual dose: Pat2: 7.7 mg/kg; Pat3: 8.9 mg/kg; Pat6: 9.4 mg/kg; Pat7: 6.4 mg/kg</t>
  </si>
  <si>
    <t>Weight: Has been calculated with weight values of individual patients: Pat2: 78 kg, Pat3: 67 kg, Pat6: 64 kg, Pat7: 94 kg</t>
  </si>
  <si>
    <t>Digoxin 0.25-mg tablets, Orion, Espoo, Finland</t>
  </si>
  <si>
    <t>human</t>
  </si>
  <si>
    <t>year</t>
  </si>
  <si>
    <t>Sporanox 100-mg caps, Janssen Pharmaceuticals, Beerse, Belgium</t>
  </si>
  <si>
    <t>AUC AvgUnit &amp; AUC VarUnit in paper: mcg/ml/h (not in list; might be wrong)</t>
  </si>
  <si>
    <t>aggregated</t>
  </si>
  <si>
    <t>missing timepoint: 72h</t>
  </si>
  <si>
    <t>LLOQ unit converted (10 ng/mL)</t>
  </si>
  <si>
    <t>CL is here CLR: amount excreted in urine in 72 h / AUC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</si>
</sst>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
    <numFmt numFmtId="165" formatCode="0.000000"/>
  </numFmts>
  <fonts count="38" x14ac:knownFonts="1">
    <font>
      <sz val="11"/>
      <color theme="1"/>
      <name val="Arial"/>
      <family val="2"/>
    </font>
    <font>
      <i/>
      <sz val="11"/>
      <color rgb="FF7F7F7F"/>
      <name val="Arial"/>
      <family val="2"/>
    </font>
    <font>
      <sz val="11"/>
      <color theme="1"/>
      <name val="Calibri"/>
      <family val="2"/>
      <scheme val="minor"/>
    </font>
    <font>
      <sz val="9"/>
      <color indexed="81"/>
      <name val="Tahoma"/>
      <family val="2"/>
    </font>
    <font>
      <sz val="11"/>
      <name val="Calibri"/>
      <family val="2"/>
      <scheme val="minor"/>
    </font>
    <font>
      <b/>
      <sz val="9"/>
      <color indexed="81"/>
      <name val="Tahoma"/>
      <family val="2"/>
    </font>
    <font>
      <b/>
      <sz val="11"/>
      <color theme="1"/>
      <name val="Arial"/>
      <family val="2"/>
    </font>
    <font>
      <sz val="10"/>
      <color theme="1"/>
      <name val="Arial"/>
      <family val="2"/>
    </font>
    <font>
      <b/>
      <sz val="10"/>
      <color theme="1"/>
      <name val="Arial"/>
      <family val="2"/>
    </font>
    <font>
      <i/>
      <sz val="10"/>
      <color rgb="FF7F7F7F"/>
      <name val="Arial"/>
      <family val="2"/>
    </font>
    <font>
      <b/>
      <sz val="10"/>
      <name val="Arial"/>
      <family val="2"/>
    </font>
    <font>
      <sz val="11"/>
      <name val="Arial"/>
      <family val="2"/>
    </font>
    <font>
      <sz val="10"/>
      <name val="Arial"/>
      <family val="2"/>
    </font>
    <font>
      <u/>
      <sz val="11"/>
      <color theme="10"/>
      <name val="Arial"/>
      <family val="2"/>
    </font>
    <font>
      <b/>
      <sz val="10"/>
      <color theme="0" tint="-0.499984740745262"/>
      <name val="Arial"/>
      <family val="2"/>
    </font>
    <font>
      <sz val="10"/>
      <color theme="0" tint="-0.499984740745262"/>
      <name val="Arial"/>
      <family val="2"/>
    </font>
    <font>
      <sz val="11"/>
      <color theme="0" tint="-0.499984740745262"/>
      <name val="Arial"/>
      <family val="2"/>
    </font>
    <font>
      <u/>
      <sz val="10"/>
      <color theme="10"/>
      <name val="Arial"/>
      <family val="2"/>
    </font>
    <font>
      <sz val="11"/>
      <color theme="1"/>
      <name val="Arial"/>
      <family val="2"/>
    </font>
    <font>
      <b/>
      <sz val="18"/>
      <color theme="3"/>
      <name val="Cambria"/>
      <family val="2"/>
      <scheme val="major"/>
    </font>
    <font>
      <u/>
      <sz val="11"/>
      <color theme="10"/>
      <name val="Calibri"/>
      <family val="2"/>
      <scheme val="minor"/>
    </font>
    <font>
      <sz val="11"/>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i/>
      <sz val="11"/>
      <color rgb="FF7F7F7F"/>
      <name val="Calibri"/>
      <family val="2"/>
      <scheme val="minor"/>
    </font>
    <font>
      <u/>
      <sz val="11"/>
      <color theme="10"/>
      <name val="Calibri"/>
      <scheme val="minor"/>
    </font>
  </fonts>
  <fills count="5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241">
    <xf numFmtId="0" fontId="0" fillId="0" borderId="0"/>
    <xf numFmtId="0" fontId="1" fillId="0" borderId="0" applyNumberFormat="0" applyFill="0" applyBorder="0" applyAlignment="0" applyProtection="0"/>
    <xf numFmtId="0" fontId="2" fillId="0" borderId="0"/>
    <xf numFmtId="0" fontId="4" fillId="0" borderId="0"/>
    <xf numFmtId="0" fontId="13" fillId="0" borderId="0" applyNumberFormat="0" applyFill="0" applyBorder="0" applyAlignment="0" applyProtection="0"/>
    <xf numFmtId="0" fontId="4" fillId="0" borderId="0"/>
    <xf numFmtId="0" fontId="2" fillId="0" borderId="0"/>
    <xf numFmtId="43" fontId="2" fillId="0" borderId="0" applyFont="0" applyFill="0" applyBorder="0" applyAlignment="0" applyProtection="0"/>
    <xf numFmtId="0" fontId="19" fillId="0" borderId="0" applyNumberFormat="0" applyFill="0" applyBorder="0" applyAlignment="0" applyProtection="0"/>
    <xf numFmtId="0" fontId="2" fillId="0" borderId="0"/>
    <xf numFmtId="0" fontId="18" fillId="0" borderId="0"/>
    <xf numFmtId="0" fontId="1" fillId="0" borderId="0" applyNumberFormat="0" applyFill="0" applyBorder="0" applyAlignment="0" applyProtection="0"/>
    <xf numFmtId="0" fontId="2" fillId="0" borderId="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18" fillId="0" borderId="0"/>
    <xf numFmtId="0" fontId="2" fillId="0" borderId="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2" fillId="0" borderId="2" applyNumberFormat="0" applyFill="0" applyAlignment="0" applyProtection="0"/>
    <xf numFmtId="0" fontId="23" fillId="0" borderId="3" applyNumberFormat="0" applyFill="0" applyAlignment="0" applyProtection="0"/>
    <xf numFmtId="0" fontId="24" fillId="0" borderId="4" applyNumberFormat="0" applyFill="0" applyAlignment="0" applyProtection="0"/>
    <xf numFmtId="0" fontId="24" fillId="0" borderId="0" applyNumberFormat="0" applyFill="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7" fillId="21" borderId="0" applyNumberFormat="0" applyBorder="0" applyAlignment="0" applyProtection="0"/>
    <xf numFmtId="0" fontId="28" fillId="22" borderId="5" applyNumberFormat="0" applyAlignment="0" applyProtection="0"/>
    <xf numFmtId="0" fontId="29" fillId="23" borderId="6" applyNumberFormat="0" applyAlignment="0" applyProtection="0"/>
    <xf numFmtId="0" fontId="30" fillId="23" borderId="5" applyNumberFormat="0" applyAlignment="0" applyProtection="0"/>
    <xf numFmtId="0" fontId="31" fillId="0" borderId="7" applyNumberFormat="0" applyFill="0" applyAlignment="0" applyProtection="0"/>
    <xf numFmtId="0" fontId="32" fillId="24" borderId="8" applyNumberFormat="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35" fillId="49" borderId="0" applyNumberFormat="0" applyBorder="0" applyAlignment="0" applyProtection="0"/>
    <xf numFmtId="0" fontId="2" fillId="0" borderId="0"/>
    <xf numFmtId="0" fontId="2" fillId="25" borderId="9" applyNumberFormat="0" applyFont="0" applyAlignment="0" applyProtection="0"/>
    <xf numFmtId="0" fontId="3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0" fillId="0" borderId="0" applyNumberFormat="0" applyFill="0" applyBorder="0" applyAlignment="0" applyProtection="0"/>
    <xf numFmtId="0" fontId="18" fillId="0" borderId="0"/>
    <xf numFmtId="0" fontId="1" fillId="0" borderId="0" applyNumberFormat="0" applyFill="0" applyBorder="0" applyAlignment="0" applyProtection="0"/>
    <xf numFmtId="0" fontId="2" fillId="0" borderId="0"/>
    <xf numFmtId="0" fontId="13" fillId="0" borderId="0" applyNumberFormat="0" applyFill="0" applyBorder="0" applyAlignment="0" applyProtection="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36" fillId="0" borderId="0" applyNumberFormat="0" applyFill="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37"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18" fillId="0" borderId="0"/>
    <xf numFmtId="0" fontId="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25" borderId="9" applyNumberFormat="0" applyFont="0" applyAlignment="0" applyProtection="0"/>
    <xf numFmtId="0" fontId="2" fillId="0" borderId="0"/>
    <xf numFmtId="0" fontId="2" fillId="0" borderId="0"/>
    <xf numFmtId="0" fontId="2" fillId="0" borderId="0"/>
    <xf numFmtId="0" fontId="2" fillId="0" borderId="0"/>
    <xf numFmtId="0" fontId="2" fillId="0" borderId="0"/>
    <xf numFmtId="0" fontId="4" fillId="0" borderId="0"/>
  </cellStyleXfs>
  <cellXfs count="258">
    <xf numFmtId="0" fontId="0" fillId="0" borderId="0" xfId="0"/>
    <xf numFmtId="0" fontId="6" fillId="0" borderId="0" xfId="0" applyFont="1"/>
    <xf numFmtId="0" fontId="7" fillId="0" borderId="0" xfId="0" applyFont="1" applyAlignment="1">
      <alignment horizontal="left"/>
    </xf>
    <xf numFmtId="0" fontId="7" fillId="9" borderId="0" xfId="0" applyFont="1" applyFill="1" applyAlignment="1">
      <alignment horizontal="left"/>
    </xf>
    <xf numFmtId="0" fontId="8" fillId="2" borderId="0" xfId="0" applyFont="1" applyFill="1" applyAlignment="1">
      <alignment horizontal="left"/>
    </xf>
    <xf numFmtId="0" fontId="7" fillId="3" borderId="0" xfId="0" applyFont="1" applyFill="1" applyAlignment="1">
      <alignment horizontal="left"/>
    </xf>
    <xf numFmtId="0" fontId="7" fillId="2" borderId="0" xfId="0" applyFont="1" applyFill="1" applyAlignment="1">
      <alignment horizontal="left"/>
    </xf>
    <xf numFmtId="0" fontId="8" fillId="0" borderId="1" xfId="2" applyFont="1" applyBorder="1" applyAlignment="1">
      <alignment horizontal="left"/>
    </xf>
    <xf numFmtId="0" fontId="8" fillId="9" borderId="1" xfId="2" applyFont="1" applyFill="1" applyBorder="1" applyAlignment="1">
      <alignment horizontal="left"/>
    </xf>
    <xf numFmtId="0" fontId="8" fillId="5" borderId="1" xfId="2" applyFont="1" applyFill="1" applyBorder="1" applyAlignment="1">
      <alignment horizontal="left"/>
    </xf>
    <xf numFmtId="0" fontId="8" fillId="4" borderId="1" xfId="2" applyFont="1" applyFill="1" applyBorder="1" applyAlignment="1">
      <alignment horizontal="left"/>
    </xf>
    <xf numFmtId="2" fontId="8" fillId="4" borderId="1" xfId="2" applyNumberFormat="1" applyFont="1" applyFill="1" applyBorder="1" applyAlignment="1">
      <alignment horizontal="left"/>
    </xf>
    <xf numFmtId="0" fontId="8" fillId="7" borderId="1" xfId="2" applyFont="1" applyFill="1" applyBorder="1" applyAlignment="1">
      <alignment horizontal="left"/>
    </xf>
    <xf numFmtId="0" fontId="8" fillId="7" borderId="1" xfId="2" applyFont="1" applyFill="1" applyBorder="1" applyAlignment="1">
      <alignment horizontal="right"/>
    </xf>
    <xf numFmtId="0" fontId="8" fillId="8" borderId="1" xfId="2" applyFont="1" applyFill="1" applyBorder="1" applyAlignment="1">
      <alignment horizontal="left"/>
    </xf>
    <xf numFmtId="0" fontId="8" fillId="2" borderId="1" xfId="2" applyFont="1" applyFill="1" applyBorder="1" applyAlignment="1">
      <alignment horizontal="left"/>
    </xf>
    <xf numFmtId="0" fontId="8" fillId="3" borderId="1" xfId="2" applyFont="1" applyFill="1" applyBorder="1" applyAlignment="1">
      <alignment horizontal="left"/>
    </xf>
    <xf numFmtId="0" fontId="7" fillId="9" borderId="0" xfId="2" applyFont="1" applyFill="1" applyAlignment="1">
      <alignment horizontal="left"/>
    </xf>
    <xf numFmtId="0" fontId="7" fillId="5" borderId="0" xfId="2" applyFont="1" applyFill="1" applyAlignment="1">
      <alignment horizontal="left"/>
    </xf>
    <xf numFmtId="0" fontId="7" fillId="8" borderId="0" xfId="2" applyFont="1" applyFill="1" applyAlignment="1">
      <alignment horizontal="left"/>
    </xf>
    <xf numFmtId="0" fontId="7" fillId="2" borderId="0" xfId="2" applyFont="1" applyFill="1" applyAlignment="1">
      <alignment horizontal="left"/>
    </xf>
    <xf numFmtId="0" fontId="7" fillId="3" borderId="0" xfId="2" applyFont="1" applyFill="1" applyAlignment="1">
      <alignment horizontal="left"/>
    </xf>
    <xf numFmtId="0" fontId="7" fillId="4" borderId="0" xfId="0" applyFont="1" applyFill="1" applyAlignment="1">
      <alignment horizontal="left"/>
    </xf>
    <xf numFmtId="0" fontId="7" fillId="7" borderId="0" xfId="0" applyFont="1" applyFill="1" applyAlignment="1">
      <alignment horizontal="left"/>
    </xf>
    <xf numFmtId="0" fontId="7" fillId="7" borderId="0" xfId="0" applyFont="1" applyFill="1" applyAlignment="1">
      <alignment horizontal="right"/>
    </xf>
    <xf numFmtId="0" fontId="7" fillId="8" borderId="0" xfId="0" applyFont="1" applyFill="1" applyAlignment="1">
      <alignment horizontal="left"/>
    </xf>
    <xf numFmtId="0" fontId="7" fillId="5" borderId="0" xfId="0" applyFont="1" applyFill="1" applyAlignment="1">
      <alignment horizontal="left"/>
    </xf>
    <xf numFmtId="0" fontId="7" fillId="4" borderId="0" xfId="0" applyFont="1" applyFill="1" applyAlignment="1">
      <alignment horizontal="left" wrapText="1"/>
    </xf>
    <xf numFmtId="2" fontId="7" fillId="4" borderId="0" xfId="0" applyNumberFormat="1" applyFont="1" applyFill="1" applyAlignment="1">
      <alignment horizontal="left"/>
    </xf>
    <xf numFmtId="0" fontId="8" fillId="0" borderId="0" xfId="0" applyFont="1"/>
    <xf numFmtId="0" fontId="7" fillId="0" borderId="0" xfId="0" applyFont="1"/>
    <xf numFmtId="0" fontId="8" fillId="10" borderId="0" xfId="0" applyFont="1" applyFill="1"/>
    <xf numFmtId="0" fontId="8" fillId="2" borderId="0" xfId="0" applyFont="1" applyFill="1"/>
    <xf numFmtId="0" fontId="8" fillId="3" borderId="0" xfId="0" applyFont="1" applyFill="1"/>
    <xf numFmtId="0" fontId="8" fillId="4" borderId="0" xfId="0" applyFont="1" applyFill="1"/>
    <xf numFmtId="0" fontId="8" fillId="5" borderId="0" xfId="0" applyFont="1" applyFill="1"/>
    <xf numFmtId="0" fontId="8" fillId="6" borderId="0" xfId="0" applyFont="1" applyFill="1"/>
    <xf numFmtId="2" fontId="7" fillId="10" borderId="0" xfId="0" applyNumberFormat="1" applyFont="1" applyFill="1"/>
    <xf numFmtId="0" fontId="7" fillId="2" borderId="0" xfId="0" applyFont="1" applyFill="1"/>
    <xf numFmtId="0" fontId="7" fillId="3" borderId="0" xfId="0" applyFont="1" applyFill="1"/>
    <xf numFmtId="0" fontId="7" fillId="4" borderId="0" xfId="0" applyFont="1" applyFill="1"/>
    <xf numFmtId="0" fontId="7" fillId="5" borderId="0" xfId="0" applyFont="1" applyFill="1"/>
    <xf numFmtId="0" fontId="7" fillId="6" borderId="0" xfId="0" applyFont="1" applyFill="1"/>
    <xf numFmtId="0" fontId="7" fillId="10" borderId="0" xfId="0" applyFont="1" applyFill="1"/>
    <xf numFmtId="0" fontId="8" fillId="11" borderId="1" xfId="2" applyFont="1" applyFill="1" applyBorder="1" applyAlignment="1">
      <alignment horizontal="left"/>
    </xf>
    <xf numFmtId="0" fontId="10" fillId="12" borderId="1" xfId="2" applyFont="1" applyFill="1" applyBorder="1" applyAlignment="1">
      <alignment horizontal="left"/>
    </xf>
    <xf numFmtId="0" fontId="0" fillId="7" borderId="0" xfId="0" applyFill="1" applyAlignment="1">
      <alignment horizontal="right"/>
    </xf>
    <xf numFmtId="0" fontId="0" fillId="8" borderId="0" xfId="0" applyFill="1" applyAlignment="1">
      <alignment horizontal="right"/>
    </xf>
    <xf numFmtId="0" fontId="0" fillId="11" borderId="0" xfId="0" applyFill="1" applyAlignment="1">
      <alignment horizontal="right"/>
    </xf>
    <xf numFmtId="0" fontId="11" fillId="12" borderId="0" xfId="0" applyFont="1" applyFill="1" applyAlignment="1">
      <alignment horizontal="right"/>
    </xf>
    <xf numFmtId="0" fontId="7" fillId="11" borderId="0" xfId="0" applyFont="1" applyFill="1"/>
    <xf numFmtId="0" fontId="8" fillId="8" borderId="0" xfId="0" applyFont="1" applyFill="1"/>
    <xf numFmtId="0" fontId="7" fillId="8" borderId="0" xfId="0" applyFont="1" applyFill="1"/>
    <xf numFmtId="0" fontId="8" fillId="16" borderId="1" xfId="2" applyFont="1" applyFill="1" applyBorder="1" applyAlignment="1">
      <alignment horizontal="left"/>
    </xf>
    <xf numFmtId="0" fontId="0" fillId="16" borderId="0" xfId="0" applyFill="1" applyAlignment="1">
      <alignment horizontal="right"/>
    </xf>
    <xf numFmtId="0" fontId="10" fillId="9" borderId="1" xfId="2" applyFont="1" applyFill="1" applyBorder="1" applyAlignment="1">
      <alignment horizontal="left"/>
    </xf>
    <xf numFmtId="0" fontId="11" fillId="9" borderId="0" xfId="0" applyFont="1" applyFill="1" applyAlignment="1">
      <alignment horizontal="right"/>
    </xf>
    <xf numFmtId="0" fontId="8" fillId="6" borderId="1" xfId="2" applyFont="1" applyFill="1" applyBorder="1" applyAlignment="1">
      <alignment horizontal="left"/>
    </xf>
    <xf numFmtId="0" fontId="0" fillId="6" borderId="0" xfId="0" applyFill="1" applyAlignment="1">
      <alignment horizontal="right"/>
    </xf>
    <xf numFmtId="0" fontId="7" fillId="9" borderId="0" xfId="0" applyFont="1" applyFill="1"/>
    <xf numFmtId="0" fontId="10" fillId="16" borderId="1" xfId="2" applyFont="1" applyFill="1" applyBorder="1" applyAlignment="1">
      <alignment horizontal="left"/>
    </xf>
    <xf numFmtId="0" fontId="11" fillId="16" borderId="0" xfId="0" applyFont="1" applyFill="1" applyAlignment="1">
      <alignment horizontal="right"/>
    </xf>
    <xf numFmtId="0" fontId="11" fillId="11" borderId="0" xfId="0" applyFont="1" applyFill="1" applyAlignment="1">
      <alignment horizontal="right"/>
    </xf>
    <xf numFmtId="0" fontId="8" fillId="7" borderId="0" xfId="0" applyFont="1" applyFill="1"/>
    <xf numFmtId="2" fontId="7" fillId="8" borderId="0" xfId="0" applyNumberFormat="1" applyFont="1" applyFill="1" applyAlignment="1">
      <alignment horizontal="right"/>
    </xf>
    <xf numFmtId="0" fontId="7" fillId="8" borderId="0" xfId="0" applyFont="1" applyFill="1" applyAlignment="1">
      <alignment horizontal="right"/>
    </xf>
    <xf numFmtId="2" fontId="7" fillId="7" borderId="0" xfId="0" applyNumberFormat="1" applyFont="1" applyFill="1" applyAlignment="1">
      <alignment horizontal="right"/>
    </xf>
    <xf numFmtId="0" fontId="8" fillId="14" borderId="0" xfId="0" applyFont="1" applyFill="1"/>
    <xf numFmtId="0" fontId="7" fillId="14" borderId="0" xfId="0" applyFont="1" applyFill="1"/>
    <xf numFmtId="0" fontId="8" fillId="2" borderId="0" xfId="2" applyFont="1" applyFill="1" applyAlignment="1">
      <alignment horizontal="left"/>
    </xf>
    <xf numFmtId="0" fontId="0" fillId="6" borderId="0" xfId="0" applyFill="1" applyAlignment="1"/>
    <xf numFmtId="0" fontId="9" fillId="3" borderId="0" xfId="1" applyFont="1" applyFill="1" applyAlignment="1">
      <alignment horizontal="left"/>
    </xf>
    <xf numFmtId="0" fontId="0" fillId="0" borderId="0" xfId="0"/>
    <xf numFmtId="0" fontId="12" fillId="8" borderId="0" xfId="1" applyFont="1" applyFill="1" applyAlignment="1">
      <alignment horizontal="left"/>
    </xf>
    <xf numFmtId="0" fontId="8" fillId="8" borderId="1" xfId="2" applyFont="1" applyFill="1" applyBorder="1" applyAlignment="1">
      <alignment horizontal="right"/>
    </xf>
    <xf numFmtId="0" fontId="7" fillId="8" borderId="0" xfId="2" applyFont="1" applyFill="1" applyAlignment="1">
      <alignment horizontal="right"/>
    </xf>
    <xf numFmtId="0" fontId="7" fillId="13" borderId="0" xfId="0" applyFont="1" applyFill="1"/>
    <xf numFmtId="0" fontId="8" fillId="0" borderId="1" xfId="2" applyNumberFormat="1" applyFont="1" applyFill="1" applyBorder="1" applyAlignment="1">
      <alignment horizontal="left"/>
    </xf>
    <xf numFmtId="0" fontId="0" fillId="0" borderId="0" xfId="0" applyNumberFormat="1"/>
    <xf numFmtId="0" fontId="7" fillId="0" borderId="0" xfId="0" applyNumberFormat="1" applyFont="1"/>
    <xf numFmtId="0" fontId="7" fillId="0" borderId="0" xfId="0" applyFont="1" applyAlignment="1">
      <alignment horizontal="right"/>
    </xf>
    <xf numFmtId="0" fontId="8" fillId="17" borderId="0" xfId="0" applyFont="1" applyFill="1" applyAlignment="1">
      <alignment horizontal="center"/>
    </xf>
    <xf numFmtId="0" fontId="12" fillId="17" borderId="0" xfId="1" applyFont="1" applyFill="1" applyAlignment="1">
      <alignment horizontal="left"/>
    </xf>
    <xf numFmtId="0" fontId="7" fillId="17" borderId="0" xfId="0" applyFont="1" applyFill="1" applyAlignment="1">
      <alignment horizontal="left"/>
    </xf>
    <xf numFmtId="0" fontId="7" fillId="7" borderId="0" xfId="0" applyFont="1" applyFill="1"/>
    <xf numFmtId="0" fontId="7" fillId="0" borderId="0" xfId="0" applyFont="1" applyFill="1"/>
    <xf numFmtId="0" fontId="8" fillId="6" borderId="1" xfId="2" applyNumberFormat="1" applyFont="1" applyFill="1" applyBorder="1" applyAlignment="1">
      <alignment horizontal="left"/>
    </xf>
    <xf numFmtId="1" fontId="8" fillId="6" borderId="1" xfId="2" applyNumberFormat="1" applyFont="1" applyFill="1" applyBorder="1" applyAlignment="1">
      <alignment horizontal="left"/>
    </xf>
    <xf numFmtId="0" fontId="0" fillId="6" borderId="0" xfId="0" applyNumberFormat="1" applyFill="1"/>
    <xf numFmtId="0" fontId="8" fillId="11" borderId="0" xfId="0" applyFont="1" applyFill="1"/>
    <xf numFmtId="0" fontId="8" fillId="9" borderId="0" xfId="0" applyFont="1" applyFill="1"/>
    <xf numFmtId="0" fontId="7" fillId="0" borderId="0" xfId="0" applyFont="1" applyAlignment="1">
      <alignment horizontal="right" vertical="center"/>
    </xf>
    <xf numFmtId="0" fontId="7" fillId="0" borderId="0" xfId="0" applyFont="1" applyFill="1" applyAlignment="1">
      <alignment horizontal="right" vertical="center"/>
    </xf>
    <xf numFmtId="1" fontId="7" fillId="0" borderId="0" xfId="0" applyNumberFormat="1" applyFont="1" applyAlignment="1">
      <alignment horizontal="right" vertical="center"/>
    </xf>
    <xf numFmtId="0" fontId="8" fillId="0" borderId="0" xfId="0" applyFont="1" applyAlignment="1">
      <alignment horizontal="left" vertical="center"/>
    </xf>
    <xf numFmtId="0" fontId="14" fillId="0" borderId="0" xfId="0" applyFont="1"/>
    <xf numFmtId="1" fontId="14" fillId="0" borderId="1" xfId="2" applyNumberFormat="1" applyFont="1" applyBorder="1" applyAlignment="1">
      <alignment horizontal="left"/>
    </xf>
    <xf numFmtId="0" fontId="15" fillId="0" borderId="0" xfId="0" applyFont="1"/>
    <xf numFmtId="0" fontId="14" fillId="15" borderId="0" xfId="0" applyFont="1" applyFill="1"/>
    <xf numFmtId="0" fontId="15" fillId="15" borderId="0" xfId="0" applyFont="1" applyFill="1"/>
    <xf numFmtId="0" fontId="14" fillId="0" borderId="1" xfId="2" applyFont="1" applyFill="1" applyBorder="1" applyAlignment="1">
      <alignment horizontal="left"/>
    </xf>
    <xf numFmtId="0" fontId="16" fillId="0" borderId="0" xfId="0" applyFont="1" applyFill="1"/>
    <xf numFmtId="0" fontId="14" fillId="6" borderId="0" xfId="0" applyFont="1" applyFill="1"/>
    <xf numFmtId="0" fontId="15" fillId="6" borderId="0" xfId="0" applyFont="1" applyFill="1"/>
    <xf numFmtId="0" fontId="14" fillId="14" borderId="0" xfId="0" applyFont="1" applyFill="1"/>
    <xf numFmtId="0" fontId="15" fillId="14" borderId="0" xfId="0" applyFont="1" applyFill="1"/>
    <xf numFmtId="49" fontId="7" fillId="8" borderId="0" xfId="0" applyNumberFormat="1" applyFont="1" applyFill="1" applyAlignment="1">
      <alignment horizontal="right"/>
    </xf>
    <xf numFmtId="49" fontId="8" fillId="8" borderId="1" xfId="2" applyNumberFormat="1" applyFont="1" applyFill="1" applyBorder="1" applyAlignment="1">
      <alignment horizontal="right"/>
    </xf>
    <xf numFmtId="49" fontId="7" fillId="8" borderId="0" xfId="2" applyNumberFormat="1" applyFont="1" applyFill="1" applyAlignment="1">
      <alignment horizontal="right"/>
    </xf>
    <xf numFmtId="0" fontId="8" fillId="0" borderId="1" xfId="2" applyNumberFormat="1" applyFont="1" applyBorder="1" applyAlignment="1">
      <alignment horizontal="right"/>
    </xf>
    <xf numFmtId="0" fontId="7" fillId="0" borderId="0" xfId="0" applyNumberFormat="1" applyFont="1" applyAlignment="1">
      <alignment horizontal="right"/>
    </xf>
    <xf numFmtId="0" fontId="7" fillId="6" borderId="0" xfId="0" applyFont="1" applyFill="1" applyAlignment="1">
      <alignment horizontal="right"/>
    </xf>
    <xf numFmtId="0" fontId="7" fillId="14" borderId="0" xfId="0" applyFont="1" applyFill="1" applyAlignment="1">
      <alignment horizontal="right"/>
    </xf>
    <xf numFmtId="0" fontId="7" fillId="18" borderId="0" xfId="0" applyFont="1" applyFill="1" applyAlignment="1">
      <alignment horizontal="right" vertical="center"/>
    </xf>
    <xf numFmtId="49" fontId="0" fillId="8" borderId="0" xfId="0" applyNumberFormat="1" applyFill="1" applyAlignment="1">
      <alignment horizontal="right"/>
    </xf>
    <xf numFmtId="49" fontId="11" fillId="12" borderId="0" xfId="0" applyNumberFormat="1" applyFont="1" applyFill="1" applyAlignment="1">
      <alignment horizontal="right"/>
    </xf>
    <xf numFmtId="49" fontId="11" fillId="9" borderId="0" xfId="0" applyNumberFormat="1" applyFont="1" applyFill="1" applyAlignment="1">
      <alignment horizontal="right"/>
    </xf>
    <xf numFmtId="0" fontId="0" fillId="0" borderId="0" xfId="0" applyAlignment="1">
      <alignment horizontal="left"/>
    </xf>
    <xf numFmtId="1" fontId="7" fillId="0" borderId="0" xfId="0" applyNumberFormat="1" applyFont="1" applyFill="1" applyAlignment="1">
      <alignment horizontal="right" vertical="center"/>
    </xf>
    <xf numFmtId="0" fontId="10" fillId="9" borderId="0" xfId="2" applyFont="1" applyFill="1" applyBorder="1" applyAlignment="1">
      <alignment horizontal="left"/>
    </xf>
    <xf numFmtId="0" fontId="7" fillId="10" borderId="0" xfId="0" applyFont="1" applyFill="1" applyAlignment="1">
      <alignment horizontal="left" vertical="center"/>
    </xf>
    <xf numFmtId="164" fontId="0" fillId="6" borderId="0" xfId="0" applyNumberFormat="1" applyFill="1"/>
    <xf numFmtId="0" fontId="12" fillId="0" borderId="0" xfId="0" applyFont="1"/>
    <xf numFmtId="0" fontId="7" fillId="13" borderId="0" xfId="0" quotePrefix="1" applyFont="1" applyFill="1"/>
    <xf numFmtId="0" fontId="7" fillId="0" borderId="0" xfId="0" applyFont="1" applyAlignment="1">
      <alignment horizontal="left"/>
    </xf>
    <xf numFmtId="0" fontId="7" fillId="9" borderId="0" xfId="0" applyFont="1" applyFill="1" applyAlignment="1">
      <alignment horizontal="left"/>
    </xf>
    <xf numFmtId="0" fontId="7" fillId="3" borderId="0" xfId="0" applyFont="1" applyFill="1" applyAlignment="1">
      <alignment horizontal="left" wrapText="1"/>
    </xf>
    <xf numFmtId="9" fontId="7" fillId="2" borderId="0" xfId="0" applyNumberFormat="1" applyFont="1" applyFill="1" applyAlignment="1">
      <alignment horizontal="left"/>
    </xf>
    <xf numFmtId="0" fontId="12" fillId="4" borderId="0" xfId="0" applyFont="1" applyFill="1" applyAlignment="1">
      <alignment horizontal="left"/>
    </xf>
    <xf numFmtId="0" fontId="7" fillId="8" borderId="0" xfId="0" applyFont="1" applyFill="1" applyBorder="1" applyAlignment="1">
      <alignment horizontal="right"/>
    </xf>
    <xf numFmtId="0" fontId="7" fillId="8" borderId="0" xfId="0" applyFont="1" applyFill="1" applyBorder="1" applyAlignment="1">
      <alignment horizontal="left" wrapText="1"/>
    </xf>
    <xf numFmtId="0" fontId="7" fillId="3" borderId="0" xfId="0" applyFont="1" applyFill="1" applyBorder="1" applyAlignment="1">
      <alignment horizontal="left" wrapText="1"/>
    </xf>
    <xf numFmtId="0" fontId="7" fillId="8" borderId="0" xfId="93" applyFont="1" applyFill="1" applyAlignment="1">
      <alignment horizontal="left" wrapText="1"/>
    </xf>
    <xf numFmtId="0" fontId="7" fillId="3" borderId="0" xfId="93" applyFont="1" applyFill="1" applyBorder="1" applyAlignment="1">
      <alignment horizontal="left" wrapText="1"/>
    </xf>
    <xf numFmtId="0" fontId="7" fillId="5" borderId="0" xfId="0" applyFont="1" applyFill="1" applyAlignment="1">
      <alignment horizontal="left" wrapText="1"/>
    </xf>
    <xf numFmtId="0" fontId="7" fillId="17" borderId="0" xfId="0" applyFont="1" applyFill="1" applyBorder="1" applyAlignment="1">
      <alignment horizontal="left"/>
    </xf>
    <xf numFmtId="0" fontId="7" fillId="3" borderId="0" xfId="190" applyFont="1" applyFill="1" applyBorder="1" applyAlignment="1">
      <alignment horizontal="left"/>
    </xf>
    <xf numFmtId="0" fontId="0" fillId="0" borderId="0" xfId="0"/>
    <xf numFmtId="0" fontId="7" fillId="4" borderId="0" xfId="2" applyFont="1" applyFill="1" applyAlignment="1">
      <alignment horizontal="left"/>
    </xf>
    <xf numFmtId="2" fontId="7" fillId="4" borderId="0" xfId="2" applyNumberFormat="1" applyFont="1" applyFill="1" applyAlignment="1">
      <alignment horizontal="left"/>
    </xf>
    <xf numFmtId="0" fontId="7" fillId="14" borderId="0" xfId="0" applyFont="1" applyFill="1"/>
    <xf numFmtId="0" fontId="15" fillId="6" borderId="0" xfId="0" applyFont="1" applyFill="1"/>
    <xf numFmtId="0" fontId="18" fillId="6" borderId="0" xfId="19" applyFill="1" applyAlignment="1">
      <alignment horizontal="right"/>
    </xf>
    <xf numFmtId="0" fontId="18" fillId="6" borderId="0" xfId="19" applyFill="1"/>
    <xf numFmtId="0" fontId="0" fillId="6" borderId="0" xfId="0" applyFont="1" applyFill="1" applyAlignment="1"/>
    <xf numFmtId="0" fontId="0" fillId="8" borderId="0" xfId="0" applyFill="1"/>
    <xf numFmtId="0" fontId="0" fillId="6" borderId="0" xfId="0" applyFill="1" applyBorder="1"/>
    <xf numFmtId="0" fontId="0" fillId="6" borderId="0" xfId="0" applyFill="1" applyBorder="1" applyAlignment="1">
      <alignment horizontal="right"/>
    </xf>
    <xf numFmtId="0" fontId="0" fillId="7" borderId="0" xfId="0" applyFill="1" applyBorder="1" applyAlignment="1">
      <alignment horizontal="right"/>
    </xf>
    <xf numFmtId="0" fontId="0" fillId="8" borderId="0" xfId="0" applyFill="1" applyBorder="1" applyAlignment="1">
      <alignment horizontal="right"/>
    </xf>
    <xf numFmtId="0" fontId="0" fillId="11" borderId="0" xfId="0" applyFill="1" applyBorder="1" applyAlignment="1">
      <alignment horizontal="right"/>
    </xf>
    <xf numFmtId="0" fontId="11" fillId="12" borderId="0" xfId="0" applyFont="1" applyFill="1" applyBorder="1" applyAlignment="1">
      <alignment horizontal="right"/>
    </xf>
    <xf numFmtId="0" fontId="11" fillId="11" borderId="0" xfId="0" applyFont="1" applyFill="1" applyBorder="1" applyAlignment="1">
      <alignment horizontal="right"/>
    </xf>
    <xf numFmtId="0" fontId="0" fillId="16" borderId="0" xfId="0" applyFill="1" applyBorder="1" applyAlignment="1">
      <alignment horizontal="right"/>
    </xf>
    <xf numFmtId="0" fontId="11" fillId="9" borderId="0" xfId="0" applyFont="1" applyFill="1" applyBorder="1" applyAlignment="1">
      <alignment horizontal="right"/>
    </xf>
    <xf numFmtId="0" fontId="11" fillId="16" borderId="0" xfId="0" applyFont="1" applyFill="1" applyBorder="1" applyAlignment="1">
      <alignment horizontal="right"/>
    </xf>
    <xf numFmtId="0" fontId="7" fillId="5" borderId="0" xfId="0" applyFont="1" applyFill="1" applyBorder="1" applyAlignment="1">
      <alignment horizontal="left"/>
    </xf>
    <xf numFmtId="0" fontId="7" fillId="18" borderId="0" xfId="0" applyFont="1" applyFill="1"/>
    <xf numFmtId="0" fontId="21" fillId="50" borderId="0" xfId="0" applyFont="1" applyFill="1" applyAlignment="1">
      <alignment horizontal="right"/>
    </xf>
    <xf numFmtId="0" fontId="7" fillId="10" borderId="11" xfId="0" applyFont="1" applyFill="1" applyBorder="1" applyAlignment="1">
      <alignment horizontal="right" vertical="center"/>
    </xf>
    <xf numFmtId="0" fontId="7" fillId="4" borderId="0" xfId="202" applyFont="1" applyFill="1" applyAlignment="1">
      <alignment horizontal="left"/>
    </xf>
    <xf numFmtId="2" fontId="7" fillId="4" borderId="0" xfId="202" applyNumberFormat="1" applyFont="1" applyFill="1" applyAlignment="1">
      <alignment horizontal="left"/>
    </xf>
    <xf numFmtId="0" fontId="7" fillId="7" borderId="0" xfId="202" applyFont="1" applyFill="1" applyAlignment="1">
      <alignment horizontal="left"/>
    </xf>
    <xf numFmtId="0" fontId="0" fillId="10" borderId="0" xfId="0" applyFill="1" applyAlignment="1"/>
    <xf numFmtId="1" fontId="7" fillId="11" borderId="0" xfId="0" applyNumberFormat="1" applyFont="1" applyFill="1"/>
    <xf numFmtId="0" fontId="7" fillId="3" borderId="0" xfId="0" applyFont="1" applyFill="1" applyAlignment="1">
      <alignment horizontal="left"/>
    </xf>
    <xf numFmtId="0" fontId="7" fillId="2" borderId="0" xfId="0" applyFont="1" applyFill="1" applyAlignment="1">
      <alignment horizontal="left"/>
    </xf>
    <xf numFmtId="0" fontId="7" fillId="8" borderId="0" xfId="0" applyFont="1" applyFill="1" applyAlignment="1">
      <alignment horizontal="left"/>
    </xf>
    <xf numFmtId="0" fontId="7" fillId="8" borderId="0" xfId="0" applyFont="1" applyFill="1" applyAlignment="1">
      <alignment horizontal="right"/>
    </xf>
    <xf numFmtId="0" fontId="7" fillId="17" borderId="0" xfId="0" applyFont="1" applyFill="1" applyAlignment="1">
      <alignment horizontal="left"/>
    </xf>
    <xf numFmtId="0" fontId="7" fillId="8" borderId="0" xfId="0" applyFont="1" applyFill="1" applyBorder="1" applyAlignment="1">
      <alignment horizontal="left"/>
    </xf>
    <xf numFmtId="0" fontId="7" fillId="2" borderId="0" xfId="0" applyFont="1" applyFill="1" applyBorder="1" applyAlignment="1">
      <alignment horizontal="left"/>
    </xf>
    <xf numFmtId="0" fontId="7" fillId="3" borderId="0" xfId="0" applyFont="1" applyFill="1" applyBorder="1" applyAlignment="1">
      <alignment horizontal="left"/>
    </xf>
    <xf numFmtId="0" fontId="7" fillId="2" borderId="0" xfId="0" applyFont="1" applyFill="1" applyBorder="1" applyAlignment="1">
      <alignment horizontal="left" wrapText="1"/>
    </xf>
    <xf numFmtId="0" fontId="0" fillId="0" borderId="0" xfId="0"/>
    <xf numFmtId="0" fontId="0" fillId="6" borderId="0" xfId="0" applyFill="1"/>
    <xf numFmtId="0" fontId="7" fillId="7" borderId="0" xfId="2" applyFont="1" applyFill="1" applyAlignment="1">
      <alignment horizontal="left"/>
    </xf>
    <xf numFmtId="0" fontId="7" fillId="7" borderId="0" xfId="2" applyFont="1" applyFill="1" applyAlignment="1">
      <alignment horizontal="right"/>
    </xf>
    <xf numFmtId="0" fontId="7" fillId="4" borderId="0" xfId="0" applyFont="1" applyFill="1" applyAlignment="1">
      <alignment horizontal="left"/>
    </xf>
    <xf numFmtId="0" fontId="7" fillId="7" borderId="0" xfId="0" applyFont="1" applyFill="1" applyAlignment="1">
      <alignment horizontal="left"/>
    </xf>
    <xf numFmtId="0" fontId="7" fillId="7" borderId="0" xfId="0" applyFont="1" applyFill="1" applyAlignment="1">
      <alignment horizontal="right"/>
    </xf>
    <xf numFmtId="0" fontId="7" fillId="5" borderId="0" xfId="0" applyFont="1" applyFill="1" applyAlignment="1">
      <alignment horizontal="left"/>
    </xf>
    <xf numFmtId="2" fontId="7" fillId="4" borderId="0" xfId="0" applyNumberFormat="1" applyFont="1" applyFill="1" applyAlignment="1">
      <alignment horizontal="left"/>
    </xf>
    <xf numFmtId="0" fontId="7" fillId="0" borderId="0" xfId="0" applyFont="1"/>
    <xf numFmtId="0" fontId="7" fillId="2" borderId="0" xfId="0" applyFont="1" applyFill="1"/>
    <xf numFmtId="0" fontId="7" fillId="3" borderId="0" xfId="0" applyFont="1" applyFill="1"/>
    <xf numFmtId="0" fontId="7" fillId="4" borderId="0" xfId="0" applyFont="1" applyFill="1"/>
    <xf numFmtId="0" fontId="7" fillId="5" borderId="0" xfId="0" applyFont="1" applyFill="1"/>
    <xf numFmtId="0" fontId="7" fillId="6" borderId="0" xfId="0" applyFont="1" applyFill="1"/>
    <xf numFmtId="0" fontId="7" fillId="10" borderId="0" xfId="0" applyFont="1" applyFill="1"/>
    <xf numFmtId="0" fontId="0" fillId="7" borderId="0" xfId="0" applyFill="1" applyAlignment="1">
      <alignment horizontal="right"/>
    </xf>
    <xf numFmtId="0" fontId="0" fillId="8" borderId="0" xfId="0" applyFill="1" applyAlignment="1">
      <alignment horizontal="right"/>
    </xf>
    <xf numFmtId="0" fontId="0" fillId="11" borderId="0" xfId="0" applyFill="1" applyAlignment="1">
      <alignment horizontal="right"/>
    </xf>
    <xf numFmtId="0" fontId="11" fillId="12" borderId="0" xfId="0" applyFont="1" applyFill="1" applyAlignment="1">
      <alignment horizontal="right"/>
    </xf>
    <xf numFmtId="0" fontId="7" fillId="11" borderId="0" xfId="0" applyFont="1" applyFill="1"/>
    <xf numFmtId="0" fontId="7" fillId="8" borderId="0" xfId="0" applyFont="1" applyFill="1"/>
    <xf numFmtId="0" fontId="0" fillId="16" borderId="0" xfId="0" applyFill="1" applyAlignment="1">
      <alignment horizontal="right"/>
    </xf>
    <xf numFmtId="0" fontId="11" fillId="9" borderId="0" xfId="0" applyFont="1" applyFill="1" applyAlignment="1">
      <alignment horizontal="right"/>
    </xf>
    <xf numFmtId="0" fontId="0" fillId="6" borderId="0" xfId="0" applyFill="1" applyAlignment="1">
      <alignment horizontal="right"/>
    </xf>
    <xf numFmtId="0" fontId="7" fillId="9" borderId="0" xfId="0" applyFont="1" applyFill="1"/>
    <xf numFmtId="0" fontId="11" fillId="16" borderId="0" xfId="0" applyFont="1" applyFill="1" applyAlignment="1">
      <alignment horizontal="right"/>
    </xf>
    <xf numFmtId="0" fontId="11" fillId="11" borderId="0" xfId="0" applyFont="1" applyFill="1" applyAlignment="1">
      <alignment horizontal="right"/>
    </xf>
    <xf numFmtId="0" fontId="0" fillId="6" borderId="0" xfId="0" applyFill="1" applyAlignment="1"/>
    <xf numFmtId="0" fontId="7" fillId="13" borderId="0" xfId="0" applyFont="1" applyFill="1"/>
    <xf numFmtId="0" fontId="7" fillId="7" borderId="0" xfId="0" applyFont="1" applyFill="1"/>
    <xf numFmtId="0" fontId="7" fillId="10" borderId="0" xfId="0" applyFont="1" applyFill="1" applyAlignment="1">
      <alignment horizontal="right" vertical="center"/>
    </xf>
    <xf numFmtId="0" fontId="15" fillId="0" borderId="0" xfId="0" applyFont="1"/>
    <xf numFmtId="0" fontId="15" fillId="15" borderId="0" xfId="0" applyFont="1" applyFill="1"/>
    <xf numFmtId="0" fontId="15" fillId="14" borderId="0" xfId="0" applyFont="1" applyFill="1"/>
    <xf numFmtId="0" fontId="7" fillId="4" borderId="0" xfId="0" applyFont="1" applyFill="1" applyBorder="1" applyAlignment="1">
      <alignment horizontal="left"/>
    </xf>
    <xf numFmtId="2" fontId="7" fillId="4" borderId="0" xfId="0" applyNumberFormat="1" applyFont="1" applyFill="1" applyBorder="1" applyAlignment="1">
      <alignment horizontal="left"/>
    </xf>
    <xf numFmtId="0" fontId="7" fillId="7" borderId="0" xfId="0" applyFont="1" applyFill="1" applyBorder="1" applyAlignment="1">
      <alignment horizontal="left"/>
    </xf>
    <xf numFmtId="0" fontId="7" fillId="7" borderId="0" xfId="0" applyFont="1" applyFill="1" applyBorder="1" applyAlignment="1">
      <alignment horizontal="right"/>
    </xf>
    <xf numFmtId="0" fontId="7" fillId="10" borderId="0" xfId="0" applyFont="1" applyFill="1" applyBorder="1" applyAlignment="1">
      <alignment horizontal="right" vertical="center"/>
    </xf>
    <xf numFmtId="0" fontId="7" fillId="10" borderId="0" xfId="0" applyFont="1" applyFill="1" applyBorder="1"/>
    <xf numFmtId="0" fontId="7" fillId="13" borderId="0" xfId="0" applyFont="1" applyFill="1" applyBorder="1"/>
    <xf numFmtId="0" fontId="7" fillId="8" borderId="0" xfId="0" applyFont="1" applyFill="1" applyBorder="1"/>
    <xf numFmtId="0" fontId="7" fillId="7" borderId="0" xfId="0" applyFont="1" applyFill="1" applyBorder="1"/>
    <xf numFmtId="0" fontId="7" fillId="2" borderId="0" xfId="0" applyFont="1" applyFill="1" applyBorder="1"/>
    <xf numFmtId="0" fontId="7" fillId="3" borderId="0"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0" borderId="0" xfId="0" applyFont="1" applyBorder="1"/>
    <xf numFmtId="0" fontId="7" fillId="4" borderId="0" xfId="2" applyFont="1" applyFill="1" applyBorder="1" applyAlignment="1">
      <alignment horizontal="left"/>
    </xf>
    <xf numFmtId="2" fontId="7" fillId="4" borderId="0" xfId="2" applyNumberFormat="1" applyFont="1" applyFill="1" applyBorder="1" applyAlignment="1">
      <alignment horizontal="left"/>
    </xf>
    <xf numFmtId="0" fontId="7" fillId="7" borderId="0" xfId="2" applyFont="1" applyFill="1" applyBorder="1" applyAlignment="1">
      <alignment horizontal="right"/>
    </xf>
    <xf numFmtId="0" fontId="8" fillId="7" borderId="0" xfId="0" applyFont="1" applyFill="1" applyAlignment="1">
      <alignment horizontal="center"/>
    </xf>
    <xf numFmtId="49" fontId="7" fillId="6" borderId="0" xfId="0" applyNumberFormat="1" applyFont="1" applyFill="1"/>
    <xf numFmtId="49" fontId="8" fillId="6" borderId="1" xfId="2" applyNumberFormat="1" applyFont="1" applyFill="1" applyBorder="1" applyAlignment="1">
      <alignment horizontal="left"/>
    </xf>
    <xf numFmtId="49" fontId="0" fillId="6" borderId="0" xfId="0" applyNumberFormat="1" applyFill="1"/>
    <xf numFmtId="49" fontId="14" fillId="0" borderId="0" xfId="0" applyNumberFormat="1" applyFont="1"/>
    <xf numFmtId="49" fontId="15" fillId="0" borderId="0" xfId="0" applyNumberFormat="1" applyFont="1"/>
    <xf numFmtId="49" fontId="7" fillId="0" borderId="0" xfId="0" applyNumberFormat="1" applyFont="1" applyAlignment="1">
      <alignment horizontal="left"/>
    </xf>
    <xf numFmtId="49" fontId="8" fillId="0" borderId="1" xfId="2" applyNumberFormat="1" applyFont="1" applyBorder="1" applyAlignment="1">
      <alignment horizontal="left"/>
    </xf>
    <xf numFmtId="49" fontId="7" fillId="0" borderId="0" xfId="0" applyNumberFormat="1" applyFont="1" applyFill="1" applyAlignment="1">
      <alignment horizontal="left"/>
    </xf>
    <xf numFmtId="49" fontId="17" fillId="0" borderId="0" xfId="4" applyNumberFormat="1" applyFont="1" applyFill="1" applyAlignment="1">
      <alignment horizontal="left"/>
    </xf>
    <xf numFmtId="49" fontId="17" fillId="0" borderId="0" xfId="4" applyNumberFormat="1" applyFont="1" applyAlignment="1">
      <alignment horizontal="left"/>
    </xf>
    <xf numFmtId="49" fontId="7" fillId="0" borderId="0" xfId="2" applyNumberFormat="1" applyFont="1" applyFill="1" applyAlignment="1">
      <alignment horizontal="left"/>
    </xf>
    <xf numFmtId="49" fontId="13" fillId="0" borderId="0" xfId="4" applyNumberFormat="1" applyFill="1" applyAlignment="1">
      <alignment horizontal="left"/>
    </xf>
    <xf numFmtId="49" fontId="13" fillId="0" borderId="0" xfId="4" applyNumberFormat="1" applyAlignment="1">
      <alignment horizontal="left"/>
    </xf>
    <xf numFmtId="49" fontId="14" fillId="0" borderId="1" xfId="2" applyNumberFormat="1" applyFont="1" applyBorder="1" applyAlignment="1">
      <alignment horizontal="left"/>
    </xf>
    <xf numFmtId="49" fontId="16" fillId="0" borderId="0" xfId="0" applyNumberFormat="1" applyFont="1"/>
    <xf numFmtId="1" fontId="7" fillId="0" borderId="0" xfId="0" applyNumberFormat="1" applyFont="1" applyAlignment="1">
      <alignment horizontal="left"/>
    </xf>
    <xf numFmtId="16" fontId="7" fillId="0" borderId="0" xfId="0" applyNumberFormat="1" applyFont="1" applyAlignment="1">
      <alignment horizontal="left"/>
    </xf>
    <xf numFmtId="0" fontId="0" fillId="11" borderId="0" xfId="0" applyFill="1"/>
    <xf numFmtId="0" fontId="0" fillId="5" borderId="0" xfId="0" applyFill="1"/>
    <xf numFmtId="0" fontId="0" fillId="9" borderId="0" xfId="0" applyFill="1"/>
    <xf numFmtId="0" fontId="7" fillId="51" borderId="0" xfId="0" applyFont="1" applyFill="1" applyBorder="1" applyAlignment="1">
      <alignment horizontal="right" vertical="center"/>
    </xf>
    <xf numFmtId="0" fontId="0" fillId="10" borderId="0" xfId="0" applyFill="1"/>
    <xf numFmtId="0" fontId="0" fillId="0" borderId="0" xfId="0" applyFill="1"/>
    <xf numFmtId="165" fontId="7" fillId="4" borderId="0" xfId="0" applyNumberFormat="1" applyFont="1" applyFill="1" applyBorder="1" applyAlignment="1">
      <alignment horizontal="left"/>
    </xf>
    <xf numFmtId="0" fontId="8" fillId="5" borderId="0" xfId="0" applyFont="1" applyFill="1" applyAlignment="1">
      <alignment horizontal="center"/>
    </xf>
    <xf numFmtId="0" fontId="8" fillId="4" borderId="0" xfId="0" applyFont="1" applyFill="1" applyAlignment="1">
      <alignment horizontal="center"/>
    </xf>
    <xf numFmtId="0" fontId="8" fillId="7" borderId="0" xfId="0" applyFont="1" applyFill="1" applyAlignment="1">
      <alignment horizontal="center"/>
    </xf>
    <xf numFmtId="0" fontId="8" fillId="8" borderId="0" xfId="0" applyFont="1" applyFill="1" applyAlignment="1">
      <alignment horizontal="center"/>
    </xf>
    <xf numFmtId="0" fontId="8" fillId="3" borderId="0" xfId="0" applyFont="1" applyFill="1" applyAlignment="1">
      <alignment horizontal="center"/>
    </xf>
    <xf numFmtId="0" fontId="8" fillId="2" borderId="0" xfId="0" applyFont="1" applyFill="1" applyAlignment="1">
      <alignment horizontal="center"/>
    </xf>
  </cellXfs>
  <cellStyles count="241">
    <cellStyle name="20 % - Akzent1 2" xfId="42"/>
    <cellStyle name="20 % - Akzent2 2" xfId="46"/>
    <cellStyle name="20 % - Akzent3 2" xfId="50"/>
    <cellStyle name="20 % - Akzent4 2" xfId="54"/>
    <cellStyle name="20 % - Akzent5 2" xfId="58"/>
    <cellStyle name="20 % - Akzent6 2" xfId="62"/>
    <cellStyle name="20% - Akzent1 2" xfId="98"/>
    <cellStyle name="20% - Akzent1 2 2" xfId="206"/>
    <cellStyle name="20% - Akzent1 2 3" xfId="150"/>
    <cellStyle name="20% - Akzent1 3" xfId="112"/>
    <cellStyle name="20% - Akzent1 3 2" xfId="220"/>
    <cellStyle name="20% - Akzent1 3 3" xfId="164"/>
    <cellStyle name="20% - Akzent1 4" xfId="73"/>
    <cellStyle name="20% - Akzent1 4 2" xfId="178"/>
    <cellStyle name="20% - Akzent1 5" xfId="129"/>
    <cellStyle name="20% - Akzent2 2" xfId="100"/>
    <cellStyle name="20% - Akzent2 2 2" xfId="208"/>
    <cellStyle name="20% - Akzent2 2 3" xfId="152"/>
    <cellStyle name="20% - Akzent2 3" xfId="114"/>
    <cellStyle name="20% - Akzent2 3 2" xfId="222"/>
    <cellStyle name="20% - Akzent2 3 3" xfId="166"/>
    <cellStyle name="20% - Akzent2 4" xfId="75"/>
    <cellStyle name="20% - Akzent2 4 2" xfId="180"/>
    <cellStyle name="20% - Akzent2 5" xfId="131"/>
    <cellStyle name="20% - Akzent3 2" xfId="102"/>
    <cellStyle name="20% - Akzent3 2 2" xfId="210"/>
    <cellStyle name="20% - Akzent3 2 3" xfId="154"/>
    <cellStyle name="20% - Akzent3 3" xfId="116"/>
    <cellStyle name="20% - Akzent3 3 2" xfId="224"/>
    <cellStyle name="20% - Akzent3 3 3" xfId="168"/>
    <cellStyle name="20% - Akzent3 4" xfId="77"/>
    <cellStyle name="20% - Akzent3 4 2" xfId="182"/>
    <cellStyle name="20% - Akzent3 5" xfId="133"/>
    <cellStyle name="20% - Akzent4 2" xfId="104"/>
    <cellStyle name="20% - Akzent4 2 2" xfId="212"/>
    <cellStyle name="20% - Akzent4 2 3" xfId="156"/>
    <cellStyle name="20% - Akzent4 3" xfId="118"/>
    <cellStyle name="20% - Akzent4 3 2" xfId="226"/>
    <cellStyle name="20% - Akzent4 3 3" xfId="170"/>
    <cellStyle name="20% - Akzent4 4" xfId="79"/>
    <cellStyle name="20% - Akzent4 4 2" xfId="184"/>
    <cellStyle name="20% - Akzent4 5" xfId="135"/>
    <cellStyle name="20% - Akzent5 2" xfId="106"/>
    <cellStyle name="20% - Akzent5 2 2" xfId="214"/>
    <cellStyle name="20% - Akzent5 2 3" xfId="158"/>
    <cellStyle name="20% - Akzent5 3" xfId="120"/>
    <cellStyle name="20% - Akzent5 3 2" xfId="228"/>
    <cellStyle name="20% - Akzent5 3 3" xfId="172"/>
    <cellStyle name="20% - Akzent5 4" xfId="81"/>
    <cellStyle name="20% - Akzent5 4 2" xfId="186"/>
    <cellStyle name="20% - Akzent5 5" xfId="137"/>
    <cellStyle name="20% - Akzent6 2" xfId="108"/>
    <cellStyle name="20% - Akzent6 2 2" xfId="216"/>
    <cellStyle name="20% - Akzent6 2 3" xfId="160"/>
    <cellStyle name="20% - Akzent6 3" xfId="122"/>
    <cellStyle name="20% - Akzent6 3 2" xfId="230"/>
    <cellStyle name="20% - Akzent6 3 3" xfId="174"/>
    <cellStyle name="20% - Akzent6 4" xfId="83"/>
    <cellStyle name="20% - Akzent6 4 2" xfId="188"/>
    <cellStyle name="20% - Akzent6 5" xfId="139"/>
    <cellStyle name="40 % - Akzent1 2" xfId="43"/>
    <cellStyle name="40 % - Akzent2 2" xfId="47"/>
    <cellStyle name="40 % - Akzent3 2" xfId="51"/>
    <cellStyle name="40 % - Akzent4 2" xfId="55"/>
    <cellStyle name="40 % - Akzent5 2" xfId="59"/>
    <cellStyle name="40 % - Akzent6 2" xfId="63"/>
    <cellStyle name="40% - Akzent1 2" xfId="99"/>
    <cellStyle name="40% - Akzent1 2 2" xfId="207"/>
    <cellStyle name="40% - Akzent1 2 3" xfId="151"/>
    <cellStyle name="40% - Akzent1 3" xfId="113"/>
    <cellStyle name="40% - Akzent1 3 2" xfId="221"/>
    <cellStyle name="40% - Akzent1 3 3" xfId="165"/>
    <cellStyle name="40% - Akzent1 4" xfId="74"/>
    <cellStyle name="40% - Akzent1 4 2" xfId="179"/>
    <cellStyle name="40% - Akzent1 5" xfId="130"/>
    <cellStyle name="40% - Akzent2 2" xfId="101"/>
    <cellStyle name="40% - Akzent2 2 2" xfId="209"/>
    <cellStyle name="40% - Akzent2 2 3" xfId="153"/>
    <cellStyle name="40% - Akzent2 3" xfId="115"/>
    <cellStyle name="40% - Akzent2 3 2" xfId="223"/>
    <cellStyle name="40% - Akzent2 3 3" xfId="167"/>
    <cellStyle name="40% - Akzent2 4" xfId="76"/>
    <cellStyle name="40% - Akzent2 4 2" xfId="181"/>
    <cellStyle name="40% - Akzent2 5" xfId="132"/>
    <cellStyle name="40% - Akzent3 2" xfId="103"/>
    <cellStyle name="40% - Akzent3 2 2" xfId="211"/>
    <cellStyle name="40% - Akzent3 2 3" xfId="155"/>
    <cellStyle name="40% - Akzent3 3" xfId="117"/>
    <cellStyle name="40% - Akzent3 3 2" xfId="225"/>
    <cellStyle name="40% - Akzent3 3 3" xfId="169"/>
    <cellStyle name="40% - Akzent3 4" xfId="78"/>
    <cellStyle name="40% - Akzent3 4 2" xfId="183"/>
    <cellStyle name="40% - Akzent3 5" xfId="134"/>
    <cellStyle name="40% - Akzent4 2" xfId="105"/>
    <cellStyle name="40% - Akzent4 2 2" xfId="213"/>
    <cellStyle name="40% - Akzent4 2 3" xfId="157"/>
    <cellStyle name="40% - Akzent4 3" xfId="119"/>
    <cellStyle name="40% - Akzent4 3 2" xfId="227"/>
    <cellStyle name="40% - Akzent4 3 3" xfId="171"/>
    <cellStyle name="40% - Akzent4 4" xfId="80"/>
    <cellStyle name="40% - Akzent4 4 2" xfId="185"/>
    <cellStyle name="40% - Akzent4 5" xfId="136"/>
    <cellStyle name="40% - Akzent5 2" xfId="107"/>
    <cellStyle name="40% - Akzent5 2 2" xfId="215"/>
    <cellStyle name="40% - Akzent5 2 3" xfId="159"/>
    <cellStyle name="40% - Akzent5 3" xfId="121"/>
    <cellStyle name="40% - Akzent5 3 2" xfId="229"/>
    <cellStyle name="40% - Akzent5 3 3" xfId="173"/>
    <cellStyle name="40% - Akzent5 4" xfId="82"/>
    <cellStyle name="40% - Akzent5 4 2" xfId="187"/>
    <cellStyle name="40% - Akzent5 5" xfId="138"/>
    <cellStyle name="40% - Akzent6 2" xfId="109"/>
    <cellStyle name="40% - Akzent6 2 2" xfId="217"/>
    <cellStyle name="40% - Akzent6 2 3" xfId="161"/>
    <cellStyle name="40% - Akzent6 3" xfId="123"/>
    <cellStyle name="40% - Akzent6 3 2" xfId="231"/>
    <cellStyle name="40% - Akzent6 3 3" xfId="175"/>
    <cellStyle name="40% - Akzent6 4" xfId="84"/>
    <cellStyle name="40% - Akzent6 4 2" xfId="189"/>
    <cellStyle name="40% - Akzent6 5" xfId="140"/>
    <cellStyle name="60 % - Akzent1 2" xfId="44"/>
    <cellStyle name="60 % - Akzent2 2" xfId="48"/>
    <cellStyle name="60 % - Akzent3 2" xfId="52"/>
    <cellStyle name="60 % - Akzent4 2" xfId="56"/>
    <cellStyle name="60 % - Akzent5 2" xfId="60"/>
    <cellStyle name="60 % - Akzent6 2" xfId="64"/>
    <cellStyle name="Akzent1 2" xfId="41"/>
    <cellStyle name="Akzent2 2" xfId="45"/>
    <cellStyle name="Akzent3 2" xfId="49"/>
    <cellStyle name="Akzent4 2" xfId="53"/>
    <cellStyle name="Akzent5 2" xfId="57"/>
    <cellStyle name="Akzent6 2" xfId="61"/>
    <cellStyle name="Ausgabe 2" xfId="35"/>
    <cellStyle name="Berechnung 2" xfId="36"/>
    <cellStyle name="Eingabe 2" xfId="34"/>
    <cellStyle name="Ergebnis 2" xfId="40"/>
    <cellStyle name="Erklärender Text" xfId="1" builtinId="53"/>
    <cellStyle name="Erklärender Text 2" xfId="11"/>
    <cellStyle name="Erklärender Text 3" xfId="67"/>
    <cellStyle name="Erklärender Text 3 2" xfId="87"/>
    <cellStyle name="Erklärender Text 4" xfId="95"/>
    <cellStyle name="Erklärender Text 5" xfId="191"/>
    <cellStyle name="Gut 2" xfId="31"/>
    <cellStyle name="Hyperlink" xfId="4" builtinId="8"/>
    <cellStyle name="Hyperlink 2" xfId="13"/>
    <cellStyle name="Hyperlink 3" xfId="14"/>
    <cellStyle name="Hyperlink 3 2" xfId="21"/>
    <cellStyle name="Hyperlink 4" xfId="89"/>
    <cellStyle name="Hyperlink 5" xfId="85"/>
    <cellStyle name="Hyperlink 5 2" xfId="197"/>
    <cellStyle name="Hyperlink 5 3" xfId="141"/>
    <cellStyle name="Komma 2" xfId="7"/>
    <cellStyle name="Neutral 2" xfId="33"/>
    <cellStyle name="Normal 2" xfId="2"/>
    <cellStyle name="Normal 2 2" xfId="12"/>
    <cellStyle name="Normal 2 2 2" xfId="20"/>
    <cellStyle name="Normal 2 2 2 2" xfId="93"/>
    <cellStyle name="Normal 2 2 2 2 2" xfId="202"/>
    <cellStyle name="Normal 2 2 2 3" xfId="146"/>
    <cellStyle name="Normal 2 2 3" xfId="26"/>
    <cellStyle name="Normal 2 2 3 2" xfId="196"/>
    <cellStyle name="Normal 2 2 4" xfId="72"/>
    <cellStyle name="Normal 2 2 4 2" xfId="238"/>
    <cellStyle name="Normal 2 2 5" xfId="128"/>
    <cellStyle name="Normal 2 3" xfId="15"/>
    <cellStyle name="Normal 2 3 2" xfId="88"/>
    <cellStyle name="Normal 2 3 2 2" xfId="198"/>
    <cellStyle name="Normal 2 3 3" xfId="142"/>
    <cellStyle name="Normal 2 4" xfId="22"/>
    <cellStyle name="Normal 2 4 2" xfId="192"/>
    <cellStyle name="Normal 2 5" xfId="68"/>
    <cellStyle name="Normal 2 5 2" xfId="235"/>
    <cellStyle name="Normal 2 6" xfId="124"/>
    <cellStyle name="Notiz 2" xfId="66"/>
    <cellStyle name="Notiz 2 2" xfId="94"/>
    <cellStyle name="Notiz 2 2 2" xfId="203"/>
    <cellStyle name="Notiz 2 3" xfId="147"/>
    <cellStyle name="Notiz 3" xfId="97"/>
    <cellStyle name="Notiz 3 2" xfId="205"/>
    <cellStyle name="Notiz 3 3" xfId="149"/>
    <cellStyle name="Notiz 4" xfId="111"/>
    <cellStyle name="Notiz 4 2" xfId="219"/>
    <cellStyle name="Notiz 4 3" xfId="163"/>
    <cellStyle name="Notiz 5" xfId="234"/>
    <cellStyle name="Schlecht 2" xfId="32"/>
    <cellStyle name="Standard" xfId="0" builtinId="0"/>
    <cellStyle name="Standard 10" xfId="190"/>
    <cellStyle name="Standard 11" xfId="177"/>
    <cellStyle name="Standard 12" xfId="233"/>
    <cellStyle name="Standard 2" xfId="3"/>
    <cellStyle name="Standard 3" xfId="6"/>
    <cellStyle name="Standard 3 2" xfId="19"/>
    <cellStyle name="Standard 3 3" xfId="16"/>
    <cellStyle name="Standard 3 3 2" xfId="90"/>
    <cellStyle name="Standard 3 3 2 2" xfId="199"/>
    <cellStyle name="Standard 3 3 3" xfId="143"/>
    <cellStyle name="Standard 3 4" xfId="23"/>
    <cellStyle name="Standard 3 4 2" xfId="193"/>
    <cellStyle name="Standard 3 5" xfId="69"/>
    <cellStyle name="Standard 3 5 2" xfId="236"/>
    <cellStyle name="Standard 3 6" xfId="125"/>
    <cellStyle name="Standard 3 7" xfId="10"/>
    <cellStyle name="Standard 4" xfId="5"/>
    <cellStyle name="Standard 4 2" xfId="17"/>
    <cellStyle name="Standard 4 2 2" xfId="91"/>
    <cellStyle name="Standard 4 2 2 2" xfId="200"/>
    <cellStyle name="Standard 4 2 3" xfId="144"/>
    <cellStyle name="Standard 4 3" xfId="24"/>
    <cellStyle name="Standard 4 3 2" xfId="194"/>
    <cellStyle name="Standard 4 4" xfId="70"/>
    <cellStyle name="Standard 4 4 2" xfId="237"/>
    <cellStyle name="Standard 4 5" xfId="126"/>
    <cellStyle name="Standard 4 6" xfId="240"/>
    <cellStyle name="Standard 4 7" xfId="9"/>
    <cellStyle name="Standard 5" xfId="18"/>
    <cellStyle name="Standard 5 2" xfId="25"/>
    <cellStyle name="Standard 5 2 2" xfId="92"/>
    <cellStyle name="Standard 5 2 2 2" xfId="201"/>
    <cellStyle name="Standard 5 2 3" xfId="145"/>
    <cellStyle name="Standard 5 3" xfId="71"/>
    <cellStyle name="Standard 5 3 2" xfId="195"/>
    <cellStyle name="Standard 5 4" xfId="127"/>
    <cellStyle name="Standard 6" xfId="65"/>
    <cellStyle name="Standard 6 2" xfId="86"/>
    <cellStyle name="Standard 7" xfId="96"/>
    <cellStyle name="Standard 7 2" xfId="204"/>
    <cellStyle name="Standard 7 3" xfId="148"/>
    <cellStyle name="Standard 8" xfId="110"/>
    <cellStyle name="Standard 8 2" xfId="218"/>
    <cellStyle name="Standard 8 3" xfId="162"/>
    <cellStyle name="Standard 9" xfId="176"/>
    <cellStyle name="Standard 9 2" xfId="232"/>
    <cellStyle name="Standard 9 3" xfId="239"/>
    <cellStyle name="Überschrift" xfId="8" builtinId="15" customBuiltin="1"/>
    <cellStyle name="Überschrift 1 2" xfId="27"/>
    <cellStyle name="Überschrift 2 2" xfId="28"/>
    <cellStyle name="Überschrift 3 2" xfId="29"/>
    <cellStyle name="Überschrift 4 2" xfId="30"/>
    <cellStyle name="Verknüpfte Zelle 2" xfId="37"/>
    <cellStyle name="Warnender Text 2" xfId="39"/>
    <cellStyle name="Zelle überprüfen 2" xfId="38"/>
  </cellStyles>
  <dxfs count="0"/>
  <tableStyles count="0" defaultTableStyle="TableStyleMedium2" defaultPivotStyle="PivotStyleLight16"/>
  <colors>
    <mruColors>
      <color rgb="FFFFFF99"/>
      <color rgb="FFF3F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3279907" TargetMode="External"/><Relationship Id="rId299" Type="http://schemas.openxmlformats.org/officeDocument/2006/relationships/hyperlink" Target="https://www.ncbi.nlm.nih.gov/pubmed/20400647" TargetMode="External"/><Relationship Id="rId21" Type="http://schemas.openxmlformats.org/officeDocument/2006/relationships/hyperlink" Target="https://www.ncbi.nlm.nih.gov/pubmed/7911763" TargetMode="External"/><Relationship Id="rId63" Type="http://schemas.openxmlformats.org/officeDocument/2006/relationships/hyperlink" Target="https://www.ncbi.nlm.nih.gov/pubmed/16638734" TargetMode="External"/><Relationship Id="rId159" Type="http://schemas.openxmlformats.org/officeDocument/2006/relationships/hyperlink" Target="https://www.ncbi.nlm.nih.gov/pubmed/9545149" TargetMode="External"/><Relationship Id="rId324" Type="http://schemas.openxmlformats.org/officeDocument/2006/relationships/hyperlink" Target="https://www.ncbi.nlm.nih.gov/pubmed/16982783" TargetMode="External"/><Relationship Id="rId366" Type="http://schemas.openxmlformats.org/officeDocument/2006/relationships/hyperlink" Target="https://www.ncbi.nlm.nih.gov/pubmed/24530864" TargetMode="External"/><Relationship Id="rId170" Type="http://schemas.openxmlformats.org/officeDocument/2006/relationships/hyperlink" Target="https://www.ncbi.nlm.nih.gov/pubmed/16580903" TargetMode="External"/><Relationship Id="rId226" Type="http://schemas.openxmlformats.org/officeDocument/2006/relationships/hyperlink" Target="http://www.ncbi.nlm.nih.gov/pubmed/6138080" TargetMode="External"/><Relationship Id="rId433" Type="http://schemas.openxmlformats.org/officeDocument/2006/relationships/hyperlink" Target="https://www.ncbi.nlm.nih.gov/pubmed/25588320" TargetMode="External"/><Relationship Id="rId268" Type="http://schemas.openxmlformats.org/officeDocument/2006/relationships/hyperlink" Target="https://www.ncbi.nlm.nih.gov/pubmed/8726601" TargetMode="External"/><Relationship Id="rId475" Type="http://schemas.openxmlformats.org/officeDocument/2006/relationships/hyperlink" Target="http://www.ncbi.nlm.nih.gov/pubmed/4087830" TargetMode="External"/><Relationship Id="rId32" Type="http://schemas.openxmlformats.org/officeDocument/2006/relationships/hyperlink" Target="https://www.ncbi.nlm.nih.gov/pubmed/16638734" TargetMode="External"/><Relationship Id="rId74" Type="http://schemas.openxmlformats.org/officeDocument/2006/relationships/hyperlink" Target="https://www.ncbi.nlm.nih.gov/pubmed/16638734" TargetMode="External"/><Relationship Id="rId128" Type="http://schemas.openxmlformats.org/officeDocument/2006/relationships/hyperlink" Target="https://www.ncbi.nlm.nih.gov/pubmed/25544247" TargetMode="External"/><Relationship Id="rId335" Type="http://schemas.openxmlformats.org/officeDocument/2006/relationships/hyperlink" Target="https://www.ncbi.nlm.nih.gov/pubmed/5060669" TargetMode="External"/><Relationship Id="rId377" Type="http://schemas.openxmlformats.org/officeDocument/2006/relationships/hyperlink" Target="https://www.ncbi.nlm.nih.gov/pubmed/15114429" TargetMode="External"/><Relationship Id="rId500" Type="http://schemas.openxmlformats.org/officeDocument/2006/relationships/hyperlink" Target="https://www.ncbi.nlm.nih.gov/pubmed/9764959" TargetMode="External"/><Relationship Id="rId5" Type="http://schemas.openxmlformats.org/officeDocument/2006/relationships/hyperlink" Target="https://doi.org/10.1007/BF00561755" TargetMode="External"/><Relationship Id="rId181" Type="http://schemas.openxmlformats.org/officeDocument/2006/relationships/hyperlink" Target="https://www.ncbi.nlm.nih.gov/pubmed/15536460" TargetMode="External"/><Relationship Id="rId237" Type="http://schemas.openxmlformats.org/officeDocument/2006/relationships/hyperlink" Target="http://www.ncbi.nlm.nih.gov/pubmed/6138080" TargetMode="External"/><Relationship Id="rId402" Type="http://schemas.openxmlformats.org/officeDocument/2006/relationships/hyperlink" Target="https://www.ncbi.nlm.nih.gov/pubmed/9728893" TargetMode="External"/><Relationship Id="rId279" Type="http://schemas.openxmlformats.org/officeDocument/2006/relationships/hyperlink" Target="https://www.ncbi.nlm.nih.gov/pubmed/2561187" TargetMode="External"/><Relationship Id="rId444" Type="http://schemas.openxmlformats.org/officeDocument/2006/relationships/hyperlink" Target="https://www.ncbi.nlm.nih.gov/pubmed/21562488" TargetMode="External"/><Relationship Id="rId486" Type="http://schemas.openxmlformats.org/officeDocument/2006/relationships/hyperlink" Target="https://www.ncbi.nlm.nih.gov/pubmed/9420037" TargetMode="External"/><Relationship Id="rId43" Type="http://schemas.openxmlformats.org/officeDocument/2006/relationships/hyperlink" Target="https://www.ncbi.nlm.nih.gov/pubmed/9333111" TargetMode="External"/><Relationship Id="rId139" Type="http://schemas.openxmlformats.org/officeDocument/2006/relationships/hyperlink" Target="https://www.ncbi.nlm.nih.gov/pubmed/1531117" TargetMode="External"/><Relationship Id="rId290" Type="http://schemas.openxmlformats.org/officeDocument/2006/relationships/hyperlink" Target="https://www.ncbi.nlm.nih.gov/pubmed/18172627" TargetMode="External"/><Relationship Id="rId304" Type="http://schemas.openxmlformats.org/officeDocument/2006/relationships/hyperlink" Target="https://www.ncbi.nlm.nih.gov/pubmed/20400647" TargetMode="External"/><Relationship Id="rId346" Type="http://schemas.openxmlformats.org/officeDocument/2006/relationships/hyperlink" Target="https://www.ncbi.nlm.nih.gov/pubmed/6473487" TargetMode="External"/><Relationship Id="rId388" Type="http://schemas.openxmlformats.org/officeDocument/2006/relationships/hyperlink" Target="https://www.ncbi.nlm.nih.gov/pubmed/5002304" TargetMode="External"/><Relationship Id="rId511" Type="http://schemas.openxmlformats.org/officeDocument/2006/relationships/hyperlink" Target="https://www.ncbi.nlm.nih.gov/pubmed/24530864" TargetMode="External"/><Relationship Id="rId85" Type="http://schemas.openxmlformats.org/officeDocument/2006/relationships/hyperlink" Target="https://www.ncbi.nlm.nih.gov/pubmed/11959572" TargetMode="External"/><Relationship Id="rId150" Type="http://schemas.openxmlformats.org/officeDocument/2006/relationships/hyperlink" Target="https://www.ncbi.nlm.nih.gov/pubmed/1531117" TargetMode="External"/><Relationship Id="rId192" Type="http://schemas.openxmlformats.org/officeDocument/2006/relationships/hyperlink" Target="https://www.ncbi.nlm.nih.gov/pubmed/21191377" TargetMode="External"/><Relationship Id="rId206" Type="http://schemas.openxmlformats.org/officeDocument/2006/relationships/hyperlink" Target="https://www.ncbi.nlm.nih.gov/pubmed/578447" TargetMode="External"/><Relationship Id="rId413" Type="http://schemas.openxmlformats.org/officeDocument/2006/relationships/hyperlink" Target="https://www.ncbi.nlm.nih.gov/pubmed/12891222" TargetMode="External"/><Relationship Id="rId248" Type="http://schemas.openxmlformats.org/officeDocument/2006/relationships/hyperlink" Target="http://www.ncbi.nlm.nih.gov/pubmed/8880291" TargetMode="External"/><Relationship Id="rId455" Type="http://schemas.openxmlformats.org/officeDocument/2006/relationships/hyperlink" Target="https://www.ncbi.nlm.nih.gov/pubmed/21562488" TargetMode="External"/><Relationship Id="rId497" Type="http://schemas.openxmlformats.org/officeDocument/2006/relationships/hyperlink" Target="https://www.ncbi.nlm.nih.gov/pubmed/8623953" TargetMode="External"/><Relationship Id="rId12" Type="http://schemas.openxmlformats.org/officeDocument/2006/relationships/hyperlink" Target="https://www.ncbi.nlm.nih.gov/pubmed/7911763" TargetMode="External"/><Relationship Id="rId108" Type="http://schemas.openxmlformats.org/officeDocument/2006/relationships/hyperlink" Target="https://www.ncbi.nlm.nih.gov/pubmed/874697" TargetMode="External"/><Relationship Id="rId315" Type="http://schemas.openxmlformats.org/officeDocument/2006/relationships/hyperlink" Target="https://www.ncbi.nlm.nih.gov/pubmed/16982783" TargetMode="External"/><Relationship Id="rId357" Type="http://schemas.openxmlformats.org/officeDocument/2006/relationships/hyperlink" Target="http://www.ncbi.nlm.nih.gov/pubmed/6138080" TargetMode="External"/><Relationship Id="rId54" Type="http://schemas.openxmlformats.org/officeDocument/2006/relationships/hyperlink" Target="https://www.ncbi.nlm.nih.gov/pubmed/9663178" TargetMode="External"/><Relationship Id="rId96" Type="http://schemas.openxmlformats.org/officeDocument/2006/relationships/hyperlink" Target="https://www.ncbi.nlm.nih.gov/pubmed/874697" TargetMode="External"/><Relationship Id="rId161" Type="http://schemas.openxmlformats.org/officeDocument/2006/relationships/hyperlink" Target="https://www.ncbi.nlm.nih.gov/pubmed/9545149" TargetMode="External"/><Relationship Id="rId217" Type="http://schemas.openxmlformats.org/officeDocument/2006/relationships/hyperlink" Target="https://www.ncbi.nlm.nih.gov/pubmed/578447" TargetMode="External"/><Relationship Id="rId399" Type="http://schemas.openxmlformats.org/officeDocument/2006/relationships/hyperlink" Target="https://www.ncbi.nlm.nih.gov/pubmed/10411543" TargetMode="External"/><Relationship Id="rId259" Type="http://schemas.openxmlformats.org/officeDocument/2006/relationships/hyperlink" Target="https://www.ncbi.nlm.nih.gov/pubmed/9661037" TargetMode="External"/><Relationship Id="rId424" Type="http://schemas.openxmlformats.org/officeDocument/2006/relationships/hyperlink" Target="https://www.ncbi.nlm.nih.gov/pubmed/18214850" TargetMode="External"/><Relationship Id="rId466" Type="http://schemas.openxmlformats.org/officeDocument/2006/relationships/hyperlink" Target="https://www.ncbi.nlm.nih.gov/pubmed/22190694" TargetMode="External"/><Relationship Id="rId23" Type="http://schemas.openxmlformats.org/officeDocument/2006/relationships/hyperlink" Target="https://www.ncbi.nlm.nih.gov/pubmed/7911763" TargetMode="External"/><Relationship Id="rId119" Type="http://schemas.openxmlformats.org/officeDocument/2006/relationships/hyperlink" Target="https://www.ncbi.nlm.nih.gov/pubmed/3579256" TargetMode="External"/><Relationship Id="rId270" Type="http://schemas.openxmlformats.org/officeDocument/2006/relationships/hyperlink" Target="https://www.ncbi.nlm.nih.gov/pubmed/2544431" TargetMode="External"/><Relationship Id="rId326" Type="http://schemas.openxmlformats.org/officeDocument/2006/relationships/hyperlink" Target="https://www.ncbi.nlm.nih.gov/pubmed/16982783" TargetMode="External"/><Relationship Id="rId65" Type="http://schemas.openxmlformats.org/officeDocument/2006/relationships/hyperlink" Target="https://www.ncbi.nlm.nih.gov/pubmed/16638734" TargetMode="External"/><Relationship Id="rId130" Type="http://schemas.openxmlformats.org/officeDocument/2006/relationships/hyperlink" Target="https://www.ncbi.nlm.nih.gov/pubmed/2950809" TargetMode="External"/><Relationship Id="rId368" Type="http://schemas.openxmlformats.org/officeDocument/2006/relationships/hyperlink" Target="https://www.ncbi.nlm.nih.gov/pubmed/2936766" TargetMode="External"/><Relationship Id="rId172" Type="http://schemas.openxmlformats.org/officeDocument/2006/relationships/hyperlink" Target="https://www.ncbi.nlm.nih.gov/pubmed/15536460" TargetMode="External"/><Relationship Id="rId228" Type="http://schemas.openxmlformats.org/officeDocument/2006/relationships/hyperlink" Target="http://www.ncbi.nlm.nih.gov/pubmed/6138080" TargetMode="External"/><Relationship Id="rId435" Type="http://schemas.openxmlformats.org/officeDocument/2006/relationships/hyperlink" Target="https://www.ncbi.nlm.nih.gov/pubmed/9421099" TargetMode="External"/><Relationship Id="rId477" Type="http://schemas.openxmlformats.org/officeDocument/2006/relationships/hyperlink" Target="http://www.ncbi.nlm.nih.gov/pubmed/4087830" TargetMode="External"/><Relationship Id="rId281" Type="http://schemas.openxmlformats.org/officeDocument/2006/relationships/hyperlink" Target="https://www.ncbi.nlm.nih.gov/pubmed/20595406" TargetMode="External"/><Relationship Id="rId337" Type="http://schemas.openxmlformats.org/officeDocument/2006/relationships/hyperlink" Target="https://www.ncbi.nlm.nih.gov/pubmed/5060669" TargetMode="External"/><Relationship Id="rId502" Type="http://schemas.openxmlformats.org/officeDocument/2006/relationships/hyperlink" Target="https://www.ncbi.nlm.nih.gov/pubmed/17553741" TargetMode="External"/><Relationship Id="rId34" Type="http://schemas.openxmlformats.org/officeDocument/2006/relationships/hyperlink" Target="https://www.ncbi.nlm.nih.gov/pubmed/16638734" TargetMode="External"/><Relationship Id="rId76" Type="http://schemas.openxmlformats.org/officeDocument/2006/relationships/hyperlink" Target="https://www.ncbi.nlm.nih.gov/pubmed/16638734" TargetMode="External"/><Relationship Id="rId141" Type="http://schemas.openxmlformats.org/officeDocument/2006/relationships/hyperlink" Target="https://www.ncbi.nlm.nih.gov/pubmed/1531117" TargetMode="External"/><Relationship Id="rId379" Type="http://schemas.openxmlformats.org/officeDocument/2006/relationships/hyperlink" Target="https://www.ncbi.nlm.nih.gov/pubmed/15114429" TargetMode="External"/><Relationship Id="rId7" Type="http://schemas.openxmlformats.org/officeDocument/2006/relationships/hyperlink" Target="https://www.accessdata.fda.gov/drugsatfda_docs/label/2013/050420s075,050627s014lbl.pdf" TargetMode="External"/><Relationship Id="rId183" Type="http://schemas.openxmlformats.org/officeDocument/2006/relationships/hyperlink" Target="https://www.ncbi.nlm.nih.gov/pubmed/15536460" TargetMode="External"/><Relationship Id="rId239" Type="http://schemas.openxmlformats.org/officeDocument/2006/relationships/hyperlink" Target="http://www.ncbi.nlm.nih.gov/pubmed/6138080" TargetMode="External"/><Relationship Id="rId390" Type="http://schemas.openxmlformats.org/officeDocument/2006/relationships/hyperlink" Target="https://www.ncbi.nlm.nih.gov/pubmed/5002304" TargetMode="External"/><Relationship Id="rId404" Type="http://schemas.openxmlformats.org/officeDocument/2006/relationships/hyperlink" Target="https://www.ncbi.nlm.nih.gov/pubmed/6742481" TargetMode="External"/><Relationship Id="rId446" Type="http://schemas.openxmlformats.org/officeDocument/2006/relationships/hyperlink" Target="https://www.ncbi.nlm.nih.gov/pubmed/21562488" TargetMode="External"/><Relationship Id="rId250" Type="http://schemas.openxmlformats.org/officeDocument/2006/relationships/hyperlink" Target="https://www.ncbi.nlm.nih.gov/pubmed/8720318" TargetMode="External"/><Relationship Id="rId292" Type="http://schemas.openxmlformats.org/officeDocument/2006/relationships/hyperlink" Target="https://www.ncbi.nlm.nih.gov/pubmed/18172627" TargetMode="External"/><Relationship Id="rId306" Type="http://schemas.openxmlformats.org/officeDocument/2006/relationships/hyperlink" Target="https://www.ncbi.nlm.nih.gov/pubmed/16982783" TargetMode="External"/><Relationship Id="rId488" Type="http://schemas.openxmlformats.org/officeDocument/2006/relationships/hyperlink" Target="https://www.ncbi.nlm.nih.gov/pubmed/9925057" TargetMode="External"/><Relationship Id="rId45" Type="http://schemas.openxmlformats.org/officeDocument/2006/relationships/hyperlink" Target="https://www.ncbi.nlm.nih.gov/pubmed/22546895" TargetMode="External"/><Relationship Id="rId87" Type="http://schemas.openxmlformats.org/officeDocument/2006/relationships/hyperlink" Target="https://www.ncbi.nlm.nih.gov/pubmed/11959572" TargetMode="External"/><Relationship Id="rId110" Type="http://schemas.openxmlformats.org/officeDocument/2006/relationships/hyperlink" Target="https://www.ncbi.nlm.nih.gov/pubmed/874697" TargetMode="External"/><Relationship Id="rId348" Type="http://schemas.openxmlformats.org/officeDocument/2006/relationships/hyperlink" Target="https://www.ncbi.nlm.nih.gov/pubmed/6473487" TargetMode="External"/><Relationship Id="rId513" Type="http://schemas.openxmlformats.org/officeDocument/2006/relationships/vmlDrawing" Target="../drawings/vmlDrawing1.vml"/><Relationship Id="rId152" Type="http://schemas.openxmlformats.org/officeDocument/2006/relationships/hyperlink" Target="https://www.ncbi.nlm.nih.gov/pubmed/8388198" TargetMode="External"/><Relationship Id="rId194" Type="http://schemas.openxmlformats.org/officeDocument/2006/relationships/hyperlink" Target="https://www.ncbi.nlm.nih.gov/pubmed/832508" TargetMode="External"/><Relationship Id="rId208" Type="http://schemas.openxmlformats.org/officeDocument/2006/relationships/hyperlink" Target="https://www.ncbi.nlm.nih.gov/pubmed/578447" TargetMode="External"/><Relationship Id="rId415" Type="http://schemas.openxmlformats.org/officeDocument/2006/relationships/hyperlink" Target="https://www.ncbi.nlm.nih.gov/pubmed/16432272" TargetMode="External"/><Relationship Id="rId457" Type="http://schemas.openxmlformats.org/officeDocument/2006/relationships/hyperlink" Target="https://www.ncbi.nlm.nih.gov/pubmed/21562488" TargetMode="External"/><Relationship Id="rId240" Type="http://schemas.openxmlformats.org/officeDocument/2006/relationships/hyperlink" Target="http://www.ncbi.nlm.nih.gov/pubmed/6138080" TargetMode="External"/><Relationship Id="rId261" Type="http://schemas.openxmlformats.org/officeDocument/2006/relationships/hyperlink" Target="https://www.ncbi.nlm.nih.gov/pubmed/9661037" TargetMode="External"/><Relationship Id="rId478" Type="http://schemas.openxmlformats.org/officeDocument/2006/relationships/hyperlink" Target="http://www.ncbi.nlm.nih.gov/pubmed/4087830" TargetMode="External"/><Relationship Id="rId499" Type="http://schemas.openxmlformats.org/officeDocument/2006/relationships/hyperlink" Target="https://www.ncbi.nlm.nih.gov/pubmed/8623953" TargetMode="External"/><Relationship Id="rId14" Type="http://schemas.openxmlformats.org/officeDocument/2006/relationships/hyperlink" Target="https://www.ncbi.nlm.nih.gov/pubmed/7911763" TargetMode="External"/><Relationship Id="rId35" Type="http://schemas.openxmlformats.org/officeDocument/2006/relationships/hyperlink" Target="https://www.ncbi.nlm.nih.gov/pubmed/2860931" TargetMode="External"/><Relationship Id="rId56" Type="http://schemas.openxmlformats.org/officeDocument/2006/relationships/hyperlink" Target="https://www.ncbi.nlm.nih.gov/pubmed/9663178" TargetMode="External"/><Relationship Id="rId77" Type="http://schemas.openxmlformats.org/officeDocument/2006/relationships/hyperlink" Target="https://www.ncbi.nlm.nih.gov/pubmed/16638734" TargetMode="External"/><Relationship Id="rId100" Type="http://schemas.openxmlformats.org/officeDocument/2006/relationships/hyperlink" Target="https://www.ncbi.nlm.nih.gov/pubmed/874697" TargetMode="External"/><Relationship Id="rId282" Type="http://schemas.openxmlformats.org/officeDocument/2006/relationships/hyperlink" Target="https://www.ncbi.nlm.nih.gov/pubmed/20595406" TargetMode="External"/><Relationship Id="rId317" Type="http://schemas.openxmlformats.org/officeDocument/2006/relationships/hyperlink" Target="https://www.ncbi.nlm.nih.gov/pubmed/16982783" TargetMode="External"/><Relationship Id="rId338" Type="http://schemas.openxmlformats.org/officeDocument/2006/relationships/hyperlink" Target="https://www.ncbi.nlm.nih.gov/pubmed/6473487" TargetMode="External"/><Relationship Id="rId359" Type="http://schemas.openxmlformats.org/officeDocument/2006/relationships/hyperlink" Target="https://www.ncbi.nlm.nih.gov/pubmed/8549036" TargetMode="External"/><Relationship Id="rId503" Type="http://schemas.openxmlformats.org/officeDocument/2006/relationships/hyperlink" Target="https://www.ncbi.nlm.nih.gov/pubmed/11851636" TargetMode="External"/><Relationship Id="rId8" Type="http://schemas.openxmlformats.org/officeDocument/2006/relationships/hyperlink" Target="https://www.accessdata.fda.gov/drugsatfda_docs/label/2013/050420s075,050627s014lbl.pdf" TargetMode="External"/><Relationship Id="rId98" Type="http://schemas.openxmlformats.org/officeDocument/2006/relationships/hyperlink" Target="https://www.ncbi.nlm.nih.gov/pubmed/874697" TargetMode="External"/><Relationship Id="rId121" Type="http://schemas.openxmlformats.org/officeDocument/2006/relationships/hyperlink" Target="https://www.ncbi.nlm.nih.gov/pubmed/7350291" TargetMode="External"/><Relationship Id="rId142" Type="http://schemas.openxmlformats.org/officeDocument/2006/relationships/hyperlink" Target="https://www.ncbi.nlm.nih.gov/pubmed/1531117" TargetMode="External"/><Relationship Id="rId163" Type="http://schemas.openxmlformats.org/officeDocument/2006/relationships/hyperlink" Target="https://www.ncbi.nlm.nih.gov/pubmed/9545149" TargetMode="External"/><Relationship Id="rId184" Type="http://schemas.openxmlformats.org/officeDocument/2006/relationships/hyperlink" Target="https://www.ncbi.nlm.nih.gov/pubmed/15536460" TargetMode="External"/><Relationship Id="rId219" Type="http://schemas.openxmlformats.org/officeDocument/2006/relationships/hyperlink" Target="https://www.ncbi.nlm.nih.gov/pubmed/832508" TargetMode="External"/><Relationship Id="rId370" Type="http://schemas.openxmlformats.org/officeDocument/2006/relationships/hyperlink" Target="https://www.ncbi.nlm.nih.gov/pubmed/2936766" TargetMode="External"/><Relationship Id="rId391" Type="http://schemas.openxmlformats.org/officeDocument/2006/relationships/hyperlink" Target="https://www.ncbi.nlm.nih.gov/pubmed/5002304" TargetMode="External"/><Relationship Id="rId405" Type="http://schemas.openxmlformats.org/officeDocument/2006/relationships/hyperlink" Target="https://www.ncbi.nlm.nih.gov/pubmed/6742481" TargetMode="External"/><Relationship Id="rId426" Type="http://schemas.openxmlformats.org/officeDocument/2006/relationships/hyperlink" Target="https://www.ncbi.nlm.nih.gov/pubmed/16432272" TargetMode="External"/><Relationship Id="rId447" Type="http://schemas.openxmlformats.org/officeDocument/2006/relationships/hyperlink" Target="https://www.ncbi.nlm.nih.gov/pubmed/21562488" TargetMode="External"/><Relationship Id="rId230" Type="http://schemas.openxmlformats.org/officeDocument/2006/relationships/hyperlink" Target="https://www.ncbi.nlm.nih.gov/pubmed/6117393" TargetMode="External"/><Relationship Id="rId251" Type="http://schemas.openxmlformats.org/officeDocument/2006/relationships/hyperlink" Target="http://www.ncbi.nlm.nih.gov/pubmed/6138080" TargetMode="External"/><Relationship Id="rId468" Type="http://schemas.openxmlformats.org/officeDocument/2006/relationships/hyperlink" Target="https://www.ncbi.nlm.nih.gov/pubmed/17365992" TargetMode="External"/><Relationship Id="rId489" Type="http://schemas.openxmlformats.org/officeDocument/2006/relationships/hyperlink" Target="https://www.ncbi.nlm.nih.gov/pubmed/9925057" TargetMode="External"/><Relationship Id="rId25" Type="http://schemas.openxmlformats.org/officeDocument/2006/relationships/hyperlink" Target="https://www.ncbi.nlm.nih.gov/pubmed/17050795" TargetMode="External"/><Relationship Id="rId46" Type="http://schemas.openxmlformats.org/officeDocument/2006/relationships/hyperlink" Target="https://www.ncbi.nlm.nih.gov/pubmed/22546895" TargetMode="External"/><Relationship Id="rId67" Type="http://schemas.openxmlformats.org/officeDocument/2006/relationships/hyperlink" Target="https://www.ncbi.nlm.nih.gov/pubmed/16638734" TargetMode="External"/><Relationship Id="rId272" Type="http://schemas.openxmlformats.org/officeDocument/2006/relationships/hyperlink" Target="https://www.ncbi.nlm.nih.gov/pubmed/2544431" TargetMode="External"/><Relationship Id="rId293" Type="http://schemas.openxmlformats.org/officeDocument/2006/relationships/hyperlink" Target="https://www.ncbi.nlm.nih.gov/pubmed/18172627" TargetMode="External"/><Relationship Id="rId307" Type="http://schemas.openxmlformats.org/officeDocument/2006/relationships/hyperlink" Target="https://www.ncbi.nlm.nih.gov/pubmed/16982783" TargetMode="External"/><Relationship Id="rId328" Type="http://schemas.openxmlformats.org/officeDocument/2006/relationships/hyperlink" Target="https://www.ncbi.nlm.nih.gov/pubmed/16982783" TargetMode="External"/><Relationship Id="rId349" Type="http://schemas.openxmlformats.org/officeDocument/2006/relationships/hyperlink" Target="https://www.ncbi.nlm.nih.gov/pubmed/6473487" TargetMode="External"/><Relationship Id="rId514" Type="http://schemas.openxmlformats.org/officeDocument/2006/relationships/comments" Target="../comments1.xml"/><Relationship Id="rId88" Type="http://schemas.openxmlformats.org/officeDocument/2006/relationships/hyperlink" Target="https://www.ncbi.nlm.nih.gov/pubmed/11959572" TargetMode="External"/><Relationship Id="rId111" Type="http://schemas.openxmlformats.org/officeDocument/2006/relationships/hyperlink" Target="https://www.ncbi.nlm.nih.gov/pubmed/874697" TargetMode="External"/><Relationship Id="rId132" Type="http://schemas.openxmlformats.org/officeDocument/2006/relationships/hyperlink" Target="https://www.ncbi.nlm.nih.gov/pubmed/1531117" TargetMode="External"/><Relationship Id="rId153" Type="http://schemas.openxmlformats.org/officeDocument/2006/relationships/hyperlink" Target="https://www.ncbi.nlm.nih.gov/pubmed/8388198" TargetMode="External"/><Relationship Id="rId174" Type="http://schemas.openxmlformats.org/officeDocument/2006/relationships/hyperlink" Target="https://www.ncbi.nlm.nih.gov/pubmed/15536460" TargetMode="External"/><Relationship Id="rId195" Type="http://schemas.openxmlformats.org/officeDocument/2006/relationships/hyperlink" Target="https://www.ncbi.nlm.nih.gov/pubmed/832508" TargetMode="External"/><Relationship Id="rId209" Type="http://schemas.openxmlformats.org/officeDocument/2006/relationships/hyperlink" Target="https://www.ncbi.nlm.nih.gov/pubmed/578447" TargetMode="External"/><Relationship Id="rId360" Type="http://schemas.openxmlformats.org/officeDocument/2006/relationships/hyperlink" Target="https://www.ncbi.nlm.nih.gov/pubmed/8549036" TargetMode="External"/><Relationship Id="rId381" Type="http://schemas.openxmlformats.org/officeDocument/2006/relationships/hyperlink" Target="https://www.ncbi.nlm.nih.gov/pubmed/15114429" TargetMode="External"/><Relationship Id="rId416" Type="http://schemas.openxmlformats.org/officeDocument/2006/relationships/hyperlink" Target="https://www.ncbi.nlm.nih.gov/pubmed/16432272" TargetMode="External"/><Relationship Id="rId220" Type="http://schemas.openxmlformats.org/officeDocument/2006/relationships/hyperlink" Target="https://www.ncbi.nlm.nih.gov/pubmed/4037525" TargetMode="External"/><Relationship Id="rId241" Type="http://schemas.openxmlformats.org/officeDocument/2006/relationships/hyperlink" Target="http://www.ncbi.nlm.nih.gov/pubmed/6138080" TargetMode="External"/><Relationship Id="rId437" Type="http://schemas.openxmlformats.org/officeDocument/2006/relationships/hyperlink" Target="https://www.ncbi.nlm.nih.gov/pubmed/9421099" TargetMode="External"/><Relationship Id="rId458" Type="http://schemas.openxmlformats.org/officeDocument/2006/relationships/hyperlink" Target="https://www.ncbi.nlm.nih.gov/pubmed/21562488" TargetMode="External"/><Relationship Id="rId479" Type="http://schemas.openxmlformats.org/officeDocument/2006/relationships/hyperlink" Target="http://www.ncbi.nlm.nih.gov/pubmed/4087830" TargetMode="External"/><Relationship Id="rId15" Type="http://schemas.openxmlformats.org/officeDocument/2006/relationships/hyperlink" Target="https://www.ncbi.nlm.nih.gov/pubmed/7911763" TargetMode="External"/><Relationship Id="rId36" Type="http://schemas.openxmlformats.org/officeDocument/2006/relationships/hyperlink" Target="https://www.ncbi.nlm.nih.gov/pubmed/2860931" TargetMode="External"/><Relationship Id="rId57" Type="http://schemas.openxmlformats.org/officeDocument/2006/relationships/hyperlink" Target="https://www.ncbi.nlm.nih.gov/pubmed/9663178" TargetMode="External"/><Relationship Id="rId262" Type="http://schemas.openxmlformats.org/officeDocument/2006/relationships/hyperlink" Target="https://www.ncbi.nlm.nih.gov/pubmed/9661037" TargetMode="External"/><Relationship Id="rId283" Type="http://schemas.openxmlformats.org/officeDocument/2006/relationships/hyperlink" Target="https://www.ncbi.nlm.nih.gov/pubmed/15098799" TargetMode="External"/><Relationship Id="rId318" Type="http://schemas.openxmlformats.org/officeDocument/2006/relationships/hyperlink" Target="https://www.ncbi.nlm.nih.gov/pubmed/16982783" TargetMode="External"/><Relationship Id="rId339" Type="http://schemas.openxmlformats.org/officeDocument/2006/relationships/hyperlink" Target="https://www.ncbi.nlm.nih.gov/pubmed/6473487" TargetMode="External"/><Relationship Id="rId490" Type="http://schemas.openxmlformats.org/officeDocument/2006/relationships/hyperlink" Target="https://www.ncbi.nlm.nih.gov/pubmed/9925057" TargetMode="External"/><Relationship Id="rId504" Type="http://schemas.openxmlformats.org/officeDocument/2006/relationships/hyperlink" Target="https://www.ncbi.nlm.nih.gov/pubmed/11851636" TargetMode="External"/><Relationship Id="rId78" Type="http://schemas.openxmlformats.org/officeDocument/2006/relationships/hyperlink" Target="https://www.ncbi.nlm.nih.gov/pubmed/16638734" TargetMode="External"/><Relationship Id="rId99" Type="http://schemas.openxmlformats.org/officeDocument/2006/relationships/hyperlink" Target="https://www.ncbi.nlm.nih.gov/pubmed/874697" TargetMode="External"/><Relationship Id="rId101" Type="http://schemas.openxmlformats.org/officeDocument/2006/relationships/hyperlink" Target="https://www.ncbi.nlm.nih.gov/pubmed/874697" TargetMode="External"/><Relationship Id="rId122" Type="http://schemas.openxmlformats.org/officeDocument/2006/relationships/hyperlink" Target="https://www.ncbi.nlm.nih.gov/pubmed/7350291" TargetMode="External"/><Relationship Id="rId143" Type="http://schemas.openxmlformats.org/officeDocument/2006/relationships/hyperlink" Target="https://www.ncbi.nlm.nih.gov/pubmed/1531117" TargetMode="External"/><Relationship Id="rId164" Type="http://schemas.openxmlformats.org/officeDocument/2006/relationships/hyperlink" Target="https://www.ncbi.nlm.nih.gov/pubmed/9545149" TargetMode="External"/><Relationship Id="rId185" Type="http://schemas.openxmlformats.org/officeDocument/2006/relationships/hyperlink" Target="https://www.ncbi.nlm.nih.gov/pubmed/21191377" TargetMode="External"/><Relationship Id="rId350" Type="http://schemas.openxmlformats.org/officeDocument/2006/relationships/hyperlink" Target="https://www.ncbi.nlm.nih.gov/pubmed/6473487" TargetMode="External"/><Relationship Id="rId371" Type="http://schemas.openxmlformats.org/officeDocument/2006/relationships/hyperlink" Target="https://www.ncbi.nlm.nih.gov/pubmed/8983939" TargetMode="External"/><Relationship Id="rId406" Type="http://schemas.openxmlformats.org/officeDocument/2006/relationships/hyperlink" Target="https://www.ncbi.nlm.nih.gov/pubmed/6742481" TargetMode="External"/><Relationship Id="rId9" Type="http://schemas.openxmlformats.org/officeDocument/2006/relationships/hyperlink" Target="https://www.ncbi.nlm.nih.gov/pubmed/7911763" TargetMode="External"/><Relationship Id="rId210" Type="http://schemas.openxmlformats.org/officeDocument/2006/relationships/hyperlink" Target="https://www.ncbi.nlm.nih.gov/pubmed/578447" TargetMode="External"/><Relationship Id="rId392" Type="http://schemas.openxmlformats.org/officeDocument/2006/relationships/hyperlink" Target="https://www.ncbi.nlm.nih.gov/pubmed/12966371" TargetMode="External"/><Relationship Id="rId427" Type="http://schemas.openxmlformats.org/officeDocument/2006/relationships/hyperlink" Target="https://www.ncbi.nlm.nih.gov/pubmed/16432272" TargetMode="External"/><Relationship Id="rId448" Type="http://schemas.openxmlformats.org/officeDocument/2006/relationships/hyperlink" Target="https://www.ncbi.nlm.nih.gov/pubmed/21562488" TargetMode="External"/><Relationship Id="rId469" Type="http://schemas.openxmlformats.org/officeDocument/2006/relationships/hyperlink" Target="https://www.ncbi.nlm.nih.gov/pubmed/17365992" TargetMode="External"/><Relationship Id="rId26" Type="http://schemas.openxmlformats.org/officeDocument/2006/relationships/hyperlink" Target="https://www.ncbi.nlm.nih.gov/pubmed/17050795" TargetMode="External"/><Relationship Id="rId231" Type="http://schemas.openxmlformats.org/officeDocument/2006/relationships/hyperlink" Target="https://www.ncbi.nlm.nih.gov/pubmed/6116606" TargetMode="External"/><Relationship Id="rId252" Type="http://schemas.openxmlformats.org/officeDocument/2006/relationships/hyperlink" Target="https://www.ncbi.nlm.nih.gov/pubmed/19371318" TargetMode="External"/><Relationship Id="rId273" Type="http://schemas.openxmlformats.org/officeDocument/2006/relationships/hyperlink" Target="https://www.ncbi.nlm.nih.gov/pubmed/2544431" TargetMode="External"/><Relationship Id="rId294" Type="http://schemas.openxmlformats.org/officeDocument/2006/relationships/hyperlink" Target="https://www.ncbi.nlm.nih.gov/pubmed/18172627" TargetMode="External"/><Relationship Id="rId308" Type="http://schemas.openxmlformats.org/officeDocument/2006/relationships/hyperlink" Target="https://www.ncbi.nlm.nih.gov/pubmed/16982783" TargetMode="External"/><Relationship Id="rId329" Type="http://schemas.openxmlformats.org/officeDocument/2006/relationships/hyperlink" Target="https://www.ncbi.nlm.nih.gov/pubmed/16982783" TargetMode="External"/><Relationship Id="rId480" Type="http://schemas.openxmlformats.org/officeDocument/2006/relationships/hyperlink" Target="https://www.ncbi.nlm.nih.gov/pubmed/17463213" TargetMode="External"/><Relationship Id="rId47" Type="http://schemas.openxmlformats.org/officeDocument/2006/relationships/hyperlink" Target="https://www.ncbi.nlm.nih.gov/pubmed/22546895" TargetMode="External"/><Relationship Id="rId68" Type="http://schemas.openxmlformats.org/officeDocument/2006/relationships/hyperlink" Target="https://www.ncbi.nlm.nih.gov/pubmed/16638734" TargetMode="External"/><Relationship Id="rId89" Type="http://schemas.openxmlformats.org/officeDocument/2006/relationships/hyperlink" Target="https://www.ncbi.nlm.nih.gov/pubmed/11959572" TargetMode="External"/><Relationship Id="rId112" Type="http://schemas.openxmlformats.org/officeDocument/2006/relationships/hyperlink" Target="https://www.ncbi.nlm.nih.gov/pubmed/874697" TargetMode="External"/><Relationship Id="rId133" Type="http://schemas.openxmlformats.org/officeDocument/2006/relationships/hyperlink" Target="https://www.ncbi.nlm.nih.gov/pubmed/1531117" TargetMode="External"/><Relationship Id="rId154" Type="http://schemas.openxmlformats.org/officeDocument/2006/relationships/hyperlink" Target="https://www.ncbi.nlm.nih.gov/pubmed/8388198" TargetMode="External"/><Relationship Id="rId175" Type="http://schemas.openxmlformats.org/officeDocument/2006/relationships/hyperlink" Target="https://www.ncbi.nlm.nih.gov/pubmed/15536460" TargetMode="External"/><Relationship Id="rId340" Type="http://schemas.openxmlformats.org/officeDocument/2006/relationships/hyperlink" Target="https://www.ncbi.nlm.nih.gov/pubmed/6473487" TargetMode="External"/><Relationship Id="rId361" Type="http://schemas.openxmlformats.org/officeDocument/2006/relationships/hyperlink" Target="https://www.ncbi.nlm.nih.gov/pubmed/9591931" TargetMode="External"/><Relationship Id="rId196" Type="http://schemas.openxmlformats.org/officeDocument/2006/relationships/hyperlink" Target="https://www.ncbi.nlm.nih.gov/pubmed/832508" TargetMode="External"/><Relationship Id="rId200" Type="http://schemas.openxmlformats.org/officeDocument/2006/relationships/hyperlink" Target="https://www.ncbi.nlm.nih.gov/pubmed/578447" TargetMode="External"/><Relationship Id="rId382" Type="http://schemas.openxmlformats.org/officeDocument/2006/relationships/hyperlink" Target="https://www.accessdata.fda.gov/drugsatfda_docs/anda/97/064150review.pdf" TargetMode="External"/><Relationship Id="rId417" Type="http://schemas.openxmlformats.org/officeDocument/2006/relationships/hyperlink" Target="https://www.ncbi.nlm.nih.gov/pubmed/16432272" TargetMode="External"/><Relationship Id="rId438" Type="http://schemas.openxmlformats.org/officeDocument/2006/relationships/hyperlink" Target="https://www.ncbi.nlm.nih.gov/pubmed/9421099" TargetMode="External"/><Relationship Id="rId459" Type="http://schemas.openxmlformats.org/officeDocument/2006/relationships/hyperlink" Target="https://www.ncbi.nlm.nih.gov/pubmed/21562488" TargetMode="External"/><Relationship Id="rId16" Type="http://schemas.openxmlformats.org/officeDocument/2006/relationships/hyperlink" Target="https://www.ncbi.nlm.nih.gov/pubmed/7911763" TargetMode="External"/><Relationship Id="rId221" Type="http://schemas.openxmlformats.org/officeDocument/2006/relationships/hyperlink" Target="https://doi.org/10.1002/pauz.19900190516" TargetMode="External"/><Relationship Id="rId242" Type="http://schemas.openxmlformats.org/officeDocument/2006/relationships/hyperlink" Target="http://www.ncbi.nlm.nih.gov/pubmed/6138080" TargetMode="External"/><Relationship Id="rId263" Type="http://schemas.openxmlformats.org/officeDocument/2006/relationships/hyperlink" Target="https://www.ncbi.nlm.nih.gov/pubmed/9661037" TargetMode="External"/><Relationship Id="rId284" Type="http://schemas.openxmlformats.org/officeDocument/2006/relationships/hyperlink" Target="https://www.ncbi.nlm.nih.gov/pubmed/18172627" TargetMode="External"/><Relationship Id="rId319" Type="http://schemas.openxmlformats.org/officeDocument/2006/relationships/hyperlink" Target="https://www.ncbi.nlm.nih.gov/pubmed/16982783" TargetMode="External"/><Relationship Id="rId470" Type="http://schemas.openxmlformats.org/officeDocument/2006/relationships/hyperlink" Target="https://www.ncbi.nlm.nih.gov/pubmed/18537963" TargetMode="External"/><Relationship Id="rId491" Type="http://schemas.openxmlformats.org/officeDocument/2006/relationships/hyperlink" Target="https://www.ncbi.nlm.nih.gov/pubmed/8623953" TargetMode="External"/><Relationship Id="rId505" Type="http://schemas.openxmlformats.org/officeDocument/2006/relationships/hyperlink" Target="https://www.ncbi.nlm.nih.gov/pubmed/20739919" TargetMode="External"/><Relationship Id="rId37" Type="http://schemas.openxmlformats.org/officeDocument/2006/relationships/hyperlink" Target="https://www.ncbi.nlm.nih.gov/pubmed/2860931" TargetMode="External"/><Relationship Id="rId58" Type="http://schemas.openxmlformats.org/officeDocument/2006/relationships/hyperlink" Target="https://www.ncbi.nlm.nih.gov/pubmed/10227067" TargetMode="External"/><Relationship Id="rId79" Type="http://schemas.openxmlformats.org/officeDocument/2006/relationships/hyperlink" Target="https://www.ncbi.nlm.nih.gov/pubmed/16638734" TargetMode="External"/><Relationship Id="rId102" Type="http://schemas.openxmlformats.org/officeDocument/2006/relationships/hyperlink" Target="https://www.ncbi.nlm.nih.gov/pubmed/874697" TargetMode="External"/><Relationship Id="rId123" Type="http://schemas.openxmlformats.org/officeDocument/2006/relationships/hyperlink" Target="https://www.ncbi.nlm.nih.gov/pubmed/7350291" TargetMode="External"/><Relationship Id="rId144" Type="http://schemas.openxmlformats.org/officeDocument/2006/relationships/hyperlink" Target="https://www.ncbi.nlm.nih.gov/pubmed/1531117" TargetMode="External"/><Relationship Id="rId330" Type="http://schemas.openxmlformats.org/officeDocument/2006/relationships/hyperlink" Target="https://www.ncbi.nlm.nih.gov/pubmed/9702843" TargetMode="External"/><Relationship Id="rId90" Type="http://schemas.openxmlformats.org/officeDocument/2006/relationships/hyperlink" Target="https://www.ncbi.nlm.nih.gov/pubmed/11959572" TargetMode="External"/><Relationship Id="rId165" Type="http://schemas.openxmlformats.org/officeDocument/2006/relationships/hyperlink" Target="https://www.ncbi.nlm.nih.gov/pubmed/16580903" TargetMode="External"/><Relationship Id="rId186" Type="http://schemas.openxmlformats.org/officeDocument/2006/relationships/hyperlink" Target="https://www.ncbi.nlm.nih.gov/pubmed/21191377" TargetMode="External"/><Relationship Id="rId351" Type="http://schemas.openxmlformats.org/officeDocument/2006/relationships/hyperlink" Target="https://www.ncbi.nlm.nih.gov/pubmed/6473487" TargetMode="External"/><Relationship Id="rId372" Type="http://schemas.openxmlformats.org/officeDocument/2006/relationships/hyperlink" Target="https://www.ncbi.nlm.nih.gov/pubmed/8983939" TargetMode="External"/><Relationship Id="rId393" Type="http://schemas.openxmlformats.org/officeDocument/2006/relationships/hyperlink" Target="https://www.ncbi.nlm.nih.gov/pubmed/12966371" TargetMode="External"/><Relationship Id="rId407" Type="http://schemas.openxmlformats.org/officeDocument/2006/relationships/hyperlink" Target="https://www.ncbi.nlm.nih.gov/pubmed/6742481" TargetMode="External"/><Relationship Id="rId428" Type="http://schemas.openxmlformats.org/officeDocument/2006/relationships/hyperlink" Target="https://www.ncbi.nlm.nih.gov/pubmed/17495878" TargetMode="External"/><Relationship Id="rId449" Type="http://schemas.openxmlformats.org/officeDocument/2006/relationships/hyperlink" Target="https://www.ncbi.nlm.nih.gov/pubmed/21562488" TargetMode="External"/><Relationship Id="rId211" Type="http://schemas.openxmlformats.org/officeDocument/2006/relationships/hyperlink" Target="https://www.ncbi.nlm.nih.gov/pubmed/578447" TargetMode="External"/><Relationship Id="rId232" Type="http://schemas.openxmlformats.org/officeDocument/2006/relationships/hyperlink" Target="https://www.ncbi.nlm.nih.gov/pubmed/6116606" TargetMode="External"/><Relationship Id="rId253" Type="http://schemas.openxmlformats.org/officeDocument/2006/relationships/hyperlink" Target="https://www.ncbi.nlm.nih.gov/pubmed/19371318" TargetMode="External"/><Relationship Id="rId274" Type="http://schemas.openxmlformats.org/officeDocument/2006/relationships/hyperlink" Target="https://www.ncbi.nlm.nih.gov/pubmed/2544431" TargetMode="External"/><Relationship Id="rId295" Type="http://schemas.openxmlformats.org/officeDocument/2006/relationships/hyperlink" Target="https://www.ncbi.nlm.nih.gov/pubmed/16885720" TargetMode="External"/><Relationship Id="rId309" Type="http://schemas.openxmlformats.org/officeDocument/2006/relationships/hyperlink" Target="https://www.ncbi.nlm.nih.gov/pubmed/16982783" TargetMode="External"/><Relationship Id="rId460" Type="http://schemas.openxmlformats.org/officeDocument/2006/relationships/hyperlink" Target="https://www.ncbi.nlm.nih.gov/pubmed/21562488" TargetMode="External"/><Relationship Id="rId481" Type="http://schemas.openxmlformats.org/officeDocument/2006/relationships/hyperlink" Target="https://www.ncbi.nlm.nih.gov/pubmed/17463213" TargetMode="External"/><Relationship Id="rId27" Type="http://schemas.openxmlformats.org/officeDocument/2006/relationships/hyperlink" Target="https://www.ncbi.nlm.nih.gov/pubmed/17050795" TargetMode="External"/><Relationship Id="rId48" Type="http://schemas.openxmlformats.org/officeDocument/2006/relationships/hyperlink" Target="https://www.ncbi.nlm.nih.gov/pubmed/22546895" TargetMode="External"/><Relationship Id="rId69" Type="http://schemas.openxmlformats.org/officeDocument/2006/relationships/hyperlink" Target="https://www.ncbi.nlm.nih.gov/pubmed/16638734" TargetMode="External"/><Relationship Id="rId113" Type="http://schemas.openxmlformats.org/officeDocument/2006/relationships/hyperlink" Target="https://www.ncbi.nlm.nih.gov/pubmed/874697" TargetMode="External"/><Relationship Id="rId134" Type="http://schemas.openxmlformats.org/officeDocument/2006/relationships/hyperlink" Target="https://www.ncbi.nlm.nih.gov/pubmed/1531117" TargetMode="External"/><Relationship Id="rId320" Type="http://schemas.openxmlformats.org/officeDocument/2006/relationships/hyperlink" Target="https://www.ncbi.nlm.nih.gov/pubmed/16982783" TargetMode="External"/><Relationship Id="rId80" Type="http://schemas.openxmlformats.org/officeDocument/2006/relationships/hyperlink" Target="https://www.ncbi.nlm.nih.gov/pubmed/16638734" TargetMode="External"/><Relationship Id="rId155" Type="http://schemas.openxmlformats.org/officeDocument/2006/relationships/hyperlink" Target="https://www.ncbi.nlm.nih.gov/pubmed/8388198" TargetMode="External"/><Relationship Id="rId176" Type="http://schemas.openxmlformats.org/officeDocument/2006/relationships/hyperlink" Target="https://www.ncbi.nlm.nih.gov/pubmed/15536460" TargetMode="External"/><Relationship Id="rId197" Type="http://schemas.openxmlformats.org/officeDocument/2006/relationships/hyperlink" Target="https://www.ncbi.nlm.nih.gov/pubmed/578447" TargetMode="External"/><Relationship Id="rId341" Type="http://schemas.openxmlformats.org/officeDocument/2006/relationships/hyperlink" Target="https://www.ncbi.nlm.nih.gov/pubmed/6473487" TargetMode="External"/><Relationship Id="rId362" Type="http://schemas.openxmlformats.org/officeDocument/2006/relationships/hyperlink" Target="https://www.ncbi.nlm.nih.gov/pubmed/9591931" TargetMode="External"/><Relationship Id="rId383" Type="http://schemas.openxmlformats.org/officeDocument/2006/relationships/hyperlink" Target="https://www.accessdata.fda.gov/drugsatfda_docs/anda/97/064150review.pdf" TargetMode="External"/><Relationship Id="rId418" Type="http://schemas.openxmlformats.org/officeDocument/2006/relationships/hyperlink" Target="https://www.ncbi.nlm.nih.gov/pubmed/17495878" TargetMode="External"/><Relationship Id="rId439" Type="http://schemas.openxmlformats.org/officeDocument/2006/relationships/hyperlink" Target="https://www.ncbi.nlm.nih.gov/pubmed/9232132" TargetMode="External"/><Relationship Id="rId201" Type="http://schemas.openxmlformats.org/officeDocument/2006/relationships/hyperlink" Target="https://www.ncbi.nlm.nih.gov/pubmed/578447" TargetMode="External"/><Relationship Id="rId222" Type="http://schemas.openxmlformats.org/officeDocument/2006/relationships/hyperlink" Target="https://doi.org/10.1002/pauz.19900190516" TargetMode="External"/><Relationship Id="rId243" Type="http://schemas.openxmlformats.org/officeDocument/2006/relationships/hyperlink" Target="http://www.ncbi.nlm.nih.gov/pubmed/6138080" TargetMode="External"/><Relationship Id="rId264" Type="http://schemas.openxmlformats.org/officeDocument/2006/relationships/hyperlink" Target="https://www.ncbi.nlm.nih.gov/pubmed/8726601" TargetMode="External"/><Relationship Id="rId285" Type="http://schemas.openxmlformats.org/officeDocument/2006/relationships/hyperlink" Target="https://www.ncbi.nlm.nih.gov/pubmed/15098799" TargetMode="External"/><Relationship Id="rId450" Type="http://schemas.openxmlformats.org/officeDocument/2006/relationships/hyperlink" Target="https://www.ncbi.nlm.nih.gov/pubmed/21562488" TargetMode="External"/><Relationship Id="rId471" Type="http://schemas.openxmlformats.org/officeDocument/2006/relationships/hyperlink" Target="https://www.ncbi.nlm.nih.gov/pubmed/18537963" TargetMode="External"/><Relationship Id="rId506" Type="http://schemas.openxmlformats.org/officeDocument/2006/relationships/hyperlink" Target="https://www.ncbi.nlm.nih.gov/pubmed/20739919" TargetMode="External"/><Relationship Id="rId17" Type="http://schemas.openxmlformats.org/officeDocument/2006/relationships/hyperlink" Target="https://www.ncbi.nlm.nih.gov/pubmed/7911763" TargetMode="External"/><Relationship Id="rId38" Type="http://schemas.openxmlformats.org/officeDocument/2006/relationships/hyperlink" Target="https://www.ncbi.nlm.nih.gov/pubmed/22943633" TargetMode="External"/><Relationship Id="rId59" Type="http://schemas.openxmlformats.org/officeDocument/2006/relationships/hyperlink" Target="https://www.ncbi.nlm.nih.gov/pubmed/9871430" TargetMode="External"/><Relationship Id="rId103" Type="http://schemas.openxmlformats.org/officeDocument/2006/relationships/hyperlink" Target="https://www.ncbi.nlm.nih.gov/pubmed/874697" TargetMode="External"/><Relationship Id="rId124" Type="http://schemas.openxmlformats.org/officeDocument/2006/relationships/hyperlink" Target="https://www.ncbi.nlm.nih.gov/pubmed/7350291" TargetMode="External"/><Relationship Id="rId310" Type="http://schemas.openxmlformats.org/officeDocument/2006/relationships/hyperlink" Target="https://www.ncbi.nlm.nih.gov/pubmed/16982783" TargetMode="External"/><Relationship Id="rId492" Type="http://schemas.openxmlformats.org/officeDocument/2006/relationships/hyperlink" Target="https://www.ncbi.nlm.nih.gov/pubmed/8623953" TargetMode="External"/><Relationship Id="rId70" Type="http://schemas.openxmlformats.org/officeDocument/2006/relationships/hyperlink" Target="https://www.ncbi.nlm.nih.gov/pubmed/16638734" TargetMode="External"/><Relationship Id="rId91" Type="http://schemas.openxmlformats.org/officeDocument/2006/relationships/hyperlink" Target="https://www.ncbi.nlm.nih.gov/pubmed/11959572" TargetMode="External"/><Relationship Id="rId145" Type="http://schemas.openxmlformats.org/officeDocument/2006/relationships/hyperlink" Target="https://www.ncbi.nlm.nih.gov/pubmed/1531117" TargetMode="External"/><Relationship Id="rId166" Type="http://schemas.openxmlformats.org/officeDocument/2006/relationships/hyperlink" Target="https://www.ncbi.nlm.nih.gov/pubmed/16580903" TargetMode="External"/><Relationship Id="rId187" Type="http://schemas.openxmlformats.org/officeDocument/2006/relationships/hyperlink" Target="https://www.ncbi.nlm.nih.gov/pubmed/21191377" TargetMode="External"/><Relationship Id="rId331" Type="http://schemas.openxmlformats.org/officeDocument/2006/relationships/hyperlink" Target="https://www.ncbi.nlm.nih.gov/pubmed/9702843" TargetMode="External"/><Relationship Id="rId352" Type="http://schemas.openxmlformats.org/officeDocument/2006/relationships/hyperlink" Target="https://www.ncbi.nlm.nih.gov/pubmed/6473487" TargetMode="External"/><Relationship Id="rId373" Type="http://schemas.openxmlformats.org/officeDocument/2006/relationships/hyperlink" Target="https://www.ncbi.nlm.nih.gov/pubmed/17005814" TargetMode="External"/><Relationship Id="rId394" Type="http://schemas.openxmlformats.org/officeDocument/2006/relationships/hyperlink" Target="https://www.ncbi.nlm.nih.gov/pubmed/12966371" TargetMode="External"/><Relationship Id="rId408" Type="http://schemas.openxmlformats.org/officeDocument/2006/relationships/hyperlink" Target="https://www.ncbi.nlm.nih.gov/pubmed/6742481" TargetMode="External"/><Relationship Id="rId429" Type="http://schemas.openxmlformats.org/officeDocument/2006/relationships/hyperlink" Target="https://www.ncbi.nlm.nih.gov/pubmed/17495878" TargetMode="External"/><Relationship Id="rId1" Type="http://schemas.openxmlformats.org/officeDocument/2006/relationships/hyperlink" Target="https://www.ncbi.nlm.nih.gov/pubmed/7911763" TargetMode="External"/><Relationship Id="rId212" Type="http://schemas.openxmlformats.org/officeDocument/2006/relationships/hyperlink" Target="https://www.ncbi.nlm.nih.gov/pubmed/578447" TargetMode="External"/><Relationship Id="rId233" Type="http://schemas.openxmlformats.org/officeDocument/2006/relationships/hyperlink" Target="https://www.ncbi.nlm.nih.gov/pubmed/6116606" TargetMode="External"/><Relationship Id="rId254" Type="http://schemas.openxmlformats.org/officeDocument/2006/relationships/hyperlink" Target="https://www.ncbi.nlm.nih.gov/pubmed/8646820" TargetMode="External"/><Relationship Id="rId440" Type="http://schemas.openxmlformats.org/officeDocument/2006/relationships/hyperlink" Target="https://www.ncbi.nlm.nih.gov/pubmed/9232132" TargetMode="External"/><Relationship Id="rId28" Type="http://schemas.openxmlformats.org/officeDocument/2006/relationships/hyperlink" Target="https://www.ncbi.nlm.nih.gov/pubmed/17050795" TargetMode="External"/><Relationship Id="rId49" Type="http://schemas.openxmlformats.org/officeDocument/2006/relationships/hyperlink" Target="https://www.ncbi.nlm.nih.gov/pubmed/9923581" TargetMode="External"/><Relationship Id="rId114" Type="http://schemas.openxmlformats.org/officeDocument/2006/relationships/hyperlink" Target="https://www.ncbi.nlm.nih.gov/pubmed/874697" TargetMode="External"/><Relationship Id="rId275" Type="http://schemas.openxmlformats.org/officeDocument/2006/relationships/hyperlink" Target="https://www.ncbi.nlm.nih.gov/pubmed/2561187" TargetMode="External"/><Relationship Id="rId296" Type="http://schemas.openxmlformats.org/officeDocument/2006/relationships/hyperlink" Target="https://www.ncbi.nlm.nih.gov/pubmed/16885720" TargetMode="External"/><Relationship Id="rId300" Type="http://schemas.openxmlformats.org/officeDocument/2006/relationships/hyperlink" Target="https://www.ncbi.nlm.nih.gov/pubmed/20400647" TargetMode="External"/><Relationship Id="rId461" Type="http://schemas.openxmlformats.org/officeDocument/2006/relationships/hyperlink" Target="https://www.ncbi.nlm.nih.gov/pubmed/21562488" TargetMode="External"/><Relationship Id="rId482" Type="http://schemas.openxmlformats.org/officeDocument/2006/relationships/hyperlink" Target="https://www.ncbi.nlm.nih.gov/pubmed/11753266" TargetMode="External"/><Relationship Id="rId60" Type="http://schemas.openxmlformats.org/officeDocument/2006/relationships/hyperlink" Target="https://www.ncbi.nlm.nih.gov/pubmed/9871430" TargetMode="External"/><Relationship Id="rId81" Type="http://schemas.openxmlformats.org/officeDocument/2006/relationships/hyperlink" Target="https://www.ncbi.nlm.nih.gov/pubmed/16638734" TargetMode="External"/><Relationship Id="rId135" Type="http://schemas.openxmlformats.org/officeDocument/2006/relationships/hyperlink" Target="https://www.ncbi.nlm.nih.gov/pubmed/1531117" TargetMode="External"/><Relationship Id="rId156" Type="http://schemas.openxmlformats.org/officeDocument/2006/relationships/hyperlink" Target="https://www.ncbi.nlm.nih.gov/pubmed/8388198" TargetMode="External"/><Relationship Id="rId177" Type="http://schemas.openxmlformats.org/officeDocument/2006/relationships/hyperlink" Target="https://www.ncbi.nlm.nih.gov/pubmed/15536460" TargetMode="External"/><Relationship Id="rId198" Type="http://schemas.openxmlformats.org/officeDocument/2006/relationships/hyperlink" Target="https://www.ncbi.nlm.nih.gov/pubmed/578447" TargetMode="External"/><Relationship Id="rId321" Type="http://schemas.openxmlformats.org/officeDocument/2006/relationships/hyperlink" Target="https://www.ncbi.nlm.nih.gov/pubmed/16982783" TargetMode="External"/><Relationship Id="rId342" Type="http://schemas.openxmlformats.org/officeDocument/2006/relationships/hyperlink" Target="https://www.ncbi.nlm.nih.gov/pubmed/6473487" TargetMode="External"/><Relationship Id="rId363" Type="http://schemas.openxmlformats.org/officeDocument/2006/relationships/hyperlink" Target="https://www.ncbi.nlm.nih.gov/pubmed/9591931" TargetMode="External"/><Relationship Id="rId384" Type="http://schemas.openxmlformats.org/officeDocument/2006/relationships/hyperlink" Target="https://www.ncbi.nlm.nih.gov/pubmed/5002304" TargetMode="External"/><Relationship Id="rId419" Type="http://schemas.openxmlformats.org/officeDocument/2006/relationships/hyperlink" Target="https://www.ncbi.nlm.nih.gov/pubmed/17495878" TargetMode="External"/><Relationship Id="rId202" Type="http://schemas.openxmlformats.org/officeDocument/2006/relationships/hyperlink" Target="https://www.ncbi.nlm.nih.gov/pubmed/578447" TargetMode="External"/><Relationship Id="rId223" Type="http://schemas.openxmlformats.org/officeDocument/2006/relationships/hyperlink" Target="http://www.ncbi.nlm.nih.gov/pubmed/6138080" TargetMode="External"/><Relationship Id="rId244" Type="http://schemas.openxmlformats.org/officeDocument/2006/relationships/hyperlink" Target="http://www.ncbi.nlm.nih.gov/pubmed/6138080" TargetMode="External"/><Relationship Id="rId430" Type="http://schemas.openxmlformats.org/officeDocument/2006/relationships/hyperlink" Target="https://www.ncbi.nlm.nih.gov/pubmed/25588320" TargetMode="External"/><Relationship Id="rId18" Type="http://schemas.openxmlformats.org/officeDocument/2006/relationships/hyperlink" Target="https://www.ncbi.nlm.nih.gov/pubmed/7911763" TargetMode="External"/><Relationship Id="rId39" Type="http://schemas.openxmlformats.org/officeDocument/2006/relationships/hyperlink" Target="https://www.ncbi.nlm.nih.gov/pubmed/22943633" TargetMode="External"/><Relationship Id="rId265" Type="http://schemas.openxmlformats.org/officeDocument/2006/relationships/hyperlink" Target="https://www.ncbi.nlm.nih.gov/pubmed/8726601" TargetMode="External"/><Relationship Id="rId286" Type="http://schemas.openxmlformats.org/officeDocument/2006/relationships/hyperlink" Target="https://www.ncbi.nlm.nih.gov/pubmed/15098799" TargetMode="External"/><Relationship Id="rId451" Type="http://schemas.openxmlformats.org/officeDocument/2006/relationships/hyperlink" Target="https://www.ncbi.nlm.nih.gov/pubmed/21562488" TargetMode="External"/><Relationship Id="rId472" Type="http://schemas.openxmlformats.org/officeDocument/2006/relationships/hyperlink" Target="https://www.ncbi.nlm.nih.gov/pubmed/18537963" TargetMode="External"/><Relationship Id="rId493" Type="http://schemas.openxmlformats.org/officeDocument/2006/relationships/hyperlink" Target="https://www.ncbi.nlm.nih.gov/pubmed/8623953" TargetMode="External"/><Relationship Id="rId507" Type="http://schemas.openxmlformats.org/officeDocument/2006/relationships/hyperlink" Target="https://www.ncbi.nlm.nih.gov/pubmed/20739919" TargetMode="External"/><Relationship Id="rId50" Type="http://schemas.openxmlformats.org/officeDocument/2006/relationships/hyperlink" Target="https://www.ncbi.nlm.nih.gov/pubmed/9923581" TargetMode="External"/><Relationship Id="rId104" Type="http://schemas.openxmlformats.org/officeDocument/2006/relationships/hyperlink" Target="https://www.ncbi.nlm.nih.gov/pubmed/874697" TargetMode="External"/><Relationship Id="rId125" Type="http://schemas.openxmlformats.org/officeDocument/2006/relationships/hyperlink" Target="https://www.ncbi.nlm.nih.gov/pubmed/7350291" TargetMode="External"/><Relationship Id="rId146" Type="http://schemas.openxmlformats.org/officeDocument/2006/relationships/hyperlink" Target="https://www.ncbi.nlm.nih.gov/pubmed/1531117" TargetMode="External"/><Relationship Id="rId167" Type="http://schemas.openxmlformats.org/officeDocument/2006/relationships/hyperlink" Target="https://www.ncbi.nlm.nih.gov/pubmed/16580903" TargetMode="External"/><Relationship Id="rId188" Type="http://schemas.openxmlformats.org/officeDocument/2006/relationships/hyperlink" Target="https://www.ncbi.nlm.nih.gov/pubmed/21191377" TargetMode="External"/><Relationship Id="rId311" Type="http://schemas.openxmlformats.org/officeDocument/2006/relationships/hyperlink" Target="https://www.ncbi.nlm.nih.gov/pubmed/16982783" TargetMode="External"/><Relationship Id="rId332" Type="http://schemas.openxmlformats.org/officeDocument/2006/relationships/hyperlink" Target="https://www.ncbi.nlm.nih.gov/pubmed/14698254" TargetMode="External"/><Relationship Id="rId353" Type="http://schemas.openxmlformats.org/officeDocument/2006/relationships/hyperlink" Target="https://www.ncbi.nlm.nih.gov/pubmed/6473487" TargetMode="External"/><Relationship Id="rId374" Type="http://schemas.openxmlformats.org/officeDocument/2006/relationships/hyperlink" Target="https://www.ncbi.nlm.nih.gov/pubmed/18076219" TargetMode="External"/><Relationship Id="rId395" Type="http://schemas.openxmlformats.org/officeDocument/2006/relationships/hyperlink" Target="https://www.ncbi.nlm.nih.gov/pubmed/12966371" TargetMode="External"/><Relationship Id="rId409" Type="http://schemas.openxmlformats.org/officeDocument/2006/relationships/hyperlink" Target="https://www.ncbi.nlm.nih.gov/pubmed/6742481" TargetMode="External"/><Relationship Id="rId71" Type="http://schemas.openxmlformats.org/officeDocument/2006/relationships/hyperlink" Target="https://www.ncbi.nlm.nih.gov/pubmed/16638734" TargetMode="External"/><Relationship Id="rId92" Type="http://schemas.openxmlformats.org/officeDocument/2006/relationships/hyperlink" Target="https://www.ncbi.nlm.nih.gov/pubmed/11959572" TargetMode="External"/><Relationship Id="rId213" Type="http://schemas.openxmlformats.org/officeDocument/2006/relationships/hyperlink" Target="https://www.ncbi.nlm.nih.gov/pubmed/578447" TargetMode="External"/><Relationship Id="rId234" Type="http://schemas.openxmlformats.org/officeDocument/2006/relationships/hyperlink" Target="https://www.ncbi.nlm.nih.gov/pubmed/23748747" TargetMode="External"/><Relationship Id="rId420" Type="http://schemas.openxmlformats.org/officeDocument/2006/relationships/hyperlink" Target="https://www.ncbi.nlm.nih.gov/pubmed/17495878" TargetMode="External"/><Relationship Id="rId2" Type="http://schemas.openxmlformats.org/officeDocument/2006/relationships/hyperlink" Target="https://www.ncbi.nlm.nih.gov/pubmed/7911763" TargetMode="External"/><Relationship Id="rId29" Type="http://schemas.openxmlformats.org/officeDocument/2006/relationships/hyperlink" Target="https://www.ncbi.nlm.nih.gov/pubmed/17050795" TargetMode="External"/><Relationship Id="rId255" Type="http://schemas.openxmlformats.org/officeDocument/2006/relationships/hyperlink" Target="https://www.ncbi.nlm.nih.gov/pubmed/8646820" TargetMode="External"/><Relationship Id="rId276" Type="http://schemas.openxmlformats.org/officeDocument/2006/relationships/hyperlink" Target="https://www.ncbi.nlm.nih.gov/pubmed/2561187" TargetMode="External"/><Relationship Id="rId297" Type="http://schemas.openxmlformats.org/officeDocument/2006/relationships/hyperlink" Target="https://www.ncbi.nlm.nih.gov/pubmed/16885720" TargetMode="External"/><Relationship Id="rId441" Type="http://schemas.openxmlformats.org/officeDocument/2006/relationships/hyperlink" Target="https://www.ncbi.nlm.nih.gov/pubmed/9232132" TargetMode="External"/><Relationship Id="rId462" Type="http://schemas.openxmlformats.org/officeDocument/2006/relationships/hyperlink" Target="https://www.ncbi.nlm.nih.gov/pubmed/21562488" TargetMode="External"/><Relationship Id="rId483" Type="http://schemas.openxmlformats.org/officeDocument/2006/relationships/hyperlink" Target="https://www.ncbi.nlm.nih.gov/pubmed/11753266" TargetMode="External"/><Relationship Id="rId40" Type="http://schemas.openxmlformats.org/officeDocument/2006/relationships/hyperlink" Target="https://www.ncbi.nlm.nih.gov/pubmed/9333111" TargetMode="External"/><Relationship Id="rId115" Type="http://schemas.openxmlformats.org/officeDocument/2006/relationships/hyperlink" Target="https://www.ncbi.nlm.nih.gov/pubmed/874697" TargetMode="External"/><Relationship Id="rId136" Type="http://schemas.openxmlformats.org/officeDocument/2006/relationships/hyperlink" Target="https://www.ncbi.nlm.nih.gov/pubmed/1531117" TargetMode="External"/><Relationship Id="rId157" Type="http://schemas.openxmlformats.org/officeDocument/2006/relationships/hyperlink" Target="https://www.ncbi.nlm.nih.gov/pubmed/9545149" TargetMode="External"/><Relationship Id="rId178" Type="http://schemas.openxmlformats.org/officeDocument/2006/relationships/hyperlink" Target="https://www.ncbi.nlm.nih.gov/pubmed/15536460" TargetMode="External"/><Relationship Id="rId301" Type="http://schemas.openxmlformats.org/officeDocument/2006/relationships/hyperlink" Target="https://www.ncbi.nlm.nih.gov/pubmed/20400647" TargetMode="External"/><Relationship Id="rId322" Type="http://schemas.openxmlformats.org/officeDocument/2006/relationships/hyperlink" Target="https://www.ncbi.nlm.nih.gov/pubmed/16982783" TargetMode="External"/><Relationship Id="rId343" Type="http://schemas.openxmlformats.org/officeDocument/2006/relationships/hyperlink" Target="https://www.ncbi.nlm.nih.gov/pubmed/6473487" TargetMode="External"/><Relationship Id="rId364" Type="http://schemas.openxmlformats.org/officeDocument/2006/relationships/hyperlink" Target="https://www.ncbi.nlm.nih.gov/pubmed/9591931" TargetMode="External"/><Relationship Id="rId61" Type="http://schemas.openxmlformats.org/officeDocument/2006/relationships/hyperlink" Target="https://www.ncbi.nlm.nih.gov/pubmed/2575499" TargetMode="External"/><Relationship Id="rId82" Type="http://schemas.openxmlformats.org/officeDocument/2006/relationships/hyperlink" Target="https://www.ncbi.nlm.nih.gov/pubmed/11959572" TargetMode="External"/><Relationship Id="rId199" Type="http://schemas.openxmlformats.org/officeDocument/2006/relationships/hyperlink" Target="https://www.ncbi.nlm.nih.gov/pubmed/578447" TargetMode="External"/><Relationship Id="rId203" Type="http://schemas.openxmlformats.org/officeDocument/2006/relationships/hyperlink" Target="https://www.ncbi.nlm.nih.gov/pubmed/578447" TargetMode="External"/><Relationship Id="rId385" Type="http://schemas.openxmlformats.org/officeDocument/2006/relationships/hyperlink" Target="https://www.ncbi.nlm.nih.gov/pubmed/5002304" TargetMode="External"/><Relationship Id="rId19" Type="http://schemas.openxmlformats.org/officeDocument/2006/relationships/hyperlink" Target="https://www.ncbi.nlm.nih.gov/pubmed/7911763" TargetMode="External"/><Relationship Id="rId224" Type="http://schemas.openxmlformats.org/officeDocument/2006/relationships/hyperlink" Target="http://www.ncbi.nlm.nih.gov/pubmed/6138080" TargetMode="External"/><Relationship Id="rId245" Type="http://schemas.openxmlformats.org/officeDocument/2006/relationships/hyperlink" Target="http://www.ncbi.nlm.nih.gov/pubmed/6138080" TargetMode="External"/><Relationship Id="rId266" Type="http://schemas.openxmlformats.org/officeDocument/2006/relationships/hyperlink" Target="https://www.ncbi.nlm.nih.gov/pubmed/8726601" TargetMode="External"/><Relationship Id="rId287" Type="http://schemas.openxmlformats.org/officeDocument/2006/relationships/hyperlink" Target="https://www.ncbi.nlm.nih.gov/pubmed/15098799" TargetMode="External"/><Relationship Id="rId410" Type="http://schemas.openxmlformats.org/officeDocument/2006/relationships/hyperlink" Target="https://www.ncbi.nlm.nih.gov/pubmed/6742481" TargetMode="External"/><Relationship Id="rId431" Type="http://schemas.openxmlformats.org/officeDocument/2006/relationships/hyperlink" Target="https://www.ncbi.nlm.nih.gov/pubmed/25588320" TargetMode="External"/><Relationship Id="rId452" Type="http://schemas.openxmlformats.org/officeDocument/2006/relationships/hyperlink" Target="https://www.ncbi.nlm.nih.gov/pubmed/21562488" TargetMode="External"/><Relationship Id="rId473" Type="http://schemas.openxmlformats.org/officeDocument/2006/relationships/hyperlink" Target="https://www.ncbi.nlm.nih.gov/pubmed/18537963" TargetMode="External"/><Relationship Id="rId494" Type="http://schemas.openxmlformats.org/officeDocument/2006/relationships/hyperlink" Target="https://www.ncbi.nlm.nih.gov/pubmed/8623953" TargetMode="External"/><Relationship Id="rId508" Type="http://schemas.openxmlformats.org/officeDocument/2006/relationships/hyperlink" Target="https://www.ncbi.nlm.nih.gov/pubmed/20739919" TargetMode="External"/><Relationship Id="rId30" Type="http://schemas.openxmlformats.org/officeDocument/2006/relationships/hyperlink" Target="https://www.ncbi.nlm.nih.gov/pubmed/16638734" TargetMode="External"/><Relationship Id="rId105" Type="http://schemas.openxmlformats.org/officeDocument/2006/relationships/hyperlink" Target="https://www.ncbi.nlm.nih.gov/pubmed/874697" TargetMode="External"/><Relationship Id="rId126" Type="http://schemas.openxmlformats.org/officeDocument/2006/relationships/hyperlink" Target="https://www.ncbi.nlm.nih.gov/pubmed/7350291" TargetMode="External"/><Relationship Id="rId147" Type="http://schemas.openxmlformats.org/officeDocument/2006/relationships/hyperlink" Target="https://www.ncbi.nlm.nih.gov/pubmed/1531117" TargetMode="External"/><Relationship Id="rId168" Type="http://schemas.openxmlformats.org/officeDocument/2006/relationships/hyperlink" Target="https://www.ncbi.nlm.nih.gov/pubmed/16580903" TargetMode="External"/><Relationship Id="rId312" Type="http://schemas.openxmlformats.org/officeDocument/2006/relationships/hyperlink" Target="https://www.ncbi.nlm.nih.gov/pubmed/16982783" TargetMode="External"/><Relationship Id="rId333" Type="http://schemas.openxmlformats.org/officeDocument/2006/relationships/hyperlink" Target="https://www.ncbi.nlm.nih.gov/pubmed/22275128" TargetMode="External"/><Relationship Id="rId354" Type="http://schemas.openxmlformats.org/officeDocument/2006/relationships/hyperlink" Target="https://www.ncbi.nlm.nih.gov/pubmed/6473487" TargetMode="External"/><Relationship Id="rId51" Type="http://schemas.openxmlformats.org/officeDocument/2006/relationships/hyperlink" Target="https://www.ncbi.nlm.nih.gov/pubmed/9578186" TargetMode="External"/><Relationship Id="rId72" Type="http://schemas.openxmlformats.org/officeDocument/2006/relationships/hyperlink" Target="https://www.ncbi.nlm.nih.gov/pubmed/16638734" TargetMode="External"/><Relationship Id="rId93" Type="http://schemas.openxmlformats.org/officeDocument/2006/relationships/hyperlink" Target="https://www.ncbi.nlm.nih.gov/pubmed/11959572" TargetMode="External"/><Relationship Id="rId189" Type="http://schemas.openxmlformats.org/officeDocument/2006/relationships/hyperlink" Target="https://www.ncbi.nlm.nih.gov/pubmed/21191377" TargetMode="External"/><Relationship Id="rId375" Type="http://schemas.openxmlformats.org/officeDocument/2006/relationships/hyperlink" Target="https://www.ncbi.nlm.nih.gov/pubmed/18076219" TargetMode="External"/><Relationship Id="rId396" Type="http://schemas.openxmlformats.org/officeDocument/2006/relationships/hyperlink" Target="https://www.ncbi.nlm.nih.gov/pubmed/10411543" TargetMode="External"/><Relationship Id="rId3" Type="http://schemas.openxmlformats.org/officeDocument/2006/relationships/hyperlink" Target="https://doi.org/10.1007/BF00561755" TargetMode="External"/><Relationship Id="rId214" Type="http://schemas.openxmlformats.org/officeDocument/2006/relationships/hyperlink" Target="https://www.ncbi.nlm.nih.gov/pubmed/578447" TargetMode="External"/><Relationship Id="rId235" Type="http://schemas.openxmlformats.org/officeDocument/2006/relationships/hyperlink" Target="https://www.ncbi.nlm.nih.gov/pubmed/23748747" TargetMode="External"/><Relationship Id="rId256" Type="http://schemas.openxmlformats.org/officeDocument/2006/relationships/hyperlink" Target="https://www.ncbi.nlm.nih.gov/pubmed/19371318" TargetMode="External"/><Relationship Id="rId277" Type="http://schemas.openxmlformats.org/officeDocument/2006/relationships/hyperlink" Target="https://www.ncbi.nlm.nih.gov/pubmed/2561187" TargetMode="External"/><Relationship Id="rId298" Type="http://schemas.openxmlformats.org/officeDocument/2006/relationships/hyperlink" Target="https://www.ncbi.nlm.nih.gov/pubmed/16885720" TargetMode="External"/><Relationship Id="rId400" Type="http://schemas.openxmlformats.org/officeDocument/2006/relationships/hyperlink" Target="https://www.ncbi.nlm.nih.gov/pubmed/9728893" TargetMode="External"/><Relationship Id="rId421" Type="http://schemas.openxmlformats.org/officeDocument/2006/relationships/hyperlink" Target="https://www.ncbi.nlm.nih.gov/pubmed/17495878" TargetMode="External"/><Relationship Id="rId442" Type="http://schemas.openxmlformats.org/officeDocument/2006/relationships/hyperlink" Target="https://www.ncbi.nlm.nih.gov/pubmed/9232132" TargetMode="External"/><Relationship Id="rId463" Type="http://schemas.openxmlformats.org/officeDocument/2006/relationships/hyperlink" Target="https://www.ncbi.nlm.nih.gov/pubmed/22190694" TargetMode="External"/><Relationship Id="rId484" Type="http://schemas.openxmlformats.org/officeDocument/2006/relationships/hyperlink" Target="https://www.ncbi.nlm.nih.gov/pubmed/11753266" TargetMode="External"/><Relationship Id="rId116" Type="http://schemas.openxmlformats.org/officeDocument/2006/relationships/hyperlink" Target="https://www.ncbi.nlm.nih.gov/pubmed/11866842" TargetMode="External"/><Relationship Id="rId137" Type="http://schemas.openxmlformats.org/officeDocument/2006/relationships/hyperlink" Target="https://www.ncbi.nlm.nih.gov/pubmed/1531117" TargetMode="External"/><Relationship Id="rId158" Type="http://schemas.openxmlformats.org/officeDocument/2006/relationships/hyperlink" Target="https://www.ncbi.nlm.nih.gov/pubmed/9545149" TargetMode="External"/><Relationship Id="rId302" Type="http://schemas.openxmlformats.org/officeDocument/2006/relationships/hyperlink" Target="https://www.ncbi.nlm.nih.gov/pubmed/20400647" TargetMode="External"/><Relationship Id="rId323" Type="http://schemas.openxmlformats.org/officeDocument/2006/relationships/hyperlink" Target="https://www.ncbi.nlm.nih.gov/pubmed/16982783" TargetMode="External"/><Relationship Id="rId344" Type="http://schemas.openxmlformats.org/officeDocument/2006/relationships/hyperlink" Target="https://www.ncbi.nlm.nih.gov/pubmed/6473487" TargetMode="External"/><Relationship Id="rId20" Type="http://schemas.openxmlformats.org/officeDocument/2006/relationships/hyperlink" Target="https://www.ncbi.nlm.nih.gov/pubmed/7911763" TargetMode="External"/><Relationship Id="rId41" Type="http://schemas.openxmlformats.org/officeDocument/2006/relationships/hyperlink" Target="https://www.ncbi.nlm.nih.gov/pubmed/9333111" TargetMode="External"/><Relationship Id="rId62" Type="http://schemas.openxmlformats.org/officeDocument/2006/relationships/hyperlink" Target="https://www.ncbi.nlm.nih.gov/pubmed/16638734" TargetMode="External"/><Relationship Id="rId83" Type="http://schemas.openxmlformats.org/officeDocument/2006/relationships/hyperlink" Target="https://www.ncbi.nlm.nih.gov/pubmed/11959572" TargetMode="External"/><Relationship Id="rId179" Type="http://schemas.openxmlformats.org/officeDocument/2006/relationships/hyperlink" Target="https://www.ncbi.nlm.nih.gov/pubmed/15536460" TargetMode="External"/><Relationship Id="rId365" Type="http://schemas.openxmlformats.org/officeDocument/2006/relationships/hyperlink" Target="https://www.ncbi.nlm.nih.gov/pubmed/9591931" TargetMode="External"/><Relationship Id="rId386" Type="http://schemas.openxmlformats.org/officeDocument/2006/relationships/hyperlink" Target="https://www.ncbi.nlm.nih.gov/pubmed/5002304" TargetMode="External"/><Relationship Id="rId190" Type="http://schemas.openxmlformats.org/officeDocument/2006/relationships/hyperlink" Target="https://www.ncbi.nlm.nih.gov/pubmed/21191377" TargetMode="External"/><Relationship Id="rId204" Type="http://schemas.openxmlformats.org/officeDocument/2006/relationships/hyperlink" Target="https://www.ncbi.nlm.nih.gov/pubmed/578447" TargetMode="External"/><Relationship Id="rId225" Type="http://schemas.openxmlformats.org/officeDocument/2006/relationships/hyperlink" Target="http://www.ncbi.nlm.nih.gov/pubmed/6138080" TargetMode="External"/><Relationship Id="rId246" Type="http://schemas.openxmlformats.org/officeDocument/2006/relationships/hyperlink" Target="http://www.ncbi.nlm.nih.gov/pubmed/6138080" TargetMode="External"/><Relationship Id="rId267" Type="http://schemas.openxmlformats.org/officeDocument/2006/relationships/hyperlink" Target="https://www.ncbi.nlm.nih.gov/pubmed/8726601" TargetMode="External"/><Relationship Id="rId288" Type="http://schemas.openxmlformats.org/officeDocument/2006/relationships/hyperlink" Target="https://www.ncbi.nlm.nih.gov/pubmed/18172627" TargetMode="External"/><Relationship Id="rId411" Type="http://schemas.openxmlformats.org/officeDocument/2006/relationships/hyperlink" Target="https://www.ncbi.nlm.nih.gov/pubmed/6742481" TargetMode="External"/><Relationship Id="rId432" Type="http://schemas.openxmlformats.org/officeDocument/2006/relationships/hyperlink" Target="https://www.ncbi.nlm.nih.gov/pubmed/25588320" TargetMode="External"/><Relationship Id="rId453" Type="http://schemas.openxmlformats.org/officeDocument/2006/relationships/hyperlink" Target="https://www.ncbi.nlm.nih.gov/pubmed/21562488" TargetMode="External"/><Relationship Id="rId474" Type="http://schemas.openxmlformats.org/officeDocument/2006/relationships/hyperlink" Target="http://www.ncbi.nlm.nih.gov/pubmed/4087830" TargetMode="External"/><Relationship Id="rId509" Type="http://schemas.openxmlformats.org/officeDocument/2006/relationships/hyperlink" Target="https://www.ncbi.nlm.nih.gov/pubmed/16628140" TargetMode="External"/><Relationship Id="rId106" Type="http://schemas.openxmlformats.org/officeDocument/2006/relationships/hyperlink" Target="https://www.ncbi.nlm.nih.gov/pubmed/874697" TargetMode="External"/><Relationship Id="rId127" Type="http://schemas.openxmlformats.org/officeDocument/2006/relationships/hyperlink" Target="https://www.ncbi.nlm.nih.gov/pubmed/6238552" TargetMode="External"/><Relationship Id="rId313" Type="http://schemas.openxmlformats.org/officeDocument/2006/relationships/hyperlink" Target="https://www.ncbi.nlm.nih.gov/pubmed/16982783" TargetMode="External"/><Relationship Id="rId495" Type="http://schemas.openxmlformats.org/officeDocument/2006/relationships/hyperlink" Target="https://www.ncbi.nlm.nih.gov/pubmed/8623953" TargetMode="External"/><Relationship Id="rId10" Type="http://schemas.openxmlformats.org/officeDocument/2006/relationships/hyperlink" Target="https://www.ncbi.nlm.nih.gov/pubmed/7911763" TargetMode="External"/><Relationship Id="rId31" Type="http://schemas.openxmlformats.org/officeDocument/2006/relationships/hyperlink" Target="https://www.ncbi.nlm.nih.gov/pubmed/16638734" TargetMode="External"/><Relationship Id="rId52" Type="http://schemas.openxmlformats.org/officeDocument/2006/relationships/hyperlink" Target="https://www.ncbi.nlm.nih.gov/pubmed/9578186" TargetMode="External"/><Relationship Id="rId73" Type="http://schemas.openxmlformats.org/officeDocument/2006/relationships/hyperlink" Target="https://www.ncbi.nlm.nih.gov/pubmed/16638734" TargetMode="External"/><Relationship Id="rId94" Type="http://schemas.openxmlformats.org/officeDocument/2006/relationships/hyperlink" Target="https://www.ncbi.nlm.nih.gov/pubmed/11959572" TargetMode="External"/><Relationship Id="rId148" Type="http://schemas.openxmlformats.org/officeDocument/2006/relationships/hyperlink" Target="https://www.ncbi.nlm.nih.gov/pubmed/1531117" TargetMode="External"/><Relationship Id="rId169" Type="http://schemas.openxmlformats.org/officeDocument/2006/relationships/hyperlink" Target="https://www.ncbi.nlm.nih.gov/pubmed/16580903" TargetMode="External"/><Relationship Id="rId334" Type="http://schemas.openxmlformats.org/officeDocument/2006/relationships/hyperlink" Target="https://www.ncbi.nlm.nih.gov/pubmed/5060669" TargetMode="External"/><Relationship Id="rId355" Type="http://schemas.openxmlformats.org/officeDocument/2006/relationships/hyperlink" Target="https://www.ncbi.nlm.nih.gov/pubmed/6473487" TargetMode="External"/><Relationship Id="rId376" Type="http://schemas.openxmlformats.org/officeDocument/2006/relationships/hyperlink" Target="https://www.ncbi.nlm.nih.gov/pubmed/18076219" TargetMode="External"/><Relationship Id="rId397" Type="http://schemas.openxmlformats.org/officeDocument/2006/relationships/hyperlink" Target="https://www.ncbi.nlm.nih.gov/pubmed/10411543" TargetMode="External"/><Relationship Id="rId4" Type="http://schemas.openxmlformats.org/officeDocument/2006/relationships/hyperlink" Target="https://doi.org/10.1007/BF00561755" TargetMode="External"/><Relationship Id="rId180" Type="http://schemas.openxmlformats.org/officeDocument/2006/relationships/hyperlink" Target="https://www.ncbi.nlm.nih.gov/pubmed/15536460" TargetMode="External"/><Relationship Id="rId215" Type="http://schemas.openxmlformats.org/officeDocument/2006/relationships/hyperlink" Target="https://www.ncbi.nlm.nih.gov/pubmed/578447" TargetMode="External"/><Relationship Id="rId236" Type="http://schemas.openxmlformats.org/officeDocument/2006/relationships/hyperlink" Target="http://www.ncbi.nlm.nih.gov/pubmed/6138080" TargetMode="External"/><Relationship Id="rId257" Type="http://schemas.openxmlformats.org/officeDocument/2006/relationships/hyperlink" Target="https://www.ncbi.nlm.nih.gov/pubmed/19371318" TargetMode="External"/><Relationship Id="rId278" Type="http://schemas.openxmlformats.org/officeDocument/2006/relationships/hyperlink" Target="https://www.ncbi.nlm.nih.gov/pubmed/2561187" TargetMode="External"/><Relationship Id="rId401" Type="http://schemas.openxmlformats.org/officeDocument/2006/relationships/hyperlink" Target="https://www.ncbi.nlm.nih.gov/pubmed/9728893" TargetMode="External"/><Relationship Id="rId422" Type="http://schemas.openxmlformats.org/officeDocument/2006/relationships/hyperlink" Target="https://www.ncbi.nlm.nih.gov/pubmed/18214850" TargetMode="External"/><Relationship Id="rId443" Type="http://schemas.openxmlformats.org/officeDocument/2006/relationships/hyperlink" Target="https://www.ncbi.nlm.nih.gov/pubmed/21562488" TargetMode="External"/><Relationship Id="rId464" Type="http://schemas.openxmlformats.org/officeDocument/2006/relationships/hyperlink" Target="https://www.ncbi.nlm.nih.gov/pubmed/22190694" TargetMode="External"/><Relationship Id="rId303" Type="http://schemas.openxmlformats.org/officeDocument/2006/relationships/hyperlink" Target="https://www.ncbi.nlm.nih.gov/pubmed/20400647" TargetMode="External"/><Relationship Id="rId485" Type="http://schemas.openxmlformats.org/officeDocument/2006/relationships/hyperlink" Target="https://www.ncbi.nlm.nih.gov/pubmed/11753266" TargetMode="External"/><Relationship Id="rId42" Type="http://schemas.openxmlformats.org/officeDocument/2006/relationships/hyperlink" Target="https://www.ncbi.nlm.nih.gov/pubmed/9333111" TargetMode="External"/><Relationship Id="rId84" Type="http://schemas.openxmlformats.org/officeDocument/2006/relationships/hyperlink" Target="https://www.ncbi.nlm.nih.gov/pubmed/11959572" TargetMode="External"/><Relationship Id="rId138" Type="http://schemas.openxmlformats.org/officeDocument/2006/relationships/hyperlink" Target="https://www.ncbi.nlm.nih.gov/pubmed/1531117" TargetMode="External"/><Relationship Id="rId345" Type="http://schemas.openxmlformats.org/officeDocument/2006/relationships/hyperlink" Target="https://www.ncbi.nlm.nih.gov/pubmed/6473487" TargetMode="External"/><Relationship Id="rId387" Type="http://schemas.openxmlformats.org/officeDocument/2006/relationships/hyperlink" Target="https://www.ncbi.nlm.nih.gov/pubmed/5002304" TargetMode="External"/><Relationship Id="rId510" Type="http://schemas.openxmlformats.org/officeDocument/2006/relationships/hyperlink" Target="https://www.ncbi.nlm.nih.gov/pubmed/16628140" TargetMode="External"/><Relationship Id="rId191" Type="http://schemas.openxmlformats.org/officeDocument/2006/relationships/hyperlink" Target="https://www.ncbi.nlm.nih.gov/pubmed/21191377" TargetMode="External"/><Relationship Id="rId205" Type="http://schemas.openxmlformats.org/officeDocument/2006/relationships/hyperlink" Target="https://www.ncbi.nlm.nih.gov/pubmed/578447" TargetMode="External"/><Relationship Id="rId247" Type="http://schemas.openxmlformats.org/officeDocument/2006/relationships/hyperlink" Target="http://www.ncbi.nlm.nih.gov/pubmed/8880291" TargetMode="External"/><Relationship Id="rId412" Type="http://schemas.openxmlformats.org/officeDocument/2006/relationships/hyperlink" Target="https://www.ncbi.nlm.nih.gov/pubmed/12891222" TargetMode="External"/><Relationship Id="rId107" Type="http://schemas.openxmlformats.org/officeDocument/2006/relationships/hyperlink" Target="https://www.ncbi.nlm.nih.gov/pubmed/874697" TargetMode="External"/><Relationship Id="rId289" Type="http://schemas.openxmlformats.org/officeDocument/2006/relationships/hyperlink" Target="https://www.ncbi.nlm.nih.gov/pubmed/18172627" TargetMode="External"/><Relationship Id="rId454" Type="http://schemas.openxmlformats.org/officeDocument/2006/relationships/hyperlink" Target="https://www.ncbi.nlm.nih.gov/pubmed/21562488" TargetMode="External"/><Relationship Id="rId496" Type="http://schemas.openxmlformats.org/officeDocument/2006/relationships/hyperlink" Target="https://www.ncbi.nlm.nih.gov/pubmed/8623953" TargetMode="External"/><Relationship Id="rId11" Type="http://schemas.openxmlformats.org/officeDocument/2006/relationships/hyperlink" Target="https://www.ncbi.nlm.nih.gov/pubmed/7911763" TargetMode="External"/><Relationship Id="rId53" Type="http://schemas.openxmlformats.org/officeDocument/2006/relationships/hyperlink" Target="https://www.ncbi.nlm.nih.gov/pubmed/9663178" TargetMode="External"/><Relationship Id="rId149" Type="http://schemas.openxmlformats.org/officeDocument/2006/relationships/hyperlink" Target="https://www.ncbi.nlm.nih.gov/pubmed/1531117" TargetMode="External"/><Relationship Id="rId314" Type="http://schemas.openxmlformats.org/officeDocument/2006/relationships/hyperlink" Target="https://www.ncbi.nlm.nih.gov/pubmed/16982783" TargetMode="External"/><Relationship Id="rId356" Type="http://schemas.openxmlformats.org/officeDocument/2006/relationships/hyperlink" Target="https://www.ncbi.nlm.nih.gov/pubmed/4037525" TargetMode="External"/><Relationship Id="rId398" Type="http://schemas.openxmlformats.org/officeDocument/2006/relationships/hyperlink" Target="https://www.ncbi.nlm.nih.gov/pubmed/10411543" TargetMode="External"/><Relationship Id="rId95" Type="http://schemas.openxmlformats.org/officeDocument/2006/relationships/hyperlink" Target="https://www.ncbi.nlm.nih.gov/pubmed/874697" TargetMode="External"/><Relationship Id="rId160" Type="http://schemas.openxmlformats.org/officeDocument/2006/relationships/hyperlink" Target="https://www.ncbi.nlm.nih.gov/pubmed/9545149" TargetMode="External"/><Relationship Id="rId216" Type="http://schemas.openxmlformats.org/officeDocument/2006/relationships/hyperlink" Target="https://www.ncbi.nlm.nih.gov/pubmed/578447" TargetMode="External"/><Relationship Id="rId423" Type="http://schemas.openxmlformats.org/officeDocument/2006/relationships/hyperlink" Target="https://www.ncbi.nlm.nih.gov/pubmed/18214850" TargetMode="External"/><Relationship Id="rId258" Type="http://schemas.openxmlformats.org/officeDocument/2006/relationships/hyperlink" Target="https://www.ncbi.nlm.nih.gov/pubmed/9661037" TargetMode="External"/><Relationship Id="rId465" Type="http://schemas.openxmlformats.org/officeDocument/2006/relationships/hyperlink" Target="https://www.ncbi.nlm.nih.gov/pubmed/22190694" TargetMode="External"/><Relationship Id="rId22" Type="http://schemas.openxmlformats.org/officeDocument/2006/relationships/hyperlink" Target="https://www.ncbi.nlm.nih.gov/pubmed/7911763" TargetMode="External"/><Relationship Id="rId64" Type="http://schemas.openxmlformats.org/officeDocument/2006/relationships/hyperlink" Target="https://www.ncbi.nlm.nih.gov/pubmed/16638734" TargetMode="External"/><Relationship Id="rId118" Type="http://schemas.openxmlformats.org/officeDocument/2006/relationships/hyperlink" Target="https://www.ncbi.nlm.nih.gov/pubmed/3279907" TargetMode="External"/><Relationship Id="rId325" Type="http://schemas.openxmlformats.org/officeDocument/2006/relationships/hyperlink" Target="https://www.ncbi.nlm.nih.gov/pubmed/16982783" TargetMode="External"/><Relationship Id="rId367" Type="http://schemas.openxmlformats.org/officeDocument/2006/relationships/hyperlink" Target="https://www.ncbi.nlm.nih.gov/pubmed/2936766" TargetMode="External"/><Relationship Id="rId171" Type="http://schemas.openxmlformats.org/officeDocument/2006/relationships/hyperlink" Target="https://www.ncbi.nlm.nih.gov/pubmed/15536460" TargetMode="External"/><Relationship Id="rId227" Type="http://schemas.openxmlformats.org/officeDocument/2006/relationships/hyperlink" Target="http://www.ncbi.nlm.nih.gov/pubmed/6138080" TargetMode="External"/><Relationship Id="rId269" Type="http://schemas.openxmlformats.org/officeDocument/2006/relationships/hyperlink" Target="https://www.ncbi.nlm.nih.gov/pubmed/2544431" TargetMode="External"/><Relationship Id="rId434" Type="http://schemas.openxmlformats.org/officeDocument/2006/relationships/hyperlink" Target="https://www.ncbi.nlm.nih.gov/pubmed/9421099" TargetMode="External"/><Relationship Id="rId476" Type="http://schemas.openxmlformats.org/officeDocument/2006/relationships/hyperlink" Target="http://www.ncbi.nlm.nih.gov/pubmed/4087830" TargetMode="External"/><Relationship Id="rId33" Type="http://schemas.openxmlformats.org/officeDocument/2006/relationships/hyperlink" Target="https://www.ncbi.nlm.nih.gov/pubmed/16638734" TargetMode="External"/><Relationship Id="rId129" Type="http://schemas.openxmlformats.org/officeDocument/2006/relationships/hyperlink" Target="https://www.ncbi.nlm.nih.gov/pubmed/2950809" TargetMode="External"/><Relationship Id="rId280" Type="http://schemas.openxmlformats.org/officeDocument/2006/relationships/hyperlink" Target="https://www.ncbi.nlm.nih.gov/pubmed/2561187" TargetMode="External"/><Relationship Id="rId336" Type="http://schemas.openxmlformats.org/officeDocument/2006/relationships/hyperlink" Target="https://www.ncbi.nlm.nih.gov/pubmed/5060669" TargetMode="External"/><Relationship Id="rId501" Type="http://schemas.openxmlformats.org/officeDocument/2006/relationships/hyperlink" Target="https://www.ncbi.nlm.nih.gov/pubmed/17553741" TargetMode="External"/><Relationship Id="rId75" Type="http://schemas.openxmlformats.org/officeDocument/2006/relationships/hyperlink" Target="https://www.ncbi.nlm.nih.gov/pubmed/16638734" TargetMode="External"/><Relationship Id="rId140" Type="http://schemas.openxmlformats.org/officeDocument/2006/relationships/hyperlink" Target="https://www.ncbi.nlm.nih.gov/pubmed/1531117" TargetMode="External"/><Relationship Id="rId182" Type="http://schemas.openxmlformats.org/officeDocument/2006/relationships/hyperlink" Target="https://www.ncbi.nlm.nih.gov/pubmed/15536460" TargetMode="External"/><Relationship Id="rId378" Type="http://schemas.openxmlformats.org/officeDocument/2006/relationships/hyperlink" Target="https://www.ncbi.nlm.nih.gov/pubmed/15114429" TargetMode="External"/><Relationship Id="rId403" Type="http://schemas.openxmlformats.org/officeDocument/2006/relationships/hyperlink" Target="https://www.ncbi.nlm.nih.gov/pubmed/9728893" TargetMode="External"/><Relationship Id="rId6" Type="http://schemas.openxmlformats.org/officeDocument/2006/relationships/hyperlink" Target="https://doi.org/10.1007/BF00561755" TargetMode="External"/><Relationship Id="rId238" Type="http://schemas.openxmlformats.org/officeDocument/2006/relationships/hyperlink" Target="http://www.ncbi.nlm.nih.gov/pubmed/6138080" TargetMode="External"/><Relationship Id="rId445" Type="http://schemas.openxmlformats.org/officeDocument/2006/relationships/hyperlink" Target="https://www.ncbi.nlm.nih.gov/pubmed/21562488" TargetMode="External"/><Relationship Id="rId487" Type="http://schemas.openxmlformats.org/officeDocument/2006/relationships/hyperlink" Target="https://www.ncbi.nlm.nih.gov/pubmed/9925057" TargetMode="External"/><Relationship Id="rId291" Type="http://schemas.openxmlformats.org/officeDocument/2006/relationships/hyperlink" Target="https://www.ncbi.nlm.nih.gov/pubmed/18172627" TargetMode="External"/><Relationship Id="rId305" Type="http://schemas.openxmlformats.org/officeDocument/2006/relationships/hyperlink" Target="https://www.ncbi.nlm.nih.gov/pubmed/16982783" TargetMode="External"/><Relationship Id="rId347" Type="http://schemas.openxmlformats.org/officeDocument/2006/relationships/hyperlink" Target="https://www.ncbi.nlm.nih.gov/pubmed/6473487" TargetMode="External"/><Relationship Id="rId512" Type="http://schemas.openxmlformats.org/officeDocument/2006/relationships/printerSettings" Target="../printerSettings/printerSettings1.bin"/><Relationship Id="rId44" Type="http://schemas.openxmlformats.org/officeDocument/2006/relationships/hyperlink" Target="https://www.ncbi.nlm.nih.gov/pubmed/9333111" TargetMode="External"/><Relationship Id="rId86" Type="http://schemas.openxmlformats.org/officeDocument/2006/relationships/hyperlink" Target="https://www.ncbi.nlm.nih.gov/pubmed/11959572" TargetMode="External"/><Relationship Id="rId151" Type="http://schemas.openxmlformats.org/officeDocument/2006/relationships/hyperlink" Target="https://www.ncbi.nlm.nih.gov/pubmed/8388198" TargetMode="External"/><Relationship Id="rId389" Type="http://schemas.openxmlformats.org/officeDocument/2006/relationships/hyperlink" Target="https://www.ncbi.nlm.nih.gov/pubmed/5002304" TargetMode="External"/><Relationship Id="rId193" Type="http://schemas.openxmlformats.org/officeDocument/2006/relationships/hyperlink" Target="https://www.ncbi.nlm.nih.gov/pubmed/832508" TargetMode="External"/><Relationship Id="rId207" Type="http://schemas.openxmlformats.org/officeDocument/2006/relationships/hyperlink" Target="https://www.ncbi.nlm.nih.gov/pubmed/578447" TargetMode="External"/><Relationship Id="rId249" Type="http://schemas.openxmlformats.org/officeDocument/2006/relationships/hyperlink" Target="https://www.ncbi.nlm.nih.gov/pubmed/8720318" TargetMode="External"/><Relationship Id="rId414" Type="http://schemas.openxmlformats.org/officeDocument/2006/relationships/hyperlink" Target="https://www.ncbi.nlm.nih.gov/pubmed/16432272" TargetMode="External"/><Relationship Id="rId456" Type="http://schemas.openxmlformats.org/officeDocument/2006/relationships/hyperlink" Target="https://www.ncbi.nlm.nih.gov/pubmed/21562488" TargetMode="External"/><Relationship Id="rId498" Type="http://schemas.openxmlformats.org/officeDocument/2006/relationships/hyperlink" Target="https://www.ncbi.nlm.nih.gov/pubmed/8623953" TargetMode="External"/><Relationship Id="rId13" Type="http://schemas.openxmlformats.org/officeDocument/2006/relationships/hyperlink" Target="https://www.ncbi.nlm.nih.gov/pubmed/7911763" TargetMode="External"/><Relationship Id="rId109" Type="http://schemas.openxmlformats.org/officeDocument/2006/relationships/hyperlink" Target="https://www.ncbi.nlm.nih.gov/pubmed/874697" TargetMode="External"/><Relationship Id="rId260" Type="http://schemas.openxmlformats.org/officeDocument/2006/relationships/hyperlink" Target="https://www.ncbi.nlm.nih.gov/pubmed/9661037" TargetMode="External"/><Relationship Id="rId316" Type="http://schemas.openxmlformats.org/officeDocument/2006/relationships/hyperlink" Target="https://www.ncbi.nlm.nih.gov/pubmed/16982783" TargetMode="External"/><Relationship Id="rId55" Type="http://schemas.openxmlformats.org/officeDocument/2006/relationships/hyperlink" Target="https://www.ncbi.nlm.nih.gov/pubmed/9663178" TargetMode="External"/><Relationship Id="rId97" Type="http://schemas.openxmlformats.org/officeDocument/2006/relationships/hyperlink" Target="https://www.ncbi.nlm.nih.gov/pubmed/874697" TargetMode="External"/><Relationship Id="rId120" Type="http://schemas.openxmlformats.org/officeDocument/2006/relationships/hyperlink" Target="https://www.ncbi.nlm.nih.gov/pubmed/3579256" TargetMode="External"/><Relationship Id="rId358" Type="http://schemas.openxmlformats.org/officeDocument/2006/relationships/hyperlink" Target="http://www.ncbi.nlm.nih.gov/pubmed/6138080" TargetMode="External"/><Relationship Id="rId162" Type="http://schemas.openxmlformats.org/officeDocument/2006/relationships/hyperlink" Target="https://www.ncbi.nlm.nih.gov/pubmed/9545149" TargetMode="External"/><Relationship Id="rId218" Type="http://schemas.openxmlformats.org/officeDocument/2006/relationships/hyperlink" Target="https://www.ncbi.nlm.nih.gov/pubmed/832508" TargetMode="External"/><Relationship Id="rId425" Type="http://schemas.openxmlformats.org/officeDocument/2006/relationships/hyperlink" Target="https://www.ncbi.nlm.nih.gov/pubmed/18214850" TargetMode="External"/><Relationship Id="rId467" Type="http://schemas.openxmlformats.org/officeDocument/2006/relationships/hyperlink" Target="https://www.ncbi.nlm.nih.gov/pubmed/17365992" TargetMode="External"/><Relationship Id="rId271" Type="http://schemas.openxmlformats.org/officeDocument/2006/relationships/hyperlink" Target="https://www.ncbi.nlm.nih.gov/pubmed/2544431" TargetMode="External"/><Relationship Id="rId24" Type="http://schemas.openxmlformats.org/officeDocument/2006/relationships/hyperlink" Target="https://www.ncbi.nlm.nih.gov/pubmed/7911763" TargetMode="External"/><Relationship Id="rId66" Type="http://schemas.openxmlformats.org/officeDocument/2006/relationships/hyperlink" Target="https://www.ncbi.nlm.nih.gov/pubmed/16638734" TargetMode="External"/><Relationship Id="rId131" Type="http://schemas.openxmlformats.org/officeDocument/2006/relationships/hyperlink" Target="https://www.ncbi.nlm.nih.gov/pubmed/1531117" TargetMode="External"/><Relationship Id="rId327" Type="http://schemas.openxmlformats.org/officeDocument/2006/relationships/hyperlink" Target="https://www.ncbi.nlm.nih.gov/pubmed/16982783" TargetMode="External"/><Relationship Id="rId369" Type="http://schemas.openxmlformats.org/officeDocument/2006/relationships/hyperlink" Target="https://www.ncbi.nlm.nih.gov/pubmed/2936766" TargetMode="External"/><Relationship Id="rId173" Type="http://schemas.openxmlformats.org/officeDocument/2006/relationships/hyperlink" Target="https://www.ncbi.nlm.nih.gov/pubmed/15536460" TargetMode="External"/><Relationship Id="rId229" Type="http://schemas.openxmlformats.org/officeDocument/2006/relationships/hyperlink" Target="https://www.ncbi.nlm.nih.gov/pubmed/6117393" TargetMode="External"/><Relationship Id="rId380" Type="http://schemas.openxmlformats.org/officeDocument/2006/relationships/hyperlink" Target="https://www.ncbi.nlm.nih.gov/pubmed/15114429" TargetMode="External"/><Relationship Id="rId436" Type="http://schemas.openxmlformats.org/officeDocument/2006/relationships/hyperlink" Target="https://www.ncbi.nlm.nih.gov/pubmed/942109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T554"/>
  <sheetViews>
    <sheetView tabSelected="1" zoomScaleNormal="100" workbookViewId="0">
      <pane xSplit="5" ySplit="2" topLeftCell="H3" activePane="bottomRight" state="frozen"/>
      <selection pane="topRight" activeCell="E1" sqref="E1"/>
      <selection pane="bottomLeft" activeCell="A3" sqref="A3"/>
      <selection pane="bottomRight" activeCell="M555" sqref="M555"/>
    </sheetView>
  </sheetViews>
  <sheetFormatPr baseColWidth="10" defaultColWidth="8.75" defaultRowHeight="12.75" x14ac:dyDescent="0.2"/>
  <cols>
    <col min="1" max="1" width="4.75" style="91" bestFit="1" customWidth="1"/>
    <col min="2" max="2" width="16.375" style="233" customWidth="1"/>
    <col min="3" max="3" width="40.625" style="233" customWidth="1"/>
    <col min="4" max="4" width="38.125" style="233" bestFit="1" customWidth="1"/>
    <col min="5" max="5" width="18" style="3" bestFit="1" customWidth="1"/>
    <col min="6" max="6" width="13.875" style="26" bestFit="1" customWidth="1"/>
    <col min="7" max="7" width="10.375" style="26" bestFit="1" customWidth="1"/>
    <col min="8" max="8" width="11.25" style="26" bestFit="1" customWidth="1"/>
    <col min="9" max="9" width="13.375" style="26" bestFit="1" customWidth="1"/>
    <col min="10" max="10" width="7.125" style="22" bestFit="1" customWidth="1"/>
    <col min="11" max="11" width="13.75" style="28" bestFit="1" customWidth="1"/>
    <col min="12" max="12" width="10.5" style="28" bestFit="1" customWidth="1"/>
    <col min="13" max="13" width="7.625" style="22" bestFit="1" customWidth="1"/>
    <col min="14" max="14" width="26.5" style="22" bestFit="1" customWidth="1"/>
    <col min="15" max="15" width="11.375" style="22" bestFit="1" customWidth="1"/>
    <col min="16" max="16" width="28.375" style="22" bestFit="1" customWidth="1"/>
    <col min="17" max="17" width="23.625" style="23" bestFit="1" customWidth="1"/>
    <col min="18" max="18" width="27.75" style="23" bestFit="1" customWidth="1"/>
    <col min="19" max="19" width="19" style="24" bestFit="1" customWidth="1"/>
    <col min="20" max="20" width="38" style="23" bestFit="1" customWidth="1"/>
    <col min="21" max="21" width="38" style="23" customWidth="1"/>
    <col min="22" max="22" width="16.125" style="25" bestFit="1" customWidth="1"/>
    <col min="23" max="23" width="40.125" style="65" bestFit="1" customWidth="1"/>
    <col min="24" max="24" width="38.625" style="106" bestFit="1" customWidth="1"/>
    <col min="25" max="25" width="22.5" style="25" bestFit="1" customWidth="1"/>
    <col min="26" max="26" width="22.5" style="83" customWidth="1"/>
    <col min="27" max="27" width="4.875" style="6" bestFit="1" customWidth="1"/>
    <col min="28" max="28" width="10" style="6" bestFit="1" customWidth="1"/>
    <col min="29" max="29" width="11.625" style="5" bestFit="1" customWidth="1"/>
    <col min="30" max="30" width="9" style="5" bestFit="1" customWidth="1"/>
    <col min="31" max="31" width="9.75" style="5" bestFit="1" customWidth="1"/>
    <col min="32" max="32" width="5.875" style="5" bestFit="1" customWidth="1"/>
    <col min="33" max="33" width="8.875" style="5" bestFit="1" customWidth="1"/>
    <col min="34" max="34" width="9.625" style="5" bestFit="1" customWidth="1"/>
    <col min="35" max="35" width="5.875" style="5" bestFit="1" customWidth="1"/>
    <col min="36" max="36" width="6.375" style="5" bestFit="1" customWidth="1"/>
    <col min="37" max="37" width="6" style="6" bestFit="1" customWidth="1"/>
    <col min="38" max="38" width="9" style="6" bestFit="1" customWidth="1"/>
    <col min="39" max="39" width="9.75" style="6" bestFit="1" customWidth="1"/>
    <col min="40" max="40" width="5.875" style="6" bestFit="1" customWidth="1"/>
    <col min="41" max="41" width="8.875" style="6" bestFit="1" customWidth="1"/>
    <col min="42" max="42" width="9.625" style="6" bestFit="1" customWidth="1"/>
    <col min="43" max="43" width="5.875" style="6" bestFit="1" customWidth="1"/>
    <col min="44" max="44" width="6.375" style="6" bestFit="1" customWidth="1"/>
    <col min="45" max="45" width="6" style="5" bestFit="1" customWidth="1"/>
    <col min="46" max="46" width="9" style="5" bestFit="1" customWidth="1"/>
    <col min="47" max="47" width="9.75" style="5" bestFit="1" customWidth="1"/>
    <col min="48" max="48" width="5.875" style="5" bestFit="1" customWidth="1"/>
    <col min="49" max="49" width="8.875" style="5" bestFit="1" customWidth="1"/>
    <col min="50" max="50" width="9.625" style="5" bestFit="1" customWidth="1"/>
    <col min="51" max="51" width="5.875" style="5" bestFit="1" customWidth="1"/>
    <col min="52" max="52" width="6.375" style="5" bestFit="1" customWidth="1"/>
    <col min="53" max="53" width="6" style="6" bestFit="1" customWidth="1"/>
    <col min="54" max="54" width="9" style="6" bestFit="1" customWidth="1"/>
    <col min="55" max="55" width="9.75" style="6" bestFit="1" customWidth="1"/>
    <col min="56" max="56" width="5.875" style="6" bestFit="1" customWidth="1"/>
    <col min="57" max="57" width="8.875" style="6" bestFit="1" customWidth="1"/>
    <col min="58" max="58" width="9.625" style="6" bestFit="1" customWidth="1"/>
    <col min="59" max="59" width="5.875" style="6" bestFit="1" customWidth="1"/>
    <col min="60" max="60" width="6.375" style="6" bestFit="1" customWidth="1"/>
    <col min="61" max="61" width="6" style="5" bestFit="1" customWidth="1"/>
    <col min="62" max="62" width="9" style="5" bestFit="1" customWidth="1"/>
    <col min="63" max="63" width="9.75" style="5" bestFit="1" customWidth="1"/>
    <col min="64" max="64" width="5.875" style="5" bestFit="1" customWidth="1"/>
    <col min="65" max="65" width="8.875" style="5" bestFit="1" customWidth="1"/>
    <col min="66" max="66" width="9.625" style="5" bestFit="1" customWidth="1"/>
    <col min="67" max="67" width="5.875" style="5" bestFit="1" customWidth="1"/>
    <col min="68" max="68" width="6.375" style="5" bestFit="1" customWidth="1"/>
    <col min="69" max="69" width="9.625" style="6" bestFit="1" customWidth="1"/>
    <col min="70" max="70" width="69.25" style="5" bestFit="1" customWidth="1"/>
    <col min="71" max="71" width="11.875" style="2" customWidth="1"/>
    <col min="72" max="72" width="24.25" style="2" customWidth="1"/>
    <col min="73" max="73" width="80.25" style="2" bestFit="1" customWidth="1"/>
    <col min="74" max="16384" width="8.75" style="2"/>
  </cols>
  <sheetData>
    <row r="1" spans="1:72" ht="14.25" x14ac:dyDescent="0.2">
      <c r="E1" s="125"/>
      <c r="F1" s="252" t="s">
        <v>0</v>
      </c>
      <c r="G1" s="252"/>
      <c r="H1" s="252"/>
      <c r="I1" s="252"/>
      <c r="J1" s="253" t="s">
        <v>1</v>
      </c>
      <c r="K1" s="253"/>
      <c r="L1" s="253"/>
      <c r="M1" s="253"/>
      <c r="N1" s="253"/>
      <c r="O1" s="253"/>
      <c r="P1" s="253"/>
      <c r="Q1" s="254" t="s">
        <v>2</v>
      </c>
      <c r="R1" s="254"/>
      <c r="S1" s="254"/>
      <c r="T1" s="254"/>
      <c r="U1" s="227"/>
      <c r="V1" s="255" t="s">
        <v>3</v>
      </c>
      <c r="W1" s="255"/>
      <c r="X1" s="255"/>
      <c r="Y1" s="255"/>
      <c r="Z1" s="169"/>
      <c r="AA1" s="4" t="s">
        <v>4</v>
      </c>
      <c r="AB1" s="4" t="s">
        <v>5</v>
      </c>
      <c r="AC1" s="256" t="s">
        <v>6</v>
      </c>
      <c r="AD1" s="256"/>
      <c r="AE1" s="256"/>
      <c r="AF1" s="256"/>
      <c r="AG1" s="256"/>
      <c r="AH1" s="256"/>
      <c r="AI1" s="256"/>
      <c r="AJ1" s="256"/>
      <c r="AK1" s="257" t="s">
        <v>7</v>
      </c>
      <c r="AL1" s="257"/>
      <c r="AM1" s="257"/>
      <c r="AN1" s="257"/>
      <c r="AO1" s="257"/>
      <c r="AP1" s="257"/>
      <c r="AQ1" s="257"/>
      <c r="AR1" s="257"/>
      <c r="AS1" s="256" t="s">
        <v>8</v>
      </c>
      <c r="AT1" s="256"/>
      <c r="AU1" s="256"/>
      <c r="AV1" s="256"/>
      <c r="AW1" s="256"/>
      <c r="AX1" s="256"/>
      <c r="AY1" s="256"/>
      <c r="AZ1" s="256"/>
      <c r="BA1" s="257" t="s">
        <v>9</v>
      </c>
      <c r="BB1" s="257"/>
      <c r="BC1" s="257"/>
      <c r="BD1" s="257"/>
      <c r="BE1" s="257"/>
      <c r="BF1" s="257"/>
      <c r="BG1" s="257"/>
      <c r="BH1" s="257"/>
      <c r="BI1" s="256" t="s">
        <v>10</v>
      </c>
      <c r="BJ1" s="256"/>
      <c r="BK1" s="256"/>
      <c r="BL1" s="256"/>
      <c r="BM1" s="256"/>
      <c r="BN1" s="256"/>
      <c r="BO1" s="256"/>
      <c r="BP1" s="256"/>
      <c r="BQ1" s="166"/>
      <c r="BR1" s="165"/>
      <c r="BS1" s="124"/>
      <c r="BT1" s="174"/>
    </row>
    <row r="2" spans="1:72" x14ac:dyDescent="0.2">
      <c r="A2" s="94" t="s">
        <v>11</v>
      </c>
      <c r="B2" s="234" t="s">
        <v>12</v>
      </c>
      <c r="C2" s="234" t="s">
        <v>13</v>
      </c>
      <c r="D2" s="234" t="s">
        <v>14</v>
      </c>
      <c r="E2" s="8" t="s">
        <v>15</v>
      </c>
      <c r="F2" s="9" t="s">
        <v>16</v>
      </c>
      <c r="G2" s="9" t="s">
        <v>17</v>
      </c>
      <c r="H2" s="9" t="s">
        <v>18</v>
      </c>
      <c r="I2" s="9" t="s">
        <v>19</v>
      </c>
      <c r="J2" s="10" t="s">
        <v>20</v>
      </c>
      <c r="K2" s="11" t="s">
        <v>21</v>
      </c>
      <c r="L2" s="11" t="s">
        <v>22</v>
      </c>
      <c r="M2" s="10" t="s">
        <v>23</v>
      </c>
      <c r="N2" s="10" t="s">
        <v>24</v>
      </c>
      <c r="O2" s="10" t="s">
        <v>25</v>
      </c>
      <c r="P2" s="10" t="s">
        <v>26</v>
      </c>
      <c r="Q2" s="12" t="s">
        <v>27</v>
      </c>
      <c r="R2" s="12" t="s">
        <v>28</v>
      </c>
      <c r="S2" s="13" t="s">
        <v>29</v>
      </c>
      <c r="T2" s="12" t="s">
        <v>30</v>
      </c>
      <c r="U2" s="12" t="s">
        <v>31</v>
      </c>
      <c r="V2" s="14" t="s">
        <v>32</v>
      </c>
      <c r="W2" s="74" t="s">
        <v>33</v>
      </c>
      <c r="X2" s="107" t="s">
        <v>34</v>
      </c>
      <c r="Y2" s="14" t="s">
        <v>35</v>
      </c>
      <c r="Z2" s="81" t="s">
        <v>36</v>
      </c>
      <c r="AA2" s="15" t="s">
        <v>37</v>
      </c>
      <c r="AB2" s="15" t="s">
        <v>38</v>
      </c>
      <c r="AC2" s="16" t="s">
        <v>39</v>
      </c>
      <c r="AD2" s="16" t="s">
        <v>40</v>
      </c>
      <c r="AE2" s="16" t="s">
        <v>41</v>
      </c>
      <c r="AF2" s="16" t="s">
        <v>42</v>
      </c>
      <c r="AG2" s="16" t="s">
        <v>43</v>
      </c>
      <c r="AH2" s="16" t="s">
        <v>44</v>
      </c>
      <c r="AI2" s="16" t="s">
        <v>45</v>
      </c>
      <c r="AJ2" s="16" t="s">
        <v>46</v>
      </c>
      <c r="AK2" s="15" t="s">
        <v>39</v>
      </c>
      <c r="AL2" s="15" t="s">
        <v>40</v>
      </c>
      <c r="AM2" s="69" t="s">
        <v>41</v>
      </c>
      <c r="AN2" s="69" t="s">
        <v>42</v>
      </c>
      <c r="AO2" s="69" t="s">
        <v>43</v>
      </c>
      <c r="AP2" s="69" t="s">
        <v>44</v>
      </c>
      <c r="AQ2" s="69" t="s">
        <v>45</v>
      </c>
      <c r="AR2" s="69" t="s">
        <v>46</v>
      </c>
      <c r="AS2" s="16" t="s">
        <v>39</v>
      </c>
      <c r="AT2" s="16" t="s">
        <v>40</v>
      </c>
      <c r="AU2" s="16" t="s">
        <v>41</v>
      </c>
      <c r="AV2" s="16" t="s">
        <v>42</v>
      </c>
      <c r="AW2" s="16" t="s">
        <v>43</v>
      </c>
      <c r="AX2" s="16" t="s">
        <v>44</v>
      </c>
      <c r="AY2" s="16" t="s">
        <v>45</v>
      </c>
      <c r="AZ2" s="16" t="s">
        <v>46</v>
      </c>
      <c r="BA2" s="15" t="s">
        <v>39</v>
      </c>
      <c r="BB2" s="15" t="s">
        <v>40</v>
      </c>
      <c r="BC2" s="15" t="s">
        <v>41</v>
      </c>
      <c r="BD2" s="15" t="s">
        <v>42</v>
      </c>
      <c r="BE2" s="15" t="s">
        <v>43</v>
      </c>
      <c r="BF2" s="15" t="s">
        <v>44</v>
      </c>
      <c r="BG2" s="15" t="s">
        <v>45</v>
      </c>
      <c r="BH2" s="15" t="s">
        <v>46</v>
      </c>
      <c r="BI2" s="165" t="s">
        <v>39</v>
      </c>
      <c r="BJ2" s="165" t="s">
        <v>40</v>
      </c>
      <c r="BK2" s="165" t="s">
        <v>41</v>
      </c>
      <c r="BL2" s="165" t="s">
        <v>42</v>
      </c>
      <c r="BM2" s="165" t="s">
        <v>43</v>
      </c>
      <c r="BN2" s="165" t="s">
        <v>44</v>
      </c>
      <c r="BO2" s="165" t="s">
        <v>45</v>
      </c>
      <c r="BP2" s="165" t="s">
        <v>46</v>
      </c>
      <c r="BQ2" s="15" t="s">
        <v>47</v>
      </c>
      <c r="BR2" s="16" t="s">
        <v>48</v>
      </c>
      <c r="BS2" s="124" t="s">
        <v>49</v>
      </c>
      <c r="BT2" s="124" t="s">
        <v>50</v>
      </c>
    </row>
    <row r="3" spans="1:72" ht="14.25" hidden="1" customHeight="1" x14ac:dyDescent="0.2">
      <c r="A3" s="92">
        <v>1</v>
      </c>
      <c r="B3" s="235" t="s">
        <v>51</v>
      </c>
      <c r="C3" s="236" t="s">
        <v>52</v>
      </c>
      <c r="D3" s="235" t="s">
        <v>53</v>
      </c>
      <c r="E3" s="125" t="s">
        <v>54</v>
      </c>
      <c r="F3" s="181" t="s">
        <v>55</v>
      </c>
      <c r="G3" s="181" t="s">
        <v>56</v>
      </c>
      <c r="H3" s="181" t="s">
        <v>57</v>
      </c>
      <c r="I3" s="181"/>
      <c r="J3" s="178">
        <v>450</v>
      </c>
      <c r="K3" s="182"/>
      <c r="L3" s="182" t="s">
        <v>58</v>
      </c>
      <c r="M3" s="178" t="s">
        <v>59</v>
      </c>
      <c r="N3" s="178">
        <v>0</v>
      </c>
      <c r="O3" s="178" t="s">
        <v>60</v>
      </c>
      <c r="P3" s="178" t="s">
        <v>61</v>
      </c>
      <c r="Q3" s="179"/>
      <c r="R3" s="179"/>
      <c r="S3" s="180"/>
      <c r="T3" s="179"/>
      <c r="U3" s="179"/>
      <c r="V3" s="167" t="s">
        <v>62</v>
      </c>
      <c r="W3" s="168">
        <v>12</v>
      </c>
      <c r="Y3" s="167"/>
      <c r="Z3" s="169" t="s">
        <v>63</v>
      </c>
      <c r="AA3" s="166">
        <v>5</v>
      </c>
      <c r="AB3" s="166">
        <v>5</v>
      </c>
      <c r="AC3" s="165"/>
      <c r="AD3" s="165"/>
      <c r="AE3" s="165"/>
      <c r="AF3" s="165"/>
      <c r="AG3" s="165"/>
      <c r="AH3" s="165"/>
      <c r="AI3" s="165"/>
      <c r="AJ3" s="165"/>
      <c r="AK3" s="166"/>
      <c r="AL3" s="166"/>
      <c r="AM3" s="166"/>
      <c r="AN3" s="166"/>
      <c r="AO3" s="166"/>
      <c r="AP3" s="166"/>
      <c r="AQ3" s="166"/>
      <c r="AR3" s="166"/>
      <c r="AS3" s="165"/>
      <c r="AT3" s="165"/>
      <c r="AU3" s="165"/>
      <c r="AV3" s="165"/>
      <c r="AW3" s="165"/>
      <c r="AX3" s="165"/>
      <c r="AY3" s="165"/>
      <c r="AZ3" s="165"/>
      <c r="BA3" s="166"/>
      <c r="BB3" s="166"/>
      <c r="BC3" s="166"/>
      <c r="BD3" s="166"/>
      <c r="BE3" s="166"/>
      <c r="BF3" s="166"/>
      <c r="BG3" s="166"/>
      <c r="BH3" s="166"/>
      <c r="BI3" s="165"/>
      <c r="BJ3" s="165"/>
      <c r="BK3" s="165"/>
      <c r="BL3" s="165"/>
      <c r="BM3" s="165"/>
      <c r="BN3" s="165"/>
      <c r="BO3" s="165"/>
      <c r="BP3" s="165"/>
      <c r="BQ3" s="166"/>
      <c r="BR3" s="165" t="s">
        <v>64</v>
      </c>
      <c r="BS3" s="124">
        <v>1</v>
      </c>
      <c r="BT3" s="174"/>
    </row>
    <row r="4" spans="1:72" ht="14.25" hidden="1" customHeight="1" x14ac:dyDescent="0.2">
      <c r="A4" s="92">
        <v>2</v>
      </c>
      <c r="B4" s="235" t="s">
        <v>51</v>
      </c>
      <c r="C4" s="236" t="s">
        <v>52</v>
      </c>
      <c r="D4" s="235" t="s">
        <v>65</v>
      </c>
      <c r="E4" s="125" t="s">
        <v>54</v>
      </c>
      <c r="F4" s="181" t="s">
        <v>55</v>
      </c>
      <c r="G4" s="181" t="s">
        <v>56</v>
      </c>
      <c r="H4" s="181" t="s">
        <v>66</v>
      </c>
      <c r="I4" s="181"/>
      <c r="J4" s="178">
        <v>450</v>
      </c>
      <c r="K4" s="182"/>
      <c r="L4" s="182" t="s">
        <v>58</v>
      </c>
      <c r="M4" s="178" t="s">
        <v>59</v>
      </c>
      <c r="N4" s="178" t="s">
        <v>67</v>
      </c>
      <c r="O4" s="178" t="s">
        <v>60</v>
      </c>
      <c r="P4" s="178" t="s">
        <v>61</v>
      </c>
      <c r="Q4" s="179"/>
      <c r="R4" s="179"/>
      <c r="S4" s="180"/>
      <c r="T4" s="179"/>
      <c r="U4" s="179"/>
      <c r="V4" s="167" t="s">
        <v>62</v>
      </c>
      <c r="W4" s="168">
        <v>12</v>
      </c>
      <c r="Y4" s="167"/>
      <c r="Z4" s="169" t="s">
        <v>63</v>
      </c>
      <c r="AA4" s="166">
        <v>5</v>
      </c>
      <c r="AB4" s="166">
        <v>5</v>
      </c>
      <c r="AC4" s="165"/>
      <c r="AD4" s="165"/>
      <c r="AE4" s="165"/>
      <c r="AF4" s="165"/>
      <c r="AG4" s="165"/>
      <c r="AH4" s="165"/>
      <c r="AI4" s="165"/>
      <c r="AJ4" s="165"/>
      <c r="AK4" s="166"/>
      <c r="AL4" s="166"/>
      <c r="AM4" s="166"/>
      <c r="AN4" s="166"/>
      <c r="AO4" s="166"/>
      <c r="AP4" s="166"/>
      <c r="AQ4" s="166"/>
      <c r="AR4" s="166"/>
      <c r="AS4" s="165"/>
      <c r="AT4" s="165"/>
      <c r="AU4" s="165"/>
      <c r="AV4" s="165"/>
      <c r="AW4" s="165"/>
      <c r="AX4" s="165"/>
      <c r="AY4" s="165"/>
      <c r="AZ4" s="165"/>
      <c r="BA4" s="166"/>
      <c r="BB4" s="166"/>
      <c r="BC4" s="166"/>
      <c r="BD4" s="166"/>
      <c r="BE4" s="166"/>
      <c r="BF4" s="166"/>
      <c r="BG4" s="166"/>
      <c r="BH4" s="166"/>
      <c r="BI4" s="165"/>
      <c r="BJ4" s="165"/>
      <c r="BK4" s="165"/>
      <c r="BL4" s="165"/>
      <c r="BM4" s="165"/>
      <c r="BN4" s="165"/>
      <c r="BO4" s="165"/>
      <c r="BP4" s="165"/>
      <c r="BQ4" s="166"/>
      <c r="BR4" s="165" t="s">
        <v>64</v>
      </c>
      <c r="BS4" s="124">
        <v>2</v>
      </c>
      <c r="BT4" s="174"/>
    </row>
    <row r="5" spans="1:72" ht="14.25" hidden="1" customHeight="1" x14ac:dyDescent="0.2">
      <c r="A5" s="92">
        <v>3</v>
      </c>
      <c r="B5" s="235" t="s">
        <v>51</v>
      </c>
      <c r="C5" s="236" t="s">
        <v>52</v>
      </c>
      <c r="D5" s="235" t="s">
        <v>53</v>
      </c>
      <c r="E5" s="125" t="s">
        <v>54</v>
      </c>
      <c r="F5" s="181" t="s">
        <v>68</v>
      </c>
      <c r="G5" s="181" t="s">
        <v>56</v>
      </c>
      <c r="H5" s="181" t="s">
        <v>69</v>
      </c>
      <c r="I5" s="181" t="s">
        <v>70</v>
      </c>
      <c r="J5" s="178">
        <v>450</v>
      </c>
      <c r="K5" s="182"/>
      <c r="L5" s="182" t="s">
        <v>58</v>
      </c>
      <c r="M5" s="178" t="s">
        <v>59</v>
      </c>
      <c r="N5" s="178">
        <v>0</v>
      </c>
      <c r="O5" s="178" t="s">
        <v>60</v>
      </c>
      <c r="P5" s="178" t="s">
        <v>61</v>
      </c>
      <c r="Q5" s="179"/>
      <c r="R5" s="179"/>
      <c r="S5" s="180"/>
      <c r="T5" s="179"/>
      <c r="U5" s="179"/>
      <c r="V5" s="167" t="s">
        <v>62</v>
      </c>
      <c r="W5" s="168">
        <v>12</v>
      </c>
      <c r="Y5" s="167"/>
      <c r="Z5" s="169" t="s">
        <v>63</v>
      </c>
      <c r="AA5" s="166">
        <v>5</v>
      </c>
      <c r="AB5" s="166">
        <v>5</v>
      </c>
      <c r="AC5" s="165"/>
      <c r="AD5" s="165"/>
      <c r="AE5" s="165"/>
      <c r="AF5" s="165"/>
      <c r="AG5" s="165"/>
      <c r="AH5" s="165"/>
      <c r="AI5" s="165"/>
      <c r="AJ5" s="165"/>
      <c r="AK5" s="166"/>
      <c r="AL5" s="166"/>
      <c r="AM5" s="166"/>
      <c r="AN5" s="166"/>
      <c r="AO5" s="166"/>
      <c r="AP5" s="166"/>
      <c r="AQ5" s="166"/>
      <c r="AR5" s="166"/>
      <c r="AS5" s="165"/>
      <c r="AT5" s="165"/>
      <c r="AU5" s="165"/>
      <c r="AV5" s="165"/>
      <c r="AW5" s="165"/>
      <c r="AX5" s="165"/>
      <c r="AY5" s="165"/>
      <c r="AZ5" s="165"/>
      <c r="BA5" s="166"/>
      <c r="BB5" s="166"/>
      <c r="BC5" s="166"/>
      <c r="BD5" s="166"/>
      <c r="BE5" s="166"/>
      <c r="BF5" s="166"/>
      <c r="BG5" s="166"/>
      <c r="BH5" s="166"/>
      <c r="BI5" s="165"/>
      <c r="BJ5" s="165"/>
      <c r="BK5" s="165"/>
      <c r="BL5" s="165"/>
      <c r="BM5" s="165"/>
      <c r="BN5" s="165"/>
      <c r="BO5" s="165"/>
      <c r="BP5" s="165"/>
      <c r="BQ5" s="166"/>
      <c r="BR5" s="165" t="s">
        <v>64</v>
      </c>
      <c r="BS5" s="124">
        <v>3</v>
      </c>
      <c r="BT5" s="174"/>
    </row>
    <row r="6" spans="1:72" ht="14.25" hidden="1" customHeight="1" x14ac:dyDescent="0.2">
      <c r="A6" s="92">
        <v>4</v>
      </c>
      <c r="B6" s="235" t="s">
        <v>51</v>
      </c>
      <c r="C6" s="236" t="s">
        <v>52</v>
      </c>
      <c r="D6" s="235" t="s">
        <v>53</v>
      </c>
      <c r="E6" s="125" t="s">
        <v>54</v>
      </c>
      <c r="F6" s="181" t="s">
        <v>71</v>
      </c>
      <c r="G6" s="181" t="s">
        <v>56</v>
      </c>
      <c r="H6" s="181" t="s">
        <v>72</v>
      </c>
      <c r="I6" s="181"/>
      <c r="J6" s="178">
        <v>450</v>
      </c>
      <c r="K6" s="182"/>
      <c r="L6" s="182" t="s">
        <v>58</v>
      </c>
      <c r="M6" s="178" t="s">
        <v>59</v>
      </c>
      <c r="N6" s="178">
        <v>0</v>
      </c>
      <c r="O6" s="178" t="s">
        <v>60</v>
      </c>
      <c r="P6" s="178" t="s">
        <v>61</v>
      </c>
      <c r="Q6" s="179"/>
      <c r="R6" s="179"/>
      <c r="S6" s="180"/>
      <c r="T6" s="179"/>
      <c r="U6" s="179"/>
      <c r="V6" s="167" t="s">
        <v>62</v>
      </c>
      <c r="W6" s="168">
        <v>12</v>
      </c>
      <c r="Y6" s="167"/>
      <c r="Z6" s="169" t="s">
        <v>63</v>
      </c>
      <c r="AA6" s="166">
        <v>5</v>
      </c>
      <c r="AB6" s="166">
        <v>5</v>
      </c>
      <c r="AC6" s="165"/>
      <c r="AD6" s="165"/>
      <c r="AE6" s="165"/>
      <c r="AF6" s="165"/>
      <c r="AG6" s="165"/>
      <c r="AH6" s="165"/>
      <c r="AI6" s="165"/>
      <c r="AJ6" s="165"/>
      <c r="AK6" s="166"/>
      <c r="AL6" s="166"/>
      <c r="AM6" s="166"/>
      <c r="AN6" s="166"/>
      <c r="AO6" s="166"/>
      <c r="AP6" s="166"/>
      <c r="AQ6" s="166"/>
      <c r="AR6" s="166"/>
      <c r="AS6" s="165"/>
      <c r="AT6" s="165"/>
      <c r="AU6" s="165"/>
      <c r="AV6" s="165"/>
      <c r="AW6" s="165"/>
      <c r="AX6" s="165"/>
      <c r="AY6" s="165"/>
      <c r="AZ6" s="165"/>
      <c r="BA6" s="166"/>
      <c r="BB6" s="166"/>
      <c r="BC6" s="166"/>
      <c r="BD6" s="166"/>
      <c r="BE6" s="166"/>
      <c r="BF6" s="166"/>
      <c r="BG6" s="166"/>
      <c r="BH6" s="166"/>
      <c r="BI6" s="165"/>
      <c r="BJ6" s="165"/>
      <c r="BK6" s="165"/>
      <c r="BL6" s="165"/>
      <c r="BM6" s="165"/>
      <c r="BN6" s="165"/>
      <c r="BO6" s="165"/>
      <c r="BP6" s="165"/>
      <c r="BQ6" s="166"/>
      <c r="BR6" s="165" t="s">
        <v>64</v>
      </c>
      <c r="BS6" s="124">
        <v>4</v>
      </c>
      <c r="BT6" s="174"/>
    </row>
    <row r="7" spans="1:72" ht="14.25" hidden="1" customHeight="1" x14ac:dyDescent="0.2">
      <c r="A7" s="92">
        <v>9</v>
      </c>
      <c r="B7" s="235" t="s">
        <v>73</v>
      </c>
      <c r="C7" s="236" t="s">
        <v>74</v>
      </c>
      <c r="D7" s="235" t="s">
        <v>75</v>
      </c>
      <c r="E7" s="125" t="s">
        <v>54</v>
      </c>
      <c r="F7" s="181" t="s">
        <v>55</v>
      </c>
      <c r="G7" s="181" t="s">
        <v>76</v>
      </c>
      <c r="H7" s="181" t="s">
        <v>77</v>
      </c>
      <c r="I7" s="181"/>
      <c r="J7" s="178">
        <v>150</v>
      </c>
      <c r="K7" s="182"/>
      <c r="L7" s="182" t="s">
        <v>58</v>
      </c>
      <c r="M7" s="178" t="s">
        <v>78</v>
      </c>
      <c r="N7" s="178">
        <v>0</v>
      </c>
      <c r="O7" s="178" t="s">
        <v>60</v>
      </c>
      <c r="P7" s="178" t="s">
        <v>79</v>
      </c>
      <c r="Q7" s="179"/>
      <c r="R7" s="179"/>
      <c r="S7" s="180">
        <v>180</v>
      </c>
      <c r="T7" s="179"/>
      <c r="U7" s="179"/>
      <c r="V7" s="167"/>
      <c r="W7" s="168"/>
      <c r="Y7" s="167"/>
      <c r="Z7" s="169" t="s">
        <v>63</v>
      </c>
      <c r="AA7" s="166">
        <v>1</v>
      </c>
      <c r="AB7" s="166">
        <v>0</v>
      </c>
      <c r="AC7" s="165"/>
      <c r="AD7" s="165" t="s">
        <v>80</v>
      </c>
      <c r="AE7" s="165"/>
      <c r="AF7" s="165"/>
      <c r="AG7" s="165"/>
      <c r="AH7" s="165"/>
      <c r="AI7" s="165">
        <v>20</v>
      </c>
      <c r="AJ7" s="165">
        <v>73</v>
      </c>
      <c r="AK7" s="166"/>
      <c r="AL7" s="166" t="s">
        <v>81</v>
      </c>
      <c r="AM7" s="166"/>
      <c r="AN7" s="166"/>
      <c r="AO7" s="166"/>
      <c r="AP7" s="166"/>
      <c r="AQ7" s="166">
        <v>54</v>
      </c>
      <c r="AR7" s="166">
        <v>90</v>
      </c>
      <c r="AS7" s="165"/>
      <c r="AT7" s="165"/>
      <c r="AU7" s="165"/>
      <c r="AV7" s="165"/>
      <c r="AW7" s="165"/>
      <c r="AX7" s="165"/>
      <c r="AY7" s="165"/>
      <c r="AZ7" s="165"/>
      <c r="BA7" s="166"/>
      <c r="BB7" s="166"/>
      <c r="BC7" s="166"/>
      <c r="BD7" s="166"/>
      <c r="BE7" s="166"/>
      <c r="BF7" s="166"/>
      <c r="BG7" s="166"/>
      <c r="BH7" s="166"/>
      <c r="BI7" s="165"/>
      <c r="BJ7" s="165"/>
      <c r="BK7" s="165"/>
      <c r="BL7" s="165"/>
      <c r="BM7" s="165"/>
      <c r="BN7" s="165"/>
      <c r="BO7" s="165"/>
      <c r="BP7" s="165"/>
      <c r="BQ7" s="166"/>
      <c r="BR7" s="165"/>
      <c r="BS7" s="124">
        <v>9</v>
      </c>
      <c r="BT7" s="174"/>
    </row>
    <row r="8" spans="1:72" ht="14.25" hidden="1" customHeight="1" x14ac:dyDescent="0.2">
      <c r="A8" s="92">
        <v>10</v>
      </c>
      <c r="B8" s="235" t="s">
        <v>73</v>
      </c>
      <c r="C8" s="236" t="s">
        <v>74</v>
      </c>
      <c r="D8" s="235" t="s">
        <v>82</v>
      </c>
      <c r="E8" s="125" t="s">
        <v>54</v>
      </c>
      <c r="F8" s="181" t="s">
        <v>55</v>
      </c>
      <c r="G8" s="181" t="s">
        <v>76</v>
      </c>
      <c r="H8" s="181" t="s">
        <v>77</v>
      </c>
      <c r="I8" s="181"/>
      <c r="J8" s="178">
        <v>150</v>
      </c>
      <c r="K8" s="182"/>
      <c r="L8" s="182" t="s">
        <v>58</v>
      </c>
      <c r="M8" s="178" t="s">
        <v>78</v>
      </c>
      <c r="N8" s="178">
        <v>0</v>
      </c>
      <c r="O8" s="178" t="s">
        <v>60</v>
      </c>
      <c r="P8" s="178" t="s">
        <v>79</v>
      </c>
      <c r="Q8" s="179"/>
      <c r="R8" s="179"/>
      <c r="S8" s="180">
        <v>180</v>
      </c>
      <c r="T8" s="179"/>
      <c r="U8" s="179"/>
      <c r="V8" s="167"/>
      <c r="W8" s="168"/>
      <c r="Y8" s="167"/>
      <c r="Z8" s="169" t="s">
        <v>63</v>
      </c>
      <c r="AA8" s="166">
        <v>1</v>
      </c>
      <c r="AB8" s="166">
        <v>0</v>
      </c>
      <c r="AC8" s="165"/>
      <c r="AD8" s="165" t="s">
        <v>80</v>
      </c>
      <c r="AE8" s="165"/>
      <c r="AF8" s="165"/>
      <c r="AG8" s="165"/>
      <c r="AH8" s="165"/>
      <c r="AI8" s="165">
        <v>20</v>
      </c>
      <c r="AJ8" s="165">
        <v>73</v>
      </c>
      <c r="AK8" s="166"/>
      <c r="AL8" s="166" t="s">
        <v>81</v>
      </c>
      <c r="AM8" s="166"/>
      <c r="AN8" s="166"/>
      <c r="AO8" s="166"/>
      <c r="AP8" s="166"/>
      <c r="AQ8" s="166">
        <v>54</v>
      </c>
      <c r="AR8" s="166">
        <v>90</v>
      </c>
      <c r="AS8" s="165"/>
      <c r="AT8" s="165"/>
      <c r="AU8" s="165"/>
      <c r="AV8" s="165"/>
      <c r="AW8" s="165"/>
      <c r="AX8" s="165"/>
      <c r="AY8" s="165"/>
      <c r="AZ8" s="165"/>
      <c r="BA8" s="166"/>
      <c r="BB8" s="166"/>
      <c r="BC8" s="166"/>
      <c r="BD8" s="166"/>
      <c r="BE8" s="166"/>
      <c r="BF8" s="166"/>
      <c r="BG8" s="166"/>
      <c r="BH8" s="166"/>
      <c r="BI8" s="165"/>
      <c r="BJ8" s="165"/>
      <c r="BK8" s="165"/>
      <c r="BL8" s="165"/>
      <c r="BM8" s="165"/>
      <c r="BN8" s="165"/>
      <c r="BO8" s="165"/>
      <c r="BP8" s="165"/>
      <c r="BQ8" s="166"/>
      <c r="BR8" s="165"/>
      <c r="BS8" s="124">
        <v>10</v>
      </c>
      <c r="BT8" s="174"/>
    </row>
    <row r="9" spans="1:72" ht="14.25" hidden="1" customHeight="1" x14ac:dyDescent="0.2">
      <c r="A9" s="92">
        <v>11</v>
      </c>
      <c r="B9" s="235" t="s">
        <v>73</v>
      </c>
      <c r="C9" s="236" t="s">
        <v>74</v>
      </c>
      <c r="D9" s="235" t="s">
        <v>83</v>
      </c>
      <c r="E9" s="125" t="s">
        <v>54</v>
      </c>
      <c r="F9" s="181" t="s">
        <v>55</v>
      </c>
      <c r="G9" s="181" t="s">
        <v>76</v>
      </c>
      <c r="H9" s="181" t="s">
        <v>77</v>
      </c>
      <c r="I9" s="181"/>
      <c r="J9" s="178">
        <v>300</v>
      </c>
      <c r="K9" s="182"/>
      <c r="L9" s="182" t="s">
        <v>58</v>
      </c>
      <c r="M9" s="178" t="s">
        <v>78</v>
      </c>
      <c r="N9" s="178">
        <v>0</v>
      </c>
      <c r="O9" s="178" t="s">
        <v>60</v>
      </c>
      <c r="P9" s="178" t="s">
        <v>79</v>
      </c>
      <c r="Q9" s="179"/>
      <c r="R9" s="179"/>
      <c r="S9" s="180">
        <v>180</v>
      </c>
      <c r="T9" s="179"/>
      <c r="U9" s="179"/>
      <c r="V9" s="167"/>
      <c r="W9" s="168"/>
      <c r="Y9" s="167"/>
      <c r="Z9" s="169" t="s">
        <v>63</v>
      </c>
      <c r="AA9" s="166">
        <v>1</v>
      </c>
      <c r="AB9" s="166">
        <v>0</v>
      </c>
      <c r="AC9" s="165"/>
      <c r="AD9" s="165" t="s">
        <v>80</v>
      </c>
      <c r="AE9" s="165"/>
      <c r="AF9" s="165"/>
      <c r="AG9" s="165"/>
      <c r="AH9" s="165"/>
      <c r="AI9" s="165">
        <v>20</v>
      </c>
      <c r="AJ9" s="165">
        <v>73</v>
      </c>
      <c r="AK9" s="166"/>
      <c r="AL9" s="166" t="s">
        <v>81</v>
      </c>
      <c r="AM9" s="166"/>
      <c r="AN9" s="166"/>
      <c r="AO9" s="166"/>
      <c r="AP9" s="166"/>
      <c r="AQ9" s="166">
        <v>54</v>
      </c>
      <c r="AR9" s="166">
        <v>90</v>
      </c>
      <c r="AS9" s="165"/>
      <c r="AT9" s="165"/>
      <c r="AU9" s="165"/>
      <c r="AV9" s="165"/>
      <c r="AW9" s="165"/>
      <c r="AX9" s="165"/>
      <c r="AY9" s="165"/>
      <c r="AZ9" s="165"/>
      <c r="BA9" s="166"/>
      <c r="BB9" s="166"/>
      <c r="BC9" s="166"/>
      <c r="BD9" s="166"/>
      <c r="BE9" s="166"/>
      <c r="BF9" s="166"/>
      <c r="BG9" s="166"/>
      <c r="BH9" s="166"/>
      <c r="BI9" s="165"/>
      <c r="BJ9" s="165"/>
      <c r="BK9" s="165"/>
      <c r="BL9" s="165"/>
      <c r="BM9" s="165"/>
      <c r="BN9" s="165"/>
      <c r="BO9" s="165"/>
      <c r="BP9" s="165"/>
      <c r="BQ9" s="166"/>
      <c r="BR9" s="165"/>
      <c r="BS9" s="124">
        <v>11</v>
      </c>
      <c r="BT9" s="174"/>
    </row>
    <row r="10" spans="1:72" ht="14.25" hidden="1" customHeight="1" x14ac:dyDescent="0.2">
      <c r="A10" s="92">
        <v>12</v>
      </c>
      <c r="B10" s="235" t="s">
        <v>73</v>
      </c>
      <c r="C10" s="236" t="s">
        <v>74</v>
      </c>
      <c r="D10" s="235" t="s">
        <v>84</v>
      </c>
      <c r="E10" s="125" t="s">
        <v>54</v>
      </c>
      <c r="F10" s="181" t="s">
        <v>55</v>
      </c>
      <c r="G10" s="181" t="s">
        <v>76</v>
      </c>
      <c r="H10" s="181" t="s">
        <v>77</v>
      </c>
      <c r="I10" s="181"/>
      <c r="J10" s="178">
        <v>300</v>
      </c>
      <c r="K10" s="182"/>
      <c r="L10" s="182" t="s">
        <v>58</v>
      </c>
      <c r="M10" s="178" t="s">
        <v>78</v>
      </c>
      <c r="N10" s="178">
        <v>0</v>
      </c>
      <c r="O10" s="178" t="s">
        <v>60</v>
      </c>
      <c r="P10" s="178" t="s">
        <v>79</v>
      </c>
      <c r="Q10" s="179"/>
      <c r="R10" s="179"/>
      <c r="S10" s="180">
        <v>180</v>
      </c>
      <c r="T10" s="179"/>
      <c r="U10" s="179"/>
      <c r="V10" s="167"/>
      <c r="W10" s="168"/>
      <c r="Y10" s="167"/>
      <c r="Z10" s="169" t="s">
        <v>63</v>
      </c>
      <c r="AA10" s="166">
        <v>1</v>
      </c>
      <c r="AB10" s="166">
        <v>0</v>
      </c>
      <c r="AC10" s="165"/>
      <c r="AD10" s="165" t="s">
        <v>80</v>
      </c>
      <c r="AE10" s="165"/>
      <c r="AF10" s="165"/>
      <c r="AG10" s="165"/>
      <c r="AH10" s="165"/>
      <c r="AI10" s="165">
        <v>20</v>
      </c>
      <c r="AJ10" s="165">
        <v>73</v>
      </c>
      <c r="AK10" s="166"/>
      <c r="AL10" s="166" t="s">
        <v>81</v>
      </c>
      <c r="AM10" s="166"/>
      <c r="AN10" s="166"/>
      <c r="AO10" s="166"/>
      <c r="AP10" s="166"/>
      <c r="AQ10" s="166">
        <v>54</v>
      </c>
      <c r="AR10" s="166">
        <v>90</v>
      </c>
      <c r="AS10" s="165"/>
      <c r="AT10" s="165"/>
      <c r="AU10" s="165"/>
      <c r="AV10" s="165"/>
      <c r="AW10" s="165"/>
      <c r="AX10" s="165"/>
      <c r="AY10" s="165"/>
      <c r="AZ10" s="165"/>
      <c r="BA10" s="166"/>
      <c r="BB10" s="166"/>
      <c r="BC10" s="166"/>
      <c r="BD10" s="166"/>
      <c r="BE10" s="166"/>
      <c r="BF10" s="166"/>
      <c r="BG10" s="166"/>
      <c r="BH10" s="166"/>
      <c r="BI10" s="165"/>
      <c r="BJ10" s="165"/>
      <c r="BK10" s="165"/>
      <c r="BL10" s="165"/>
      <c r="BM10" s="165"/>
      <c r="BN10" s="165"/>
      <c r="BO10" s="165"/>
      <c r="BP10" s="165"/>
      <c r="BQ10" s="166"/>
      <c r="BR10" s="165"/>
      <c r="BS10" s="124">
        <v>12</v>
      </c>
      <c r="BT10" s="174"/>
    </row>
    <row r="11" spans="1:72" ht="14.25" hidden="1" customHeight="1" x14ac:dyDescent="0.2">
      <c r="A11" s="92">
        <v>13</v>
      </c>
      <c r="B11" s="235" t="s">
        <v>73</v>
      </c>
      <c r="C11" s="236" t="s">
        <v>74</v>
      </c>
      <c r="D11" s="235" t="s">
        <v>85</v>
      </c>
      <c r="E11" s="125" t="s">
        <v>54</v>
      </c>
      <c r="F11" s="181" t="s">
        <v>55</v>
      </c>
      <c r="G11" s="181" t="s">
        <v>76</v>
      </c>
      <c r="H11" s="181" t="s">
        <v>77</v>
      </c>
      <c r="I11" s="181"/>
      <c r="J11" s="178">
        <v>450</v>
      </c>
      <c r="K11" s="182"/>
      <c r="L11" s="182" t="s">
        <v>58</v>
      </c>
      <c r="M11" s="178" t="s">
        <v>78</v>
      </c>
      <c r="N11" s="178">
        <v>0</v>
      </c>
      <c r="O11" s="178" t="s">
        <v>60</v>
      </c>
      <c r="P11" s="178" t="s">
        <v>79</v>
      </c>
      <c r="Q11" s="179"/>
      <c r="R11" s="179"/>
      <c r="S11" s="180">
        <v>180</v>
      </c>
      <c r="T11" s="179"/>
      <c r="U11" s="179"/>
      <c r="V11" s="167"/>
      <c r="W11" s="168"/>
      <c r="Y11" s="167"/>
      <c r="Z11" s="169" t="s">
        <v>63</v>
      </c>
      <c r="AA11" s="166">
        <v>1</v>
      </c>
      <c r="AB11" s="166">
        <v>0</v>
      </c>
      <c r="AC11" s="165"/>
      <c r="AD11" s="165" t="s">
        <v>80</v>
      </c>
      <c r="AE11" s="165"/>
      <c r="AF11" s="165"/>
      <c r="AG11" s="165"/>
      <c r="AH11" s="165"/>
      <c r="AI11" s="165">
        <v>20</v>
      </c>
      <c r="AJ11" s="165">
        <v>73</v>
      </c>
      <c r="AK11" s="166"/>
      <c r="AL11" s="166" t="s">
        <v>81</v>
      </c>
      <c r="AM11" s="166"/>
      <c r="AN11" s="166"/>
      <c r="AO11" s="166"/>
      <c r="AP11" s="166"/>
      <c r="AQ11" s="166">
        <v>54</v>
      </c>
      <c r="AR11" s="166">
        <v>90</v>
      </c>
      <c r="AS11" s="165"/>
      <c r="AT11" s="165"/>
      <c r="AU11" s="165"/>
      <c r="AV11" s="165"/>
      <c r="AW11" s="165"/>
      <c r="AX11" s="165"/>
      <c r="AY11" s="165"/>
      <c r="AZ11" s="165"/>
      <c r="BA11" s="166"/>
      <c r="BB11" s="166"/>
      <c r="BC11" s="166"/>
      <c r="BD11" s="166"/>
      <c r="BE11" s="166"/>
      <c r="BF11" s="166"/>
      <c r="BG11" s="166"/>
      <c r="BH11" s="166"/>
      <c r="BI11" s="165"/>
      <c r="BJ11" s="165"/>
      <c r="BK11" s="165"/>
      <c r="BL11" s="165"/>
      <c r="BM11" s="165"/>
      <c r="BN11" s="165"/>
      <c r="BO11" s="165"/>
      <c r="BP11" s="165"/>
      <c r="BQ11" s="166"/>
      <c r="BR11" s="165"/>
      <c r="BS11" s="124">
        <v>13</v>
      </c>
      <c r="BT11" s="174"/>
    </row>
    <row r="12" spans="1:72" ht="14.25" hidden="1" customHeight="1" x14ac:dyDescent="0.2">
      <c r="A12" s="92">
        <v>14</v>
      </c>
      <c r="B12" s="235" t="s">
        <v>73</v>
      </c>
      <c r="C12" s="236" t="s">
        <v>74</v>
      </c>
      <c r="D12" s="235" t="s">
        <v>86</v>
      </c>
      <c r="E12" s="125" t="s">
        <v>54</v>
      </c>
      <c r="F12" s="181" t="s">
        <v>55</v>
      </c>
      <c r="G12" s="181" t="s">
        <v>76</v>
      </c>
      <c r="H12" s="181" t="s">
        <v>77</v>
      </c>
      <c r="I12" s="181"/>
      <c r="J12" s="178">
        <v>450</v>
      </c>
      <c r="K12" s="182"/>
      <c r="L12" s="182" t="s">
        <v>58</v>
      </c>
      <c r="M12" s="178" t="s">
        <v>78</v>
      </c>
      <c r="N12" s="178">
        <v>0</v>
      </c>
      <c r="O12" s="178" t="s">
        <v>60</v>
      </c>
      <c r="P12" s="178" t="s">
        <v>79</v>
      </c>
      <c r="Q12" s="179"/>
      <c r="R12" s="179"/>
      <c r="S12" s="180">
        <v>180</v>
      </c>
      <c r="T12" s="179"/>
      <c r="U12" s="179"/>
      <c r="V12" s="167"/>
      <c r="W12" s="168"/>
      <c r="Y12" s="167"/>
      <c r="Z12" s="169" t="s">
        <v>63</v>
      </c>
      <c r="AA12" s="166">
        <v>1</v>
      </c>
      <c r="AB12" s="166">
        <v>0</v>
      </c>
      <c r="AC12" s="165"/>
      <c r="AD12" s="165" t="s">
        <v>80</v>
      </c>
      <c r="AE12" s="165"/>
      <c r="AF12" s="165"/>
      <c r="AG12" s="165"/>
      <c r="AH12" s="165"/>
      <c r="AI12" s="165">
        <v>20</v>
      </c>
      <c r="AJ12" s="165">
        <v>73</v>
      </c>
      <c r="AK12" s="166"/>
      <c r="AL12" s="166" t="s">
        <v>81</v>
      </c>
      <c r="AM12" s="166"/>
      <c r="AN12" s="166"/>
      <c r="AO12" s="166"/>
      <c r="AP12" s="166"/>
      <c r="AQ12" s="166">
        <v>54</v>
      </c>
      <c r="AR12" s="166">
        <v>90</v>
      </c>
      <c r="AS12" s="165"/>
      <c r="AT12" s="165"/>
      <c r="AU12" s="165"/>
      <c r="AV12" s="165"/>
      <c r="AW12" s="165"/>
      <c r="AX12" s="165"/>
      <c r="AY12" s="165"/>
      <c r="AZ12" s="165"/>
      <c r="BA12" s="166"/>
      <c r="BB12" s="166"/>
      <c r="BC12" s="166"/>
      <c r="BD12" s="166"/>
      <c r="BE12" s="166"/>
      <c r="BF12" s="166"/>
      <c r="BG12" s="166"/>
      <c r="BH12" s="166"/>
      <c r="BI12" s="165"/>
      <c r="BJ12" s="165"/>
      <c r="BK12" s="165"/>
      <c r="BL12" s="165"/>
      <c r="BM12" s="165"/>
      <c r="BN12" s="165"/>
      <c r="BO12" s="165"/>
      <c r="BP12" s="165"/>
      <c r="BQ12" s="166"/>
      <c r="BR12" s="165"/>
      <c r="BS12" s="124">
        <v>14</v>
      </c>
      <c r="BT12" s="174"/>
    </row>
    <row r="13" spans="1:72" ht="14.25" hidden="1" customHeight="1" x14ac:dyDescent="0.2">
      <c r="A13" s="92">
        <v>15</v>
      </c>
      <c r="B13" s="235" t="s">
        <v>73</v>
      </c>
      <c r="C13" s="236" t="s">
        <v>74</v>
      </c>
      <c r="D13" s="235" t="s">
        <v>87</v>
      </c>
      <c r="E13" s="125" t="s">
        <v>54</v>
      </c>
      <c r="F13" s="181" t="s">
        <v>55</v>
      </c>
      <c r="G13" s="181" t="s">
        <v>76</v>
      </c>
      <c r="H13" s="181" t="s">
        <v>77</v>
      </c>
      <c r="I13" s="181"/>
      <c r="J13" s="178">
        <v>600</v>
      </c>
      <c r="K13" s="182"/>
      <c r="L13" s="182" t="s">
        <v>58</v>
      </c>
      <c r="M13" s="178" t="s">
        <v>78</v>
      </c>
      <c r="N13" s="178">
        <v>0</v>
      </c>
      <c r="O13" s="178" t="s">
        <v>60</v>
      </c>
      <c r="P13" s="178" t="s">
        <v>79</v>
      </c>
      <c r="Q13" s="179"/>
      <c r="R13" s="179"/>
      <c r="S13" s="180">
        <v>180</v>
      </c>
      <c r="T13" s="179"/>
      <c r="U13" s="179"/>
      <c r="V13" s="167"/>
      <c r="W13" s="168"/>
      <c r="Y13" s="167"/>
      <c r="Z13" s="169" t="s">
        <v>63</v>
      </c>
      <c r="AA13" s="166">
        <v>1</v>
      </c>
      <c r="AB13" s="166">
        <v>0</v>
      </c>
      <c r="AC13" s="165"/>
      <c r="AD13" s="165" t="s">
        <v>80</v>
      </c>
      <c r="AE13" s="165"/>
      <c r="AF13" s="165"/>
      <c r="AG13" s="165"/>
      <c r="AH13" s="165"/>
      <c r="AI13" s="165">
        <v>20</v>
      </c>
      <c r="AJ13" s="165">
        <v>73</v>
      </c>
      <c r="AK13" s="166"/>
      <c r="AL13" s="166" t="s">
        <v>81</v>
      </c>
      <c r="AM13" s="166"/>
      <c r="AN13" s="166"/>
      <c r="AO13" s="166"/>
      <c r="AP13" s="166"/>
      <c r="AQ13" s="166">
        <v>54</v>
      </c>
      <c r="AR13" s="166">
        <v>90</v>
      </c>
      <c r="AS13" s="165"/>
      <c r="AT13" s="165"/>
      <c r="AU13" s="165"/>
      <c r="AV13" s="165"/>
      <c r="AW13" s="165"/>
      <c r="AX13" s="165"/>
      <c r="AY13" s="165"/>
      <c r="AZ13" s="165"/>
      <c r="BA13" s="166"/>
      <c r="BB13" s="166"/>
      <c r="BC13" s="166"/>
      <c r="BD13" s="166"/>
      <c r="BE13" s="166"/>
      <c r="BF13" s="166"/>
      <c r="BG13" s="166"/>
      <c r="BH13" s="166"/>
      <c r="BI13" s="165"/>
      <c r="BJ13" s="165"/>
      <c r="BK13" s="165"/>
      <c r="BL13" s="165"/>
      <c r="BM13" s="165"/>
      <c r="BN13" s="165"/>
      <c r="BO13" s="165"/>
      <c r="BP13" s="165"/>
      <c r="BQ13" s="166"/>
      <c r="BR13" s="165"/>
      <c r="BS13" s="124">
        <v>15</v>
      </c>
      <c r="BT13" s="174"/>
    </row>
    <row r="14" spans="1:72" ht="14.25" hidden="1" customHeight="1" x14ac:dyDescent="0.2">
      <c r="A14" s="92">
        <v>16</v>
      </c>
      <c r="B14" s="235" t="s">
        <v>73</v>
      </c>
      <c r="C14" s="236" t="s">
        <v>74</v>
      </c>
      <c r="D14" s="235" t="s">
        <v>88</v>
      </c>
      <c r="E14" s="125" t="s">
        <v>54</v>
      </c>
      <c r="F14" s="181" t="s">
        <v>55</v>
      </c>
      <c r="G14" s="181" t="s">
        <v>76</v>
      </c>
      <c r="H14" s="181" t="s">
        <v>77</v>
      </c>
      <c r="I14" s="181"/>
      <c r="J14" s="178">
        <v>600</v>
      </c>
      <c r="K14" s="182"/>
      <c r="L14" s="182" t="s">
        <v>58</v>
      </c>
      <c r="M14" s="178" t="s">
        <v>78</v>
      </c>
      <c r="N14" s="178">
        <v>0</v>
      </c>
      <c r="O14" s="178" t="s">
        <v>60</v>
      </c>
      <c r="P14" s="178" t="s">
        <v>79</v>
      </c>
      <c r="Q14" s="179"/>
      <c r="R14" s="179"/>
      <c r="S14" s="180">
        <v>180</v>
      </c>
      <c r="T14" s="179"/>
      <c r="U14" s="179"/>
      <c r="V14" s="167"/>
      <c r="W14" s="168"/>
      <c r="Y14" s="167"/>
      <c r="Z14" s="169" t="s">
        <v>63</v>
      </c>
      <c r="AA14" s="166">
        <v>1</v>
      </c>
      <c r="AB14" s="166">
        <v>0</v>
      </c>
      <c r="AC14" s="165"/>
      <c r="AD14" s="165" t="s">
        <v>80</v>
      </c>
      <c r="AE14" s="165"/>
      <c r="AF14" s="165"/>
      <c r="AG14" s="165"/>
      <c r="AH14" s="165"/>
      <c r="AI14" s="165">
        <v>20</v>
      </c>
      <c r="AJ14" s="165">
        <v>73</v>
      </c>
      <c r="AK14" s="166"/>
      <c r="AL14" s="166" t="s">
        <v>81</v>
      </c>
      <c r="AM14" s="166"/>
      <c r="AN14" s="166"/>
      <c r="AO14" s="166"/>
      <c r="AP14" s="166"/>
      <c r="AQ14" s="166">
        <v>54</v>
      </c>
      <c r="AR14" s="166">
        <v>90</v>
      </c>
      <c r="AS14" s="165"/>
      <c r="AT14" s="165"/>
      <c r="AU14" s="165"/>
      <c r="AV14" s="165"/>
      <c r="AW14" s="165"/>
      <c r="AX14" s="165"/>
      <c r="AY14" s="165"/>
      <c r="AZ14" s="165"/>
      <c r="BA14" s="166"/>
      <c r="BB14" s="166"/>
      <c r="BC14" s="166"/>
      <c r="BD14" s="166"/>
      <c r="BE14" s="166"/>
      <c r="BF14" s="166"/>
      <c r="BG14" s="166"/>
      <c r="BH14" s="166"/>
      <c r="BI14" s="165"/>
      <c r="BJ14" s="165"/>
      <c r="BK14" s="165"/>
      <c r="BL14" s="165"/>
      <c r="BM14" s="165"/>
      <c r="BN14" s="165"/>
      <c r="BO14" s="165"/>
      <c r="BP14" s="165"/>
      <c r="BQ14" s="166"/>
      <c r="BR14" s="165"/>
      <c r="BS14" s="124">
        <v>16</v>
      </c>
      <c r="BT14" s="174"/>
    </row>
    <row r="15" spans="1:72" ht="14.25" hidden="1" customHeight="1" x14ac:dyDescent="0.2">
      <c r="A15" s="92">
        <v>17</v>
      </c>
      <c r="B15" s="235" t="s">
        <v>73</v>
      </c>
      <c r="C15" s="236" t="s">
        <v>74</v>
      </c>
      <c r="D15" s="235" t="s">
        <v>89</v>
      </c>
      <c r="E15" s="125" t="s">
        <v>54</v>
      </c>
      <c r="F15" s="181" t="s">
        <v>55</v>
      </c>
      <c r="G15" s="181" t="s">
        <v>76</v>
      </c>
      <c r="H15" s="181" t="s">
        <v>77</v>
      </c>
      <c r="I15" s="181"/>
      <c r="J15" s="178">
        <v>600</v>
      </c>
      <c r="K15" s="182"/>
      <c r="L15" s="182" t="s">
        <v>58</v>
      </c>
      <c r="M15" s="178" t="s">
        <v>78</v>
      </c>
      <c r="N15" s="178">
        <v>0</v>
      </c>
      <c r="O15" s="178" t="s">
        <v>60</v>
      </c>
      <c r="P15" s="178" t="s">
        <v>79</v>
      </c>
      <c r="Q15" s="179"/>
      <c r="R15" s="179"/>
      <c r="S15" s="180">
        <v>180</v>
      </c>
      <c r="T15" s="179"/>
      <c r="U15" s="179"/>
      <c r="V15" s="167"/>
      <c r="W15" s="168"/>
      <c r="Y15" s="167"/>
      <c r="Z15" s="169" t="s">
        <v>63</v>
      </c>
      <c r="AA15" s="166">
        <v>1</v>
      </c>
      <c r="AB15" s="166">
        <v>0</v>
      </c>
      <c r="AC15" s="165"/>
      <c r="AD15" s="165" t="s">
        <v>80</v>
      </c>
      <c r="AE15" s="165"/>
      <c r="AF15" s="165"/>
      <c r="AG15" s="165"/>
      <c r="AH15" s="165"/>
      <c r="AI15" s="165">
        <v>20</v>
      </c>
      <c r="AJ15" s="165">
        <v>73</v>
      </c>
      <c r="AK15" s="166"/>
      <c r="AL15" s="166" t="s">
        <v>81</v>
      </c>
      <c r="AM15" s="166"/>
      <c r="AN15" s="166"/>
      <c r="AO15" s="166"/>
      <c r="AP15" s="166"/>
      <c r="AQ15" s="166">
        <v>54</v>
      </c>
      <c r="AR15" s="166">
        <v>90</v>
      </c>
      <c r="AS15" s="165"/>
      <c r="AT15" s="165"/>
      <c r="AU15" s="165"/>
      <c r="AV15" s="165"/>
      <c r="AW15" s="165"/>
      <c r="AX15" s="165"/>
      <c r="AY15" s="165"/>
      <c r="AZ15" s="165"/>
      <c r="BA15" s="166"/>
      <c r="BB15" s="166"/>
      <c r="BC15" s="166"/>
      <c r="BD15" s="166"/>
      <c r="BE15" s="166"/>
      <c r="BF15" s="166"/>
      <c r="BG15" s="166"/>
      <c r="BH15" s="166"/>
      <c r="BI15" s="165"/>
      <c r="BJ15" s="165"/>
      <c r="BK15" s="165"/>
      <c r="BL15" s="165"/>
      <c r="BM15" s="165"/>
      <c r="BN15" s="165"/>
      <c r="BO15" s="165"/>
      <c r="BP15" s="165"/>
      <c r="BQ15" s="166"/>
      <c r="BR15" s="165"/>
      <c r="BS15" s="124">
        <v>17</v>
      </c>
      <c r="BT15" s="174"/>
    </row>
    <row r="16" spans="1:72" ht="14.25" hidden="1" customHeight="1" x14ac:dyDescent="0.2">
      <c r="A16" s="92">
        <v>18</v>
      </c>
      <c r="B16" s="235" t="s">
        <v>73</v>
      </c>
      <c r="C16" s="236" t="s">
        <v>74</v>
      </c>
      <c r="D16" s="235" t="s">
        <v>90</v>
      </c>
      <c r="E16" s="125" t="s">
        <v>54</v>
      </c>
      <c r="F16" s="181" t="s">
        <v>55</v>
      </c>
      <c r="G16" s="181" t="s">
        <v>76</v>
      </c>
      <c r="H16" s="181" t="s">
        <v>91</v>
      </c>
      <c r="I16" s="181"/>
      <c r="J16" s="178">
        <v>600</v>
      </c>
      <c r="K16" s="182"/>
      <c r="L16" s="182" t="s">
        <v>58</v>
      </c>
      <c r="M16" s="178" t="s">
        <v>78</v>
      </c>
      <c r="N16" s="178" t="s">
        <v>67</v>
      </c>
      <c r="O16" s="178" t="s">
        <v>60</v>
      </c>
      <c r="P16" s="178" t="s">
        <v>92</v>
      </c>
      <c r="Q16" s="179"/>
      <c r="R16" s="179"/>
      <c r="S16" s="180">
        <v>180</v>
      </c>
      <c r="T16" s="179"/>
      <c r="U16" s="179"/>
      <c r="V16" s="167"/>
      <c r="W16" s="168"/>
      <c r="Y16" s="167"/>
      <c r="Z16" s="169" t="s">
        <v>63</v>
      </c>
      <c r="AA16" s="166">
        <v>1</v>
      </c>
      <c r="AB16" s="166">
        <v>0</v>
      </c>
      <c r="AC16" s="165"/>
      <c r="AD16" s="165" t="s">
        <v>80</v>
      </c>
      <c r="AE16" s="165"/>
      <c r="AF16" s="165"/>
      <c r="AG16" s="165"/>
      <c r="AH16" s="165"/>
      <c r="AI16" s="165">
        <v>58</v>
      </c>
      <c r="AJ16" s="165">
        <v>68</v>
      </c>
      <c r="AK16" s="166"/>
      <c r="AL16" s="166" t="s">
        <v>81</v>
      </c>
      <c r="AM16" s="166"/>
      <c r="AN16" s="166"/>
      <c r="AO16" s="166"/>
      <c r="AP16" s="166"/>
      <c r="AQ16" s="166">
        <v>46</v>
      </c>
      <c r="AR16" s="166">
        <v>65</v>
      </c>
      <c r="AS16" s="165"/>
      <c r="AT16" s="165"/>
      <c r="AU16" s="165"/>
      <c r="AV16" s="165"/>
      <c r="AW16" s="165"/>
      <c r="AX16" s="165"/>
      <c r="AY16" s="165"/>
      <c r="AZ16" s="165"/>
      <c r="BA16" s="166"/>
      <c r="BB16" s="166"/>
      <c r="BC16" s="166"/>
      <c r="BD16" s="166"/>
      <c r="BE16" s="166"/>
      <c r="BF16" s="166"/>
      <c r="BG16" s="166"/>
      <c r="BH16" s="166"/>
      <c r="BI16" s="165"/>
      <c r="BJ16" s="165"/>
      <c r="BK16" s="165"/>
      <c r="BL16" s="165"/>
      <c r="BM16" s="165"/>
      <c r="BN16" s="165"/>
      <c r="BO16" s="165"/>
      <c r="BP16" s="165"/>
      <c r="BQ16" s="166"/>
      <c r="BR16" s="165"/>
      <c r="BS16" s="124">
        <v>18</v>
      </c>
      <c r="BT16" s="174"/>
    </row>
    <row r="17" spans="1:72" ht="14.25" hidden="1" customHeight="1" x14ac:dyDescent="0.2">
      <c r="A17" s="92">
        <v>19</v>
      </c>
      <c r="B17" s="235" t="s">
        <v>73</v>
      </c>
      <c r="C17" s="236" t="s">
        <v>74</v>
      </c>
      <c r="D17" s="235" t="s">
        <v>93</v>
      </c>
      <c r="E17" s="125" t="s">
        <v>54</v>
      </c>
      <c r="F17" s="181" t="s">
        <v>55</v>
      </c>
      <c r="G17" s="181" t="s">
        <v>76</v>
      </c>
      <c r="H17" s="181" t="s">
        <v>91</v>
      </c>
      <c r="I17" s="181"/>
      <c r="J17" s="178">
        <v>600</v>
      </c>
      <c r="K17" s="182"/>
      <c r="L17" s="182" t="s">
        <v>58</v>
      </c>
      <c r="M17" s="178" t="s">
        <v>78</v>
      </c>
      <c r="N17" s="178" t="s">
        <v>67</v>
      </c>
      <c r="O17" s="178" t="s">
        <v>60</v>
      </c>
      <c r="P17" s="178" t="s">
        <v>92</v>
      </c>
      <c r="Q17" s="179"/>
      <c r="R17" s="179"/>
      <c r="S17" s="180">
        <v>180</v>
      </c>
      <c r="T17" s="179"/>
      <c r="U17" s="179"/>
      <c r="V17" s="167"/>
      <c r="W17" s="168"/>
      <c r="Y17" s="167"/>
      <c r="Z17" s="169" t="s">
        <v>63</v>
      </c>
      <c r="AA17" s="166">
        <v>1</v>
      </c>
      <c r="AB17" s="166">
        <v>0</v>
      </c>
      <c r="AC17" s="165"/>
      <c r="AD17" s="165" t="s">
        <v>80</v>
      </c>
      <c r="AE17" s="165"/>
      <c r="AF17" s="165"/>
      <c r="AG17" s="165"/>
      <c r="AH17" s="165"/>
      <c r="AI17" s="165">
        <v>58</v>
      </c>
      <c r="AJ17" s="165">
        <v>68</v>
      </c>
      <c r="AK17" s="166"/>
      <c r="AL17" s="166" t="s">
        <v>81</v>
      </c>
      <c r="AM17" s="166"/>
      <c r="AN17" s="166"/>
      <c r="AO17" s="166"/>
      <c r="AP17" s="166"/>
      <c r="AQ17" s="166">
        <v>46</v>
      </c>
      <c r="AR17" s="166">
        <v>65</v>
      </c>
      <c r="AS17" s="165"/>
      <c r="AT17" s="165"/>
      <c r="AU17" s="165"/>
      <c r="AV17" s="165"/>
      <c r="AW17" s="165"/>
      <c r="AX17" s="165"/>
      <c r="AY17" s="165"/>
      <c r="AZ17" s="165"/>
      <c r="BA17" s="166"/>
      <c r="BB17" s="166"/>
      <c r="BC17" s="166"/>
      <c r="BD17" s="166"/>
      <c r="BE17" s="166"/>
      <c r="BF17" s="166"/>
      <c r="BG17" s="166"/>
      <c r="BH17" s="166"/>
      <c r="BI17" s="165"/>
      <c r="BJ17" s="165"/>
      <c r="BK17" s="165"/>
      <c r="BL17" s="165"/>
      <c r="BM17" s="165"/>
      <c r="BN17" s="165"/>
      <c r="BO17" s="165"/>
      <c r="BP17" s="165"/>
      <c r="BQ17" s="166"/>
      <c r="BR17" s="165"/>
      <c r="BS17" s="124">
        <v>19</v>
      </c>
      <c r="BT17" s="174"/>
    </row>
    <row r="18" spans="1:72" ht="14.25" hidden="1" customHeight="1" x14ac:dyDescent="0.2">
      <c r="A18" s="92">
        <v>20</v>
      </c>
      <c r="B18" s="235" t="s">
        <v>73</v>
      </c>
      <c r="C18" s="236" t="s">
        <v>74</v>
      </c>
      <c r="D18" s="235" t="s">
        <v>94</v>
      </c>
      <c r="E18" s="125" t="s">
        <v>54</v>
      </c>
      <c r="F18" s="181" t="s">
        <v>55</v>
      </c>
      <c r="G18" s="181" t="s">
        <v>76</v>
      </c>
      <c r="H18" s="181" t="s">
        <v>91</v>
      </c>
      <c r="I18" s="181"/>
      <c r="J18" s="178">
        <v>600</v>
      </c>
      <c r="K18" s="182"/>
      <c r="L18" s="182" t="s">
        <v>58</v>
      </c>
      <c r="M18" s="178" t="s">
        <v>78</v>
      </c>
      <c r="N18" s="178" t="s">
        <v>67</v>
      </c>
      <c r="O18" s="178" t="s">
        <v>60</v>
      </c>
      <c r="P18" s="178" t="s">
        <v>92</v>
      </c>
      <c r="Q18" s="179"/>
      <c r="R18" s="179"/>
      <c r="S18" s="180">
        <v>180</v>
      </c>
      <c r="T18" s="179"/>
      <c r="U18" s="179"/>
      <c r="V18" s="167"/>
      <c r="W18" s="168"/>
      <c r="Y18" s="167"/>
      <c r="Z18" s="169" t="s">
        <v>63</v>
      </c>
      <c r="AA18" s="166">
        <v>1</v>
      </c>
      <c r="AB18" s="166">
        <v>0</v>
      </c>
      <c r="AC18" s="165"/>
      <c r="AD18" s="165" t="s">
        <v>80</v>
      </c>
      <c r="AE18" s="165"/>
      <c r="AF18" s="165"/>
      <c r="AG18" s="165"/>
      <c r="AH18" s="165"/>
      <c r="AI18" s="165">
        <v>58</v>
      </c>
      <c r="AJ18" s="165">
        <v>68</v>
      </c>
      <c r="AK18" s="166"/>
      <c r="AL18" s="166" t="s">
        <v>81</v>
      </c>
      <c r="AM18" s="166"/>
      <c r="AN18" s="166"/>
      <c r="AO18" s="166"/>
      <c r="AP18" s="166"/>
      <c r="AQ18" s="166">
        <v>46</v>
      </c>
      <c r="AR18" s="166">
        <v>65</v>
      </c>
      <c r="AS18" s="165"/>
      <c r="AT18" s="165"/>
      <c r="AU18" s="165"/>
      <c r="AV18" s="165"/>
      <c r="AW18" s="165"/>
      <c r="AX18" s="165"/>
      <c r="AY18" s="165"/>
      <c r="AZ18" s="165"/>
      <c r="BA18" s="166"/>
      <c r="BB18" s="166"/>
      <c r="BC18" s="166"/>
      <c r="BD18" s="166"/>
      <c r="BE18" s="166"/>
      <c r="BF18" s="166"/>
      <c r="BG18" s="166"/>
      <c r="BH18" s="166"/>
      <c r="BI18" s="165"/>
      <c r="BJ18" s="165"/>
      <c r="BK18" s="165"/>
      <c r="BL18" s="165"/>
      <c r="BM18" s="165"/>
      <c r="BN18" s="165"/>
      <c r="BO18" s="165"/>
      <c r="BP18" s="165"/>
      <c r="BQ18" s="166"/>
      <c r="BR18" s="165"/>
      <c r="BS18" s="124">
        <v>20</v>
      </c>
      <c r="BT18" s="174"/>
    </row>
    <row r="19" spans="1:72" ht="14.25" hidden="1" customHeight="1" x14ac:dyDescent="0.2">
      <c r="A19" s="92">
        <v>21</v>
      </c>
      <c r="B19" s="235" t="s">
        <v>73</v>
      </c>
      <c r="C19" s="236" t="s">
        <v>74</v>
      </c>
      <c r="D19" s="235" t="s">
        <v>95</v>
      </c>
      <c r="E19" s="125" t="s">
        <v>54</v>
      </c>
      <c r="F19" s="181" t="s">
        <v>55</v>
      </c>
      <c r="G19" s="181" t="s">
        <v>76</v>
      </c>
      <c r="H19" s="181" t="s">
        <v>91</v>
      </c>
      <c r="I19" s="181"/>
      <c r="J19" s="178">
        <v>600</v>
      </c>
      <c r="K19" s="182"/>
      <c r="L19" s="182" t="s">
        <v>58</v>
      </c>
      <c r="M19" s="178" t="s">
        <v>78</v>
      </c>
      <c r="N19" s="178" t="s">
        <v>67</v>
      </c>
      <c r="O19" s="178" t="s">
        <v>60</v>
      </c>
      <c r="P19" s="178" t="s">
        <v>92</v>
      </c>
      <c r="Q19" s="179"/>
      <c r="R19" s="179"/>
      <c r="S19" s="180">
        <v>180</v>
      </c>
      <c r="T19" s="179"/>
      <c r="U19" s="179"/>
      <c r="V19" s="167"/>
      <c r="W19" s="168"/>
      <c r="Y19" s="167"/>
      <c r="Z19" s="169" t="s">
        <v>63</v>
      </c>
      <c r="AA19" s="166">
        <v>1</v>
      </c>
      <c r="AB19" s="166">
        <v>0</v>
      </c>
      <c r="AC19" s="165"/>
      <c r="AD19" s="165" t="s">
        <v>80</v>
      </c>
      <c r="AE19" s="165"/>
      <c r="AF19" s="165"/>
      <c r="AG19" s="165"/>
      <c r="AH19" s="165"/>
      <c r="AI19" s="165">
        <v>58</v>
      </c>
      <c r="AJ19" s="165">
        <v>68</v>
      </c>
      <c r="AK19" s="166"/>
      <c r="AL19" s="166" t="s">
        <v>81</v>
      </c>
      <c r="AM19" s="166"/>
      <c r="AN19" s="166"/>
      <c r="AO19" s="166"/>
      <c r="AP19" s="166"/>
      <c r="AQ19" s="166">
        <v>46</v>
      </c>
      <c r="AR19" s="166">
        <v>65</v>
      </c>
      <c r="AS19" s="165"/>
      <c r="AT19" s="165"/>
      <c r="AU19" s="165"/>
      <c r="AV19" s="165"/>
      <c r="AW19" s="165"/>
      <c r="AX19" s="165"/>
      <c r="AY19" s="165"/>
      <c r="AZ19" s="165"/>
      <c r="BA19" s="166"/>
      <c r="BB19" s="166"/>
      <c r="BC19" s="166"/>
      <c r="BD19" s="166"/>
      <c r="BE19" s="166"/>
      <c r="BF19" s="166"/>
      <c r="BG19" s="166"/>
      <c r="BH19" s="166"/>
      <c r="BI19" s="165"/>
      <c r="BJ19" s="165"/>
      <c r="BK19" s="165"/>
      <c r="BL19" s="165"/>
      <c r="BM19" s="165"/>
      <c r="BN19" s="165"/>
      <c r="BO19" s="165"/>
      <c r="BP19" s="165"/>
      <c r="BQ19" s="166"/>
      <c r="BR19" s="165"/>
      <c r="BS19" s="124">
        <v>21</v>
      </c>
      <c r="BT19" s="174"/>
    </row>
    <row r="20" spans="1:72" ht="14.25" hidden="1" customHeight="1" x14ac:dyDescent="0.2">
      <c r="A20" s="92">
        <v>22</v>
      </c>
      <c r="B20" s="235" t="s">
        <v>73</v>
      </c>
      <c r="C20" s="236" t="s">
        <v>74</v>
      </c>
      <c r="D20" s="235" t="s">
        <v>96</v>
      </c>
      <c r="E20" s="125" t="s">
        <v>54</v>
      </c>
      <c r="F20" s="181" t="s">
        <v>55</v>
      </c>
      <c r="G20" s="181" t="s">
        <v>76</v>
      </c>
      <c r="H20" s="181" t="s">
        <v>91</v>
      </c>
      <c r="I20" s="181"/>
      <c r="J20" s="178">
        <v>600</v>
      </c>
      <c r="K20" s="182"/>
      <c r="L20" s="182" t="s">
        <v>58</v>
      </c>
      <c r="M20" s="178" t="s">
        <v>78</v>
      </c>
      <c r="N20" s="178" t="s">
        <v>67</v>
      </c>
      <c r="O20" s="178" t="s">
        <v>60</v>
      </c>
      <c r="P20" s="178" t="s">
        <v>92</v>
      </c>
      <c r="Q20" s="179"/>
      <c r="R20" s="179"/>
      <c r="S20" s="180">
        <v>180</v>
      </c>
      <c r="T20" s="179"/>
      <c r="U20" s="179"/>
      <c r="V20" s="167"/>
      <c r="W20" s="168"/>
      <c r="Y20" s="167"/>
      <c r="Z20" s="169" t="s">
        <v>63</v>
      </c>
      <c r="AA20" s="166">
        <v>1</v>
      </c>
      <c r="AB20" s="166">
        <v>0</v>
      </c>
      <c r="AC20" s="165"/>
      <c r="AD20" s="165" t="s">
        <v>80</v>
      </c>
      <c r="AE20" s="165"/>
      <c r="AF20" s="165"/>
      <c r="AG20" s="165"/>
      <c r="AH20" s="165"/>
      <c r="AI20" s="165">
        <v>58</v>
      </c>
      <c r="AJ20" s="165">
        <v>68</v>
      </c>
      <c r="AK20" s="166"/>
      <c r="AL20" s="166" t="s">
        <v>81</v>
      </c>
      <c r="AM20" s="166"/>
      <c r="AN20" s="166"/>
      <c r="AO20" s="166"/>
      <c r="AP20" s="166"/>
      <c r="AQ20" s="166">
        <v>46</v>
      </c>
      <c r="AR20" s="166">
        <v>65</v>
      </c>
      <c r="AS20" s="165"/>
      <c r="AT20" s="165"/>
      <c r="AU20" s="165"/>
      <c r="AV20" s="165"/>
      <c r="AW20" s="165"/>
      <c r="AX20" s="165"/>
      <c r="AY20" s="165"/>
      <c r="AZ20" s="165"/>
      <c r="BA20" s="166"/>
      <c r="BB20" s="166"/>
      <c r="BC20" s="166"/>
      <c r="BD20" s="166"/>
      <c r="BE20" s="166"/>
      <c r="BF20" s="166"/>
      <c r="BG20" s="166"/>
      <c r="BH20" s="166"/>
      <c r="BI20" s="165"/>
      <c r="BJ20" s="165"/>
      <c r="BK20" s="165"/>
      <c r="BL20" s="165"/>
      <c r="BM20" s="165"/>
      <c r="BN20" s="165"/>
      <c r="BO20" s="165"/>
      <c r="BP20" s="165"/>
      <c r="BQ20" s="166"/>
      <c r="BR20" s="165"/>
      <c r="BS20" s="124">
        <v>22</v>
      </c>
      <c r="BT20" s="174"/>
    </row>
    <row r="21" spans="1:72" ht="14.25" hidden="1" customHeight="1" x14ac:dyDescent="0.2">
      <c r="A21" s="92">
        <v>23</v>
      </c>
      <c r="B21" s="235" t="s">
        <v>73</v>
      </c>
      <c r="C21" s="236" t="s">
        <v>74</v>
      </c>
      <c r="D21" s="235" t="s">
        <v>97</v>
      </c>
      <c r="E21" s="125" t="s">
        <v>54</v>
      </c>
      <c r="F21" s="181" t="s">
        <v>55</v>
      </c>
      <c r="G21" s="181" t="s">
        <v>56</v>
      </c>
      <c r="H21" s="181" t="s">
        <v>91</v>
      </c>
      <c r="I21" s="181"/>
      <c r="J21" s="178">
        <v>600</v>
      </c>
      <c r="K21" s="182"/>
      <c r="L21" s="182" t="s">
        <v>58</v>
      </c>
      <c r="M21" s="178" t="s">
        <v>78</v>
      </c>
      <c r="N21" s="178" t="s">
        <v>67</v>
      </c>
      <c r="O21" s="178" t="s">
        <v>60</v>
      </c>
      <c r="P21" s="178" t="s">
        <v>92</v>
      </c>
      <c r="Q21" s="179"/>
      <c r="R21" s="179"/>
      <c r="S21" s="180">
        <v>180</v>
      </c>
      <c r="T21" s="179"/>
      <c r="U21" s="179"/>
      <c r="V21" s="167"/>
      <c r="W21" s="168"/>
      <c r="Y21" s="167"/>
      <c r="Z21" s="169" t="s">
        <v>63</v>
      </c>
      <c r="AA21" s="166">
        <v>5</v>
      </c>
      <c r="AB21" s="166">
        <v>0</v>
      </c>
      <c r="AC21" s="165"/>
      <c r="AD21" s="165" t="s">
        <v>80</v>
      </c>
      <c r="AE21" s="165"/>
      <c r="AF21" s="165"/>
      <c r="AG21" s="165"/>
      <c r="AH21" s="165"/>
      <c r="AI21" s="165">
        <v>58</v>
      </c>
      <c r="AJ21" s="165">
        <v>68</v>
      </c>
      <c r="AK21" s="166"/>
      <c r="AL21" s="166" t="s">
        <v>81</v>
      </c>
      <c r="AM21" s="166"/>
      <c r="AN21" s="166"/>
      <c r="AO21" s="166"/>
      <c r="AP21" s="166"/>
      <c r="AQ21" s="166">
        <v>46</v>
      </c>
      <c r="AR21" s="166">
        <v>65</v>
      </c>
      <c r="AS21" s="165"/>
      <c r="AT21" s="165"/>
      <c r="AU21" s="165"/>
      <c r="AV21" s="165"/>
      <c r="AW21" s="165"/>
      <c r="AX21" s="165"/>
      <c r="AY21" s="165"/>
      <c r="AZ21" s="165"/>
      <c r="BA21" s="166"/>
      <c r="BB21" s="166"/>
      <c r="BC21" s="166"/>
      <c r="BD21" s="166"/>
      <c r="BE21" s="166"/>
      <c r="BF21" s="166"/>
      <c r="BG21" s="166"/>
      <c r="BH21" s="166"/>
      <c r="BI21" s="165"/>
      <c r="BJ21" s="165"/>
      <c r="BK21" s="165"/>
      <c r="BL21" s="165"/>
      <c r="BM21" s="165"/>
      <c r="BN21" s="165"/>
      <c r="BO21" s="165"/>
      <c r="BP21" s="165"/>
      <c r="BQ21" s="166"/>
      <c r="BR21" s="165"/>
      <c r="BS21" s="124">
        <v>23</v>
      </c>
      <c r="BT21" s="174"/>
    </row>
    <row r="22" spans="1:72" ht="14.25" hidden="1" customHeight="1" x14ac:dyDescent="0.2">
      <c r="A22" s="92">
        <v>24</v>
      </c>
      <c r="B22" s="235" t="s">
        <v>73</v>
      </c>
      <c r="C22" s="236" t="s">
        <v>74</v>
      </c>
      <c r="D22" s="235" t="s">
        <v>90</v>
      </c>
      <c r="E22" s="125" t="s">
        <v>54</v>
      </c>
      <c r="F22" s="181" t="s">
        <v>71</v>
      </c>
      <c r="G22" s="181" t="s">
        <v>76</v>
      </c>
      <c r="H22" s="181" t="s">
        <v>98</v>
      </c>
      <c r="I22" s="181"/>
      <c r="J22" s="178">
        <v>600</v>
      </c>
      <c r="K22" s="182"/>
      <c r="L22" s="182" t="s">
        <v>58</v>
      </c>
      <c r="M22" s="178" t="s">
        <v>78</v>
      </c>
      <c r="N22" s="178" t="s">
        <v>67</v>
      </c>
      <c r="O22" s="178" t="s">
        <v>60</v>
      </c>
      <c r="P22" s="178" t="s">
        <v>92</v>
      </c>
      <c r="Q22" s="179"/>
      <c r="R22" s="179"/>
      <c r="S22" s="180">
        <v>180</v>
      </c>
      <c r="T22" s="179"/>
      <c r="U22" s="179"/>
      <c r="V22" s="167"/>
      <c r="W22" s="168"/>
      <c r="Y22" s="167"/>
      <c r="Z22" s="169" t="s">
        <v>63</v>
      </c>
      <c r="AA22" s="166">
        <v>1</v>
      </c>
      <c r="AB22" s="166">
        <v>0</v>
      </c>
      <c r="AC22" s="165"/>
      <c r="AD22" s="165" t="s">
        <v>80</v>
      </c>
      <c r="AE22" s="165"/>
      <c r="AF22" s="165"/>
      <c r="AG22" s="165"/>
      <c r="AH22" s="165"/>
      <c r="AI22" s="165">
        <v>58</v>
      </c>
      <c r="AJ22" s="165">
        <v>68</v>
      </c>
      <c r="AK22" s="166"/>
      <c r="AL22" s="166" t="s">
        <v>81</v>
      </c>
      <c r="AM22" s="166"/>
      <c r="AN22" s="166"/>
      <c r="AO22" s="166"/>
      <c r="AP22" s="166"/>
      <c r="AQ22" s="166">
        <v>46</v>
      </c>
      <c r="AR22" s="166">
        <v>65</v>
      </c>
      <c r="AS22" s="165"/>
      <c r="AT22" s="165"/>
      <c r="AU22" s="165"/>
      <c r="AV22" s="165"/>
      <c r="AW22" s="165"/>
      <c r="AX22" s="165"/>
      <c r="AY22" s="165"/>
      <c r="AZ22" s="165"/>
      <c r="BA22" s="166"/>
      <c r="BB22" s="166"/>
      <c r="BC22" s="166"/>
      <c r="BD22" s="166"/>
      <c r="BE22" s="166"/>
      <c r="BF22" s="166"/>
      <c r="BG22" s="166"/>
      <c r="BH22" s="166"/>
      <c r="BI22" s="165"/>
      <c r="BJ22" s="165"/>
      <c r="BK22" s="165"/>
      <c r="BL22" s="165"/>
      <c r="BM22" s="165"/>
      <c r="BN22" s="165"/>
      <c r="BO22" s="165"/>
      <c r="BP22" s="165"/>
      <c r="BQ22" s="166"/>
      <c r="BR22" s="165"/>
      <c r="BS22" s="124">
        <v>24</v>
      </c>
      <c r="BT22" s="174"/>
    </row>
    <row r="23" spans="1:72" ht="14.25" hidden="1" customHeight="1" x14ac:dyDescent="0.2">
      <c r="A23" s="92">
        <v>25</v>
      </c>
      <c r="B23" s="235" t="s">
        <v>73</v>
      </c>
      <c r="C23" s="236" t="s">
        <v>74</v>
      </c>
      <c r="D23" s="235" t="s">
        <v>93</v>
      </c>
      <c r="E23" s="125" t="s">
        <v>54</v>
      </c>
      <c r="F23" s="181" t="s">
        <v>71</v>
      </c>
      <c r="G23" s="181" t="s">
        <v>76</v>
      </c>
      <c r="H23" s="181" t="s">
        <v>98</v>
      </c>
      <c r="I23" s="181"/>
      <c r="J23" s="178">
        <v>600</v>
      </c>
      <c r="K23" s="182"/>
      <c r="L23" s="182" t="s">
        <v>58</v>
      </c>
      <c r="M23" s="178" t="s">
        <v>78</v>
      </c>
      <c r="N23" s="178" t="s">
        <v>67</v>
      </c>
      <c r="O23" s="178" t="s">
        <v>60</v>
      </c>
      <c r="P23" s="178" t="s">
        <v>92</v>
      </c>
      <c r="Q23" s="179"/>
      <c r="R23" s="179"/>
      <c r="S23" s="180">
        <v>180</v>
      </c>
      <c r="T23" s="179"/>
      <c r="U23" s="179"/>
      <c r="V23" s="167"/>
      <c r="W23" s="168"/>
      <c r="Y23" s="167"/>
      <c r="Z23" s="169" t="s">
        <v>63</v>
      </c>
      <c r="AA23" s="166">
        <v>1</v>
      </c>
      <c r="AB23" s="166">
        <v>0</v>
      </c>
      <c r="AC23" s="165"/>
      <c r="AD23" s="165" t="s">
        <v>80</v>
      </c>
      <c r="AE23" s="165"/>
      <c r="AF23" s="165"/>
      <c r="AG23" s="165"/>
      <c r="AH23" s="165"/>
      <c r="AI23" s="165">
        <v>58</v>
      </c>
      <c r="AJ23" s="165">
        <v>68</v>
      </c>
      <c r="AK23" s="166"/>
      <c r="AL23" s="166" t="s">
        <v>81</v>
      </c>
      <c r="AM23" s="166"/>
      <c r="AN23" s="166"/>
      <c r="AO23" s="166"/>
      <c r="AP23" s="166"/>
      <c r="AQ23" s="166">
        <v>46</v>
      </c>
      <c r="AR23" s="166">
        <v>65</v>
      </c>
      <c r="AS23" s="165"/>
      <c r="AT23" s="165"/>
      <c r="AU23" s="165"/>
      <c r="AV23" s="165"/>
      <c r="AW23" s="165"/>
      <c r="AX23" s="165"/>
      <c r="AY23" s="165"/>
      <c r="AZ23" s="165"/>
      <c r="BA23" s="166"/>
      <c r="BB23" s="166"/>
      <c r="BC23" s="166"/>
      <c r="BD23" s="166"/>
      <c r="BE23" s="166"/>
      <c r="BF23" s="166"/>
      <c r="BG23" s="166"/>
      <c r="BH23" s="166"/>
      <c r="BI23" s="165"/>
      <c r="BJ23" s="165"/>
      <c r="BK23" s="165"/>
      <c r="BL23" s="165"/>
      <c r="BM23" s="165"/>
      <c r="BN23" s="165"/>
      <c r="BO23" s="165"/>
      <c r="BP23" s="165"/>
      <c r="BQ23" s="166"/>
      <c r="BR23" s="165"/>
      <c r="BS23" s="124">
        <v>25</v>
      </c>
      <c r="BT23" s="174"/>
    </row>
    <row r="24" spans="1:72" ht="14.25" hidden="1" customHeight="1" x14ac:dyDescent="0.2">
      <c r="A24" s="92">
        <v>26</v>
      </c>
      <c r="B24" s="235" t="s">
        <v>73</v>
      </c>
      <c r="C24" s="236" t="s">
        <v>74</v>
      </c>
      <c r="D24" s="235" t="s">
        <v>94</v>
      </c>
      <c r="E24" s="125" t="s">
        <v>54</v>
      </c>
      <c r="F24" s="181" t="s">
        <v>71</v>
      </c>
      <c r="G24" s="181" t="s">
        <v>76</v>
      </c>
      <c r="H24" s="181" t="s">
        <v>98</v>
      </c>
      <c r="I24" s="181"/>
      <c r="J24" s="178">
        <v>600</v>
      </c>
      <c r="K24" s="182"/>
      <c r="L24" s="182" t="s">
        <v>58</v>
      </c>
      <c r="M24" s="178" t="s">
        <v>78</v>
      </c>
      <c r="N24" s="178" t="s">
        <v>67</v>
      </c>
      <c r="O24" s="178" t="s">
        <v>60</v>
      </c>
      <c r="P24" s="178" t="s">
        <v>92</v>
      </c>
      <c r="Q24" s="179"/>
      <c r="R24" s="179"/>
      <c r="S24" s="180">
        <v>180</v>
      </c>
      <c r="T24" s="179"/>
      <c r="U24" s="179"/>
      <c r="V24" s="167"/>
      <c r="W24" s="168"/>
      <c r="Y24" s="167"/>
      <c r="Z24" s="169" t="s">
        <v>63</v>
      </c>
      <c r="AA24" s="166">
        <v>1</v>
      </c>
      <c r="AB24" s="166">
        <v>0</v>
      </c>
      <c r="AC24" s="165"/>
      <c r="AD24" s="165" t="s">
        <v>80</v>
      </c>
      <c r="AE24" s="165"/>
      <c r="AF24" s="165"/>
      <c r="AG24" s="165"/>
      <c r="AH24" s="165"/>
      <c r="AI24" s="165">
        <v>58</v>
      </c>
      <c r="AJ24" s="165">
        <v>68</v>
      </c>
      <c r="AK24" s="166"/>
      <c r="AL24" s="166" t="s">
        <v>81</v>
      </c>
      <c r="AM24" s="166"/>
      <c r="AN24" s="166"/>
      <c r="AO24" s="166"/>
      <c r="AP24" s="166"/>
      <c r="AQ24" s="166">
        <v>46</v>
      </c>
      <c r="AR24" s="166">
        <v>65</v>
      </c>
      <c r="AS24" s="165"/>
      <c r="AT24" s="165"/>
      <c r="AU24" s="165"/>
      <c r="AV24" s="165"/>
      <c r="AW24" s="165"/>
      <c r="AX24" s="165"/>
      <c r="AY24" s="165"/>
      <c r="AZ24" s="165"/>
      <c r="BA24" s="166"/>
      <c r="BB24" s="166"/>
      <c r="BC24" s="166"/>
      <c r="BD24" s="166"/>
      <c r="BE24" s="166"/>
      <c r="BF24" s="166"/>
      <c r="BG24" s="166"/>
      <c r="BH24" s="166"/>
      <c r="BI24" s="165"/>
      <c r="BJ24" s="165"/>
      <c r="BK24" s="165"/>
      <c r="BL24" s="165"/>
      <c r="BM24" s="165"/>
      <c r="BN24" s="165"/>
      <c r="BO24" s="165"/>
      <c r="BP24" s="165"/>
      <c r="BQ24" s="166"/>
      <c r="BR24" s="165"/>
      <c r="BS24" s="124">
        <v>26</v>
      </c>
      <c r="BT24" s="174"/>
    </row>
    <row r="25" spans="1:72" ht="14.25" hidden="1" customHeight="1" x14ac:dyDescent="0.2">
      <c r="A25" s="92">
        <v>27</v>
      </c>
      <c r="B25" s="235" t="s">
        <v>73</v>
      </c>
      <c r="C25" s="236" t="s">
        <v>74</v>
      </c>
      <c r="D25" s="235" t="s">
        <v>95</v>
      </c>
      <c r="E25" s="125" t="s">
        <v>54</v>
      </c>
      <c r="F25" s="181" t="s">
        <v>71</v>
      </c>
      <c r="G25" s="181" t="s">
        <v>76</v>
      </c>
      <c r="H25" s="181" t="s">
        <v>98</v>
      </c>
      <c r="I25" s="181"/>
      <c r="J25" s="178">
        <v>600</v>
      </c>
      <c r="K25" s="182"/>
      <c r="L25" s="182" t="s">
        <v>58</v>
      </c>
      <c r="M25" s="178" t="s">
        <v>78</v>
      </c>
      <c r="N25" s="178" t="s">
        <v>67</v>
      </c>
      <c r="O25" s="178" t="s">
        <v>60</v>
      </c>
      <c r="P25" s="178" t="s">
        <v>92</v>
      </c>
      <c r="Q25" s="179"/>
      <c r="R25" s="179"/>
      <c r="S25" s="180">
        <v>180</v>
      </c>
      <c r="T25" s="179"/>
      <c r="U25" s="179"/>
      <c r="V25" s="167"/>
      <c r="W25" s="168"/>
      <c r="Y25" s="167"/>
      <c r="Z25" s="169" t="s">
        <v>63</v>
      </c>
      <c r="AA25" s="166">
        <v>1</v>
      </c>
      <c r="AB25" s="166">
        <v>0</v>
      </c>
      <c r="AC25" s="165"/>
      <c r="AD25" s="165" t="s">
        <v>80</v>
      </c>
      <c r="AE25" s="165"/>
      <c r="AF25" s="165"/>
      <c r="AG25" s="165"/>
      <c r="AH25" s="165"/>
      <c r="AI25" s="165">
        <v>58</v>
      </c>
      <c r="AJ25" s="165">
        <v>68</v>
      </c>
      <c r="AK25" s="166"/>
      <c r="AL25" s="166" t="s">
        <v>81</v>
      </c>
      <c r="AM25" s="166"/>
      <c r="AN25" s="166"/>
      <c r="AO25" s="166"/>
      <c r="AP25" s="166"/>
      <c r="AQ25" s="166">
        <v>46</v>
      </c>
      <c r="AR25" s="166">
        <v>65</v>
      </c>
      <c r="AS25" s="165"/>
      <c r="AT25" s="165"/>
      <c r="AU25" s="165"/>
      <c r="AV25" s="165"/>
      <c r="AW25" s="165"/>
      <c r="AX25" s="165"/>
      <c r="AY25" s="165"/>
      <c r="AZ25" s="165"/>
      <c r="BA25" s="166"/>
      <c r="BB25" s="166"/>
      <c r="BC25" s="166"/>
      <c r="BD25" s="166"/>
      <c r="BE25" s="166"/>
      <c r="BF25" s="166"/>
      <c r="BG25" s="166"/>
      <c r="BH25" s="166"/>
      <c r="BI25" s="165"/>
      <c r="BJ25" s="165"/>
      <c r="BK25" s="165"/>
      <c r="BL25" s="165"/>
      <c r="BM25" s="165"/>
      <c r="BN25" s="165"/>
      <c r="BO25" s="165"/>
      <c r="BP25" s="165"/>
      <c r="BQ25" s="166"/>
      <c r="BR25" s="165"/>
      <c r="BS25" s="124">
        <v>27</v>
      </c>
      <c r="BT25" s="174"/>
    </row>
    <row r="26" spans="1:72" ht="14.25" hidden="1" customHeight="1" x14ac:dyDescent="0.2">
      <c r="A26" s="92">
        <v>28</v>
      </c>
      <c r="B26" s="235" t="s">
        <v>73</v>
      </c>
      <c r="C26" s="236" t="s">
        <v>74</v>
      </c>
      <c r="D26" s="235" t="s">
        <v>96</v>
      </c>
      <c r="E26" s="125" t="s">
        <v>54</v>
      </c>
      <c r="F26" s="181" t="s">
        <v>71</v>
      </c>
      <c r="G26" s="181" t="s">
        <v>76</v>
      </c>
      <c r="H26" s="181" t="s">
        <v>98</v>
      </c>
      <c r="I26" s="181"/>
      <c r="J26" s="178">
        <v>600</v>
      </c>
      <c r="K26" s="182"/>
      <c r="L26" s="182" t="s">
        <v>58</v>
      </c>
      <c r="M26" s="178" t="s">
        <v>78</v>
      </c>
      <c r="N26" s="178" t="s">
        <v>67</v>
      </c>
      <c r="O26" s="178" t="s">
        <v>60</v>
      </c>
      <c r="P26" s="178" t="s">
        <v>92</v>
      </c>
      <c r="Q26" s="179"/>
      <c r="R26" s="179"/>
      <c r="S26" s="180">
        <v>180</v>
      </c>
      <c r="T26" s="179"/>
      <c r="U26" s="179"/>
      <c r="V26" s="167"/>
      <c r="W26" s="168"/>
      <c r="Y26" s="167"/>
      <c r="Z26" s="169" t="s">
        <v>63</v>
      </c>
      <c r="AA26" s="166">
        <v>1</v>
      </c>
      <c r="AB26" s="166">
        <v>0</v>
      </c>
      <c r="AC26" s="165"/>
      <c r="AD26" s="165" t="s">
        <v>80</v>
      </c>
      <c r="AE26" s="165"/>
      <c r="AF26" s="165"/>
      <c r="AG26" s="165"/>
      <c r="AH26" s="165"/>
      <c r="AI26" s="165">
        <v>58</v>
      </c>
      <c r="AJ26" s="165">
        <v>68</v>
      </c>
      <c r="AK26" s="166"/>
      <c r="AL26" s="166" t="s">
        <v>81</v>
      </c>
      <c r="AM26" s="166"/>
      <c r="AN26" s="166"/>
      <c r="AO26" s="166"/>
      <c r="AP26" s="166"/>
      <c r="AQ26" s="166">
        <v>46</v>
      </c>
      <c r="AR26" s="166">
        <v>65</v>
      </c>
      <c r="AS26" s="165"/>
      <c r="AT26" s="165"/>
      <c r="AU26" s="165"/>
      <c r="AV26" s="165"/>
      <c r="AW26" s="165"/>
      <c r="AX26" s="165"/>
      <c r="AY26" s="165"/>
      <c r="AZ26" s="165"/>
      <c r="BA26" s="166"/>
      <c r="BB26" s="166"/>
      <c r="BC26" s="166"/>
      <c r="BD26" s="166"/>
      <c r="BE26" s="166"/>
      <c r="BF26" s="166"/>
      <c r="BG26" s="166"/>
      <c r="BH26" s="166"/>
      <c r="BI26" s="165"/>
      <c r="BJ26" s="165"/>
      <c r="BK26" s="165"/>
      <c r="BL26" s="165"/>
      <c r="BM26" s="165"/>
      <c r="BN26" s="165"/>
      <c r="BO26" s="165"/>
      <c r="BP26" s="165"/>
      <c r="BQ26" s="166"/>
      <c r="BR26" s="165"/>
      <c r="BS26" s="124">
        <v>28</v>
      </c>
      <c r="BT26" s="174"/>
    </row>
    <row r="27" spans="1:72" ht="14.25" hidden="1" customHeight="1" x14ac:dyDescent="0.2">
      <c r="A27" s="92">
        <v>29</v>
      </c>
      <c r="B27" s="235" t="s">
        <v>73</v>
      </c>
      <c r="C27" s="236" t="s">
        <v>74</v>
      </c>
      <c r="D27" s="235" t="s">
        <v>97</v>
      </c>
      <c r="E27" s="125" t="s">
        <v>54</v>
      </c>
      <c r="F27" s="181" t="s">
        <v>71</v>
      </c>
      <c r="G27" s="181" t="s">
        <v>56</v>
      </c>
      <c r="H27" s="181" t="s">
        <v>98</v>
      </c>
      <c r="I27" s="181"/>
      <c r="J27" s="178">
        <v>600</v>
      </c>
      <c r="K27" s="182"/>
      <c r="L27" s="182" t="s">
        <v>58</v>
      </c>
      <c r="M27" s="178" t="s">
        <v>78</v>
      </c>
      <c r="N27" s="178" t="s">
        <v>67</v>
      </c>
      <c r="O27" s="178" t="s">
        <v>60</v>
      </c>
      <c r="P27" s="178" t="s">
        <v>92</v>
      </c>
      <c r="Q27" s="179"/>
      <c r="R27" s="179"/>
      <c r="S27" s="180">
        <v>180</v>
      </c>
      <c r="T27" s="179"/>
      <c r="U27" s="179"/>
      <c r="V27" s="167"/>
      <c r="W27" s="168"/>
      <c r="Y27" s="167"/>
      <c r="Z27" s="169" t="s">
        <v>63</v>
      </c>
      <c r="AA27" s="166">
        <v>5</v>
      </c>
      <c r="AB27" s="166">
        <v>0</v>
      </c>
      <c r="AC27" s="165"/>
      <c r="AD27" s="165" t="s">
        <v>80</v>
      </c>
      <c r="AE27" s="165"/>
      <c r="AF27" s="165"/>
      <c r="AG27" s="165"/>
      <c r="AH27" s="165"/>
      <c r="AI27" s="165">
        <v>58</v>
      </c>
      <c r="AJ27" s="165">
        <v>68</v>
      </c>
      <c r="AK27" s="166"/>
      <c r="AL27" s="166" t="s">
        <v>81</v>
      </c>
      <c r="AM27" s="166"/>
      <c r="AN27" s="166"/>
      <c r="AO27" s="166"/>
      <c r="AP27" s="166"/>
      <c r="AQ27" s="166">
        <v>46</v>
      </c>
      <c r="AR27" s="166">
        <v>65</v>
      </c>
      <c r="AS27" s="165"/>
      <c r="AT27" s="165"/>
      <c r="AU27" s="165"/>
      <c r="AV27" s="165"/>
      <c r="AW27" s="165"/>
      <c r="AX27" s="165"/>
      <c r="AY27" s="165"/>
      <c r="AZ27" s="165"/>
      <c r="BA27" s="166"/>
      <c r="BB27" s="166"/>
      <c r="BC27" s="166"/>
      <c r="BD27" s="166"/>
      <c r="BE27" s="166"/>
      <c r="BF27" s="166"/>
      <c r="BG27" s="166"/>
      <c r="BH27" s="166"/>
      <c r="BI27" s="165"/>
      <c r="BJ27" s="165"/>
      <c r="BK27" s="165"/>
      <c r="BL27" s="165"/>
      <c r="BM27" s="165"/>
      <c r="BN27" s="165"/>
      <c r="BO27" s="165"/>
      <c r="BP27" s="165"/>
      <c r="BQ27" s="166"/>
      <c r="BR27" s="165"/>
      <c r="BS27" s="124">
        <v>29</v>
      </c>
      <c r="BT27" s="174"/>
    </row>
    <row r="28" spans="1:72" ht="14.25" hidden="1" customHeight="1" x14ac:dyDescent="0.2">
      <c r="A28" s="92">
        <v>51</v>
      </c>
      <c r="B28" s="233" t="s">
        <v>99</v>
      </c>
      <c r="C28" s="237" t="s">
        <v>100</v>
      </c>
      <c r="D28" s="233" t="s">
        <v>101</v>
      </c>
      <c r="E28" s="125" t="s">
        <v>102</v>
      </c>
      <c r="F28" s="181" t="s">
        <v>103</v>
      </c>
      <c r="G28" s="181" t="s">
        <v>56</v>
      </c>
      <c r="H28" s="181" t="s">
        <v>104</v>
      </c>
      <c r="I28" s="181"/>
      <c r="J28" s="178">
        <v>15</v>
      </c>
      <c r="K28" s="182"/>
      <c r="L28" s="182" t="s">
        <v>58</v>
      </c>
      <c r="M28" s="178" t="s">
        <v>59</v>
      </c>
      <c r="N28" s="178">
        <v>0</v>
      </c>
      <c r="O28" s="178" t="s">
        <v>60</v>
      </c>
      <c r="P28" s="178" t="s">
        <v>79</v>
      </c>
      <c r="Q28" s="179"/>
      <c r="R28" s="179" t="s">
        <v>105</v>
      </c>
      <c r="S28" s="180"/>
      <c r="T28" s="179"/>
      <c r="U28" s="179"/>
      <c r="V28" s="167" t="s">
        <v>62</v>
      </c>
      <c r="W28" s="168">
        <v>12</v>
      </c>
      <c r="Y28" s="167"/>
      <c r="Z28" s="169" t="s">
        <v>63</v>
      </c>
      <c r="AA28" s="166">
        <v>6</v>
      </c>
      <c r="AB28" s="166">
        <v>0</v>
      </c>
      <c r="AC28" s="165"/>
      <c r="AD28" s="165" t="s">
        <v>80</v>
      </c>
      <c r="AE28" s="165"/>
      <c r="AF28" s="165"/>
      <c r="AG28" s="165"/>
      <c r="AH28" s="165"/>
      <c r="AI28" s="165">
        <v>25</v>
      </c>
      <c r="AJ28" s="165">
        <v>37</v>
      </c>
      <c r="AK28" s="166"/>
      <c r="AL28" s="166"/>
      <c r="AM28" s="166"/>
      <c r="AN28" s="166"/>
      <c r="AO28" s="166"/>
      <c r="AP28" s="166"/>
      <c r="AQ28" s="166"/>
      <c r="AR28" s="166"/>
      <c r="AS28" s="165"/>
      <c r="AT28" s="165"/>
      <c r="AU28" s="165"/>
      <c r="AV28" s="165"/>
      <c r="AW28" s="165"/>
      <c r="AX28" s="165"/>
      <c r="AY28" s="165"/>
      <c r="AZ28" s="165"/>
      <c r="BA28" s="166"/>
      <c r="BB28" s="166"/>
      <c r="BC28" s="166"/>
      <c r="BD28" s="166"/>
      <c r="BE28" s="166"/>
      <c r="BF28" s="166"/>
      <c r="BG28" s="166"/>
      <c r="BH28" s="166"/>
      <c r="BI28" s="165"/>
      <c r="BJ28" s="165"/>
      <c r="BK28" s="165"/>
      <c r="BL28" s="165"/>
      <c r="BM28" s="165"/>
      <c r="BN28" s="165"/>
      <c r="BO28" s="165"/>
      <c r="BP28" s="165"/>
      <c r="BQ28" s="166"/>
      <c r="BR28" s="165"/>
      <c r="BS28" s="124">
        <v>51</v>
      </c>
      <c r="BT28" s="174"/>
    </row>
    <row r="29" spans="1:72" ht="14.25" hidden="1" customHeight="1" x14ac:dyDescent="0.2">
      <c r="A29" s="92">
        <v>52</v>
      </c>
      <c r="B29" s="233" t="s">
        <v>99</v>
      </c>
      <c r="C29" s="237" t="s">
        <v>100</v>
      </c>
      <c r="D29" s="233" t="s">
        <v>106</v>
      </c>
      <c r="E29" s="125" t="s">
        <v>102</v>
      </c>
      <c r="F29" s="181" t="s">
        <v>103</v>
      </c>
      <c r="G29" s="181" t="s">
        <v>56</v>
      </c>
      <c r="H29" s="181" t="s">
        <v>104</v>
      </c>
      <c r="I29" s="181"/>
      <c r="J29" s="178">
        <v>7.4999999999999997E-2</v>
      </c>
      <c r="K29" s="182"/>
      <c r="L29" s="182" t="s">
        <v>107</v>
      </c>
      <c r="M29" s="178" t="s">
        <v>78</v>
      </c>
      <c r="N29" s="178">
        <v>0</v>
      </c>
      <c r="O29" s="178" t="s">
        <v>60</v>
      </c>
      <c r="P29" s="178" t="s">
        <v>79</v>
      </c>
      <c r="Q29" s="179"/>
      <c r="R29" s="179"/>
      <c r="S29" s="180">
        <v>1</v>
      </c>
      <c r="T29" s="179"/>
      <c r="U29" s="179"/>
      <c r="V29" s="167" t="s">
        <v>62</v>
      </c>
      <c r="W29" s="168">
        <v>12</v>
      </c>
      <c r="Y29" s="167"/>
      <c r="Z29" s="169" t="s">
        <v>63</v>
      </c>
      <c r="AA29" s="166">
        <v>6</v>
      </c>
      <c r="AB29" s="166">
        <v>0</v>
      </c>
      <c r="AC29" s="165"/>
      <c r="AD29" s="165" t="s">
        <v>80</v>
      </c>
      <c r="AE29" s="165"/>
      <c r="AF29" s="165"/>
      <c r="AG29" s="165"/>
      <c r="AH29" s="165"/>
      <c r="AI29" s="165">
        <v>25</v>
      </c>
      <c r="AJ29" s="165">
        <v>37</v>
      </c>
      <c r="AK29" s="166"/>
      <c r="AL29" s="166"/>
      <c r="AM29" s="166"/>
      <c r="AN29" s="166"/>
      <c r="AO29" s="166"/>
      <c r="AP29" s="166"/>
      <c r="AQ29" s="166"/>
      <c r="AR29" s="166"/>
      <c r="AS29" s="165"/>
      <c r="AT29" s="165"/>
      <c r="AU29" s="165"/>
      <c r="AV29" s="165"/>
      <c r="AW29" s="165"/>
      <c r="AX29" s="165"/>
      <c r="AY29" s="165"/>
      <c r="AZ29" s="165"/>
      <c r="BA29" s="166"/>
      <c r="BB29" s="166"/>
      <c r="BC29" s="166"/>
      <c r="BD29" s="166"/>
      <c r="BE29" s="166"/>
      <c r="BF29" s="166"/>
      <c r="BG29" s="166"/>
      <c r="BH29" s="166"/>
      <c r="BI29" s="165"/>
      <c r="BJ29" s="165"/>
      <c r="BK29" s="165"/>
      <c r="BL29" s="165"/>
      <c r="BM29" s="165"/>
      <c r="BN29" s="165"/>
      <c r="BO29" s="165"/>
      <c r="BP29" s="165"/>
      <c r="BQ29" s="166"/>
      <c r="BR29" s="165"/>
      <c r="BS29" s="124">
        <v>52</v>
      </c>
      <c r="BT29" s="174"/>
    </row>
    <row r="30" spans="1:72" ht="14.25" hidden="1" customHeight="1" x14ac:dyDescent="0.2">
      <c r="A30" s="92">
        <v>61</v>
      </c>
      <c r="B30" s="238" t="s">
        <v>108</v>
      </c>
      <c r="C30" s="236" t="s">
        <v>109</v>
      </c>
      <c r="D30" s="238" t="s">
        <v>110</v>
      </c>
      <c r="E30" s="17" t="s">
        <v>111</v>
      </c>
      <c r="F30" s="18" t="s">
        <v>103</v>
      </c>
      <c r="G30" s="181" t="s">
        <v>56</v>
      </c>
      <c r="H30" s="18" t="s">
        <v>57</v>
      </c>
      <c r="I30" s="18"/>
      <c r="J30" s="138">
        <v>10</v>
      </c>
      <c r="K30" s="139">
        <f t="shared" ref="K30:K47" si="0">J30*0.9135071</f>
        <v>9.1350709999999999</v>
      </c>
      <c r="L30" s="139" t="s">
        <v>58</v>
      </c>
      <c r="M30" s="138" t="s">
        <v>59</v>
      </c>
      <c r="N30" s="138">
        <v>0</v>
      </c>
      <c r="O30" s="138" t="s">
        <v>60</v>
      </c>
      <c r="P30" s="138" t="s">
        <v>112</v>
      </c>
      <c r="Q30" s="176" t="s">
        <v>113</v>
      </c>
      <c r="R30" s="176" t="s">
        <v>114</v>
      </c>
      <c r="S30" s="176"/>
      <c r="T30" s="177">
        <v>120</v>
      </c>
      <c r="U30" s="177"/>
      <c r="V30" s="19" t="s">
        <v>62</v>
      </c>
      <c r="W30" s="75">
        <v>10</v>
      </c>
      <c r="X30" s="108">
        <v>4</v>
      </c>
      <c r="Y30" s="73" t="s">
        <v>115</v>
      </c>
      <c r="Z30" s="82" t="s">
        <v>63</v>
      </c>
      <c r="AA30" s="20">
        <v>12</v>
      </c>
      <c r="AB30" s="20">
        <v>6</v>
      </c>
      <c r="AC30" s="21">
        <v>34</v>
      </c>
      <c r="AD30" s="21" t="s">
        <v>80</v>
      </c>
      <c r="AE30" s="21" t="s">
        <v>116</v>
      </c>
      <c r="AF30" s="21">
        <v>2.6</v>
      </c>
      <c r="AG30" s="21" t="s">
        <v>80</v>
      </c>
      <c r="AH30" s="21" t="s">
        <v>117</v>
      </c>
      <c r="AI30" s="21"/>
      <c r="AJ30" s="21"/>
      <c r="AK30" s="20">
        <v>65</v>
      </c>
      <c r="AL30" s="20" t="s">
        <v>81</v>
      </c>
      <c r="AM30" s="20" t="s">
        <v>118</v>
      </c>
      <c r="AN30" s="20">
        <v>3.8</v>
      </c>
      <c r="AO30" s="20" t="s">
        <v>81</v>
      </c>
      <c r="AP30" s="20" t="s">
        <v>117</v>
      </c>
      <c r="AQ30" s="20"/>
      <c r="AR30" s="20"/>
      <c r="AS30" s="21">
        <v>174</v>
      </c>
      <c r="AT30" s="21" t="s">
        <v>119</v>
      </c>
      <c r="AU30" s="21" t="s">
        <v>118</v>
      </c>
      <c r="AV30" s="21">
        <v>2.9</v>
      </c>
      <c r="AW30" s="21" t="s">
        <v>119</v>
      </c>
      <c r="AX30" s="21" t="s">
        <v>117</v>
      </c>
      <c r="AY30" s="21"/>
      <c r="AZ30" s="21"/>
      <c r="BA30" s="20"/>
      <c r="BB30" s="20"/>
      <c r="BC30" s="20"/>
      <c r="BD30" s="20"/>
      <c r="BE30" s="20"/>
      <c r="BF30" s="20"/>
      <c r="BG30" s="20"/>
      <c r="BH30" s="20"/>
      <c r="BI30" s="165">
        <v>1.78</v>
      </c>
      <c r="BJ30" s="165" t="s">
        <v>120</v>
      </c>
      <c r="BK30" s="165" t="s">
        <v>118</v>
      </c>
      <c r="BL30" s="165">
        <v>0.06</v>
      </c>
      <c r="BM30" s="165" t="s">
        <v>120</v>
      </c>
      <c r="BN30" s="165" t="s">
        <v>117</v>
      </c>
      <c r="BO30" s="165"/>
      <c r="BP30" s="165"/>
      <c r="BQ30" s="20" t="s">
        <v>121</v>
      </c>
      <c r="BR30" s="71"/>
      <c r="BS30" s="124">
        <v>61</v>
      </c>
      <c r="BT30" s="174"/>
    </row>
    <row r="31" spans="1:72" ht="14.25" hidden="1" customHeight="1" x14ac:dyDescent="0.2">
      <c r="A31" s="92">
        <v>62</v>
      </c>
      <c r="B31" s="238" t="s">
        <v>108</v>
      </c>
      <c r="C31" s="236" t="s">
        <v>109</v>
      </c>
      <c r="D31" s="238" t="s">
        <v>122</v>
      </c>
      <c r="E31" s="17" t="s">
        <v>111</v>
      </c>
      <c r="F31" s="18" t="s">
        <v>103</v>
      </c>
      <c r="G31" s="181" t="s">
        <v>56</v>
      </c>
      <c r="H31" s="18" t="s">
        <v>57</v>
      </c>
      <c r="I31" s="18"/>
      <c r="J31" s="138">
        <v>10</v>
      </c>
      <c r="K31" s="139">
        <f t="shared" si="0"/>
        <v>9.1350709999999999</v>
      </c>
      <c r="L31" s="139" t="s">
        <v>58</v>
      </c>
      <c r="M31" s="138" t="s">
        <v>59</v>
      </c>
      <c r="N31" s="138">
        <v>0</v>
      </c>
      <c r="O31" s="138" t="s">
        <v>60</v>
      </c>
      <c r="P31" s="138" t="s">
        <v>112</v>
      </c>
      <c r="Q31" s="176" t="s">
        <v>113</v>
      </c>
      <c r="R31" s="176" t="s">
        <v>114</v>
      </c>
      <c r="S31" s="176"/>
      <c r="T31" s="177">
        <v>120</v>
      </c>
      <c r="U31" s="177"/>
      <c r="V31" s="19" t="s">
        <v>62</v>
      </c>
      <c r="W31" s="75">
        <v>10</v>
      </c>
      <c r="X31" s="108">
        <v>4</v>
      </c>
      <c r="Y31" s="73" t="s">
        <v>115</v>
      </c>
      <c r="Z31" s="82" t="s">
        <v>63</v>
      </c>
      <c r="AA31" s="20">
        <v>6</v>
      </c>
      <c r="AB31" s="20">
        <v>4</v>
      </c>
      <c r="AC31" s="21">
        <v>52</v>
      </c>
      <c r="AD31" s="21" t="s">
        <v>80</v>
      </c>
      <c r="AE31" s="21" t="s">
        <v>116</v>
      </c>
      <c r="AF31" s="21">
        <v>4.5</v>
      </c>
      <c r="AG31" s="21" t="s">
        <v>80</v>
      </c>
      <c r="AH31" s="21" t="s">
        <v>117</v>
      </c>
      <c r="AI31" s="21"/>
      <c r="AJ31" s="21"/>
      <c r="AK31" s="20">
        <v>66</v>
      </c>
      <c r="AL31" s="20" t="s">
        <v>81</v>
      </c>
      <c r="AM31" s="20" t="s">
        <v>118</v>
      </c>
      <c r="AN31" s="20">
        <v>4.9000000000000004</v>
      </c>
      <c r="AO31" s="20" t="s">
        <v>81</v>
      </c>
      <c r="AP31" s="20" t="s">
        <v>117</v>
      </c>
      <c r="AQ31" s="20"/>
      <c r="AR31" s="20"/>
      <c r="AS31" s="21">
        <v>161</v>
      </c>
      <c r="AT31" s="21" t="s">
        <v>119</v>
      </c>
      <c r="AU31" s="21" t="s">
        <v>118</v>
      </c>
      <c r="AV31" s="21">
        <v>1.6</v>
      </c>
      <c r="AW31" s="21" t="s">
        <v>119</v>
      </c>
      <c r="AX31" s="21" t="s">
        <v>117</v>
      </c>
      <c r="AY31" s="21"/>
      <c r="AZ31" s="21"/>
      <c r="BA31" s="20"/>
      <c r="BB31" s="20"/>
      <c r="BC31" s="20"/>
      <c r="BD31" s="20"/>
      <c r="BE31" s="20"/>
      <c r="BF31" s="20"/>
      <c r="BG31" s="20"/>
      <c r="BH31" s="20"/>
      <c r="BI31" s="165">
        <v>1.69</v>
      </c>
      <c r="BJ31" s="165" t="s">
        <v>123</v>
      </c>
      <c r="BK31" s="165" t="s">
        <v>118</v>
      </c>
      <c r="BL31" s="165">
        <v>0.05</v>
      </c>
      <c r="BM31" s="165" t="s">
        <v>123</v>
      </c>
      <c r="BN31" s="165" t="s">
        <v>117</v>
      </c>
      <c r="BO31" s="165"/>
      <c r="BP31" s="165"/>
      <c r="BQ31" s="20" t="s">
        <v>121</v>
      </c>
      <c r="BR31" s="71"/>
      <c r="BS31" s="124">
        <v>62</v>
      </c>
      <c r="BT31" s="174"/>
    </row>
    <row r="32" spans="1:72" ht="14.25" hidden="1" customHeight="1" x14ac:dyDescent="0.2">
      <c r="A32" s="92">
        <v>63</v>
      </c>
      <c r="B32" s="238" t="s">
        <v>108</v>
      </c>
      <c r="C32" s="236" t="s">
        <v>109</v>
      </c>
      <c r="D32" s="238" t="s">
        <v>124</v>
      </c>
      <c r="E32" s="17" t="s">
        <v>111</v>
      </c>
      <c r="F32" s="18" t="s">
        <v>103</v>
      </c>
      <c r="G32" s="181" t="s">
        <v>56</v>
      </c>
      <c r="H32" s="18" t="s">
        <v>57</v>
      </c>
      <c r="I32" s="18"/>
      <c r="J32" s="138">
        <v>10</v>
      </c>
      <c r="K32" s="139">
        <f t="shared" si="0"/>
        <v>9.1350709999999999</v>
      </c>
      <c r="L32" s="139" t="s">
        <v>58</v>
      </c>
      <c r="M32" s="138" t="s">
        <v>59</v>
      </c>
      <c r="N32" s="138">
        <v>0</v>
      </c>
      <c r="O32" s="138" t="s">
        <v>60</v>
      </c>
      <c r="P32" s="138" t="s">
        <v>112</v>
      </c>
      <c r="Q32" s="176" t="s">
        <v>113</v>
      </c>
      <c r="R32" s="176" t="s">
        <v>114</v>
      </c>
      <c r="S32" s="176"/>
      <c r="T32" s="177">
        <v>120</v>
      </c>
      <c r="U32" s="177"/>
      <c r="V32" s="19" t="s">
        <v>62</v>
      </c>
      <c r="W32" s="75">
        <v>10</v>
      </c>
      <c r="X32" s="108">
        <v>4</v>
      </c>
      <c r="Y32" s="73" t="s">
        <v>115</v>
      </c>
      <c r="Z32" s="82" t="s">
        <v>63</v>
      </c>
      <c r="AA32" s="20">
        <v>5</v>
      </c>
      <c r="AB32" s="20">
        <v>2</v>
      </c>
      <c r="AC32" s="21">
        <v>59</v>
      </c>
      <c r="AD32" s="21" t="s">
        <v>80</v>
      </c>
      <c r="AE32" s="21" t="s">
        <v>116</v>
      </c>
      <c r="AF32" s="21">
        <v>2.7</v>
      </c>
      <c r="AG32" s="21" t="s">
        <v>80</v>
      </c>
      <c r="AH32" s="21" t="s">
        <v>117</v>
      </c>
      <c r="AI32" s="21"/>
      <c r="AJ32" s="21"/>
      <c r="AK32" s="20">
        <v>67</v>
      </c>
      <c r="AL32" s="20" t="s">
        <v>81</v>
      </c>
      <c r="AM32" s="20" t="s">
        <v>118</v>
      </c>
      <c r="AN32" s="20">
        <v>4.5</v>
      </c>
      <c r="AO32" s="20" t="s">
        <v>81</v>
      </c>
      <c r="AP32" s="20" t="s">
        <v>117</v>
      </c>
      <c r="AQ32" s="20"/>
      <c r="AR32" s="20"/>
      <c r="AS32" s="21">
        <v>164</v>
      </c>
      <c r="AT32" s="21" t="s">
        <v>119</v>
      </c>
      <c r="AU32" s="21" t="s">
        <v>118</v>
      </c>
      <c r="AV32" s="21">
        <v>1.8</v>
      </c>
      <c r="AW32" s="21" t="s">
        <v>119</v>
      </c>
      <c r="AX32" s="21" t="s">
        <v>117</v>
      </c>
      <c r="AY32" s="21"/>
      <c r="AZ32" s="21"/>
      <c r="BA32" s="20"/>
      <c r="BB32" s="20"/>
      <c r="BC32" s="20"/>
      <c r="BD32" s="20"/>
      <c r="BE32" s="20"/>
      <c r="BF32" s="20"/>
      <c r="BG32" s="20"/>
      <c r="BH32" s="20"/>
      <c r="BI32" s="165">
        <v>1.73</v>
      </c>
      <c r="BJ32" s="165" t="s">
        <v>125</v>
      </c>
      <c r="BK32" s="165" t="s">
        <v>118</v>
      </c>
      <c r="BL32" s="165">
        <v>0.06</v>
      </c>
      <c r="BM32" s="165" t="s">
        <v>125</v>
      </c>
      <c r="BN32" s="165" t="s">
        <v>117</v>
      </c>
      <c r="BO32" s="165"/>
      <c r="BP32" s="165"/>
      <c r="BQ32" s="20" t="s">
        <v>121</v>
      </c>
      <c r="BR32" s="71"/>
      <c r="BS32" s="124">
        <v>63</v>
      </c>
      <c r="BT32" s="124"/>
    </row>
    <row r="33" spans="1:71" ht="14.25" hidden="1" customHeight="1" x14ac:dyDescent="0.2">
      <c r="A33" s="92">
        <v>64</v>
      </c>
      <c r="B33" s="238" t="s">
        <v>108</v>
      </c>
      <c r="C33" s="236" t="s">
        <v>109</v>
      </c>
      <c r="D33" s="238" t="s">
        <v>126</v>
      </c>
      <c r="E33" s="17" t="s">
        <v>111</v>
      </c>
      <c r="F33" s="18" t="s">
        <v>103</v>
      </c>
      <c r="G33" s="181" t="s">
        <v>56</v>
      </c>
      <c r="H33" s="18" t="s">
        <v>57</v>
      </c>
      <c r="I33" s="18"/>
      <c r="J33" s="138">
        <v>10</v>
      </c>
      <c r="K33" s="139">
        <f t="shared" si="0"/>
        <v>9.1350709999999999</v>
      </c>
      <c r="L33" s="139" t="s">
        <v>58</v>
      </c>
      <c r="M33" s="138" t="s">
        <v>59</v>
      </c>
      <c r="N33" s="138">
        <v>0</v>
      </c>
      <c r="O33" s="138" t="s">
        <v>60</v>
      </c>
      <c r="P33" s="138" t="s">
        <v>112</v>
      </c>
      <c r="Q33" s="176" t="s">
        <v>113</v>
      </c>
      <c r="R33" s="176" t="s">
        <v>114</v>
      </c>
      <c r="S33" s="176"/>
      <c r="T33" s="177">
        <v>120</v>
      </c>
      <c r="U33" s="177"/>
      <c r="V33" s="19" t="s">
        <v>62</v>
      </c>
      <c r="W33" s="75">
        <v>10</v>
      </c>
      <c r="X33" s="108">
        <v>4</v>
      </c>
      <c r="Y33" s="73" t="s">
        <v>115</v>
      </c>
      <c r="Z33" s="82" t="s">
        <v>63</v>
      </c>
      <c r="AA33" s="20">
        <v>6</v>
      </c>
      <c r="AB33" s="20">
        <v>0</v>
      </c>
      <c r="AC33" s="21">
        <v>47</v>
      </c>
      <c r="AD33" s="21" t="s">
        <v>80</v>
      </c>
      <c r="AE33" s="21" t="s">
        <v>116</v>
      </c>
      <c r="AF33" s="21">
        <v>6.1</v>
      </c>
      <c r="AG33" s="21" t="s">
        <v>80</v>
      </c>
      <c r="AH33" s="21" t="s">
        <v>117</v>
      </c>
      <c r="AI33" s="21"/>
      <c r="AJ33" s="21"/>
      <c r="AK33" s="20">
        <v>66</v>
      </c>
      <c r="AL33" s="20" t="s">
        <v>81</v>
      </c>
      <c r="AM33" s="20" t="s">
        <v>118</v>
      </c>
      <c r="AN33" s="20">
        <v>4.5</v>
      </c>
      <c r="AO33" s="20" t="s">
        <v>81</v>
      </c>
      <c r="AP33" s="20" t="s">
        <v>117</v>
      </c>
      <c r="AQ33" s="20"/>
      <c r="AR33" s="20"/>
      <c r="AS33" s="21">
        <v>171</v>
      </c>
      <c r="AT33" s="21" t="s">
        <v>119</v>
      </c>
      <c r="AU33" s="21" t="s">
        <v>118</v>
      </c>
      <c r="AV33" s="21">
        <v>2.4</v>
      </c>
      <c r="AW33" s="21" t="s">
        <v>119</v>
      </c>
      <c r="AX33" s="21" t="s">
        <v>117</v>
      </c>
      <c r="AY33" s="21"/>
      <c r="AZ33" s="21"/>
      <c r="BA33" s="20"/>
      <c r="BB33" s="20"/>
      <c r="BC33" s="20"/>
      <c r="BD33" s="20"/>
      <c r="BE33" s="20"/>
      <c r="BF33" s="20"/>
      <c r="BG33" s="20"/>
      <c r="BH33" s="20"/>
      <c r="BI33" s="165">
        <v>1.76</v>
      </c>
      <c r="BJ33" s="165" t="s">
        <v>127</v>
      </c>
      <c r="BK33" s="165" t="s">
        <v>118</v>
      </c>
      <c r="BL33" s="165">
        <v>0.06</v>
      </c>
      <c r="BM33" s="165" t="s">
        <v>127</v>
      </c>
      <c r="BN33" s="165" t="s">
        <v>117</v>
      </c>
      <c r="BO33" s="165"/>
      <c r="BP33" s="165"/>
      <c r="BQ33" s="20" t="s">
        <v>121</v>
      </c>
      <c r="BR33" s="71"/>
      <c r="BS33" s="124">
        <v>64</v>
      </c>
    </row>
    <row r="34" spans="1:71" ht="14.25" hidden="1" customHeight="1" x14ac:dyDescent="0.2">
      <c r="A34" s="92">
        <v>65</v>
      </c>
      <c r="B34" s="238" t="s">
        <v>108</v>
      </c>
      <c r="C34" s="236" t="s">
        <v>109</v>
      </c>
      <c r="D34" s="238" t="s">
        <v>128</v>
      </c>
      <c r="E34" s="17" t="s">
        <v>111</v>
      </c>
      <c r="F34" s="18" t="s">
        <v>103</v>
      </c>
      <c r="G34" s="181" t="s">
        <v>56</v>
      </c>
      <c r="H34" s="18" t="s">
        <v>57</v>
      </c>
      <c r="I34" s="18"/>
      <c r="J34" s="138">
        <v>10</v>
      </c>
      <c r="K34" s="139">
        <f t="shared" si="0"/>
        <v>9.1350709999999999</v>
      </c>
      <c r="L34" s="139" t="s">
        <v>58</v>
      </c>
      <c r="M34" s="138" t="s">
        <v>59</v>
      </c>
      <c r="N34" s="138">
        <v>0</v>
      </c>
      <c r="O34" s="138" t="s">
        <v>60</v>
      </c>
      <c r="P34" s="138" t="s">
        <v>112</v>
      </c>
      <c r="Q34" s="176" t="s">
        <v>113</v>
      </c>
      <c r="R34" s="176" t="s">
        <v>114</v>
      </c>
      <c r="S34" s="176"/>
      <c r="T34" s="177">
        <v>120</v>
      </c>
      <c r="U34" s="177"/>
      <c r="V34" s="19" t="s">
        <v>62</v>
      </c>
      <c r="W34" s="75">
        <v>10</v>
      </c>
      <c r="X34" s="108">
        <v>4</v>
      </c>
      <c r="Y34" s="73" t="s">
        <v>115</v>
      </c>
      <c r="Z34" s="82" t="s">
        <v>63</v>
      </c>
      <c r="AA34" s="20">
        <v>6</v>
      </c>
      <c r="AB34" s="20">
        <v>2</v>
      </c>
      <c r="AC34" s="21">
        <v>53</v>
      </c>
      <c r="AD34" s="21" t="s">
        <v>80</v>
      </c>
      <c r="AE34" s="21" t="s">
        <v>116</v>
      </c>
      <c r="AF34" s="21">
        <v>6.1</v>
      </c>
      <c r="AG34" s="21" t="s">
        <v>80</v>
      </c>
      <c r="AH34" s="21" t="s">
        <v>117</v>
      </c>
      <c r="AI34" s="21"/>
      <c r="AJ34" s="21"/>
      <c r="AK34" s="20">
        <v>65</v>
      </c>
      <c r="AL34" s="20" t="s">
        <v>81</v>
      </c>
      <c r="AM34" s="20" t="s">
        <v>118</v>
      </c>
      <c r="AN34" s="20">
        <v>3.4</v>
      </c>
      <c r="AO34" s="20" t="s">
        <v>81</v>
      </c>
      <c r="AP34" s="20" t="s">
        <v>117</v>
      </c>
      <c r="AQ34" s="20"/>
      <c r="AR34" s="20"/>
      <c r="AS34" s="21">
        <v>167</v>
      </c>
      <c r="AT34" s="21" t="s">
        <v>119</v>
      </c>
      <c r="AU34" s="21" t="s">
        <v>118</v>
      </c>
      <c r="AV34" s="21">
        <v>3.7</v>
      </c>
      <c r="AW34" s="21" t="s">
        <v>119</v>
      </c>
      <c r="AX34" s="21" t="s">
        <v>117</v>
      </c>
      <c r="AY34" s="21"/>
      <c r="AZ34" s="21"/>
      <c r="BA34" s="20"/>
      <c r="BB34" s="20"/>
      <c r="BC34" s="20"/>
      <c r="BD34" s="20"/>
      <c r="BE34" s="20"/>
      <c r="BF34" s="20"/>
      <c r="BG34" s="20"/>
      <c r="BH34" s="20"/>
      <c r="BI34" s="165">
        <v>1.73</v>
      </c>
      <c r="BJ34" s="165" t="s">
        <v>129</v>
      </c>
      <c r="BK34" s="165" t="s">
        <v>118</v>
      </c>
      <c r="BL34" s="165">
        <v>0.06</v>
      </c>
      <c r="BM34" s="165" t="s">
        <v>129</v>
      </c>
      <c r="BN34" s="165" t="s">
        <v>117</v>
      </c>
      <c r="BO34" s="165"/>
      <c r="BP34" s="165"/>
      <c r="BQ34" s="20" t="s">
        <v>121</v>
      </c>
      <c r="BR34" s="71"/>
      <c r="BS34" s="124">
        <v>65</v>
      </c>
    </row>
    <row r="35" spans="1:71" ht="14.25" hidden="1" customHeight="1" x14ac:dyDescent="0.2">
      <c r="A35" s="92">
        <v>66</v>
      </c>
      <c r="B35" s="238" t="s">
        <v>108</v>
      </c>
      <c r="C35" s="236" t="s">
        <v>109</v>
      </c>
      <c r="D35" s="238" t="s">
        <v>130</v>
      </c>
      <c r="E35" s="17" t="s">
        <v>111</v>
      </c>
      <c r="F35" s="18" t="s">
        <v>103</v>
      </c>
      <c r="G35" s="181" t="s">
        <v>56</v>
      </c>
      <c r="H35" s="18" t="s">
        <v>57</v>
      </c>
      <c r="I35" s="18"/>
      <c r="J35" s="138">
        <v>10</v>
      </c>
      <c r="K35" s="139">
        <f t="shared" si="0"/>
        <v>9.1350709999999999</v>
      </c>
      <c r="L35" s="139" t="s">
        <v>58</v>
      </c>
      <c r="M35" s="138" t="s">
        <v>59</v>
      </c>
      <c r="N35" s="138">
        <v>0</v>
      </c>
      <c r="O35" s="138" t="s">
        <v>60</v>
      </c>
      <c r="P35" s="138" t="s">
        <v>112</v>
      </c>
      <c r="Q35" s="176" t="s">
        <v>113</v>
      </c>
      <c r="R35" s="176" t="s">
        <v>114</v>
      </c>
      <c r="S35" s="176"/>
      <c r="T35" s="177">
        <v>120</v>
      </c>
      <c r="U35" s="177"/>
      <c r="V35" s="19" t="s">
        <v>62</v>
      </c>
      <c r="W35" s="75">
        <v>10</v>
      </c>
      <c r="X35" s="108">
        <v>4</v>
      </c>
      <c r="Y35" s="73" t="s">
        <v>115</v>
      </c>
      <c r="Z35" s="82" t="s">
        <v>63</v>
      </c>
      <c r="AA35" s="20">
        <v>6</v>
      </c>
      <c r="AB35" s="20">
        <v>3</v>
      </c>
      <c r="AC35" s="21">
        <v>54</v>
      </c>
      <c r="AD35" s="21" t="s">
        <v>80</v>
      </c>
      <c r="AE35" s="21" t="s">
        <v>116</v>
      </c>
      <c r="AF35" s="21">
        <v>4.0999999999999996</v>
      </c>
      <c r="AG35" s="21" t="s">
        <v>80</v>
      </c>
      <c r="AH35" s="21" t="s">
        <v>117</v>
      </c>
      <c r="AI35" s="21"/>
      <c r="AJ35" s="21"/>
      <c r="AK35" s="20">
        <v>72</v>
      </c>
      <c r="AL35" s="20" t="s">
        <v>81</v>
      </c>
      <c r="AM35" s="20" t="s">
        <v>118</v>
      </c>
      <c r="AN35" s="20">
        <v>4.0999999999999996</v>
      </c>
      <c r="AO35" s="20" t="s">
        <v>81</v>
      </c>
      <c r="AP35" s="20" t="s">
        <v>117</v>
      </c>
      <c r="AQ35" s="20"/>
      <c r="AR35" s="20"/>
      <c r="AS35" s="21">
        <v>168</v>
      </c>
      <c r="AT35" s="21" t="s">
        <v>119</v>
      </c>
      <c r="AU35" s="21" t="s">
        <v>118</v>
      </c>
      <c r="AV35" s="21">
        <v>3.3</v>
      </c>
      <c r="AW35" s="21" t="s">
        <v>119</v>
      </c>
      <c r="AX35" s="21" t="s">
        <v>117</v>
      </c>
      <c r="AY35" s="21"/>
      <c r="AZ35" s="21"/>
      <c r="BA35" s="20"/>
      <c r="BB35" s="20"/>
      <c r="BC35" s="20"/>
      <c r="BD35" s="20"/>
      <c r="BE35" s="20"/>
      <c r="BF35" s="20"/>
      <c r="BG35" s="20"/>
      <c r="BH35" s="20"/>
      <c r="BI35" s="165">
        <v>1.82</v>
      </c>
      <c r="BJ35" s="165" t="s">
        <v>131</v>
      </c>
      <c r="BK35" s="165" t="s">
        <v>118</v>
      </c>
      <c r="BL35" s="165">
        <v>7.0000000000000007E-2</v>
      </c>
      <c r="BM35" s="165" t="s">
        <v>131</v>
      </c>
      <c r="BN35" s="165" t="s">
        <v>117</v>
      </c>
      <c r="BO35" s="165"/>
      <c r="BP35" s="165"/>
      <c r="BQ35" s="20" t="s">
        <v>121</v>
      </c>
      <c r="BR35" s="71"/>
      <c r="BS35" s="124">
        <v>66</v>
      </c>
    </row>
    <row r="36" spans="1:71" ht="14.25" hidden="1" customHeight="1" x14ac:dyDescent="0.2">
      <c r="A36" s="92">
        <v>67</v>
      </c>
      <c r="B36" s="238" t="s">
        <v>108</v>
      </c>
      <c r="C36" s="236" t="s">
        <v>109</v>
      </c>
      <c r="D36" s="238" t="s">
        <v>132</v>
      </c>
      <c r="E36" s="17" t="s">
        <v>111</v>
      </c>
      <c r="F36" s="18" t="s">
        <v>103</v>
      </c>
      <c r="G36" s="181" t="s">
        <v>56</v>
      </c>
      <c r="H36" s="18" t="s">
        <v>57</v>
      </c>
      <c r="I36" s="18"/>
      <c r="J36" s="138">
        <v>10</v>
      </c>
      <c r="K36" s="139">
        <f t="shared" si="0"/>
        <v>9.1350709999999999</v>
      </c>
      <c r="L36" s="139" t="s">
        <v>58</v>
      </c>
      <c r="M36" s="138" t="s">
        <v>59</v>
      </c>
      <c r="N36" s="138" t="s">
        <v>133</v>
      </c>
      <c r="O36" s="138" t="s">
        <v>60</v>
      </c>
      <c r="P36" s="138" t="s">
        <v>112</v>
      </c>
      <c r="Q36" s="176" t="s">
        <v>113</v>
      </c>
      <c r="R36" s="176" t="s">
        <v>114</v>
      </c>
      <c r="S36" s="176"/>
      <c r="T36" s="177">
        <v>120</v>
      </c>
      <c r="U36" s="177"/>
      <c r="V36" s="19" t="s">
        <v>62</v>
      </c>
      <c r="W36" s="75">
        <v>10</v>
      </c>
      <c r="X36" s="108">
        <v>4</v>
      </c>
      <c r="Y36" s="73" t="s">
        <v>115</v>
      </c>
      <c r="Z36" s="82" t="s">
        <v>63</v>
      </c>
      <c r="AA36" s="20">
        <v>12</v>
      </c>
      <c r="AB36" s="20">
        <v>6</v>
      </c>
      <c r="AC36" s="21">
        <v>34</v>
      </c>
      <c r="AD36" s="21" t="s">
        <v>80</v>
      </c>
      <c r="AE36" s="21" t="s">
        <v>116</v>
      </c>
      <c r="AF36" s="21">
        <v>2.6</v>
      </c>
      <c r="AG36" s="21" t="s">
        <v>80</v>
      </c>
      <c r="AH36" s="21" t="s">
        <v>117</v>
      </c>
      <c r="AI36" s="21"/>
      <c r="AJ36" s="21"/>
      <c r="AK36" s="20">
        <v>65</v>
      </c>
      <c r="AL36" s="20" t="s">
        <v>81</v>
      </c>
      <c r="AM36" s="20" t="s">
        <v>118</v>
      </c>
      <c r="AN36" s="20">
        <v>3.8</v>
      </c>
      <c r="AO36" s="20" t="s">
        <v>81</v>
      </c>
      <c r="AP36" s="20" t="s">
        <v>117</v>
      </c>
      <c r="AQ36" s="20"/>
      <c r="AR36" s="20"/>
      <c r="AS36" s="21">
        <v>174</v>
      </c>
      <c r="AT36" s="21" t="s">
        <v>119</v>
      </c>
      <c r="AU36" s="21" t="s">
        <v>118</v>
      </c>
      <c r="AV36" s="21">
        <v>2.9</v>
      </c>
      <c r="AW36" s="21" t="s">
        <v>119</v>
      </c>
      <c r="AX36" s="21" t="s">
        <v>117</v>
      </c>
      <c r="AY36" s="21"/>
      <c r="AZ36" s="21"/>
      <c r="BA36" s="20"/>
      <c r="BB36" s="20"/>
      <c r="BC36" s="20"/>
      <c r="BD36" s="20"/>
      <c r="BE36" s="20"/>
      <c r="BF36" s="20"/>
      <c r="BG36" s="20"/>
      <c r="BH36" s="20"/>
      <c r="BI36" s="165">
        <v>1.78</v>
      </c>
      <c r="BJ36" s="165" t="s">
        <v>120</v>
      </c>
      <c r="BK36" s="165" t="s">
        <v>118</v>
      </c>
      <c r="BL36" s="165">
        <v>0.06</v>
      </c>
      <c r="BM36" s="165" t="s">
        <v>120</v>
      </c>
      <c r="BN36" s="165" t="s">
        <v>117</v>
      </c>
      <c r="BO36" s="165"/>
      <c r="BP36" s="165"/>
      <c r="BQ36" s="20" t="s">
        <v>121</v>
      </c>
      <c r="BR36" s="71"/>
      <c r="BS36" s="124">
        <v>67</v>
      </c>
    </row>
    <row r="37" spans="1:71" ht="14.25" hidden="1" customHeight="1" x14ac:dyDescent="0.2">
      <c r="A37" s="92">
        <v>68</v>
      </c>
      <c r="B37" s="238" t="s">
        <v>108</v>
      </c>
      <c r="C37" s="236" t="s">
        <v>109</v>
      </c>
      <c r="D37" s="238" t="s">
        <v>134</v>
      </c>
      <c r="E37" s="17" t="s">
        <v>111</v>
      </c>
      <c r="F37" s="18" t="s">
        <v>103</v>
      </c>
      <c r="G37" s="181" t="s">
        <v>56</v>
      </c>
      <c r="H37" s="18" t="s">
        <v>57</v>
      </c>
      <c r="I37" s="18"/>
      <c r="J37" s="138">
        <v>10</v>
      </c>
      <c r="K37" s="139">
        <f t="shared" si="0"/>
        <v>9.1350709999999999</v>
      </c>
      <c r="L37" s="139" t="s">
        <v>58</v>
      </c>
      <c r="M37" s="138" t="s">
        <v>59</v>
      </c>
      <c r="N37" s="138" t="s">
        <v>133</v>
      </c>
      <c r="O37" s="138" t="s">
        <v>60</v>
      </c>
      <c r="P37" s="138" t="s">
        <v>112</v>
      </c>
      <c r="Q37" s="176" t="s">
        <v>113</v>
      </c>
      <c r="R37" s="176" t="s">
        <v>114</v>
      </c>
      <c r="S37" s="176"/>
      <c r="T37" s="177">
        <v>120</v>
      </c>
      <c r="U37" s="177"/>
      <c r="V37" s="19" t="s">
        <v>62</v>
      </c>
      <c r="W37" s="75">
        <v>10</v>
      </c>
      <c r="X37" s="108">
        <v>4</v>
      </c>
      <c r="Y37" s="73" t="s">
        <v>115</v>
      </c>
      <c r="Z37" s="82" t="s">
        <v>63</v>
      </c>
      <c r="AA37" s="20">
        <v>6</v>
      </c>
      <c r="AB37" s="20">
        <v>4</v>
      </c>
      <c r="AC37" s="21">
        <v>52</v>
      </c>
      <c r="AD37" s="21" t="s">
        <v>80</v>
      </c>
      <c r="AE37" s="21" t="s">
        <v>116</v>
      </c>
      <c r="AF37" s="21">
        <v>4.5</v>
      </c>
      <c r="AG37" s="21" t="s">
        <v>80</v>
      </c>
      <c r="AH37" s="21" t="s">
        <v>117</v>
      </c>
      <c r="AI37" s="21"/>
      <c r="AJ37" s="21"/>
      <c r="AK37" s="20">
        <v>66</v>
      </c>
      <c r="AL37" s="20" t="s">
        <v>81</v>
      </c>
      <c r="AM37" s="20" t="s">
        <v>118</v>
      </c>
      <c r="AN37" s="20">
        <v>4.9000000000000004</v>
      </c>
      <c r="AO37" s="20" t="s">
        <v>81</v>
      </c>
      <c r="AP37" s="20" t="s">
        <v>117</v>
      </c>
      <c r="AQ37" s="20"/>
      <c r="AR37" s="20"/>
      <c r="AS37" s="21">
        <v>161</v>
      </c>
      <c r="AT37" s="21" t="s">
        <v>119</v>
      </c>
      <c r="AU37" s="21" t="s">
        <v>118</v>
      </c>
      <c r="AV37" s="21">
        <v>1.6</v>
      </c>
      <c r="AW37" s="21" t="s">
        <v>119</v>
      </c>
      <c r="AX37" s="21" t="s">
        <v>117</v>
      </c>
      <c r="AY37" s="21"/>
      <c r="AZ37" s="21"/>
      <c r="BA37" s="20"/>
      <c r="BB37" s="20"/>
      <c r="BC37" s="20"/>
      <c r="BD37" s="20"/>
      <c r="BE37" s="20"/>
      <c r="BF37" s="20"/>
      <c r="BG37" s="20"/>
      <c r="BH37" s="20"/>
      <c r="BI37" s="165">
        <v>1.69</v>
      </c>
      <c r="BJ37" s="165" t="s">
        <v>123</v>
      </c>
      <c r="BK37" s="165" t="s">
        <v>118</v>
      </c>
      <c r="BL37" s="165">
        <v>0.05</v>
      </c>
      <c r="BM37" s="165" t="s">
        <v>123</v>
      </c>
      <c r="BN37" s="165" t="s">
        <v>117</v>
      </c>
      <c r="BO37" s="165"/>
      <c r="BP37" s="165"/>
      <c r="BQ37" s="20" t="s">
        <v>121</v>
      </c>
      <c r="BR37" s="71"/>
      <c r="BS37" s="124">
        <v>68</v>
      </c>
    </row>
    <row r="38" spans="1:71" ht="14.25" hidden="1" customHeight="1" x14ac:dyDescent="0.2">
      <c r="A38" s="92">
        <v>69</v>
      </c>
      <c r="B38" s="238" t="s">
        <v>108</v>
      </c>
      <c r="C38" s="236" t="s">
        <v>109</v>
      </c>
      <c r="D38" s="238" t="s">
        <v>135</v>
      </c>
      <c r="E38" s="17" t="s">
        <v>111</v>
      </c>
      <c r="F38" s="18" t="s">
        <v>103</v>
      </c>
      <c r="G38" s="181" t="s">
        <v>56</v>
      </c>
      <c r="H38" s="18" t="s">
        <v>57</v>
      </c>
      <c r="I38" s="18"/>
      <c r="J38" s="138">
        <v>10</v>
      </c>
      <c r="K38" s="139">
        <f t="shared" si="0"/>
        <v>9.1350709999999999</v>
      </c>
      <c r="L38" s="139" t="s">
        <v>58</v>
      </c>
      <c r="M38" s="138" t="s">
        <v>59</v>
      </c>
      <c r="N38" s="138" t="s">
        <v>133</v>
      </c>
      <c r="O38" s="138" t="s">
        <v>60</v>
      </c>
      <c r="P38" s="138" t="s">
        <v>112</v>
      </c>
      <c r="Q38" s="176" t="s">
        <v>113</v>
      </c>
      <c r="R38" s="176" t="s">
        <v>114</v>
      </c>
      <c r="S38" s="176"/>
      <c r="T38" s="177">
        <v>120</v>
      </c>
      <c r="U38" s="177"/>
      <c r="V38" s="19" t="s">
        <v>62</v>
      </c>
      <c r="W38" s="75">
        <v>10</v>
      </c>
      <c r="X38" s="108">
        <v>4</v>
      </c>
      <c r="Y38" s="73" t="s">
        <v>115</v>
      </c>
      <c r="Z38" s="82" t="s">
        <v>63</v>
      </c>
      <c r="AA38" s="20">
        <v>5</v>
      </c>
      <c r="AB38" s="20">
        <v>2</v>
      </c>
      <c r="AC38" s="21">
        <v>59</v>
      </c>
      <c r="AD38" s="21" t="s">
        <v>80</v>
      </c>
      <c r="AE38" s="21" t="s">
        <v>116</v>
      </c>
      <c r="AF38" s="21">
        <v>2.7</v>
      </c>
      <c r="AG38" s="21" t="s">
        <v>80</v>
      </c>
      <c r="AH38" s="21" t="s">
        <v>117</v>
      </c>
      <c r="AI38" s="21"/>
      <c r="AJ38" s="21"/>
      <c r="AK38" s="20">
        <v>67</v>
      </c>
      <c r="AL38" s="20" t="s">
        <v>81</v>
      </c>
      <c r="AM38" s="20" t="s">
        <v>118</v>
      </c>
      <c r="AN38" s="20">
        <v>4.5</v>
      </c>
      <c r="AO38" s="20" t="s">
        <v>81</v>
      </c>
      <c r="AP38" s="20" t="s">
        <v>117</v>
      </c>
      <c r="AQ38" s="20"/>
      <c r="AR38" s="20"/>
      <c r="AS38" s="21">
        <v>164</v>
      </c>
      <c r="AT38" s="21" t="s">
        <v>119</v>
      </c>
      <c r="AU38" s="21" t="s">
        <v>118</v>
      </c>
      <c r="AV38" s="21">
        <v>1.8</v>
      </c>
      <c r="AW38" s="21" t="s">
        <v>119</v>
      </c>
      <c r="AX38" s="21" t="s">
        <v>117</v>
      </c>
      <c r="AY38" s="21"/>
      <c r="AZ38" s="21"/>
      <c r="BA38" s="20"/>
      <c r="BB38" s="20"/>
      <c r="BC38" s="20"/>
      <c r="BD38" s="20"/>
      <c r="BE38" s="20"/>
      <c r="BF38" s="20"/>
      <c r="BG38" s="20"/>
      <c r="BH38" s="20"/>
      <c r="BI38" s="165">
        <v>1.73</v>
      </c>
      <c r="BJ38" s="165" t="s">
        <v>125</v>
      </c>
      <c r="BK38" s="165" t="s">
        <v>118</v>
      </c>
      <c r="BL38" s="165">
        <v>0.06</v>
      </c>
      <c r="BM38" s="165" t="s">
        <v>125</v>
      </c>
      <c r="BN38" s="165" t="s">
        <v>117</v>
      </c>
      <c r="BO38" s="165"/>
      <c r="BP38" s="165"/>
      <c r="BQ38" s="20" t="s">
        <v>121</v>
      </c>
      <c r="BR38" s="71"/>
      <c r="BS38" s="124">
        <v>69</v>
      </c>
    </row>
    <row r="39" spans="1:71" ht="14.25" hidden="1" customHeight="1" x14ac:dyDescent="0.2">
      <c r="A39" s="92">
        <v>70</v>
      </c>
      <c r="B39" s="238" t="s">
        <v>108</v>
      </c>
      <c r="C39" s="236" t="s">
        <v>109</v>
      </c>
      <c r="D39" s="238" t="s">
        <v>136</v>
      </c>
      <c r="E39" s="17" t="s">
        <v>111</v>
      </c>
      <c r="F39" s="18" t="s">
        <v>103</v>
      </c>
      <c r="G39" s="181" t="s">
        <v>56</v>
      </c>
      <c r="H39" s="18" t="s">
        <v>57</v>
      </c>
      <c r="I39" s="18"/>
      <c r="J39" s="138">
        <v>10</v>
      </c>
      <c r="K39" s="139">
        <f t="shared" si="0"/>
        <v>9.1350709999999999</v>
      </c>
      <c r="L39" s="139" t="s">
        <v>58</v>
      </c>
      <c r="M39" s="138" t="s">
        <v>59</v>
      </c>
      <c r="N39" s="138" t="s">
        <v>133</v>
      </c>
      <c r="O39" s="138" t="s">
        <v>60</v>
      </c>
      <c r="P39" s="138" t="s">
        <v>112</v>
      </c>
      <c r="Q39" s="176" t="s">
        <v>113</v>
      </c>
      <c r="R39" s="176" t="s">
        <v>114</v>
      </c>
      <c r="S39" s="176"/>
      <c r="T39" s="177">
        <v>120</v>
      </c>
      <c r="U39" s="177"/>
      <c r="V39" s="19" t="s">
        <v>62</v>
      </c>
      <c r="W39" s="75">
        <v>10</v>
      </c>
      <c r="X39" s="108">
        <v>4</v>
      </c>
      <c r="Y39" s="73" t="s">
        <v>115</v>
      </c>
      <c r="Z39" s="82" t="s">
        <v>63</v>
      </c>
      <c r="AA39" s="20">
        <v>6</v>
      </c>
      <c r="AB39" s="20">
        <v>0</v>
      </c>
      <c r="AC39" s="21">
        <v>47</v>
      </c>
      <c r="AD39" s="21" t="s">
        <v>80</v>
      </c>
      <c r="AE39" s="21" t="s">
        <v>116</v>
      </c>
      <c r="AF39" s="21">
        <v>6.1</v>
      </c>
      <c r="AG39" s="21" t="s">
        <v>80</v>
      </c>
      <c r="AH39" s="21" t="s">
        <v>117</v>
      </c>
      <c r="AI39" s="21"/>
      <c r="AJ39" s="21"/>
      <c r="AK39" s="20">
        <v>66</v>
      </c>
      <c r="AL39" s="20" t="s">
        <v>81</v>
      </c>
      <c r="AM39" s="20" t="s">
        <v>118</v>
      </c>
      <c r="AN39" s="20">
        <v>4.5</v>
      </c>
      <c r="AO39" s="20" t="s">
        <v>81</v>
      </c>
      <c r="AP39" s="20" t="s">
        <v>117</v>
      </c>
      <c r="AQ39" s="20"/>
      <c r="AR39" s="20"/>
      <c r="AS39" s="21">
        <v>171</v>
      </c>
      <c r="AT39" s="21" t="s">
        <v>119</v>
      </c>
      <c r="AU39" s="21" t="s">
        <v>118</v>
      </c>
      <c r="AV39" s="21">
        <v>2.4</v>
      </c>
      <c r="AW39" s="21" t="s">
        <v>119</v>
      </c>
      <c r="AX39" s="21" t="s">
        <v>117</v>
      </c>
      <c r="AY39" s="21"/>
      <c r="AZ39" s="21"/>
      <c r="BA39" s="20"/>
      <c r="BB39" s="20"/>
      <c r="BC39" s="20"/>
      <c r="BD39" s="20"/>
      <c r="BE39" s="20"/>
      <c r="BF39" s="20"/>
      <c r="BG39" s="20"/>
      <c r="BH39" s="20"/>
      <c r="BI39" s="165">
        <v>1.76</v>
      </c>
      <c r="BJ39" s="165" t="s">
        <v>127</v>
      </c>
      <c r="BK39" s="165" t="s">
        <v>118</v>
      </c>
      <c r="BL39" s="165">
        <v>0.06</v>
      </c>
      <c r="BM39" s="165" t="s">
        <v>127</v>
      </c>
      <c r="BN39" s="165" t="s">
        <v>117</v>
      </c>
      <c r="BO39" s="165"/>
      <c r="BP39" s="165"/>
      <c r="BQ39" s="20" t="s">
        <v>121</v>
      </c>
      <c r="BR39" s="71"/>
      <c r="BS39" s="124">
        <v>70</v>
      </c>
    </row>
    <row r="40" spans="1:71" ht="14.25" hidden="1" customHeight="1" x14ac:dyDescent="0.2">
      <c r="A40" s="92">
        <v>71</v>
      </c>
      <c r="B40" s="238" t="s">
        <v>108</v>
      </c>
      <c r="C40" s="236" t="s">
        <v>109</v>
      </c>
      <c r="D40" s="238" t="s">
        <v>137</v>
      </c>
      <c r="E40" s="17" t="s">
        <v>111</v>
      </c>
      <c r="F40" s="18" t="s">
        <v>103</v>
      </c>
      <c r="G40" s="181" t="s">
        <v>56</v>
      </c>
      <c r="H40" s="18" t="s">
        <v>57</v>
      </c>
      <c r="I40" s="18"/>
      <c r="J40" s="138">
        <v>10</v>
      </c>
      <c r="K40" s="139">
        <f t="shared" si="0"/>
        <v>9.1350709999999999</v>
      </c>
      <c r="L40" s="139" t="s">
        <v>58</v>
      </c>
      <c r="M40" s="138" t="s">
        <v>59</v>
      </c>
      <c r="N40" s="138" t="s">
        <v>133</v>
      </c>
      <c r="O40" s="138" t="s">
        <v>60</v>
      </c>
      <c r="P40" s="138" t="s">
        <v>112</v>
      </c>
      <c r="Q40" s="176" t="s">
        <v>113</v>
      </c>
      <c r="R40" s="176" t="s">
        <v>114</v>
      </c>
      <c r="S40" s="176"/>
      <c r="T40" s="177">
        <v>120</v>
      </c>
      <c r="U40" s="177"/>
      <c r="V40" s="19" t="s">
        <v>62</v>
      </c>
      <c r="W40" s="75">
        <v>10</v>
      </c>
      <c r="X40" s="108">
        <v>4</v>
      </c>
      <c r="Y40" s="73" t="s">
        <v>115</v>
      </c>
      <c r="Z40" s="82" t="s">
        <v>63</v>
      </c>
      <c r="AA40" s="20">
        <v>6</v>
      </c>
      <c r="AB40" s="20">
        <v>2</v>
      </c>
      <c r="AC40" s="21">
        <v>53</v>
      </c>
      <c r="AD40" s="21" t="s">
        <v>80</v>
      </c>
      <c r="AE40" s="21" t="s">
        <v>116</v>
      </c>
      <c r="AF40" s="21">
        <v>6.1</v>
      </c>
      <c r="AG40" s="21" t="s">
        <v>80</v>
      </c>
      <c r="AH40" s="21" t="s">
        <v>117</v>
      </c>
      <c r="AI40" s="21"/>
      <c r="AJ40" s="21"/>
      <c r="AK40" s="20">
        <v>65</v>
      </c>
      <c r="AL40" s="20" t="s">
        <v>81</v>
      </c>
      <c r="AM40" s="20" t="s">
        <v>118</v>
      </c>
      <c r="AN40" s="20">
        <v>3.4</v>
      </c>
      <c r="AO40" s="20" t="s">
        <v>81</v>
      </c>
      <c r="AP40" s="20" t="s">
        <v>117</v>
      </c>
      <c r="AQ40" s="20"/>
      <c r="AR40" s="20"/>
      <c r="AS40" s="21">
        <v>167</v>
      </c>
      <c r="AT40" s="21" t="s">
        <v>119</v>
      </c>
      <c r="AU40" s="21" t="s">
        <v>118</v>
      </c>
      <c r="AV40" s="21">
        <v>3.7</v>
      </c>
      <c r="AW40" s="21" t="s">
        <v>119</v>
      </c>
      <c r="AX40" s="21" t="s">
        <v>117</v>
      </c>
      <c r="AY40" s="21"/>
      <c r="AZ40" s="21"/>
      <c r="BA40" s="20"/>
      <c r="BB40" s="20"/>
      <c r="BC40" s="20"/>
      <c r="BD40" s="20"/>
      <c r="BE40" s="20"/>
      <c r="BF40" s="20"/>
      <c r="BG40" s="20"/>
      <c r="BH40" s="20"/>
      <c r="BI40" s="165">
        <v>1.73</v>
      </c>
      <c r="BJ40" s="165" t="s">
        <v>129</v>
      </c>
      <c r="BK40" s="165" t="s">
        <v>118</v>
      </c>
      <c r="BL40" s="165">
        <v>0.06</v>
      </c>
      <c r="BM40" s="165" t="s">
        <v>129</v>
      </c>
      <c r="BN40" s="165" t="s">
        <v>117</v>
      </c>
      <c r="BO40" s="165"/>
      <c r="BP40" s="165"/>
      <c r="BQ40" s="20" t="s">
        <v>121</v>
      </c>
      <c r="BR40" s="71"/>
      <c r="BS40" s="124">
        <v>71</v>
      </c>
    </row>
    <row r="41" spans="1:71" ht="14.25" hidden="1" customHeight="1" x14ac:dyDescent="0.2">
      <c r="A41" s="92">
        <v>72</v>
      </c>
      <c r="B41" s="238" t="s">
        <v>108</v>
      </c>
      <c r="C41" s="236" t="s">
        <v>109</v>
      </c>
      <c r="D41" s="238" t="s">
        <v>138</v>
      </c>
      <c r="E41" s="17" t="s">
        <v>111</v>
      </c>
      <c r="F41" s="18" t="s">
        <v>103</v>
      </c>
      <c r="G41" s="181" t="s">
        <v>56</v>
      </c>
      <c r="H41" s="18" t="s">
        <v>57</v>
      </c>
      <c r="I41" s="18"/>
      <c r="J41" s="138">
        <v>10</v>
      </c>
      <c r="K41" s="139">
        <f t="shared" si="0"/>
        <v>9.1350709999999999</v>
      </c>
      <c r="L41" s="139" t="s">
        <v>58</v>
      </c>
      <c r="M41" s="138" t="s">
        <v>59</v>
      </c>
      <c r="N41" s="138" t="s">
        <v>133</v>
      </c>
      <c r="O41" s="138" t="s">
        <v>60</v>
      </c>
      <c r="P41" s="138" t="s">
        <v>112</v>
      </c>
      <c r="Q41" s="176" t="s">
        <v>113</v>
      </c>
      <c r="R41" s="176" t="s">
        <v>114</v>
      </c>
      <c r="S41" s="176"/>
      <c r="T41" s="177">
        <v>120</v>
      </c>
      <c r="U41" s="177"/>
      <c r="V41" s="19" t="s">
        <v>62</v>
      </c>
      <c r="W41" s="75">
        <v>10</v>
      </c>
      <c r="X41" s="108">
        <v>4</v>
      </c>
      <c r="Y41" s="73" t="s">
        <v>115</v>
      </c>
      <c r="Z41" s="82" t="s">
        <v>63</v>
      </c>
      <c r="AA41" s="20">
        <v>6</v>
      </c>
      <c r="AB41" s="20">
        <v>3</v>
      </c>
      <c r="AC41" s="21">
        <v>54</v>
      </c>
      <c r="AD41" s="21" t="s">
        <v>80</v>
      </c>
      <c r="AE41" s="21" t="s">
        <v>116</v>
      </c>
      <c r="AF41" s="21">
        <v>4.0999999999999996</v>
      </c>
      <c r="AG41" s="21" t="s">
        <v>80</v>
      </c>
      <c r="AH41" s="21" t="s">
        <v>117</v>
      </c>
      <c r="AI41" s="21"/>
      <c r="AJ41" s="21"/>
      <c r="AK41" s="20">
        <v>72</v>
      </c>
      <c r="AL41" s="20" t="s">
        <v>81</v>
      </c>
      <c r="AM41" s="20" t="s">
        <v>118</v>
      </c>
      <c r="AN41" s="20">
        <v>4.0999999999999996</v>
      </c>
      <c r="AO41" s="20" t="s">
        <v>81</v>
      </c>
      <c r="AP41" s="20" t="s">
        <v>117</v>
      </c>
      <c r="AQ41" s="20"/>
      <c r="AR41" s="20"/>
      <c r="AS41" s="21">
        <v>168</v>
      </c>
      <c r="AT41" s="21" t="s">
        <v>119</v>
      </c>
      <c r="AU41" s="21" t="s">
        <v>118</v>
      </c>
      <c r="AV41" s="21">
        <v>3.3</v>
      </c>
      <c r="AW41" s="21" t="s">
        <v>119</v>
      </c>
      <c r="AX41" s="21" t="s">
        <v>117</v>
      </c>
      <c r="AY41" s="21"/>
      <c r="AZ41" s="21"/>
      <c r="BA41" s="20"/>
      <c r="BB41" s="20"/>
      <c r="BC41" s="20"/>
      <c r="BD41" s="20"/>
      <c r="BE41" s="20"/>
      <c r="BF41" s="20"/>
      <c r="BG41" s="20"/>
      <c r="BH41" s="20"/>
      <c r="BI41" s="165">
        <v>1.82</v>
      </c>
      <c r="BJ41" s="165" t="s">
        <v>131</v>
      </c>
      <c r="BK41" s="165" t="s">
        <v>118</v>
      </c>
      <c r="BL41" s="165">
        <v>7.0000000000000007E-2</v>
      </c>
      <c r="BM41" s="165" t="s">
        <v>131</v>
      </c>
      <c r="BN41" s="165" t="s">
        <v>117</v>
      </c>
      <c r="BO41" s="165"/>
      <c r="BP41" s="165"/>
      <c r="BQ41" s="20" t="s">
        <v>121</v>
      </c>
      <c r="BR41" s="71"/>
      <c r="BS41" s="124">
        <v>72</v>
      </c>
    </row>
    <row r="42" spans="1:71" ht="14.25" hidden="1" customHeight="1" x14ac:dyDescent="0.2">
      <c r="A42" s="92">
        <v>73</v>
      </c>
      <c r="B42" s="238" t="s">
        <v>108</v>
      </c>
      <c r="C42" s="236" t="s">
        <v>109</v>
      </c>
      <c r="D42" s="238" t="s">
        <v>139</v>
      </c>
      <c r="E42" s="17" t="s">
        <v>111</v>
      </c>
      <c r="F42" s="18" t="s">
        <v>103</v>
      </c>
      <c r="G42" s="181" t="s">
        <v>56</v>
      </c>
      <c r="H42" s="18" t="s">
        <v>57</v>
      </c>
      <c r="I42" s="18"/>
      <c r="J42" s="138">
        <v>10</v>
      </c>
      <c r="K42" s="139">
        <f t="shared" si="0"/>
        <v>9.1350709999999999</v>
      </c>
      <c r="L42" s="139" t="s">
        <v>58</v>
      </c>
      <c r="M42" s="138" t="s">
        <v>59</v>
      </c>
      <c r="N42" s="138" t="s">
        <v>133</v>
      </c>
      <c r="O42" s="138" t="s">
        <v>60</v>
      </c>
      <c r="P42" s="138" t="s">
        <v>112</v>
      </c>
      <c r="Q42" s="176" t="s">
        <v>113</v>
      </c>
      <c r="R42" s="176" t="s">
        <v>114</v>
      </c>
      <c r="S42" s="176"/>
      <c r="T42" s="177">
        <v>120</v>
      </c>
      <c r="U42" s="177"/>
      <c r="V42" s="19" t="s">
        <v>62</v>
      </c>
      <c r="W42" s="75">
        <v>10</v>
      </c>
      <c r="X42" s="108">
        <v>4</v>
      </c>
      <c r="Y42" s="73" t="s">
        <v>115</v>
      </c>
      <c r="Z42" s="82" t="s">
        <v>63</v>
      </c>
      <c r="AA42" s="20">
        <v>12</v>
      </c>
      <c r="AB42" s="20">
        <v>6</v>
      </c>
      <c r="AC42" s="21">
        <v>34</v>
      </c>
      <c r="AD42" s="21" t="s">
        <v>80</v>
      </c>
      <c r="AE42" s="21" t="s">
        <v>116</v>
      </c>
      <c r="AF42" s="21">
        <v>2.6</v>
      </c>
      <c r="AG42" s="21" t="s">
        <v>80</v>
      </c>
      <c r="AH42" s="21" t="s">
        <v>117</v>
      </c>
      <c r="AI42" s="21"/>
      <c r="AJ42" s="21"/>
      <c r="AK42" s="20">
        <v>65</v>
      </c>
      <c r="AL42" s="20" t="s">
        <v>81</v>
      </c>
      <c r="AM42" s="20" t="s">
        <v>118</v>
      </c>
      <c r="AN42" s="20">
        <v>3.8</v>
      </c>
      <c r="AO42" s="20" t="s">
        <v>81</v>
      </c>
      <c r="AP42" s="20" t="s">
        <v>117</v>
      </c>
      <c r="AQ42" s="20"/>
      <c r="AR42" s="20"/>
      <c r="AS42" s="21">
        <v>174</v>
      </c>
      <c r="AT42" s="21" t="s">
        <v>119</v>
      </c>
      <c r="AU42" s="21" t="s">
        <v>118</v>
      </c>
      <c r="AV42" s="21">
        <v>2.9</v>
      </c>
      <c r="AW42" s="21" t="s">
        <v>119</v>
      </c>
      <c r="AX42" s="21" t="s">
        <v>117</v>
      </c>
      <c r="AY42" s="21"/>
      <c r="AZ42" s="21"/>
      <c r="BA42" s="20"/>
      <c r="BB42" s="20"/>
      <c r="BC42" s="20"/>
      <c r="BD42" s="20"/>
      <c r="BE42" s="20"/>
      <c r="BF42" s="20"/>
      <c r="BG42" s="20"/>
      <c r="BH42" s="20"/>
      <c r="BI42" s="165">
        <v>1.78</v>
      </c>
      <c r="BJ42" s="165" t="s">
        <v>120</v>
      </c>
      <c r="BK42" s="165" t="s">
        <v>118</v>
      </c>
      <c r="BL42" s="165">
        <v>0.06</v>
      </c>
      <c r="BM42" s="165" t="s">
        <v>120</v>
      </c>
      <c r="BN42" s="165" t="s">
        <v>117</v>
      </c>
      <c r="BO42" s="165"/>
      <c r="BP42" s="165"/>
      <c r="BQ42" s="20" t="s">
        <v>121</v>
      </c>
      <c r="BR42" s="71"/>
      <c r="BS42" s="124">
        <v>73</v>
      </c>
    </row>
    <row r="43" spans="1:71" ht="14.25" hidden="1" customHeight="1" x14ac:dyDescent="0.2">
      <c r="A43" s="92">
        <v>74</v>
      </c>
      <c r="B43" s="238" t="s">
        <v>108</v>
      </c>
      <c r="C43" s="236" t="s">
        <v>109</v>
      </c>
      <c r="D43" s="238" t="s">
        <v>140</v>
      </c>
      <c r="E43" s="17" t="s">
        <v>111</v>
      </c>
      <c r="F43" s="18" t="s">
        <v>103</v>
      </c>
      <c r="G43" s="181" t="s">
        <v>56</v>
      </c>
      <c r="H43" s="18" t="s">
        <v>57</v>
      </c>
      <c r="I43" s="18"/>
      <c r="J43" s="138">
        <v>10</v>
      </c>
      <c r="K43" s="139">
        <f t="shared" si="0"/>
        <v>9.1350709999999999</v>
      </c>
      <c r="L43" s="139" t="s">
        <v>58</v>
      </c>
      <c r="M43" s="138" t="s">
        <v>59</v>
      </c>
      <c r="N43" s="138" t="s">
        <v>141</v>
      </c>
      <c r="O43" s="138" t="s">
        <v>60</v>
      </c>
      <c r="P43" s="138" t="s">
        <v>112</v>
      </c>
      <c r="Q43" s="176" t="s">
        <v>113</v>
      </c>
      <c r="R43" s="176" t="s">
        <v>114</v>
      </c>
      <c r="S43" s="176"/>
      <c r="T43" s="177">
        <v>120</v>
      </c>
      <c r="U43" s="177"/>
      <c r="V43" s="19" t="s">
        <v>62</v>
      </c>
      <c r="W43" s="75">
        <v>10</v>
      </c>
      <c r="X43" s="108">
        <v>4</v>
      </c>
      <c r="Y43" s="73" t="s">
        <v>115</v>
      </c>
      <c r="Z43" s="82" t="s">
        <v>63</v>
      </c>
      <c r="AA43" s="20">
        <v>6</v>
      </c>
      <c r="AB43" s="20">
        <v>4</v>
      </c>
      <c r="AC43" s="21">
        <v>52</v>
      </c>
      <c r="AD43" s="21" t="s">
        <v>80</v>
      </c>
      <c r="AE43" s="21" t="s">
        <v>116</v>
      </c>
      <c r="AF43" s="21">
        <v>4.5</v>
      </c>
      <c r="AG43" s="21" t="s">
        <v>80</v>
      </c>
      <c r="AH43" s="21" t="s">
        <v>117</v>
      </c>
      <c r="AI43" s="21"/>
      <c r="AJ43" s="21"/>
      <c r="AK43" s="20">
        <v>66</v>
      </c>
      <c r="AL43" s="20" t="s">
        <v>81</v>
      </c>
      <c r="AM43" s="20" t="s">
        <v>118</v>
      </c>
      <c r="AN43" s="20">
        <v>4.9000000000000004</v>
      </c>
      <c r="AO43" s="20" t="s">
        <v>81</v>
      </c>
      <c r="AP43" s="20" t="s">
        <v>117</v>
      </c>
      <c r="AQ43" s="20"/>
      <c r="AR43" s="20"/>
      <c r="AS43" s="21">
        <v>161</v>
      </c>
      <c r="AT43" s="21" t="s">
        <v>119</v>
      </c>
      <c r="AU43" s="21" t="s">
        <v>118</v>
      </c>
      <c r="AV43" s="21">
        <v>1.6</v>
      </c>
      <c r="AW43" s="21" t="s">
        <v>119</v>
      </c>
      <c r="AX43" s="21" t="s">
        <v>117</v>
      </c>
      <c r="AY43" s="21"/>
      <c r="AZ43" s="21"/>
      <c r="BA43" s="20"/>
      <c r="BB43" s="20"/>
      <c r="BC43" s="20"/>
      <c r="BD43" s="20"/>
      <c r="BE43" s="20"/>
      <c r="BF43" s="20"/>
      <c r="BG43" s="20"/>
      <c r="BH43" s="20"/>
      <c r="BI43" s="165">
        <v>1.69</v>
      </c>
      <c r="BJ43" s="165" t="s">
        <v>123</v>
      </c>
      <c r="BK43" s="165" t="s">
        <v>118</v>
      </c>
      <c r="BL43" s="165">
        <v>0.05</v>
      </c>
      <c r="BM43" s="165" t="s">
        <v>123</v>
      </c>
      <c r="BN43" s="165" t="s">
        <v>117</v>
      </c>
      <c r="BO43" s="165"/>
      <c r="BP43" s="165"/>
      <c r="BQ43" s="20" t="s">
        <v>121</v>
      </c>
      <c r="BR43" s="71"/>
      <c r="BS43" s="124">
        <v>74</v>
      </c>
    </row>
    <row r="44" spans="1:71" ht="14.25" hidden="1" customHeight="1" x14ac:dyDescent="0.2">
      <c r="A44" s="92">
        <v>75</v>
      </c>
      <c r="B44" s="238" t="s">
        <v>108</v>
      </c>
      <c r="C44" s="236" t="s">
        <v>109</v>
      </c>
      <c r="D44" s="238" t="s">
        <v>142</v>
      </c>
      <c r="E44" s="17" t="s">
        <v>111</v>
      </c>
      <c r="F44" s="18" t="s">
        <v>103</v>
      </c>
      <c r="G44" s="181" t="s">
        <v>56</v>
      </c>
      <c r="H44" s="18" t="s">
        <v>57</v>
      </c>
      <c r="I44" s="18"/>
      <c r="J44" s="138">
        <v>10</v>
      </c>
      <c r="K44" s="139">
        <f t="shared" si="0"/>
        <v>9.1350709999999999</v>
      </c>
      <c r="L44" s="139" t="s">
        <v>58</v>
      </c>
      <c r="M44" s="138" t="s">
        <v>59</v>
      </c>
      <c r="N44" s="138" t="s">
        <v>141</v>
      </c>
      <c r="O44" s="138" t="s">
        <v>60</v>
      </c>
      <c r="P44" s="138" t="s">
        <v>112</v>
      </c>
      <c r="Q44" s="176" t="s">
        <v>113</v>
      </c>
      <c r="R44" s="176" t="s">
        <v>114</v>
      </c>
      <c r="S44" s="176"/>
      <c r="T44" s="177">
        <v>120</v>
      </c>
      <c r="U44" s="177"/>
      <c r="V44" s="19" t="s">
        <v>62</v>
      </c>
      <c r="W44" s="75">
        <v>10</v>
      </c>
      <c r="X44" s="108">
        <v>4</v>
      </c>
      <c r="Y44" s="73" t="s">
        <v>115</v>
      </c>
      <c r="Z44" s="82" t="s">
        <v>63</v>
      </c>
      <c r="AA44" s="20">
        <v>5</v>
      </c>
      <c r="AB44" s="20">
        <v>2</v>
      </c>
      <c r="AC44" s="21">
        <v>59</v>
      </c>
      <c r="AD44" s="21" t="s">
        <v>80</v>
      </c>
      <c r="AE44" s="21" t="s">
        <v>116</v>
      </c>
      <c r="AF44" s="21">
        <v>2.7</v>
      </c>
      <c r="AG44" s="21" t="s">
        <v>80</v>
      </c>
      <c r="AH44" s="21" t="s">
        <v>117</v>
      </c>
      <c r="AI44" s="21"/>
      <c r="AJ44" s="21"/>
      <c r="AK44" s="20">
        <v>67</v>
      </c>
      <c r="AL44" s="20" t="s">
        <v>81</v>
      </c>
      <c r="AM44" s="20" t="s">
        <v>118</v>
      </c>
      <c r="AN44" s="20">
        <v>4.5</v>
      </c>
      <c r="AO44" s="20" t="s">
        <v>81</v>
      </c>
      <c r="AP44" s="20" t="s">
        <v>117</v>
      </c>
      <c r="AQ44" s="20"/>
      <c r="AR44" s="20"/>
      <c r="AS44" s="21">
        <v>164</v>
      </c>
      <c r="AT44" s="21" t="s">
        <v>119</v>
      </c>
      <c r="AU44" s="21" t="s">
        <v>118</v>
      </c>
      <c r="AV44" s="21">
        <v>1.8</v>
      </c>
      <c r="AW44" s="21" t="s">
        <v>119</v>
      </c>
      <c r="AX44" s="21" t="s">
        <v>117</v>
      </c>
      <c r="AY44" s="21"/>
      <c r="AZ44" s="21"/>
      <c r="BA44" s="20"/>
      <c r="BB44" s="20"/>
      <c r="BC44" s="20"/>
      <c r="BD44" s="20"/>
      <c r="BE44" s="20"/>
      <c r="BF44" s="20"/>
      <c r="BG44" s="20"/>
      <c r="BH44" s="20"/>
      <c r="BI44" s="165">
        <v>1.73</v>
      </c>
      <c r="BJ44" s="165" t="s">
        <v>125</v>
      </c>
      <c r="BK44" s="165" t="s">
        <v>118</v>
      </c>
      <c r="BL44" s="165">
        <v>0.06</v>
      </c>
      <c r="BM44" s="165" t="s">
        <v>125</v>
      </c>
      <c r="BN44" s="165" t="s">
        <v>117</v>
      </c>
      <c r="BO44" s="165"/>
      <c r="BP44" s="165"/>
      <c r="BQ44" s="20" t="s">
        <v>121</v>
      </c>
      <c r="BR44" s="71"/>
      <c r="BS44" s="124">
        <v>75</v>
      </c>
    </row>
    <row r="45" spans="1:71" ht="14.25" hidden="1" customHeight="1" x14ac:dyDescent="0.2">
      <c r="A45" s="92">
        <v>76</v>
      </c>
      <c r="B45" s="238" t="s">
        <v>108</v>
      </c>
      <c r="C45" s="236" t="s">
        <v>109</v>
      </c>
      <c r="D45" s="238" t="s">
        <v>143</v>
      </c>
      <c r="E45" s="17" t="s">
        <v>111</v>
      </c>
      <c r="F45" s="18" t="s">
        <v>103</v>
      </c>
      <c r="G45" s="181" t="s">
        <v>56</v>
      </c>
      <c r="H45" s="18" t="s">
        <v>57</v>
      </c>
      <c r="I45" s="18"/>
      <c r="J45" s="138">
        <v>10</v>
      </c>
      <c r="K45" s="139">
        <f t="shared" si="0"/>
        <v>9.1350709999999999</v>
      </c>
      <c r="L45" s="139" t="s">
        <v>58</v>
      </c>
      <c r="M45" s="138" t="s">
        <v>59</v>
      </c>
      <c r="N45" s="138" t="s">
        <v>141</v>
      </c>
      <c r="O45" s="138" t="s">
        <v>60</v>
      </c>
      <c r="P45" s="138" t="s">
        <v>112</v>
      </c>
      <c r="Q45" s="176" t="s">
        <v>113</v>
      </c>
      <c r="R45" s="176" t="s">
        <v>114</v>
      </c>
      <c r="S45" s="176"/>
      <c r="T45" s="177">
        <v>120</v>
      </c>
      <c r="U45" s="177"/>
      <c r="V45" s="19" t="s">
        <v>62</v>
      </c>
      <c r="W45" s="75">
        <v>10</v>
      </c>
      <c r="X45" s="108">
        <v>4</v>
      </c>
      <c r="Y45" s="73" t="s">
        <v>115</v>
      </c>
      <c r="Z45" s="82" t="s">
        <v>63</v>
      </c>
      <c r="AA45" s="20">
        <v>6</v>
      </c>
      <c r="AB45" s="20">
        <v>0</v>
      </c>
      <c r="AC45" s="21">
        <v>47</v>
      </c>
      <c r="AD45" s="21" t="s">
        <v>80</v>
      </c>
      <c r="AE45" s="21" t="s">
        <v>116</v>
      </c>
      <c r="AF45" s="21">
        <v>6.1</v>
      </c>
      <c r="AG45" s="21" t="s">
        <v>80</v>
      </c>
      <c r="AH45" s="21" t="s">
        <v>117</v>
      </c>
      <c r="AI45" s="21"/>
      <c r="AJ45" s="21"/>
      <c r="AK45" s="20">
        <v>66</v>
      </c>
      <c r="AL45" s="20" t="s">
        <v>81</v>
      </c>
      <c r="AM45" s="20" t="s">
        <v>118</v>
      </c>
      <c r="AN45" s="20">
        <v>4.5</v>
      </c>
      <c r="AO45" s="20" t="s">
        <v>81</v>
      </c>
      <c r="AP45" s="20" t="s">
        <v>117</v>
      </c>
      <c r="AQ45" s="20"/>
      <c r="AR45" s="20"/>
      <c r="AS45" s="21">
        <v>171</v>
      </c>
      <c r="AT45" s="21" t="s">
        <v>119</v>
      </c>
      <c r="AU45" s="21" t="s">
        <v>118</v>
      </c>
      <c r="AV45" s="21">
        <v>2.4</v>
      </c>
      <c r="AW45" s="21" t="s">
        <v>119</v>
      </c>
      <c r="AX45" s="21" t="s">
        <v>117</v>
      </c>
      <c r="AY45" s="21"/>
      <c r="AZ45" s="21"/>
      <c r="BA45" s="20"/>
      <c r="BB45" s="20"/>
      <c r="BC45" s="20"/>
      <c r="BD45" s="20"/>
      <c r="BE45" s="20"/>
      <c r="BF45" s="20"/>
      <c r="BG45" s="20"/>
      <c r="BH45" s="20"/>
      <c r="BI45" s="165">
        <v>1.76</v>
      </c>
      <c r="BJ45" s="165" t="s">
        <v>127</v>
      </c>
      <c r="BK45" s="165" t="s">
        <v>118</v>
      </c>
      <c r="BL45" s="165">
        <v>0.06</v>
      </c>
      <c r="BM45" s="165" t="s">
        <v>127</v>
      </c>
      <c r="BN45" s="165" t="s">
        <v>117</v>
      </c>
      <c r="BO45" s="165"/>
      <c r="BP45" s="165"/>
      <c r="BQ45" s="20" t="s">
        <v>121</v>
      </c>
      <c r="BR45" s="71"/>
      <c r="BS45" s="124">
        <v>76</v>
      </c>
    </row>
    <row r="46" spans="1:71" ht="14.25" hidden="1" customHeight="1" x14ac:dyDescent="0.2">
      <c r="A46" s="92">
        <v>77</v>
      </c>
      <c r="B46" s="238" t="s">
        <v>108</v>
      </c>
      <c r="C46" s="236" t="s">
        <v>109</v>
      </c>
      <c r="D46" s="238" t="s">
        <v>144</v>
      </c>
      <c r="E46" s="17" t="s">
        <v>111</v>
      </c>
      <c r="F46" s="18" t="s">
        <v>103</v>
      </c>
      <c r="G46" s="181" t="s">
        <v>56</v>
      </c>
      <c r="H46" s="18" t="s">
        <v>57</v>
      </c>
      <c r="I46" s="18"/>
      <c r="J46" s="138">
        <v>10</v>
      </c>
      <c r="K46" s="139">
        <f t="shared" si="0"/>
        <v>9.1350709999999999</v>
      </c>
      <c r="L46" s="139" t="s">
        <v>58</v>
      </c>
      <c r="M46" s="138" t="s">
        <v>59</v>
      </c>
      <c r="N46" s="138" t="s">
        <v>141</v>
      </c>
      <c r="O46" s="138" t="s">
        <v>60</v>
      </c>
      <c r="P46" s="138" t="s">
        <v>112</v>
      </c>
      <c r="Q46" s="176" t="s">
        <v>113</v>
      </c>
      <c r="R46" s="176" t="s">
        <v>114</v>
      </c>
      <c r="S46" s="176"/>
      <c r="T46" s="177">
        <v>120</v>
      </c>
      <c r="U46" s="177"/>
      <c r="V46" s="19" t="s">
        <v>62</v>
      </c>
      <c r="W46" s="75">
        <v>10</v>
      </c>
      <c r="X46" s="108">
        <v>4</v>
      </c>
      <c r="Y46" s="73" t="s">
        <v>115</v>
      </c>
      <c r="Z46" s="82" t="s">
        <v>63</v>
      </c>
      <c r="AA46" s="20">
        <v>6</v>
      </c>
      <c r="AB46" s="20">
        <v>2</v>
      </c>
      <c r="AC46" s="21">
        <v>53</v>
      </c>
      <c r="AD46" s="21" t="s">
        <v>80</v>
      </c>
      <c r="AE46" s="21" t="s">
        <v>116</v>
      </c>
      <c r="AF46" s="21">
        <v>6.1</v>
      </c>
      <c r="AG46" s="21" t="s">
        <v>80</v>
      </c>
      <c r="AH46" s="21" t="s">
        <v>117</v>
      </c>
      <c r="AI46" s="21"/>
      <c r="AJ46" s="21"/>
      <c r="AK46" s="20">
        <v>65</v>
      </c>
      <c r="AL46" s="20" t="s">
        <v>81</v>
      </c>
      <c r="AM46" s="20" t="s">
        <v>118</v>
      </c>
      <c r="AN46" s="20">
        <v>3.4</v>
      </c>
      <c r="AO46" s="20" t="s">
        <v>81</v>
      </c>
      <c r="AP46" s="20" t="s">
        <v>117</v>
      </c>
      <c r="AQ46" s="20"/>
      <c r="AR46" s="20"/>
      <c r="AS46" s="21">
        <v>167</v>
      </c>
      <c r="AT46" s="21" t="s">
        <v>119</v>
      </c>
      <c r="AU46" s="21" t="s">
        <v>118</v>
      </c>
      <c r="AV46" s="21">
        <v>3.7</v>
      </c>
      <c r="AW46" s="21" t="s">
        <v>119</v>
      </c>
      <c r="AX46" s="21" t="s">
        <v>117</v>
      </c>
      <c r="AY46" s="21"/>
      <c r="AZ46" s="21"/>
      <c r="BA46" s="20"/>
      <c r="BB46" s="20"/>
      <c r="BC46" s="20"/>
      <c r="BD46" s="20"/>
      <c r="BE46" s="20"/>
      <c r="BF46" s="20"/>
      <c r="BG46" s="20"/>
      <c r="BH46" s="20"/>
      <c r="BI46" s="165">
        <v>1.73</v>
      </c>
      <c r="BJ46" s="165" t="s">
        <v>129</v>
      </c>
      <c r="BK46" s="165" t="s">
        <v>118</v>
      </c>
      <c r="BL46" s="165">
        <v>0.06</v>
      </c>
      <c r="BM46" s="165" t="s">
        <v>129</v>
      </c>
      <c r="BN46" s="165" t="s">
        <v>117</v>
      </c>
      <c r="BO46" s="165"/>
      <c r="BP46" s="165"/>
      <c r="BQ46" s="20" t="s">
        <v>121</v>
      </c>
      <c r="BR46" s="71"/>
      <c r="BS46" s="124">
        <v>77</v>
      </c>
    </row>
    <row r="47" spans="1:71" ht="14.25" hidden="1" customHeight="1" x14ac:dyDescent="0.2">
      <c r="A47" s="92">
        <v>78</v>
      </c>
      <c r="B47" s="238" t="s">
        <v>108</v>
      </c>
      <c r="C47" s="236" t="s">
        <v>109</v>
      </c>
      <c r="D47" s="238" t="s">
        <v>145</v>
      </c>
      <c r="E47" s="17" t="s">
        <v>111</v>
      </c>
      <c r="F47" s="18" t="s">
        <v>103</v>
      </c>
      <c r="G47" s="181" t="s">
        <v>56</v>
      </c>
      <c r="H47" s="18" t="s">
        <v>57</v>
      </c>
      <c r="I47" s="18"/>
      <c r="J47" s="138">
        <v>10</v>
      </c>
      <c r="K47" s="139">
        <f t="shared" si="0"/>
        <v>9.1350709999999999</v>
      </c>
      <c r="L47" s="139" t="s">
        <v>58</v>
      </c>
      <c r="M47" s="138" t="s">
        <v>59</v>
      </c>
      <c r="N47" s="138" t="s">
        <v>141</v>
      </c>
      <c r="O47" s="138" t="s">
        <v>60</v>
      </c>
      <c r="P47" s="138" t="s">
        <v>112</v>
      </c>
      <c r="Q47" s="176" t="s">
        <v>113</v>
      </c>
      <c r="R47" s="176" t="s">
        <v>114</v>
      </c>
      <c r="S47" s="176"/>
      <c r="T47" s="177">
        <v>120</v>
      </c>
      <c r="U47" s="177"/>
      <c r="V47" s="19" t="s">
        <v>62</v>
      </c>
      <c r="W47" s="75">
        <v>10</v>
      </c>
      <c r="X47" s="108">
        <v>4</v>
      </c>
      <c r="Y47" s="73" t="s">
        <v>115</v>
      </c>
      <c r="Z47" s="82" t="s">
        <v>63</v>
      </c>
      <c r="AA47" s="20">
        <v>6</v>
      </c>
      <c r="AB47" s="20">
        <v>3</v>
      </c>
      <c r="AC47" s="21">
        <v>54</v>
      </c>
      <c r="AD47" s="21" t="s">
        <v>80</v>
      </c>
      <c r="AE47" s="21" t="s">
        <v>116</v>
      </c>
      <c r="AF47" s="21">
        <v>4.0999999999999996</v>
      </c>
      <c r="AG47" s="21" t="s">
        <v>80</v>
      </c>
      <c r="AH47" s="21" t="s">
        <v>117</v>
      </c>
      <c r="AI47" s="21"/>
      <c r="AJ47" s="21"/>
      <c r="AK47" s="20">
        <v>72</v>
      </c>
      <c r="AL47" s="20" t="s">
        <v>81</v>
      </c>
      <c r="AM47" s="20" t="s">
        <v>118</v>
      </c>
      <c r="AN47" s="20">
        <v>4.0999999999999996</v>
      </c>
      <c r="AO47" s="20" t="s">
        <v>81</v>
      </c>
      <c r="AP47" s="20" t="s">
        <v>117</v>
      </c>
      <c r="AQ47" s="20"/>
      <c r="AR47" s="20"/>
      <c r="AS47" s="21">
        <v>168</v>
      </c>
      <c r="AT47" s="21" t="s">
        <v>119</v>
      </c>
      <c r="AU47" s="21" t="s">
        <v>118</v>
      </c>
      <c r="AV47" s="21">
        <v>3.3</v>
      </c>
      <c r="AW47" s="21" t="s">
        <v>119</v>
      </c>
      <c r="AX47" s="21" t="s">
        <v>117</v>
      </c>
      <c r="AY47" s="21"/>
      <c r="AZ47" s="21"/>
      <c r="BA47" s="20"/>
      <c r="BB47" s="20"/>
      <c r="BC47" s="20"/>
      <c r="BD47" s="20"/>
      <c r="BE47" s="20"/>
      <c r="BF47" s="20"/>
      <c r="BG47" s="20"/>
      <c r="BH47" s="20"/>
      <c r="BI47" s="165">
        <v>1.82</v>
      </c>
      <c r="BJ47" s="165" t="s">
        <v>131</v>
      </c>
      <c r="BK47" s="165" t="s">
        <v>118</v>
      </c>
      <c r="BL47" s="165">
        <v>7.0000000000000007E-2</v>
      </c>
      <c r="BM47" s="165" t="s">
        <v>131</v>
      </c>
      <c r="BN47" s="165" t="s">
        <v>117</v>
      </c>
      <c r="BO47" s="165"/>
      <c r="BP47" s="165"/>
      <c r="BQ47" s="20" t="s">
        <v>121</v>
      </c>
      <c r="BR47" s="71"/>
      <c r="BS47" s="124">
        <v>78</v>
      </c>
    </row>
    <row r="48" spans="1:71" ht="14.25" hidden="1" customHeight="1" x14ac:dyDescent="0.2">
      <c r="A48" s="92">
        <v>79</v>
      </c>
      <c r="B48" s="235" t="s">
        <v>146</v>
      </c>
      <c r="C48" s="236" t="s">
        <v>147</v>
      </c>
      <c r="D48" s="235" t="s">
        <v>148</v>
      </c>
      <c r="E48" s="125" t="s">
        <v>149</v>
      </c>
      <c r="F48" s="181" t="s">
        <v>103</v>
      </c>
      <c r="G48" s="181" t="s">
        <v>56</v>
      </c>
      <c r="H48" s="181" t="s">
        <v>57</v>
      </c>
      <c r="I48" s="181"/>
      <c r="J48" s="178">
        <v>200</v>
      </c>
      <c r="K48" s="182"/>
      <c r="L48" s="182" t="s">
        <v>58</v>
      </c>
      <c r="M48" s="178" t="s">
        <v>59</v>
      </c>
      <c r="N48" s="178">
        <v>0</v>
      </c>
      <c r="O48" s="178" t="s">
        <v>60</v>
      </c>
      <c r="P48" s="178" t="s">
        <v>79</v>
      </c>
      <c r="Q48" s="179"/>
      <c r="R48" s="179" t="s">
        <v>150</v>
      </c>
      <c r="S48" s="180"/>
      <c r="T48" s="179">
        <v>200</v>
      </c>
      <c r="U48" s="179" t="s">
        <v>151</v>
      </c>
      <c r="V48" s="167" t="s">
        <v>62</v>
      </c>
      <c r="W48" s="168"/>
      <c r="Y48" s="167"/>
      <c r="Z48" s="82" t="s">
        <v>63</v>
      </c>
      <c r="AA48" s="166">
        <v>28</v>
      </c>
      <c r="AB48" s="166">
        <v>0</v>
      </c>
      <c r="AC48" s="165">
        <v>23</v>
      </c>
      <c r="AD48" s="165" t="s">
        <v>80</v>
      </c>
      <c r="AE48" s="165" t="s">
        <v>116</v>
      </c>
      <c r="AF48" s="165"/>
      <c r="AG48" s="165"/>
      <c r="AH48" s="165"/>
      <c r="AI48" s="165">
        <v>20</v>
      </c>
      <c r="AJ48" s="165">
        <v>32</v>
      </c>
      <c r="AK48" s="166">
        <v>70.900000000000006</v>
      </c>
      <c r="AL48" s="166" t="s">
        <v>81</v>
      </c>
      <c r="AM48" s="166" t="s">
        <v>118</v>
      </c>
      <c r="AN48" s="166"/>
      <c r="AO48" s="166"/>
      <c r="AP48" s="166"/>
      <c r="AQ48" s="166">
        <v>56.8</v>
      </c>
      <c r="AR48" s="166">
        <v>89.5</v>
      </c>
      <c r="AS48" s="165"/>
      <c r="AT48" s="165"/>
      <c r="AU48" s="165"/>
      <c r="AV48" s="165"/>
      <c r="AW48" s="165"/>
      <c r="AX48" s="165"/>
      <c r="AY48" s="165"/>
      <c r="AZ48" s="165"/>
      <c r="BA48" s="166"/>
      <c r="BB48" s="166"/>
      <c r="BC48" s="166"/>
      <c r="BD48" s="166"/>
      <c r="BE48" s="166"/>
      <c r="BF48" s="166"/>
      <c r="BG48" s="166"/>
      <c r="BH48" s="166"/>
      <c r="BI48" s="165"/>
      <c r="BJ48" s="165"/>
      <c r="BK48" s="165"/>
      <c r="BL48" s="165"/>
      <c r="BM48" s="165"/>
      <c r="BN48" s="165"/>
      <c r="BO48" s="165"/>
      <c r="BP48" s="165"/>
      <c r="BQ48" s="166"/>
      <c r="BR48" s="165"/>
      <c r="BS48" s="124">
        <v>79</v>
      </c>
    </row>
    <row r="49" spans="1:72" ht="14.25" hidden="1" customHeight="1" x14ac:dyDescent="0.2">
      <c r="A49" s="92">
        <v>80</v>
      </c>
      <c r="B49" s="235" t="s">
        <v>146</v>
      </c>
      <c r="C49" s="236" t="s">
        <v>147</v>
      </c>
      <c r="D49" s="235" t="s">
        <v>148</v>
      </c>
      <c r="E49" s="125" t="s">
        <v>152</v>
      </c>
      <c r="F49" s="181" t="s">
        <v>103</v>
      </c>
      <c r="G49" s="181" t="s">
        <v>56</v>
      </c>
      <c r="H49" s="181" t="s">
        <v>66</v>
      </c>
      <c r="I49" s="181"/>
      <c r="J49" s="178">
        <v>200</v>
      </c>
      <c r="K49" s="182"/>
      <c r="L49" s="182" t="s">
        <v>58</v>
      </c>
      <c r="M49" s="178" t="s">
        <v>59</v>
      </c>
      <c r="N49" s="178">
        <v>0</v>
      </c>
      <c r="O49" s="178" t="s">
        <v>60</v>
      </c>
      <c r="P49" s="178" t="s">
        <v>79</v>
      </c>
      <c r="Q49" s="179"/>
      <c r="R49" s="179" t="s">
        <v>150</v>
      </c>
      <c r="S49" s="180"/>
      <c r="T49" s="179">
        <v>200</v>
      </c>
      <c r="U49" s="179" t="s">
        <v>151</v>
      </c>
      <c r="V49" s="167" t="s">
        <v>62</v>
      </c>
      <c r="W49" s="168"/>
      <c r="Y49" s="167"/>
      <c r="Z49" s="82" t="s">
        <v>63</v>
      </c>
      <c r="AA49" s="166">
        <v>28</v>
      </c>
      <c r="AB49" s="166">
        <v>0</v>
      </c>
      <c r="AC49" s="165">
        <v>23</v>
      </c>
      <c r="AD49" s="165" t="s">
        <v>80</v>
      </c>
      <c r="AE49" s="165" t="s">
        <v>116</v>
      </c>
      <c r="AF49" s="165"/>
      <c r="AG49" s="165"/>
      <c r="AH49" s="165"/>
      <c r="AI49" s="165">
        <v>20</v>
      </c>
      <c r="AJ49" s="165">
        <v>32</v>
      </c>
      <c r="AK49" s="166">
        <v>70.900000000000006</v>
      </c>
      <c r="AL49" s="166" t="s">
        <v>81</v>
      </c>
      <c r="AM49" s="166" t="s">
        <v>118</v>
      </c>
      <c r="AN49" s="166"/>
      <c r="AO49" s="166"/>
      <c r="AP49" s="166"/>
      <c r="AQ49" s="166">
        <v>56.8</v>
      </c>
      <c r="AR49" s="166">
        <v>89.5</v>
      </c>
      <c r="AS49" s="165"/>
      <c r="AT49" s="165"/>
      <c r="AU49" s="165"/>
      <c r="AV49" s="165"/>
      <c r="AW49" s="165"/>
      <c r="AX49" s="165"/>
      <c r="AY49" s="165"/>
      <c r="AZ49" s="165"/>
      <c r="BA49" s="166"/>
      <c r="BB49" s="166"/>
      <c r="BC49" s="166"/>
      <c r="BD49" s="166"/>
      <c r="BE49" s="166"/>
      <c r="BF49" s="166"/>
      <c r="BG49" s="166"/>
      <c r="BH49" s="166"/>
      <c r="BI49" s="165"/>
      <c r="BJ49" s="165"/>
      <c r="BK49" s="165"/>
      <c r="BL49" s="165"/>
      <c r="BM49" s="165"/>
      <c r="BN49" s="165"/>
      <c r="BO49" s="165"/>
      <c r="BP49" s="165"/>
      <c r="BQ49" s="166"/>
      <c r="BR49" s="165"/>
      <c r="BS49" s="124">
        <v>80</v>
      </c>
      <c r="BT49" s="124"/>
    </row>
    <row r="50" spans="1:72" ht="14.25" hidden="1" customHeight="1" x14ac:dyDescent="0.2">
      <c r="A50" s="92">
        <v>81</v>
      </c>
      <c r="B50" s="235" t="s">
        <v>146</v>
      </c>
      <c r="C50" s="236" t="s">
        <v>147</v>
      </c>
      <c r="D50" s="235" t="s">
        <v>153</v>
      </c>
      <c r="E50" s="125" t="s">
        <v>149</v>
      </c>
      <c r="F50" s="181" t="s">
        <v>103</v>
      </c>
      <c r="G50" s="181" t="s">
        <v>56</v>
      </c>
      <c r="H50" s="181" t="s">
        <v>57</v>
      </c>
      <c r="I50" s="181"/>
      <c r="J50" s="178">
        <v>200</v>
      </c>
      <c r="K50" s="182"/>
      <c r="L50" s="182" t="s">
        <v>58</v>
      </c>
      <c r="M50" s="178" t="s">
        <v>59</v>
      </c>
      <c r="N50" s="178">
        <v>0</v>
      </c>
      <c r="O50" s="178" t="s">
        <v>60</v>
      </c>
      <c r="P50" s="178" t="s">
        <v>79</v>
      </c>
      <c r="Q50" s="179"/>
      <c r="R50" s="179" t="s">
        <v>150</v>
      </c>
      <c r="S50" s="180"/>
      <c r="T50" s="179">
        <v>200</v>
      </c>
      <c r="U50" s="179" t="s">
        <v>151</v>
      </c>
      <c r="V50" s="167" t="s">
        <v>154</v>
      </c>
      <c r="W50" s="168">
        <v>0</v>
      </c>
      <c r="Y50" s="167" t="s">
        <v>155</v>
      </c>
      <c r="Z50" s="82" t="s">
        <v>63</v>
      </c>
      <c r="AA50" s="166">
        <v>28</v>
      </c>
      <c r="AB50" s="166">
        <v>0</v>
      </c>
      <c r="AC50" s="165">
        <v>23</v>
      </c>
      <c r="AD50" s="165" t="s">
        <v>80</v>
      </c>
      <c r="AE50" s="165" t="s">
        <v>116</v>
      </c>
      <c r="AF50" s="165"/>
      <c r="AG50" s="165"/>
      <c r="AH50" s="165"/>
      <c r="AI50" s="165">
        <v>20</v>
      </c>
      <c r="AJ50" s="165">
        <v>32</v>
      </c>
      <c r="AK50" s="166">
        <v>70.900000000000006</v>
      </c>
      <c r="AL50" s="166" t="s">
        <v>81</v>
      </c>
      <c r="AM50" s="166" t="s">
        <v>118</v>
      </c>
      <c r="AN50" s="166"/>
      <c r="AO50" s="166"/>
      <c r="AP50" s="166"/>
      <c r="AQ50" s="166">
        <v>56.8</v>
      </c>
      <c r="AR50" s="166">
        <v>89.5</v>
      </c>
      <c r="AS50" s="165"/>
      <c r="AT50" s="165"/>
      <c r="AU50" s="165"/>
      <c r="AV50" s="165"/>
      <c r="AW50" s="165"/>
      <c r="AX50" s="165"/>
      <c r="AY50" s="165"/>
      <c r="AZ50" s="165"/>
      <c r="BA50" s="166"/>
      <c r="BB50" s="166"/>
      <c r="BC50" s="166"/>
      <c r="BD50" s="166"/>
      <c r="BE50" s="166"/>
      <c r="BF50" s="166"/>
      <c r="BG50" s="166"/>
      <c r="BH50" s="166"/>
      <c r="BI50" s="165"/>
      <c r="BJ50" s="165"/>
      <c r="BK50" s="165"/>
      <c r="BL50" s="165"/>
      <c r="BM50" s="165"/>
      <c r="BN50" s="165"/>
      <c r="BO50" s="165"/>
      <c r="BP50" s="165"/>
      <c r="BQ50" s="166"/>
      <c r="BR50" s="165"/>
      <c r="BS50" s="124">
        <v>81</v>
      </c>
      <c r="BT50" s="124"/>
    </row>
    <row r="51" spans="1:72" ht="14.25" hidden="1" customHeight="1" x14ac:dyDescent="0.2">
      <c r="A51" s="92">
        <v>82</v>
      </c>
      <c r="B51" s="235" t="s">
        <v>146</v>
      </c>
      <c r="C51" s="236" t="s">
        <v>147</v>
      </c>
      <c r="D51" s="235" t="s">
        <v>153</v>
      </c>
      <c r="E51" s="125" t="s">
        <v>152</v>
      </c>
      <c r="F51" s="181" t="s">
        <v>103</v>
      </c>
      <c r="G51" s="181" t="s">
        <v>56</v>
      </c>
      <c r="H51" s="181" t="s">
        <v>66</v>
      </c>
      <c r="I51" s="181"/>
      <c r="J51" s="178">
        <v>200</v>
      </c>
      <c r="K51" s="182"/>
      <c r="L51" s="182" t="s">
        <v>58</v>
      </c>
      <c r="M51" s="178" t="s">
        <v>59</v>
      </c>
      <c r="N51" s="178">
        <v>0</v>
      </c>
      <c r="O51" s="178" t="s">
        <v>60</v>
      </c>
      <c r="P51" s="178" t="s">
        <v>79</v>
      </c>
      <c r="Q51" s="179"/>
      <c r="R51" s="179" t="s">
        <v>150</v>
      </c>
      <c r="S51" s="180"/>
      <c r="T51" s="179">
        <v>200</v>
      </c>
      <c r="U51" s="179" t="s">
        <v>151</v>
      </c>
      <c r="V51" s="167" t="s">
        <v>154</v>
      </c>
      <c r="W51" s="168">
        <v>0</v>
      </c>
      <c r="Y51" s="167" t="s">
        <v>155</v>
      </c>
      <c r="Z51" s="82" t="s">
        <v>63</v>
      </c>
      <c r="AA51" s="166">
        <v>28</v>
      </c>
      <c r="AB51" s="166">
        <v>0</v>
      </c>
      <c r="AC51" s="165">
        <v>23</v>
      </c>
      <c r="AD51" s="165" t="s">
        <v>80</v>
      </c>
      <c r="AE51" s="165" t="s">
        <v>116</v>
      </c>
      <c r="AF51" s="165"/>
      <c r="AG51" s="165"/>
      <c r="AH51" s="165"/>
      <c r="AI51" s="165">
        <v>20</v>
      </c>
      <c r="AJ51" s="165">
        <v>32</v>
      </c>
      <c r="AK51" s="166">
        <v>70.900000000000006</v>
      </c>
      <c r="AL51" s="166" t="s">
        <v>81</v>
      </c>
      <c r="AM51" s="166" t="s">
        <v>118</v>
      </c>
      <c r="AN51" s="166"/>
      <c r="AO51" s="166"/>
      <c r="AP51" s="166"/>
      <c r="AQ51" s="166">
        <v>56.8</v>
      </c>
      <c r="AR51" s="166">
        <v>89.5</v>
      </c>
      <c r="AS51" s="165"/>
      <c r="AT51" s="165"/>
      <c r="AU51" s="165"/>
      <c r="AV51" s="165"/>
      <c r="AW51" s="165"/>
      <c r="AX51" s="165"/>
      <c r="AY51" s="165"/>
      <c r="AZ51" s="165"/>
      <c r="BA51" s="166"/>
      <c r="BB51" s="166"/>
      <c r="BC51" s="166"/>
      <c r="BD51" s="166"/>
      <c r="BE51" s="166"/>
      <c r="BF51" s="166"/>
      <c r="BG51" s="166"/>
      <c r="BH51" s="166"/>
      <c r="BI51" s="165"/>
      <c r="BJ51" s="165"/>
      <c r="BK51" s="165"/>
      <c r="BL51" s="165"/>
      <c r="BM51" s="165"/>
      <c r="BN51" s="165"/>
      <c r="BO51" s="165"/>
      <c r="BP51" s="165"/>
      <c r="BQ51" s="166"/>
      <c r="BR51" s="165"/>
      <c r="BS51" s="124">
        <v>82</v>
      </c>
      <c r="BT51" s="124"/>
    </row>
    <row r="52" spans="1:72" ht="14.25" hidden="1" customHeight="1" x14ac:dyDescent="0.2">
      <c r="A52" s="92">
        <v>83</v>
      </c>
      <c r="B52" s="235" t="s">
        <v>146</v>
      </c>
      <c r="C52" s="236" t="s">
        <v>147</v>
      </c>
      <c r="D52" s="235" t="s">
        <v>156</v>
      </c>
      <c r="E52" s="125" t="s">
        <v>149</v>
      </c>
      <c r="F52" s="181" t="s">
        <v>103</v>
      </c>
      <c r="G52" s="181" t="s">
        <v>56</v>
      </c>
      <c r="H52" s="181" t="s">
        <v>157</v>
      </c>
      <c r="I52" s="181"/>
      <c r="J52" s="178">
        <v>200</v>
      </c>
      <c r="K52" s="182"/>
      <c r="L52" s="182" t="s">
        <v>58</v>
      </c>
      <c r="M52" s="178" t="s">
        <v>59</v>
      </c>
      <c r="N52" s="138" t="s">
        <v>158</v>
      </c>
      <c r="O52" s="178" t="s">
        <v>60</v>
      </c>
      <c r="P52" s="178" t="s">
        <v>112</v>
      </c>
      <c r="Q52" s="179"/>
      <c r="R52" s="179" t="s">
        <v>150</v>
      </c>
      <c r="S52" s="180"/>
      <c r="T52" s="179">
        <v>200</v>
      </c>
      <c r="U52" s="179" t="s">
        <v>151</v>
      </c>
      <c r="V52" s="167" t="s">
        <v>154</v>
      </c>
      <c r="W52" s="168">
        <v>0</v>
      </c>
      <c r="Y52" s="167"/>
      <c r="Z52" s="82" t="s">
        <v>63</v>
      </c>
      <c r="AA52" s="166">
        <v>28</v>
      </c>
      <c r="AB52" s="166">
        <v>0</v>
      </c>
      <c r="AC52" s="165">
        <v>23</v>
      </c>
      <c r="AD52" s="165" t="s">
        <v>80</v>
      </c>
      <c r="AE52" s="165" t="s">
        <v>116</v>
      </c>
      <c r="AF52" s="165"/>
      <c r="AG52" s="165"/>
      <c r="AH52" s="165"/>
      <c r="AI52" s="165">
        <v>20</v>
      </c>
      <c r="AJ52" s="165">
        <v>32</v>
      </c>
      <c r="AK52" s="166">
        <v>70.900000000000006</v>
      </c>
      <c r="AL52" s="166" t="s">
        <v>81</v>
      </c>
      <c r="AM52" s="166" t="s">
        <v>118</v>
      </c>
      <c r="AN52" s="166"/>
      <c r="AO52" s="166"/>
      <c r="AP52" s="166"/>
      <c r="AQ52" s="166">
        <v>56.8</v>
      </c>
      <c r="AR52" s="166">
        <v>89.5</v>
      </c>
      <c r="AS52" s="165"/>
      <c r="AT52" s="165"/>
      <c r="AU52" s="165"/>
      <c r="AV52" s="165"/>
      <c r="AW52" s="165"/>
      <c r="AX52" s="165"/>
      <c r="AY52" s="165"/>
      <c r="AZ52" s="165"/>
      <c r="BA52" s="166"/>
      <c r="BB52" s="166"/>
      <c r="BC52" s="166"/>
      <c r="BD52" s="166"/>
      <c r="BE52" s="166"/>
      <c r="BF52" s="166"/>
      <c r="BG52" s="166"/>
      <c r="BH52" s="166"/>
      <c r="BI52" s="165"/>
      <c r="BJ52" s="165"/>
      <c r="BK52" s="165"/>
      <c r="BL52" s="165"/>
      <c r="BM52" s="165"/>
      <c r="BN52" s="165"/>
      <c r="BO52" s="165"/>
      <c r="BP52" s="165"/>
      <c r="BQ52" s="166"/>
      <c r="BR52" s="165"/>
      <c r="BS52" s="124">
        <v>83</v>
      </c>
      <c r="BT52" s="124"/>
    </row>
    <row r="53" spans="1:72" ht="14.25" hidden="1" customHeight="1" x14ac:dyDescent="0.2">
      <c r="A53" s="92">
        <v>84</v>
      </c>
      <c r="B53" s="235" t="s">
        <v>146</v>
      </c>
      <c r="C53" s="236" t="s">
        <v>147</v>
      </c>
      <c r="D53" s="235" t="s">
        <v>156</v>
      </c>
      <c r="E53" s="125" t="s">
        <v>152</v>
      </c>
      <c r="F53" s="181" t="s">
        <v>103</v>
      </c>
      <c r="G53" s="181" t="s">
        <v>56</v>
      </c>
      <c r="H53" s="181" t="s">
        <v>157</v>
      </c>
      <c r="I53" s="181"/>
      <c r="J53" s="178">
        <v>200</v>
      </c>
      <c r="K53" s="182"/>
      <c r="L53" s="182" t="s">
        <v>58</v>
      </c>
      <c r="M53" s="178" t="s">
        <v>59</v>
      </c>
      <c r="N53" s="138" t="s">
        <v>158</v>
      </c>
      <c r="O53" s="178" t="s">
        <v>60</v>
      </c>
      <c r="P53" s="178" t="s">
        <v>112</v>
      </c>
      <c r="Q53" s="179"/>
      <c r="R53" s="179" t="s">
        <v>150</v>
      </c>
      <c r="S53" s="180"/>
      <c r="T53" s="179">
        <v>200</v>
      </c>
      <c r="U53" s="179" t="s">
        <v>151</v>
      </c>
      <c r="V53" s="167" t="s">
        <v>154</v>
      </c>
      <c r="W53" s="168">
        <v>0</v>
      </c>
      <c r="Y53" s="167"/>
      <c r="Z53" s="82" t="s">
        <v>63</v>
      </c>
      <c r="AA53" s="166">
        <v>28</v>
      </c>
      <c r="AB53" s="166">
        <v>0</v>
      </c>
      <c r="AC53" s="165">
        <v>23</v>
      </c>
      <c r="AD53" s="165" t="s">
        <v>80</v>
      </c>
      <c r="AE53" s="165" t="s">
        <v>116</v>
      </c>
      <c r="AF53" s="165"/>
      <c r="AG53" s="165"/>
      <c r="AH53" s="165"/>
      <c r="AI53" s="165">
        <v>20</v>
      </c>
      <c r="AJ53" s="165">
        <v>32</v>
      </c>
      <c r="AK53" s="166">
        <v>70.900000000000006</v>
      </c>
      <c r="AL53" s="166" t="s">
        <v>81</v>
      </c>
      <c r="AM53" s="166" t="s">
        <v>118</v>
      </c>
      <c r="AN53" s="166"/>
      <c r="AO53" s="166"/>
      <c r="AP53" s="166"/>
      <c r="AQ53" s="166">
        <v>56.8</v>
      </c>
      <c r="AR53" s="166">
        <v>89.5</v>
      </c>
      <c r="AS53" s="165"/>
      <c r="AT53" s="165"/>
      <c r="AU53" s="165"/>
      <c r="AV53" s="165"/>
      <c r="AW53" s="165"/>
      <c r="AX53" s="165"/>
      <c r="AY53" s="165"/>
      <c r="AZ53" s="165"/>
      <c r="BA53" s="166"/>
      <c r="BB53" s="166"/>
      <c r="BC53" s="166"/>
      <c r="BD53" s="166"/>
      <c r="BE53" s="166"/>
      <c r="BF53" s="166"/>
      <c r="BG53" s="166"/>
      <c r="BH53" s="166"/>
      <c r="BI53" s="165"/>
      <c r="BJ53" s="165"/>
      <c r="BK53" s="165"/>
      <c r="BL53" s="165"/>
      <c r="BM53" s="165"/>
      <c r="BN53" s="165"/>
      <c r="BO53" s="165"/>
      <c r="BP53" s="165"/>
      <c r="BQ53" s="166"/>
      <c r="BR53" s="165"/>
      <c r="BS53" s="124">
        <v>84</v>
      </c>
      <c r="BT53" s="124"/>
    </row>
    <row r="54" spans="1:72" ht="14.25" hidden="1" customHeight="1" x14ac:dyDescent="0.2">
      <c r="A54" s="92">
        <v>85</v>
      </c>
      <c r="B54" s="235" t="s">
        <v>159</v>
      </c>
      <c r="C54" s="236" t="s">
        <v>160</v>
      </c>
      <c r="D54" s="235" t="s">
        <v>148</v>
      </c>
      <c r="E54" s="125" t="s">
        <v>149</v>
      </c>
      <c r="F54" s="181" t="s">
        <v>103</v>
      </c>
      <c r="G54" s="181" t="s">
        <v>56</v>
      </c>
      <c r="H54" s="181" t="s">
        <v>57</v>
      </c>
      <c r="I54" s="181"/>
      <c r="J54" s="178">
        <v>200</v>
      </c>
      <c r="K54" s="182"/>
      <c r="L54" s="182" t="s">
        <v>58</v>
      </c>
      <c r="M54" s="178" t="s">
        <v>59</v>
      </c>
      <c r="N54" s="178">
        <v>0</v>
      </c>
      <c r="O54" s="178" t="s">
        <v>60</v>
      </c>
      <c r="P54" s="178" t="s">
        <v>79</v>
      </c>
      <c r="Q54" s="179"/>
      <c r="R54" s="179" t="s">
        <v>161</v>
      </c>
      <c r="S54" s="180"/>
      <c r="T54" s="179">
        <v>200</v>
      </c>
      <c r="U54" s="179" t="s">
        <v>162</v>
      </c>
      <c r="V54" s="167" t="s">
        <v>62</v>
      </c>
      <c r="W54" s="168"/>
      <c r="X54" s="106">
        <v>4</v>
      </c>
      <c r="Y54" s="167" t="s">
        <v>163</v>
      </c>
      <c r="Z54" s="82" t="s">
        <v>63</v>
      </c>
      <c r="AA54" s="166">
        <v>27</v>
      </c>
      <c r="AB54" s="166">
        <v>0</v>
      </c>
      <c r="AC54" s="165"/>
      <c r="AD54" s="165" t="s">
        <v>80</v>
      </c>
      <c r="AE54" s="165"/>
      <c r="AF54" s="165"/>
      <c r="AG54" s="165"/>
      <c r="AH54" s="165"/>
      <c r="AI54" s="165">
        <v>18</v>
      </c>
      <c r="AJ54" s="165">
        <v>34</v>
      </c>
      <c r="AK54" s="166"/>
      <c r="AL54" s="166" t="s">
        <v>164</v>
      </c>
      <c r="AM54" s="166"/>
      <c r="AN54" s="166"/>
      <c r="AO54" s="166"/>
      <c r="AP54" s="166"/>
      <c r="AQ54" s="166">
        <v>134</v>
      </c>
      <c r="AR54" s="166">
        <v>206</v>
      </c>
      <c r="AS54" s="165"/>
      <c r="AT54" s="165"/>
      <c r="AU54" s="165"/>
      <c r="AV54" s="165"/>
      <c r="AW54" s="165"/>
      <c r="AX54" s="165"/>
      <c r="AY54" s="165"/>
      <c r="AZ54" s="165"/>
      <c r="BA54" s="166"/>
      <c r="BB54" s="166"/>
      <c r="BC54" s="166"/>
      <c r="BD54" s="166"/>
      <c r="BE54" s="166"/>
      <c r="BF54" s="166"/>
      <c r="BG54" s="166"/>
      <c r="BH54" s="166"/>
      <c r="BI54" s="165"/>
      <c r="BJ54" s="165"/>
      <c r="BK54" s="165"/>
      <c r="BL54" s="165"/>
      <c r="BM54" s="165"/>
      <c r="BN54" s="165"/>
      <c r="BO54" s="165"/>
      <c r="BP54" s="165"/>
      <c r="BQ54" s="166"/>
      <c r="BR54" s="165"/>
      <c r="BS54" s="124">
        <v>85</v>
      </c>
      <c r="BT54" s="124"/>
    </row>
    <row r="55" spans="1:72" ht="14.25" hidden="1" customHeight="1" x14ac:dyDescent="0.2">
      <c r="A55" s="92">
        <v>86</v>
      </c>
      <c r="B55" s="235" t="s">
        <v>159</v>
      </c>
      <c r="C55" s="236" t="s">
        <v>160</v>
      </c>
      <c r="D55" s="235" t="s">
        <v>148</v>
      </c>
      <c r="E55" s="125" t="s">
        <v>152</v>
      </c>
      <c r="F55" s="181" t="s">
        <v>103</v>
      </c>
      <c r="G55" s="181" t="s">
        <v>56</v>
      </c>
      <c r="H55" s="181" t="s">
        <v>66</v>
      </c>
      <c r="I55" s="181"/>
      <c r="J55" s="178">
        <v>200</v>
      </c>
      <c r="K55" s="182"/>
      <c r="L55" s="182" t="s">
        <v>58</v>
      </c>
      <c r="M55" s="178" t="s">
        <v>59</v>
      </c>
      <c r="N55" s="178">
        <v>0</v>
      </c>
      <c r="O55" s="178" t="s">
        <v>60</v>
      </c>
      <c r="P55" s="178" t="s">
        <v>79</v>
      </c>
      <c r="Q55" s="179"/>
      <c r="R55" s="179" t="s">
        <v>161</v>
      </c>
      <c r="S55" s="180"/>
      <c r="T55" s="179">
        <v>200</v>
      </c>
      <c r="U55" s="179" t="s">
        <v>162</v>
      </c>
      <c r="V55" s="167" t="s">
        <v>62</v>
      </c>
      <c r="W55" s="168"/>
      <c r="X55" s="106">
        <v>4</v>
      </c>
      <c r="Y55" s="167" t="s">
        <v>163</v>
      </c>
      <c r="Z55" s="82" t="s">
        <v>63</v>
      </c>
      <c r="AA55" s="166">
        <v>27</v>
      </c>
      <c r="AB55" s="166">
        <v>0</v>
      </c>
      <c r="AC55" s="165"/>
      <c r="AD55" s="165" t="s">
        <v>80</v>
      </c>
      <c r="AE55" s="165"/>
      <c r="AF55" s="165"/>
      <c r="AG55" s="165"/>
      <c r="AH55" s="165"/>
      <c r="AI55" s="165">
        <v>18</v>
      </c>
      <c r="AJ55" s="165">
        <v>34</v>
      </c>
      <c r="AK55" s="166"/>
      <c r="AL55" s="166" t="s">
        <v>164</v>
      </c>
      <c r="AM55" s="166"/>
      <c r="AN55" s="166"/>
      <c r="AO55" s="166"/>
      <c r="AP55" s="166"/>
      <c r="AQ55" s="166">
        <v>134</v>
      </c>
      <c r="AR55" s="166">
        <v>206</v>
      </c>
      <c r="AS55" s="165"/>
      <c r="AT55" s="165"/>
      <c r="AU55" s="165"/>
      <c r="AV55" s="165"/>
      <c r="AW55" s="165"/>
      <c r="AX55" s="165"/>
      <c r="AY55" s="165"/>
      <c r="AZ55" s="165"/>
      <c r="BA55" s="166"/>
      <c r="BB55" s="166"/>
      <c r="BC55" s="166"/>
      <c r="BD55" s="166"/>
      <c r="BE55" s="166"/>
      <c r="BF55" s="166"/>
      <c r="BG55" s="166"/>
      <c r="BH55" s="166"/>
      <c r="BI55" s="165"/>
      <c r="BJ55" s="165"/>
      <c r="BK55" s="165"/>
      <c r="BL55" s="165"/>
      <c r="BM55" s="165"/>
      <c r="BN55" s="165"/>
      <c r="BO55" s="165"/>
      <c r="BP55" s="165"/>
      <c r="BQ55" s="166"/>
      <c r="BR55" s="165"/>
      <c r="BS55" s="124">
        <v>86</v>
      </c>
      <c r="BT55" s="124"/>
    </row>
    <row r="56" spans="1:72" ht="14.25" hidden="1" customHeight="1" x14ac:dyDescent="0.2">
      <c r="A56" s="92">
        <v>87</v>
      </c>
      <c r="B56" s="235" t="s">
        <v>159</v>
      </c>
      <c r="C56" s="236" t="s">
        <v>160</v>
      </c>
      <c r="D56" s="235" t="s">
        <v>165</v>
      </c>
      <c r="E56" s="125" t="s">
        <v>149</v>
      </c>
      <c r="F56" s="181" t="s">
        <v>103</v>
      </c>
      <c r="G56" s="181" t="s">
        <v>56</v>
      </c>
      <c r="H56" s="181" t="s">
        <v>157</v>
      </c>
      <c r="I56" s="181"/>
      <c r="J56" s="178">
        <v>200</v>
      </c>
      <c r="K56" s="182"/>
      <c r="L56" s="182" t="s">
        <v>58</v>
      </c>
      <c r="M56" s="178" t="s">
        <v>59</v>
      </c>
      <c r="N56" s="178" t="s">
        <v>166</v>
      </c>
      <c r="O56" s="178" t="s">
        <v>60</v>
      </c>
      <c r="P56" s="178" t="s">
        <v>167</v>
      </c>
      <c r="Q56" s="179"/>
      <c r="R56" s="179" t="s">
        <v>161</v>
      </c>
      <c r="S56" s="180"/>
      <c r="T56" s="179">
        <v>200</v>
      </c>
      <c r="U56" s="179" t="s">
        <v>162</v>
      </c>
      <c r="V56" s="167" t="s">
        <v>62</v>
      </c>
      <c r="W56" s="168"/>
      <c r="X56" s="106">
        <v>4</v>
      </c>
      <c r="Y56" s="167" t="s">
        <v>163</v>
      </c>
      <c r="Z56" s="82" t="s">
        <v>63</v>
      </c>
      <c r="AA56" s="166">
        <v>27</v>
      </c>
      <c r="AB56" s="166">
        <v>0</v>
      </c>
      <c r="AC56" s="165"/>
      <c r="AD56" s="165" t="s">
        <v>80</v>
      </c>
      <c r="AE56" s="165"/>
      <c r="AF56" s="165"/>
      <c r="AG56" s="165"/>
      <c r="AH56" s="165"/>
      <c r="AI56" s="165">
        <v>18</v>
      </c>
      <c r="AJ56" s="165">
        <v>34</v>
      </c>
      <c r="AK56" s="166"/>
      <c r="AL56" s="166" t="s">
        <v>164</v>
      </c>
      <c r="AM56" s="166"/>
      <c r="AN56" s="166"/>
      <c r="AO56" s="166"/>
      <c r="AP56" s="166"/>
      <c r="AQ56" s="166">
        <v>134</v>
      </c>
      <c r="AR56" s="166">
        <v>206</v>
      </c>
      <c r="AS56" s="165"/>
      <c r="AT56" s="165"/>
      <c r="AU56" s="165"/>
      <c r="AV56" s="165"/>
      <c r="AW56" s="165"/>
      <c r="AX56" s="165"/>
      <c r="AY56" s="165"/>
      <c r="AZ56" s="165"/>
      <c r="BA56" s="166"/>
      <c r="BB56" s="166"/>
      <c r="BC56" s="166"/>
      <c r="BD56" s="166"/>
      <c r="BE56" s="166"/>
      <c r="BF56" s="166"/>
      <c r="BG56" s="166"/>
      <c r="BH56" s="166"/>
      <c r="BI56" s="165"/>
      <c r="BJ56" s="165"/>
      <c r="BK56" s="165"/>
      <c r="BL56" s="165"/>
      <c r="BM56" s="165"/>
      <c r="BN56" s="165"/>
      <c r="BO56" s="165"/>
      <c r="BP56" s="165"/>
      <c r="BQ56" s="166"/>
      <c r="BR56" s="165"/>
      <c r="BS56" s="124">
        <v>87</v>
      </c>
      <c r="BT56" s="124"/>
    </row>
    <row r="57" spans="1:72" ht="14.25" hidden="1" customHeight="1" x14ac:dyDescent="0.2">
      <c r="A57" s="92">
        <v>88</v>
      </c>
      <c r="B57" s="235" t="s">
        <v>159</v>
      </c>
      <c r="C57" s="236" t="s">
        <v>160</v>
      </c>
      <c r="D57" s="235" t="s">
        <v>165</v>
      </c>
      <c r="E57" s="125" t="s">
        <v>152</v>
      </c>
      <c r="F57" s="181" t="s">
        <v>103</v>
      </c>
      <c r="G57" s="181" t="s">
        <v>56</v>
      </c>
      <c r="H57" s="181" t="s">
        <v>168</v>
      </c>
      <c r="I57" s="181"/>
      <c r="J57" s="178">
        <v>200</v>
      </c>
      <c r="K57" s="182"/>
      <c r="L57" s="182" t="s">
        <v>58</v>
      </c>
      <c r="M57" s="178" t="s">
        <v>59</v>
      </c>
      <c r="N57" s="178" t="s">
        <v>166</v>
      </c>
      <c r="O57" s="178" t="s">
        <v>60</v>
      </c>
      <c r="P57" s="178" t="s">
        <v>167</v>
      </c>
      <c r="Q57" s="179"/>
      <c r="R57" s="179" t="s">
        <v>161</v>
      </c>
      <c r="S57" s="180"/>
      <c r="T57" s="179">
        <v>200</v>
      </c>
      <c r="U57" s="179" t="s">
        <v>162</v>
      </c>
      <c r="V57" s="167" t="s">
        <v>62</v>
      </c>
      <c r="W57" s="168"/>
      <c r="X57" s="106">
        <v>4</v>
      </c>
      <c r="Y57" s="167" t="s">
        <v>163</v>
      </c>
      <c r="Z57" s="82" t="s">
        <v>63</v>
      </c>
      <c r="AA57" s="166">
        <v>27</v>
      </c>
      <c r="AB57" s="166">
        <v>0</v>
      </c>
      <c r="AC57" s="165"/>
      <c r="AD57" s="165" t="s">
        <v>80</v>
      </c>
      <c r="AE57" s="165"/>
      <c r="AF57" s="165"/>
      <c r="AG57" s="165"/>
      <c r="AH57" s="165"/>
      <c r="AI57" s="165">
        <v>18</v>
      </c>
      <c r="AJ57" s="165">
        <v>34</v>
      </c>
      <c r="AK57" s="166"/>
      <c r="AL57" s="166" t="s">
        <v>164</v>
      </c>
      <c r="AM57" s="166"/>
      <c r="AN57" s="166"/>
      <c r="AO57" s="166"/>
      <c r="AP57" s="166"/>
      <c r="AQ57" s="166">
        <v>134</v>
      </c>
      <c r="AR57" s="166">
        <v>206</v>
      </c>
      <c r="AS57" s="165"/>
      <c r="AT57" s="165"/>
      <c r="AU57" s="165"/>
      <c r="AV57" s="165"/>
      <c r="AW57" s="165"/>
      <c r="AX57" s="165"/>
      <c r="AY57" s="165"/>
      <c r="AZ57" s="165"/>
      <c r="BA57" s="166"/>
      <c r="BB57" s="166"/>
      <c r="BC57" s="166"/>
      <c r="BD57" s="166"/>
      <c r="BE57" s="166"/>
      <c r="BF57" s="166"/>
      <c r="BG57" s="166"/>
      <c r="BH57" s="166"/>
      <c r="BI57" s="165"/>
      <c r="BJ57" s="165"/>
      <c r="BK57" s="165"/>
      <c r="BL57" s="165"/>
      <c r="BM57" s="165"/>
      <c r="BN57" s="165"/>
      <c r="BO57" s="165"/>
      <c r="BP57" s="165"/>
      <c r="BQ57" s="166"/>
      <c r="BR57" s="165"/>
      <c r="BS57" s="124">
        <v>88</v>
      </c>
      <c r="BT57" s="124"/>
    </row>
    <row r="58" spans="1:72" ht="14.25" hidden="1" customHeight="1" x14ac:dyDescent="0.2">
      <c r="A58" s="92">
        <v>89</v>
      </c>
      <c r="B58" s="235" t="s">
        <v>159</v>
      </c>
      <c r="C58" s="236" t="s">
        <v>160</v>
      </c>
      <c r="D58" s="235" t="s">
        <v>153</v>
      </c>
      <c r="E58" s="125" t="s">
        <v>149</v>
      </c>
      <c r="F58" s="181" t="s">
        <v>103</v>
      </c>
      <c r="G58" s="181" t="s">
        <v>56</v>
      </c>
      <c r="H58" s="181" t="s">
        <v>57</v>
      </c>
      <c r="I58" s="181"/>
      <c r="J58" s="178">
        <v>200</v>
      </c>
      <c r="K58" s="182"/>
      <c r="L58" s="182" t="s">
        <v>58</v>
      </c>
      <c r="M58" s="178" t="s">
        <v>59</v>
      </c>
      <c r="N58" s="178">
        <v>0</v>
      </c>
      <c r="O58" s="178" t="s">
        <v>60</v>
      </c>
      <c r="P58" s="178" t="s">
        <v>79</v>
      </c>
      <c r="Q58" s="179"/>
      <c r="R58" s="179" t="s">
        <v>161</v>
      </c>
      <c r="S58" s="180"/>
      <c r="T58" s="179">
        <v>200</v>
      </c>
      <c r="U58" s="179" t="s">
        <v>162</v>
      </c>
      <c r="V58" s="167" t="s">
        <v>154</v>
      </c>
      <c r="W58" s="168">
        <v>0</v>
      </c>
      <c r="X58" s="106">
        <v>4</v>
      </c>
      <c r="Y58" s="167" t="s">
        <v>163</v>
      </c>
      <c r="Z58" s="82" t="s">
        <v>63</v>
      </c>
      <c r="AA58" s="166">
        <v>27</v>
      </c>
      <c r="AB58" s="166">
        <v>0</v>
      </c>
      <c r="AC58" s="165"/>
      <c r="AD58" s="165" t="s">
        <v>80</v>
      </c>
      <c r="AE58" s="165"/>
      <c r="AF58" s="165"/>
      <c r="AG58" s="165"/>
      <c r="AH58" s="165"/>
      <c r="AI58" s="165">
        <v>18</v>
      </c>
      <c r="AJ58" s="165">
        <v>34</v>
      </c>
      <c r="AK58" s="166"/>
      <c r="AL58" s="166" t="s">
        <v>164</v>
      </c>
      <c r="AM58" s="166"/>
      <c r="AN58" s="166"/>
      <c r="AO58" s="166"/>
      <c r="AP58" s="166"/>
      <c r="AQ58" s="166">
        <v>134</v>
      </c>
      <c r="AR58" s="166">
        <v>206</v>
      </c>
      <c r="AS58" s="165"/>
      <c r="AT58" s="165"/>
      <c r="AU58" s="165"/>
      <c r="AV58" s="165"/>
      <c r="AW58" s="165"/>
      <c r="AX58" s="165"/>
      <c r="AY58" s="165"/>
      <c r="AZ58" s="165"/>
      <c r="BA58" s="166"/>
      <c r="BB58" s="166"/>
      <c r="BC58" s="166"/>
      <c r="BD58" s="166"/>
      <c r="BE58" s="166"/>
      <c r="BF58" s="166"/>
      <c r="BG58" s="166"/>
      <c r="BH58" s="166"/>
      <c r="BI58" s="165"/>
      <c r="BJ58" s="165"/>
      <c r="BK58" s="165"/>
      <c r="BL58" s="165"/>
      <c r="BM58" s="165"/>
      <c r="BN58" s="165"/>
      <c r="BO58" s="165"/>
      <c r="BP58" s="165"/>
      <c r="BQ58" s="166"/>
      <c r="BR58" s="165"/>
      <c r="BS58" s="124">
        <v>89</v>
      </c>
      <c r="BT58" s="124"/>
    </row>
    <row r="59" spans="1:72" ht="14.25" hidden="1" customHeight="1" x14ac:dyDescent="0.2">
      <c r="A59" s="92">
        <v>90</v>
      </c>
      <c r="B59" s="235" t="s">
        <v>159</v>
      </c>
      <c r="C59" s="236" t="s">
        <v>160</v>
      </c>
      <c r="D59" s="235" t="s">
        <v>153</v>
      </c>
      <c r="E59" s="125" t="s">
        <v>152</v>
      </c>
      <c r="F59" s="181" t="s">
        <v>103</v>
      </c>
      <c r="G59" s="181" t="s">
        <v>56</v>
      </c>
      <c r="H59" s="181" t="s">
        <v>66</v>
      </c>
      <c r="I59" s="181"/>
      <c r="J59" s="178">
        <v>200</v>
      </c>
      <c r="K59" s="182"/>
      <c r="L59" s="182" t="s">
        <v>58</v>
      </c>
      <c r="M59" s="178" t="s">
        <v>59</v>
      </c>
      <c r="N59" s="178">
        <v>0</v>
      </c>
      <c r="O59" s="178" t="s">
        <v>60</v>
      </c>
      <c r="P59" s="178" t="s">
        <v>79</v>
      </c>
      <c r="Q59" s="179"/>
      <c r="R59" s="179" t="s">
        <v>161</v>
      </c>
      <c r="S59" s="180"/>
      <c r="T59" s="179">
        <v>200</v>
      </c>
      <c r="U59" s="179" t="s">
        <v>162</v>
      </c>
      <c r="V59" s="167" t="s">
        <v>154</v>
      </c>
      <c r="W59" s="168">
        <v>0</v>
      </c>
      <c r="X59" s="106">
        <v>4</v>
      </c>
      <c r="Y59" s="167" t="s">
        <v>163</v>
      </c>
      <c r="Z59" s="82" t="s">
        <v>63</v>
      </c>
      <c r="AA59" s="166">
        <v>27</v>
      </c>
      <c r="AB59" s="166">
        <v>0</v>
      </c>
      <c r="AC59" s="165"/>
      <c r="AD59" s="165" t="s">
        <v>80</v>
      </c>
      <c r="AE59" s="165"/>
      <c r="AF59" s="165"/>
      <c r="AG59" s="165"/>
      <c r="AH59" s="165"/>
      <c r="AI59" s="165">
        <v>18</v>
      </c>
      <c r="AJ59" s="165">
        <v>34</v>
      </c>
      <c r="AK59" s="166"/>
      <c r="AL59" s="166" t="s">
        <v>164</v>
      </c>
      <c r="AM59" s="166"/>
      <c r="AN59" s="166"/>
      <c r="AO59" s="166"/>
      <c r="AP59" s="166"/>
      <c r="AQ59" s="166">
        <v>134</v>
      </c>
      <c r="AR59" s="166">
        <v>206</v>
      </c>
      <c r="AS59" s="165"/>
      <c r="AT59" s="165"/>
      <c r="AU59" s="165"/>
      <c r="AV59" s="165"/>
      <c r="AW59" s="165"/>
      <c r="AX59" s="165"/>
      <c r="AY59" s="165"/>
      <c r="AZ59" s="165"/>
      <c r="BA59" s="166"/>
      <c r="BB59" s="166"/>
      <c r="BC59" s="166"/>
      <c r="BD59" s="166"/>
      <c r="BE59" s="166"/>
      <c r="BF59" s="166"/>
      <c r="BG59" s="166"/>
      <c r="BH59" s="166"/>
      <c r="BI59" s="165"/>
      <c r="BJ59" s="165"/>
      <c r="BK59" s="165"/>
      <c r="BL59" s="165"/>
      <c r="BM59" s="165"/>
      <c r="BN59" s="165"/>
      <c r="BO59" s="165"/>
      <c r="BP59" s="165"/>
      <c r="BQ59" s="166"/>
      <c r="BR59" s="165"/>
      <c r="BS59" s="124">
        <v>90</v>
      </c>
      <c r="BT59" s="124"/>
    </row>
    <row r="60" spans="1:72" ht="14.25" hidden="1" customHeight="1" x14ac:dyDescent="0.2">
      <c r="A60" s="92">
        <v>91</v>
      </c>
      <c r="B60" s="235" t="s">
        <v>159</v>
      </c>
      <c r="C60" s="236" t="s">
        <v>160</v>
      </c>
      <c r="D60" s="235" t="s">
        <v>156</v>
      </c>
      <c r="E60" s="125" t="s">
        <v>149</v>
      </c>
      <c r="F60" s="181" t="s">
        <v>103</v>
      </c>
      <c r="G60" s="181" t="s">
        <v>56</v>
      </c>
      <c r="H60" s="181" t="s">
        <v>157</v>
      </c>
      <c r="I60" s="181"/>
      <c r="J60" s="178">
        <v>200</v>
      </c>
      <c r="K60" s="182"/>
      <c r="L60" s="182" t="s">
        <v>58</v>
      </c>
      <c r="M60" s="178" t="s">
        <v>59</v>
      </c>
      <c r="N60" s="178" t="s">
        <v>166</v>
      </c>
      <c r="O60" s="178" t="s">
        <v>60</v>
      </c>
      <c r="P60" s="178" t="s">
        <v>167</v>
      </c>
      <c r="Q60" s="179"/>
      <c r="R60" s="179" t="s">
        <v>161</v>
      </c>
      <c r="S60" s="180"/>
      <c r="T60" s="179">
        <v>200</v>
      </c>
      <c r="U60" s="179" t="s">
        <v>162</v>
      </c>
      <c r="V60" s="167" t="s">
        <v>154</v>
      </c>
      <c r="W60" s="168">
        <v>0</v>
      </c>
      <c r="X60" s="106">
        <v>4</v>
      </c>
      <c r="Y60" s="167" t="s">
        <v>163</v>
      </c>
      <c r="Z60" s="82" t="s">
        <v>63</v>
      </c>
      <c r="AA60" s="166">
        <v>27</v>
      </c>
      <c r="AB60" s="166">
        <v>0</v>
      </c>
      <c r="AC60" s="165"/>
      <c r="AD60" s="165" t="s">
        <v>80</v>
      </c>
      <c r="AE60" s="165"/>
      <c r="AF60" s="165"/>
      <c r="AG60" s="165"/>
      <c r="AH60" s="165"/>
      <c r="AI60" s="165">
        <v>18</v>
      </c>
      <c r="AJ60" s="165">
        <v>34</v>
      </c>
      <c r="AK60" s="166"/>
      <c r="AL60" s="166" t="s">
        <v>164</v>
      </c>
      <c r="AM60" s="166"/>
      <c r="AN60" s="166"/>
      <c r="AO60" s="166"/>
      <c r="AP60" s="166"/>
      <c r="AQ60" s="166">
        <v>134</v>
      </c>
      <c r="AR60" s="166">
        <v>206</v>
      </c>
      <c r="AS60" s="165"/>
      <c r="AT60" s="165"/>
      <c r="AU60" s="165"/>
      <c r="AV60" s="165"/>
      <c r="AW60" s="165"/>
      <c r="AX60" s="165"/>
      <c r="AY60" s="165"/>
      <c r="AZ60" s="165"/>
      <c r="BA60" s="166"/>
      <c r="BB60" s="166"/>
      <c r="BC60" s="166"/>
      <c r="BD60" s="166"/>
      <c r="BE60" s="166"/>
      <c r="BF60" s="166"/>
      <c r="BG60" s="166"/>
      <c r="BH60" s="166"/>
      <c r="BI60" s="165"/>
      <c r="BJ60" s="165"/>
      <c r="BK60" s="165"/>
      <c r="BL60" s="165"/>
      <c r="BM60" s="165"/>
      <c r="BN60" s="165"/>
      <c r="BO60" s="165"/>
      <c r="BP60" s="165"/>
      <c r="BQ60" s="166"/>
      <c r="BR60" s="165"/>
      <c r="BS60" s="124">
        <v>91</v>
      </c>
      <c r="BT60" s="124"/>
    </row>
    <row r="61" spans="1:72" ht="14.25" hidden="1" customHeight="1" x14ac:dyDescent="0.2">
      <c r="A61" s="92">
        <v>92</v>
      </c>
      <c r="B61" s="235" t="s">
        <v>159</v>
      </c>
      <c r="C61" s="236" t="s">
        <v>160</v>
      </c>
      <c r="D61" s="235" t="s">
        <v>156</v>
      </c>
      <c r="E61" s="125" t="s">
        <v>152</v>
      </c>
      <c r="F61" s="181" t="s">
        <v>103</v>
      </c>
      <c r="G61" s="181" t="s">
        <v>56</v>
      </c>
      <c r="H61" s="181" t="s">
        <v>168</v>
      </c>
      <c r="I61" s="181"/>
      <c r="J61" s="178">
        <v>200</v>
      </c>
      <c r="K61" s="182"/>
      <c r="L61" s="182" t="s">
        <v>58</v>
      </c>
      <c r="M61" s="178" t="s">
        <v>59</v>
      </c>
      <c r="N61" s="178" t="s">
        <v>166</v>
      </c>
      <c r="O61" s="178" t="s">
        <v>60</v>
      </c>
      <c r="P61" s="178" t="s">
        <v>167</v>
      </c>
      <c r="Q61" s="179"/>
      <c r="R61" s="179" t="s">
        <v>161</v>
      </c>
      <c r="S61" s="180"/>
      <c r="T61" s="179">
        <v>200</v>
      </c>
      <c r="U61" s="179" t="s">
        <v>162</v>
      </c>
      <c r="V61" s="167" t="s">
        <v>154</v>
      </c>
      <c r="W61" s="168">
        <v>0</v>
      </c>
      <c r="X61" s="106">
        <v>4</v>
      </c>
      <c r="Y61" s="167" t="s">
        <v>163</v>
      </c>
      <c r="Z61" s="82" t="s">
        <v>63</v>
      </c>
      <c r="AA61" s="166">
        <v>27</v>
      </c>
      <c r="AB61" s="166">
        <v>0</v>
      </c>
      <c r="AC61" s="165"/>
      <c r="AD61" s="165" t="s">
        <v>80</v>
      </c>
      <c r="AE61" s="165"/>
      <c r="AF61" s="165"/>
      <c r="AG61" s="165"/>
      <c r="AH61" s="165"/>
      <c r="AI61" s="165">
        <v>18</v>
      </c>
      <c r="AJ61" s="165">
        <v>34</v>
      </c>
      <c r="AK61" s="166"/>
      <c r="AL61" s="166" t="s">
        <v>164</v>
      </c>
      <c r="AM61" s="166"/>
      <c r="AN61" s="166"/>
      <c r="AO61" s="166"/>
      <c r="AP61" s="166"/>
      <c r="AQ61" s="166">
        <v>134</v>
      </c>
      <c r="AR61" s="166">
        <v>206</v>
      </c>
      <c r="AS61" s="165"/>
      <c r="AT61" s="165"/>
      <c r="AU61" s="165"/>
      <c r="AV61" s="165"/>
      <c r="AW61" s="165"/>
      <c r="AX61" s="165"/>
      <c r="AY61" s="165"/>
      <c r="AZ61" s="165"/>
      <c r="BA61" s="166"/>
      <c r="BB61" s="166"/>
      <c r="BC61" s="166"/>
      <c r="BD61" s="166"/>
      <c r="BE61" s="166"/>
      <c r="BF61" s="166"/>
      <c r="BG61" s="166"/>
      <c r="BH61" s="166"/>
      <c r="BI61" s="165"/>
      <c r="BJ61" s="165"/>
      <c r="BK61" s="165"/>
      <c r="BL61" s="165"/>
      <c r="BM61" s="165"/>
      <c r="BN61" s="165"/>
      <c r="BO61" s="165"/>
      <c r="BP61" s="165"/>
      <c r="BQ61" s="166"/>
      <c r="BR61" s="165"/>
      <c r="BS61" s="124">
        <v>92</v>
      </c>
      <c r="BT61" s="124"/>
    </row>
    <row r="62" spans="1:72" ht="14.25" hidden="1" customHeight="1" x14ac:dyDescent="0.2">
      <c r="A62" s="91">
        <v>93</v>
      </c>
      <c r="B62" s="233" t="s">
        <v>169</v>
      </c>
      <c r="C62" s="237" t="s">
        <v>170</v>
      </c>
      <c r="D62" s="233" t="s">
        <v>171</v>
      </c>
      <c r="E62" s="125" t="s">
        <v>149</v>
      </c>
      <c r="F62" s="181" t="s">
        <v>103</v>
      </c>
      <c r="G62" s="181" t="s">
        <v>56</v>
      </c>
      <c r="H62" s="181" t="s">
        <v>57</v>
      </c>
      <c r="I62" s="181"/>
      <c r="J62" s="178">
        <v>200</v>
      </c>
      <c r="K62" s="182"/>
      <c r="L62" s="182" t="s">
        <v>58</v>
      </c>
      <c r="M62" s="178" t="s">
        <v>59</v>
      </c>
      <c r="N62" s="178">
        <v>0</v>
      </c>
      <c r="O62" s="178" t="s">
        <v>60</v>
      </c>
      <c r="P62" s="178" t="s">
        <v>79</v>
      </c>
      <c r="Q62" s="179"/>
      <c r="R62" s="179" t="s">
        <v>172</v>
      </c>
      <c r="S62" s="180"/>
      <c r="T62" s="179">
        <v>200</v>
      </c>
      <c r="U62" s="179" t="s">
        <v>173</v>
      </c>
      <c r="V62" s="167" t="s">
        <v>154</v>
      </c>
      <c r="W62" s="168">
        <v>0</v>
      </c>
      <c r="X62" s="106">
        <v>4</v>
      </c>
      <c r="Y62" s="167" t="s">
        <v>174</v>
      </c>
      <c r="Z62" s="169" t="s">
        <v>63</v>
      </c>
      <c r="AA62" s="166">
        <v>30</v>
      </c>
      <c r="AB62" s="166">
        <v>0</v>
      </c>
      <c r="AC62" s="165">
        <v>34</v>
      </c>
      <c r="AD62" s="165" t="s">
        <v>80</v>
      </c>
      <c r="AE62" s="165" t="s">
        <v>116</v>
      </c>
      <c r="AF62" s="165"/>
      <c r="AG62" s="165"/>
      <c r="AH62" s="165"/>
      <c r="AI62" s="165">
        <v>19</v>
      </c>
      <c r="AJ62" s="165">
        <v>34</v>
      </c>
      <c r="AK62" s="166">
        <v>167</v>
      </c>
      <c r="AL62" s="166" t="s">
        <v>175</v>
      </c>
      <c r="AM62" s="166" t="s">
        <v>116</v>
      </c>
      <c r="AN62" s="166"/>
      <c r="AO62" s="166"/>
      <c r="AP62" s="166"/>
      <c r="AQ62" s="166">
        <v>130</v>
      </c>
      <c r="AR62" s="166">
        <v>206</v>
      </c>
      <c r="AS62" s="165"/>
      <c r="AT62" s="165"/>
      <c r="AU62" s="165"/>
      <c r="AV62" s="165"/>
      <c r="AW62" s="165"/>
      <c r="AX62" s="165"/>
      <c r="AY62" s="165"/>
      <c r="AZ62" s="165"/>
      <c r="BA62" s="166"/>
      <c r="BB62" s="166"/>
      <c r="BC62" s="166"/>
      <c r="BD62" s="166"/>
      <c r="BE62" s="166"/>
      <c r="BF62" s="166"/>
      <c r="BG62" s="166"/>
      <c r="BH62" s="166"/>
      <c r="BI62" s="165"/>
      <c r="BJ62" s="165"/>
      <c r="BK62" s="165"/>
      <c r="BL62" s="165"/>
      <c r="BM62" s="165"/>
      <c r="BN62" s="165"/>
      <c r="BO62" s="165"/>
      <c r="BP62" s="165"/>
      <c r="BQ62" s="166"/>
      <c r="BR62" s="165"/>
      <c r="BS62" s="124">
        <v>93</v>
      </c>
      <c r="BT62" s="124"/>
    </row>
    <row r="63" spans="1:72" ht="14.25" hidden="1" customHeight="1" x14ac:dyDescent="0.2">
      <c r="A63" s="91">
        <v>94</v>
      </c>
      <c r="B63" s="233" t="s">
        <v>169</v>
      </c>
      <c r="C63" s="237" t="s">
        <v>170</v>
      </c>
      <c r="D63" s="233" t="s">
        <v>171</v>
      </c>
      <c r="E63" s="125" t="s">
        <v>152</v>
      </c>
      <c r="F63" s="181" t="s">
        <v>103</v>
      </c>
      <c r="G63" s="181" t="s">
        <v>56</v>
      </c>
      <c r="H63" s="181" t="s">
        <v>66</v>
      </c>
      <c r="I63" s="181"/>
      <c r="J63" s="178">
        <v>200</v>
      </c>
      <c r="K63" s="182"/>
      <c r="L63" s="182" t="s">
        <v>58</v>
      </c>
      <c r="M63" s="178" t="s">
        <v>59</v>
      </c>
      <c r="N63" s="178">
        <v>0</v>
      </c>
      <c r="O63" s="178" t="s">
        <v>60</v>
      </c>
      <c r="P63" s="178" t="s">
        <v>79</v>
      </c>
      <c r="Q63" s="179"/>
      <c r="R63" s="179" t="s">
        <v>172</v>
      </c>
      <c r="S63" s="180"/>
      <c r="T63" s="179">
        <v>200</v>
      </c>
      <c r="U63" s="179" t="s">
        <v>173</v>
      </c>
      <c r="V63" s="167" t="s">
        <v>154</v>
      </c>
      <c r="W63" s="168">
        <v>0</v>
      </c>
      <c r="X63" s="106">
        <v>4</v>
      </c>
      <c r="Y63" s="167" t="s">
        <v>174</v>
      </c>
      <c r="Z63" s="169" t="s">
        <v>63</v>
      </c>
      <c r="AA63" s="166">
        <v>30</v>
      </c>
      <c r="AB63" s="166">
        <v>0</v>
      </c>
      <c r="AC63" s="165">
        <v>34</v>
      </c>
      <c r="AD63" s="165" t="s">
        <v>80</v>
      </c>
      <c r="AE63" s="165" t="s">
        <v>116</v>
      </c>
      <c r="AF63" s="165"/>
      <c r="AG63" s="165"/>
      <c r="AH63" s="165"/>
      <c r="AI63" s="165">
        <v>19</v>
      </c>
      <c r="AJ63" s="165">
        <v>34</v>
      </c>
      <c r="AK63" s="166">
        <v>167</v>
      </c>
      <c r="AL63" s="166" t="s">
        <v>175</v>
      </c>
      <c r="AM63" s="166" t="s">
        <v>116</v>
      </c>
      <c r="AN63" s="166"/>
      <c r="AO63" s="166"/>
      <c r="AP63" s="166"/>
      <c r="AQ63" s="166">
        <v>130</v>
      </c>
      <c r="AR63" s="166">
        <v>206</v>
      </c>
      <c r="AS63" s="165"/>
      <c r="AT63" s="165"/>
      <c r="AU63" s="165"/>
      <c r="AV63" s="165"/>
      <c r="AW63" s="165"/>
      <c r="AX63" s="165"/>
      <c r="AY63" s="165"/>
      <c r="AZ63" s="165"/>
      <c r="BA63" s="166"/>
      <c r="BB63" s="166"/>
      <c r="BC63" s="166"/>
      <c r="BD63" s="166"/>
      <c r="BE63" s="166"/>
      <c r="BF63" s="166"/>
      <c r="BG63" s="166"/>
      <c r="BH63" s="166"/>
      <c r="BI63" s="165"/>
      <c r="BJ63" s="165"/>
      <c r="BK63" s="165"/>
      <c r="BL63" s="165"/>
      <c r="BM63" s="165"/>
      <c r="BN63" s="165"/>
      <c r="BO63" s="165"/>
      <c r="BP63" s="165"/>
      <c r="BQ63" s="166"/>
      <c r="BR63" s="165"/>
      <c r="BS63" s="124">
        <v>94</v>
      </c>
      <c r="BT63" s="124"/>
    </row>
    <row r="64" spans="1:72" ht="14.25" hidden="1" customHeight="1" x14ac:dyDescent="0.2">
      <c r="A64" s="91">
        <v>95</v>
      </c>
      <c r="B64" s="233" t="s">
        <v>169</v>
      </c>
      <c r="C64" s="237" t="s">
        <v>170</v>
      </c>
      <c r="D64" s="233" t="s">
        <v>176</v>
      </c>
      <c r="E64" s="125" t="s">
        <v>149</v>
      </c>
      <c r="F64" s="181" t="s">
        <v>103</v>
      </c>
      <c r="G64" s="181" t="s">
        <v>56</v>
      </c>
      <c r="H64" s="181" t="s">
        <v>57</v>
      </c>
      <c r="I64" s="181"/>
      <c r="J64" s="178">
        <v>200</v>
      </c>
      <c r="K64" s="182"/>
      <c r="L64" s="182" t="s">
        <v>58</v>
      </c>
      <c r="M64" s="178" t="s">
        <v>59</v>
      </c>
      <c r="N64" s="178">
        <v>0</v>
      </c>
      <c r="O64" s="178" t="s">
        <v>60</v>
      </c>
      <c r="P64" s="178" t="s">
        <v>79</v>
      </c>
      <c r="Q64" s="179"/>
      <c r="R64" s="179" t="s">
        <v>177</v>
      </c>
      <c r="S64" s="180"/>
      <c r="T64" s="179">
        <v>200</v>
      </c>
      <c r="U64" s="179" t="s">
        <v>178</v>
      </c>
      <c r="V64" s="167" t="s">
        <v>154</v>
      </c>
      <c r="W64" s="168">
        <v>0</v>
      </c>
      <c r="X64" s="106">
        <v>4</v>
      </c>
      <c r="Y64" s="167" t="s">
        <v>174</v>
      </c>
      <c r="Z64" s="169" t="s">
        <v>63</v>
      </c>
      <c r="AA64" s="166">
        <v>30</v>
      </c>
      <c r="AB64" s="166">
        <v>0</v>
      </c>
      <c r="AC64" s="165">
        <v>34</v>
      </c>
      <c r="AD64" s="165" t="s">
        <v>80</v>
      </c>
      <c r="AE64" s="165" t="s">
        <v>116</v>
      </c>
      <c r="AF64" s="165"/>
      <c r="AG64" s="165"/>
      <c r="AH64" s="165"/>
      <c r="AI64" s="165">
        <v>19</v>
      </c>
      <c r="AJ64" s="165">
        <v>34</v>
      </c>
      <c r="AK64" s="166">
        <v>167</v>
      </c>
      <c r="AL64" s="166" t="s">
        <v>175</v>
      </c>
      <c r="AM64" s="166" t="s">
        <v>116</v>
      </c>
      <c r="AN64" s="166"/>
      <c r="AO64" s="166"/>
      <c r="AP64" s="166"/>
      <c r="AQ64" s="166">
        <v>130</v>
      </c>
      <c r="AR64" s="166">
        <v>206</v>
      </c>
      <c r="AS64" s="165"/>
      <c r="AT64" s="165"/>
      <c r="AU64" s="165"/>
      <c r="AV64" s="165"/>
      <c r="AW64" s="165"/>
      <c r="AX64" s="165"/>
      <c r="AY64" s="165"/>
      <c r="AZ64" s="165"/>
      <c r="BA64" s="166"/>
      <c r="BB64" s="166"/>
      <c r="BC64" s="166"/>
      <c r="BD64" s="166"/>
      <c r="BE64" s="166"/>
      <c r="BF64" s="166"/>
      <c r="BG64" s="166"/>
      <c r="BH64" s="166"/>
      <c r="BI64" s="165"/>
      <c r="BJ64" s="165"/>
      <c r="BK64" s="165"/>
      <c r="BL64" s="165"/>
      <c r="BM64" s="165"/>
      <c r="BN64" s="165"/>
      <c r="BO64" s="165"/>
      <c r="BP64" s="165"/>
      <c r="BQ64" s="166"/>
      <c r="BR64" s="165"/>
      <c r="BS64" s="124">
        <v>95</v>
      </c>
      <c r="BT64" s="174"/>
    </row>
    <row r="65" spans="1:72" ht="14.25" hidden="1" customHeight="1" x14ac:dyDescent="0.2">
      <c r="A65" s="91">
        <v>96</v>
      </c>
      <c r="B65" s="233" t="s">
        <v>169</v>
      </c>
      <c r="C65" s="237" t="s">
        <v>170</v>
      </c>
      <c r="D65" s="233" t="s">
        <v>176</v>
      </c>
      <c r="E65" s="125" t="s">
        <v>152</v>
      </c>
      <c r="F65" s="181" t="s">
        <v>103</v>
      </c>
      <c r="G65" s="181" t="s">
        <v>56</v>
      </c>
      <c r="H65" s="181" t="s">
        <v>66</v>
      </c>
      <c r="I65" s="181"/>
      <c r="J65" s="178">
        <v>200</v>
      </c>
      <c r="K65" s="182"/>
      <c r="L65" s="182" t="s">
        <v>58</v>
      </c>
      <c r="M65" s="178" t="s">
        <v>59</v>
      </c>
      <c r="N65" s="178">
        <v>0</v>
      </c>
      <c r="O65" s="178" t="s">
        <v>60</v>
      </c>
      <c r="P65" s="178" t="s">
        <v>79</v>
      </c>
      <c r="Q65" s="179"/>
      <c r="R65" s="179" t="s">
        <v>177</v>
      </c>
      <c r="S65" s="180"/>
      <c r="T65" s="179">
        <v>200</v>
      </c>
      <c r="U65" s="179" t="s">
        <v>178</v>
      </c>
      <c r="V65" s="167" t="s">
        <v>154</v>
      </c>
      <c r="W65" s="168">
        <v>0</v>
      </c>
      <c r="X65" s="106">
        <v>4</v>
      </c>
      <c r="Y65" s="167" t="s">
        <v>174</v>
      </c>
      <c r="Z65" s="169" t="s">
        <v>63</v>
      </c>
      <c r="AA65" s="166">
        <v>30</v>
      </c>
      <c r="AB65" s="166">
        <v>0</v>
      </c>
      <c r="AC65" s="165">
        <v>34</v>
      </c>
      <c r="AD65" s="165" t="s">
        <v>80</v>
      </c>
      <c r="AE65" s="165" t="s">
        <v>116</v>
      </c>
      <c r="AF65" s="165"/>
      <c r="AG65" s="165"/>
      <c r="AH65" s="165"/>
      <c r="AI65" s="165">
        <v>19</v>
      </c>
      <c r="AJ65" s="165">
        <v>34</v>
      </c>
      <c r="AK65" s="166">
        <v>167</v>
      </c>
      <c r="AL65" s="166" t="s">
        <v>175</v>
      </c>
      <c r="AM65" s="166" t="s">
        <v>116</v>
      </c>
      <c r="AN65" s="166"/>
      <c r="AO65" s="166"/>
      <c r="AP65" s="166"/>
      <c r="AQ65" s="166">
        <v>130</v>
      </c>
      <c r="AR65" s="166">
        <v>206</v>
      </c>
      <c r="AS65" s="165"/>
      <c r="AT65" s="165"/>
      <c r="AU65" s="165"/>
      <c r="AV65" s="165"/>
      <c r="AW65" s="165"/>
      <c r="AX65" s="165"/>
      <c r="AY65" s="165"/>
      <c r="AZ65" s="165"/>
      <c r="BA65" s="166"/>
      <c r="BB65" s="166"/>
      <c r="BC65" s="166"/>
      <c r="BD65" s="166"/>
      <c r="BE65" s="166"/>
      <c r="BF65" s="166"/>
      <c r="BG65" s="166"/>
      <c r="BH65" s="166"/>
      <c r="BI65" s="165"/>
      <c r="BJ65" s="165"/>
      <c r="BK65" s="165"/>
      <c r="BL65" s="165"/>
      <c r="BM65" s="165"/>
      <c r="BN65" s="165"/>
      <c r="BO65" s="165"/>
      <c r="BP65" s="165"/>
      <c r="BQ65" s="166"/>
      <c r="BR65" s="165"/>
      <c r="BS65" s="124">
        <v>96</v>
      </c>
      <c r="BT65" s="174"/>
    </row>
    <row r="66" spans="1:72" ht="14.25" hidden="1" customHeight="1" x14ac:dyDescent="0.2">
      <c r="A66" s="91">
        <v>97</v>
      </c>
      <c r="B66" s="233" t="s">
        <v>169</v>
      </c>
      <c r="C66" s="237" t="s">
        <v>170</v>
      </c>
      <c r="D66" s="233" t="s">
        <v>179</v>
      </c>
      <c r="E66" s="125" t="s">
        <v>149</v>
      </c>
      <c r="F66" s="181" t="s">
        <v>103</v>
      </c>
      <c r="G66" s="181" t="s">
        <v>56</v>
      </c>
      <c r="H66" s="181" t="s">
        <v>57</v>
      </c>
      <c r="I66" s="181"/>
      <c r="J66" s="178">
        <v>200</v>
      </c>
      <c r="K66" s="182"/>
      <c r="L66" s="182" t="s">
        <v>58</v>
      </c>
      <c r="M66" s="178" t="s">
        <v>59</v>
      </c>
      <c r="N66" s="178">
        <v>0</v>
      </c>
      <c r="O66" s="178" t="s">
        <v>60</v>
      </c>
      <c r="P66" s="178" t="s">
        <v>79</v>
      </c>
      <c r="Q66" s="179"/>
      <c r="R66" s="179" t="s">
        <v>180</v>
      </c>
      <c r="S66" s="180"/>
      <c r="T66" s="179">
        <v>200</v>
      </c>
      <c r="U66" s="179" t="s">
        <v>178</v>
      </c>
      <c r="V66" s="167" t="s">
        <v>154</v>
      </c>
      <c r="W66" s="168">
        <v>0</v>
      </c>
      <c r="X66" s="106">
        <v>4</v>
      </c>
      <c r="Y66" s="167" t="s">
        <v>174</v>
      </c>
      <c r="Z66" s="169" t="s">
        <v>63</v>
      </c>
      <c r="AA66" s="166">
        <v>30</v>
      </c>
      <c r="AB66" s="166">
        <v>0</v>
      </c>
      <c r="AC66" s="165">
        <v>34</v>
      </c>
      <c r="AD66" s="165" t="s">
        <v>80</v>
      </c>
      <c r="AE66" s="165" t="s">
        <v>116</v>
      </c>
      <c r="AF66" s="165"/>
      <c r="AG66" s="165"/>
      <c r="AH66" s="165"/>
      <c r="AI66" s="165">
        <v>19</v>
      </c>
      <c r="AJ66" s="165">
        <v>34</v>
      </c>
      <c r="AK66" s="166">
        <v>167</v>
      </c>
      <c r="AL66" s="166" t="s">
        <v>175</v>
      </c>
      <c r="AM66" s="166" t="s">
        <v>116</v>
      </c>
      <c r="AN66" s="166"/>
      <c r="AO66" s="166"/>
      <c r="AP66" s="166"/>
      <c r="AQ66" s="166">
        <v>130</v>
      </c>
      <c r="AR66" s="166">
        <v>206</v>
      </c>
      <c r="AS66" s="165"/>
      <c r="AT66" s="165"/>
      <c r="AU66" s="165"/>
      <c r="AV66" s="165"/>
      <c r="AW66" s="165"/>
      <c r="AX66" s="165"/>
      <c r="AY66" s="165"/>
      <c r="AZ66" s="165"/>
      <c r="BA66" s="166"/>
      <c r="BB66" s="166"/>
      <c r="BC66" s="166"/>
      <c r="BD66" s="166"/>
      <c r="BE66" s="166"/>
      <c r="BF66" s="166"/>
      <c r="BG66" s="166"/>
      <c r="BH66" s="166"/>
      <c r="BI66" s="165"/>
      <c r="BJ66" s="165"/>
      <c r="BK66" s="165"/>
      <c r="BL66" s="165"/>
      <c r="BM66" s="165"/>
      <c r="BN66" s="165"/>
      <c r="BO66" s="165"/>
      <c r="BP66" s="165"/>
      <c r="BQ66" s="166"/>
      <c r="BR66" s="165"/>
      <c r="BS66" s="124">
        <v>97</v>
      </c>
      <c r="BT66" s="174"/>
    </row>
    <row r="67" spans="1:72" ht="14.25" hidden="1" customHeight="1" x14ac:dyDescent="0.2">
      <c r="A67" s="91">
        <v>98</v>
      </c>
      <c r="B67" s="233" t="s">
        <v>169</v>
      </c>
      <c r="C67" s="237" t="s">
        <v>170</v>
      </c>
      <c r="D67" s="233" t="s">
        <v>179</v>
      </c>
      <c r="E67" s="125" t="s">
        <v>152</v>
      </c>
      <c r="F67" s="181" t="s">
        <v>103</v>
      </c>
      <c r="G67" s="181" t="s">
        <v>56</v>
      </c>
      <c r="H67" s="181" t="s">
        <v>66</v>
      </c>
      <c r="I67" s="181"/>
      <c r="J67" s="178">
        <v>200</v>
      </c>
      <c r="K67" s="182"/>
      <c r="L67" s="182" t="s">
        <v>58</v>
      </c>
      <c r="M67" s="178" t="s">
        <v>59</v>
      </c>
      <c r="N67" s="178">
        <v>0</v>
      </c>
      <c r="O67" s="178" t="s">
        <v>60</v>
      </c>
      <c r="P67" s="178" t="s">
        <v>79</v>
      </c>
      <c r="Q67" s="179"/>
      <c r="R67" s="179" t="s">
        <v>180</v>
      </c>
      <c r="S67" s="180"/>
      <c r="T67" s="179">
        <v>200</v>
      </c>
      <c r="U67" s="179" t="s">
        <v>178</v>
      </c>
      <c r="V67" s="167" t="s">
        <v>154</v>
      </c>
      <c r="W67" s="168">
        <v>0</v>
      </c>
      <c r="X67" s="106">
        <v>4</v>
      </c>
      <c r="Y67" s="167" t="s">
        <v>174</v>
      </c>
      <c r="Z67" s="169" t="s">
        <v>63</v>
      </c>
      <c r="AA67" s="166">
        <v>30</v>
      </c>
      <c r="AB67" s="166">
        <v>0</v>
      </c>
      <c r="AC67" s="165">
        <v>34</v>
      </c>
      <c r="AD67" s="165" t="s">
        <v>80</v>
      </c>
      <c r="AE67" s="165" t="s">
        <v>116</v>
      </c>
      <c r="AF67" s="165"/>
      <c r="AG67" s="165"/>
      <c r="AH67" s="165"/>
      <c r="AI67" s="165">
        <v>19</v>
      </c>
      <c r="AJ67" s="165">
        <v>34</v>
      </c>
      <c r="AK67" s="166">
        <v>167</v>
      </c>
      <c r="AL67" s="166" t="s">
        <v>175</v>
      </c>
      <c r="AM67" s="166" t="s">
        <v>116</v>
      </c>
      <c r="AN67" s="166"/>
      <c r="AO67" s="166"/>
      <c r="AP67" s="166"/>
      <c r="AQ67" s="166">
        <v>130</v>
      </c>
      <c r="AR67" s="166">
        <v>206</v>
      </c>
      <c r="AS67" s="165"/>
      <c r="AT67" s="165"/>
      <c r="AU67" s="165"/>
      <c r="AV67" s="165"/>
      <c r="AW67" s="165"/>
      <c r="AX67" s="165"/>
      <c r="AY67" s="165"/>
      <c r="AZ67" s="165"/>
      <c r="BA67" s="166"/>
      <c r="BB67" s="166"/>
      <c r="BC67" s="166"/>
      <c r="BD67" s="166"/>
      <c r="BE67" s="166"/>
      <c r="BF67" s="166"/>
      <c r="BG67" s="166"/>
      <c r="BH67" s="166"/>
      <c r="BI67" s="165"/>
      <c r="BJ67" s="165"/>
      <c r="BK67" s="165"/>
      <c r="BL67" s="165"/>
      <c r="BM67" s="165"/>
      <c r="BN67" s="165"/>
      <c r="BO67" s="165"/>
      <c r="BP67" s="165"/>
      <c r="BQ67" s="166"/>
      <c r="BR67" s="165"/>
      <c r="BS67" s="124">
        <v>98</v>
      </c>
      <c r="BT67" s="174"/>
    </row>
    <row r="68" spans="1:72" ht="14.25" hidden="1" customHeight="1" x14ac:dyDescent="0.2">
      <c r="A68" s="92">
        <v>99</v>
      </c>
      <c r="B68" s="235" t="s">
        <v>181</v>
      </c>
      <c r="C68" s="236" t="s">
        <v>182</v>
      </c>
      <c r="D68" s="235" t="s">
        <v>183</v>
      </c>
      <c r="E68" s="125" t="s">
        <v>184</v>
      </c>
      <c r="F68" s="181" t="s">
        <v>103</v>
      </c>
      <c r="G68" s="181" t="s">
        <v>56</v>
      </c>
      <c r="H68" s="181" t="s">
        <v>185</v>
      </c>
      <c r="I68" s="181"/>
      <c r="J68" s="178">
        <v>21</v>
      </c>
      <c r="K68" s="182"/>
      <c r="L68" s="182" t="s">
        <v>107</v>
      </c>
      <c r="M68" s="178" t="s">
        <v>78</v>
      </c>
      <c r="N68" s="178" t="s">
        <v>186</v>
      </c>
      <c r="O68" s="178" t="s">
        <v>60</v>
      </c>
      <c r="P68" s="178" t="s">
        <v>187</v>
      </c>
      <c r="Q68" s="179"/>
      <c r="R68" s="179" t="s">
        <v>188</v>
      </c>
      <c r="S68" s="180">
        <v>30</v>
      </c>
      <c r="T68" s="179"/>
      <c r="U68" s="179"/>
      <c r="V68" s="167"/>
      <c r="W68" s="168"/>
      <c r="Y68" s="167"/>
      <c r="Z68" s="82" t="s">
        <v>63</v>
      </c>
      <c r="AA68" s="166">
        <v>35</v>
      </c>
      <c r="AB68" s="166">
        <v>14</v>
      </c>
      <c r="AC68" s="165">
        <v>7</v>
      </c>
      <c r="AD68" s="165" t="s">
        <v>80</v>
      </c>
      <c r="AE68" s="165" t="s">
        <v>116</v>
      </c>
      <c r="AF68" s="165">
        <v>4.3</v>
      </c>
      <c r="AG68" s="165" t="s">
        <v>80</v>
      </c>
      <c r="AH68" s="165" t="s">
        <v>117</v>
      </c>
      <c r="AI68" s="165"/>
      <c r="AJ68" s="165"/>
      <c r="AK68" s="166">
        <v>23.5</v>
      </c>
      <c r="AL68" s="166" t="s">
        <v>81</v>
      </c>
      <c r="AM68" s="166" t="s">
        <v>118</v>
      </c>
      <c r="AN68" s="166">
        <v>12.4</v>
      </c>
      <c r="AO68" s="166" t="s">
        <v>81</v>
      </c>
      <c r="AP68" s="166" t="s">
        <v>117</v>
      </c>
      <c r="AQ68" s="166">
        <v>1</v>
      </c>
      <c r="AR68" s="166">
        <v>15</v>
      </c>
      <c r="AS68" s="165">
        <v>114</v>
      </c>
      <c r="AT68" s="165" t="s">
        <v>119</v>
      </c>
      <c r="AU68" s="165" t="s">
        <v>118</v>
      </c>
      <c r="AV68" s="165">
        <v>25</v>
      </c>
      <c r="AW68" s="165" t="s">
        <v>119</v>
      </c>
      <c r="AX68" s="165" t="s">
        <v>117</v>
      </c>
      <c r="AY68" s="165"/>
      <c r="AZ68" s="165"/>
      <c r="BA68" s="166"/>
      <c r="BB68" s="166"/>
      <c r="BC68" s="166"/>
      <c r="BD68" s="166"/>
      <c r="BE68" s="166"/>
      <c r="BF68" s="166"/>
      <c r="BG68" s="166"/>
      <c r="BH68" s="166"/>
      <c r="BI68" s="165"/>
      <c r="BJ68" s="165"/>
      <c r="BK68" s="165"/>
      <c r="BL68" s="165"/>
      <c r="BM68" s="165"/>
      <c r="BN68" s="165"/>
      <c r="BO68" s="165"/>
      <c r="BP68" s="165"/>
      <c r="BQ68" s="166" t="s">
        <v>189</v>
      </c>
      <c r="BR68" s="165" t="s">
        <v>190</v>
      </c>
      <c r="BS68" s="124">
        <v>99</v>
      </c>
      <c r="BT68" s="174"/>
    </row>
    <row r="69" spans="1:72" ht="14.25" hidden="1" customHeight="1" x14ac:dyDescent="0.2">
      <c r="A69" s="92">
        <v>100</v>
      </c>
      <c r="B69" s="235" t="s">
        <v>191</v>
      </c>
      <c r="C69" s="236" t="s">
        <v>192</v>
      </c>
      <c r="D69" s="235" t="s">
        <v>193</v>
      </c>
      <c r="E69" s="125" t="s">
        <v>54</v>
      </c>
      <c r="F69" s="181" t="s">
        <v>103</v>
      </c>
      <c r="G69" s="181" t="s">
        <v>56</v>
      </c>
      <c r="H69" s="181" t="s">
        <v>194</v>
      </c>
      <c r="I69" s="181"/>
      <c r="J69" s="178">
        <v>450</v>
      </c>
      <c r="K69" s="182"/>
      <c r="L69" s="182" t="s">
        <v>58</v>
      </c>
      <c r="M69" s="178" t="s">
        <v>59</v>
      </c>
      <c r="N69" s="178">
        <v>0</v>
      </c>
      <c r="O69" s="178" t="s">
        <v>60</v>
      </c>
      <c r="P69" s="178" t="s">
        <v>79</v>
      </c>
      <c r="Q69" s="179"/>
      <c r="R69" s="179" t="s">
        <v>195</v>
      </c>
      <c r="S69" s="180"/>
      <c r="T69" s="179">
        <v>100</v>
      </c>
      <c r="U69" s="179"/>
      <c r="V69" s="167" t="s">
        <v>62</v>
      </c>
      <c r="W69" s="168">
        <v>12</v>
      </c>
      <c r="X69" s="106">
        <v>1</v>
      </c>
      <c r="Y69" s="167"/>
      <c r="Z69" s="169" t="s">
        <v>63</v>
      </c>
      <c r="AA69" s="166">
        <v>8</v>
      </c>
      <c r="AB69" s="166">
        <v>5</v>
      </c>
      <c r="AC69" s="165">
        <v>43</v>
      </c>
      <c r="AD69" s="165" t="s">
        <v>80</v>
      </c>
      <c r="AE69" s="165" t="s">
        <v>196</v>
      </c>
      <c r="AF69" s="165"/>
      <c r="AG69" s="165"/>
      <c r="AH69" s="165"/>
      <c r="AI69" s="165">
        <v>32</v>
      </c>
      <c r="AJ69" s="165">
        <v>60</v>
      </c>
      <c r="AK69" s="166">
        <v>80</v>
      </c>
      <c r="AL69" s="166" t="s">
        <v>81</v>
      </c>
      <c r="AM69" s="166" t="s">
        <v>196</v>
      </c>
      <c r="AN69" s="166"/>
      <c r="AO69" s="166"/>
      <c r="AP69" s="166"/>
      <c r="AQ69" s="166">
        <v>56</v>
      </c>
      <c r="AR69" s="166">
        <v>95</v>
      </c>
      <c r="AS69" s="165"/>
      <c r="AT69" s="165"/>
      <c r="AU69" s="165"/>
      <c r="AV69" s="165"/>
      <c r="AW69" s="165"/>
      <c r="AX69" s="165"/>
      <c r="AY69" s="165"/>
      <c r="AZ69" s="165"/>
      <c r="BA69" s="166"/>
      <c r="BB69" s="166"/>
      <c r="BC69" s="166"/>
      <c r="BD69" s="166"/>
      <c r="BE69" s="166"/>
      <c r="BF69" s="166"/>
      <c r="BG69" s="166"/>
      <c r="BH69" s="166"/>
      <c r="BI69" s="165"/>
      <c r="BJ69" s="165"/>
      <c r="BK69" s="165"/>
      <c r="BL69" s="165"/>
      <c r="BM69" s="165"/>
      <c r="BN69" s="165"/>
      <c r="BO69" s="165"/>
      <c r="BP69" s="165"/>
      <c r="BQ69" s="166"/>
      <c r="BR69" s="165"/>
      <c r="BS69" s="124">
        <v>100</v>
      </c>
      <c r="BT69" s="174"/>
    </row>
    <row r="70" spans="1:72" ht="14.25" hidden="1" customHeight="1" x14ac:dyDescent="0.2">
      <c r="A70" s="92">
        <v>101</v>
      </c>
      <c r="B70" s="235" t="s">
        <v>191</v>
      </c>
      <c r="C70" s="236" t="s">
        <v>192</v>
      </c>
      <c r="D70" s="235" t="s">
        <v>197</v>
      </c>
      <c r="E70" s="125" t="s">
        <v>54</v>
      </c>
      <c r="F70" s="181" t="s">
        <v>103</v>
      </c>
      <c r="G70" s="181" t="s">
        <v>56</v>
      </c>
      <c r="H70" s="181" t="s">
        <v>198</v>
      </c>
      <c r="I70" s="181"/>
      <c r="J70" s="178">
        <v>600</v>
      </c>
      <c r="K70" s="182"/>
      <c r="L70" s="182" t="s">
        <v>58</v>
      </c>
      <c r="M70" s="178" t="s">
        <v>59</v>
      </c>
      <c r="N70" s="178">
        <v>0</v>
      </c>
      <c r="O70" s="178" t="s">
        <v>60</v>
      </c>
      <c r="P70" s="178" t="s">
        <v>79</v>
      </c>
      <c r="Q70" s="179"/>
      <c r="R70" s="179" t="s">
        <v>199</v>
      </c>
      <c r="S70" s="180"/>
      <c r="T70" s="179">
        <v>100</v>
      </c>
      <c r="U70" s="179"/>
      <c r="V70" s="167" t="s">
        <v>62</v>
      </c>
      <c r="W70" s="168">
        <v>12</v>
      </c>
      <c r="X70" s="106">
        <v>2</v>
      </c>
      <c r="Y70" s="167"/>
      <c r="Z70" s="169" t="s">
        <v>63</v>
      </c>
      <c r="AA70" s="166">
        <v>12</v>
      </c>
      <c r="AB70" s="166">
        <v>6</v>
      </c>
      <c r="AC70" s="165">
        <v>45</v>
      </c>
      <c r="AD70" s="165" t="s">
        <v>80</v>
      </c>
      <c r="AE70" s="165" t="s">
        <v>196</v>
      </c>
      <c r="AF70" s="165"/>
      <c r="AG70" s="165"/>
      <c r="AH70" s="165"/>
      <c r="AI70" s="165">
        <v>26</v>
      </c>
      <c r="AJ70" s="165">
        <v>57</v>
      </c>
      <c r="AK70" s="166">
        <v>71</v>
      </c>
      <c r="AL70" s="166" t="s">
        <v>81</v>
      </c>
      <c r="AM70" s="166" t="s">
        <v>196</v>
      </c>
      <c r="AN70" s="166"/>
      <c r="AO70" s="166"/>
      <c r="AP70" s="166"/>
      <c r="AQ70" s="166">
        <v>55</v>
      </c>
      <c r="AR70" s="166">
        <v>89</v>
      </c>
      <c r="AS70" s="165">
        <v>166</v>
      </c>
      <c r="AT70" s="165" t="s">
        <v>119</v>
      </c>
      <c r="AU70" s="165" t="s">
        <v>196</v>
      </c>
      <c r="AV70" s="165"/>
      <c r="AW70" s="165"/>
      <c r="AX70" s="165"/>
      <c r="AY70" s="165">
        <v>151</v>
      </c>
      <c r="AZ70" s="165">
        <v>194</v>
      </c>
      <c r="BA70" s="166"/>
      <c r="BB70" s="166"/>
      <c r="BC70" s="166"/>
      <c r="BD70" s="166"/>
      <c r="BE70" s="166"/>
      <c r="BF70" s="166"/>
      <c r="BG70" s="166"/>
      <c r="BH70" s="166"/>
      <c r="BI70" s="165"/>
      <c r="BJ70" s="165"/>
      <c r="BK70" s="165"/>
      <c r="BL70" s="165"/>
      <c r="BM70" s="165"/>
      <c r="BN70" s="165"/>
      <c r="BO70" s="165"/>
      <c r="BP70" s="165"/>
      <c r="BQ70" s="166"/>
      <c r="BR70" s="165"/>
      <c r="BS70" s="124">
        <v>101</v>
      </c>
      <c r="BT70" s="174"/>
    </row>
    <row r="71" spans="1:72" ht="14.25" hidden="1" customHeight="1" x14ac:dyDescent="0.2">
      <c r="A71" s="92">
        <v>102</v>
      </c>
      <c r="B71" s="235" t="s">
        <v>200</v>
      </c>
      <c r="C71" s="236" t="s">
        <v>201</v>
      </c>
      <c r="D71" s="235" t="s">
        <v>202</v>
      </c>
      <c r="E71" s="125" t="s">
        <v>203</v>
      </c>
      <c r="F71" s="181" t="s">
        <v>103</v>
      </c>
      <c r="G71" s="181" t="s">
        <v>56</v>
      </c>
      <c r="H71" s="181" t="s">
        <v>204</v>
      </c>
      <c r="I71" s="181"/>
      <c r="J71" s="178">
        <v>0.5</v>
      </c>
      <c r="K71" s="182"/>
      <c r="L71" s="182" t="s">
        <v>205</v>
      </c>
      <c r="M71" s="178" t="s">
        <v>78</v>
      </c>
      <c r="N71" s="178">
        <v>0</v>
      </c>
      <c r="O71" s="178" t="s">
        <v>60</v>
      </c>
      <c r="P71" s="178" t="s">
        <v>206</v>
      </c>
      <c r="Q71" s="179"/>
      <c r="R71" s="179" t="s">
        <v>207</v>
      </c>
      <c r="S71" s="180">
        <v>60</v>
      </c>
      <c r="T71" s="179"/>
      <c r="U71" s="179"/>
      <c r="V71" s="167"/>
      <c r="W71" s="168"/>
      <c r="Y71" s="167"/>
      <c r="Z71" s="82" t="s">
        <v>63</v>
      </c>
      <c r="AA71" s="166">
        <v>10</v>
      </c>
      <c r="AB71" s="166">
        <v>5</v>
      </c>
      <c r="AC71" s="165">
        <v>27.4</v>
      </c>
      <c r="AD71" s="165" t="s">
        <v>80</v>
      </c>
      <c r="AE71" s="165" t="s">
        <v>116</v>
      </c>
      <c r="AF71" s="165"/>
      <c r="AG71" s="165"/>
      <c r="AH71" s="165"/>
      <c r="AI71" s="165">
        <v>20</v>
      </c>
      <c r="AJ71" s="165">
        <v>50</v>
      </c>
      <c r="AK71" s="166">
        <v>64.099999999999994</v>
      </c>
      <c r="AL71" s="166" t="s">
        <v>81</v>
      </c>
      <c r="AM71" s="166" t="s">
        <v>118</v>
      </c>
      <c r="AN71" s="166"/>
      <c r="AO71" s="166"/>
      <c r="AP71" s="166"/>
      <c r="AQ71" s="166">
        <v>55</v>
      </c>
      <c r="AR71" s="166">
        <v>78</v>
      </c>
      <c r="AS71" s="165"/>
      <c r="AT71" s="165"/>
      <c r="AU71" s="165"/>
      <c r="AV71" s="165"/>
      <c r="AW71" s="165"/>
      <c r="AX71" s="165"/>
      <c r="AY71" s="165"/>
      <c r="AZ71" s="165"/>
      <c r="BA71" s="166"/>
      <c r="BB71" s="166"/>
      <c r="BC71" s="166"/>
      <c r="BD71" s="166"/>
      <c r="BE71" s="166"/>
      <c r="BF71" s="166"/>
      <c r="BG71" s="166"/>
      <c r="BH71" s="166"/>
      <c r="BI71" s="165"/>
      <c r="BJ71" s="165"/>
      <c r="BK71" s="165"/>
      <c r="BL71" s="165"/>
      <c r="BM71" s="165"/>
      <c r="BN71" s="165"/>
      <c r="BO71" s="165"/>
      <c r="BP71" s="165"/>
      <c r="BQ71" s="166" t="s">
        <v>208</v>
      </c>
      <c r="BR71" s="165" t="s">
        <v>209</v>
      </c>
      <c r="BS71" s="124">
        <v>102</v>
      </c>
      <c r="BT71" s="174"/>
    </row>
    <row r="72" spans="1:72" ht="14.25" hidden="1" customHeight="1" x14ac:dyDescent="0.2">
      <c r="A72" s="92">
        <v>103</v>
      </c>
      <c r="B72" s="235" t="s">
        <v>200</v>
      </c>
      <c r="C72" s="236" t="s">
        <v>201</v>
      </c>
      <c r="D72" s="235" t="s">
        <v>210</v>
      </c>
      <c r="E72" s="125" t="s">
        <v>203</v>
      </c>
      <c r="F72" s="181" t="s">
        <v>103</v>
      </c>
      <c r="G72" s="181" t="s">
        <v>56</v>
      </c>
      <c r="H72" s="181" t="s">
        <v>204</v>
      </c>
      <c r="I72" s="181"/>
      <c r="J72" s="178">
        <v>1</v>
      </c>
      <c r="K72" s="182"/>
      <c r="L72" s="182" t="s">
        <v>205</v>
      </c>
      <c r="M72" s="178" t="s">
        <v>78</v>
      </c>
      <c r="N72" s="178">
        <v>0</v>
      </c>
      <c r="O72" s="178" t="s">
        <v>60</v>
      </c>
      <c r="P72" s="178" t="s">
        <v>206</v>
      </c>
      <c r="Q72" s="179"/>
      <c r="R72" s="179" t="s">
        <v>207</v>
      </c>
      <c r="S72" s="180">
        <v>60</v>
      </c>
      <c r="T72" s="179"/>
      <c r="U72" s="179"/>
      <c r="V72" s="167"/>
      <c r="W72" s="168"/>
      <c r="Y72" s="167"/>
      <c r="Z72" s="82" t="s">
        <v>63</v>
      </c>
      <c r="AA72" s="166">
        <v>10</v>
      </c>
      <c r="AB72" s="166">
        <v>5</v>
      </c>
      <c r="AC72" s="165">
        <v>27.4</v>
      </c>
      <c r="AD72" s="165" t="s">
        <v>80</v>
      </c>
      <c r="AE72" s="165" t="s">
        <v>116</v>
      </c>
      <c r="AF72" s="165"/>
      <c r="AG72" s="165"/>
      <c r="AH72" s="165"/>
      <c r="AI72" s="165">
        <v>20</v>
      </c>
      <c r="AJ72" s="165">
        <v>50</v>
      </c>
      <c r="AK72" s="166">
        <v>64.099999999999994</v>
      </c>
      <c r="AL72" s="166" t="s">
        <v>81</v>
      </c>
      <c r="AM72" s="166" t="s">
        <v>118</v>
      </c>
      <c r="AN72" s="166"/>
      <c r="AO72" s="166"/>
      <c r="AP72" s="166"/>
      <c r="AQ72" s="166">
        <v>55</v>
      </c>
      <c r="AR72" s="166">
        <v>78</v>
      </c>
      <c r="AS72" s="165"/>
      <c r="AT72" s="165"/>
      <c r="AU72" s="165"/>
      <c r="AV72" s="165"/>
      <c r="AW72" s="165"/>
      <c r="AX72" s="165"/>
      <c r="AY72" s="165"/>
      <c r="AZ72" s="165"/>
      <c r="BA72" s="166"/>
      <c r="BB72" s="166"/>
      <c r="BC72" s="166"/>
      <c r="BD72" s="166"/>
      <c r="BE72" s="166"/>
      <c r="BF72" s="166"/>
      <c r="BG72" s="166"/>
      <c r="BH72" s="166"/>
      <c r="BI72" s="165"/>
      <c r="BJ72" s="165"/>
      <c r="BK72" s="165"/>
      <c r="BL72" s="165"/>
      <c r="BM72" s="165"/>
      <c r="BN72" s="165"/>
      <c r="BO72" s="165"/>
      <c r="BP72" s="165"/>
      <c r="BQ72" s="166" t="s">
        <v>208</v>
      </c>
      <c r="BR72" s="165" t="s">
        <v>209</v>
      </c>
      <c r="BS72" s="124">
        <v>103</v>
      </c>
      <c r="BT72" s="174"/>
    </row>
    <row r="73" spans="1:72" ht="14.25" hidden="1" customHeight="1" x14ac:dyDescent="0.2">
      <c r="A73" s="92">
        <v>108</v>
      </c>
      <c r="B73" s="235" t="s">
        <v>211</v>
      </c>
      <c r="C73" s="236" t="s">
        <v>212</v>
      </c>
      <c r="D73" s="235" t="s">
        <v>183</v>
      </c>
      <c r="E73" s="125" t="s">
        <v>213</v>
      </c>
      <c r="F73" s="181" t="s">
        <v>103</v>
      </c>
      <c r="G73" s="181" t="s">
        <v>56</v>
      </c>
      <c r="H73" s="181" t="s">
        <v>57</v>
      </c>
      <c r="I73" s="181"/>
      <c r="J73" s="178">
        <v>5</v>
      </c>
      <c r="K73" s="182"/>
      <c r="L73" s="182" t="s">
        <v>107</v>
      </c>
      <c r="M73" s="178" t="s">
        <v>78</v>
      </c>
      <c r="N73" s="178">
        <v>0</v>
      </c>
      <c r="O73" s="178" t="s">
        <v>60</v>
      </c>
      <c r="P73" s="178" t="s">
        <v>214</v>
      </c>
      <c r="Q73" s="179"/>
      <c r="R73" s="179" t="s">
        <v>215</v>
      </c>
      <c r="S73" s="180"/>
      <c r="T73" s="179"/>
      <c r="U73" s="179"/>
      <c r="V73" s="167"/>
      <c r="W73" s="168"/>
      <c r="Y73" s="167"/>
      <c r="Z73" s="82" t="s">
        <v>63</v>
      </c>
      <c r="AA73" s="166">
        <v>10</v>
      </c>
      <c r="AB73" s="166">
        <v>3</v>
      </c>
      <c r="AC73" s="165">
        <v>45.5</v>
      </c>
      <c r="AD73" s="165" t="s">
        <v>80</v>
      </c>
      <c r="AE73" s="165" t="s">
        <v>116</v>
      </c>
      <c r="AF73" s="165"/>
      <c r="AG73" s="165"/>
      <c r="AH73" s="165"/>
      <c r="AI73" s="165">
        <v>22</v>
      </c>
      <c r="AJ73" s="165">
        <v>64</v>
      </c>
      <c r="AK73" s="166">
        <v>71.099999999999994</v>
      </c>
      <c r="AL73" s="166" t="s">
        <v>81</v>
      </c>
      <c r="AM73" s="166" t="s">
        <v>118</v>
      </c>
      <c r="AN73" s="166"/>
      <c r="AO73" s="166"/>
      <c r="AP73" s="166"/>
      <c r="AQ73" s="166">
        <v>50</v>
      </c>
      <c r="AR73" s="166">
        <v>111</v>
      </c>
      <c r="AS73" s="165"/>
      <c r="AT73" s="165"/>
      <c r="AU73" s="165"/>
      <c r="AV73" s="165"/>
      <c r="AW73" s="165"/>
      <c r="AX73" s="165"/>
      <c r="AY73" s="165"/>
      <c r="AZ73" s="165"/>
      <c r="BA73" s="166"/>
      <c r="BB73" s="166"/>
      <c r="BC73" s="166"/>
      <c r="BD73" s="166"/>
      <c r="BE73" s="166"/>
      <c r="BF73" s="166"/>
      <c r="BG73" s="166"/>
      <c r="BH73" s="166"/>
      <c r="BI73" s="165"/>
      <c r="BJ73" s="165"/>
      <c r="BK73" s="165"/>
      <c r="BL73" s="165"/>
      <c r="BM73" s="165"/>
      <c r="BN73" s="165"/>
      <c r="BO73" s="165"/>
      <c r="BP73" s="165"/>
      <c r="BQ73" s="166" t="s">
        <v>216</v>
      </c>
      <c r="BR73" s="165" t="s">
        <v>217</v>
      </c>
      <c r="BS73" s="124">
        <v>108</v>
      </c>
      <c r="BT73" s="174"/>
    </row>
    <row r="74" spans="1:72" ht="14.25" hidden="1" customHeight="1" x14ac:dyDescent="0.2">
      <c r="A74" s="92">
        <v>112</v>
      </c>
      <c r="B74" s="235" t="s">
        <v>218</v>
      </c>
      <c r="C74" s="239" t="s">
        <v>219</v>
      </c>
      <c r="D74" s="235" t="s">
        <v>220</v>
      </c>
      <c r="E74" s="125" t="s">
        <v>102</v>
      </c>
      <c r="F74" s="181" t="s">
        <v>103</v>
      </c>
      <c r="G74" s="181" t="s">
        <v>56</v>
      </c>
      <c r="H74" s="181" t="s">
        <v>66</v>
      </c>
      <c r="I74" s="181"/>
      <c r="J74" s="178">
        <v>7.4999999999999997E-2</v>
      </c>
      <c r="K74" s="182"/>
      <c r="L74" s="182" t="s">
        <v>107</v>
      </c>
      <c r="M74" s="178" t="s">
        <v>59</v>
      </c>
      <c r="N74" s="178">
        <v>0</v>
      </c>
      <c r="O74" s="178" t="s">
        <v>60</v>
      </c>
      <c r="P74" s="178"/>
      <c r="Q74" s="179"/>
      <c r="R74" s="179" t="s">
        <v>221</v>
      </c>
      <c r="S74" s="180"/>
      <c r="T74" s="179"/>
      <c r="U74" s="179" t="s">
        <v>222</v>
      </c>
      <c r="V74" s="167" t="s">
        <v>62</v>
      </c>
      <c r="W74" s="168">
        <v>8</v>
      </c>
      <c r="X74" s="106" t="s">
        <v>223</v>
      </c>
      <c r="Y74" s="167"/>
      <c r="Z74" s="169" t="s">
        <v>63</v>
      </c>
      <c r="AA74" s="166">
        <v>18</v>
      </c>
      <c r="AB74" s="166">
        <v>10</v>
      </c>
      <c r="AC74" s="165">
        <v>38.700000000000003</v>
      </c>
      <c r="AD74" s="165" t="s">
        <v>80</v>
      </c>
      <c r="AE74" s="165" t="s">
        <v>116</v>
      </c>
      <c r="AF74" s="165">
        <v>8.8000000000000007</v>
      </c>
      <c r="AG74" s="165" t="s">
        <v>80</v>
      </c>
      <c r="AH74" s="165" t="s">
        <v>117</v>
      </c>
      <c r="AI74" s="165"/>
      <c r="AJ74" s="165"/>
      <c r="AK74" s="166">
        <v>73.400000000000006</v>
      </c>
      <c r="AL74" s="166" t="s">
        <v>81</v>
      </c>
      <c r="AM74" s="166" t="s">
        <v>116</v>
      </c>
      <c r="AN74" s="166">
        <v>11.3</v>
      </c>
      <c r="AO74" s="166" t="s">
        <v>81</v>
      </c>
      <c r="AP74" s="166" t="s">
        <v>117</v>
      </c>
      <c r="AQ74" s="166"/>
      <c r="AR74" s="166"/>
      <c r="AS74" s="165"/>
      <c r="AT74" s="165"/>
      <c r="AU74" s="165"/>
      <c r="AV74" s="165"/>
      <c r="AW74" s="165"/>
      <c r="AX74" s="165"/>
      <c r="AY74" s="165"/>
      <c r="AZ74" s="165"/>
      <c r="BA74" s="166">
        <v>25.5</v>
      </c>
      <c r="BB74" s="166" t="s">
        <v>224</v>
      </c>
      <c r="BC74" s="166" t="s">
        <v>116</v>
      </c>
      <c r="BD74" s="166">
        <v>2.8</v>
      </c>
      <c r="BE74" s="166" t="s">
        <v>224</v>
      </c>
      <c r="BF74" s="166" t="s">
        <v>117</v>
      </c>
      <c r="BG74" s="166"/>
      <c r="BH74" s="166"/>
      <c r="BI74" s="165"/>
      <c r="BJ74" s="165"/>
      <c r="BK74" s="165"/>
      <c r="BL74" s="165"/>
      <c r="BM74" s="165"/>
      <c r="BN74" s="165"/>
      <c r="BO74" s="165"/>
      <c r="BP74" s="165"/>
      <c r="BQ74" s="166"/>
      <c r="BR74" s="165"/>
      <c r="BS74" s="124">
        <v>112</v>
      </c>
      <c r="BT74" s="174"/>
    </row>
    <row r="75" spans="1:72" ht="14.25" hidden="1" customHeight="1" x14ac:dyDescent="0.2">
      <c r="A75" s="92">
        <v>113</v>
      </c>
      <c r="B75" s="235" t="s">
        <v>218</v>
      </c>
      <c r="C75" s="236" t="s">
        <v>219</v>
      </c>
      <c r="D75" s="235" t="s">
        <v>225</v>
      </c>
      <c r="E75" s="125" t="s">
        <v>102</v>
      </c>
      <c r="F75" s="181" t="s">
        <v>103</v>
      </c>
      <c r="G75" s="181" t="s">
        <v>56</v>
      </c>
      <c r="H75" s="181" t="s">
        <v>66</v>
      </c>
      <c r="I75" s="181"/>
      <c r="J75" s="178">
        <v>7.4999999999999997E-2</v>
      </c>
      <c r="K75" s="182"/>
      <c r="L75" s="182" t="s">
        <v>107</v>
      </c>
      <c r="M75" s="178" t="s">
        <v>59</v>
      </c>
      <c r="N75" s="178">
        <f>7*24-2</f>
        <v>166</v>
      </c>
      <c r="O75" s="178" t="s">
        <v>60</v>
      </c>
      <c r="P75" s="178"/>
      <c r="Q75" s="179"/>
      <c r="R75" s="179"/>
      <c r="S75" s="180"/>
      <c r="T75" s="179"/>
      <c r="U75" s="179"/>
      <c r="V75" s="167" t="s">
        <v>62</v>
      </c>
      <c r="W75" s="168">
        <v>8</v>
      </c>
      <c r="X75" s="106" t="s">
        <v>226</v>
      </c>
      <c r="Y75" s="167"/>
      <c r="Z75" s="169" t="s">
        <v>63</v>
      </c>
      <c r="AA75" s="166">
        <v>18</v>
      </c>
      <c r="AB75" s="166">
        <v>10</v>
      </c>
      <c r="AC75" s="165">
        <v>38.700000000000003</v>
      </c>
      <c r="AD75" s="165" t="s">
        <v>80</v>
      </c>
      <c r="AE75" s="165" t="s">
        <v>116</v>
      </c>
      <c r="AF75" s="165">
        <v>8.8000000000000007</v>
      </c>
      <c r="AG75" s="165" t="s">
        <v>80</v>
      </c>
      <c r="AH75" s="165" t="s">
        <v>117</v>
      </c>
      <c r="AI75" s="165"/>
      <c r="AJ75" s="165"/>
      <c r="AK75" s="166">
        <v>73.400000000000006</v>
      </c>
      <c r="AL75" s="166" t="s">
        <v>81</v>
      </c>
      <c r="AM75" s="166" t="s">
        <v>116</v>
      </c>
      <c r="AN75" s="166">
        <v>11.3</v>
      </c>
      <c r="AO75" s="166" t="s">
        <v>81</v>
      </c>
      <c r="AP75" s="166" t="s">
        <v>117</v>
      </c>
      <c r="AQ75" s="166"/>
      <c r="AR75" s="166"/>
      <c r="AS75" s="165"/>
      <c r="AT75" s="165"/>
      <c r="AU75" s="165"/>
      <c r="AV75" s="165"/>
      <c r="AW75" s="165"/>
      <c r="AX75" s="165"/>
      <c r="AY75" s="165"/>
      <c r="AZ75" s="165"/>
      <c r="BA75" s="166">
        <v>25.5</v>
      </c>
      <c r="BB75" s="166" t="s">
        <v>224</v>
      </c>
      <c r="BC75" s="166" t="s">
        <v>116</v>
      </c>
      <c r="BD75" s="166">
        <v>2.8</v>
      </c>
      <c r="BE75" s="166" t="s">
        <v>224</v>
      </c>
      <c r="BF75" s="166" t="s">
        <v>117</v>
      </c>
      <c r="BG75" s="166"/>
      <c r="BH75" s="166"/>
      <c r="BI75" s="165"/>
      <c r="BJ75" s="165"/>
      <c r="BK75" s="165"/>
      <c r="BL75" s="165"/>
      <c r="BM75" s="165"/>
      <c r="BN75" s="165"/>
      <c r="BO75" s="165"/>
      <c r="BP75" s="165"/>
      <c r="BQ75" s="166"/>
      <c r="BR75" s="165"/>
      <c r="BS75" s="124">
        <v>113</v>
      </c>
      <c r="BT75" s="174"/>
    </row>
    <row r="76" spans="1:72" ht="14.25" hidden="1" customHeight="1" x14ac:dyDescent="0.2">
      <c r="A76" s="92">
        <v>114</v>
      </c>
      <c r="B76" s="235" t="s">
        <v>218</v>
      </c>
      <c r="C76" s="236" t="s">
        <v>219</v>
      </c>
      <c r="D76" s="235" t="s">
        <v>227</v>
      </c>
      <c r="E76" s="125" t="s">
        <v>102</v>
      </c>
      <c r="F76" s="181" t="s">
        <v>103</v>
      </c>
      <c r="G76" s="181" t="s">
        <v>56</v>
      </c>
      <c r="H76" s="181" t="s">
        <v>66</v>
      </c>
      <c r="I76" s="181"/>
      <c r="J76" s="178">
        <v>7.4999999999999997E-2</v>
      </c>
      <c r="K76" s="182"/>
      <c r="L76" s="182" t="s">
        <v>107</v>
      </c>
      <c r="M76" s="178" t="s">
        <v>59</v>
      </c>
      <c r="N76" s="178">
        <f>5*24-2</f>
        <v>118</v>
      </c>
      <c r="O76" s="178" t="s">
        <v>60</v>
      </c>
      <c r="P76" s="178"/>
      <c r="Q76" s="179"/>
      <c r="R76" s="179"/>
      <c r="S76" s="180"/>
      <c r="T76" s="179"/>
      <c r="U76" s="179"/>
      <c r="V76" s="167" t="s">
        <v>62</v>
      </c>
      <c r="W76" s="168">
        <v>8</v>
      </c>
      <c r="X76" s="106" t="s">
        <v>226</v>
      </c>
      <c r="Y76" s="167"/>
      <c r="Z76" s="169" t="s">
        <v>63</v>
      </c>
      <c r="AA76" s="166">
        <v>18</v>
      </c>
      <c r="AB76" s="166">
        <v>10</v>
      </c>
      <c r="AC76" s="165">
        <v>38.700000000000003</v>
      </c>
      <c r="AD76" s="165" t="s">
        <v>80</v>
      </c>
      <c r="AE76" s="165" t="s">
        <v>116</v>
      </c>
      <c r="AF76" s="165">
        <v>8.8000000000000007</v>
      </c>
      <c r="AG76" s="165" t="s">
        <v>80</v>
      </c>
      <c r="AH76" s="165" t="s">
        <v>117</v>
      </c>
      <c r="AI76" s="165"/>
      <c r="AJ76" s="165"/>
      <c r="AK76" s="166">
        <v>73.400000000000006</v>
      </c>
      <c r="AL76" s="166" t="s">
        <v>81</v>
      </c>
      <c r="AM76" s="166" t="s">
        <v>116</v>
      </c>
      <c r="AN76" s="166">
        <v>11.3</v>
      </c>
      <c r="AO76" s="166" t="s">
        <v>81</v>
      </c>
      <c r="AP76" s="166" t="s">
        <v>117</v>
      </c>
      <c r="AQ76" s="166"/>
      <c r="AR76" s="166"/>
      <c r="AS76" s="165"/>
      <c r="AT76" s="165"/>
      <c r="AU76" s="165"/>
      <c r="AV76" s="165"/>
      <c r="AW76" s="165"/>
      <c r="AX76" s="165"/>
      <c r="AY76" s="165"/>
      <c r="AZ76" s="165"/>
      <c r="BA76" s="166">
        <v>25.5</v>
      </c>
      <c r="BB76" s="166" t="s">
        <v>224</v>
      </c>
      <c r="BC76" s="166" t="s">
        <v>116</v>
      </c>
      <c r="BD76" s="166">
        <v>2.8</v>
      </c>
      <c r="BE76" s="166" t="s">
        <v>224</v>
      </c>
      <c r="BF76" s="166" t="s">
        <v>117</v>
      </c>
      <c r="BG76" s="166"/>
      <c r="BH76" s="166"/>
      <c r="BI76" s="165"/>
      <c r="BJ76" s="165"/>
      <c r="BK76" s="165"/>
      <c r="BL76" s="165"/>
      <c r="BM76" s="165"/>
      <c r="BN76" s="165"/>
      <c r="BO76" s="165"/>
      <c r="BP76" s="165"/>
      <c r="BQ76" s="166"/>
      <c r="BR76" s="165"/>
      <c r="BS76" s="124">
        <v>114</v>
      </c>
      <c r="BT76" s="174"/>
    </row>
    <row r="77" spans="1:72" ht="14.25" hidden="1" customHeight="1" x14ac:dyDescent="0.2">
      <c r="A77" s="92">
        <v>115</v>
      </c>
      <c r="B77" s="235" t="s">
        <v>218</v>
      </c>
      <c r="C77" s="236" t="s">
        <v>219</v>
      </c>
      <c r="D77" s="235" t="s">
        <v>220</v>
      </c>
      <c r="E77" s="125" t="s">
        <v>228</v>
      </c>
      <c r="F77" s="181" t="s">
        <v>103</v>
      </c>
      <c r="G77" s="181" t="s">
        <v>56</v>
      </c>
      <c r="H77" s="181" t="s">
        <v>157</v>
      </c>
      <c r="I77" s="181"/>
      <c r="J77" s="178">
        <v>40</v>
      </c>
      <c r="K77" s="182"/>
      <c r="L77" s="182" t="s">
        <v>58</v>
      </c>
      <c r="M77" s="178" t="s">
        <v>59</v>
      </c>
      <c r="N77" s="178">
        <v>0</v>
      </c>
      <c r="O77" s="178" t="s">
        <v>60</v>
      </c>
      <c r="P77" s="178"/>
      <c r="Q77" s="179"/>
      <c r="R77" s="179" t="s">
        <v>229</v>
      </c>
      <c r="S77" s="180"/>
      <c r="T77" s="179"/>
      <c r="U77" s="179" t="s">
        <v>230</v>
      </c>
      <c r="V77" s="167" t="s">
        <v>62</v>
      </c>
      <c r="W77" s="168">
        <v>8</v>
      </c>
      <c r="X77" s="106" t="s">
        <v>223</v>
      </c>
      <c r="Y77" s="167"/>
      <c r="Z77" s="169" t="s">
        <v>63</v>
      </c>
      <c r="AA77" s="166">
        <v>18</v>
      </c>
      <c r="AB77" s="166">
        <v>10</v>
      </c>
      <c r="AC77" s="165">
        <v>38.700000000000003</v>
      </c>
      <c r="AD77" s="165" t="s">
        <v>80</v>
      </c>
      <c r="AE77" s="165" t="s">
        <v>116</v>
      </c>
      <c r="AF77" s="165">
        <v>8.8000000000000007</v>
      </c>
      <c r="AG77" s="165" t="s">
        <v>80</v>
      </c>
      <c r="AH77" s="165" t="s">
        <v>117</v>
      </c>
      <c r="AI77" s="165"/>
      <c r="AJ77" s="165"/>
      <c r="AK77" s="166">
        <v>73.400000000000006</v>
      </c>
      <c r="AL77" s="166" t="s">
        <v>81</v>
      </c>
      <c r="AM77" s="166" t="s">
        <v>116</v>
      </c>
      <c r="AN77" s="166">
        <v>11.3</v>
      </c>
      <c r="AO77" s="166" t="s">
        <v>81</v>
      </c>
      <c r="AP77" s="166" t="s">
        <v>117</v>
      </c>
      <c r="AQ77" s="166"/>
      <c r="AR77" s="166"/>
      <c r="AS77" s="165"/>
      <c r="AT77" s="165"/>
      <c r="AU77" s="165"/>
      <c r="AV77" s="165"/>
      <c r="AW77" s="165"/>
      <c r="AX77" s="165"/>
      <c r="AY77" s="165"/>
      <c r="AZ77" s="165"/>
      <c r="BA77" s="166">
        <v>25.5</v>
      </c>
      <c r="BB77" s="166" t="s">
        <v>224</v>
      </c>
      <c r="BC77" s="166" t="s">
        <v>116</v>
      </c>
      <c r="BD77" s="166">
        <v>2.8</v>
      </c>
      <c r="BE77" s="166" t="s">
        <v>224</v>
      </c>
      <c r="BF77" s="166" t="s">
        <v>117</v>
      </c>
      <c r="BG77" s="166"/>
      <c r="BH77" s="166"/>
      <c r="BI77" s="165"/>
      <c r="BJ77" s="165"/>
      <c r="BK77" s="165"/>
      <c r="BL77" s="165"/>
      <c r="BM77" s="165"/>
      <c r="BN77" s="165"/>
      <c r="BO77" s="165"/>
      <c r="BP77" s="165"/>
      <c r="BQ77" s="166"/>
      <c r="BR77" s="165"/>
      <c r="BS77" s="124">
        <v>115</v>
      </c>
      <c r="BT77" s="174"/>
    </row>
    <row r="78" spans="1:72" ht="14.25" hidden="1" customHeight="1" x14ac:dyDescent="0.2">
      <c r="A78" s="92">
        <v>116</v>
      </c>
      <c r="B78" s="235" t="s">
        <v>218</v>
      </c>
      <c r="C78" s="236" t="s">
        <v>219</v>
      </c>
      <c r="D78" s="235" t="s">
        <v>225</v>
      </c>
      <c r="E78" s="125" t="s">
        <v>228</v>
      </c>
      <c r="F78" s="181" t="s">
        <v>103</v>
      </c>
      <c r="G78" s="181" t="s">
        <v>56</v>
      </c>
      <c r="H78" s="181" t="s">
        <v>157</v>
      </c>
      <c r="I78" s="181"/>
      <c r="J78" s="178">
        <v>40</v>
      </c>
      <c r="K78" s="182"/>
      <c r="L78" s="182" t="s">
        <v>58</v>
      </c>
      <c r="M78" s="178" t="s">
        <v>59</v>
      </c>
      <c r="N78" s="178">
        <f>8*24-2</f>
        <v>190</v>
      </c>
      <c r="O78" s="178" t="s">
        <v>60</v>
      </c>
      <c r="P78" s="178"/>
      <c r="Q78" s="179"/>
      <c r="R78" s="179"/>
      <c r="S78" s="180"/>
      <c r="T78" s="179"/>
      <c r="U78" s="179"/>
      <c r="V78" s="167" t="s">
        <v>62</v>
      </c>
      <c r="W78" s="168">
        <v>8</v>
      </c>
      <c r="X78" s="106" t="s">
        <v>226</v>
      </c>
      <c r="Y78" s="167"/>
      <c r="Z78" s="169" t="s">
        <v>63</v>
      </c>
      <c r="AA78" s="166">
        <v>18</v>
      </c>
      <c r="AB78" s="166">
        <v>10</v>
      </c>
      <c r="AC78" s="165">
        <v>38.700000000000003</v>
      </c>
      <c r="AD78" s="165" t="s">
        <v>80</v>
      </c>
      <c r="AE78" s="165" t="s">
        <v>116</v>
      </c>
      <c r="AF78" s="165">
        <v>8.8000000000000007</v>
      </c>
      <c r="AG78" s="165" t="s">
        <v>80</v>
      </c>
      <c r="AH78" s="165" t="s">
        <v>117</v>
      </c>
      <c r="AI78" s="165"/>
      <c r="AJ78" s="165"/>
      <c r="AK78" s="166">
        <v>73.400000000000006</v>
      </c>
      <c r="AL78" s="166" t="s">
        <v>81</v>
      </c>
      <c r="AM78" s="166" t="s">
        <v>116</v>
      </c>
      <c r="AN78" s="166">
        <v>11.3</v>
      </c>
      <c r="AO78" s="166" t="s">
        <v>81</v>
      </c>
      <c r="AP78" s="166" t="s">
        <v>117</v>
      </c>
      <c r="AQ78" s="166"/>
      <c r="AR78" s="166"/>
      <c r="AS78" s="165"/>
      <c r="AT78" s="165"/>
      <c r="AU78" s="165"/>
      <c r="AV78" s="165"/>
      <c r="AW78" s="165"/>
      <c r="AX78" s="165"/>
      <c r="AY78" s="165"/>
      <c r="AZ78" s="165"/>
      <c r="BA78" s="166">
        <v>25.5</v>
      </c>
      <c r="BB78" s="166" t="s">
        <v>224</v>
      </c>
      <c r="BC78" s="166" t="s">
        <v>116</v>
      </c>
      <c r="BD78" s="166">
        <v>2.8</v>
      </c>
      <c r="BE78" s="166" t="s">
        <v>224</v>
      </c>
      <c r="BF78" s="166" t="s">
        <v>117</v>
      </c>
      <c r="BG78" s="166"/>
      <c r="BH78" s="166"/>
      <c r="BI78" s="165"/>
      <c r="BJ78" s="165"/>
      <c r="BK78" s="165"/>
      <c r="BL78" s="165"/>
      <c r="BM78" s="165"/>
      <c r="BN78" s="165"/>
      <c r="BO78" s="165"/>
      <c r="BP78" s="165"/>
      <c r="BQ78" s="166"/>
      <c r="BR78" s="165"/>
      <c r="BS78" s="124">
        <v>116</v>
      </c>
      <c r="BT78" s="174"/>
    </row>
    <row r="79" spans="1:72" ht="14.25" hidden="1" customHeight="1" x14ac:dyDescent="0.2">
      <c r="A79" s="92">
        <v>117</v>
      </c>
      <c r="B79" s="235" t="s">
        <v>218</v>
      </c>
      <c r="C79" s="236" t="s">
        <v>219</v>
      </c>
      <c r="D79" s="235" t="s">
        <v>227</v>
      </c>
      <c r="E79" s="125" t="s">
        <v>228</v>
      </c>
      <c r="F79" s="181" t="s">
        <v>103</v>
      </c>
      <c r="G79" s="181" t="s">
        <v>56</v>
      </c>
      <c r="H79" s="181" t="s">
        <v>157</v>
      </c>
      <c r="I79" s="181"/>
      <c r="J79" s="178">
        <v>40</v>
      </c>
      <c r="K79" s="182"/>
      <c r="L79" s="182" t="s">
        <v>58</v>
      </c>
      <c r="M79" s="178" t="s">
        <v>59</v>
      </c>
      <c r="N79" s="178">
        <f>8*24-2</f>
        <v>190</v>
      </c>
      <c r="O79" s="178" t="s">
        <v>60</v>
      </c>
      <c r="P79" s="178"/>
      <c r="Q79" s="179"/>
      <c r="R79" s="179"/>
      <c r="S79" s="180"/>
      <c r="T79" s="179"/>
      <c r="U79" s="179"/>
      <c r="V79" s="167" t="s">
        <v>62</v>
      </c>
      <c r="W79" s="168">
        <v>8</v>
      </c>
      <c r="X79" s="106" t="s">
        <v>226</v>
      </c>
      <c r="Y79" s="167"/>
      <c r="Z79" s="169" t="s">
        <v>63</v>
      </c>
      <c r="AA79" s="166">
        <v>18</v>
      </c>
      <c r="AB79" s="166">
        <v>10</v>
      </c>
      <c r="AC79" s="165">
        <v>38.700000000000003</v>
      </c>
      <c r="AD79" s="165" t="s">
        <v>80</v>
      </c>
      <c r="AE79" s="165" t="s">
        <v>116</v>
      </c>
      <c r="AF79" s="165">
        <v>8.8000000000000007</v>
      </c>
      <c r="AG79" s="165" t="s">
        <v>80</v>
      </c>
      <c r="AH79" s="165" t="s">
        <v>117</v>
      </c>
      <c r="AI79" s="165"/>
      <c r="AJ79" s="165"/>
      <c r="AK79" s="166">
        <v>73.400000000000006</v>
      </c>
      <c r="AL79" s="166" t="s">
        <v>81</v>
      </c>
      <c r="AM79" s="166" t="s">
        <v>116</v>
      </c>
      <c r="AN79" s="166">
        <v>11.3</v>
      </c>
      <c r="AO79" s="166" t="s">
        <v>81</v>
      </c>
      <c r="AP79" s="166" t="s">
        <v>117</v>
      </c>
      <c r="AQ79" s="166"/>
      <c r="AR79" s="166"/>
      <c r="AS79" s="165"/>
      <c r="AT79" s="165"/>
      <c r="AU79" s="165"/>
      <c r="AV79" s="165"/>
      <c r="AW79" s="165"/>
      <c r="AX79" s="165"/>
      <c r="AY79" s="165"/>
      <c r="AZ79" s="165"/>
      <c r="BA79" s="166">
        <v>25.5</v>
      </c>
      <c r="BB79" s="166" t="s">
        <v>224</v>
      </c>
      <c r="BC79" s="166" t="s">
        <v>116</v>
      </c>
      <c r="BD79" s="166">
        <v>2.8</v>
      </c>
      <c r="BE79" s="166" t="s">
        <v>224</v>
      </c>
      <c r="BF79" s="166" t="s">
        <v>117</v>
      </c>
      <c r="BG79" s="166"/>
      <c r="BH79" s="166"/>
      <c r="BI79" s="165"/>
      <c r="BJ79" s="165"/>
      <c r="BK79" s="165"/>
      <c r="BL79" s="165"/>
      <c r="BM79" s="165"/>
      <c r="BN79" s="165"/>
      <c r="BO79" s="165"/>
      <c r="BP79" s="165"/>
      <c r="BQ79" s="166"/>
      <c r="BR79" s="165"/>
      <c r="BS79" s="124">
        <v>117</v>
      </c>
      <c r="BT79" s="174"/>
    </row>
    <row r="80" spans="1:72" ht="14.25" hidden="1" customHeight="1" x14ac:dyDescent="0.2">
      <c r="A80" s="92">
        <v>121</v>
      </c>
      <c r="B80" s="235" t="s">
        <v>231</v>
      </c>
      <c r="C80" s="236" t="s">
        <v>232</v>
      </c>
      <c r="D80" s="235" t="s">
        <v>183</v>
      </c>
      <c r="E80" s="125" t="s">
        <v>213</v>
      </c>
      <c r="F80" s="181" t="s">
        <v>233</v>
      </c>
      <c r="G80" s="181" t="s">
        <v>56</v>
      </c>
      <c r="H80" s="181" t="s">
        <v>234</v>
      </c>
      <c r="I80" s="181" t="s">
        <v>235</v>
      </c>
      <c r="J80" s="178">
        <v>15</v>
      </c>
      <c r="K80" s="251"/>
      <c r="L80" s="182" t="s">
        <v>236</v>
      </c>
      <c r="M80" s="178" t="s">
        <v>78</v>
      </c>
      <c r="N80" s="178">
        <v>0</v>
      </c>
      <c r="O80" s="178" t="s">
        <v>60</v>
      </c>
      <c r="P80" s="178" t="s">
        <v>214</v>
      </c>
      <c r="Q80" s="179"/>
      <c r="R80" s="179"/>
      <c r="S80" s="180">
        <v>1</v>
      </c>
      <c r="T80" s="179"/>
      <c r="U80" s="179"/>
      <c r="V80" s="167"/>
      <c r="W80" s="168"/>
      <c r="Y80" s="167"/>
      <c r="Z80" s="82" t="s">
        <v>63</v>
      </c>
      <c r="AA80" s="166">
        <v>7</v>
      </c>
      <c r="AB80" s="166"/>
      <c r="AC80" s="165">
        <v>5.2</v>
      </c>
      <c r="AD80" s="165" t="s">
        <v>237</v>
      </c>
      <c r="AE80" s="165" t="s">
        <v>116</v>
      </c>
      <c r="AF80" s="165">
        <v>2.1</v>
      </c>
      <c r="AG80" s="165" t="s">
        <v>237</v>
      </c>
      <c r="AH80" s="165" t="s">
        <v>117</v>
      </c>
      <c r="AI80" s="165"/>
      <c r="AJ80" s="165"/>
      <c r="AK80" s="166">
        <v>5.3</v>
      </c>
      <c r="AL80" s="166" t="s">
        <v>81</v>
      </c>
      <c r="AM80" s="166" t="s">
        <v>118</v>
      </c>
      <c r="AN80" s="166">
        <v>1.1000000000000001</v>
      </c>
      <c r="AO80" s="166" t="s">
        <v>81</v>
      </c>
      <c r="AP80" s="166" t="s">
        <v>117</v>
      </c>
      <c r="AQ80" s="166"/>
      <c r="AR80" s="166"/>
      <c r="AS80" s="165"/>
      <c r="AT80" s="165"/>
      <c r="AU80" s="165"/>
      <c r="AV80" s="165"/>
      <c r="AW80" s="165"/>
      <c r="AX80" s="165"/>
      <c r="AY80" s="165"/>
      <c r="AZ80" s="165"/>
      <c r="BA80" s="166"/>
      <c r="BB80" s="166"/>
      <c r="BC80" s="166"/>
      <c r="BD80" s="166"/>
      <c r="BE80" s="166"/>
      <c r="BF80" s="166"/>
      <c r="BG80" s="166"/>
      <c r="BH80" s="166"/>
      <c r="BI80" s="165">
        <v>0.31</v>
      </c>
      <c r="BJ80" s="165" t="s">
        <v>120</v>
      </c>
      <c r="BK80" s="165" t="s">
        <v>118</v>
      </c>
      <c r="BL80" s="165">
        <v>0.05</v>
      </c>
      <c r="BM80" s="165" t="s">
        <v>120</v>
      </c>
      <c r="BN80" s="165" t="s">
        <v>117</v>
      </c>
      <c r="BO80" s="165"/>
      <c r="BP80" s="165"/>
      <c r="BQ80" s="166" t="s">
        <v>238</v>
      </c>
      <c r="BR80" s="126" t="s">
        <v>239</v>
      </c>
      <c r="BS80" s="124">
        <v>121</v>
      </c>
      <c r="BT80" s="174"/>
    </row>
    <row r="81" spans="1:72" ht="14.25" hidden="1" customHeight="1" x14ac:dyDescent="0.2">
      <c r="A81" s="92">
        <v>122</v>
      </c>
      <c r="B81" s="235" t="s">
        <v>231</v>
      </c>
      <c r="C81" s="236" t="s">
        <v>232</v>
      </c>
      <c r="D81" s="235" t="s">
        <v>183</v>
      </c>
      <c r="E81" s="125" t="s">
        <v>213</v>
      </c>
      <c r="F81" s="181" t="s">
        <v>233</v>
      </c>
      <c r="G81" s="181" t="s">
        <v>56</v>
      </c>
      <c r="H81" s="181" t="s">
        <v>234</v>
      </c>
      <c r="I81" s="181" t="s">
        <v>235</v>
      </c>
      <c r="J81" s="178">
        <v>15</v>
      </c>
      <c r="K81" s="251"/>
      <c r="L81" s="182" t="s">
        <v>236</v>
      </c>
      <c r="M81" s="178" t="s">
        <v>78</v>
      </c>
      <c r="N81" s="178">
        <v>0</v>
      </c>
      <c r="O81" s="178" t="s">
        <v>60</v>
      </c>
      <c r="P81" s="178" t="s">
        <v>214</v>
      </c>
      <c r="Q81" s="179"/>
      <c r="R81" s="179"/>
      <c r="S81" s="180">
        <v>1</v>
      </c>
      <c r="T81" s="179"/>
      <c r="U81" s="179"/>
      <c r="V81" s="167"/>
      <c r="W81" s="168"/>
      <c r="Y81" s="167"/>
      <c r="Z81" s="82" t="s">
        <v>63</v>
      </c>
      <c r="AA81" s="166">
        <v>6</v>
      </c>
      <c r="AB81" s="166"/>
      <c r="AC81" s="165">
        <v>15.5</v>
      </c>
      <c r="AD81" s="165" t="s">
        <v>237</v>
      </c>
      <c r="AE81" s="165" t="s">
        <v>116</v>
      </c>
      <c r="AF81" s="165">
        <v>5.2</v>
      </c>
      <c r="AG81" s="165" t="s">
        <v>237</v>
      </c>
      <c r="AH81" s="165" t="s">
        <v>117</v>
      </c>
      <c r="AI81" s="165"/>
      <c r="AJ81" s="165"/>
      <c r="AK81" s="166">
        <v>8.9</v>
      </c>
      <c r="AL81" s="166" t="s">
        <v>81</v>
      </c>
      <c r="AM81" s="166" t="s">
        <v>118</v>
      </c>
      <c r="AN81" s="166">
        <v>1.6</v>
      </c>
      <c r="AO81" s="166" t="s">
        <v>81</v>
      </c>
      <c r="AP81" s="166" t="s">
        <v>117</v>
      </c>
      <c r="AQ81" s="166"/>
      <c r="AR81" s="166"/>
      <c r="AS81" s="165"/>
      <c r="AT81" s="165"/>
      <c r="AU81" s="165"/>
      <c r="AV81" s="165"/>
      <c r="AW81" s="165"/>
      <c r="AX81" s="165"/>
      <c r="AY81" s="165"/>
      <c r="AZ81" s="165"/>
      <c r="BA81" s="166"/>
      <c r="BB81" s="166"/>
      <c r="BC81" s="166"/>
      <c r="BD81" s="166"/>
      <c r="BE81" s="166"/>
      <c r="BF81" s="166"/>
      <c r="BG81" s="166"/>
      <c r="BH81" s="166"/>
      <c r="BI81" s="165">
        <v>0.44</v>
      </c>
      <c r="BJ81" s="165" t="s">
        <v>120</v>
      </c>
      <c r="BK81" s="165" t="s">
        <v>118</v>
      </c>
      <c r="BL81" s="165">
        <v>0.04</v>
      </c>
      <c r="BM81" s="165" t="s">
        <v>120</v>
      </c>
      <c r="BN81" s="165" t="s">
        <v>117</v>
      </c>
      <c r="BO81" s="165"/>
      <c r="BP81" s="165"/>
      <c r="BQ81" s="166" t="s">
        <v>238</v>
      </c>
      <c r="BR81" s="126" t="s">
        <v>239</v>
      </c>
      <c r="BS81" s="124">
        <v>122</v>
      </c>
      <c r="BT81" s="174"/>
    </row>
    <row r="82" spans="1:72" ht="14.25" hidden="1" customHeight="1" x14ac:dyDescent="0.2">
      <c r="A82" s="92">
        <v>123</v>
      </c>
      <c r="B82" s="238" t="s">
        <v>240</v>
      </c>
      <c r="C82" s="236" t="s">
        <v>241</v>
      </c>
      <c r="D82" s="235" t="s">
        <v>242</v>
      </c>
      <c r="E82" s="17" t="s">
        <v>111</v>
      </c>
      <c r="F82" s="18" t="s">
        <v>103</v>
      </c>
      <c r="G82" s="181" t="s">
        <v>56</v>
      </c>
      <c r="H82" s="18" t="s">
        <v>57</v>
      </c>
      <c r="I82" s="18"/>
      <c r="J82" s="178">
        <v>5</v>
      </c>
      <c r="K82" s="139">
        <f>J82*0.9135071</f>
        <v>4.5675355</v>
      </c>
      <c r="L82" s="139" t="s">
        <v>58</v>
      </c>
      <c r="M82" s="138" t="s">
        <v>59</v>
      </c>
      <c r="N82" s="138" t="s">
        <v>243</v>
      </c>
      <c r="O82" s="138" t="s">
        <v>60</v>
      </c>
      <c r="P82" s="138" t="s">
        <v>244</v>
      </c>
      <c r="Q82" s="176" t="s">
        <v>113</v>
      </c>
      <c r="R82" s="179" t="s">
        <v>245</v>
      </c>
      <c r="S82" s="180"/>
      <c r="T82" s="180"/>
      <c r="U82" s="180"/>
      <c r="V82" s="167"/>
      <c r="W82" s="168"/>
      <c r="Y82" s="73"/>
      <c r="Z82" s="82" t="s">
        <v>63</v>
      </c>
      <c r="AA82" s="166">
        <v>13</v>
      </c>
      <c r="AB82" s="166">
        <v>1</v>
      </c>
      <c r="AC82" s="165">
        <v>28</v>
      </c>
      <c r="AD82" s="21" t="s">
        <v>80</v>
      </c>
      <c r="AE82" s="165"/>
      <c r="AF82" s="165"/>
      <c r="AG82" s="165"/>
      <c r="AH82" s="165"/>
      <c r="AI82" s="165">
        <v>20</v>
      </c>
      <c r="AJ82" s="165">
        <v>42</v>
      </c>
      <c r="AK82" s="166">
        <v>75.2</v>
      </c>
      <c r="AL82" s="166"/>
      <c r="AM82" s="166"/>
      <c r="AN82" s="166"/>
      <c r="AO82" s="166"/>
      <c r="AP82" s="166"/>
      <c r="AQ82" s="166">
        <v>59.9</v>
      </c>
      <c r="AR82" s="166">
        <v>93.5</v>
      </c>
      <c r="AS82" s="165">
        <v>178.9</v>
      </c>
      <c r="AT82" s="165"/>
      <c r="AU82" s="165"/>
      <c r="AV82" s="165"/>
      <c r="AW82" s="165"/>
      <c r="AX82" s="165"/>
      <c r="AY82" s="165">
        <v>165</v>
      </c>
      <c r="AZ82" s="165">
        <v>191</v>
      </c>
      <c r="BA82" s="166">
        <v>23.5</v>
      </c>
      <c r="BB82" s="166"/>
      <c r="BC82" s="166"/>
      <c r="BD82" s="166"/>
      <c r="BE82" s="166"/>
      <c r="BF82" s="166"/>
      <c r="BG82" s="166">
        <v>19.3</v>
      </c>
      <c r="BH82" s="166">
        <v>28.8</v>
      </c>
      <c r="BI82" s="165">
        <v>23.5</v>
      </c>
      <c r="BJ82" s="165"/>
      <c r="BK82" s="165"/>
      <c r="BL82" s="165"/>
      <c r="BM82" s="165"/>
      <c r="BN82" s="165"/>
      <c r="BO82" s="165">
        <v>19.3</v>
      </c>
      <c r="BP82" s="165">
        <v>28.8</v>
      </c>
      <c r="BQ82" s="166" t="s">
        <v>121</v>
      </c>
      <c r="BR82" s="165"/>
      <c r="BS82" s="124">
        <v>123</v>
      </c>
      <c r="BT82" s="174"/>
    </row>
    <row r="83" spans="1:72" ht="14.25" hidden="1" customHeight="1" x14ac:dyDescent="0.2">
      <c r="A83" s="92">
        <v>124</v>
      </c>
      <c r="B83" s="238" t="s">
        <v>240</v>
      </c>
      <c r="C83" s="236" t="s">
        <v>241</v>
      </c>
      <c r="D83" s="235" t="s">
        <v>246</v>
      </c>
      <c r="E83" s="17" t="s">
        <v>111</v>
      </c>
      <c r="F83" s="18" t="s">
        <v>103</v>
      </c>
      <c r="G83" s="181" t="s">
        <v>56</v>
      </c>
      <c r="H83" s="18" t="s">
        <v>57</v>
      </c>
      <c r="I83" s="18"/>
      <c r="J83" s="178">
        <v>7.5</v>
      </c>
      <c r="K83" s="139">
        <f>J83*0.9135071</f>
        <v>6.85130325</v>
      </c>
      <c r="L83" s="139" t="s">
        <v>58</v>
      </c>
      <c r="M83" s="138" t="s">
        <v>59</v>
      </c>
      <c r="N83" s="138" t="s">
        <v>247</v>
      </c>
      <c r="O83" s="138" t="s">
        <v>60</v>
      </c>
      <c r="P83" s="138" t="s">
        <v>244</v>
      </c>
      <c r="Q83" s="176" t="s">
        <v>113</v>
      </c>
      <c r="R83" s="179" t="s">
        <v>245</v>
      </c>
      <c r="S83" s="180"/>
      <c r="T83" s="180"/>
      <c r="U83" s="180"/>
      <c r="V83" s="167"/>
      <c r="W83" s="168"/>
      <c r="Y83" s="73"/>
      <c r="Z83" s="82" t="s">
        <v>63</v>
      </c>
      <c r="AA83" s="166">
        <v>13</v>
      </c>
      <c r="AB83" s="166">
        <v>1</v>
      </c>
      <c r="AC83" s="165">
        <v>28</v>
      </c>
      <c r="AD83" s="21" t="s">
        <v>80</v>
      </c>
      <c r="AE83" s="165"/>
      <c r="AF83" s="165"/>
      <c r="AG83" s="165"/>
      <c r="AH83" s="165"/>
      <c r="AI83" s="165">
        <v>20</v>
      </c>
      <c r="AJ83" s="165">
        <v>42</v>
      </c>
      <c r="AK83" s="166">
        <v>75.2</v>
      </c>
      <c r="AL83" s="166"/>
      <c r="AM83" s="166"/>
      <c r="AN83" s="166"/>
      <c r="AO83" s="166"/>
      <c r="AP83" s="166"/>
      <c r="AQ83" s="166">
        <v>59.9</v>
      </c>
      <c r="AR83" s="166">
        <v>93.5</v>
      </c>
      <c r="AS83" s="165">
        <v>178.9</v>
      </c>
      <c r="AT83" s="165"/>
      <c r="AU83" s="165"/>
      <c r="AV83" s="165"/>
      <c r="AW83" s="165"/>
      <c r="AX83" s="165"/>
      <c r="AY83" s="165">
        <v>165</v>
      </c>
      <c r="AZ83" s="165">
        <v>191</v>
      </c>
      <c r="BA83" s="166">
        <v>23.5</v>
      </c>
      <c r="BB83" s="166"/>
      <c r="BC83" s="166"/>
      <c r="BD83" s="166"/>
      <c r="BE83" s="166"/>
      <c r="BF83" s="166"/>
      <c r="BG83" s="166">
        <v>19.3</v>
      </c>
      <c r="BH83" s="166">
        <v>28.8</v>
      </c>
      <c r="BI83" s="165">
        <v>23.5</v>
      </c>
      <c r="BJ83" s="165"/>
      <c r="BK83" s="165"/>
      <c r="BL83" s="165"/>
      <c r="BM83" s="165"/>
      <c r="BN83" s="165"/>
      <c r="BO83" s="165">
        <v>19.3</v>
      </c>
      <c r="BP83" s="165">
        <v>28.8</v>
      </c>
      <c r="BQ83" s="166" t="s">
        <v>121</v>
      </c>
      <c r="BR83" s="165"/>
      <c r="BS83" s="124">
        <v>124</v>
      </c>
      <c r="BT83" s="174"/>
    </row>
    <row r="84" spans="1:72" ht="14.25" hidden="1" customHeight="1" x14ac:dyDescent="0.2">
      <c r="A84" s="92">
        <v>125</v>
      </c>
      <c r="B84" s="238" t="s">
        <v>240</v>
      </c>
      <c r="C84" s="236" t="s">
        <v>241</v>
      </c>
      <c r="D84" s="235" t="s">
        <v>248</v>
      </c>
      <c r="E84" s="17" t="s">
        <v>111</v>
      </c>
      <c r="F84" s="18" t="s">
        <v>103</v>
      </c>
      <c r="G84" s="181" t="s">
        <v>56</v>
      </c>
      <c r="H84" s="18" t="s">
        <v>57</v>
      </c>
      <c r="I84" s="18"/>
      <c r="J84" s="178">
        <v>15</v>
      </c>
      <c r="K84" s="139">
        <f>J84*0.9135071</f>
        <v>13.7026065</v>
      </c>
      <c r="L84" s="139" t="s">
        <v>58</v>
      </c>
      <c r="M84" s="138" t="s">
        <v>59</v>
      </c>
      <c r="N84" s="138" t="s">
        <v>249</v>
      </c>
      <c r="O84" s="138" t="s">
        <v>60</v>
      </c>
      <c r="P84" s="138" t="s">
        <v>244</v>
      </c>
      <c r="Q84" s="176" t="s">
        <v>113</v>
      </c>
      <c r="R84" s="179" t="s">
        <v>245</v>
      </c>
      <c r="S84" s="180"/>
      <c r="T84" s="180"/>
      <c r="U84" s="180"/>
      <c r="V84" s="167"/>
      <c r="W84" s="168"/>
      <c r="Y84" s="73"/>
      <c r="Z84" s="82" t="s">
        <v>63</v>
      </c>
      <c r="AA84" s="166">
        <v>13</v>
      </c>
      <c r="AB84" s="166">
        <v>1</v>
      </c>
      <c r="AC84" s="165">
        <v>28</v>
      </c>
      <c r="AD84" s="21" t="s">
        <v>80</v>
      </c>
      <c r="AE84" s="165"/>
      <c r="AF84" s="165"/>
      <c r="AG84" s="165"/>
      <c r="AH84" s="165"/>
      <c r="AI84" s="165">
        <v>20</v>
      </c>
      <c r="AJ84" s="165">
        <v>42</v>
      </c>
      <c r="AK84" s="166">
        <v>75.2</v>
      </c>
      <c r="AL84" s="166"/>
      <c r="AM84" s="166"/>
      <c r="AN84" s="166"/>
      <c r="AO84" s="166"/>
      <c r="AP84" s="166"/>
      <c r="AQ84" s="166">
        <v>59.9</v>
      </c>
      <c r="AR84" s="166">
        <v>93.5</v>
      </c>
      <c r="AS84" s="165">
        <v>178.9</v>
      </c>
      <c r="AT84" s="165"/>
      <c r="AU84" s="165"/>
      <c r="AV84" s="165"/>
      <c r="AW84" s="165"/>
      <c r="AX84" s="165"/>
      <c r="AY84" s="165">
        <v>165</v>
      </c>
      <c r="AZ84" s="165">
        <v>191</v>
      </c>
      <c r="BA84" s="166">
        <v>23.5</v>
      </c>
      <c r="BB84" s="166"/>
      <c r="BC84" s="166"/>
      <c r="BD84" s="166"/>
      <c r="BE84" s="166"/>
      <c r="BF84" s="166"/>
      <c r="BG84" s="166">
        <v>19.3</v>
      </c>
      <c r="BH84" s="166">
        <v>28.8</v>
      </c>
      <c r="BI84" s="165">
        <v>23.5</v>
      </c>
      <c r="BJ84" s="165"/>
      <c r="BK84" s="165"/>
      <c r="BL84" s="165"/>
      <c r="BM84" s="165"/>
      <c r="BN84" s="165"/>
      <c r="BO84" s="165">
        <v>19.3</v>
      </c>
      <c r="BP84" s="165">
        <v>28.8</v>
      </c>
      <c r="BQ84" s="166" t="s">
        <v>121</v>
      </c>
      <c r="BR84" s="165"/>
      <c r="BS84" s="124">
        <v>125</v>
      </c>
      <c r="BT84" s="174"/>
    </row>
    <row r="85" spans="1:72" ht="14.25" hidden="1" customHeight="1" x14ac:dyDescent="0.2">
      <c r="A85" s="92">
        <v>126</v>
      </c>
      <c r="B85" s="238" t="s">
        <v>240</v>
      </c>
      <c r="C85" s="236" t="s">
        <v>241</v>
      </c>
      <c r="D85" s="235" t="s">
        <v>250</v>
      </c>
      <c r="E85" s="17" t="s">
        <v>111</v>
      </c>
      <c r="F85" s="18" t="s">
        <v>103</v>
      </c>
      <c r="G85" s="181" t="s">
        <v>56</v>
      </c>
      <c r="H85" s="18" t="s">
        <v>57</v>
      </c>
      <c r="I85" s="18"/>
      <c r="J85" s="178">
        <v>20</v>
      </c>
      <c r="K85" s="139">
        <f>J85*0.9135071</f>
        <v>18.270142</v>
      </c>
      <c r="L85" s="139" t="s">
        <v>58</v>
      </c>
      <c r="M85" s="138" t="s">
        <v>59</v>
      </c>
      <c r="N85" s="138" t="s">
        <v>251</v>
      </c>
      <c r="O85" s="138" t="s">
        <v>60</v>
      </c>
      <c r="P85" s="138" t="s">
        <v>244</v>
      </c>
      <c r="Q85" s="176" t="s">
        <v>113</v>
      </c>
      <c r="R85" s="179" t="s">
        <v>245</v>
      </c>
      <c r="S85" s="180"/>
      <c r="T85" s="180"/>
      <c r="U85" s="180"/>
      <c r="V85" s="167"/>
      <c r="W85" s="168"/>
      <c r="Y85" s="167"/>
      <c r="Z85" s="82" t="s">
        <v>63</v>
      </c>
      <c r="AA85" s="166">
        <v>13</v>
      </c>
      <c r="AB85" s="166">
        <v>1</v>
      </c>
      <c r="AC85" s="165">
        <v>28</v>
      </c>
      <c r="AD85" s="21" t="s">
        <v>80</v>
      </c>
      <c r="AE85" s="165"/>
      <c r="AF85" s="165"/>
      <c r="AG85" s="165"/>
      <c r="AH85" s="165"/>
      <c r="AI85" s="165">
        <v>20</v>
      </c>
      <c r="AJ85" s="165">
        <v>42</v>
      </c>
      <c r="AK85" s="166">
        <v>75.2</v>
      </c>
      <c r="AL85" s="166"/>
      <c r="AM85" s="166"/>
      <c r="AN85" s="166"/>
      <c r="AO85" s="166"/>
      <c r="AP85" s="166"/>
      <c r="AQ85" s="166">
        <v>59.9</v>
      </c>
      <c r="AR85" s="166">
        <v>93.5</v>
      </c>
      <c r="AS85" s="165">
        <v>178.9</v>
      </c>
      <c r="AT85" s="165"/>
      <c r="AU85" s="165"/>
      <c r="AV85" s="165"/>
      <c r="AW85" s="165"/>
      <c r="AX85" s="165"/>
      <c r="AY85" s="165">
        <v>165</v>
      </c>
      <c r="AZ85" s="165">
        <v>191</v>
      </c>
      <c r="BA85" s="166">
        <v>23.5</v>
      </c>
      <c r="BB85" s="166"/>
      <c r="BC85" s="166"/>
      <c r="BD85" s="166"/>
      <c r="BE85" s="166"/>
      <c r="BF85" s="166"/>
      <c r="BG85" s="166">
        <v>19.3</v>
      </c>
      <c r="BH85" s="166">
        <v>28.8</v>
      </c>
      <c r="BI85" s="165">
        <v>23.5</v>
      </c>
      <c r="BJ85" s="165"/>
      <c r="BK85" s="165"/>
      <c r="BL85" s="165"/>
      <c r="BM85" s="165"/>
      <c r="BN85" s="165"/>
      <c r="BO85" s="165">
        <v>19.3</v>
      </c>
      <c r="BP85" s="165">
        <v>28.8</v>
      </c>
      <c r="BQ85" s="166" t="s">
        <v>121</v>
      </c>
      <c r="BR85" s="165"/>
      <c r="BS85" s="124">
        <v>126</v>
      </c>
      <c r="BT85" s="174"/>
    </row>
    <row r="86" spans="1:72" ht="14.25" hidden="1" customHeight="1" x14ac:dyDescent="0.2">
      <c r="A86" s="92">
        <v>127</v>
      </c>
      <c r="B86" s="238" t="s">
        <v>240</v>
      </c>
      <c r="C86" s="236" t="s">
        <v>241</v>
      </c>
      <c r="D86" s="235" t="s">
        <v>252</v>
      </c>
      <c r="E86" s="17" t="s">
        <v>111</v>
      </c>
      <c r="F86" s="18" t="s">
        <v>103</v>
      </c>
      <c r="G86" s="181" t="s">
        <v>56</v>
      </c>
      <c r="H86" s="18" t="s">
        <v>57</v>
      </c>
      <c r="I86" s="18"/>
      <c r="J86" s="178">
        <v>30</v>
      </c>
      <c r="K86" s="139">
        <f>J86*0.9135071</f>
        <v>27.405213</v>
      </c>
      <c r="L86" s="139" t="s">
        <v>58</v>
      </c>
      <c r="M86" s="138" t="s">
        <v>59</v>
      </c>
      <c r="N86" s="138" t="s">
        <v>253</v>
      </c>
      <c r="O86" s="138" t="s">
        <v>60</v>
      </c>
      <c r="P86" s="138" t="s">
        <v>244</v>
      </c>
      <c r="Q86" s="176" t="s">
        <v>113</v>
      </c>
      <c r="R86" s="179" t="s">
        <v>245</v>
      </c>
      <c r="S86" s="180"/>
      <c r="T86" s="180"/>
      <c r="U86" s="180"/>
      <c r="V86" s="167"/>
      <c r="W86" s="168"/>
      <c r="Y86" s="167"/>
      <c r="Z86" s="82" t="s">
        <v>63</v>
      </c>
      <c r="AA86" s="166">
        <v>13</v>
      </c>
      <c r="AB86" s="166">
        <v>1</v>
      </c>
      <c r="AC86" s="165">
        <v>28</v>
      </c>
      <c r="AD86" s="21" t="s">
        <v>80</v>
      </c>
      <c r="AE86" s="165"/>
      <c r="AF86" s="165"/>
      <c r="AG86" s="165"/>
      <c r="AH86" s="165"/>
      <c r="AI86" s="165">
        <v>20</v>
      </c>
      <c r="AJ86" s="165">
        <v>42</v>
      </c>
      <c r="AK86" s="166">
        <v>75.2</v>
      </c>
      <c r="AL86" s="166"/>
      <c r="AM86" s="166"/>
      <c r="AN86" s="166"/>
      <c r="AO86" s="166"/>
      <c r="AP86" s="166"/>
      <c r="AQ86" s="166">
        <v>59.9</v>
      </c>
      <c r="AR86" s="166">
        <v>93.5</v>
      </c>
      <c r="AS86" s="165">
        <v>178.9</v>
      </c>
      <c r="AT86" s="165"/>
      <c r="AU86" s="165"/>
      <c r="AV86" s="165"/>
      <c r="AW86" s="165"/>
      <c r="AX86" s="165"/>
      <c r="AY86" s="165">
        <v>165</v>
      </c>
      <c r="AZ86" s="165">
        <v>191</v>
      </c>
      <c r="BA86" s="166">
        <v>23.5</v>
      </c>
      <c r="BB86" s="166"/>
      <c r="BC86" s="166"/>
      <c r="BD86" s="166"/>
      <c r="BE86" s="166"/>
      <c r="BF86" s="166"/>
      <c r="BG86" s="166">
        <v>19.3</v>
      </c>
      <c r="BH86" s="166">
        <v>28.8</v>
      </c>
      <c r="BI86" s="165">
        <v>23.5</v>
      </c>
      <c r="BJ86" s="165"/>
      <c r="BK86" s="165"/>
      <c r="BL86" s="165"/>
      <c r="BM86" s="165"/>
      <c r="BN86" s="165"/>
      <c r="BO86" s="165">
        <v>19.3</v>
      </c>
      <c r="BP86" s="165">
        <v>28.8</v>
      </c>
      <c r="BQ86" s="166" t="s">
        <v>121</v>
      </c>
      <c r="BR86" s="165"/>
      <c r="BS86" s="124">
        <v>127</v>
      </c>
      <c r="BT86" s="174"/>
    </row>
    <row r="87" spans="1:72" ht="14.25" hidden="1" customHeight="1" x14ac:dyDescent="0.2">
      <c r="A87" s="92">
        <v>134</v>
      </c>
      <c r="B87" s="238" t="s">
        <v>254</v>
      </c>
      <c r="C87" s="236" t="s">
        <v>255</v>
      </c>
      <c r="D87" s="235" t="s">
        <v>256</v>
      </c>
      <c r="E87" s="17" t="s">
        <v>111</v>
      </c>
      <c r="F87" s="18" t="s">
        <v>103</v>
      </c>
      <c r="G87" s="181" t="s">
        <v>56</v>
      </c>
      <c r="H87" s="18" t="s">
        <v>57</v>
      </c>
      <c r="I87" s="18"/>
      <c r="J87" s="178">
        <v>3.6</v>
      </c>
      <c r="K87" s="139">
        <f t="shared" ref="K87:K107" si="1">J87*0.9135071</f>
        <v>3.2886255600000003</v>
      </c>
      <c r="L87" s="139" t="s">
        <v>58</v>
      </c>
      <c r="M87" s="178" t="s">
        <v>59</v>
      </c>
      <c r="N87" s="178">
        <v>0</v>
      </c>
      <c r="O87" s="178" t="s">
        <v>60</v>
      </c>
      <c r="P87" s="178" t="s">
        <v>257</v>
      </c>
      <c r="Q87" s="176" t="s">
        <v>113</v>
      </c>
      <c r="R87" s="179" t="s">
        <v>258</v>
      </c>
      <c r="S87" s="179"/>
      <c r="T87" s="180">
        <v>100</v>
      </c>
      <c r="U87" s="180"/>
      <c r="V87" s="167" t="s">
        <v>62</v>
      </c>
      <c r="W87" s="64" t="s">
        <v>259</v>
      </c>
      <c r="Y87" s="167" t="s">
        <v>260</v>
      </c>
      <c r="Z87" s="82" t="s">
        <v>63</v>
      </c>
      <c r="AA87" s="166">
        <v>24</v>
      </c>
      <c r="AB87" s="166">
        <v>11</v>
      </c>
      <c r="AC87" s="165">
        <v>49</v>
      </c>
      <c r="AD87" s="21" t="s">
        <v>237</v>
      </c>
      <c r="AE87" s="165" t="s">
        <v>116</v>
      </c>
      <c r="AF87" s="165">
        <v>12.3</v>
      </c>
      <c r="AG87" s="165" t="s">
        <v>237</v>
      </c>
      <c r="AH87" s="165" t="s">
        <v>117</v>
      </c>
      <c r="AI87" s="165">
        <v>26</v>
      </c>
      <c r="AJ87" s="165">
        <v>74</v>
      </c>
      <c r="AK87" s="166">
        <v>19.2</v>
      </c>
      <c r="AL87" s="166" t="s">
        <v>81</v>
      </c>
      <c r="AM87" s="166" t="s">
        <v>116</v>
      </c>
      <c r="AN87" s="166">
        <v>3.5</v>
      </c>
      <c r="AO87" s="166" t="s">
        <v>81</v>
      </c>
      <c r="AP87" s="166" t="s">
        <v>117</v>
      </c>
      <c r="AQ87" s="166">
        <v>14.2</v>
      </c>
      <c r="AR87" s="166">
        <v>26.9</v>
      </c>
      <c r="AS87" s="165"/>
      <c r="AT87" s="165"/>
      <c r="AU87" s="165"/>
      <c r="AV87" s="165"/>
      <c r="AW87" s="165"/>
      <c r="AX87" s="165"/>
      <c r="AY87" s="165"/>
      <c r="AZ87" s="165"/>
      <c r="BA87" s="166"/>
      <c r="BB87" s="166"/>
      <c r="BC87" s="166"/>
      <c r="BD87" s="166"/>
      <c r="BE87" s="166"/>
      <c r="BF87" s="166"/>
      <c r="BG87" s="166"/>
      <c r="BH87" s="166"/>
      <c r="BI87" s="165"/>
      <c r="BJ87" s="165"/>
      <c r="BK87" s="165"/>
      <c r="BL87" s="165"/>
      <c r="BM87" s="165"/>
      <c r="BN87" s="165"/>
      <c r="BO87" s="165"/>
      <c r="BP87" s="165"/>
      <c r="BQ87" s="166" t="s">
        <v>261</v>
      </c>
      <c r="BR87" s="165"/>
      <c r="BS87" s="124">
        <v>134</v>
      </c>
      <c r="BT87" s="174"/>
    </row>
    <row r="88" spans="1:72" ht="14.25" hidden="1" customHeight="1" x14ac:dyDescent="0.2">
      <c r="A88" s="92">
        <v>135</v>
      </c>
      <c r="B88" s="235" t="s">
        <v>254</v>
      </c>
      <c r="C88" s="236" t="s">
        <v>255</v>
      </c>
      <c r="D88" s="235" t="s">
        <v>262</v>
      </c>
      <c r="E88" s="125" t="s">
        <v>111</v>
      </c>
      <c r="F88" s="181" t="s">
        <v>103</v>
      </c>
      <c r="G88" s="181" t="s">
        <v>76</v>
      </c>
      <c r="H88" s="181" t="s">
        <v>263</v>
      </c>
      <c r="I88" s="181"/>
      <c r="J88" s="178">
        <v>5</v>
      </c>
      <c r="K88" s="182">
        <f t="shared" si="1"/>
        <v>4.5675355</v>
      </c>
      <c r="L88" s="182" t="s">
        <v>58</v>
      </c>
      <c r="M88" s="178" t="s">
        <v>59</v>
      </c>
      <c r="N88" s="178">
        <v>0</v>
      </c>
      <c r="O88" s="178" t="s">
        <v>60</v>
      </c>
      <c r="P88" s="178" t="s">
        <v>79</v>
      </c>
      <c r="Q88" s="176" t="s">
        <v>113</v>
      </c>
      <c r="R88" s="179" t="s">
        <v>258</v>
      </c>
      <c r="S88" s="180"/>
      <c r="T88" s="180">
        <v>100</v>
      </c>
      <c r="U88" s="180"/>
      <c r="V88" s="167" t="s">
        <v>62</v>
      </c>
      <c r="W88" s="64" t="s">
        <v>259</v>
      </c>
      <c r="Y88" s="167" t="s">
        <v>260</v>
      </c>
      <c r="Z88" s="82" t="s">
        <v>63</v>
      </c>
      <c r="AA88" s="166">
        <v>1</v>
      </c>
      <c r="AB88" s="166">
        <v>0</v>
      </c>
      <c r="AC88" s="165">
        <v>67</v>
      </c>
      <c r="AD88" s="21" t="s">
        <v>237</v>
      </c>
      <c r="AE88" s="165" t="s">
        <v>264</v>
      </c>
      <c r="AF88" s="165"/>
      <c r="AG88" s="165"/>
      <c r="AH88" s="165"/>
      <c r="AI88" s="165"/>
      <c r="AJ88" s="165"/>
      <c r="AK88" s="166">
        <v>21.1</v>
      </c>
      <c r="AL88" s="166" t="s">
        <v>81</v>
      </c>
      <c r="AM88" s="166"/>
      <c r="AN88" s="166"/>
      <c r="AO88" s="166"/>
      <c r="AP88" s="166"/>
      <c r="AQ88" s="166"/>
      <c r="AR88" s="166"/>
      <c r="AS88" s="165"/>
      <c r="AT88" s="165"/>
      <c r="AU88" s="165"/>
      <c r="AV88" s="165"/>
      <c r="AW88" s="165"/>
      <c r="AX88" s="165"/>
      <c r="AY88" s="165"/>
      <c r="AZ88" s="165"/>
      <c r="BA88" s="166"/>
      <c r="BB88" s="166"/>
      <c r="BC88" s="166"/>
      <c r="BD88" s="166"/>
      <c r="BE88" s="166"/>
      <c r="BF88" s="166"/>
      <c r="BG88" s="166"/>
      <c r="BH88" s="166"/>
      <c r="BI88" s="165"/>
      <c r="BJ88" s="165"/>
      <c r="BK88" s="165"/>
      <c r="BL88" s="165"/>
      <c r="BM88" s="165"/>
      <c r="BN88" s="165"/>
      <c r="BO88" s="165"/>
      <c r="BP88" s="165"/>
      <c r="BQ88" s="166" t="s">
        <v>265</v>
      </c>
      <c r="BR88" s="165"/>
      <c r="BS88" s="124">
        <v>135</v>
      </c>
      <c r="BT88" s="174"/>
    </row>
    <row r="89" spans="1:72" ht="14.25" hidden="1" customHeight="1" x14ac:dyDescent="0.2">
      <c r="A89" s="92">
        <v>136</v>
      </c>
      <c r="B89" s="235" t="s">
        <v>254</v>
      </c>
      <c r="C89" s="236" t="s">
        <v>255</v>
      </c>
      <c r="D89" s="235" t="s">
        <v>266</v>
      </c>
      <c r="E89" s="125" t="s">
        <v>111</v>
      </c>
      <c r="F89" s="181" t="s">
        <v>103</v>
      </c>
      <c r="G89" s="181" t="s">
        <v>76</v>
      </c>
      <c r="H89" s="181" t="s">
        <v>263</v>
      </c>
      <c r="I89" s="181"/>
      <c r="J89" s="178">
        <v>2.5</v>
      </c>
      <c r="K89" s="182">
        <f t="shared" si="1"/>
        <v>2.28376775</v>
      </c>
      <c r="L89" s="182" t="s">
        <v>58</v>
      </c>
      <c r="M89" s="178" t="s">
        <v>59</v>
      </c>
      <c r="N89" s="178">
        <v>0</v>
      </c>
      <c r="O89" s="178" t="s">
        <v>60</v>
      </c>
      <c r="P89" s="178" t="s">
        <v>79</v>
      </c>
      <c r="Q89" s="176" t="s">
        <v>113</v>
      </c>
      <c r="R89" s="179" t="s">
        <v>258</v>
      </c>
      <c r="S89" s="180"/>
      <c r="T89" s="180">
        <v>100</v>
      </c>
      <c r="U89" s="180"/>
      <c r="V89" s="167" t="s">
        <v>62</v>
      </c>
      <c r="W89" s="64" t="s">
        <v>259</v>
      </c>
      <c r="Y89" s="167" t="s">
        <v>260</v>
      </c>
      <c r="Z89" s="82" t="s">
        <v>63</v>
      </c>
      <c r="AA89" s="166">
        <v>1</v>
      </c>
      <c r="AB89" s="166">
        <v>0</v>
      </c>
      <c r="AC89" s="165">
        <v>47</v>
      </c>
      <c r="AD89" s="21" t="s">
        <v>237</v>
      </c>
      <c r="AE89" s="165" t="s">
        <v>264</v>
      </c>
      <c r="AF89" s="165"/>
      <c r="AG89" s="165"/>
      <c r="AH89" s="165"/>
      <c r="AI89" s="165"/>
      <c r="AJ89" s="165"/>
      <c r="AK89" s="166">
        <v>22.1</v>
      </c>
      <c r="AL89" s="166" t="s">
        <v>81</v>
      </c>
      <c r="AM89" s="166"/>
      <c r="AN89" s="166"/>
      <c r="AO89" s="166"/>
      <c r="AP89" s="166"/>
      <c r="AQ89" s="166"/>
      <c r="AR89" s="166"/>
      <c r="AS89" s="165"/>
      <c r="AT89" s="165"/>
      <c r="AU89" s="165"/>
      <c r="AV89" s="165"/>
      <c r="AW89" s="165"/>
      <c r="AX89" s="165"/>
      <c r="AY89" s="165"/>
      <c r="AZ89" s="165"/>
      <c r="BA89" s="166"/>
      <c r="BB89" s="166"/>
      <c r="BC89" s="166"/>
      <c r="BD89" s="166"/>
      <c r="BE89" s="166"/>
      <c r="BF89" s="166"/>
      <c r="BG89" s="166"/>
      <c r="BH89" s="166"/>
      <c r="BI89" s="165"/>
      <c r="BJ89" s="165"/>
      <c r="BK89" s="165"/>
      <c r="BL89" s="165"/>
      <c r="BM89" s="165"/>
      <c r="BN89" s="165"/>
      <c r="BO89" s="165"/>
      <c r="BP89" s="165"/>
      <c r="BQ89" s="166" t="s">
        <v>265</v>
      </c>
      <c r="BR89" s="165"/>
      <c r="BS89" s="124">
        <v>136</v>
      </c>
      <c r="BT89" s="174"/>
    </row>
    <row r="90" spans="1:72" ht="14.25" hidden="1" customHeight="1" x14ac:dyDescent="0.2">
      <c r="A90" s="92">
        <v>137</v>
      </c>
      <c r="B90" s="235" t="s">
        <v>254</v>
      </c>
      <c r="C90" s="236" t="s">
        <v>255</v>
      </c>
      <c r="D90" s="235" t="s">
        <v>267</v>
      </c>
      <c r="E90" s="125" t="s">
        <v>111</v>
      </c>
      <c r="F90" s="181" t="s">
        <v>103</v>
      </c>
      <c r="G90" s="181" t="s">
        <v>76</v>
      </c>
      <c r="H90" s="181" t="s">
        <v>263</v>
      </c>
      <c r="I90" s="181"/>
      <c r="J90" s="178">
        <v>2.5</v>
      </c>
      <c r="K90" s="182">
        <f t="shared" si="1"/>
        <v>2.28376775</v>
      </c>
      <c r="L90" s="182" t="s">
        <v>58</v>
      </c>
      <c r="M90" s="178" t="s">
        <v>59</v>
      </c>
      <c r="N90" s="178">
        <v>0</v>
      </c>
      <c r="O90" s="178" t="s">
        <v>60</v>
      </c>
      <c r="P90" s="178" t="s">
        <v>79</v>
      </c>
      <c r="Q90" s="176" t="s">
        <v>113</v>
      </c>
      <c r="R90" s="179" t="s">
        <v>258</v>
      </c>
      <c r="S90" s="180"/>
      <c r="T90" s="180">
        <v>100</v>
      </c>
      <c r="U90" s="180"/>
      <c r="V90" s="167" t="s">
        <v>62</v>
      </c>
      <c r="W90" s="64" t="s">
        <v>259</v>
      </c>
      <c r="Y90" s="167" t="s">
        <v>260</v>
      </c>
      <c r="Z90" s="82" t="s">
        <v>63</v>
      </c>
      <c r="AA90" s="166">
        <v>1</v>
      </c>
      <c r="AB90" s="166">
        <v>0</v>
      </c>
      <c r="AC90" s="165">
        <v>47</v>
      </c>
      <c r="AD90" s="21" t="s">
        <v>237</v>
      </c>
      <c r="AE90" s="165" t="s">
        <v>264</v>
      </c>
      <c r="AF90" s="165"/>
      <c r="AG90" s="165"/>
      <c r="AH90" s="165"/>
      <c r="AI90" s="165"/>
      <c r="AJ90" s="165"/>
      <c r="AK90" s="166">
        <v>16.3</v>
      </c>
      <c r="AL90" s="166" t="s">
        <v>81</v>
      </c>
      <c r="AM90" s="166"/>
      <c r="AN90" s="166"/>
      <c r="AO90" s="166"/>
      <c r="AP90" s="166"/>
      <c r="AQ90" s="166"/>
      <c r="AR90" s="166"/>
      <c r="AS90" s="165"/>
      <c r="AT90" s="165"/>
      <c r="AU90" s="165"/>
      <c r="AV90" s="165"/>
      <c r="AW90" s="165"/>
      <c r="AX90" s="165"/>
      <c r="AY90" s="165"/>
      <c r="AZ90" s="165"/>
      <c r="BA90" s="166"/>
      <c r="BB90" s="166"/>
      <c r="BC90" s="166"/>
      <c r="BD90" s="166"/>
      <c r="BE90" s="166"/>
      <c r="BF90" s="166"/>
      <c r="BG90" s="166"/>
      <c r="BH90" s="166"/>
      <c r="BI90" s="165"/>
      <c r="BJ90" s="165"/>
      <c r="BK90" s="165"/>
      <c r="BL90" s="165"/>
      <c r="BM90" s="165"/>
      <c r="BN90" s="165"/>
      <c r="BO90" s="165"/>
      <c r="BP90" s="165"/>
      <c r="BQ90" s="166" t="s">
        <v>265</v>
      </c>
      <c r="BR90" s="165"/>
      <c r="BS90" s="124">
        <v>137</v>
      </c>
      <c r="BT90" s="174"/>
    </row>
    <row r="91" spans="1:72" ht="14.25" hidden="1" customHeight="1" x14ac:dyDescent="0.2">
      <c r="A91" s="92">
        <v>138</v>
      </c>
      <c r="B91" s="235" t="s">
        <v>254</v>
      </c>
      <c r="C91" s="236" t="s">
        <v>255</v>
      </c>
      <c r="D91" s="235" t="s">
        <v>268</v>
      </c>
      <c r="E91" s="125" t="s">
        <v>111</v>
      </c>
      <c r="F91" s="181" t="s">
        <v>103</v>
      </c>
      <c r="G91" s="181" t="s">
        <v>76</v>
      </c>
      <c r="H91" s="181" t="s">
        <v>263</v>
      </c>
      <c r="I91" s="181"/>
      <c r="J91" s="178">
        <v>2.5</v>
      </c>
      <c r="K91" s="182">
        <f t="shared" si="1"/>
        <v>2.28376775</v>
      </c>
      <c r="L91" s="182" t="s">
        <v>58</v>
      </c>
      <c r="M91" s="178" t="s">
        <v>59</v>
      </c>
      <c r="N91" s="178">
        <v>0</v>
      </c>
      <c r="O91" s="178" t="s">
        <v>60</v>
      </c>
      <c r="P91" s="178" t="s">
        <v>79</v>
      </c>
      <c r="Q91" s="176" t="s">
        <v>113</v>
      </c>
      <c r="R91" s="179" t="s">
        <v>258</v>
      </c>
      <c r="S91" s="180"/>
      <c r="T91" s="180">
        <v>100</v>
      </c>
      <c r="U91" s="180"/>
      <c r="V91" s="167" t="s">
        <v>62</v>
      </c>
      <c r="W91" s="64" t="s">
        <v>259</v>
      </c>
      <c r="Y91" s="167" t="s">
        <v>260</v>
      </c>
      <c r="Z91" s="82" t="s">
        <v>63</v>
      </c>
      <c r="AA91" s="166">
        <v>1</v>
      </c>
      <c r="AB91" s="166">
        <v>1</v>
      </c>
      <c r="AC91" s="165">
        <v>44</v>
      </c>
      <c r="AD91" s="21" t="s">
        <v>237</v>
      </c>
      <c r="AE91" s="165" t="s">
        <v>264</v>
      </c>
      <c r="AF91" s="165"/>
      <c r="AG91" s="165"/>
      <c r="AH91" s="165"/>
      <c r="AI91" s="165"/>
      <c r="AJ91" s="165"/>
      <c r="AK91" s="166">
        <v>17.600000000000001</v>
      </c>
      <c r="AL91" s="166" t="s">
        <v>81</v>
      </c>
      <c r="AM91" s="166"/>
      <c r="AN91" s="166"/>
      <c r="AO91" s="166"/>
      <c r="AP91" s="166"/>
      <c r="AQ91" s="166"/>
      <c r="AR91" s="166"/>
      <c r="AS91" s="165"/>
      <c r="AT91" s="165"/>
      <c r="AU91" s="165"/>
      <c r="AV91" s="165"/>
      <c r="AW91" s="165"/>
      <c r="AX91" s="165"/>
      <c r="AY91" s="165"/>
      <c r="AZ91" s="165"/>
      <c r="BA91" s="166"/>
      <c r="BB91" s="166"/>
      <c r="BC91" s="166"/>
      <c r="BD91" s="166"/>
      <c r="BE91" s="166"/>
      <c r="BF91" s="166"/>
      <c r="BG91" s="166"/>
      <c r="BH91" s="166"/>
      <c r="BI91" s="165"/>
      <c r="BJ91" s="165"/>
      <c r="BK91" s="165"/>
      <c r="BL91" s="165"/>
      <c r="BM91" s="165"/>
      <c r="BN91" s="165"/>
      <c r="BO91" s="165"/>
      <c r="BP91" s="165"/>
      <c r="BQ91" s="166" t="s">
        <v>269</v>
      </c>
      <c r="BR91" s="165"/>
      <c r="BS91" s="124">
        <v>138</v>
      </c>
      <c r="BT91" s="174"/>
    </row>
    <row r="92" spans="1:72" ht="14.25" hidden="1" customHeight="1" x14ac:dyDescent="0.2">
      <c r="A92" s="92">
        <v>139</v>
      </c>
      <c r="B92" s="235" t="s">
        <v>254</v>
      </c>
      <c r="C92" s="236" t="s">
        <v>255</v>
      </c>
      <c r="D92" s="235" t="s">
        <v>270</v>
      </c>
      <c r="E92" s="125" t="s">
        <v>111</v>
      </c>
      <c r="F92" s="181" t="s">
        <v>103</v>
      </c>
      <c r="G92" s="181" t="s">
        <v>76</v>
      </c>
      <c r="H92" s="181" t="s">
        <v>263</v>
      </c>
      <c r="I92" s="181"/>
      <c r="J92" s="178">
        <v>2.5</v>
      </c>
      <c r="K92" s="182">
        <f t="shared" si="1"/>
        <v>2.28376775</v>
      </c>
      <c r="L92" s="182" t="s">
        <v>58</v>
      </c>
      <c r="M92" s="178" t="s">
        <v>59</v>
      </c>
      <c r="N92" s="178">
        <v>0</v>
      </c>
      <c r="O92" s="178" t="s">
        <v>60</v>
      </c>
      <c r="P92" s="178" t="s">
        <v>79</v>
      </c>
      <c r="Q92" s="176" t="s">
        <v>113</v>
      </c>
      <c r="R92" s="179" t="s">
        <v>258</v>
      </c>
      <c r="S92" s="180"/>
      <c r="T92" s="180">
        <v>100</v>
      </c>
      <c r="U92" s="180"/>
      <c r="V92" s="167" t="s">
        <v>62</v>
      </c>
      <c r="W92" s="64" t="s">
        <v>259</v>
      </c>
      <c r="Y92" s="167" t="s">
        <v>260</v>
      </c>
      <c r="Z92" s="82" t="s">
        <v>63</v>
      </c>
      <c r="AA92" s="166">
        <v>1</v>
      </c>
      <c r="AB92" s="166">
        <v>0</v>
      </c>
      <c r="AC92" s="165">
        <v>47</v>
      </c>
      <c r="AD92" s="21" t="s">
        <v>237</v>
      </c>
      <c r="AE92" s="165" t="s">
        <v>264</v>
      </c>
      <c r="AF92" s="165"/>
      <c r="AG92" s="165"/>
      <c r="AH92" s="165"/>
      <c r="AI92" s="165"/>
      <c r="AJ92" s="165"/>
      <c r="AK92" s="166">
        <v>18.3</v>
      </c>
      <c r="AL92" s="166" t="s">
        <v>81</v>
      </c>
      <c r="AM92" s="166"/>
      <c r="AN92" s="166"/>
      <c r="AO92" s="166"/>
      <c r="AP92" s="166"/>
      <c r="AQ92" s="166"/>
      <c r="AR92" s="166"/>
      <c r="AS92" s="165"/>
      <c r="AT92" s="165"/>
      <c r="AU92" s="165"/>
      <c r="AV92" s="165"/>
      <c r="AW92" s="165"/>
      <c r="AX92" s="165"/>
      <c r="AY92" s="165"/>
      <c r="AZ92" s="165"/>
      <c r="BA92" s="166"/>
      <c r="BB92" s="166"/>
      <c r="BC92" s="166"/>
      <c r="BD92" s="166"/>
      <c r="BE92" s="166"/>
      <c r="BF92" s="166"/>
      <c r="BG92" s="166"/>
      <c r="BH92" s="166"/>
      <c r="BI92" s="165"/>
      <c r="BJ92" s="165"/>
      <c r="BK92" s="165"/>
      <c r="BL92" s="165"/>
      <c r="BM92" s="165"/>
      <c r="BN92" s="165"/>
      <c r="BO92" s="165"/>
      <c r="BP92" s="165"/>
      <c r="BQ92" s="166" t="s">
        <v>265</v>
      </c>
      <c r="BR92" s="165"/>
      <c r="BS92" s="124">
        <v>139</v>
      </c>
      <c r="BT92" s="174"/>
    </row>
    <row r="93" spans="1:72" ht="14.25" hidden="1" customHeight="1" x14ac:dyDescent="0.2">
      <c r="A93" s="92">
        <v>140</v>
      </c>
      <c r="B93" s="235" t="s">
        <v>254</v>
      </c>
      <c r="C93" s="236" t="s">
        <v>255</v>
      </c>
      <c r="D93" s="235" t="s">
        <v>271</v>
      </c>
      <c r="E93" s="125" t="s">
        <v>111</v>
      </c>
      <c r="F93" s="181" t="s">
        <v>103</v>
      </c>
      <c r="G93" s="181" t="s">
        <v>76</v>
      </c>
      <c r="H93" s="181" t="s">
        <v>263</v>
      </c>
      <c r="I93" s="181"/>
      <c r="J93" s="178">
        <v>5</v>
      </c>
      <c r="K93" s="182">
        <f t="shared" si="1"/>
        <v>4.5675355</v>
      </c>
      <c r="L93" s="182" t="s">
        <v>58</v>
      </c>
      <c r="M93" s="178" t="s">
        <v>59</v>
      </c>
      <c r="N93" s="178">
        <v>0</v>
      </c>
      <c r="O93" s="178" t="s">
        <v>60</v>
      </c>
      <c r="P93" s="178" t="s">
        <v>79</v>
      </c>
      <c r="Q93" s="176" t="s">
        <v>113</v>
      </c>
      <c r="R93" s="179" t="s">
        <v>258</v>
      </c>
      <c r="S93" s="180"/>
      <c r="T93" s="180">
        <v>100</v>
      </c>
      <c r="U93" s="180"/>
      <c r="V93" s="167" t="s">
        <v>62</v>
      </c>
      <c r="W93" s="64" t="s">
        <v>259</v>
      </c>
      <c r="Y93" s="167" t="s">
        <v>260</v>
      </c>
      <c r="Z93" s="82" t="s">
        <v>63</v>
      </c>
      <c r="AA93" s="166">
        <v>1</v>
      </c>
      <c r="AB93" s="166">
        <v>1</v>
      </c>
      <c r="AC93" s="165">
        <v>53</v>
      </c>
      <c r="AD93" s="21" t="s">
        <v>237</v>
      </c>
      <c r="AE93" s="165" t="s">
        <v>264</v>
      </c>
      <c r="AF93" s="165"/>
      <c r="AG93" s="165"/>
      <c r="AH93" s="165"/>
      <c r="AI93" s="165"/>
      <c r="AJ93" s="165"/>
      <c r="AK93" s="166">
        <v>22.7</v>
      </c>
      <c r="AL93" s="166" t="s">
        <v>81</v>
      </c>
      <c r="AM93" s="166"/>
      <c r="AN93" s="166"/>
      <c r="AO93" s="166"/>
      <c r="AP93" s="166"/>
      <c r="AQ93" s="166"/>
      <c r="AR93" s="166"/>
      <c r="AS93" s="165"/>
      <c r="AT93" s="165"/>
      <c r="AU93" s="165"/>
      <c r="AV93" s="165"/>
      <c r="AW93" s="165"/>
      <c r="AX93" s="165"/>
      <c r="AY93" s="165"/>
      <c r="AZ93" s="165"/>
      <c r="BA93" s="166"/>
      <c r="BB93" s="166"/>
      <c r="BC93" s="166"/>
      <c r="BD93" s="166"/>
      <c r="BE93" s="166"/>
      <c r="BF93" s="166"/>
      <c r="BG93" s="166"/>
      <c r="BH93" s="166"/>
      <c r="BI93" s="165"/>
      <c r="BJ93" s="165"/>
      <c r="BK93" s="165"/>
      <c r="BL93" s="165"/>
      <c r="BM93" s="165"/>
      <c r="BN93" s="165"/>
      <c r="BO93" s="165"/>
      <c r="BP93" s="165"/>
      <c r="BQ93" s="166" t="s">
        <v>265</v>
      </c>
      <c r="BR93" s="165"/>
      <c r="BS93" s="124">
        <v>140</v>
      </c>
      <c r="BT93" s="174"/>
    </row>
    <row r="94" spans="1:72" ht="14.25" hidden="1" customHeight="1" x14ac:dyDescent="0.2">
      <c r="A94" s="92">
        <v>141</v>
      </c>
      <c r="B94" s="235" t="s">
        <v>254</v>
      </c>
      <c r="C94" s="236" t="s">
        <v>255</v>
      </c>
      <c r="D94" s="235" t="s">
        <v>272</v>
      </c>
      <c r="E94" s="125" t="s">
        <v>111</v>
      </c>
      <c r="F94" s="181" t="s">
        <v>103</v>
      </c>
      <c r="G94" s="181" t="s">
        <v>76</v>
      </c>
      <c r="H94" s="181" t="s">
        <v>263</v>
      </c>
      <c r="I94" s="181"/>
      <c r="J94" s="178">
        <v>2.5</v>
      </c>
      <c r="K94" s="182">
        <f t="shared" si="1"/>
        <v>2.28376775</v>
      </c>
      <c r="L94" s="182" t="s">
        <v>58</v>
      </c>
      <c r="M94" s="178" t="s">
        <v>59</v>
      </c>
      <c r="N94" s="178">
        <v>0</v>
      </c>
      <c r="O94" s="178" t="s">
        <v>60</v>
      </c>
      <c r="P94" s="178" t="s">
        <v>79</v>
      </c>
      <c r="Q94" s="176" t="s">
        <v>113</v>
      </c>
      <c r="R94" s="179" t="s">
        <v>258</v>
      </c>
      <c r="S94" s="180"/>
      <c r="T94" s="180">
        <v>100</v>
      </c>
      <c r="U94" s="180"/>
      <c r="V94" s="167" t="s">
        <v>62</v>
      </c>
      <c r="W94" s="64" t="s">
        <v>259</v>
      </c>
      <c r="Y94" s="167" t="s">
        <v>260</v>
      </c>
      <c r="Z94" s="82" t="s">
        <v>63</v>
      </c>
      <c r="AA94" s="166">
        <v>1</v>
      </c>
      <c r="AB94" s="166">
        <v>1</v>
      </c>
      <c r="AC94" s="165">
        <v>38</v>
      </c>
      <c r="AD94" s="21" t="s">
        <v>237</v>
      </c>
      <c r="AE94" s="165" t="s">
        <v>264</v>
      </c>
      <c r="AF94" s="165"/>
      <c r="AG94" s="165"/>
      <c r="AH94" s="165"/>
      <c r="AI94" s="165"/>
      <c r="AJ94" s="165"/>
      <c r="AK94" s="166">
        <v>17.3</v>
      </c>
      <c r="AL94" s="166" t="s">
        <v>81</v>
      </c>
      <c r="AM94" s="166"/>
      <c r="AN94" s="166"/>
      <c r="AO94" s="166"/>
      <c r="AP94" s="166"/>
      <c r="AQ94" s="166"/>
      <c r="AR94" s="166"/>
      <c r="AS94" s="165"/>
      <c r="AT94" s="165"/>
      <c r="AU94" s="165"/>
      <c r="AV94" s="165"/>
      <c r="AW94" s="165"/>
      <c r="AX94" s="165"/>
      <c r="AY94" s="165"/>
      <c r="AZ94" s="165"/>
      <c r="BA94" s="166"/>
      <c r="BB94" s="166"/>
      <c r="BC94" s="166"/>
      <c r="BD94" s="166"/>
      <c r="BE94" s="166"/>
      <c r="BF94" s="166"/>
      <c r="BG94" s="166"/>
      <c r="BH94" s="166"/>
      <c r="BI94" s="165"/>
      <c r="BJ94" s="165"/>
      <c r="BK94" s="165"/>
      <c r="BL94" s="165"/>
      <c r="BM94" s="165"/>
      <c r="BN94" s="165"/>
      <c r="BO94" s="165"/>
      <c r="BP94" s="165"/>
      <c r="BQ94" s="166" t="s">
        <v>265</v>
      </c>
      <c r="BR94" s="165"/>
      <c r="BS94" s="124">
        <v>141</v>
      </c>
      <c r="BT94" s="174"/>
    </row>
    <row r="95" spans="1:72" ht="14.25" hidden="1" customHeight="1" x14ac:dyDescent="0.2">
      <c r="A95" s="92">
        <v>142</v>
      </c>
      <c r="B95" s="235" t="s">
        <v>254</v>
      </c>
      <c r="C95" s="236" t="s">
        <v>255</v>
      </c>
      <c r="D95" s="235" t="s">
        <v>273</v>
      </c>
      <c r="E95" s="125" t="s">
        <v>111</v>
      </c>
      <c r="F95" s="181" t="s">
        <v>103</v>
      </c>
      <c r="G95" s="181" t="s">
        <v>76</v>
      </c>
      <c r="H95" s="181" t="s">
        <v>263</v>
      </c>
      <c r="I95" s="181"/>
      <c r="J95" s="178">
        <v>5</v>
      </c>
      <c r="K95" s="182">
        <f t="shared" si="1"/>
        <v>4.5675355</v>
      </c>
      <c r="L95" s="182" t="s">
        <v>58</v>
      </c>
      <c r="M95" s="178" t="s">
        <v>59</v>
      </c>
      <c r="N95" s="178">
        <v>0</v>
      </c>
      <c r="O95" s="178" t="s">
        <v>60</v>
      </c>
      <c r="P95" s="178" t="s">
        <v>79</v>
      </c>
      <c r="Q95" s="176" t="s">
        <v>113</v>
      </c>
      <c r="R95" s="179" t="s">
        <v>258</v>
      </c>
      <c r="S95" s="180"/>
      <c r="T95" s="180">
        <v>100</v>
      </c>
      <c r="U95" s="180"/>
      <c r="V95" s="167" t="s">
        <v>62</v>
      </c>
      <c r="W95" s="64" t="s">
        <v>259</v>
      </c>
      <c r="Y95" s="167" t="s">
        <v>260</v>
      </c>
      <c r="Z95" s="82" t="s">
        <v>63</v>
      </c>
      <c r="AA95" s="166">
        <v>1</v>
      </c>
      <c r="AB95" s="166">
        <v>1</v>
      </c>
      <c r="AC95" s="165">
        <v>53</v>
      </c>
      <c r="AD95" s="21" t="s">
        <v>237</v>
      </c>
      <c r="AE95" s="165" t="s">
        <v>264</v>
      </c>
      <c r="AF95" s="165"/>
      <c r="AG95" s="165"/>
      <c r="AH95" s="165"/>
      <c r="AI95" s="165"/>
      <c r="AJ95" s="165"/>
      <c r="AK95" s="166">
        <v>17.2</v>
      </c>
      <c r="AL95" s="166" t="s">
        <v>81</v>
      </c>
      <c r="AM95" s="166"/>
      <c r="AN95" s="166"/>
      <c r="AO95" s="166"/>
      <c r="AP95" s="166"/>
      <c r="AQ95" s="166"/>
      <c r="AR95" s="166"/>
      <c r="AS95" s="165"/>
      <c r="AT95" s="165"/>
      <c r="AU95" s="165"/>
      <c r="AV95" s="165"/>
      <c r="AW95" s="165"/>
      <c r="AX95" s="165"/>
      <c r="AY95" s="165"/>
      <c r="AZ95" s="165"/>
      <c r="BA95" s="166"/>
      <c r="BB95" s="166"/>
      <c r="BC95" s="166"/>
      <c r="BD95" s="166"/>
      <c r="BE95" s="166"/>
      <c r="BF95" s="166"/>
      <c r="BG95" s="166"/>
      <c r="BH95" s="166"/>
      <c r="BI95" s="165"/>
      <c r="BJ95" s="165"/>
      <c r="BK95" s="165"/>
      <c r="BL95" s="165"/>
      <c r="BM95" s="165"/>
      <c r="BN95" s="165"/>
      <c r="BO95" s="165"/>
      <c r="BP95" s="165"/>
      <c r="BQ95" s="166" t="s">
        <v>265</v>
      </c>
      <c r="BR95" s="165"/>
      <c r="BS95" s="124">
        <v>142</v>
      </c>
      <c r="BT95" s="174"/>
    </row>
    <row r="96" spans="1:72" ht="14.25" hidden="1" customHeight="1" x14ac:dyDescent="0.2">
      <c r="A96" s="92">
        <v>143</v>
      </c>
      <c r="B96" s="235" t="s">
        <v>254</v>
      </c>
      <c r="C96" s="236" t="s">
        <v>255</v>
      </c>
      <c r="D96" s="235" t="s">
        <v>274</v>
      </c>
      <c r="E96" s="125" t="s">
        <v>111</v>
      </c>
      <c r="F96" s="181" t="s">
        <v>103</v>
      </c>
      <c r="G96" s="181" t="s">
        <v>76</v>
      </c>
      <c r="H96" s="181" t="s">
        <v>263</v>
      </c>
      <c r="I96" s="181"/>
      <c r="J96" s="178">
        <v>5</v>
      </c>
      <c r="K96" s="182">
        <f t="shared" si="1"/>
        <v>4.5675355</v>
      </c>
      <c r="L96" s="182" t="s">
        <v>58</v>
      </c>
      <c r="M96" s="178" t="s">
        <v>59</v>
      </c>
      <c r="N96" s="178">
        <v>0</v>
      </c>
      <c r="O96" s="178" t="s">
        <v>60</v>
      </c>
      <c r="P96" s="178" t="s">
        <v>79</v>
      </c>
      <c r="Q96" s="176" t="s">
        <v>113</v>
      </c>
      <c r="R96" s="179" t="s">
        <v>258</v>
      </c>
      <c r="S96" s="180"/>
      <c r="T96" s="180">
        <v>100</v>
      </c>
      <c r="U96" s="180"/>
      <c r="V96" s="167" t="s">
        <v>62</v>
      </c>
      <c r="W96" s="64" t="s">
        <v>259</v>
      </c>
      <c r="Y96" s="167" t="s">
        <v>260</v>
      </c>
      <c r="Z96" s="82" t="s">
        <v>63</v>
      </c>
      <c r="AA96" s="166">
        <v>1</v>
      </c>
      <c r="AB96" s="166">
        <v>0</v>
      </c>
      <c r="AC96" s="165">
        <v>50</v>
      </c>
      <c r="AD96" s="21" t="s">
        <v>237</v>
      </c>
      <c r="AE96" s="165" t="s">
        <v>264</v>
      </c>
      <c r="AF96" s="165"/>
      <c r="AG96" s="165"/>
      <c r="AH96" s="165"/>
      <c r="AI96" s="165"/>
      <c r="AJ96" s="165"/>
      <c r="AK96" s="166">
        <v>15.9</v>
      </c>
      <c r="AL96" s="166" t="s">
        <v>81</v>
      </c>
      <c r="AM96" s="166"/>
      <c r="AN96" s="166"/>
      <c r="AO96" s="166"/>
      <c r="AP96" s="166"/>
      <c r="AQ96" s="166"/>
      <c r="AR96" s="166"/>
      <c r="AS96" s="165"/>
      <c r="AT96" s="165"/>
      <c r="AU96" s="165"/>
      <c r="AV96" s="165"/>
      <c r="AW96" s="165"/>
      <c r="AX96" s="165"/>
      <c r="AY96" s="165"/>
      <c r="AZ96" s="165"/>
      <c r="BA96" s="166"/>
      <c r="BB96" s="166"/>
      <c r="BC96" s="166"/>
      <c r="BD96" s="166"/>
      <c r="BE96" s="166"/>
      <c r="BF96" s="166"/>
      <c r="BG96" s="166"/>
      <c r="BH96" s="166"/>
      <c r="BI96" s="165"/>
      <c r="BJ96" s="165"/>
      <c r="BK96" s="165"/>
      <c r="BL96" s="165"/>
      <c r="BM96" s="165"/>
      <c r="BN96" s="165"/>
      <c r="BO96" s="165"/>
      <c r="BP96" s="165"/>
      <c r="BQ96" s="166" t="s">
        <v>275</v>
      </c>
      <c r="BR96" s="165"/>
      <c r="BS96" s="124">
        <v>143</v>
      </c>
      <c r="BT96" s="174"/>
    </row>
    <row r="97" spans="1:72" ht="14.25" hidden="1" customHeight="1" x14ac:dyDescent="0.2">
      <c r="A97" s="92">
        <v>144</v>
      </c>
      <c r="B97" s="235" t="s">
        <v>254</v>
      </c>
      <c r="C97" s="236" t="s">
        <v>255</v>
      </c>
      <c r="D97" s="235" t="s">
        <v>276</v>
      </c>
      <c r="E97" s="125" t="s">
        <v>111</v>
      </c>
      <c r="F97" s="181" t="s">
        <v>103</v>
      </c>
      <c r="G97" s="181" t="s">
        <v>76</v>
      </c>
      <c r="H97" s="181" t="s">
        <v>263</v>
      </c>
      <c r="I97" s="181"/>
      <c r="J97" s="178">
        <v>5</v>
      </c>
      <c r="K97" s="182">
        <f t="shared" si="1"/>
        <v>4.5675355</v>
      </c>
      <c r="L97" s="182" t="s">
        <v>58</v>
      </c>
      <c r="M97" s="178" t="s">
        <v>59</v>
      </c>
      <c r="N97" s="178">
        <v>0</v>
      </c>
      <c r="O97" s="178" t="s">
        <v>60</v>
      </c>
      <c r="P97" s="178" t="s">
        <v>79</v>
      </c>
      <c r="Q97" s="176" t="s">
        <v>113</v>
      </c>
      <c r="R97" s="179" t="s">
        <v>258</v>
      </c>
      <c r="S97" s="180"/>
      <c r="T97" s="180">
        <v>100</v>
      </c>
      <c r="U97" s="180"/>
      <c r="V97" s="167" t="s">
        <v>62</v>
      </c>
      <c r="W97" s="64" t="s">
        <v>259</v>
      </c>
      <c r="Y97" s="167" t="s">
        <v>260</v>
      </c>
      <c r="Z97" s="82" t="s">
        <v>63</v>
      </c>
      <c r="AA97" s="166">
        <v>1</v>
      </c>
      <c r="AB97" s="166">
        <v>0</v>
      </c>
      <c r="AC97" s="165">
        <v>68</v>
      </c>
      <c r="AD97" s="21" t="s">
        <v>237</v>
      </c>
      <c r="AE97" s="165" t="s">
        <v>264</v>
      </c>
      <c r="AF97" s="165"/>
      <c r="AG97" s="165"/>
      <c r="AH97" s="165"/>
      <c r="AI97" s="165"/>
      <c r="AJ97" s="165"/>
      <c r="AK97" s="166">
        <v>20.2</v>
      </c>
      <c r="AL97" s="166" t="s">
        <v>81</v>
      </c>
      <c r="AM97" s="166"/>
      <c r="AN97" s="166"/>
      <c r="AO97" s="166"/>
      <c r="AP97" s="166"/>
      <c r="AQ97" s="166"/>
      <c r="AR97" s="166"/>
      <c r="AS97" s="165"/>
      <c r="AT97" s="165"/>
      <c r="AU97" s="165"/>
      <c r="AV97" s="165"/>
      <c r="AW97" s="165"/>
      <c r="AX97" s="165"/>
      <c r="AY97" s="165"/>
      <c r="AZ97" s="165"/>
      <c r="BA97" s="166"/>
      <c r="BB97" s="166"/>
      <c r="BC97" s="166"/>
      <c r="BD97" s="166"/>
      <c r="BE97" s="166"/>
      <c r="BF97" s="166"/>
      <c r="BG97" s="166"/>
      <c r="BH97" s="166"/>
      <c r="BI97" s="165"/>
      <c r="BJ97" s="165"/>
      <c r="BK97" s="165"/>
      <c r="BL97" s="165"/>
      <c r="BM97" s="165"/>
      <c r="BN97" s="165"/>
      <c r="BO97" s="165"/>
      <c r="BP97" s="165"/>
      <c r="BQ97" s="166" t="s">
        <v>265</v>
      </c>
      <c r="BR97" s="165"/>
      <c r="BS97" s="124">
        <v>144</v>
      </c>
      <c r="BT97" s="174"/>
    </row>
    <row r="98" spans="1:72" ht="14.25" hidden="1" customHeight="1" x14ac:dyDescent="0.2">
      <c r="A98" s="92">
        <v>145</v>
      </c>
      <c r="B98" s="235" t="s">
        <v>254</v>
      </c>
      <c r="C98" s="236" t="s">
        <v>255</v>
      </c>
      <c r="D98" s="235" t="s">
        <v>277</v>
      </c>
      <c r="E98" s="125" t="s">
        <v>111</v>
      </c>
      <c r="F98" s="181" t="s">
        <v>103</v>
      </c>
      <c r="G98" s="181" t="s">
        <v>76</v>
      </c>
      <c r="H98" s="181" t="s">
        <v>263</v>
      </c>
      <c r="I98" s="181"/>
      <c r="J98" s="178">
        <v>2.5</v>
      </c>
      <c r="K98" s="182">
        <f t="shared" si="1"/>
        <v>2.28376775</v>
      </c>
      <c r="L98" s="182" t="s">
        <v>58</v>
      </c>
      <c r="M98" s="178" t="s">
        <v>59</v>
      </c>
      <c r="N98" s="178">
        <v>0</v>
      </c>
      <c r="O98" s="178" t="s">
        <v>60</v>
      </c>
      <c r="P98" s="178" t="s">
        <v>79</v>
      </c>
      <c r="Q98" s="176" t="s">
        <v>113</v>
      </c>
      <c r="R98" s="179" t="s">
        <v>258</v>
      </c>
      <c r="S98" s="180"/>
      <c r="T98" s="180">
        <v>100</v>
      </c>
      <c r="U98" s="180"/>
      <c r="V98" s="167" t="s">
        <v>62</v>
      </c>
      <c r="W98" s="64" t="s">
        <v>259</v>
      </c>
      <c r="Y98" s="167" t="s">
        <v>260</v>
      </c>
      <c r="Z98" s="82" t="s">
        <v>63</v>
      </c>
      <c r="AA98" s="166">
        <v>1</v>
      </c>
      <c r="AB98" s="166">
        <v>0</v>
      </c>
      <c r="AC98" s="165">
        <v>40</v>
      </c>
      <c r="AD98" s="21" t="s">
        <v>237</v>
      </c>
      <c r="AE98" s="165" t="s">
        <v>264</v>
      </c>
      <c r="AF98" s="165"/>
      <c r="AG98" s="165"/>
      <c r="AH98" s="165"/>
      <c r="AI98" s="165"/>
      <c r="AJ98" s="165"/>
      <c r="AK98" s="166">
        <v>14.2</v>
      </c>
      <c r="AL98" s="166" t="s">
        <v>81</v>
      </c>
      <c r="AM98" s="166"/>
      <c r="AN98" s="166"/>
      <c r="AO98" s="166"/>
      <c r="AP98" s="166"/>
      <c r="AQ98" s="166"/>
      <c r="AR98" s="166"/>
      <c r="AS98" s="165"/>
      <c r="AT98" s="165"/>
      <c r="AU98" s="165"/>
      <c r="AV98" s="165"/>
      <c r="AW98" s="165"/>
      <c r="AX98" s="165"/>
      <c r="AY98" s="165"/>
      <c r="AZ98" s="165"/>
      <c r="BA98" s="166"/>
      <c r="BB98" s="166"/>
      <c r="BC98" s="166"/>
      <c r="BD98" s="166"/>
      <c r="BE98" s="166"/>
      <c r="BF98" s="166"/>
      <c r="BG98" s="166"/>
      <c r="BH98" s="166"/>
      <c r="BI98" s="165"/>
      <c r="BJ98" s="165"/>
      <c r="BK98" s="165"/>
      <c r="BL98" s="165"/>
      <c r="BM98" s="165"/>
      <c r="BN98" s="165"/>
      <c r="BO98" s="165"/>
      <c r="BP98" s="165"/>
      <c r="BQ98" s="166" t="s">
        <v>269</v>
      </c>
      <c r="BR98" s="165"/>
      <c r="BS98" s="124">
        <v>145</v>
      </c>
      <c r="BT98" s="174"/>
    </row>
    <row r="99" spans="1:72" ht="14.25" hidden="1" customHeight="1" x14ac:dyDescent="0.2">
      <c r="A99" s="92">
        <v>146</v>
      </c>
      <c r="B99" s="235" t="s">
        <v>254</v>
      </c>
      <c r="C99" s="236" t="s">
        <v>255</v>
      </c>
      <c r="D99" s="235" t="s">
        <v>278</v>
      </c>
      <c r="E99" s="125" t="s">
        <v>111</v>
      </c>
      <c r="F99" s="181" t="s">
        <v>103</v>
      </c>
      <c r="G99" s="181" t="s">
        <v>76</v>
      </c>
      <c r="H99" s="181" t="s">
        <v>263</v>
      </c>
      <c r="I99" s="181"/>
      <c r="J99" s="178">
        <v>2.5</v>
      </c>
      <c r="K99" s="182">
        <f t="shared" si="1"/>
        <v>2.28376775</v>
      </c>
      <c r="L99" s="182" t="s">
        <v>58</v>
      </c>
      <c r="M99" s="178" t="s">
        <v>59</v>
      </c>
      <c r="N99" s="178">
        <v>0</v>
      </c>
      <c r="O99" s="178" t="s">
        <v>60</v>
      </c>
      <c r="P99" s="178" t="s">
        <v>79</v>
      </c>
      <c r="Q99" s="176" t="s">
        <v>113</v>
      </c>
      <c r="R99" s="179" t="s">
        <v>258</v>
      </c>
      <c r="S99" s="180"/>
      <c r="T99" s="180">
        <v>100</v>
      </c>
      <c r="U99" s="180"/>
      <c r="V99" s="167" t="s">
        <v>62</v>
      </c>
      <c r="W99" s="64" t="s">
        <v>259</v>
      </c>
      <c r="Y99" s="167" t="s">
        <v>260</v>
      </c>
      <c r="Z99" s="82" t="s">
        <v>63</v>
      </c>
      <c r="AA99" s="166">
        <v>1</v>
      </c>
      <c r="AB99" s="166">
        <v>0</v>
      </c>
      <c r="AC99" s="165">
        <v>35</v>
      </c>
      <c r="AD99" s="21" t="s">
        <v>237</v>
      </c>
      <c r="AE99" s="165" t="s">
        <v>264</v>
      </c>
      <c r="AF99" s="165"/>
      <c r="AG99" s="165"/>
      <c r="AH99" s="165"/>
      <c r="AI99" s="165"/>
      <c r="AJ99" s="165"/>
      <c r="AK99" s="166">
        <v>15.4</v>
      </c>
      <c r="AL99" s="166" t="s">
        <v>81</v>
      </c>
      <c r="AM99" s="166"/>
      <c r="AN99" s="166"/>
      <c r="AO99" s="166"/>
      <c r="AP99" s="166"/>
      <c r="AQ99" s="166"/>
      <c r="AR99" s="166"/>
      <c r="AS99" s="165"/>
      <c r="AT99" s="165"/>
      <c r="AU99" s="165"/>
      <c r="AV99" s="165"/>
      <c r="AW99" s="165"/>
      <c r="AX99" s="165"/>
      <c r="AY99" s="165"/>
      <c r="AZ99" s="165"/>
      <c r="BA99" s="166"/>
      <c r="BB99" s="166"/>
      <c r="BC99" s="166"/>
      <c r="BD99" s="166"/>
      <c r="BE99" s="166"/>
      <c r="BF99" s="166"/>
      <c r="BG99" s="166"/>
      <c r="BH99" s="166"/>
      <c r="BI99" s="165"/>
      <c r="BJ99" s="165"/>
      <c r="BK99" s="165"/>
      <c r="BL99" s="165"/>
      <c r="BM99" s="165"/>
      <c r="BN99" s="165"/>
      <c r="BO99" s="165"/>
      <c r="BP99" s="165"/>
      <c r="BQ99" s="166" t="s">
        <v>265</v>
      </c>
      <c r="BR99" s="165"/>
      <c r="BS99" s="124">
        <v>146</v>
      </c>
      <c r="BT99" s="174"/>
    </row>
    <row r="100" spans="1:72" ht="14.25" hidden="1" customHeight="1" x14ac:dyDescent="0.2">
      <c r="A100" s="92">
        <v>147</v>
      </c>
      <c r="B100" s="235" t="s">
        <v>254</v>
      </c>
      <c r="C100" s="236" t="s">
        <v>255</v>
      </c>
      <c r="D100" s="235" t="s">
        <v>279</v>
      </c>
      <c r="E100" s="125" t="s">
        <v>111</v>
      </c>
      <c r="F100" s="181" t="s">
        <v>103</v>
      </c>
      <c r="G100" s="181" t="s">
        <v>76</v>
      </c>
      <c r="H100" s="181" t="s">
        <v>263</v>
      </c>
      <c r="I100" s="181"/>
      <c r="J100" s="178">
        <v>5</v>
      </c>
      <c r="K100" s="182">
        <f t="shared" si="1"/>
        <v>4.5675355</v>
      </c>
      <c r="L100" s="182" t="s">
        <v>58</v>
      </c>
      <c r="M100" s="178" t="s">
        <v>59</v>
      </c>
      <c r="N100" s="178">
        <v>0</v>
      </c>
      <c r="O100" s="178" t="s">
        <v>60</v>
      </c>
      <c r="P100" s="178" t="s">
        <v>79</v>
      </c>
      <c r="Q100" s="176" t="s">
        <v>113</v>
      </c>
      <c r="R100" s="179" t="s">
        <v>258</v>
      </c>
      <c r="S100" s="180"/>
      <c r="T100" s="180">
        <v>100</v>
      </c>
      <c r="U100" s="180"/>
      <c r="V100" s="167" t="s">
        <v>62</v>
      </c>
      <c r="W100" s="64" t="s">
        <v>259</v>
      </c>
      <c r="Y100" s="167" t="s">
        <v>260</v>
      </c>
      <c r="Z100" s="82" t="s">
        <v>63</v>
      </c>
      <c r="AA100" s="166">
        <v>1</v>
      </c>
      <c r="AB100" s="166">
        <v>0</v>
      </c>
      <c r="AC100" s="165">
        <v>69</v>
      </c>
      <c r="AD100" s="21" t="s">
        <v>237</v>
      </c>
      <c r="AE100" s="165" t="s">
        <v>264</v>
      </c>
      <c r="AF100" s="165"/>
      <c r="AG100" s="165"/>
      <c r="AH100" s="165"/>
      <c r="AI100" s="165"/>
      <c r="AJ100" s="165"/>
      <c r="AK100" s="166">
        <v>26.5</v>
      </c>
      <c r="AL100" s="166" t="s">
        <v>81</v>
      </c>
      <c r="AM100" s="166"/>
      <c r="AN100" s="166"/>
      <c r="AO100" s="166"/>
      <c r="AP100" s="166"/>
      <c r="AQ100" s="166"/>
      <c r="AR100" s="166"/>
      <c r="AS100" s="165"/>
      <c r="AT100" s="165"/>
      <c r="AU100" s="165"/>
      <c r="AV100" s="165"/>
      <c r="AW100" s="165"/>
      <c r="AX100" s="165"/>
      <c r="AY100" s="165"/>
      <c r="AZ100" s="165"/>
      <c r="BA100" s="166"/>
      <c r="BB100" s="166"/>
      <c r="BC100" s="166"/>
      <c r="BD100" s="166"/>
      <c r="BE100" s="166"/>
      <c r="BF100" s="166"/>
      <c r="BG100" s="166"/>
      <c r="BH100" s="166"/>
      <c r="BI100" s="165"/>
      <c r="BJ100" s="165"/>
      <c r="BK100" s="165"/>
      <c r="BL100" s="165"/>
      <c r="BM100" s="165"/>
      <c r="BN100" s="165"/>
      <c r="BO100" s="165"/>
      <c r="BP100" s="165"/>
      <c r="BQ100" s="166" t="s">
        <v>269</v>
      </c>
      <c r="BR100" s="165"/>
      <c r="BS100" s="124">
        <v>147</v>
      </c>
      <c r="BT100" s="174"/>
    </row>
    <row r="101" spans="1:72" ht="14.25" hidden="1" customHeight="1" x14ac:dyDescent="0.2">
      <c r="A101" s="92">
        <v>148</v>
      </c>
      <c r="B101" s="235" t="s">
        <v>254</v>
      </c>
      <c r="C101" s="236" t="s">
        <v>255</v>
      </c>
      <c r="D101" s="235" t="s">
        <v>280</v>
      </c>
      <c r="E101" s="125" t="s">
        <v>111</v>
      </c>
      <c r="F101" s="181" t="s">
        <v>103</v>
      </c>
      <c r="G101" s="181" t="s">
        <v>76</v>
      </c>
      <c r="H101" s="181" t="s">
        <v>263</v>
      </c>
      <c r="I101" s="181"/>
      <c r="J101" s="178">
        <v>2.5</v>
      </c>
      <c r="K101" s="182">
        <f t="shared" si="1"/>
        <v>2.28376775</v>
      </c>
      <c r="L101" s="182" t="s">
        <v>58</v>
      </c>
      <c r="M101" s="178" t="s">
        <v>59</v>
      </c>
      <c r="N101" s="178">
        <v>0</v>
      </c>
      <c r="O101" s="178" t="s">
        <v>60</v>
      </c>
      <c r="P101" s="178" t="s">
        <v>79</v>
      </c>
      <c r="Q101" s="176" t="s">
        <v>113</v>
      </c>
      <c r="R101" s="179" t="s">
        <v>258</v>
      </c>
      <c r="S101" s="180"/>
      <c r="T101" s="180">
        <v>100</v>
      </c>
      <c r="U101" s="180"/>
      <c r="V101" s="167" t="s">
        <v>62</v>
      </c>
      <c r="W101" s="64" t="s">
        <v>259</v>
      </c>
      <c r="Y101" s="167" t="s">
        <v>260</v>
      </c>
      <c r="Z101" s="82" t="s">
        <v>63</v>
      </c>
      <c r="AA101" s="166">
        <v>1</v>
      </c>
      <c r="AB101" s="166">
        <v>0</v>
      </c>
      <c r="AC101" s="165">
        <v>34</v>
      </c>
      <c r="AD101" s="21" t="s">
        <v>237</v>
      </c>
      <c r="AE101" s="165" t="s">
        <v>264</v>
      </c>
      <c r="AF101" s="165"/>
      <c r="AG101" s="165"/>
      <c r="AH101" s="165"/>
      <c r="AI101" s="165"/>
      <c r="AJ101" s="165"/>
      <c r="AK101" s="166">
        <v>19.7</v>
      </c>
      <c r="AL101" s="166" t="s">
        <v>81</v>
      </c>
      <c r="AM101" s="166"/>
      <c r="AN101" s="166"/>
      <c r="AO101" s="166"/>
      <c r="AP101" s="166"/>
      <c r="AQ101" s="166"/>
      <c r="AR101" s="166"/>
      <c r="AS101" s="165"/>
      <c r="AT101" s="165"/>
      <c r="AU101" s="165"/>
      <c r="AV101" s="165"/>
      <c r="AW101" s="165"/>
      <c r="AX101" s="165"/>
      <c r="AY101" s="165"/>
      <c r="AZ101" s="165"/>
      <c r="BA101" s="166"/>
      <c r="BB101" s="166"/>
      <c r="BC101" s="166"/>
      <c r="BD101" s="166"/>
      <c r="BE101" s="166"/>
      <c r="BF101" s="166"/>
      <c r="BG101" s="166"/>
      <c r="BH101" s="166"/>
      <c r="BI101" s="165"/>
      <c r="BJ101" s="165"/>
      <c r="BK101" s="165"/>
      <c r="BL101" s="165"/>
      <c r="BM101" s="165"/>
      <c r="BN101" s="165"/>
      <c r="BO101" s="165"/>
      <c r="BP101" s="165"/>
      <c r="BQ101" s="166" t="s">
        <v>265</v>
      </c>
      <c r="BR101" s="165"/>
      <c r="BS101" s="124">
        <v>148</v>
      </c>
      <c r="BT101" s="174"/>
    </row>
    <row r="102" spans="1:72" ht="14.25" hidden="1" customHeight="1" x14ac:dyDescent="0.2">
      <c r="A102" s="92">
        <v>149</v>
      </c>
      <c r="B102" s="235" t="s">
        <v>254</v>
      </c>
      <c r="C102" s="236" t="s">
        <v>255</v>
      </c>
      <c r="D102" s="235" t="s">
        <v>281</v>
      </c>
      <c r="E102" s="125" t="s">
        <v>111</v>
      </c>
      <c r="F102" s="181" t="s">
        <v>103</v>
      </c>
      <c r="G102" s="181" t="s">
        <v>76</v>
      </c>
      <c r="H102" s="181" t="s">
        <v>263</v>
      </c>
      <c r="I102" s="181"/>
      <c r="J102" s="178">
        <v>2.5</v>
      </c>
      <c r="K102" s="182">
        <f t="shared" si="1"/>
        <v>2.28376775</v>
      </c>
      <c r="L102" s="182" t="s">
        <v>58</v>
      </c>
      <c r="M102" s="178" t="s">
        <v>59</v>
      </c>
      <c r="N102" s="178">
        <v>0</v>
      </c>
      <c r="O102" s="178" t="s">
        <v>60</v>
      </c>
      <c r="P102" s="178" t="s">
        <v>79</v>
      </c>
      <c r="Q102" s="176" t="s">
        <v>113</v>
      </c>
      <c r="R102" s="179" t="s">
        <v>258</v>
      </c>
      <c r="S102" s="180"/>
      <c r="T102" s="180">
        <v>100</v>
      </c>
      <c r="U102" s="180"/>
      <c r="V102" s="167" t="s">
        <v>62</v>
      </c>
      <c r="W102" s="64" t="s">
        <v>259</v>
      </c>
      <c r="Y102" s="167" t="s">
        <v>260</v>
      </c>
      <c r="Z102" s="82" t="s">
        <v>63</v>
      </c>
      <c r="AA102" s="166">
        <v>1</v>
      </c>
      <c r="AB102" s="166">
        <v>1</v>
      </c>
      <c r="AC102" s="165">
        <v>47</v>
      </c>
      <c r="AD102" s="21" t="s">
        <v>237</v>
      </c>
      <c r="AE102" s="165" t="s">
        <v>264</v>
      </c>
      <c r="AF102" s="165"/>
      <c r="AG102" s="165"/>
      <c r="AH102" s="165"/>
      <c r="AI102" s="165"/>
      <c r="AJ102" s="165"/>
      <c r="AK102" s="166">
        <v>22.3</v>
      </c>
      <c r="AL102" s="166" t="s">
        <v>81</v>
      </c>
      <c r="AM102" s="166"/>
      <c r="AN102" s="166"/>
      <c r="AO102" s="166"/>
      <c r="AP102" s="166"/>
      <c r="AQ102" s="166"/>
      <c r="AR102" s="166"/>
      <c r="AS102" s="165"/>
      <c r="AT102" s="165"/>
      <c r="AU102" s="165"/>
      <c r="AV102" s="165"/>
      <c r="AW102" s="165"/>
      <c r="AX102" s="165"/>
      <c r="AY102" s="165"/>
      <c r="AZ102" s="165"/>
      <c r="BA102" s="166"/>
      <c r="BB102" s="166"/>
      <c r="BC102" s="166"/>
      <c r="BD102" s="166"/>
      <c r="BE102" s="166"/>
      <c r="BF102" s="166"/>
      <c r="BG102" s="166"/>
      <c r="BH102" s="166"/>
      <c r="BI102" s="165"/>
      <c r="BJ102" s="165"/>
      <c r="BK102" s="165"/>
      <c r="BL102" s="165"/>
      <c r="BM102" s="165"/>
      <c r="BN102" s="165"/>
      <c r="BO102" s="165"/>
      <c r="BP102" s="165"/>
      <c r="BQ102" s="166" t="s">
        <v>265</v>
      </c>
      <c r="BR102" s="165"/>
      <c r="BS102" s="124">
        <v>149</v>
      </c>
      <c r="BT102" s="174"/>
    </row>
    <row r="103" spans="1:72" ht="14.25" hidden="1" customHeight="1" x14ac:dyDescent="0.2">
      <c r="A103" s="92">
        <v>150</v>
      </c>
      <c r="B103" s="235" t="s">
        <v>254</v>
      </c>
      <c r="C103" s="236" t="s">
        <v>255</v>
      </c>
      <c r="D103" s="235" t="s">
        <v>282</v>
      </c>
      <c r="E103" s="125" t="s">
        <v>111</v>
      </c>
      <c r="F103" s="181" t="s">
        <v>103</v>
      </c>
      <c r="G103" s="181" t="s">
        <v>76</v>
      </c>
      <c r="H103" s="181" t="s">
        <v>263</v>
      </c>
      <c r="I103" s="181"/>
      <c r="J103" s="178">
        <v>5</v>
      </c>
      <c r="K103" s="182">
        <f t="shared" si="1"/>
        <v>4.5675355</v>
      </c>
      <c r="L103" s="182" t="s">
        <v>58</v>
      </c>
      <c r="M103" s="178" t="s">
        <v>59</v>
      </c>
      <c r="N103" s="178">
        <v>0</v>
      </c>
      <c r="O103" s="178" t="s">
        <v>60</v>
      </c>
      <c r="P103" s="178" t="s">
        <v>79</v>
      </c>
      <c r="Q103" s="176" t="s">
        <v>113</v>
      </c>
      <c r="R103" s="179" t="s">
        <v>258</v>
      </c>
      <c r="S103" s="180"/>
      <c r="T103" s="180">
        <v>100</v>
      </c>
      <c r="U103" s="180"/>
      <c r="V103" s="167" t="s">
        <v>62</v>
      </c>
      <c r="W103" s="64" t="s">
        <v>259</v>
      </c>
      <c r="Y103" s="167" t="s">
        <v>260</v>
      </c>
      <c r="Z103" s="82" t="s">
        <v>63</v>
      </c>
      <c r="AA103" s="166">
        <v>1</v>
      </c>
      <c r="AB103" s="166">
        <v>1</v>
      </c>
      <c r="AC103" s="165">
        <v>51</v>
      </c>
      <c r="AD103" s="21" t="s">
        <v>237</v>
      </c>
      <c r="AE103" s="165" t="s">
        <v>264</v>
      </c>
      <c r="AF103" s="165"/>
      <c r="AG103" s="165"/>
      <c r="AH103" s="165"/>
      <c r="AI103" s="165"/>
      <c r="AJ103" s="165"/>
      <c r="AK103" s="166">
        <v>18</v>
      </c>
      <c r="AL103" s="166" t="s">
        <v>81</v>
      </c>
      <c r="AM103" s="166"/>
      <c r="AN103" s="166"/>
      <c r="AO103" s="166"/>
      <c r="AP103" s="166"/>
      <c r="AQ103" s="166"/>
      <c r="AR103" s="166"/>
      <c r="AS103" s="165"/>
      <c r="AT103" s="165"/>
      <c r="AU103" s="165"/>
      <c r="AV103" s="165"/>
      <c r="AW103" s="165"/>
      <c r="AX103" s="165"/>
      <c r="AY103" s="165"/>
      <c r="AZ103" s="165"/>
      <c r="BA103" s="166"/>
      <c r="BB103" s="166"/>
      <c r="BC103" s="166"/>
      <c r="BD103" s="166"/>
      <c r="BE103" s="166"/>
      <c r="BF103" s="166"/>
      <c r="BG103" s="166"/>
      <c r="BH103" s="166"/>
      <c r="BI103" s="165"/>
      <c r="BJ103" s="165"/>
      <c r="BK103" s="165"/>
      <c r="BL103" s="165"/>
      <c r="BM103" s="165"/>
      <c r="BN103" s="165"/>
      <c r="BO103" s="165"/>
      <c r="BP103" s="165"/>
      <c r="BQ103" s="166" t="s">
        <v>269</v>
      </c>
      <c r="BR103" s="165"/>
      <c r="BS103" s="124">
        <v>150</v>
      </c>
      <c r="BT103" s="174"/>
    </row>
    <row r="104" spans="1:72" ht="14.25" hidden="1" customHeight="1" x14ac:dyDescent="0.2">
      <c r="A104" s="92">
        <v>151</v>
      </c>
      <c r="B104" s="235" t="s">
        <v>254</v>
      </c>
      <c r="C104" s="236" t="s">
        <v>255</v>
      </c>
      <c r="D104" s="235" t="s">
        <v>283</v>
      </c>
      <c r="E104" s="125" t="s">
        <v>111</v>
      </c>
      <c r="F104" s="181" t="s">
        <v>103</v>
      </c>
      <c r="G104" s="181" t="s">
        <v>76</v>
      </c>
      <c r="H104" s="181" t="s">
        <v>263</v>
      </c>
      <c r="I104" s="181"/>
      <c r="J104" s="178">
        <v>5</v>
      </c>
      <c r="K104" s="182">
        <f t="shared" si="1"/>
        <v>4.5675355</v>
      </c>
      <c r="L104" s="182" t="s">
        <v>58</v>
      </c>
      <c r="M104" s="178" t="s">
        <v>59</v>
      </c>
      <c r="N104" s="178">
        <v>0</v>
      </c>
      <c r="O104" s="178" t="s">
        <v>60</v>
      </c>
      <c r="P104" s="178" t="s">
        <v>79</v>
      </c>
      <c r="Q104" s="176" t="s">
        <v>113</v>
      </c>
      <c r="R104" s="179" t="s">
        <v>258</v>
      </c>
      <c r="S104" s="180"/>
      <c r="T104" s="180">
        <v>100</v>
      </c>
      <c r="U104" s="180"/>
      <c r="V104" s="167" t="s">
        <v>62</v>
      </c>
      <c r="W104" s="64" t="s">
        <v>259</v>
      </c>
      <c r="Y104" s="167" t="s">
        <v>260</v>
      </c>
      <c r="Z104" s="82" t="s">
        <v>63</v>
      </c>
      <c r="AA104" s="166">
        <v>1</v>
      </c>
      <c r="AB104" s="166">
        <v>1</v>
      </c>
      <c r="AC104" s="165">
        <v>51</v>
      </c>
      <c r="AD104" s="21" t="s">
        <v>237</v>
      </c>
      <c r="AE104" s="165" t="s">
        <v>264</v>
      </c>
      <c r="AF104" s="165"/>
      <c r="AG104" s="165"/>
      <c r="AH104" s="165"/>
      <c r="AI104" s="165"/>
      <c r="AJ104" s="165"/>
      <c r="AK104" s="166">
        <v>19.2</v>
      </c>
      <c r="AL104" s="166" t="s">
        <v>81</v>
      </c>
      <c r="AM104" s="166"/>
      <c r="AN104" s="166"/>
      <c r="AO104" s="166"/>
      <c r="AP104" s="166"/>
      <c r="AQ104" s="166"/>
      <c r="AR104" s="166"/>
      <c r="AS104" s="165"/>
      <c r="AT104" s="165"/>
      <c r="AU104" s="165"/>
      <c r="AV104" s="165"/>
      <c r="AW104" s="165"/>
      <c r="AX104" s="165"/>
      <c r="AY104" s="165"/>
      <c r="AZ104" s="165"/>
      <c r="BA104" s="166"/>
      <c r="BB104" s="166"/>
      <c r="BC104" s="166"/>
      <c r="BD104" s="166"/>
      <c r="BE104" s="166"/>
      <c r="BF104" s="166"/>
      <c r="BG104" s="166"/>
      <c r="BH104" s="166"/>
      <c r="BI104" s="165"/>
      <c r="BJ104" s="165"/>
      <c r="BK104" s="165"/>
      <c r="BL104" s="165"/>
      <c r="BM104" s="165"/>
      <c r="BN104" s="165"/>
      <c r="BO104" s="165"/>
      <c r="BP104" s="165"/>
      <c r="BQ104" s="166" t="s">
        <v>269</v>
      </c>
      <c r="BR104" s="165"/>
      <c r="BS104" s="124">
        <v>151</v>
      </c>
      <c r="BT104" s="174"/>
    </row>
    <row r="105" spans="1:72" ht="14.25" hidden="1" customHeight="1" x14ac:dyDescent="0.2">
      <c r="A105" s="92">
        <v>152</v>
      </c>
      <c r="B105" s="235" t="s">
        <v>254</v>
      </c>
      <c r="C105" s="236" t="s">
        <v>255</v>
      </c>
      <c r="D105" s="235" t="s">
        <v>284</v>
      </c>
      <c r="E105" s="125" t="s">
        <v>111</v>
      </c>
      <c r="F105" s="181" t="s">
        <v>103</v>
      </c>
      <c r="G105" s="181" t="s">
        <v>76</v>
      </c>
      <c r="H105" s="181" t="s">
        <v>263</v>
      </c>
      <c r="I105" s="181"/>
      <c r="J105" s="178">
        <v>5</v>
      </c>
      <c r="K105" s="182">
        <f t="shared" si="1"/>
        <v>4.5675355</v>
      </c>
      <c r="L105" s="182" t="s">
        <v>58</v>
      </c>
      <c r="M105" s="178" t="s">
        <v>59</v>
      </c>
      <c r="N105" s="178">
        <v>0</v>
      </c>
      <c r="O105" s="178" t="s">
        <v>60</v>
      </c>
      <c r="P105" s="178" t="s">
        <v>79</v>
      </c>
      <c r="Q105" s="176" t="s">
        <v>113</v>
      </c>
      <c r="R105" s="179" t="s">
        <v>258</v>
      </c>
      <c r="S105" s="180"/>
      <c r="T105" s="180">
        <v>100</v>
      </c>
      <c r="U105" s="180"/>
      <c r="V105" s="167" t="s">
        <v>62</v>
      </c>
      <c r="W105" s="64" t="s">
        <v>259</v>
      </c>
      <c r="Y105" s="167" t="s">
        <v>260</v>
      </c>
      <c r="Z105" s="82" t="s">
        <v>63</v>
      </c>
      <c r="AA105" s="166">
        <v>1</v>
      </c>
      <c r="AB105" s="166">
        <v>0</v>
      </c>
      <c r="AC105" s="165">
        <v>74</v>
      </c>
      <c r="AD105" s="21" t="s">
        <v>237</v>
      </c>
      <c r="AE105" s="165" t="s">
        <v>264</v>
      </c>
      <c r="AF105" s="165"/>
      <c r="AG105" s="165"/>
      <c r="AH105" s="165"/>
      <c r="AI105" s="165"/>
      <c r="AJ105" s="165"/>
      <c r="AK105" s="166">
        <v>26.9</v>
      </c>
      <c r="AL105" s="166" t="s">
        <v>81</v>
      </c>
      <c r="AM105" s="166"/>
      <c r="AN105" s="166"/>
      <c r="AO105" s="166"/>
      <c r="AP105" s="166"/>
      <c r="AQ105" s="166"/>
      <c r="AR105" s="166"/>
      <c r="AS105" s="165"/>
      <c r="AT105" s="165"/>
      <c r="AU105" s="165"/>
      <c r="AV105" s="165"/>
      <c r="AW105" s="165"/>
      <c r="AX105" s="165"/>
      <c r="AY105" s="165"/>
      <c r="AZ105" s="165"/>
      <c r="BA105" s="166"/>
      <c r="BB105" s="166"/>
      <c r="BC105" s="166"/>
      <c r="BD105" s="166"/>
      <c r="BE105" s="166"/>
      <c r="BF105" s="166"/>
      <c r="BG105" s="166"/>
      <c r="BH105" s="166"/>
      <c r="BI105" s="165"/>
      <c r="BJ105" s="165"/>
      <c r="BK105" s="165"/>
      <c r="BL105" s="165"/>
      <c r="BM105" s="165"/>
      <c r="BN105" s="165"/>
      <c r="BO105" s="165"/>
      <c r="BP105" s="165"/>
      <c r="BQ105" s="166" t="s">
        <v>269</v>
      </c>
      <c r="BR105" s="165"/>
      <c r="BS105" s="124">
        <v>152</v>
      </c>
      <c r="BT105" s="174"/>
    </row>
    <row r="106" spans="1:72" ht="14.25" hidden="1" customHeight="1" x14ac:dyDescent="0.2">
      <c r="A106" s="92">
        <v>153</v>
      </c>
      <c r="B106" s="235" t="s">
        <v>254</v>
      </c>
      <c r="C106" s="236" t="s">
        <v>255</v>
      </c>
      <c r="D106" s="235" t="s">
        <v>285</v>
      </c>
      <c r="E106" s="125" t="s">
        <v>111</v>
      </c>
      <c r="F106" s="181" t="s">
        <v>103</v>
      </c>
      <c r="G106" s="181" t="s">
        <v>76</v>
      </c>
      <c r="H106" s="181" t="s">
        <v>263</v>
      </c>
      <c r="I106" s="181"/>
      <c r="J106" s="178">
        <v>2.5</v>
      </c>
      <c r="K106" s="182">
        <f t="shared" si="1"/>
        <v>2.28376775</v>
      </c>
      <c r="L106" s="182" t="s">
        <v>58</v>
      </c>
      <c r="M106" s="178" t="s">
        <v>59</v>
      </c>
      <c r="N106" s="178">
        <v>0</v>
      </c>
      <c r="O106" s="178" t="s">
        <v>60</v>
      </c>
      <c r="P106" s="178" t="s">
        <v>79</v>
      </c>
      <c r="Q106" s="176" t="s">
        <v>113</v>
      </c>
      <c r="R106" s="179" t="s">
        <v>258</v>
      </c>
      <c r="S106" s="180"/>
      <c r="T106" s="180">
        <v>100</v>
      </c>
      <c r="U106" s="180"/>
      <c r="V106" s="167" t="s">
        <v>62</v>
      </c>
      <c r="W106" s="64" t="s">
        <v>259</v>
      </c>
      <c r="Y106" s="167" t="s">
        <v>260</v>
      </c>
      <c r="Z106" s="82" t="s">
        <v>63</v>
      </c>
      <c r="AA106" s="166">
        <v>1</v>
      </c>
      <c r="AB106" s="166">
        <v>1</v>
      </c>
      <c r="AC106" s="165">
        <v>41</v>
      </c>
      <c r="AD106" s="21" t="s">
        <v>237</v>
      </c>
      <c r="AE106" s="165" t="s">
        <v>264</v>
      </c>
      <c r="AF106" s="165"/>
      <c r="AG106" s="165"/>
      <c r="AH106" s="165"/>
      <c r="AI106" s="165"/>
      <c r="AJ106" s="165"/>
      <c r="AK106" s="166">
        <v>17.3</v>
      </c>
      <c r="AL106" s="166" t="s">
        <v>81</v>
      </c>
      <c r="AM106" s="166"/>
      <c r="AN106" s="166"/>
      <c r="AO106" s="166"/>
      <c r="AP106" s="166"/>
      <c r="AQ106" s="166"/>
      <c r="AR106" s="166"/>
      <c r="AS106" s="165"/>
      <c r="AT106" s="165"/>
      <c r="AU106" s="165"/>
      <c r="AV106" s="165"/>
      <c r="AW106" s="165"/>
      <c r="AX106" s="165"/>
      <c r="AY106" s="165"/>
      <c r="AZ106" s="165"/>
      <c r="BA106" s="166"/>
      <c r="BB106" s="166"/>
      <c r="BC106" s="166"/>
      <c r="BD106" s="166"/>
      <c r="BE106" s="166"/>
      <c r="BF106" s="166"/>
      <c r="BG106" s="166"/>
      <c r="BH106" s="166"/>
      <c r="BI106" s="165"/>
      <c r="BJ106" s="165"/>
      <c r="BK106" s="165"/>
      <c r="BL106" s="165"/>
      <c r="BM106" s="165"/>
      <c r="BN106" s="165"/>
      <c r="BO106" s="165"/>
      <c r="BP106" s="165"/>
      <c r="BQ106" s="166" t="s">
        <v>275</v>
      </c>
      <c r="BR106" s="165"/>
      <c r="BS106" s="124">
        <v>153</v>
      </c>
      <c r="BT106" s="174"/>
    </row>
    <row r="107" spans="1:72" ht="14.25" hidden="1" customHeight="1" x14ac:dyDescent="0.2">
      <c r="A107" s="92">
        <v>154</v>
      </c>
      <c r="B107" s="235" t="s">
        <v>254</v>
      </c>
      <c r="C107" s="236" t="s">
        <v>255</v>
      </c>
      <c r="D107" s="235" t="s">
        <v>286</v>
      </c>
      <c r="E107" s="125" t="s">
        <v>111</v>
      </c>
      <c r="F107" s="181" t="s">
        <v>103</v>
      </c>
      <c r="G107" s="181" t="s">
        <v>76</v>
      </c>
      <c r="H107" s="181" t="s">
        <v>263</v>
      </c>
      <c r="I107" s="181"/>
      <c r="J107" s="178">
        <v>2.5</v>
      </c>
      <c r="K107" s="182">
        <f t="shared" si="1"/>
        <v>2.28376775</v>
      </c>
      <c r="L107" s="182" t="s">
        <v>58</v>
      </c>
      <c r="M107" s="178" t="s">
        <v>59</v>
      </c>
      <c r="N107" s="178">
        <v>0</v>
      </c>
      <c r="O107" s="178" t="s">
        <v>60</v>
      </c>
      <c r="P107" s="178" t="s">
        <v>79</v>
      </c>
      <c r="Q107" s="176" t="s">
        <v>113</v>
      </c>
      <c r="R107" s="179" t="s">
        <v>258</v>
      </c>
      <c r="S107" s="180"/>
      <c r="T107" s="180">
        <v>100</v>
      </c>
      <c r="U107" s="180"/>
      <c r="V107" s="167" t="s">
        <v>62</v>
      </c>
      <c r="W107" s="64" t="s">
        <v>259</v>
      </c>
      <c r="Y107" s="167" t="s">
        <v>260</v>
      </c>
      <c r="Z107" s="82" t="s">
        <v>63</v>
      </c>
      <c r="AA107" s="166">
        <v>1</v>
      </c>
      <c r="AB107" s="166">
        <v>0</v>
      </c>
      <c r="AC107" s="165">
        <v>26</v>
      </c>
      <c r="AD107" s="21" t="s">
        <v>237</v>
      </c>
      <c r="AE107" s="165" t="s">
        <v>264</v>
      </c>
      <c r="AF107" s="165"/>
      <c r="AG107" s="165"/>
      <c r="AH107" s="165"/>
      <c r="AI107" s="165"/>
      <c r="AJ107" s="165"/>
      <c r="AK107" s="166">
        <v>16.3</v>
      </c>
      <c r="AL107" s="166" t="s">
        <v>81</v>
      </c>
      <c r="AM107" s="166"/>
      <c r="AN107" s="166"/>
      <c r="AO107" s="166"/>
      <c r="AP107" s="166"/>
      <c r="AQ107" s="166"/>
      <c r="AR107" s="166"/>
      <c r="AS107" s="165"/>
      <c r="AT107" s="165"/>
      <c r="AU107" s="165"/>
      <c r="AV107" s="165"/>
      <c r="AW107" s="165"/>
      <c r="AX107" s="165"/>
      <c r="AY107" s="165"/>
      <c r="AZ107" s="165"/>
      <c r="BA107" s="166"/>
      <c r="BB107" s="166"/>
      <c r="BC107" s="166"/>
      <c r="BD107" s="166"/>
      <c r="BE107" s="166"/>
      <c r="BF107" s="166"/>
      <c r="BG107" s="166"/>
      <c r="BH107" s="166"/>
      <c r="BI107" s="165"/>
      <c r="BJ107" s="165"/>
      <c r="BK107" s="165"/>
      <c r="BL107" s="165"/>
      <c r="BM107" s="165"/>
      <c r="BN107" s="165"/>
      <c r="BO107" s="165"/>
      <c r="BP107" s="165"/>
      <c r="BQ107" s="166" t="s">
        <v>265</v>
      </c>
      <c r="BR107" s="165"/>
      <c r="BS107" s="124">
        <v>154</v>
      </c>
      <c r="BT107" s="174"/>
    </row>
    <row r="108" spans="1:72" ht="14.25" hidden="1" customHeight="1" x14ac:dyDescent="0.2">
      <c r="A108" s="92">
        <v>165</v>
      </c>
      <c r="B108" s="235" t="s">
        <v>287</v>
      </c>
      <c r="C108" s="236" t="s">
        <v>288</v>
      </c>
      <c r="D108" s="235" t="s">
        <v>289</v>
      </c>
      <c r="E108" s="17" t="s">
        <v>111</v>
      </c>
      <c r="F108" s="18" t="s">
        <v>103</v>
      </c>
      <c r="G108" s="181" t="s">
        <v>56</v>
      </c>
      <c r="H108" s="18" t="s">
        <v>57</v>
      </c>
      <c r="I108" s="181"/>
      <c r="J108" s="178">
        <v>10</v>
      </c>
      <c r="K108" s="139">
        <f t="shared" ref="K108:K114" si="2">J108*0.9135071</f>
        <v>9.1350709999999999</v>
      </c>
      <c r="L108" s="139" t="s">
        <v>58</v>
      </c>
      <c r="M108" s="178" t="s">
        <v>59</v>
      </c>
      <c r="N108" s="178">
        <v>0</v>
      </c>
      <c r="O108" s="138" t="s">
        <v>60</v>
      </c>
      <c r="P108" s="178" t="s">
        <v>79</v>
      </c>
      <c r="Q108" s="176" t="s">
        <v>113</v>
      </c>
      <c r="R108" s="179" t="s">
        <v>290</v>
      </c>
      <c r="S108" s="180"/>
      <c r="T108" s="180"/>
      <c r="U108" s="180"/>
      <c r="V108" s="19" t="s">
        <v>62</v>
      </c>
      <c r="W108" s="168"/>
      <c r="Y108" s="167"/>
      <c r="Z108" s="82" t="s">
        <v>63</v>
      </c>
      <c r="AA108" s="166">
        <v>24</v>
      </c>
      <c r="AB108" s="166">
        <v>0</v>
      </c>
      <c r="AC108" s="165">
        <v>28.9</v>
      </c>
      <c r="AD108" s="21" t="s">
        <v>80</v>
      </c>
      <c r="AE108" s="165"/>
      <c r="AF108" s="165">
        <v>5.2</v>
      </c>
      <c r="AG108" s="165"/>
      <c r="AH108" s="165"/>
      <c r="AI108" s="165">
        <v>22</v>
      </c>
      <c r="AJ108" s="165">
        <v>40</v>
      </c>
      <c r="AK108" s="166">
        <v>72.7</v>
      </c>
      <c r="AL108" s="166"/>
      <c r="AM108" s="166"/>
      <c r="AN108" s="166">
        <v>7.3</v>
      </c>
      <c r="AO108" s="166"/>
      <c r="AP108" s="166"/>
      <c r="AQ108" s="166"/>
      <c r="AR108" s="166"/>
      <c r="AS108" s="165"/>
      <c r="AT108" s="165"/>
      <c r="AU108" s="165"/>
      <c r="AV108" s="165"/>
      <c r="AW108" s="165"/>
      <c r="AX108" s="165"/>
      <c r="AY108" s="165"/>
      <c r="AZ108" s="165"/>
      <c r="BA108" s="166"/>
      <c r="BB108" s="166"/>
      <c r="BC108" s="166"/>
      <c r="BD108" s="166"/>
      <c r="BE108" s="166"/>
      <c r="BF108" s="166"/>
      <c r="BG108" s="166"/>
      <c r="BH108" s="166"/>
      <c r="BI108" s="165"/>
      <c r="BJ108" s="165"/>
      <c r="BK108" s="165"/>
      <c r="BL108" s="165"/>
      <c r="BM108" s="165"/>
      <c r="BN108" s="165"/>
      <c r="BO108" s="165"/>
      <c r="BP108" s="165"/>
      <c r="BQ108" s="166" t="s">
        <v>121</v>
      </c>
      <c r="BR108" s="165"/>
      <c r="BS108" s="124">
        <v>165</v>
      </c>
      <c r="BT108" s="174"/>
    </row>
    <row r="109" spans="1:72" ht="14.25" hidden="1" customHeight="1" x14ac:dyDescent="0.2">
      <c r="A109" s="92">
        <v>166</v>
      </c>
      <c r="B109" s="235" t="s">
        <v>287</v>
      </c>
      <c r="C109" s="236" t="s">
        <v>288</v>
      </c>
      <c r="D109" s="235" t="s">
        <v>291</v>
      </c>
      <c r="E109" s="17" t="s">
        <v>111</v>
      </c>
      <c r="F109" s="18" t="s">
        <v>103</v>
      </c>
      <c r="G109" s="181" t="s">
        <v>56</v>
      </c>
      <c r="H109" s="18" t="s">
        <v>57</v>
      </c>
      <c r="I109" s="181"/>
      <c r="J109" s="178">
        <v>20</v>
      </c>
      <c r="K109" s="139">
        <f t="shared" si="2"/>
        <v>18.270142</v>
      </c>
      <c r="L109" s="139" t="s">
        <v>58</v>
      </c>
      <c r="M109" s="178" t="s">
        <v>59</v>
      </c>
      <c r="N109" s="178">
        <v>0</v>
      </c>
      <c r="O109" s="138" t="s">
        <v>60</v>
      </c>
      <c r="P109" s="178" t="s">
        <v>79</v>
      </c>
      <c r="Q109" s="176" t="s">
        <v>113</v>
      </c>
      <c r="R109" s="179" t="s">
        <v>290</v>
      </c>
      <c r="S109" s="180"/>
      <c r="T109" s="180"/>
      <c r="U109" s="180"/>
      <c r="V109" s="19" t="s">
        <v>62</v>
      </c>
      <c r="W109" s="168"/>
      <c r="Y109" s="167"/>
      <c r="Z109" s="82" t="s">
        <v>63</v>
      </c>
      <c r="AA109" s="166">
        <v>24</v>
      </c>
      <c r="AB109" s="166">
        <v>0</v>
      </c>
      <c r="AC109" s="165">
        <v>28.9</v>
      </c>
      <c r="AD109" s="21" t="s">
        <v>80</v>
      </c>
      <c r="AE109" s="165"/>
      <c r="AF109" s="165">
        <v>5.2</v>
      </c>
      <c r="AG109" s="165"/>
      <c r="AH109" s="165"/>
      <c r="AI109" s="165">
        <v>22</v>
      </c>
      <c r="AJ109" s="165">
        <v>40</v>
      </c>
      <c r="AK109" s="166">
        <v>72.7</v>
      </c>
      <c r="AL109" s="166"/>
      <c r="AM109" s="166"/>
      <c r="AN109" s="166">
        <v>7.3</v>
      </c>
      <c r="AO109" s="166"/>
      <c r="AP109" s="166"/>
      <c r="AQ109" s="166"/>
      <c r="AR109" s="166"/>
      <c r="AS109" s="165"/>
      <c r="AT109" s="165"/>
      <c r="AU109" s="165"/>
      <c r="AV109" s="165"/>
      <c r="AW109" s="165"/>
      <c r="AX109" s="165"/>
      <c r="AY109" s="165"/>
      <c r="AZ109" s="165"/>
      <c r="BA109" s="166"/>
      <c r="BB109" s="166"/>
      <c r="BC109" s="166"/>
      <c r="BD109" s="166"/>
      <c r="BE109" s="166"/>
      <c r="BF109" s="166"/>
      <c r="BG109" s="166"/>
      <c r="BH109" s="166"/>
      <c r="BI109" s="165"/>
      <c r="BJ109" s="165"/>
      <c r="BK109" s="165"/>
      <c r="BL109" s="165"/>
      <c r="BM109" s="165"/>
      <c r="BN109" s="165"/>
      <c r="BO109" s="165"/>
      <c r="BP109" s="165"/>
      <c r="BQ109" s="166" t="s">
        <v>121</v>
      </c>
      <c r="BR109" s="165"/>
      <c r="BS109" s="124">
        <v>166</v>
      </c>
      <c r="BT109" s="174"/>
    </row>
    <row r="110" spans="1:72" ht="14.25" hidden="1" customHeight="1" x14ac:dyDescent="0.2">
      <c r="A110" s="92">
        <v>167</v>
      </c>
      <c r="B110" s="235" t="s">
        <v>287</v>
      </c>
      <c r="C110" s="236" t="s">
        <v>288</v>
      </c>
      <c r="D110" s="235" t="s">
        <v>292</v>
      </c>
      <c r="E110" s="17" t="s">
        <v>111</v>
      </c>
      <c r="F110" s="18" t="s">
        <v>103</v>
      </c>
      <c r="G110" s="181" t="s">
        <v>56</v>
      </c>
      <c r="H110" s="18" t="s">
        <v>57</v>
      </c>
      <c r="I110" s="181"/>
      <c r="J110" s="178">
        <v>40</v>
      </c>
      <c r="K110" s="139">
        <f t="shared" si="2"/>
        <v>36.540284</v>
      </c>
      <c r="L110" s="139" t="s">
        <v>58</v>
      </c>
      <c r="M110" s="178" t="s">
        <v>59</v>
      </c>
      <c r="N110" s="178">
        <v>0</v>
      </c>
      <c r="O110" s="138" t="s">
        <v>60</v>
      </c>
      <c r="P110" s="178" t="s">
        <v>79</v>
      </c>
      <c r="Q110" s="176" t="s">
        <v>113</v>
      </c>
      <c r="R110" s="179" t="s">
        <v>290</v>
      </c>
      <c r="S110" s="180"/>
      <c r="T110" s="180"/>
      <c r="U110" s="180"/>
      <c r="V110" s="19" t="s">
        <v>62</v>
      </c>
      <c r="W110" s="168"/>
      <c r="Y110" s="167"/>
      <c r="Z110" s="82" t="s">
        <v>63</v>
      </c>
      <c r="AA110" s="166">
        <v>24</v>
      </c>
      <c r="AB110" s="166">
        <v>0</v>
      </c>
      <c r="AC110" s="165">
        <v>28.9</v>
      </c>
      <c r="AD110" s="21" t="s">
        <v>80</v>
      </c>
      <c r="AE110" s="165"/>
      <c r="AF110" s="165">
        <v>5.2</v>
      </c>
      <c r="AG110" s="165"/>
      <c r="AH110" s="165"/>
      <c r="AI110" s="165">
        <v>22</v>
      </c>
      <c r="AJ110" s="165">
        <v>40</v>
      </c>
      <c r="AK110" s="166">
        <v>72.7</v>
      </c>
      <c r="AL110" s="166"/>
      <c r="AM110" s="166"/>
      <c r="AN110" s="166">
        <v>7.3</v>
      </c>
      <c r="AO110" s="166"/>
      <c r="AP110" s="166"/>
      <c r="AQ110" s="166"/>
      <c r="AR110" s="166"/>
      <c r="AS110" s="165"/>
      <c r="AT110" s="165"/>
      <c r="AU110" s="165"/>
      <c r="AV110" s="165"/>
      <c r="AW110" s="165"/>
      <c r="AX110" s="165"/>
      <c r="AY110" s="165"/>
      <c r="AZ110" s="165"/>
      <c r="BA110" s="166"/>
      <c r="BB110" s="166"/>
      <c r="BC110" s="166"/>
      <c r="BD110" s="166"/>
      <c r="BE110" s="166"/>
      <c r="BF110" s="166"/>
      <c r="BG110" s="166"/>
      <c r="BH110" s="166"/>
      <c r="BI110" s="165"/>
      <c r="BJ110" s="165"/>
      <c r="BK110" s="165"/>
      <c r="BL110" s="165"/>
      <c r="BM110" s="165"/>
      <c r="BN110" s="165"/>
      <c r="BO110" s="165"/>
      <c r="BP110" s="165"/>
      <c r="BQ110" s="166" t="s">
        <v>121</v>
      </c>
      <c r="BR110" s="165"/>
      <c r="BS110" s="124">
        <v>167</v>
      </c>
      <c r="BT110" s="174"/>
    </row>
    <row r="111" spans="1:72" ht="14.25" hidden="1" customHeight="1" x14ac:dyDescent="0.2">
      <c r="A111" s="92">
        <v>168</v>
      </c>
      <c r="B111" s="238" t="s">
        <v>293</v>
      </c>
      <c r="C111" s="236" t="s">
        <v>255</v>
      </c>
      <c r="D111" s="235" t="s">
        <v>294</v>
      </c>
      <c r="E111" s="17" t="s">
        <v>111</v>
      </c>
      <c r="F111" s="18" t="s">
        <v>103</v>
      </c>
      <c r="G111" s="181" t="s">
        <v>56</v>
      </c>
      <c r="H111" s="18" t="s">
        <v>295</v>
      </c>
      <c r="I111" s="181"/>
      <c r="J111" s="178">
        <v>1</v>
      </c>
      <c r="K111" s="139">
        <f t="shared" si="2"/>
        <v>0.91350710000000002</v>
      </c>
      <c r="L111" s="139" t="s">
        <v>58</v>
      </c>
      <c r="M111" s="178" t="s">
        <v>78</v>
      </c>
      <c r="N111" s="178">
        <v>0</v>
      </c>
      <c r="O111" s="138" t="s">
        <v>60</v>
      </c>
      <c r="P111" s="178" t="s">
        <v>79</v>
      </c>
      <c r="Q111" s="179" t="s">
        <v>296</v>
      </c>
      <c r="R111" s="179"/>
      <c r="S111" s="180"/>
      <c r="T111" s="180"/>
      <c r="U111" s="180"/>
      <c r="V111" s="167"/>
      <c r="W111" s="168"/>
      <c r="Y111" s="167"/>
      <c r="Z111" s="82" t="s">
        <v>63</v>
      </c>
      <c r="AA111" s="166">
        <v>8</v>
      </c>
      <c r="AB111" s="166">
        <v>0</v>
      </c>
      <c r="AC111" s="165"/>
      <c r="AD111" s="21" t="s">
        <v>80</v>
      </c>
      <c r="AE111" s="165"/>
      <c r="AF111" s="165"/>
      <c r="AG111" s="165"/>
      <c r="AH111" s="165"/>
      <c r="AI111" s="165"/>
      <c r="AJ111" s="165"/>
      <c r="AK111" s="166"/>
      <c r="AL111" s="166"/>
      <c r="AM111" s="166"/>
      <c r="AN111" s="166"/>
      <c r="AO111" s="166"/>
      <c r="AP111" s="166"/>
      <c r="AQ111" s="166"/>
      <c r="AR111" s="166"/>
      <c r="AS111" s="165"/>
      <c r="AT111" s="165"/>
      <c r="AU111" s="165"/>
      <c r="AV111" s="165"/>
      <c r="AW111" s="165"/>
      <c r="AX111" s="165"/>
      <c r="AY111" s="165"/>
      <c r="AZ111" s="165"/>
      <c r="BA111" s="166"/>
      <c r="BB111" s="166"/>
      <c r="BC111" s="166"/>
      <c r="BD111" s="166"/>
      <c r="BE111" s="166"/>
      <c r="BF111" s="166"/>
      <c r="BG111" s="166"/>
      <c r="BH111" s="166"/>
      <c r="BI111" s="165"/>
      <c r="BJ111" s="165"/>
      <c r="BK111" s="165"/>
      <c r="BL111" s="165"/>
      <c r="BM111" s="165"/>
      <c r="BN111" s="165"/>
      <c r="BO111" s="165"/>
      <c r="BP111" s="165"/>
      <c r="BQ111" s="166"/>
      <c r="BR111" s="165"/>
      <c r="BS111" s="124">
        <v>168</v>
      </c>
      <c r="BT111" s="174"/>
    </row>
    <row r="112" spans="1:72" ht="14.25" hidden="1" customHeight="1" x14ac:dyDescent="0.2">
      <c r="A112" s="92">
        <v>169</v>
      </c>
      <c r="B112" s="235" t="s">
        <v>293</v>
      </c>
      <c r="C112" s="236" t="s">
        <v>255</v>
      </c>
      <c r="D112" s="235" t="s">
        <v>297</v>
      </c>
      <c r="E112" s="17" t="s">
        <v>111</v>
      </c>
      <c r="F112" s="18" t="s">
        <v>103</v>
      </c>
      <c r="G112" s="181" t="s">
        <v>56</v>
      </c>
      <c r="H112" s="18" t="s">
        <v>298</v>
      </c>
      <c r="I112" s="181"/>
      <c r="J112" s="178">
        <v>20</v>
      </c>
      <c r="K112" s="139">
        <f t="shared" si="2"/>
        <v>18.270142</v>
      </c>
      <c r="L112" s="139" t="s">
        <v>58</v>
      </c>
      <c r="M112" s="178" t="s">
        <v>59</v>
      </c>
      <c r="N112" s="178">
        <v>0</v>
      </c>
      <c r="O112" s="138" t="s">
        <v>60</v>
      </c>
      <c r="P112" s="178" t="s">
        <v>79</v>
      </c>
      <c r="Q112" s="179" t="s">
        <v>296</v>
      </c>
      <c r="R112" s="179"/>
      <c r="S112" s="180"/>
      <c r="T112" s="180"/>
      <c r="U112" s="180"/>
      <c r="V112" s="167"/>
      <c r="W112" s="168"/>
      <c r="Y112" s="167"/>
      <c r="Z112" s="82" t="s">
        <v>63</v>
      </c>
      <c r="AA112" s="166">
        <v>8</v>
      </c>
      <c r="AB112" s="166">
        <v>0</v>
      </c>
      <c r="AC112" s="165"/>
      <c r="AD112" s="21" t="s">
        <v>80</v>
      </c>
      <c r="AE112" s="165"/>
      <c r="AF112" s="165"/>
      <c r="AG112" s="165"/>
      <c r="AH112" s="165"/>
      <c r="AI112" s="165"/>
      <c r="AJ112" s="165"/>
      <c r="AK112" s="166"/>
      <c r="AL112" s="166"/>
      <c r="AM112" s="166"/>
      <c r="AN112" s="166"/>
      <c r="AO112" s="166"/>
      <c r="AP112" s="166"/>
      <c r="AQ112" s="166"/>
      <c r="AR112" s="166"/>
      <c r="AS112" s="165"/>
      <c r="AT112" s="165"/>
      <c r="AU112" s="165"/>
      <c r="AV112" s="165"/>
      <c r="AW112" s="165"/>
      <c r="AX112" s="165"/>
      <c r="AY112" s="165"/>
      <c r="AZ112" s="165"/>
      <c r="BA112" s="166"/>
      <c r="BB112" s="166"/>
      <c r="BC112" s="166"/>
      <c r="BD112" s="166"/>
      <c r="BE112" s="166"/>
      <c r="BF112" s="166"/>
      <c r="BG112" s="166"/>
      <c r="BH112" s="166"/>
      <c r="BI112" s="165"/>
      <c r="BJ112" s="165"/>
      <c r="BK112" s="165"/>
      <c r="BL112" s="165"/>
      <c r="BM112" s="165"/>
      <c r="BN112" s="165"/>
      <c r="BO112" s="165"/>
      <c r="BP112" s="165"/>
      <c r="BQ112" s="166"/>
      <c r="BR112" s="165"/>
      <c r="BS112" s="124">
        <v>169</v>
      </c>
      <c r="BT112" s="174"/>
    </row>
    <row r="113" spans="1:72" ht="14.25" hidden="1" customHeight="1" x14ac:dyDescent="0.2">
      <c r="A113" s="92">
        <v>170</v>
      </c>
      <c r="B113" s="235" t="s">
        <v>293</v>
      </c>
      <c r="C113" s="236" t="s">
        <v>255</v>
      </c>
      <c r="D113" s="235" t="s">
        <v>299</v>
      </c>
      <c r="E113" s="17" t="s">
        <v>111</v>
      </c>
      <c r="F113" s="18" t="s">
        <v>103</v>
      </c>
      <c r="G113" s="181" t="s">
        <v>56</v>
      </c>
      <c r="H113" s="18" t="s">
        <v>157</v>
      </c>
      <c r="I113" s="181"/>
      <c r="J113" s="178">
        <v>20</v>
      </c>
      <c r="K113" s="139">
        <f t="shared" si="2"/>
        <v>18.270142</v>
      </c>
      <c r="L113" s="139" t="s">
        <v>58</v>
      </c>
      <c r="M113" s="178" t="s">
        <v>59</v>
      </c>
      <c r="N113" s="178">
        <v>0</v>
      </c>
      <c r="O113" s="138" t="s">
        <v>60</v>
      </c>
      <c r="P113" s="178" t="s">
        <v>79</v>
      </c>
      <c r="Q113" s="176" t="s">
        <v>113</v>
      </c>
      <c r="R113" s="179"/>
      <c r="S113" s="180"/>
      <c r="T113" s="180"/>
      <c r="U113" s="180"/>
      <c r="V113" s="19"/>
      <c r="W113" s="168"/>
      <c r="Y113" s="167"/>
      <c r="Z113" s="82" t="s">
        <v>63</v>
      </c>
      <c r="AA113" s="166">
        <v>3</v>
      </c>
      <c r="AB113" s="166">
        <v>0</v>
      </c>
      <c r="AC113" s="165"/>
      <c r="AD113" s="21" t="s">
        <v>80</v>
      </c>
      <c r="AE113" s="165"/>
      <c r="AF113" s="165"/>
      <c r="AG113" s="165"/>
      <c r="AH113" s="165"/>
      <c r="AI113" s="165"/>
      <c r="AJ113" s="165"/>
      <c r="AK113" s="166"/>
      <c r="AL113" s="166"/>
      <c r="AM113" s="166"/>
      <c r="AN113" s="166"/>
      <c r="AO113" s="166"/>
      <c r="AP113" s="166"/>
      <c r="AQ113" s="166"/>
      <c r="AR113" s="166"/>
      <c r="AS113" s="165"/>
      <c r="AT113" s="165"/>
      <c r="AU113" s="165"/>
      <c r="AV113" s="165"/>
      <c r="AW113" s="165"/>
      <c r="AX113" s="165"/>
      <c r="AY113" s="165"/>
      <c r="AZ113" s="165"/>
      <c r="BA113" s="166"/>
      <c r="BB113" s="166"/>
      <c r="BC113" s="166"/>
      <c r="BD113" s="166"/>
      <c r="BE113" s="166"/>
      <c r="BF113" s="166"/>
      <c r="BG113" s="166"/>
      <c r="BH113" s="166"/>
      <c r="BI113" s="165"/>
      <c r="BJ113" s="165"/>
      <c r="BK113" s="165"/>
      <c r="BL113" s="165"/>
      <c r="BM113" s="165"/>
      <c r="BN113" s="165"/>
      <c r="BO113" s="165"/>
      <c r="BP113" s="165"/>
      <c r="BQ113" s="166"/>
      <c r="BR113" s="165"/>
      <c r="BS113" s="124">
        <v>170</v>
      </c>
      <c r="BT113" s="174"/>
    </row>
    <row r="114" spans="1:72" ht="14.25" hidden="1" customHeight="1" x14ac:dyDescent="0.2">
      <c r="A114" s="92">
        <v>171</v>
      </c>
      <c r="B114" s="235" t="s">
        <v>293</v>
      </c>
      <c r="C114" s="236" t="s">
        <v>255</v>
      </c>
      <c r="D114" s="235" t="s">
        <v>300</v>
      </c>
      <c r="E114" s="17" t="s">
        <v>111</v>
      </c>
      <c r="F114" s="18" t="s">
        <v>103</v>
      </c>
      <c r="G114" s="181" t="s">
        <v>56</v>
      </c>
      <c r="H114" s="181" t="s">
        <v>168</v>
      </c>
      <c r="I114" s="181"/>
      <c r="J114" s="178">
        <v>20</v>
      </c>
      <c r="K114" s="139">
        <f t="shared" si="2"/>
        <v>18.270142</v>
      </c>
      <c r="L114" s="139" t="s">
        <v>58</v>
      </c>
      <c r="M114" s="178" t="s">
        <v>59</v>
      </c>
      <c r="N114" s="178">
        <v>0</v>
      </c>
      <c r="O114" s="138" t="s">
        <v>60</v>
      </c>
      <c r="P114" s="178" t="s">
        <v>79</v>
      </c>
      <c r="Q114" s="176" t="s">
        <v>113</v>
      </c>
      <c r="R114" s="179"/>
      <c r="S114" s="180"/>
      <c r="T114" s="180"/>
      <c r="U114" s="180"/>
      <c r="V114" s="19"/>
      <c r="W114" s="168"/>
      <c r="Y114" s="167"/>
      <c r="Z114" s="82" t="s">
        <v>63</v>
      </c>
      <c r="AA114" s="166">
        <v>12</v>
      </c>
      <c r="AB114" s="166">
        <v>0</v>
      </c>
      <c r="AC114" s="165"/>
      <c r="AD114" s="21" t="s">
        <v>80</v>
      </c>
      <c r="AE114" s="165"/>
      <c r="AF114" s="165"/>
      <c r="AG114" s="165"/>
      <c r="AH114" s="165"/>
      <c r="AI114" s="165"/>
      <c r="AJ114" s="165"/>
      <c r="AK114" s="166"/>
      <c r="AL114" s="166"/>
      <c r="AM114" s="166"/>
      <c r="AN114" s="166"/>
      <c r="AO114" s="166"/>
      <c r="AP114" s="166"/>
      <c r="AQ114" s="166"/>
      <c r="AR114" s="166"/>
      <c r="AS114" s="165"/>
      <c r="AT114" s="165"/>
      <c r="AU114" s="165"/>
      <c r="AV114" s="165"/>
      <c r="AW114" s="165"/>
      <c r="AX114" s="165"/>
      <c r="AY114" s="165"/>
      <c r="AZ114" s="165"/>
      <c r="BA114" s="166"/>
      <c r="BB114" s="166"/>
      <c r="BC114" s="166"/>
      <c r="BD114" s="166"/>
      <c r="BE114" s="166"/>
      <c r="BF114" s="166"/>
      <c r="BG114" s="166"/>
      <c r="BH114" s="166"/>
      <c r="BI114" s="165"/>
      <c r="BJ114" s="165"/>
      <c r="BK114" s="165"/>
      <c r="BL114" s="165"/>
      <c r="BM114" s="165"/>
      <c r="BN114" s="165"/>
      <c r="BO114" s="165"/>
      <c r="BP114" s="165"/>
      <c r="BQ114" s="166"/>
      <c r="BR114" s="165"/>
      <c r="BS114" s="124">
        <v>171</v>
      </c>
      <c r="BT114" s="174"/>
    </row>
    <row r="115" spans="1:72" ht="14.25" hidden="1" customHeight="1" x14ac:dyDescent="0.2">
      <c r="A115" s="92">
        <v>194</v>
      </c>
      <c r="B115" s="235" t="s">
        <v>301</v>
      </c>
      <c r="C115" s="236" t="s">
        <v>302</v>
      </c>
      <c r="D115" s="235" t="s">
        <v>303</v>
      </c>
      <c r="E115" s="125" t="s">
        <v>213</v>
      </c>
      <c r="F115" s="181" t="s">
        <v>103</v>
      </c>
      <c r="G115" s="181" t="s">
        <v>76</v>
      </c>
      <c r="H115" s="181" t="s">
        <v>185</v>
      </c>
      <c r="I115" s="181"/>
      <c r="J115" s="178">
        <v>1.94</v>
      </c>
      <c r="K115" s="251"/>
      <c r="L115" s="182" t="s">
        <v>236</v>
      </c>
      <c r="M115" s="178" t="s">
        <v>78</v>
      </c>
      <c r="N115" s="178">
        <v>0</v>
      </c>
      <c r="O115" s="178" t="s">
        <v>60</v>
      </c>
      <c r="P115" s="178" t="s">
        <v>214</v>
      </c>
      <c r="Q115" s="179"/>
      <c r="R115" s="179" t="s">
        <v>304</v>
      </c>
      <c r="S115" s="180"/>
      <c r="T115" s="179"/>
      <c r="U115" s="179"/>
      <c r="V115" s="167"/>
      <c r="W115" s="168"/>
      <c r="Y115" s="167"/>
      <c r="Z115" s="82" t="s">
        <v>63</v>
      </c>
      <c r="AA115" s="166">
        <v>1</v>
      </c>
      <c r="AB115" s="166">
        <v>0</v>
      </c>
      <c r="AC115" s="165">
        <v>2.08</v>
      </c>
      <c r="AD115" s="165" t="s">
        <v>80</v>
      </c>
      <c r="AE115" s="165" t="s">
        <v>116</v>
      </c>
      <c r="AF115" s="165"/>
      <c r="AG115" s="165"/>
      <c r="AH115" s="165"/>
      <c r="AI115" s="165"/>
      <c r="AJ115" s="165"/>
      <c r="AK115" s="166">
        <v>12.1</v>
      </c>
      <c r="AL115" s="166" t="s">
        <v>81</v>
      </c>
      <c r="AM115" s="166" t="s">
        <v>118</v>
      </c>
      <c r="AN115" s="166"/>
      <c r="AO115" s="166"/>
      <c r="AP115" s="166"/>
      <c r="AQ115" s="166"/>
      <c r="AR115" s="166"/>
      <c r="AS115" s="165"/>
      <c r="AT115" s="165"/>
      <c r="AU115" s="165"/>
      <c r="AV115" s="165"/>
      <c r="AW115" s="165"/>
      <c r="AX115" s="165"/>
      <c r="AY115" s="165"/>
      <c r="AZ115" s="165"/>
      <c r="BA115" s="166"/>
      <c r="BB115" s="166"/>
      <c r="BC115" s="166"/>
      <c r="BD115" s="166"/>
      <c r="BE115" s="166"/>
      <c r="BF115" s="166"/>
      <c r="BG115" s="166"/>
      <c r="BH115" s="166"/>
      <c r="BI115" s="165">
        <v>0.43</v>
      </c>
      <c r="BJ115" s="165" t="s">
        <v>120</v>
      </c>
      <c r="BK115" s="165" t="s">
        <v>118</v>
      </c>
      <c r="BL115" s="165"/>
      <c r="BM115" s="165"/>
      <c r="BN115" s="165"/>
      <c r="BO115" s="165"/>
      <c r="BP115" s="165"/>
      <c r="BQ115" s="166" t="s">
        <v>305</v>
      </c>
      <c r="BR115" s="165" t="s">
        <v>306</v>
      </c>
      <c r="BS115" s="124">
        <v>194</v>
      </c>
      <c r="BT115" s="174"/>
    </row>
    <row r="116" spans="1:72" ht="14.25" hidden="1" customHeight="1" x14ac:dyDescent="0.2">
      <c r="A116" s="92">
        <v>195</v>
      </c>
      <c r="B116" s="235" t="s">
        <v>301</v>
      </c>
      <c r="C116" s="236" t="s">
        <v>302</v>
      </c>
      <c r="D116" s="235" t="s">
        <v>307</v>
      </c>
      <c r="E116" s="125" t="s">
        <v>213</v>
      </c>
      <c r="F116" s="181" t="s">
        <v>103</v>
      </c>
      <c r="G116" s="181" t="s">
        <v>76</v>
      </c>
      <c r="H116" s="181" t="s">
        <v>185</v>
      </c>
      <c r="I116" s="181"/>
      <c r="J116" s="178">
        <v>1.88</v>
      </c>
      <c r="K116" s="251"/>
      <c r="L116" s="182" t="s">
        <v>236</v>
      </c>
      <c r="M116" s="178" t="s">
        <v>78</v>
      </c>
      <c r="N116" s="178">
        <v>0</v>
      </c>
      <c r="O116" s="178" t="s">
        <v>60</v>
      </c>
      <c r="P116" s="178" t="s">
        <v>214</v>
      </c>
      <c r="Q116" s="179"/>
      <c r="R116" s="179" t="s">
        <v>304</v>
      </c>
      <c r="S116" s="180"/>
      <c r="T116" s="179"/>
      <c r="U116" s="179"/>
      <c r="V116" s="167"/>
      <c r="W116" s="168"/>
      <c r="Y116" s="167"/>
      <c r="Z116" s="82" t="s">
        <v>63</v>
      </c>
      <c r="AA116" s="166">
        <v>1</v>
      </c>
      <c r="AB116" s="166">
        <v>0</v>
      </c>
      <c r="AC116" s="165">
        <v>2.58</v>
      </c>
      <c r="AD116" s="165" t="s">
        <v>80</v>
      </c>
      <c r="AE116" s="165" t="s">
        <v>116</v>
      </c>
      <c r="AF116" s="165"/>
      <c r="AG116" s="165"/>
      <c r="AH116" s="165"/>
      <c r="AI116" s="165"/>
      <c r="AJ116" s="165"/>
      <c r="AK116" s="166">
        <v>16</v>
      </c>
      <c r="AL116" s="166" t="s">
        <v>81</v>
      </c>
      <c r="AM116" s="166" t="s">
        <v>118</v>
      </c>
      <c r="AN116" s="166"/>
      <c r="AO116" s="166"/>
      <c r="AP116" s="166"/>
      <c r="AQ116" s="166"/>
      <c r="AR116" s="166"/>
      <c r="AS116" s="165"/>
      <c r="AT116" s="165"/>
      <c r="AU116" s="165"/>
      <c r="AV116" s="165"/>
      <c r="AW116" s="165"/>
      <c r="AX116" s="165"/>
      <c r="AY116" s="165"/>
      <c r="AZ116" s="165"/>
      <c r="BA116" s="166"/>
      <c r="BB116" s="166"/>
      <c r="BC116" s="166"/>
      <c r="BD116" s="166"/>
      <c r="BE116" s="166"/>
      <c r="BF116" s="166"/>
      <c r="BG116" s="166"/>
      <c r="BH116" s="166"/>
      <c r="BI116" s="165">
        <v>0.67</v>
      </c>
      <c r="BJ116" s="165" t="s">
        <v>120</v>
      </c>
      <c r="BK116" s="165" t="s">
        <v>118</v>
      </c>
      <c r="BL116" s="165"/>
      <c r="BM116" s="165"/>
      <c r="BN116" s="165"/>
      <c r="BO116" s="165"/>
      <c r="BP116" s="165"/>
      <c r="BQ116" s="166" t="s">
        <v>305</v>
      </c>
      <c r="BR116" s="165" t="s">
        <v>306</v>
      </c>
      <c r="BS116" s="124">
        <v>195</v>
      </c>
      <c r="BT116" s="174"/>
    </row>
    <row r="117" spans="1:72" ht="14.25" hidden="1" customHeight="1" x14ac:dyDescent="0.2">
      <c r="A117" s="92">
        <v>196</v>
      </c>
      <c r="B117" s="235" t="s">
        <v>301</v>
      </c>
      <c r="C117" s="236" t="s">
        <v>302</v>
      </c>
      <c r="D117" s="235" t="s">
        <v>308</v>
      </c>
      <c r="E117" s="125" t="s">
        <v>213</v>
      </c>
      <c r="F117" s="181" t="s">
        <v>103</v>
      </c>
      <c r="G117" s="181" t="s">
        <v>76</v>
      </c>
      <c r="H117" s="181" t="s">
        <v>185</v>
      </c>
      <c r="I117" s="181"/>
      <c r="J117" s="178">
        <v>3.54</v>
      </c>
      <c r="K117" s="251"/>
      <c r="L117" s="182" t="s">
        <v>236</v>
      </c>
      <c r="M117" s="178" t="s">
        <v>78</v>
      </c>
      <c r="N117" s="178">
        <v>0</v>
      </c>
      <c r="O117" s="178" t="s">
        <v>60</v>
      </c>
      <c r="P117" s="178" t="s">
        <v>214</v>
      </c>
      <c r="Q117" s="179"/>
      <c r="R117" s="179" t="s">
        <v>304</v>
      </c>
      <c r="S117" s="180"/>
      <c r="T117" s="179"/>
      <c r="U117" s="179"/>
      <c r="V117" s="167"/>
      <c r="W117" s="168"/>
      <c r="Y117" s="167"/>
      <c r="Z117" s="82" t="s">
        <v>63</v>
      </c>
      <c r="AA117" s="166">
        <v>1</v>
      </c>
      <c r="AB117" s="166">
        <v>0</v>
      </c>
      <c r="AC117" s="165">
        <v>2.67</v>
      </c>
      <c r="AD117" s="165" t="s">
        <v>80</v>
      </c>
      <c r="AE117" s="165" t="s">
        <v>116</v>
      </c>
      <c r="AF117" s="165"/>
      <c r="AG117" s="165"/>
      <c r="AH117" s="165"/>
      <c r="AI117" s="165"/>
      <c r="AJ117" s="165"/>
      <c r="AK117" s="166">
        <v>11.3</v>
      </c>
      <c r="AL117" s="166" t="s">
        <v>81</v>
      </c>
      <c r="AM117" s="166" t="s">
        <v>118</v>
      </c>
      <c r="AN117" s="166"/>
      <c r="AO117" s="166"/>
      <c r="AP117" s="166"/>
      <c r="AQ117" s="166"/>
      <c r="AR117" s="166"/>
      <c r="AS117" s="165"/>
      <c r="AT117" s="165"/>
      <c r="AU117" s="165"/>
      <c r="AV117" s="165"/>
      <c r="AW117" s="165"/>
      <c r="AX117" s="165"/>
      <c r="AY117" s="165"/>
      <c r="AZ117" s="165"/>
      <c r="BA117" s="166"/>
      <c r="BB117" s="166"/>
      <c r="BC117" s="166"/>
      <c r="BD117" s="166"/>
      <c r="BE117" s="166"/>
      <c r="BF117" s="166"/>
      <c r="BG117" s="166"/>
      <c r="BH117" s="166"/>
      <c r="BI117" s="165">
        <v>0.57999999999999996</v>
      </c>
      <c r="BJ117" s="165" t="s">
        <v>120</v>
      </c>
      <c r="BK117" s="165" t="s">
        <v>118</v>
      </c>
      <c r="BL117" s="165"/>
      <c r="BM117" s="165"/>
      <c r="BN117" s="165"/>
      <c r="BO117" s="165"/>
      <c r="BP117" s="165"/>
      <c r="BQ117" s="166" t="s">
        <v>305</v>
      </c>
      <c r="BR117" s="165" t="s">
        <v>306</v>
      </c>
      <c r="BS117" s="124">
        <v>196</v>
      </c>
      <c r="BT117" s="174"/>
    </row>
    <row r="118" spans="1:72" ht="14.25" hidden="1" customHeight="1" x14ac:dyDescent="0.2">
      <c r="A118" s="92">
        <v>197</v>
      </c>
      <c r="B118" s="235" t="s">
        <v>301</v>
      </c>
      <c r="C118" s="236" t="s">
        <v>302</v>
      </c>
      <c r="D118" s="235" t="s">
        <v>309</v>
      </c>
      <c r="E118" s="125" t="s">
        <v>213</v>
      </c>
      <c r="F118" s="181" t="s">
        <v>103</v>
      </c>
      <c r="G118" s="181" t="s">
        <v>76</v>
      </c>
      <c r="H118" s="181" t="s">
        <v>185</v>
      </c>
      <c r="I118" s="181"/>
      <c r="J118" s="178">
        <v>2.81</v>
      </c>
      <c r="K118" s="251"/>
      <c r="L118" s="182" t="s">
        <v>236</v>
      </c>
      <c r="M118" s="178" t="s">
        <v>78</v>
      </c>
      <c r="N118" s="178">
        <v>0</v>
      </c>
      <c r="O118" s="178" t="s">
        <v>60</v>
      </c>
      <c r="P118" s="178" t="s">
        <v>214</v>
      </c>
      <c r="Q118" s="179"/>
      <c r="R118" s="179" t="s">
        <v>304</v>
      </c>
      <c r="S118" s="180"/>
      <c r="T118" s="179"/>
      <c r="U118" s="179"/>
      <c r="V118" s="167"/>
      <c r="W118" s="168"/>
      <c r="Y118" s="167"/>
      <c r="Z118" s="82" t="s">
        <v>63</v>
      </c>
      <c r="AA118" s="166">
        <v>1</v>
      </c>
      <c r="AB118" s="166">
        <v>1</v>
      </c>
      <c r="AC118" s="165">
        <v>3.25</v>
      </c>
      <c r="AD118" s="165" t="s">
        <v>80</v>
      </c>
      <c r="AE118" s="165" t="s">
        <v>116</v>
      </c>
      <c r="AF118" s="165"/>
      <c r="AG118" s="165"/>
      <c r="AH118" s="165"/>
      <c r="AI118" s="165"/>
      <c r="AJ118" s="165"/>
      <c r="AK118" s="166">
        <v>16</v>
      </c>
      <c r="AL118" s="166" t="s">
        <v>81</v>
      </c>
      <c r="AM118" s="166" t="s">
        <v>118</v>
      </c>
      <c r="AN118" s="166"/>
      <c r="AO118" s="166"/>
      <c r="AP118" s="166"/>
      <c r="AQ118" s="166"/>
      <c r="AR118" s="166"/>
      <c r="AS118" s="165"/>
      <c r="AT118" s="165"/>
      <c r="AU118" s="165"/>
      <c r="AV118" s="165"/>
      <c r="AW118" s="165"/>
      <c r="AX118" s="165"/>
      <c r="AY118" s="165"/>
      <c r="AZ118" s="165"/>
      <c r="BA118" s="166"/>
      <c r="BB118" s="166"/>
      <c r="BC118" s="166"/>
      <c r="BD118" s="166"/>
      <c r="BE118" s="166"/>
      <c r="BF118" s="166"/>
      <c r="BG118" s="166"/>
      <c r="BH118" s="166"/>
      <c r="BI118" s="165">
        <v>0.68</v>
      </c>
      <c r="BJ118" s="165" t="s">
        <v>120</v>
      </c>
      <c r="BK118" s="165" t="s">
        <v>118</v>
      </c>
      <c r="BL118" s="165"/>
      <c r="BM118" s="165"/>
      <c r="BN118" s="165"/>
      <c r="BO118" s="165"/>
      <c r="BP118" s="165"/>
      <c r="BQ118" s="166" t="s">
        <v>305</v>
      </c>
      <c r="BR118" s="165" t="s">
        <v>306</v>
      </c>
      <c r="BS118" s="124">
        <v>197</v>
      </c>
      <c r="BT118" s="174"/>
    </row>
    <row r="119" spans="1:72" ht="14.25" hidden="1" customHeight="1" x14ac:dyDescent="0.2">
      <c r="A119" s="92">
        <v>198</v>
      </c>
      <c r="B119" s="235" t="s">
        <v>301</v>
      </c>
      <c r="C119" s="236" t="s">
        <v>302</v>
      </c>
      <c r="D119" s="235" t="s">
        <v>310</v>
      </c>
      <c r="E119" s="125" t="s">
        <v>213</v>
      </c>
      <c r="F119" s="181" t="s">
        <v>103</v>
      </c>
      <c r="G119" s="181" t="s">
        <v>76</v>
      </c>
      <c r="H119" s="181" t="s">
        <v>185</v>
      </c>
      <c r="I119" s="181"/>
      <c r="J119" s="178">
        <v>1.97</v>
      </c>
      <c r="K119" s="251"/>
      <c r="L119" s="182" t="s">
        <v>236</v>
      </c>
      <c r="M119" s="178" t="s">
        <v>78</v>
      </c>
      <c r="N119" s="178">
        <v>0</v>
      </c>
      <c r="O119" s="178" t="s">
        <v>60</v>
      </c>
      <c r="P119" s="178" t="s">
        <v>214</v>
      </c>
      <c r="Q119" s="179"/>
      <c r="R119" s="179" t="s">
        <v>304</v>
      </c>
      <c r="S119" s="180"/>
      <c r="T119" s="179"/>
      <c r="U119" s="179"/>
      <c r="V119" s="167"/>
      <c r="W119" s="168"/>
      <c r="Y119" s="167"/>
      <c r="Z119" s="82" t="s">
        <v>63</v>
      </c>
      <c r="AA119" s="166">
        <v>1</v>
      </c>
      <c r="AB119" s="166">
        <v>0</v>
      </c>
      <c r="AC119" s="165">
        <v>3.83</v>
      </c>
      <c r="AD119" s="165" t="s">
        <v>80</v>
      </c>
      <c r="AE119" s="165" t="s">
        <v>116</v>
      </c>
      <c r="AF119" s="165"/>
      <c r="AG119" s="165"/>
      <c r="AH119" s="165"/>
      <c r="AI119" s="165"/>
      <c r="AJ119" s="165"/>
      <c r="AK119" s="166">
        <v>14.2</v>
      </c>
      <c r="AL119" s="166" t="s">
        <v>81</v>
      </c>
      <c r="AM119" s="166" t="s">
        <v>118</v>
      </c>
      <c r="AN119" s="166"/>
      <c r="AO119" s="166"/>
      <c r="AP119" s="166"/>
      <c r="AQ119" s="166"/>
      <c r="AR119" s="166"/>
      <c r="AS119" s="165"/>
      <c r="AT119" s="165"/>
      <c r="AU119" s="165"/>
      <c r="AV119" s="165"/>
      <c r="AW119" s="165"/>
      <c r="AX119" s="165"/>
      <c r="AY119" s="165"/>
      <c r="AZ119" s="165"/>
      <c r="BA119" s="166"/>
      <c r="BB119" s="166"/>
      <c r="BC119" s="166"/>
      <c r="BD119" s="166"/>
      <c r="BE119" s="166"/>
      <c r="BF119" s="166"/>
      <c r="BG119" s="166"/>
      <c r="BH119" s="166"/>
      <c r="BI119" s="165">
        <v>0.68</v>
      </c>
      <c r="BJ119" s="165" t="s">
        <v>120</v>
      </c>
      <c r="BK119" s="165" t="s">
        <v>118</v>
      </c>
      <c r="BL119" s="165"/>
      <c r="BM119" s="165"/>
      <c r="BN119" s="165"/>
      <c r="BO119" s="165"/>
      <c r="BP119" s="165"/>
      <c r="BQ119" s="166" t="s">
        <v>305</v>
      </c>
      <c r="BR119" s="165" t="s">
        <v>306</v>
      </c>
      <c r="BS119" s="124">
        <v>198</v>
      </c>
      <c r="BT119" s="174"/>
    </row>
    <row r="120" spans="1:72" ht="14.25" hidden="1" customHeight="1" x14ac:dyDescent="0.2">
      <c r="A120" s="92">
        <v>199</v>
      </c>
      <c r="B120" s="235" t="s">
        <v>301</v>
      </c>
      <c r="C120" s="236" t="s">
        <v>302</v>
      </c>
      <c r="D120" s="235" t="s">
        <v>311</v>
      </c>
      <c r="E120" s="125" t="s">
        <v>213</v>
      </c>
      <c r="F120" s="181" t="s">
        <v>103</v>
      </c>
      <c r="G120" s="181" t="s">
        <v>76</v>
      </c>
      <c r="H120" s="181" t="s">
        <v>185</v>
      </c>
      <c r="I120" s="181"/>
      <c r="J120" s="178">
        <v>2</v>
      </c>
      <c r="K120" s="251"/>
      <c r="L120" s="182" t="s">
        <v>236</v>
      </c>
      <c r="M120" s="178" t="s">
        <v>78</v>
      </c>
      <c r="N120" s="178">
        <v>0</v>
      </c>
      <c r="O120" s="178" t="s">
        <v>60</v>
      </c>
      <c r="P120" s="178" t="s">
        <v>214</v>
      </c>
      <c r="Q120" s="179"/>
      <c r="R120" s="179" t="s">
        <v>304</v>
      </c>
      <c r="S120" s="180"/>
      <c r="T120" s="179"/>
      <c r="U120" s="179"/>
      <c r="V120" s="167"/>
      <c r="W120" s="168"/>
      <c r="Y120" s="167"/>
      <c r="Z120" s="82" t="s">
        <v>63</v>
      </c>
      <c r="AA120" s="166">
        <v>1</v>
      </c>
      <c r="AB120" s="166">
        <v>0</v>
      </c>
      <c r="AC120" s="165">
        <v>4.58</v>
      </c>
      <c r="AD120" s="165" t="s">
        <v>80</v>
      </c>
      <c r="AE120" s="165" t="s">
        <v>116</v>
      </c>
      <c r="AF120" s="165"/>
      <c r="AG120" s="165"/>
      <c r="AH120" s="165"/>
      <c r="AI120" s="165"/>
      <c r="AJ120" s="165"/>
      <c r="AK120" s="166">
        <v>15</v>
      </c>
      <c r="AL120" s="166" t="s">
        <v>81</v>
      </c>
      <c r="AM120" s="166" t="s">
        <v>118</v>
      </c>
      <c r="AN120" s="166"/>
      <c r="AO120" s="166"/>
      <c r="AP120" s="166"/>
      <c r="AQ120" s="166"/>
      <c r="AR120" s="166"/>
      <c r="AS120" s="165"/>
      <c r="AT120" s="165"/>
      <c r="AU120" s="165"/>
      <c r="AV120" s="165"/>
      <c r="AW120" s="165"/>
      <c r="AX120" s="165"/>
      <c r="AY120" s="165"/>
      <c r="AZ120" s="165"/>
      <c r="BA120" s="166"/>
      <c r="BB120" s="166"/>
      <c r="BC120" s="166"/>
      <c r="BD120" s="166"/>
      <c r="BE120" s="166"/>
      <c r="BF120" s="166"/>
      <c r="BG120" s="166"/>
      <c r="BH120" s="166"/>
      <c r="BI120" s="165">
        <v>0.67</v>
      </c>
      <c r="BJ120" s="165" t="s">
        <v>120</v>
      </c>
      <c r="BK120" s="165" t="s">
        <v>118</v>
      </c>
      <c r="BL120" s="165"/>
      <c r="BM120" s="165"/>
      <c r="BN120" s="165"/>
      <c r="BO120" s="165"/>
      <c r="BP120" s="165"/>
      <c r="BQ120" s="166" t="s">
        <v>305</v>
      </c>
      <c r="BR120" s="165" t="s">
        <v>306</v>
      </c>
      <c r="BS120" s="124">
        <v>199</v>
      </c>
      <c r="BT120" s="174"/>
    </row>
    <row r="121" spans="1:72" ht="14.25" hidden="1" customHeight="1" x14ac:dyDescent="0.2">
      <c r="A121" s="92">
        <v>200</v>
      </c>
      <c r="B121" s="235" t="s">
        <v>301</v>
      </c>
      <c r="C121" s="236" t="s">
        <v>302</v>
      </c>
      <c r="D121" s="235" t="s">
        <v>312</v>
      </c>
      <c r="E121" s="125" t="s">
        <v>213</v>
      </c>
      <c r="F121" s="181" t="s">
        <v>103</v>
      </c>
      <c r="G121" s="181" t="s">
        <v>76</v>
      </c>
      <c r="H121" s="181" t="s">
        <v>185</v>
      </c>
      <c r="I121" s="181"/>
      <c r="J121" s="178">
        <v>2.63</v>
      </c>
      <c r="K121" s="251"/>
      <c r="L121" s="182" t="s">
        <v>236</v>
      </c>
      <c r="M121" s="178" t="s">
        <v>78</v>
      </c>
      <c r="N121" s="178">
        <v>0</v>
      </c>
      <c r="O121" s="178" t="s">
        <v>60</v>
      </c>
      <c r="P121" s="178" t="s">
        <v>214</v>
      </c>
      <c r="Q121" s="179"/>
      <c r="R121" s="179" t="s">
        <v>304</v>
      </c>
      <c r="S121" s="180"/>
      <c r="T121" s="179"/>
      <c r="U121" s="179"/>
      <c r="V121" s="167"/>
      <c r="W121" s="168"/>
      <c r="Y121" s="167"/>
      <c r="Z121" s="82" t="s">
        <v>63</v>
      </c>
      <c r="AA121" s="166">
        <v>1</v>
      </c>
      <c r="AB121" s="166">
        <v>0</v>
      </c>
      <c r="AC121" s="165">
        <v>4.58</v>
      </c>
      <c r="AD121" s="165" t="s">
        <v>80</v>
      </c>
      <c r="AE121" s="165" t="s">
        <v>116</v>
      </c>
      <c r="AF121" s="165"/>
      <c r="AG121" s="165"/>
      <c r="AH121" s="165"/>
      <c r="AI121" s="165"/>
      <c r="AJ121" s="165"/>
      <c r="AK121" s="166">
        <v>19</v>
      </c>
      <c r="AL121" s="166" t="s">
        <v>81</v>
      </c>
      <c r="AM121" s="166" t="s">
        <v>118</v>
      </c>
      <c r="AN121" s="166"/>
      <c r="AO121" s="166"/>
      <c r="AP121" s="166"/>
      <c r="AQ121" s="166"/>
      <c r="AR121" s="166"/>
      <c r="AS121" s="165"/>
      <c r="AT121" s="165"/>
      <c r="AU121" s="165"/>
      <c r="AV121" s="165"/>
      <c r="AW121" s="165"/>
      <c r="AX121" s="165"/>
      <c r="AY121" s="165"/>
      <c r="AZ121" s="165"/>
      <c r="BA121" s="166"/>
      <c r="BB121" s="166"/>
      <c r="BC121" s="166"/>
      <c r="BD121" s="166"/>
      <c r="BE121" s="166"/>
      <c r="BF121" s="166"/>
      <c r="BG121" s="166"/>
      <c r="BH121" s="166"/>
      <c r="BI121" s="165">
        <v>0.8</v>
      </c>
      <c r="BJ121" s="165" t="s">
        <v>120</v>
      </c>
      <c r="BK121" s="165" t="s">
        <v>118</v>
      </c>
      <c r="BL121" s="165"/>
      <c r="BM121" s="165"/>
      <c r="BN121" s="165"/>
      <c r="BO121" s="165"/>
      <c r="BP121" s="165"/>
      <c r="BQ121" s="166" t="s">
        <v>305</v>
      </c>
      <c r="BR121" s="165" t="s">
        <v>306</v>
      </c>
      <c r="BS121" s="124">
        <v>200</v>
      </c>
      <c r="BT121" s="174"/>
    </row>
    <row r="122" spans="1:72" ht="14.25" hidden="1" customHeight="1" x14ac:dyDescent="0.2">
      <c r="A122" s="92">
        <v>201</v>
      </c>
      <c r="B122" s="235" t="s">
        <v>301</v>
      </c>
      <c r="C122" s="236" t="s">
        <v>302</v>
      </c>
      <c r="D122" s="235" t="s">
        <v>313</v>
      </c>
      <c r="E122" s="125" t="s">
        <v>213</v>
      </c>
      <c r="F122" s="181" t="s">
        <v>103</v>
      </c>
      <c r="G122" s="181" t="s">
        <v>76</v>
      </c>
      <c r="H122" s="181" t="s">
        <v>185</v>
      </c>
      <c r="I122" s="181"/>
      <c r="J122" s="178">
        <v>3.14</v>
      </c>
      <c r="K122" s="251"/>
      <c r="L122" s="182" t="s">
        <v>236</v>
      </c>
      <c r="M122" s="178" t="s">
        <v>78</v>
      </c>
      <c r="N122" s="178">
        <v>0</v>
      </c>
      <c r="O122" s="178" t="s">
        <v>60</v>
      </c>
      <c r="P122" s="178" t="s">
        <v>214</v>
      </c>
      <c r="Q122" s="179"/>
      <c r="R122" s="179" t="s">
        <v>304</v>
      </c>
      <c r="S122" s="180"/>
      <c r="T122" s="179"/>
      <c r="U122" s="179"/>
      <c r="V122" s="167"/>
      <c r="W122" s="168"/>
      <c r="Y122" s="167"/>
      <c r="Z122" s="82" t="s">
        <v>63</v>
      </c>
      <c r="AA122" s="166">
        <v>1</v>
      </c>
      <c r="AB122" s="166">
        <v>1</v>
      </c>
      <c r="AC122" s="165">
        <v>4.83</v>
      </c>
      <c r="AD122" s="165" t="s">
        <v>80</v>
      </c>
      <c r="AE122" s="165" t="s">
        <v>116</v>
      </c>
      <c r="AF122" s="165"/>
      <c r="AG122" s="165"/>
      <c r="AH122" s="165"/>
      <c r="AI122" s="165"/>
      <c r="AJ122" s="165"/>
      <c r="AK122" s="166">
        <v>17.5</v>
      </c>
      <c r="AL122" s="166" t="s">
        <v>81</v>
      </c>
      <c r="AM122" s="166" t="s">
        <v>118</v>
      </c>
      <c r="AN122" s="166"/>
      <c r="AO122" s="166"/>
      <c r="AP122" s="166"/>
      <c r="AQ122" s="166"/>
      <c r="AR122" s="166"/>
      <c r="AS122" s="165"/>
      <c r="AT122" s="165"/>
      <c r="AU122" s="165"/>
      <c r="AV122" s="165"/>
      <c r="AW122" s="165"/>
      <c r="AX122" s="165"/>
      <c r="AY122" s="165"/>
      <c r="AZ122" s="165"/>
      <c r="BA122" s="166"/>
      <c r="BB122" s="166"/>
      <c r="BC122" s="166"/>
      <c r="BD122" s="166"/>
      <c r="BE122" s="166"/>
      <c r="BF122" s="166"/>
      <c r="BG122" s="166"/>
      <c r="BH122" s="166"/>
      <c r="BI122" s="165">
        <v>0.78</v>
      </c>
      <c r="BJ122" s="165" t="s">
        <v>120</v>
      </c>
      <c r="BK122" s="165" t="s">
        <v>118</v>
      </c>
      <c r="BL122" s="165"/>
      <c r="BM122" s="165"/>
      <c r="BN122" s="165"/>
      <c r="BO122" s="165"/>
      <c r="BP122" s="165"/>
      <c r="BQ122" s="166" t="s">
        <v>305</v>
      </c>
      <c r="BR122" s="165" t="s">
        <v>306</v>
      </c>
      <c r="BS122" s="124">
        <v>201</v>
      </c>
      <c r="BT122" s="174"/>
    </row>
    <row r="123" spans="1:72" ht="14.25" hidden="1" customHeight="1" x14ac:dyDescent="0.2">
      <c r="A123" s="92">
        <v>202</v>
      </c>
      <c r="B123" s="235" t="s">
        <v>301</v>
      </c>
      <c r="C123" s="236" t="s">
        <v>302</v>
      </c>
      <c r="D123" s="235" t="s">
        <v>314</v>
      </c>
      <c r="E123" s="125" t="s">
        <v>213</v>
      </c>
      <c r="F123" s="181" t="s">
        <v>103</v>
      </c>
      <c r="G123" s="181" t="s">
        <v>76</v>
      </c>
      <c r="H123" s="181" t="s">
        <v>185</v>
      </c>
      <c r="I123" s="181"/>
      <c r="J123" s="178">
        <v>1.95</v>
      </c>
      <c r="K123" s="251"/>
      <c r="L123" s="182" t="s">
        <v>236</v>
      </c>
      <c r="M123" s="178" t="s">
        <v>78</v>
      </c>
      <c r="N123" s="178">
        <v>0</v>
      </c>
      <c r="O123" s="178" t="s">
        <v>60</v>
      </c>
      <c r="P123" s="178" t="s">
        <v>214</v>
      </c>
      <c r="Q123" s="179"/>
      <c r="R123" s="179" t="s">
        <v>304</v>
      </c>
      <c r="S123" s="180"/>
      <c r="T123" s="179"/>
      <c r="U123" s="179"/>
      <c r="V123" s="167"/>
      <c r="W123" s="168"/>
      <c r="Y123" s="167"/>
      <c r="Z123" s="82" t="s">
        <v>63</v>
      </c>
      <c r="AA123" s="166">
        <v>1</v>
      </c>
      <c r="AB123" s="166">
        <v>0</v>
      </c>
      <c r="AC123" s="165">
        <v>5.25</v>
      </c>
      <c r="AD123" s="165" t="s">
        <v>80</v>
      </c>
      <c r="AE123" s="165" t="s">
        <v>116</v>
      </c>
      <c r="AF123" s="165"/>
      <c r="AG123" s="165"/>
      <c r="AH123" s="165"/>
      <c r="AI123" s="165"/>
      <c r="AJ123" s="165"/>
      <c r="AK123" s="166">
        <v>18.5</v>
      </c>
      <c r="AL123" s="166" t="s">
        <v>81</v>
      </c>
      <c r="AM123" s="166" t="s">
        <v>118</v>
      </c>
      <c r="AN123" s="166"/>
      <c r="AO123" s="166"/>
      <c r="AP123" s="166"/>
      <c r="AQ123" s="166"/>
      <c r="AR123" s="166"/>
      <c r="AS123" s="165"/>
      <c r="AT123" s="165"/>
      <c r="AU123" s="165"/>
      <c r="AV123" s="165"/>
      <c r="AW123" s="165"/>
      <c r="AX123" s="165"/>
      <c r="AY123" s="165"/>
      <c r="AZ123" s="165"/>
      <c r="BA123" s="166"/>
      <c r="BB123" s="166"/>
      <c r="BC123" s="166"/>
      <c r="BD123" s="166"/>
      <c r="BE123" s="166"/>
      <c r="BF123" s="166"/>
      <c r="BG123" s="166"/>
      <c r="BH123" s="166"/>
      <c r="BI123" s="165">
        <v>0.79</v>
      </c>
      <c r="BJ123" s="165" t="s">
        <v>120</v>
      </c>
      <c r="BK123" s="165" t="s">
        <v>118</v>
      </c>
      <c r="BL123" s="165"/>
      <c r="BM123" s="165"/>
      <c r="BN123" s="165"/>
      <c r="BO123" s="165"/>
      <c r="BP123" s="165"/>
      <c r="BQ123" s="166" t="s">
        <v>305</v>
      </c>
      <c r="BR123" s="165" t="s">
        <v>306</v>
      </c>
      <c r="BS123" s="124">
        <v>202</v>
      </c>
      <c r="BT123" s="174"/>
    </row>
    <row r="124" spans="1:72" ht="14.25" hidden="1" customHeight="1" x14ac:dyDescent="0.2">
      <c r="A124" s="92">
        <v>203</v>
      </c>
      <c r="B124" s="235" t="s">
        <v>301</v>
      </c>
      <c r="C124" s="236" t="s">
        <v>302</v>
      </c>
      <c r="D124" s="235" t="s">
        <v>315</v>
      </c>
      <c r="E124" s="125" t="s">
        <v>213</v>
      </c>
      <c r="F124" s="181" t="s">
        <v>103</v>
      </c>
      <c r="G124" s="181" t="s">
        <v>76</v>
      </c>
      <c r="H124" s="181" t="s">
        <v>185</v>
      </c>
      <c r="I124" s="181"/>
      <c r="J124" s="178">
        <v>3.08</v>
      </c>
      <c r="K124" s="251"/>
      <c r="L124" s="182" t="s">
        <v>236</v>
      </c>
      <c r="M124" s="178" t="s">
        <v>78</v>
      </c>
      <c r="N124" s="178">
        <v>0</v>
      </c>
      <c r="O124" s="178" t="s">
        <v>60</v>
      </c>
      <c r="P124" s="178" t="s">
        <v>214</v>
      </c>
      <c r="Q124" s="179"/>
      <c r="R124" s="179" t="s">
        <v>304</v>
      </c>
      <c r="S124" s="180"/>
      <c r="T124" s="179"/>
      <c r="U124" s="179"/>
      <c r="V124" s="167"/>
      <c r="W124" s="168"/>
      <c r="Y124" s="167"/>
      <c r="Z124" s="82" t="s">
        <v>63</v>
      </c>
      <c r="AA124" s="166">
        <v>1</v>
      </c>
      <c r="AB124" s="166">
        <v>1</v>
      </c>
      <c r="AC124" s="165">
        <v>5.25</v>
      </c>
      <c r="AD124" s="165" t="s">
        <v>80</v>
      </c>
      <c r="AE124" s="165" t="s">
        <v>116</v>
      </c>
      <c r="AF124" s="165"/>
      <c r="AG124" s="165"/>
      <c r="AH124" s="165"/>
      <c r="AI124" s="165"/>
      <c r="AJ124" s="165"/>
      <c r="AK124" s="166">
        <v>19.5</v>
      </c>
      <c r="AL124" s="166" t="s">
        <v>81</v>
      </c>
      <c r="AM124" s="166" t="s">
        <v>118</v>
      </c>
      <c r="AN124" s="166"/>
      <c r="AO124" s="166"/>
      <c r="AP124" s="166"/>
      <c r="AQ124" s="166"/>
      <c r="AR124" s="166"/>
      <c r="AS124" s="165"/>
      <c r="AT124" s="165"/>
      <c r="AU124" s="165"/>
      <c r="AV124" s="165"/>
      <c r="AW124" s="165"/>
      <c r="AX124" s="165"/>
      <c r="AY124" s="165"/>
      <c r="AZ124" s="165"/>
      <c r="BA124" s="166"/>
      <c r="BB124" s="166"/>
      <c r="BC124" s="166"/>
      <c r="BD124" s="166"/>
      <c r="BE124" s="166"/>
      <c r="BF124" s="166"/>
      <c r="BG124" s="166"/>
      <c r="BH124" s="166"/>
      <c r="BI124" s="165">
        <v>0.84</v>
      </c>
      <c r="BJ124" s="165" t="s">
        <v>120</v>
      </c>
      <c r="BK124" s="165" t="s">
        <v>118</v>
      </c>
      <c r="BL124" s="165"/>
      <c r="BM124" s="165"/>
      <c r="BN124" s="165"/>
      <c r="BO124" s="165"/>
      <c r="BP124" s="165"/>
      <c r="BQ124" s="166" t="s">
        <v>305</v>
      </c>
      <c r="BR124" s="165" t="s">
        <v>306</v>
      </c>
      <c r="BS124" s="124">
        <v>203</v>
      </c>
      <c r="BT124" s="174"/>
    </row>
    <row r="125" spans="1:72" ht="14.25" hidden="1" customHeight="1" x14ac:dyDescent="0.2">
      <c r="A125" s="92">
        <v>204</v>
      </c>
      <c r="B125" s="235" t="s">
        <v>301</v>
      </c>
      <c r="C125" s="236" t="s">
        <v>302</v>
      </c>
      <c r="D125" s="235" t="s">
        <v>316</v>
      </c>
      <c r="E125" s="125" t="s">
        <v>213</v>
      </c>
      <c r="F125" s="181" t="s">
        <v>103</v>
      </c>
      <c r="G125" s="181" t="s">
        <v>76</v>
      </c>
      <c r="H125" s="181" t="s">
        <v>185</v>
      </c>
      <c r="I125" s="181"/>
      <c r="J125" s="178">
        <v>3.13</v>
      </c>
      <c r="K125" s="251"/>
      <c r="L125" s="182" t="s">
        <v>236</v>
      </c>
      <c r="M125" s="178" t="s">
        <v>78</v>
      </c>
      <c r="N125" s="178">
        <v>0</v>
      </c>
      <c r="O125" s="178" t="s">
        <v>60</v>
      </c>
      <c r="P125" s="178" t="s">
        <v>214</v>
      </c>
      <c r="Q125" s="179"/>
      <c r="R125" s="179" t="s">
        <v>304</v>
      </c>
      <c r="S125" s="180"/>
      <c r="T125" s="179"/>
      <c r="U125" s="179"/>
      <c r="V125" s="167"/>
      <c r="W125" s="168"/>
      <c r="Y125" s="167"/>
      <c r="Z125" s="82" t="s">
        <v>63</v>
      </c>
      <c r="AA125" s="166">
        <v>1</v>
      </c>
      <c r="AB125" s="166">
        <v>0</v>
      </c>
      <c r="AC125" s="165">
        <v>5.33</v>
      </c>
      <c r="AD125" s="165" t="s">
        <v>80</v>
      </c>
      <c r="AE125" s="165" t="s">
        <v>116</v>
      </c>
      <c r="AF125" s="165"/>
      <c r="AG125" s="165"/>
      <c r="AH125" s="165"/>
      <c r="AI125" s="165"/>
      <c r="AJ125" s="165"/>
      <c r="AK125" s="166">
        <v>24</v>
      </c>
      <c r="AL125" s="166" t="s">
        <v>81</v>
      </c>
      <c r="AM125" s="166" t="s">
        <v>118</v>
      </c>
      <c r="AN125" s="166"/>
      <c r="AO125" s="166"/>
      <c r="AP125" s="166"/>
      <c r="AQ125" s="166"/>
      <c r="AR125" s="166"/>
      <c r="AS125" s="165"/>
      <c r="AT125" s="165"/>
      <c r="AU125" s="165"/>
      <c r="AV125" s="165"/>
      <c r="AW125" s="165"/>
      <c r="AX125" s="165"/>
      <c r="AY125" s="165"/>
      <c r="AZ125" s="165"/>
      <c r="BA125" s="166"/>
      <c r="BB125" s="166"/>
      <c r="BC125" s="166"/>
      <c r="BD125" s="166"/>
      <c r="BE125" s="166"/>
      <c r="BF125" s="166"/>
      <c r="BG125" s="166"/>
      <c r="BH125" s="166"/>
      <c r="BI125" s="165">
        <v>0.9</v>
      </c>
      <c r="BJ125" s="165" t="s">
        <v>120</v>
      </c>
      <c r="BK125" s="165" t="s">
        <v>118</v>
      </c>
      <c r="BL125" s="165"/>
      <c r="BM125" s="165"/>
      <c r="BN125" s="165"/>
      <c r="BO125" s="165"/>
      <c r="BP125" s="165"/>
      <c r="BQ125" s="166" t="s">
        <v>305</v>
      </c>
      <c r="BR125" s="165" t="s">
        <v>306</v>
      </c>
      <c r="BS125" s="124">
        <v>204</v>
      </c>
      <c r="BT125" s="174"/>
    </row>
    <row r="126" spans="1:72" ht="14.25" hidden="1" customHeight="1" x14ac:dyDescent="0.2">
      <c r="A126" s="92">
        <v>205</v>
      </c>
      <c r="B126" s="235" t="s">
        <v>301</v>
      </c>
      <c r="C126" s="236" t="s">
        <v>302</v>
      </c>
      <c r="D126" s="235" t="s">
        <v>317</v>
      </c>
      <c r="E126" s="125" t="s">
        <v>213</v>
      </c>
      <c r="F126" s="181" t="s">
        <v>103</v>
      </c>
      <c r="G126" s="181" t="s">
        <v>76</v>
      </c>
      <c r="H126" s="181" t="s">
        <v>185</v>
      </c>
      <c r="I126" s="181"/>
      <c r="J126" s="178">
        <v>2</v>
      </c>
      <c r="K126" s="251"/>
      <c r="L126" s="182" t="s">
        <v>236</v>
      </c>
      <c r="M126" s="178" t="s">
        <v>78</v>
      </c>
      <c r="N126" s="178">
        <v>0</v>
      </c>
      <c r="O126" s="178" t="s">
        <v>60</v>
      </c>
      <c r="P126" s="178" t="s">
        <v>214</v>
      </c>
      <c r="Q126" s="179"/>
      <c r="R126" s="179" t="s">
        <v>304</v>
      </c>
      <c r="S126" s="180"/>
      <c r="T126" s="179"/>
      <c r="U126" s="179"/>
      <c r="V126" s="167"/>
      <c r="W126" s="168"/>
      <c r="Y126" s="167"/>
      <c r="Z126" s="82" t="s">
        <v>63</v>
      </c>
      <c r="AA126" s="166">
        <v>1</v>
      </c>
      <c r="AB126" s="166">
        <v>0</v>
      </c>
      <c r="AC126" s="165">
        <v>5.33</v>
      </c>
      <c r="AD126" s="165" t="s">
        <v>80</v>
      </c>
      <c r="AE126" s="165" t="s">
        <v>116</v>
      </c>
      <c r="AF126" s="165"/>
      <c r="AG126" s="165"/>
      <c r="AH126" s="165"/>
      <c r="AI126" s="165"/>
      <c r="AJ126" s="165"/>
      <c r="AK126" s="166">
        <v>24</v>
      </c>
      <c r="AL126" s="166" t="s">
        <v>81</v>
      </c>
      <c r="AM126" s="166" t="s">
        <v>118</v>
      </c>
      <c r="AN126" s="166"/>
      <c r="AO126" s="166"/>
      <c r="AP126" s="166"/>
      <c r="AQ126" s="166"/>
      <c r="AR126" s="166"/>
      <c r="AS126" s="165"/>
      <c r="AT126" s="165"/>
      <c r="AU126" s="165"/>
      <c r="AV126" s="165"/>
      <c r="AW126" s="165"/>
      <c r="AX126" s="165"/>
      <c r="AY126" s="165"/>
      <c r="AZ126" s="165"/>
      <c r="BA126" s="166"/>
      <c r="BB126" s="166"/>
      <c r="BC126" s="166"/>
      <c r="BD126" s="166"/>
      <c r="BE126" s="166"/>
      <c r="BF126" s="166"/>
      <c r="BG126" s="166"/>
      <c r="BH126" s="166"/>
      <c r="BI126" s="165">
        <v>9.4E-2</v>
      </c>
      <c r="BJ126" s="165" t="s">
        <v>120</v>
      </c>
      <c r="BK126" s="165" t="s">
        <v>118</v>
      </c>
      <c r="BL126" s="165"/>
      <c r="BM126" s="165"/>
      <c r="BN126" s="165"/>
      <c r="BO126" s="165"/>
      <c r="BP126" s="165"/>
      <c r="BQ126" s="166" t="s">
        <v>305</v>
      </c>
      <c r="BR126" s="165" t="s">
        <v>306</v>
      </c>
      <c r="BS126" s="124">
        <v>205</v>
      </c>
      <c r="BT126" s="174"/>
    </row>
    <row r="127" spans="1:72" ht="14.25" hidden="1" customHeight="1" x14ac:dyDescent="0.2">
      <c r="A127" s="92">
        <v>206</v>
      </c>
      <c r="B127" s="235" t="s">
        <v>301</v>
      </c>
      <c r="C127" s="236" t="s">
        <v>302</v>
      </c>
      <c r="D127" s="235" t="s">
        <v>318</v>
      </c>
      <c r="E127" s="125" t="s">
        <v>213</v>
      </c>
      <c r="F127" s="181" t="s">
        <v>103</v>
      </c>
      <c r="G127" s="181" t="s">
        <v>76</v>
      </c>
      <c r="H127" s="181" t="s">
        <v>185</v>
      </c>
      <c r="I127" s="181"/>
      <c r="J127" s="178">
        <v>2.94</v>
      </c>
      <c r="K127" s="251"/>
      <c r="L127" s="182" t="s">
        <v>236</v>
      </c>
      <c r="M127" s="178" t="s">
        <v>78</v>
      </c>
      <c r="N127" s="178">
        <v>0</v>
      </c>
      <c r="O127" s="178" t="s">
        <v>60</v>
      </c>
      <c r="P127" s="178" t="s">
        <v>214</v>
      </c>
      <c r="Q127" s="179"/>
      <c r="R127" s="179" t="s">
        <v>304</v>
      </c>
      <c r="S127" s="180"/>
      <c r="T127" s="179"/>
      <c r="U127" s="179"/>
      <c r="V127" s="167"/>
      <c r="W127" s="168"/>
      <c r="Y127" s="167"/>
      <c r="Z127" s="82" t="s">
        <v>63</v>
      </c>
      <c r="AA127" s="166">
        <v>1</v>
      </c>
      <c r="AB127" s="166">
        <v>0</v>
      </c>
      <c r="AC127" s="165">
        <v>5.42</v>
      </c>
      <c r="AD127" s="165" t="s">
        <v>80</v>
      </c>
      <c r="AE127" s="165" t="s">
        <v>116</v>
      </c>
      <c r="AF127" s="165"/>
      <c r="AG127" s="165"/>
      <c r="AH127" s="165"/>
      <c r="AI127" s="165"/>
      <c r="AJ127" s="165"/>
      <c r="AK127" s="166">
        <v>17</v>
      </c>
      <c r="AL127" s="166" t="s">
        <v>81</v>
      </c>
      <c r="AM127" s="166" t="s">
        <v>118</v>
      </c>
      <c r="AN127" s="166"/>
      <c r="AO127" s="166"/>
      <c r="AP127" s="166"/>
      <c r="AQ127" s="166"/>
      <c r="AR127" s="166"/>
      <c r="AS127" s="165"/>
      <c r="AT127" s="165"/>
      <c r="AU127" s="165"/>
      <c r="AV127" s="165"/>
      <c r="AW127" s="165"/>
      <c r="AX127" s="165"/>
      <c r="AY127" s="165"/>
      <c r="AZ127" s="165"/>
      <c r="BA127" s="166"/>
      <c r="BB127" s="166"/>
      <c r="BC127" s="166"/>
      <c r="BD127" s="166"/>
      <c r="BE127" s="166"/>
      <c r="BF127" s="166"/>
      <c r="BG127" s="166"/>
      <c r="BH127" s="166"/>
      <c r="BI127" s="165">
        <v>0.93</v>
      </c>
      <c r="BJ127" s="165" t="s">
        <v>120</v>
      </c>
      <c r="BK127" s="165" t="s">
        <v>118</v>
      </c>
      <c r="BL127" s="165"/>
      <c r="BM127" s="165"/>
      <c r="BN127" s="165"/>
      <c r="BO127" s="165"/>
      <c r="BP127" s="165"/>
      <c r="BQ127" s="166" t="s">
        <v>305</v>
      </c>
      <c r="BR127" s="165" t="s">
        <v>306</v>
      </c>
      <c r="BS127" s="124">
        <v>206</v>
      </c>
      <c r="BT127" s="174"/>
    </row>
    <row r="128" spans="1:72" ht="14.25" hidden="1" customHeight="1" x14ac:dyDescent="0.2">
      <c r="A128" s="92">
        <v>207</v>
      </c>
      <c r="B128" s="235" t="s">
        <v>301</v>
      </c>
      <c r="C128" s="236" t="s">
        <v>302</v>
      </c>
      <c r="D128" s="235" t="s">
        <v>319</v>
      </c>
      <c r="E128" s="125" t="s">
        <v>213</v>
      </c>
      <c r="F128" s="181" t="s">
        <v>103</v>
      </c>
      <c r="G128" s="181" t="s">
        <v>76</v>
      </c>
      <c r="H128" s="181" t="s">
        <v>185</v>
      </c>
      <c r="I128" s="181"/>
      <c r="J128" s="178">
        <v>2.9</v>
      </c>
      <c r="K128" s="251"/>
      <c r="L128" s="182" t="s">
        <v>236</v>
      </c>
      <c r="M128" s="178" t="s">
        <v>78</v>
      </c>
      <c r="N128" s="178">
        <v>0</v>
      </c>
      <c r="O128" s="178" t="s">
        <v>60</v>
      </c>
      <c r="P128" s="178" t="s">
        <v>214</v>
      </c>
      <c r="Q128" s="179"/>
      <c r="R128" s="179" t="s">
        <v>304</v>
      </c>
      <c r="S128" s="180"/>
      <c r="T128" s="179"/>
      <c r="U128" s="179"/>
      <c r="V128" s="167"/>
      <c r="W128" s="168"/>
      <c r="Y128" s="167"/>
      <c r="Z128" s="82" t="s">
        <v>63</v>
      </c>
      <c r="AA128" s="166">
        <v>1</v>
      </c>
      <c r="AB128" s="166">
        <v>0</v>
      </c>
      <c r="AC128" s="165">
        <v>5.75</v>
      </c>
      <c r="AD128" s="165" t="s">
        <v>80</v>
      </c>
      <c r="AE128" s="165" t="s">
        <v>116</v>
      </c>
      <c r="AF128" s="165"/>
      <c r="AG128" s="165"/>
      <c r="AH128" s="165"/>
      <c r="AI128" s="165"/>
      <c r="AJ128" s="165"/>
      <c r="AK128" s="166">
        <v>14.5</v>
      </c>
      <c r="AL128" s="166" t="s">
        <v>81</v>
      </c>
      <c r="AM128" s="166" t="s">
        <v>118</v>
      </c>
      <c r="AN128" s="166"/>
      <c r="AO128" s="166"/>
      <c r="AP128" s="166"/>
      <c r="AQ128" s="166"/>
      <c r="AR128" s="166"/>
      <c r="AS128" s="165"/>
      <c r="AT128" s="165"/>
      <c r="AU128" s="165"/>
      <c r="AV128" s="165"/>
      <c r="AW128" s="165"/>
      <c r="AX128" s="165"/>
      <c r="AY128" s="165"/>
      <c r="AZ128" s="165"/>
      <c r="BA128" s="166"/>
      <c r="BB128" s="166"/>
      <c r="BC128" s="166"/>
      <c r="BD128" s="166"/>
      <c r="BE128" s="166"/>
      <c r="BF128" s="166"/>
      <c r="BG128" s="166"/>
      <c r="BH128" s="166"/>
      <c r="BI128" s="165">
        <v>0.68</v>
      </c>
      <c r="BJ128" s="165" t="s">
        <v>120</v>
      </c>
      <c r="BK128" s="165" t="s">
        <v>118</v>
      </c>
      <c r="BL128" s="165"/>
      <c r="BM128" s="165"/>
      <c r="BN128" s="165"/>
      <c r="BO128" s="165"/>
      <c r="BP128" s="165"/>
      <c r="BQ128" s="166" t="s">
        <v>305</v>
      </c>
      <c r="BR128" s="165" t="s">
        <v>306</v>
      </c>
      <c r="BS128" s="124">
        <v>207</v>
      </c>
      <c r="BT128" s="174"/>
    </row>
    <row r="129" spans="1:72" ht="14.25" hidden="1" customHeight="1" x14ac:dyDescent="0.2">
      <c r="A129" s="92">
        <v>208</v>
      </c>
      <c r="B129" s="235" t="s">
        <v>301</v>
      </c>
      <c r="C129" s="236" t="s">
        <v>302</v>
      </c>
      <c r="D129" s="235" t="s">
        <v>320</v>
      </c>
      <c r="E129" s="125" t="s">
        <v>213</v>
      </c>
      <c r="F129" s="181" t="s">
        <v>103</v>
      </c>
      <c r="G129" s="181" t="s">
        <v>76</v>
      </c>
      <c r="H129" s="181" t="s">
        <v>185</v>
      </c>
      <c r="I129" s="181"/>
      <c r="J129" s="178">
        <v>3.01</v>
      </c>
      <c r="K129" s="251"/>
      <c r="L129" s="182" t="s">
        <v>236</v>
      </c>
      <c r="M129" s="178" t="s">
        <v>78</v>
      </c>
      <c r="N129" s="178">
        <v>0</v>
      </c>
      <c r="O129" s="178" t="s">
        <v>60</v>
      </c>
      <c r="P129" s="178" t="s">
        <v>214</v>
      </c>
      <c r="Q129" s="179"/>
      <c r="R129" s="179" t="s">
        <v>304</v>
      </c>
      <c r="S129" s="180"/>
      <c r="T129" s="179"/>
      <c r="U129" s="179"/>
      <c r="V129" s="167"/>
      <c r="W129" s="168"/>
      <c r="Y129" s="167"/>
      <c r="Z129" s="82" t="s">
        <v>63</v>
      </c>
      <c r="AA129" s="166">
        <v>1</v>
      </c>
      <c r="AB129" s="166">
        <v>1</v>
      </c>
      <c r="AC129" s="165">
        <v>5.92</v>
      </c>
      <c r="AD129" s="165" t="s">
        <v>80</v>
      </c>
      <c r="AE129" s="165" t="s">
        <v>116</v>
      </c>
      <c r="AF129" s="165"/>
      <c r="AG129" s="165"/>
      <c r="AH129" s="165"/>
      <c r="AI129" s="165"/>
      <c r="AJ129" s="165"/>
      <c r="AK129" s="166">
        <v>28.2</v>
      </c>
      <c r="AL129" s="166" t="s">
        <v>81</v>
      </c>
      <c r="AM129" s="166" t="s">
        <v>118</v>
      </c>
      <c r="AN129" s="166"/>
      <c r="AO129" s="166"/>
      <c r="AP129" s="166"/>
      <c r="AQ129" s="166"/>
      <c r="AR129" s="166"/>
      <c r="AS129" s="165"/>
      <c r="AT129" s="165"/>
      <c r="AU129" s="165"/>
      <c r="AV129" s="165"/>
      <c r="AW129" s="165"/>
      <c r="AX129" s="165"/>
      <c r="AY129" s="165"/>
      <c r="AZ129" s="165"/>
      <c r="BA129" s="166"/>
      <c r="BB129" s="166"/>
      <c r="BC129" s="166"/>
      <c r="BD129" s="166"/>
      <c r="BE129" s="166"/>
      <c r="BF129" s="166"/>
      <c r="BG129" s="166"/>
      <c r="BH129" s="166"/>
      <c r="BI129" s="165">
        <v>0.99</v>
      </c>
      <c r="BJ129" s="165" t="s">
        <v>120</v>
      </c>
      <c r="BK129" s="165" t="s">
        <v>118</v>
      </c>
      <c r="BL129" s="165"/>
      <c r="BM129" s="165"/>
      <c r="BN129" s="165"/>
      <c r="BO129" s="165"/>
      <c r="BP129" s="165"/>
      <c r="BQ129" s="166" t="s">
        <v>305</v>
      </c>
      <c r="BR129" s="165" t="s">
        <v>306</v>
      </c>
      <c r="BS129" s="124">
        <v>208</v>
      </c>
      <c r="BT129" s="174"/>
    </row>
    <row r="130" spans="1:72" ht="14.25" hidden="1" customHeight="1" x14ac:dyDescent="0.2">
      <c r="A130" s="92">
        <v>209</v>
      </c>
      <c r="B130" s="235" t="s">
        <v>301</v>
      </c>
      <c r="C130" s="236" t="s">
        <v>302</v>
      </c>
      <c r="D130" s="235" t="s">
        <v>321</v>
      </c>
      <c r="E130" s="125" t="s">
        <v>213</v>
      </c>
      <c r="F130" s="181" t="s">
        <v>103</v>
      </c>
      <c r="G130" s="181" t="s">
        <v>76</v>
      </c>
      <c r="H130" s="181" t="s">
        <v>185</v>
      </c>
      <c r="I130" s="181"/>
      <c r="J130" s="178">
        <v>1.48</v>
      </c>
      <c r="K130" s="251"/>
      <c r="L130" s="182" t="s">
        <v>236</v>
      </c>
      <c r="M130" s="178" t="s">
        <v>78</v>
      </c>
      <c r="N130" s="178">
        <v>0</v>
      </c>
      <c r="O130" s="178" t="s">
        <v>60</v>
      </c>
      <c r="P130" s="178" t="s">
        <v>214</v>
      </c>
      <c r="Q130" s="179"/>
      <c r="R130" s="179" t="s">
        <v>304</v>
      </c>
      <c r="S130" s="180"/>
      <c r="T130" s="179"/>
      <c r="U130" s="179"/>
      <c r="V130" s="167"/>
      <c r="W130" s="168"/>
      <c r="Y130" s="167"/>
      <c r="Z130" s="82" t="s">
        <v>63</v>
      </c>
      <c r="AA130" s="166">
        <v>1</v>
      </c>
      <c r="AB130" s="166">
        <v>0</v>
      </c>
      <c r="AC130" s="165">
        <v>5.92</v>
      </c>
      <c r="AD130" s="165" t="s">
        <v>80</v>
      </c>
      <c r="AE130" s="165" t="s">
        <v>116</v>
      </c>
      <c r="AF130" s="165"/>
      <c r="AG130" s="165"/>
      <c r="AH130" s="165"/>
      <c r="AI130" s="165"/>
      <c r="AJ130" s="165"/>
      <c r="AK130" s="166">
        <v>25</v>
      </c>
      <c r="AL130" s="166" t="s">
        <v>81</v>
      </c>
      <c r="AM130" s="166" t="s">
        <v>118</v>
      </c>
      <c r="AN130" s="166"/>
      <c r="AO130" s="166"/>
      <c r="AP130" s="166"/>
      <c r="AQ130" s="166"/>
      <c r="AR130" s="166"/>
      <c r="AS130" s="165"/>
      <c r="AT130" s="165"/>
      <c r="AU130" s="165"/>
      <c r="AV130" s="165"/>
      <c r="AW130" s="165"/>
      <c r="AX130" s="165"/>
      <c r="AY130" s="165"/>
      <c r="AZ130" s="165"/>
      <c r="BA130" s="166"/>
      <c r="BB130" s="166"/>
      <c r="BC130" s="166"/>
      <c r="BD130" s="166"/>
      <c r="BE130" s="166"/>
      <c r="BF130" s="166"/>
      <c r="BG130" s="166"/>
      <c r="BH130" s="166"/>
      <c r="BI130" s="165">
        <v>0.93</v>
      </c>
      <c r="BJ130" s="165" t="s">
        <v>120</v>
      </c>
      <c r="BK130" s="165" t="s">
        <v>118</v>
      </c>
      <c r="BL130" s="165"/>
      <c r="BM130" s="165"/>
      <c r="BN130" s="165"/>
      <c r="BO130" s="165"/>
      <c r="BP130" s="165"/>
      <c r="BQ130" s="166" t="s">
        <v>305</v>
      </c>
      <c r="BR130" s="165" t="s">
        <v>306</v>
      </c>
      <c r="BS130" s="124">
        <v>209</v>
      </c>
      <c r="BT130" s="174"/>
    </row>
    <row r="131" spans="1:72" ht="14.25" hidden="1" customHeight="1" x14ac:dyDescent="0.2">
      <c r="A131" s="92">
        <v>210</v>
      </c>
      <c r="B131" s="235" t="s">
        <v>301</v>
      </c>
      <c r="C131" s="236" t="s">
        <v>302</v>
      </c>
      <c r="D131" s="235" t="s">
        <v>322</v>
      </c>
      <c r="E131" s="125" t="s">
        <v>213</v>
      </c>
      <c r="F131" s="181" t="s">
        <v>103</v>
      </c>
      <c r="G131" s="181" t="s">
        <v>76</v>
      </c>
      <c r="H131" s="181" t="s">
        <v>185</v>
      </c>
      <c r="I131" s="181"/>
      <c r="J131" s="178">
        <v>2.0299999999999998</v>
      </c>
      <c r="K131" s="251"/>
      <c r="L131" s="182" t="s">
        <v>236</v>
      </c>
      <c r="M131" s="178" t="s">
        <v>78</v>
      </c>
      <c r="N131" s="178">
        <v>0</v>
      </c>
      <c r="O131" s="178" t="s">
        <v>60</v>
      </c>
      <c r="P131" s="178" t="s">
        <v>214</v>
      </c>
      <c r="Q131" s="179"/>
      <c r="R131" s="179" t="s">
        <v>304</v>
      </c>
      <c r="S131" s="180"/>
      <c r="T131" s="179"/>
      <c r="U131" s="179"/>
      <c r="V131" s="167"/>
      <c r="W131" s="168"/>
      <c r="Y131" s="167"/>
      <c r="Z131" s="82" t="s">
        <v>63</v>
      </c>
      <c r="AA131" s="166">
        <v>1</v>
      </c>
      <c r="AB131" s="166">
        <v>1</v>
      </c>
      <c r="AC131" s="165">
        <v>6.92</v>
      </c>
      <c r="AD131" s="165" t="s">
        <v>80</v>
      </c>
      <c r="AE131" s="165" t="s">
        <v>116</v>
      </c>
      <c r="AF131" s="165"/>
      <c r="AG131" s="165"/>
      <c r="AH131" s="165"/>
      <c r="AI131" s="165"/>
      <c r="AJ131" s="165"/>
      <c r="AK131" s="166">
        <v>29.6</v>
      </c>
      <c r="AL131" s="166" t="s">
        <v>81</v>
      </c>
      <c r="AM131" s="166" t="s">
        <v>118</v>
      </c>
      <c r="AN131" s="166"/>
      <c r="AO131" s="166"/>
      <c r="AP131" s="166"/>
      <c r="AQ131" s="166"/>
      <c r="AR131" s="166"/>
      <c r="AS131" s="165"/>
      <c r="AT131" s="165"/>
      <c r="AU131" s="165"/>
      <c r="AV131" s="165"/>
      <c r="AW131" s="165"/>
      <c r="AX131" s="165"/>
      <c r="AY131" s="165"/>
      <c r="AZ131" s="165"/>
      <c r="BA131" s="166"/>
      <c r="BB131" s="166"/>
      <c r="BC131" s="166"/>
      <c r="BD131" s="166"/>
      <c r="BE131" s="166"/>
      <c r="BF131" s="166"/>
      <c r="BG131" s="166"/>
      <c r="BH131" s="166"/>
      <c r="BI131" s="165">
        <v>1.1100000000000001</v>
      </c>
      <c r="BJ131" s="165" t="s">
        <v>120</v>
      </c>
      <c r="BK131" s="165" t="s">
        <v>118</v>
      </c>
      <c r="BL131" s="165"/>
      <c r="BM131" s="165"/>
      <c r="BN131" s="165"/>
      <c r="BO131" s="165"/>
      <c r="BP131" s="165"/>
      <c r="BQ131" s="166" t="s">
        <v>305</v>
      </c>
      <c r="BR131" s="165" t="s">
        <v>306</v>
      </c>
      <c r="BS131" s="124">
        <v>210</v>
      </c>
      <c r="BT131" s="174"/>
    </row>
    <row r="132" spans="1:72" ht="14.25" hidden="1" customHeight="1" x14ac:dyDescent="0.2">
      <c r="A132" s="92">
        <v>211</v>
      </c>
      <c r="B132" s="235" t="s">
        <v>301</v>
      </c>
      <c r="C132" s="236" t="s">
        <v>302</v>
      </c>
      <c r="D132" s="235" t="s">
        <v>323</v>
      </c>
      <c r="E132" s="125" t="s">
        <v>213</v>
      </c>
      <c r="F132" s="181" t="s">
        <v>103</v>
      </c>
      <c r="G132" s="181" t="s">
        <v>76</v>
      </c>
      <c r="H132" s="181" t="s">
        <v>185</v>
      </c>
      <c r="I132" s="181"/>
      <c r="J132" s="178">
        <v>9.8000000000000004E-2</v>
      </c>
      <c r="K132" s="251"/>
      <c r="L132" s="182" t="s">
        <v>236</v>
      </c>
      <c r="M132" s="178" t="s">
        <v>78</v>
      </c>
      <c r="N132" s="178">
        <v>0</v>
      </c>
      <c r="O132" s="178" t="s">
        <v>60</v>
      </c>
      <c r="P132" s="178" t="s">
        <v>214</v>
      </c>
      <c r="Q132" s="179"/>
      <c r="R132" s="179" t="s">
        <v>304</v>
      </c>
      <c r="S132" s="180"/>
      <c r="T132" s="179"/>
      <c r="U132" s="179"/>
      <c r="V132" s="167"/>
      <c r="W132" s="168"/>
      <c r="Y132" s="167"/>
      <c r="Z132" s="82" t="s">
        <v>63</v>
      </c>
      <c r="AA132" s="166">
        <v>1</v>
      </c>
      <c r="AB132" s="166">
        <v>1</v>
      </c>
      <c r="AC132" s="165">
        <v>7.5</v>
      </c>
      <c r="AD132" s="165" t="s">
        <v>80</v>
      </c>
      <c r="AE132" s="165" t="s">
        <v>116</v>
      </c>
      <c r="AF132" s="165"/>
      <c r="AG132" s="165"/>
      <c r="AH132" s="165"/>
      <c r="AI132" s="165"/>
      <c r="AJ132" s="165"/>
      <c r="AK132" s="166">
        <v>23.5</v>
      </c>
      <c r="AL132" s="166" t="s">
        <v>81</v>
      </c>
      <c r="AM132" s="166" t="s">
        <v>118</v>
      </c>
      <c r="AN132" s="166"/>
      <c r="AO132" s="166"/>
      <c r="AP132" s="166"/>
      <c r="AQ132" s="166"/>
      <c r="AR132" s="166"/>
      <c r="AS132" s="165"/>
      <c r="AT132" s="165"/>
      <c r="AU132" s="165"/>
      <c r="AV132" s="165"/>
      <c r="AW132" s="165"/>
      <c r="AX132" s="165"/>
      <c r="AY132" s="165"/>
      <c r="AZ132" s="165"/>
      <c r="BA132" s="166"/>
      <c r="BB132" s="166"/>
      <c r="BC132" s="166"/>
      <c r="BD132" s="166"/>
      <c r="BE132" s="166"/>
      <c r="BF132" s="166"/>
      <c r="BG132" s="166"/>
      <c r="BH132" s="166"/>
      <c r="BI132" s="165">
        <v>0.97</v>
      </c>
      <c r="BJ132" s="165" t="s">
        <v>120</v>
      </c>
      <c r="BK132" s="165" t="s">
        <v>118</v>
      </c>
      <c r="BL132" s="165"/>
      <c r="BM132" s="165"/>
      <c r="BN132" s="165"/>
      <c r="BO132" s="165"/>
      <c r="BP132" s="165"/>
      <c r="BQ132" s="166" t="s">
        <v>305</v>
      </c>
      <c r="BR132" s="165" t="s">
        <v>306</v>
      </c>
      <c r="BS132" s="124">
        <v>211</v>
      </c>
      <c r="BT132" s="174"/>
    </row>
    <row r="133" spans="1:72" ht="14.25" hidden="1" customHeight="1" x14ac:dyDescent="0.2">
      <c r="A133" s="92">
        <v>212</v>
      </c>
      <c r="B133" s="235" t="s">
        <v>301</v>
      </c>
      <c r="C133" s="236" t="s">
        <v>302</v>
      </c>
      <c r="D133" s="235" t="s">
        <v>324</v>
      </c>
      <c r="E133" s="125" t="s">
        <v>213</v>
      </c>
      <c r="F133" s="181" t="s">
        <v>103</v>
      </c>
      <c r="G133" s="181" t="s">
        <v>76</v>
      </c>
      <c r="H133" s="181" t="s">
        <v>185</v>
      </c>
      <c r="I133" s="181"/>
      <c r="J133" s="178">
        <v>2.95</v>
      </c>
      <c r="K133" s="251"/>
      <c r="L133" s="182" t="s">
        <v>236</v>
      </c>
      <c r="M133" s="178" t="s">
        <v>78</v>
      </c>
      <c r="N133" s="178">
        <v>0</v>
      </c>
      <c r="O133" s="178" t="s">
        <v>60</v>
      </c>
      <c r="P133" s="178" t="s">
        <v>214</v>
      </c>
      <c r="Q133" s="179"/>
      <c r="R133" s="179" t="s">
        <v>304</v>
      </c>
      <c r="S133" s="180"/>
      <c r="T133" s="179"/>
      <c r="U133" s="179"/>
      <c r="V133" s="167"/>
      <c r="W133" s="168"/>
      <c r="Y133" s="167"/>
      <c r="Z133" s="82" t="s">
        <v>63</v>
      </c>
      <c r="AA133" s="166">
        <v>1</v>
      </c>
      <c r="AB133" s="166">
        <v>1</v>
      </c>
      <c r="AC133" s="165">
        <v>7.5</v>
      </c>
      <c r="AD133" s="165" t="s">
        <v>80</v>
      </c>
      <c r="AE133" s="165" t="s">
        <v>116</v>
      </c>
      <c r="AF133" s="165"/>
      <c r="AG133" s="165"/>
      <c r="AH133" s="165"/>
      <c r="AI133" s="165"/>
      <c r="AJ133" s="165"/>
      <c r="AK133" s="166">
        <v>15.2</v>
      </c>
      <c r="AL133" s="166" t="s">
        <v>81</v>
      </c>
      <c r="AM133" s="166" t="s">
        <v>118</v>
      </c>
      <c r="AN133" s="166"/>
      <c r="AO133" s="166"/>
      <c r="AP133" s="166"/>
      <c r="AQ133" s="166"/>
      <c r="AR133" s="166"/>
      <c r="AS133" s="165"/>
      <c r="AT133" s="165"/>
      <c r="AU133" s="165"/>
      <c r="AV133" s="165"/>
      <c r="AW133" s="165"/>
      <c r="AX133" s="165"/>
      <c r="AY133" s="165"/>
      <c r="AZ133" s="165"/>
      <c r="BA133" s="166"/>
      <c r="BB133" s="166"/>
      <c r="BC133" s="166"/>
      <c r="BD133" s="166"/>
      <c r="BE133" s="166"/>
      <c r="BF133" s="166"/>
      <c r="BG133" s="166"/>
      <c r="BH133" s="166"/>
      <c r="BI133" s="165">
        <v>0.74</v>
      </c>
      <c r="BJ133" s="165" t="s">
        <v>120</v>
      </c>
      <c r="BK133" s="165" t="s">
        <v>118</v>
      </c>
      <c r="BL133" s="165"/>
      <c r="BM133" s="165"/>
      <c r="BN133" s="165"/>
      <c r="BO133" s="165"/>
      <c r="BP133" s="165"/>
      <c r="BQ133" s="166" t="s">
        <v>305</v>
      </c>
      <c r="BR133" s="165" t="s">
        <v>306</v>
      </c>
      <c r="BS133" s="124">
        <v>212</v>
      </c>
      <c r="BT133" s="174"/>
    </row>
    <row r="134" spans="1:72" ht="14.25" hidden="1" customHeight="1" x14ac:dyDescent="0.2">
      <c r="A134" s="92">
        <v>213</v>
      </c>
      <c r="B134" s="235" t="s">
        <v>301</v>
      </c>
      <c r="C134" s="236" t="s">
        <v>302</v>
      </c>
      <c r="D134" s="235" t="s">
        <v>325</v>
      </c>
      <c r="E134" s="125" t="s">
        <v>213</v>
      </c>
      <c r="F134" s="181" t="s">
        <v>103</v>
      </c>
      <c r="G134" s="181" t="s">
        <v>76</v>
      </c>
      <c r="H134" s="181" t="s">
        <v>185</v>
      </c>
      <c r="I134" s="181"/>
      <c r="J134" s="178">
        <v>1.99</v>
      </c>
      <c r="K134" s="251"/>
      <c r="L134" s="182" t="s">
        <v>236</v>
      </c>
      <c r="M134" s="178" t="s">
        <v>78</v>
      </c>
      <c r="N134" s="178">
        <v>0</v>
      </c>
      <c r="O134" s="178" t="s">
        <v>60</v>
      </c>
      <c r="P134" s="178" t="s">
        <v>214</v>
      </c>
      <c r="Q134" s="179"/>
      <c r="R134" s="179" t="s">
        <v>304</v>
      </c>
      <c r="S134" s="180"/>
      <c r="T134" s="179"/>
      <c r="U134" s="179"/>
      <c r="V134" s="167"/>
      <c r="W134" s="168"/>
      <c r="Y134" s="167"/>
      <c r="Z134" s="82" t="s">
        <v>63</v>
      </c>
      <c r="AA134" s="166">
        <v>1</v>
      </c>
      <c r="AB134" s="166">
        <v>1</v>
      </c>
      <c r="AC134" s="165">
        <v>8.75</v>
      </c>
      <c r="AD134" s="165" t="s">
        <v>80</v>
      </c>
      <c r="AE134" s="165" t="s">
        <v>116</v>
      </c>
      <c r="AF134" s="165"/>
      <c r="AG134" s="165"/>
      <c r="AH134" s="165"/>
      <c r="AI134" s="165"/>
      <c r="AJ134" s="165"/>
      <c r="AK134" s="166">
        <v>22.6</v>
      </c>
      <c r="AL134" s="166" t="s">
        <v>81</v>
      </c>
      <c r="AM134" s="166" t="s">
        <v>118</v>
      </c>
      <c r="AN134" s="166"/>
      <c r="AO134" s="166"/>
      <c r="AP134" s="166"/>
      <c r="AQ134" s="166"/>
      <c r="AR134" s="166"/>
      <c r="AS134" s="165"/>
      <c r="AT134" s="165"/>
      <c r="AU134" s="165"/>
      <c r="AV134" s="165"/>
      <c r="AW134" s="165"/>
      <c r="AX134" s="165"/>
      <c r="AY134" s="165"/>
      <c r="AZ134" s="165"/>
      <c r="BA134" s="166"/>
      <c r="BB134" s="166"/>
      <c r="BC134" s="166"/>
      <c r="BD134" s="166"/>
      <c r="BE134" s="166"/>
      <c r="BF134" s="166"/>
      <c r="BG134" s="166"/>
      <c r="BH134" s="166"/>
      <c r="BI134" s="165">
        <v>0.94</v>
      </c>
      <c r="BJ134" s="165" t="s">
        <v>120</v>
      </c>
      <c r="BK134" s="165" t="s">
        <v>118</v>
      </c>
      <c r="BL134" s="165"/>
      <c r="BM134" s="165"/>
      <c r="BN134" s="165"/>
      <c r="BO134" s="165"/>
      <c r="BP134" s="165"/>
      <c r="BQ134" s="166" t="s">
        <v>305</v>
      </c>
      <c r="BR134" s="165" t="s">
        <v>306</v>
      </c>
      <c r="BS134" s="124">
        <v>213</v>
      </c>
      <c r="BT134" s="174"/>
    </row>
    <row r="135" spans="1:72" ht="14.25" hidden="1" customHeight="1" x14ac:dyDescent="0.2">
      <c r="A135" s="92">
        <v>230</v>
      </c>
      <c r="B135" s="235" t="s">
        <v>326</v>
      </c>
      <c r="C135" s="236" t="s">
        <v>327</v>
      </c>
      <c r="D135" s="235" t="s">
        <v>220</v>
      </c>
      <c r="E135" s="17" t="s">
        <v>111</v>
      </c>
      <c r="F135" s="18" t="s">
        <v>103</v>
      </c>
      <c r="G135" s="181" t="s">
        <v>56</v>
      </c>
      <c r="H135" s="181" t="s">
        <v>168</v>
      </c>
      <c r="I135" s="181"/>
      <c r="J135" s="178">
        <v>10</v>
      </c>
      <c r="K135" s="139">
        <f>J135*0.9135071</f>
        <v>9.1350709999999999</v>
      </c>
      <c r="L135" s="139" t="s">
        <v>58</v>
      </c>
      <c r="M135" s="178" t="s">
        <v>59</v>
      </c>
      <c r="N135" s="178">
        <v>0</v>
      </c>
      <c r="O135" s="138" t="s">
        <v>60</v>
      </c>
      <c r="P135" s="178" t="s">
        <v>79</v>
      </c>
      <c r="Q135" s="176" t="s">
        <v>113</v>
      </c>
      <c r="R135" s="179"/>
      <c r="S135" s="180"/>
      <c r="T135" s="180">
        <v>300</v>
      </c>
      <c r="U135" s="180"/>
      <c r="V135" s="167"/>
      <c r="W135" s="168"/>
      <c r="Y135" s="167"/>
      <c r="Z135" s="82" t="s">
        <v>63</v>
      </c>
      <c r="AA135" s="166">
        <v>12</v>
      </c>
      <c r="AB135" s="166">
        <v>0</v>
      </c>
      <c r="AC135" s="165"/>
      <c r="AD135" s="21" t="s">
        <v>80</v>
      </c>
      <c r="AE135" s="165"/>
      <c r="AF135" s="165"/>
      <c r="AG135" s="165"/>
      <c r="AH135" s="165"/>
      <c r="AI135" s="165">
        <v>19</v>
      </c>
      <c r="AJ135" s="165">
        <v>54</v>
      </c>
      <c r="AK135" s="166"/>
      <c r="AL135" s="166"/>
      <c r="AM135" s="166"/>
      <c r="AN135" s="166"/>
      <c r="AO135" s="166"/>
      <c r="AP135" s="166"/>
      <c r="AQ135" s="166"/>
      <c r="AR135" s="166"/>
      <c r="AS135" s="165"/>
      <c r="AT135" s="165"/>
      <c r="AU135" s="165"/>
      <c r="AV135" s="165"/>
      <c r="AW135" s="165"/>
      <c r="AX135" s="165"/>
      <c r="AY135" s="165"/>
      <c r="AZ135" s="165"/>
      <c r="BA135" s="166"/>
      <c r="BB135" s="166"/>
      <c r="BC135" s="166"/>
      <c r="BD135" s="166"/>
      <c r="BE135" s="166"/>
      <c r="BF135" s="166"/>
      <c r="BG135" s="166"/>
      <c r="BH135" s="166"/>
      <c r="BI135" s="165"/>
      <c r="BJ135" s="165"/>
      <c r="BK135" s="165"/>
      <c r="BL135" s="165"/>
      <c r="BM135" s="165"/>
      <c r="BN135" s="165"/>
      <c r="BO135" s="165"/>
      <c r="BP135" s="165"/>
      <c r="BQ135" s="166"/>
      <c r="BR135" s="165"/>
      <c r="BS135" s="124">
        <v>230</v>
      </c>
      <c r="BT135" s="174"/>
    </row>
    <row r="136" spans="1:72" ht="14.25" hidden="1" customHeight="1" x14ac:dyDescent="0.2">
      <c r="A136" s="92">
        <v>231</v>
      </c>
      <c r="B136" s="235" t="s">
        <v>326</v>
      </c>
      <c r="C136" s="236" t="s">
        <v>327</v>
      </c>
      <c r="D136" s="235" t="s">
        <v>328</v>
      </c>
      <c r="E136" s="17" t="s">
        <v>111</v>
      </c>
      <c r="F136" s="18" t="s">
        <v>103</v>
      </c>
      <c r="G136" s="181" t="s">
        <v>56</v>
      </c>
      <c r="H136" s="181" t="s">
        <v>168</v>
      </c>
      <c r="I136" s="181"/>
      <c r="J136" s="178">
        <v>10</v>
      </c>
      <c r="K136" s="139">
        <f>J136*0.9135071</f>
        <v>9.1350709999999999</v>
      </c>
      <c r="L136" s="139" t="s">
        <v>58</v>
      </c>
      <c r="M136" s="178" t="s">
        <v>59</v>
      </c>
      <c r="N136" s="178">
        <v>15</v>
      </c>
      <c r="O136" s="138" t="s">
        <v>60</v>
      </c>
      <c r="P136" s="178" t="s">
        <v>79</v>
      </c>
      <c r="Q136" s="176" t="s">
        <v>113</v>
      </c>
      <c r="R136" s="179"/>
      <c r="S136" s="180"/>
      <c r="T136" s="180">
        <v>300</v>
      </c>
      <c r="U136" s="180"/>
      <c r="V136" s="167"/>
      <c r="W136" s="168"/>
      <c r="Y136" s="167"/>
      <c r="Z136" s="82" t="s">
        <v>63</v>
      </c>
      <c r="AA136" s="166">
        <v>12</v>
      </c>
      <c r="AB136" s="166">
        <v>0</v>
      </c>
      <c r="AC136" s="165"/>
      <c r="AD136" s="21" t="s">
        <v>80</v>
      </c>
      <c r="AE136" s="165"/>
      <c r="AF136" s="165"/>
      <c r="AG136" s="165"/>
      <c r="AH136" s="165"/>
      <c r="AI136" s="165">
        <v>19</v>
      </c>
      <c r="AJ136" s="165">
        <v>54</v>
      </c>
      <c r="AK136" s="166"/>
      <c r="AL136" s="166"/>
      <c r="AM136" s="166"/>
      <c r="AN136" s="166"/>
      <c r="AO136" s="166"/>
      <c r="AP136" s="166"/>
      <c r="AQ136" s="166"/>
      <c r="AR136" s="166"/>
      <c r="AS136" s="165"/>
      <c r="AT136" s="165"/>
      <c r="AU136" s="165"/>
      <c r="AV136" s="165"/>
      <c r="AW136" s="165"/>
      <c r="AX136" s="165"/>
      <c r="AY136" s="165"/>
      <c r="AZ136" s="165"/>
      <c r="BA136" s="166"/>
      <c r="BB136" s="166"/>
      <c r="BC136" s="166"/>
      <c r="BD136" s="166"/>
      <c r="BE136" s="166"/>
      <c r="BF136" s="166"/>
      <c r="BG136" s="166"/>
      <c r="BH136" s="166"/>
      <c r="BI136" s="165"/>
      <c r="BJ136" s="165"/>
      <c r="BK136" s="165"/>
      <c r="BL136" s="165"/>
      <c r="BM136" s="165"/>
      <c r="BN136" s="165"/>
      <c r="BO136" s="165"/>
      <c r="BP136" s="165"/>
      <c r="BQ136" s="166"/>
      <c r="BR136" s="165"/>
      <c r="BS136" s="124">
        <v>231</v>
      </c>
      <c r="BT136" s="174"/>
    </row>
    <row r="137" spans="1:72" ht="14.25" hidden="1" customHeight="1" x14ac:dyDescent="0.2">
      <c r="A137" s="91">
        <v>232</v>
      </c>
      <c r="B137" s="233" t="s">
        <v>329</v>
      </c>
      <c r="C137" s="237" t="s">
        <v>330</v>
      </c>
      <c r="D137" s="233" t="s">
        <v>331</v>
      </c>
      <c r="E137" s="125" t="s">
        <v>149</v>
      </c>
      <c r="F137" s="181" t="s">
        <v>103</v>
      </c>
      <c r="G137" s="181" t="s">
        <v>56</v>
      </c>
      <c r="H137" s="181" t="s">
        <v>332</v>
      </c>
      <c r="I137" s="181"/>
      <c r="J137" s="178">
        <v>100</v>
      </c>
      <c r="K137" s="182"/>
      <c r="L137" s="182" t="s">
        <v>58</v>
      </c>
      <c r="M137" s="178" t="s">
        <v>59</v>
      </c>
      <c r="N137" s="178">
        <v>0</v>
      </c>
      <c r="O137" s="178" t="s">
        <v>60</v>
      </c>
      <c r="P137" s="178"/>
      <c r="Q137" s="179"/>
      <c r="R137" s="179" t="s">
        <v>150</v>
      </c>
      <c r="S137" s="180"/>
      <c r="T137" s="179"/>
      <c r="U137" s="179" t="s">
        <v>333</v>
      </c>
      <c r="V137" s="167" t="s">
        <v>154</v>
      </c>
      <c r="W137" s="168"/>
      <c r="Y137" s="167" t="s">
        <v>334</v>
      </c>
      <c r="Z137" s="169" t="s">
        <v>63</v>
      </c>
      <c r="AA137" s="166">
        <v>5</v>
      </c>
      <c r="AB137" s="166">
        <v>0</v>
      </c>
      <c r="AC137" s="165"/>
      <c r="AD137" s="165" t="s">
        <v>80</v>
      </c>
      <c r="AE137" s="165"/>
      <c r="AF137" s="165"/>
      <c r="AG137" s="165"/>
      <c r="AH137" s="165"/>
      <c r="AI137" s="165">
        <v>23</v>
      </c>
      <c r="AJ137" s="165">
        <v>42</v>
      </c>
      <c r="AK137" s="166">
        <v>65.099999999999994</v>
      </c>
      <c r="AL137" s="166" t="s">
        <v>81</v>
      </c>
      <c r="AM137" s="166" t="s">
        <v>116</v>
      </c>
      <c r="AN137" s="166">
        <v>8.8000000000000007</v>
      </c>
      <c r="AO137" s="166" t="s">
        <v>81</v>
      </c>
      <c r="AP137" s="166" t="s">
        <v>117</v>
      </c>
      <c r="AQ137" s="166"/>
      <c r="AR137" s="166"/>
      <c r="AS137" s="165"/>
      <c r="AT137" s="165"/>
      <c r="AU137" s="165"/>
      <c r="AV137" s="165"/>
      <c r="AW137" s="165"/>
      <c r="AX137" s="165"/>
      <c r="AY137" s="165"/>
      <c r="AZ137" s="165"/>
      <c r="BA137" s="166"/>
      <c r="BB137" s="166"/>
      <c r="BC137" s="166"/>
      <c r="BD137" s="166"/>
      <c r="BE137" s="166"/>
      <c r="BF137" s="166"/>
      <c r="BG137" s="166"/>
      <c r="BH137" s="166"/>
      <c r="BI137" s="165"/>
      <c r="BJ137" s="165"/>
      <c r="BK137" s="165"/>
      <c r="BL137" s="165"/>
      <c r="BM137" s="165"/>
      <c r="BN137" s="165"/>
      <c r="BO137" s="165"/>
      <c r="BP137" s="165"/>
      <c r="BQ137" s="166"/>
      <c r="BR137" s="165"/>
      <c r="BS137" s="124">
        <v>232</v>
      </c>
      <c r="BT137" s="174"/>
    </row>
    <row r="138" spans="1:72" ht="14.25" hidden="1" customHeight="1" x14ac:dyDescent="0.2">
      <c r="A138" s="91">
        <v>233</v>
      </c>
      <c r="B138" s="233" t="s">
        <v>329</v>
      </c>
      <c r="C138" s="237" t="s">
        <v>330</v>
      </c>
      <c r="D138" s="233" t="s">
        <v>335</v>
      </c>
      <c r="E138" s="125" t="s">
        <v>149</v>
      </c>
      <c r="F138" s="181" t="s">
        <v>103</v>
      </c>
      <c r="G138" s="181" t="s">
        <v>56</v>
      </c>
      <c r="H138" s="181" t="s">
        <v>332</v>
      </c>
      <c r="I138" s="181"/>
      <c r="J138" s="178">
        <v>100</v>
      </c>
      <c r="K138" s="182"/>
      <c r="L138" s="182" t="s">
        <v>58</v>
      </c>
      <c r="M138" s="178" t="s">
        <v>59</v>
      </c>
      <c r="N138" s="178" t="s">
        <v>336</v>
      </c>
      <c r="O138" s="178" t="s">
        <v>60</v>
      </c>
      <c r="P138" s="178"/>
      <c r="Q138" s="179"/>
      <c r="R138" s="179" t="s">
        <v>150</v>
      </c>
      <c r="S138" s="180"/>
      <c r="T138" s="179"/>
      <c r="U138" s="179" t="s">
        <v>333</v>
      </c>
      <c r="V138" s="167" t="s">
        <v>154</v>
      </c>
      <c r="W138" s="168"/>
      <c r="Y138" s="167" t="s">
        <v>334</v>
      </c>
      <c r="Z138" s="169" t="s">
        <v>63</v>
      </c>
      <c r="AA138" s="166">
        <v>5</v>
      </c>
      <c r="AB138" s="166">
        <v>0</v>
      </c>
      <c r="AC138" s="165"/>
      <c r="AD138" s="165" t="s">
        <v>80</v>
      </c>
      <c r="AE138" s="165"/>
      <c r="AF138" s="165"/>
      <c r="AG138" s="165"/>
      <c r="AH138" s="165"/>
      <c r="AI138" s="165">
        <v>23</v>
      </c>
      <c r="AJ138" s="165">
        <v>42</v>
      </c>
      <c r="AK138" s="166">
        <v>65.099999999999994</v>
      </c>
      <c r="AL138" s="166" t="s">
        <v>81</v>
      </c>
      <c r="AM138" s="166" t="s">
        <v>116</v>
      </c>
      <c r="AN138" s="166">
        <v>8.8000000000000007</v>
      </c>
      <c r="AO138" s="166" t="s">
        <v>81</v>
      </c>
      <c r="AP138" s="166" t="s">
        <v>117</v>
      </c>
      <c r="AQ138" s="166"/>
      <c r="AR138" s="166"/>
      <c r="AS138" s="165"/>
      <c r="AT138" s="165"/>
      <c r="AU138" s="165"/>
      <c r="AV138" s="165"/>
      <c r="AW138" s="165"/>
      <c r="AX138" s="165"/>
      <c r="AY138" s="165"/>
      <c r="AZ138" s="165"/>
      <c r="BA138" s="166"/>
      <c r="BB138" s="166"/>
      <c r="BC138" s="166"/>
      <c r="BD138" s="166"/>
      <c r="BE138" s="166"/>
      <c r="BF138" s="166"/>
      <c r="BG138" s="166"/>
      <c r="BH138" s="166"/>
      <c r="BI138" s="165"/>
      <c r="BJ138" s="165"/>
      <c r="BK138" s="165"/>
      <c r="BL138" s="165"/>
      <c r="BM138" s="165"/>
      <c r="BN138" s="165"/>
      <c r="BO138" s="165"/>
      <c r="BP138" s="165"/>
      <c r="BQ138" s="166"/>
      <c r="BR138" s="165"/>
      <c r="BS138" s="124">
        <v>233</v>
      </c>
      <c r="BT138" s="174"/>
    </row>
    <row r="139" spans="1:72" ht="14.25" hidden="1" customHeight="1" x14ac:dyDescent="0.2">
      <c r="A139" s="91">
        <v>234</v>
      </c>
      <c r="B139" s="233" t="s">
        <v>329</v>
      </c>
      <c r="C139" s="237" t="s">
        <v>330</v>
      </c>
      <c r="D139" s="233" t="s">
        <v>337</v>
      </c>
      <c r="E139" s="125" t="s">
        <v>149</v>
      </c>
      <c r="F139" s="181" t="s">
        <v>103</v>
      </c>
      <c r="G139" s="181" t="s">
        <v>56</v>
      </c>
      <c r="H139" s="181" t="s">
        <v>332</v>
      </c>
      <c r="I139" s="181"/>
      <c r="J139" s="178">
        <v>100</v>
      </c>
      <c r="K139" s="182"/>
      <c r="L139" s="182" t="s">
        <v>58</v>
      </c>
      <c r="M139" s="178" t="s">
        <v>59</v>
      </c>
      <c r="N139" s="178" t="s">
        <v>336</v>
      </c>
      <c r="O139" s="178" t="s">
        <v>60</v>
      </c>
      <c r="P139" s="178"/>
      <c r="Q139" s="179"/>
      <c r="R139" s="179" t="s">
        <v>150</v>
      </c>
      <c r="S139" s="180"/>
      <c r="T139" s="179"/>
      <c r="U139" s="179" t="s">
        <v>333</v>
      </c>
      <c r="V139" s="167" t="s">
        <v>154</v>
      </c>
      <c r="W139" s="168"/>
      <c r="Y139" s="167" t="s">
        <v>334</v>
      </c>
      <c r="Z139" s="169" t="s">
        <v>63</v>
      </c>
      <c r="AA139" s="166">
        <v>5</v>
      </c>
      <c r="AB139" s="166">
        <v>0</v>
      </c>
      <c r="AC139" s="165"/>
      <c r="AD139" s="165" t="s">
        <v>80</v>
      </c>
      <c r="AE139" s="165"/>
      <c r="AF139" s="165"/>
      <c r="AG139" s="165"/>
      <c r="AH139" s="165"/>
      <c r="AI139" s="165">
        <v>23</v>
      </c>
      <c r="AJ139" s="165">
        <v>42</v>
      </c>
      <c r="AK139" s="166">
        <v>65.099999999999994</v>
      </c>
      <c r="AL139" s="166" t="s">
        <v>81</v>
      </c>
      <c r="AM139" s="166" t="s">
        <v>116</v>
      </c>
      <c r="AN139" s="166">
        <v>8.8000000000000007</v>
      </c>
      <c r="AO139" s="166" t="s">
        <v>81</v>
      </c>
      <c r="AP139" s="166" t="s">
        <v>117</v>
      </c>
      <c r="AQ139" s="166"/>
      <c r="AR139" s="166"/>
      <c r="AS139" s="165"/>
      <c r="AT139" s="165"/>
      <c r="AU139" s="165"/>
      <c r="AV139" s="165"/>
      <c r="AW139" s="165"/>
      <c r="AX139" s="165"/>
      <c r="AY139" s="165"/>
      <c r="AZ139" s="165"/>
      <c r="BA139" s="166"/>
      <c r="BB139" s="166"/>
      <c r="BC139" s="166"/>
      <c r="BD139" s="166"/>
      <c r="BE139" s="166"/>
      <c r="BF139" s="166"/>
      <c r="BG139" s="166"/>
      <c r="BH139" s="166"/>
      <c r="BI139" s="165"/>
      <c r="BJ139" s="165"/>
      <c r="BK139" s="165"/>
      <c r="BL139" s="165"/>
      <c r="BM139" s="165"/>
      <c r="BN139" s="165"/>
      <c r="BO139" s="165"/>
      <c r="BP139" s="165"/>
      <c r="BQ139" s="166"/>
      <c r="BR139" s="165"/>
      <c r="BS139" s="124">
        <v>234</v>
      </c>
      <c r="BT139" s="174"/>
    </row>
    <row r="140" spans="1:72" ht="14.25" hidden="1" customHeight="1" x14ac:dyDescent="0.2">
      <c r="A140" s="91">
        <v>235</v>
      </c>
      <c r="B140" s="233" t="s">
        <v>329</v>
      </c>
      <c r="C140" s="237" t="s">
        <v>330</v>
      </c>
      <c r="D140" s="233" t="s">
        <v>338</v>
      </c>
      <c r="E140" s="125" t="s">
        <v>149</v>
      </c>
      <c r="F140" s="181" t="s">
        <v>103</v>
      </c>
      <c r="G140" s="181" t="s">
        <v>56</v>
      </c>
      <c r="H140" s="181" t="s">
        <v>332</v>
      </c>
      <c r="I140" s="181"/>
      <c r="J140" s="178">
        <v>200</v>
      </c>
      <c r="K140" s="182"/>
      <c r="L140" s="182" t="s">
        <v>58</v>
      </c>
      <c r="M140" s="178" t="s">
        <v>59</v>
      </c>
      <c r="N140" s="178">
        <v>0</v>
      </c>
      <c r="O140" s="178" t="s">
        <v>60</v>
      </c>
      <c r="P140" s="178"/>
      <c r="Q140" s="179"/>
      <c r="R140" s="179" t="s">
        <v>150</v>
      </c>
      <c r="S140" s="180"/>
      <c r="T140" s="179"/>
      <c r="U140" s="179" t="s">
        <v>333</v>
      </c>
      <c r="V140" s="167" t="s">
        <v>154</v>
      </c>
      <c r="W140" s="168"/>
      <c r="Y140" s="167" t="s">
        <v>334</v>
      </c>
      <c r="Z140" s="169" t="s">
        <v>63</v>
      </c>
      <c r="AA140" s="166">
        <v>5</v>
      </c>
      <c r="AB140" s="166">
        <v>0</v>
      </c>
      <c r="AC140" s="165"/>
      <c r="AD140" s="165" t="s">
        <v>80</v>
      </c>
      <c r="AE140" s="165"/>
      <c r="AF140" s="165"/>
      <c r="AG140" s="165"/>
      <c r="AH140" s="165"/>
      <c r="AI140" s="165">
        <v>23</v>
      </c>
      <c r="AJ140" s="165">
        <v>42</v>
      </c>
      <c r="AK140" s="166">
        <v>65.099999999999994</v>
      </c>
      <c r="AL140" s="166" t="s">
        <v>81</v>
      </c>
      <c r="AM140" s="166" t="s">
        <v>116</v>
      </c>
      <c r="AN140" s="166">
        <v>8.8000000000000007</v>
      </c>
      <c r="AO140" s="166" t="s">
        <v>81</v>
      </c>
      <c r="AP140" s="166" t="s">
        <v>117</v>
      </c>
      <c r="AQ140" s="166"/>
      <c r="AR140" s="166"/>
      <c r="AS140" s="165"/>
      <c r="AT140" s="165"/>
      <c r="AU140" s="165"/>
      <c r="AV140" s="165"/>
      <c r="AW140" s="165"/>
      <c r="AX140" s="165"/>
      <c r="AY140" s="165"/>
      <c r="AZ140" s="165"/>
      <c r="BA140" s="166"/>
      <c r="BB140" s="166"/>
      <c r="BC140" s="166"/>
      <c r="BD140" s="166"/>
      <c r="BE140" s="166"/>
      <c r="BF140" s="166"/>
      <c r="BG140" s="166"/>
      <c r="BH140" s="166"/>
      <c r="BI140" s="165"/>
      <c r="BJ140" s="165"/>
      <c r="BK140" s="165"/>
      <c r="BL140" s="165"/>
      <c r="BM140" s="165"/>
      <c r="BN140" s="165"/>
      <c r="BO140" s="165"/>
      <c r="BP140" s="165"/>
      <c r="BQ140" s="166"/>
      <c r="BR140" s="165"/>
      <c r="BS140" s="124">
        <v>235</v>
      </c>
      <c r="BT140" s="174"/>
    </row>
    <row r="141" spans="1:72" ht="14.25" hidden="1" customHeight="1" x14ac:dyDescent="0.2">
      <c r="A141" s="91">
        <v>236</v>
      </c>
      <c r="B141" s="233" t="s">
        <v>329</v>
      </c>
      <c r="C141" s="237" t="s">
        <v>330</v>
      </c>
      <c r="D141" s="233" t="s">
        <v>339</v>
      </c>
      <c r="E141" s="125" t="s">
        <v>149</v>
      </c>
      <c r="F141" s="181" t="s">
        <v>103</v>
      </c>
      <c r="G141" s="181" t="s">
        <v>56</v>
      </c>
      <c r="H141" s="181" t="s">
        <v>332</v>
      </c>
      <c r="I141" s="181"/>
      <c r="J141" s="178">
        <v>200</v>
      </c>
      <c r="K141" s="182"/>
      <c r="L141" s="182" t="s">
        <v>58</v>
      </c>
      <c r="M141" s="178" t="s">
        <v>59</v>
      </c>
      <c r="N141" s="178" t="s">
        <v>336</v>
      </c>
      <c r="O141" s="178" t="s">
        <v>60</v>
      </c>
      <c r="P141" s="178"/>
      <c r="Q141" s="179"/>
      <c r="R141" s="179" t="s">
        <v>150</v>
      </c>
      <c r="S141" s="180"/>
      <c r="T141" s="179"/>
      <c r="U141" s="179" t="s">
        <v>333</v>
      </c>
      <c r="V141" s="167" t="s">
        <v>154</v>
      </c>
      <c r="W141" s="168"/>
      <c r="Y141" s="167" t="s">
        <v>334</v>
      </c>
      <c r="Z141" s="169" t="s">
        <v>63</v>
      </c>
      <c r="AA141" s="166">
        <v>5</v>
      </c>
      <c r="AB141" s="166">
        <v>0</v>
      </c>
      <c r="AC141" s="165"/>
      <c r="AD141" s="165" t="s">
        <v>80</v>
      </c>
      <c r="AE141" s="165"/>
      <c r="AF141" s="165"/>
      <c r="AG141" s="165"/>
      <c r="AH141" s="165"/>
      <c r="AI141" s="165">
        <v>23</v>
      </c>
      <c r="AJ141" s="165">
        <v>42</v>
      </c>
      <c r="AK141" s="166">
        <v>65.099999999999994</v>
      </c>
      <c r="AL141" s="166" t="s">
        <v>81</v>
      </c>
      <c r="AM141" s="166" t="s">
        <v>116</v>
      </c>
      <c r="AN141" s="166">
        <v>8.8000000000000007</v>
      </c>
      <c r="AO141" s="166" t="s">
        <v>81</v>
      </c>
      <c r="AP141" s="166" t="s">
        <v>117</v>
      </c>
      <c r="AQ141" s="166"/>
      <c r="AR141" s="166"/>
      <c r="AS141" s="165"/>
      <c r="AT141" s="165"/>
      <c r="AU141" s="165"/>
      <c r="AV141" s="165"/>
      <c r="AW141" s="165"/>
      <c r="AX141" s="165"/>
      <c r="AY141" s="165"/>
      <c r="AZ141" s="165"/>
      <c r="BA141" s="166"/>
      <c r="BB141" s="166"/>
      <c r="BC141" s="166"/>
      <c r="BD141" s="166"/>
      <c r="BE141" s="166"/>
      <c r="BF141" s="166"/>
      <c r="BG141" s="166"/>
      <c r="BH141" s="166"/>
      <c r="BI141" s="165"/>
      <c r="BJ141" s="165"/>
      <c r="BK141" s="165"/>
      <c r="BL141" s="165"/>
      <c r="BM141" s="165"/>
      <c r="BN141" s="165"/>
      <c r="BO141" s="165"/>
      <c r="BP141" s="165"/>
      <c r="BQ141" s="166"/>
      <c r="BR141" s="165"/>
      <c r="BS141" s="124">
        <v>236</v>
      </c>
      <c r="BT141" s="174"/>
    </row>
    <row r="142" spans="1:72" ht="14.25" hidden="1" customHeight="1" x14ac:dyDescent="0.2">
      <c r="A142" s="91">
        <v>237</v>
      </c>
      <c r="B142" s="233" t="s">
        <v>329</v>
      </c>
      <c r="C142" s="237" t="s">
        <v>330</v>
      </c>
      <c r="D142" s="233" t="s">
        <v>340</v>
      </c>
      <c r="E142" s="125" t="s">
        <v>149</v>
      </c>
      <c r="F142" s="181" t="s">
        <v>103</v>
      </c>
      <c r="G142" s="181" t="s">
        <v>56</v>
      </c>
      <c r="H142" s="181" t="s">
        <v>332</v>
      </c>
      <c r="I142" s="181"/>
      <c r="J142" s="178">
        <v>200</v>
      </c>
      <c r="K142" s="182"/>
      <c r="L142" s="182" t="s">
        <v>58</v>
      </c>
      <c r="M142" s="178" t="s">
        <v>59</v>
      </c>
      <c r="N142" s="178" t="s">
        <v>336</v>
      </c>
      <c r="O142" s="178" t="s">
        <v>60</v>
      </c>
      <c r="P142" s="178"/>
      <c r="Q142" s="179"/>
      <c r="R142" s="179" t="s">
        <v>150</v>
      </c>
      <c r="S142" s="180"/>
      <c r="T142" s="179"/>
      <c r="U142" s="179" t="s">
        <v>333</v>
      </c>
      <c r="V142" s="167" t="s">
        <v>154</v>
      </c>
      <c r="W142" s="168"/>
      <c r="Y142" s="167" t="s">
        <v>334</v>
      </c>
      <c r="Z142" s="169" t="s">
        <v>63</v>
      </c>
      <c r="AA142" s="166">
        <v>5</v>
      </c>
      <c r="AB142" s="166">
        <v>0</v>
      </c>
      <c r="AC142" s="165"/>
      <c r="AD142" s="165" t="s">
        <v>80</v>
      </c>
      <c r="AE142" s="165"/>
      <c r="AF142" s="165"/>
      <c r="AG142" s="165"/>
      <c r="AH142" s="165"/>
      <c r="AI142" s="165">
        <v>23</v>
      </c>
      <c r="AJ142" s="165">
        <v>42</v>
      </c>
      <c r="AK142" s="166">
        <v>65.099999999999994</v>
      </c>
      <c r="AL142" s="166" t="s">
        <v>81</v>
      </c>
      <c r="AM142" s="166" t="s">
        <v>116</v>
      </c>
      <c r="AN142" s="166">
        <v>8.8000000000000007</v>
      </c>
      <c r="AO142" s="166" t="s">
        <v>81</v>
      </c>
      <c r="AP142" s="166" t="s">
        <v>117</v>
      </c>
      <c r="AQ142" s="166"/>
      <c r="AR142" s="166"/>
      <c r="AS142" s="165"/>
      <c r="AT142" s="165"/>
      <c r="AU142" s="165"/>
      <c r="AV142" s="165"/>
      <c r="AW142" s="165"/>
      <c r="AX142" s="165"/>
      <c r="AY142" s="165"/>
      <c r="AZ142" s="165"/>
      <c r="BA142" s="166"/>
      <c r="BB142" s="166"/>
      <c r="BC142" s="166"/>
      <c r="BD142" s="166"/>
      <c r="BE142" s="166"/>
      <c r="BF142" s="166"/>
      <c r="BG142" s="166"/>
      <c r="BH142" s="166"/>
      <c r="BI142" s="165"/>
      <c r="BJ142" s="165"/>
      <c r="BK142" s="165"/>
      <c r="BL142" s="165"/>
      <c r="BM142" s="165"/>
      <c r="BN142" s="165"/>
      <c r="BO142" s="165"/>
      <c r="BP142" s="165"/>
      <c r="BQ142" s="166"/>
      <c r="BR142" s="165"/>
      <c r="BS142" s="124">
        <v>237</v>
      </c>
      <c r="BT142" s="174"/>
    </row>
    <row r="143" spans="1:72" ht="14.25" hidden="1" customHeight="1" x14ac:dyDescent="0.2">
      <c r="A143" s="91">
        <v>238</v>
      </c>
      <c r="B143" s="233" t="s">
        <v>329</v>
      </c>
      <c r="C143" s="237" t="s">
        <v>330</v>
      </c>
      <c r="D143" s="233" t="s">
        <v>341</v>
      </c>
      <c r="E143" s="125" t="s">
        <v>149</v>
      </c>
      <c r="F143" s="181" t="s">
        <v>103</v>
      </c>
      <c r="G143" s="181" t="s">
        <v>56</v>
      </c>
      <c r="H143" s="181" t="s">
        <v>332</v>
      </c>
      <c r="I143" s="181"/>
      <c r="J143" s="178">
        <v>200</v>
      </c>
      <c r="K143" s="182"/>
      <c r="L143" s="182" t="s">
        <v>58</v>
      </c>
      <c r="M143" s="178" t="s">
        <v>59</v>
      </c>
      <c r="N143" s="178" t="s">
        <v>342</v>
      </c>
      <c r="O143" s="178" t="s">
        <v>60</v>
      </c>
      <c r="P143" s="178"/>
      <c r="Q143" s="179"/>
      <c r="R143" s="179" t="s">
        <v>150</v>
      </c>
      <c r="S143" s="180"/>
      <c r="T143" s="179"/>
      <c r="U143" s="179" t="s">
        <v>333</v>
      </c>
      <c r="V143" s="167" t="s">
        <v>154</v>
      </c>
      <c r="W143" s="168"/>
      <c r="Y143" s="167" t="s">
        <v>334</v>
      </c>
      <c r="Z143" s="169" t="s">
        <v>63</v>
      </c>
      <c r="AA143" s="166">
        <v>5</v>
      </c>
      <c r="AB143" s="166">
        <v>0</v>
      </c>
      <c r="AC143" s="165"/>
      <c r="AD143" s="165" t="s">
        <v>80</v>
      </c>
      <c r="AE143" s="165"/>
      <c r="AF143" s="165"/>
      <c r="AG143" s="165"/>
      <c r="AH143" s="165"/>
      <c r="AI143" s="165">
        <v>23</v>
      </c>
      <c r="AJ143" s="165">
        <v>42</v>
      </c>
      <c r="AK143" s="166">
        <v>65.099999999999994</v>
      </c>
      <c r="AL143" s="166" t="s">
        <v>81</v>
      </c>
      <c r="AM143" s="166" t="s">
        <v>116</v>
      </c>
      <c r="AN143" s="166">
        <v>8.8000000000000007</v>
      </c>
      <c r="AO143" s="166" t="s">
        <v>81</v>
      </c>
      <c r="AP143" s="166" t="s">
        <v>117</v>
      </c>
      <c r="AQ143" s="166"/>
      <c r="AR143" s="166"/>
      <c r="AS143" s="165"/>
      <c r="AT143" s="165"/>
      <c r="AU143" s="165"/>
      <c r="AV143" s="165"/>
      <c r="AW143" s="165"/>
      <c r="AX143" s="165"/>
      <c r="AY143" s="165"/>
      <c r="AZ143" s="165"/>
      <c r="BA143" s="166"/>
      <c r="BB143" s="166"/>
      <c r="BC143" s="166"/>
      <c r="BD143" s="166"/>
      <c r="BE143" s="166"/>
      <c r="BF143" s="166"/>
      <c r="BG143" s="166"/>
      <c r="BH143" s="166"/>
      <c r="BI143" s="165"/>
      <c r="BJ143" s="165"/>
      <c r="BK143" s="165"/>
      <c r="BL143" s="165"/>
      <c r="BM143" s="165"/>
      <c r="BN143" s="165"/>
      <c r="BO143" s="165"/>
      <c r="BP143" s="165"/>
      <c r="BQ143" s="166"/>
      <c r="BR143" s="165"/>
      <c r="BS143" s="124">
        <v>238</v>
      </c>
      <c r="BT143" s="174"/>
    </row>
    <row r="144" spans="1:72" ht="14.25" hidden="1" customHeight="1" x14ac:dyDescent="0.2">
      <c r="A144" s="91">
        <v>239</v>
      </c>
      <c r="B144" s="233" t="s">
        <v>329</v>
      </c>
      <c r="C144" s="237" t="s">
        <v>330</v>
      </c>
      <c r="D144" s="233" t="s">
        <v>343</v>
      </c>
      <c r="E144" s="125" t="s">
        <v>149</v>
      </c>
      <c r="F144" s="181" t="s">
        <v>103</v>
      </c>
      <c r="G144" s="181" t="s">
        <v>56</v>
      </c>
      <c r="H144" s="181" t="s">
        <v>332</v>
      </c>
      <c r="I144" s="181"/>
      <c r="J144" s="178">
        <v>200</v>
      </c>
      <c r="K144" s="182"/>
      <c r="L144" s="182" t="s">
        <v>58</v>
      </c>
      <c r="M144" s="178" t="s">
        <v>59</v>
      </c>
      <c r="N144" s="178" t="s">
        <v>344</v>
      </c>
      <c r="O144" s="178" t="s">
        <v>60</v>
      </c>
      <c r="P144" s="178"/>
      <c r="Q144" s="179"/>
      <c r="R144" s="179" t="s">
        <v>150</v>
      </c>
      <c r="S144" s="180"/>
      <c r="T144" s="179"/>
      <c r="U144" s="179" t="s">
        <v>333</v>
      </c>
      <c r="V144" s="167" t="s">
        <v>154</v>
      </c>
      <c r="W144" s="168"/>
      <c r="Y144" s="167" t="s">
        <v>334</v>
      </c>
      <c r="Z144" s="169" t="s">
        <v>63</v>
      </c>
      <c r="AA144" s="166">
        <v>5</v>
      </c>
      <c r="AB144" s="166">
        <v>0</v>
      </c>
      <c r="AC144" s="165"/>
      <c r="AD144" s="165" t="s">
        <v>80</v>
      </c>
      <c r="AE144" s="165"/>
      <c r="AF144" s="165"/>
      <c r="AG144" s="165"/>
      <c r="AH144" s="165"/>
      <c r="AI144" s="165">
        <v>23</v>
      </c>
      <c r="AJ144" s="165">
        <v>42</v>
      </c>
      <c r="AK144" s="166">
        <v>65.099999999999994</v>
      </c>
      <c r="AL144" s="166" t="s">
        <v>81</v>
      </c>
      <c r="AM144" s="166" t="s">
        <v>116</v>
      </c>
      <c r="AN144" s="166">
        <v>8.8000000000000007</v>
      </c>
      <c r="AO144" s="166" t="s">
        <v>81</v>
      </c>
      <c r="AP144" s="166" t="s">
        <v>117</v>
      </c>
      <c r="AQ144" s="166"/>
      <c r="AR144" s="166"/>
      <c r="AS144" s="165"/>
      <c r="AT144" s="165"/>
      <c r="AU144" s="165"/>
      <c r="AV144" s="165"/>
      <c r="AW144" s="165"/>
      <c r="AX144" s="165"/>
      <c r="AY144" s="165"/>
      <c r="AZ144" s="165"/>
      <c r="BA144" s="166"/>
      <c r="BB144" s="166"/>
      <c r="BC144" s="166"/>
      <c r="BD144" s="166"/>
      <c r="BE144" s="166"/>
      <c r="BF144" s="166"/>
      <c r="BG144" s="166"/>
      <c r="BH144" s="166"/>
      <c r="BI144" s="165"/>
      <c r="BJ144" s="165"/>
      <c r="BK144" s="165"/>
      <c r="BL144" s="165"/>
      <c r="BM144" s="165"/>
      <c r="BN144" s="165"/>
      <c r="BO144" s="165"/>
      <c r="BP144" s="165"/>
      <c r="BQ144" s="166"/>
      <c r="BR144" s="165"/>
      <c r="BS144" s="124">
        <v>239</v>
      </c>
      <c r="BT144" s="124"/>
    </row>
    <row r="145" spans="1:72" ht="14.25" hidden="1" customHeight="1" x14ac:dyDescent="0.2">
      <c r="A145" s="91">
        <v>240</v>
      </c>
      <c r="B145" s="233" t="s">
        <v>329</v>
      </c>
      <c r="C145" s="237" t="s">
        <v>330</v>
      </c>
      <c r="D145" s="233" t="s">
        <v>345</v>
      </c>
      <c r="E145" s="125" t="s">
        <v>149</v>
      </c>
      <c r="F145" s="181" t="s">
        <v>103</v>
      </c>
      <c r="G145" s="181" t="s">
        <v>56</v>
      </c>
      <c r="H145" s="181" t="s">
        <v>332</v>
      </c>
      <c r="I145" s="181"/>
      <c r="J145" s="178">
        <v>200</v>
      </c>
      <c r="K145" s="182"/>
      <c r="L145" s="182" t="s">
        <v>58</v>
      </c>
      <c r="M145" s="178" t="s">
        <v>59</v>
      </c>
      <c r="N145" s="178" t="s">
        <v>344</v>
      </c>
      <c r="O145" s="178" t="s">
        <v>60</v>
      </c>
      <c r="P145" s="178"/>
      <c r="Q145" s="179"/>
      <c r="R145" s="179" t="s">
        <v>150</v>
      </c>
      <c r="S145" s="180"/>
      <c r="T145" s="179"/>
      <c r="U145" s="179" t="s">
        <v>333</v>
      </c>
      <c r="V145" s="167" t="s">
        <v>154</v>
      </c>
      <c r="W145" s="168"/>
      <c r="Y145" s="167" t="s">
        <v>334</v>
      </c>
      <c r="Z145" s="169" t="s">
        <v>63</v>
      </c>
      <c r="AA145" s="166">
        <v>5</v>
      </c>
      <c r="AB145" s="166">
        <v>0</v>
      </c>
      <c r="AC145" s="165"/>
      <c r="AD145" s="165" t="s">
        <v>80</v>
      </c>
      <c r="AE145" s="165"/>
      <c r="AF145" s="165"/>
      <c r="AG145" s="165"/>
      <c r="AH145" s="165"/>
      <c r="AI145" s="165">
        <v>23</v>
      </c>
      <c r="AJ145" s="165">
        <v>42</v>
      </c>
      <c r="AK145" s="166">
        <v>65.099999999999994</v>
      </c>
      <c r="AL145" s="166" t="s">
        <v>81</v>
      </c>
      <c r="AM145" s="166" t="s">
        <v>116</v>
      </c>
      <c r="AN145" s="166">
        <v>8.8000000000000007</v>
      </c>
      <c r="AO145" s="166" t="s">
        <v>81</v>
      </c>
      <c r="AP145" s="166" t="s">
        <v>117</v>
      </c>
      <c r="AQ145" s="166"/>
      <c r="AR145" s="166"/>
      <c r="AS145" s="165"/>
      <c r="AT145" s="165"/>
      <c r="AU145" s="165"/>
      <c r="AV145" s="165"/>
      <c r="AW145" s="165"/>
      <c r="AX145" s="165"/>
      <c r="AY145" s="165"/>
      <c r="AZ145" s="165"/>
      <c r="BA145" s="166"/>
      <c r="BB145" s="166"/>
      <c r="BC145" s="166"/>
      <c r="BD145" s="166"/>
      <c r="BE145" s="166"/>
      <c r="BF145" s="166"/>
      <c r="BG145" s="166"/>
      <c r="BH145" s="166"/>
      <c r="BI145" s="165"/>
      <c r="BJ145" s="165"/>
      <c r="BK145" s="165"/>
      <c r="BL145" s="165"/>
      <c r="BM145" s="165"/>
      <c r="BN145" s="165"/>
      <c r="BO145" s="165"/>
      <c r="BP145" s="165"/>
      <c r="BQ145" s="166"/>
      <c r="BR145" s="165"/>
      <c r="BS145" s="124">
        <v>240</v>
      </c>
      <c r="BT145" s="124"/>
    </row>
    <row r="146" spans="1:72" ht="14.25" hidden="1" customHeight="1" x14ac:dyDescent="0.2">
      <c r="A146" s="92">
        <v>241</v>
      </c>
      <c r="B146" s="235" t="s">
        <v>346</v>
      </c>
      <c r="C146" s="236" t="s">
        <v>347</v>
      </c>
      <c r="D146" s="235" t="s">
        <v>202</v>
      </c>
      <c r="E146" s="125" t="s">
        <v>203</v>
      </c>
      <c r="F146" s="181" t="s">
        <v>103</v>
      </c>
      <c r="G146" s="181" t="s">
        <v>56</v>
      </c>
      <c r="H146" s="181" t="s">
        <v>204</v>
      </c>
      <c r="I146" s="181"/>
      <c r="J146" s="178">
        <v>0.5</v>
      </c>
      <c r="K146" s="182"/>
      <c r="L146" s="182" t="s">
        <v>205</v>
      </c>
      <c r="M146" s="178" t="s">
        <v>78</v>
      </c>
      <c r="N146" s="178" t="s">
        <v>348</v>
      </c>
      <c r="O146" s="178" t="s">
        <v>60</v>
      </c>
      <c r="P146" s="178" t="s">
        <v>206</v>
      </c>
      <c r="Q146" s="179"/>
      <c r="R146" s="179" t="s">
        <v>349</v>
      </c>
      <c r="S146" s="180">
        <v>60</v>
      </c>
      <c r="T146" s="179"/>
      <c r="U146" s="179"/>
      <c r="V146" s="167"/>
      <c r="W146" s="168"/>
      <c r="Y146" s="167"/>
      <c r="Z146" s="82" t="s">
        <v>63</v>
      </c>
      <c r="AA146" s="166">
        <v>11</v>
      </c>
      <c r="AB146" s="166">
        <v>4</v>
      </c>
      <c r="AC146" s="165">
        <v>24.7</v>
      </c>
      <c r="AD146" s="165" t="s">
        <v>80</v>
      </c>
      <c r="AE146" s="165" t="s">
        <v>116</v>
      </c>
      <c r="AF146" s="165">
        <v>2.1</v>
      </c>
      <c r="AG146" s="165" t="s">
        <v>80</v>
      </c>
      <c r="AH146" s="165" t="s">
        <v>117</v>
      </c>
      <c r="AI146" s="165"/>
      <c r="AJ146" s="165"/>
      <c r="AK146" s="166">
        <v>66.5</v>
      </c>
      <c r="AL146" s="166" t="s">
        <v>81</v>
      </c>
      <c r="AM146" s="166" t="s">
        <v>118</v>
      </c>
      <c r="AN146" s="166">
        <v>11.2</v>
      </c>
      <c r="AO146" s="166" t="s">
        <v>81</v>
      </c>
      <c r="AP146" s="166" t="s">
        <v>117</v>
      </c>
      <c r="AQ146" s="166"/>
      <c r="AR146" s="166"/>
      <c r="AS146" s="165"/>
      <c r="AT146" s="165"/>
      <c r="AU146" s="165"/>
      <c r="AV146" s="165"/>
      <c r="AW146" s="165"/>
      <c r="AX146" s="165"/>
      <c r="AY146" s="165"/>
      <c r="AZ146" s="165"/>
      <c r="BA146" s="166"/>
      <c r="BB146" s="166"/>
      <c r="BC146" s="166"/>
      <c r="BD146" s="166"/>
      <c r="BE146" s="166"/>
      <c r="BF146" s="166"/>
      <c r="BG146" s="166"/>
      <c r="BH146" s="166"/>
      <c r="BI146" s="165"/>
      <c r="BJ146" s="165"/>
      <c r="BK146" s="165"/>
      <c r="BL146" s="165"/>
      <c r="BM146" s="165"/>
      <c r="BN146" s="165"/>
      <c r="BO146" s="165"/>
      <c r="BP146" s="165"/>
      <c r="BQ146" s="166" t="s">
        <v>238</v>
      </c>
      <c r="BR146" s="165" t="s">
        <v>209</v>
      </c>
      <c r="BS146" s="124">
        <v>241</v>
      </c>
      <c r="BT146" s="124"/>
    </row>
    <row r="147" spans="1:72" ht="14.25" hidden="1" customHeight="1" x14ac:dyDescent="0.2">
      <c r="A147" s="92">
        <v>242</v>
      </c>
      <c r="B147" s="235" t="s">
        <v>346</v>
      </c>
      <c r="C147" s="236" t="s">
        <v>347</v>
      </c>
      <c r="D147" s="235" t="s">
        <v>210</v>
      </c>
      <c r="E147" s="125" t="s">
        <v>203</v>
      </c>
      <c r="F147" s="181" t="s">
        <v>103</v>
      </c>
      <c r="G147" s="181" t="s">
        <v>56</v>
      </c>
      <c r="H147" s="181" t="s">
        <v>350</v>
      </c>
      <c r="I147" s="181"/>
      <c r="J147" s="178">
        <v>1</v>
      </c>
      <c r="K147" s="182"/>
      <c r="L147" s="182" t="s">
        <v>205</v>
      </c>
      <c r="M147" s="178" t="s">
        <v>78</v>
      </c>
      <c r="N147" s="178" t="s">
        <v>348</v>
      </c>
      <c r="O147" s="178" t="s">
        <v>60</v>
      </c>
      <c r="P147" s="178" t="s">
        <v>206</v>
      </c>
      <c r="Q147" s="179"/>
      <c r="R147" s="179" t="s">
        <v>349</v>
      </c>
      <c r="S147" s="180">
        <v>60</v>
      </c>
      <c r="T147" s="179"/>
      <c r="U147" s="179"/>
      <c r="V147" s="167"/>
      <c r="W147" s="168"/>
      <c r="Y147" s="167"/>
      <c r="Z147" s="82" t="s">
        <v>63</v>
      </c>
      <c r="AA147" s="166">
        <v>11</v>
      </c>
      <c r="AB147" s="166">
        <v>4</v>
      </c>
      <c r="AC147" s="165">
        <v>24.7</v>
      </c>
      <c r="AD147" s="165" t="s">
        <v>80</v>
      </c>
      <c r="AE147" s="165" t="s">
        <v>116</v>
      </c>
      <c r="AF147" s="165">
        <v>2.1</v>
      </c>
      <c r="AG147" s="165" t="s">
        <v>80</v>
      </c>
      <c r="AH147" s="165" t="s">
        <v>117</v>
      </c>
      <c r="AI147" s="165"/>
      <c r="AJ147" s="165"/>
      <c r="AK147" s="166">
        <v>66.5</v>
      </c>
      <c r="AL147" s="166" t="s">
        <v>81</v>
      </c>
      <c r="AM147" s="166" t="s">
        <v>118</v>
      </c>
      <c r="AN147" s="166">
        <v>11.2</v>
      </c>
      <c r="AO147" s="166" t="s">
        <v>81</v>
      </c>
      <c r="AP147" s="166" t="s">
        <v>117</v>
      </c>
      <c r="AQ147" s="166"/>
      <c r="AR147" s="166"/>
      <c r="AS147" s="165"/>
      <c r="AT147" s="165"/>
      <c r="AU147" s="165"/>
      <c r="AV147" s="165"/>
      <c r="AW147" s="165"/>
      <c r="AX147" s="165"/>
      <c r="AY147" s="165"/>
      <c r="AZ147" s="165"/>
      <c r="BA147" s="166"/>
      <c r="BB147" s="166"/>
      <c r="BC147" s="166"/>
      <c r="BD147" s="166"/>
      <c r="BE147" s="166"/>
      <c r="BF147" s="166"/>
      <c r="BG147" s="166"/>
      <c r="BH147" s="166"/>
      <c r="BI147" s="165"/>
      <c r="BJ147" s="165"/>
      <c r="BK147" s="165"/>
      <c r="BL147" s="165"/>
      <c r="BM147" s="165"/>
      <c r="BN147" s="165"/>
      <c r="BO147" s="165"/>
      <c r="BP147" s="165"/>
      <c r="BQ147" s="166" t="s">
        <v>238</v>
      </c>
      <c r="BR147" s="165" t="s">
        <v>209</v>
      </c>
      <c r="BS147" s="124">
        <v>242</v>
      </c>
      <c r="BT147" s="124"/>
    </row>
    <row r="148" spans="1:72" ht="14.25" hidden="1" customHeight="1" x14ac:dyDescent="0.2">
      <c r="A148" s="92">
        <v>243</v>
      </c>
      <c r="B148" s="233" t="s">
        <v>351</v>
      </c>
      <c r="C148" s="237" t="s">
        <v>352</v>
      </c>
      <c r="D148" s="233" t="s">
        <v>353</v>
      </c>
      <c r="E148" s="125" t="s">
        <v>102</v>
      </c>
      <c r="F148" s="181" t="s">
        <v>103</v>
      </c>
      <c r="G148" s="181" t="s">
        <v>76</v>
      </c>
      <c r="H148" s="181" t="s">
        <v>354</v>
      </c>
      <c r="I148" s="181"/>
      <c r="J148" s="178">
        <v>0.15</v>
      </c>
      <c r="K148" s="182"/>
      <c r="L148" s="182" t="s">
        <v>107</v>
      </c>
      <c r="M148" s="178" t="s">
        <v>78</v>
      </c>
      <c r="N148" s="178">
        <v>0</v>
      </c>
      <c r="O148" s="178" t="s">
        <v>60</v>
      </c>
      <c r="P148" s="178" t="s">
        <v>79</v>
      </c>
      <c r="Q148" s="179"/>
      <c r="R148" s="179"/>
      <c r="S148" s="180">
        <v>0</v>
      </c>
      <c r="T148" s="179"/>
      <c r="U148" s="179"/>
      <c r="V148" s="167"/>
      <c r="W148" s="168"/>
      <c r="Y148" s="167"/>
      <c r="Z148" s="169" t="s">
        <v>63</v>
      </c>
      <c r="AA148" s="166">
        <v>1</v>
      </c>
      <c r="AB148" s="166"/>
      <c r="AC148" s="165"/>
      <c r="AD148" s="165" t="s">
        <v>80</v>
      </c>
      <c r="AE148" s="165"/>
      <c r="AF148" s="165"/>
      <c r="AG148" s="165"/>
      <c r="AH148" s="165"/>
      <c r="AI148" s="165">
        <v>22</v>
      </c>
      <c r="AJ148" s="165">
        <v>27</v>
      </c>
      <c r="AK148" s="166">
        <v>72</v>
      </c>
      <c r="AL148" s="166" t="s">
        <v>81</v>
      </c>
      <c r="AM148" s="166" t="s">
        <v>264</v>
      </c>
      <c r="AN148" s="166"/>
      <c r="AO148" s="166"/>
      <c r="AP148" s="166"/>
      <c r="AQ148" s="166"/>
      <c r="AR148" s="166"/>
      <c r="AS148" s="165"/>
      <c r="AT148" s="165"/>
      <c r="AU148" s="165"/>
      <c r="AV148" s="165"/>
      <c r="AW148" s="165"/>
      <c r="AX148" s="165"/>
      <c r="AY148" s="165"/>
      <c r="AZ148" s="165"/>
      <c r="BA148" s="166"/>
      <c r="BB148" s="166"/>
      <c r="BC148" s="166"/>
      <c r="BD148" s="166"/>
      <c r="BE148" s="166"/>
      <c r="BF148" s="166"/>
      <c r="BG148" s="166"/>
      <c r="BH148" s="166"/>
      <c r="BI148" s="165"/>
      <c r="BJ148" s="165"/>
      <c r="BK148" s="165"/>
      <c r="BL148" s="165"/>
      <c r="BM148" s="165"/>
      <c r="BN148" s="165"/>
      <c r="BO148" s="165"/>
      <c r="BP148" s="165"/>
      <c r="BQ148" s="166"/>
      <c r="BR148" s="165"/>
      <c r="BS148" s="124">
        <v>243</v>
      </c>
      <c r="BT148" s="124"/>
    </row>
    <row r="149" spans="1:72" ht="14.25" hidden="1" customHeight="1" x14ac:dyDescent="0.2">
      <c r="A149" s="92">
        <v>244</v>
      </c>
      <c r="B149" s="233" t="s">
        <v>351</v>
      </c>
      <c r="C149" s="237" t="s">
        <v>352</v>
      </c>
      <c r="D149" s="233" t="s">
        <v>355</v>
      </c>
      <c r="E149" s="125" t="s">
        <v>102</v>
      </c>
      <c r="F149" s="181" t="s">
        <v>103</v>
      </c>
      <c r="G149" s="181" t="s">
        <v>76</v>
      </c>
      <c r="H149" s="181" t="s">
        <v>354</v>
      </c>
      <c r="I149" s="181"/>
      <c r="J149" s="178">
        <v>0.15</v>
      </c>
      <c r="K149" s="182"/>
      <c r="L149" s="182" t="s">
        <v>107</v>
      </c>
      <c r="M149" s="178" t="s">
        <v>78</v>
      </c>
      <c r="N149" s="178">
        <v>0</v>
      </c>
      <c r="O149" s="178" t="s">
        <v>60</v>
      </c>
      <c r="P149" s="178" t="s">
        <v>79</v>
      </c>
      <c r="Q149" s="179"/>
      <c r="R149" s="179"/>
      <c r="S149" s="180">
        <v>0</v>
      </c>
      <c r="T149" s="179"/>
      <c r="U149" s="179"/>
      <c r="V149" s="167"/>
      <c r="W149" s="168"/>
      <c r="Y149" s="167"/>
      <c r="Z149" s="169" t="s">
        <v>63</v>
      </c>
      <c r="AA149" s="166">
        <v>1</v>
      </c>
      <c r="AB149" s="166"/>
      <c r="AC149" s="165"/>
      <c r="AD149" s="165" t="s">
        <v>80</v>
      </c>
      <c r="AE149" s="165"/>
      <c r="AF149" s="165"/>
      <c r="AG149" s="165"/>
      <c r="AH149" s="165"/>
      <c r="AI149" s="165">
        <v>22</v>
      </c>
      <c r="AJ149" s="165">
        <v>27</v>
      </c>
      <c r="AK149" s="166">
        <v>76</v>
      </c>
      <c r="AL149" s="166" t="s">
        <v>81</v>
      </c>
      <c r="AM149" s="166" t="s">
        <v>264</v>
      </c>
      <c r="AN149" s="166"/>
      <c r="AO149" s="166"/>
      <c r="AP149" s="166"/>
      <c r="AQ149" s="166"/>
      <c r="AR149" s="166"/>
      <c r="AS149" s="165"/>
      <c r="AT149" s="165"/>
      <c r="AU149" s="165"/>
      <c r="AV149" s="165"/>
      <c r="AW149" s="165"/>
      <c r="AX149" s="165"/>
      <c r="AY149" s="165"/>
      <c r="AZ149" s="165"/>
      <c r="BA149" s="166"/>
      <c r="BB149" s="166"/>
      <c r="BC149" s="166"/>
      <c r="BD149" s="166"/>
      <c r="BE149" s="166"/>
      <c r="BF149" s="166"/>
      <c r="BG149" s="166"/>
      <c r="BH149" s="166"/>
      <c r="BI149" s="165"/>
      <c r="BJ149" s="165"/>
      <c r="BK149" s="165"/>
      <c r="BL149" s="165"/>
      <c r="BM149" s="165"/>
      <c r="BN149" s="165"/>
      <c r="BO149" s="165"/>
      <c r="BP149" s="165"/>
      <c r="BQ149" s="166"/>
      <c r="BR149" s="165"/>
      <c r="BS149" s="124">
        <v>244</v>
      </c>
      <c r="BT149" s="124"/>
    </row>
    <row r="150" spans="1:72" ht="14.25" hidden="1" customHeight="1" x14ac:dyDescent="0.2">
      <c r="A150" s="92">
        <v>245</v>
      </c>
      <c r="B150" s="233" t="s">
        <v>351</v>
      </c>
      <c r="C150" s="237" t="s">
        <v>352</v>
      </c>
      <c r="D150" s="233" t="s">
        <v>356</v>
      </c>
      <c r="E150" s="125" t="s">
        <v>102</v>
      </c>
      <c r="F150" s="181" t="s">
        <v>103</v>
      </c>
      <c r="G150" s="181" t="s">
        <v>76</v>
      </c>
      <c r="H150" s="181" t="s">
        <v>354</v>
      </c>
      <c r="I150" s="181"/>
      <c r="J150" s="178">
        <v>0.15</v>
      </c>
      <c r="K150" s="182"/>
      <c r="L150" s="182" t="s">
        <v>107</v>
      </c>
      <c r="M150" s="178" t="s">
        <v>78</v>
      </c>
      <c r="N150" s="178">
        <v>0</v>
      </c>
      <c r="O150" s="178" t="s">
        <v>60</v>
      </c>
      <c r="P150" s="178" t="s">
        <v>79</v>
      </c>
      <c r="Q150" s="179"/>
      <c r="R150" s="179"/>
      <c r="S150" s="180">
        <v>0</v>
      </c>
      <c r="T150" s="179"/>
      <c r="U150" s="179"/>
      <c r="V150" s="167"/>
      <c r="W150" s="168"/>
      <c r="Y150" s="167"/>
      <c r="Z150" s="169" t="s">
        <v>63</v>
      </c>
      <c r="AA150" s="166">
        <v>1</v>
      </c>
      <c r="AB150" s="166"/>
      <c r="AC150" s="165"/>
      <c r="AD150" s="165" t="s">
        <v>80</v>
      </c>
      <c r="AE150" s="165"/>
      <c r="AF150" s="165"/>
      <c r="AG150" s="165"/>
      <c r="AH150" s="165"/>
      <c r="AI150" s="165">
        <v>22</v>
      </c>
      <c r="AJ150" s="165">
        <v>27</v>
      </c>
      <c r="AK150" s="166">
        <v>77.3</v>
      </c>
      <c r="AL150" s="166" t="s">
        <v>81</v>
      </c>
      <c r="AM150" s="166" t="s">
        <v>264</v>
      </c>
      <c r="AN150" s="166"/>
      <c r="AO150" s="166"/>
      <c r="AP150" s="166"/>
      <c r="AQ150" s="166"/>
      <c r="AR150" s="166"/>
      <c r="AS150" s="165"/>
      <c r="AT150" s="165"/>
      <c r="AU150" s="165"/>
      <c r="AV150" s="165"/>
      <c r="AW150" s="165"/>
      <c r="AX150" s="165"/>
      <c r="AY150" s="165"/>
      <c r="AZ150" s="165"/>
      <c r="BA150" s="166"/>
      <c r="BB150" s="166"/>
      <c r="BC150" s="166"/>
      <c r="BD150" s="166"/>
      <c r="BE150" s="166"/>
      <c r="BF150" s="166"/>
      <c r="BG150" s="166"/>
      <c r="BH150" s="166"/>
      <c r="BI150" s="165"/>
      <c r="BJ150" s="165"/>
      <c r="BK150" s="165"/>
      <c r="BL150" s="165"/>
      <c r="BM150" s="165"/>
      <c r="BN150" s="165"/>
      <c r="BO150" s="165"/>
      <c r="BP150" s="165"/>
      <c r="BQ150" s="166"/>
      <c r="BR150" s="165"/>
      <c r="BS150" s="124">
        <v>245</v>
      </c>
      <c r="BT150" s="124"/>
    </row>
    <row r="151" spans="1:72" ht="14.25" hidden="1" customHeight="1" x14ac:dyDescent="0.2">
      <c r="A151" s="92">
        <v>246</v>
      </c>
      <c r="B151" s="233" t="s">
        <v>351</v>
      </c>
      <c r="C151" s="237" t="s">
        <v>352</v>
      </c>
      <c r="D151" s="233" t="s">
        <v>357</v>
      </c>
      <c r="E151" s="125" t="s">
        <v>102</v>
      </c>
      <c r="F151" s="181" t="s">
        <v>103</v>
      </c>
      <c r="G151" s="181" t="s">
        <v>76</v>
      </c>
      <c r="H151" s="181" t="s">
        <v>354</v>
      </c>
      <c r="I151" s="181"/>
      <c r="J151" s="178">
        <v>0.15</v>
      </c>
      <c r="K151" s="182"/>
      <c r="L151" s="182" t="s">
        <v>107</v>
      </c>
      <c r="M151" s="178" t="s">
        <v>78</v>
      </c>
      <c r="N151" s="178">
        <v>0</v>
      </c>
      <c r="O151" s="178" t="s">
        <v>60</v>
      </c>
      <c r="P151" s="178" t="s">
        <v>79</v>
      </c>
      <c r="Q151" s="179"/>
      <c r="R151" s="179"/>
      <c r="S151" s="180">
        <v>0</v>
      </c>
      <c r="T151" s="179"/>
      <c r="U151" s="179"/>
      <c r="V151" s="167"/>
      <c r="W151" s="168"/>
      <c r="Y151" s="167"/>
      <c r="Z151" s="169" t="s">
        <v>63</v>
      </c>
      <c r="AA151" s="166">
        <v>1</v>
      </c>
      <c r="AB151" s="166"/>
      <c r="AC151" s="165"/>
      <c r="AD151" s="165" t="s">
        <v>80</v>
      </c>
      <c r="AE151" s="165"/>
      <c r="AF151" s="165"/>
      <c r="AG151" s="165"/>
      <c r="AH151" s="165"/>
      <c r="AI151" s="165">
        <v>22</v>
      </c>
      <c r="AJ151" s="165">
        <v>27</v>
      </c>
      <c r="AK151" s="166">
        <v>54.7</v>
      </c>
      <c r="AL151" s="166" t="s">
        <v>81</v>
      </c>
      <c r="AM151" s="166" t="s">
        <v>264</v>
      </c>
      <c r="AN151" s="166"/>
      <c r="AO151" s="166"/>
      <c r="AP151" s="166"/>
      <c r="AQ151" s="166"/>
      <c r="AR151" s="166"/>
      <c r="AS151" s="165"/>
      <c r="AT151" s="165"/>
      <c r="AU151" s="165"/>
      <c r="AV151" s="165"/>
      <c r="AW151" s="165"/>
      <c r="AX151" s="165"/>
      <c r="AY151" s="165"/>
      <c r="AZ151" s="165"/>
      <c r="BA151" s="166"/>
      <c r="BB151" s="166"/>
      <c r="BC151" s="166"/>
      <c r="BD151" s="166"/>
      <c r="BE151" s="166"/>
      <c r="BF151" s="166"/>
      <c r="BG151" s="166"/>
      <c r="BH151" s="166"/>
      <c r="BI151" s="165"/>
      <c r="BJ151" s="165"/>
      <c r="BK151" s="165"/>
      <c r="BL151" s="165"/>
      <c r="BM151" s="165"/>
      <c r="BN151" s="165"/>
      <c r="BO151" s="165"/>
      <c r="BP151" s="165"/>
      <c r="BQ151" s="166"/>
      <c r="BR151" s="165"/>
      <c r="BS151" s="124">
        <v>246</v>
      </c>
      <c r="BT151" s="124"/>
    </row>
    <row r="152" spans="1:72" ht="14.25" hidden="1" customHeight="1" x14ac:dyDescent="0.2">
      <c r="A152" s="92">
        <v>247</v>
      </c>
      <c r="B152" s="233" t="s">
        <v>351</v>
      </c>
      <c r="C152" s="237" t="s">
        <v>352</v>
      </c>
      <c r="D152" s="233" t="s">
        <v>358</v>
      </c>
      <c r="E152" s="125" t="s">
        <v>102</v>
      </c>
      <c r="F152" s="181" t="s">
        <v>103</v>
      </c>
      <c r="G152" s="181" t="s">
        <v>76</v>
      </c>
      <c r="H152" s="181" t="s">
        <v>354</v>
      </c>
      <c r="I152" s="181"/>
      <c r="J152" s="178">
        <v>0.15</v>
      </c>
      <c r="K152" s="182"/>
      <c r="L152" s="182" t="s">
        <v>107</v>
      </c>
      <c r="M152" s="178" t="s">
        <v>78</v>
      </c>
      <c r="N152" s="178">
        <v>0</v>
      </c>
      <c r="O152" s="178" t="s">
        <v>60</v>
      </c>
      <c r="P152" s="178" t="s">
        <v>79</v>
      </c>
      <c r="Q152" s="179"/>
      <c r="R152" s="179"/>
      <c r="S152" s="180">
        <v>0</v>
      </c>
      <c r="T152" s="179"/>
      <c r="U152" s="179"/>
      <c r="V152" s="167"/>
      <c r="W152" s="168"/>
      <c r="Y152" s="167"/>
      <c r="Z152" s="169" t="s">
        <v>63</v>
      </c>
      <c r="AA152" s="166">
        <v>1</v>
      </c>
      <c r="AB152" s="166"/>
      <c r="AC152" s="165"/>
      <c r="AD152" s="165" t="s">
        <v>80</v>
      </c>
      <c r="AE152" s="165"/>
      <c r="AF152" s="165"/>
      <c r="AG152" s="165"/>
      <c r="AH152" s="165"/>
      <c r="AI152" s="165">
        <v>22</v>
      </c>
      <c r="AJ152" s="165">
        <v>27</v>
      </c>
      <c r="AK152" s="166">
        <v>61.3</v>
      </c>
      <c r="AL152" s="166" t="s">
        <v>81</v>
      </c>
      <c r="AM152" s="166" t="s">
        <v>264</v>
      </c>
      <c r="AN152" s="166"/>
      <c r="AO152" s="166"/>
      <c r="AP152" s="166"/>
      <c r="AQ152" s="166"/>
      <c r="AR152" s="166"/>
      <c r="AS152" s="165"/>
      <c r="AT152" s="165"/>
      <c r="AU152" s="165"/>
      <c r="AV152" s="165"/>
      <c r="AW152" s="165"/>
      <c r="AX152" s="165"/>
      <c r="AY152" s="165"/>
      <c r="AZ152" s="165"/>
      <c r="BA152" s="166"/>
      <c r="BB152" s="166"/>
      <c r="BC152" s="166"/>
      <c r="BD152" s="166"/>
      <c r="BE152" s="166"/>
      <c r="BF152" s="166"/>
      <c r="BG152" s="166"/>
      <c r="BH152" s="166"/>
      <c r="BI152" s="165"/>
      <c r="BJ152" s="165"/>
      <c r="BK152" s="165"/>
      <c r="BL152" s="165"/>
      <c r="BM152" s="165"/>
      <c r="BN152" s="165"/>
      <c r="BO152" s="165"/>
      <c r="BP152" s="165"/>
      <c r="BQ152" s="166"/>
      <c r="BR152" s="165"/>
      <c r="BS152" s="124">
        <v>247</v>
      </c>
      <c r="BT152" s="124"/>
    </row>
    <row r="153" spans="1:72" ht="14.25" hidden="1" customHeight="1" x14ac:dyDescent="0.2">
      <c r="A153" s="92">
        <v>248</v>
      </c>
      <c r="B153" s="233" t="s">
        <v>351</v>
      </c>
      <c r="C153" s="237" t="s">
        <v>352</v>
      </c>
      <c r="D153" s="233" t="s">
        <v>359</v>
      </c>
      <c r="E153" s="125" t="s">
        <v>102</v>
      </c>
      <c r="F153" s="181" t="s">
        <v>103</v>
      </c>
      <c r="G153" s="181" t="s">
        <v>76</v>
      </c>
      <c r="H153" s="181" t="s">
        <v>354</v>
      </c>
      <c r="I153" s="181"/>
      <c r="J153" s="178">
        <v>0.15</v>
      </c>
      <c r="K153" s="182"/>
      <c r="L153" s="182" t="s">
        <v>107</v>
      </c>
      <c r="M153" s="178" t="s">
        <v>78</v>
      </c>
      <c r="N153" s="178">
        <v>0</v>
      </c>
      <c r="O153" s="178" t="s">
        <v>60</v>
      </c>
      <c r="P153" s="178" t="s">
        <v>79</v>
      </c>
      <c r="Q153" s="179"/>
      <c r="R153" s="179"/>
      <c r="S153" s="180">
        <v>0</v>
      </c>
      <c r="T153" s="179"/>
      <c r="U153" s="179"/>
      <c r="V153" s="167"/>
      <c r="W153" s="168"/>
      <c r="Y153" s="167"/>
      <c r="Z153" s="169" t="s">
        <v>63</v>
      </c>
      <c r="AA153" s="166">
        <v>1</v>
      </c>
      <c r="AB153" s="166"/>
      <c r="AC153" s="165"/>
      <c r="AD153" s="165" t="s">
        <v>80</v>
      </c>
      <c r="AE153" s="165"/>
      <c r="AF153" s="165"/>
      <c r="AG153" s="165"/>
      <c r="AH153" s="165"/>
      <c r="AI153" s="165">
        <v>22</v>
      </c>
      <c r="AJ153" s="165">
        <v>27</v>
      </c>
      <c r="AK153" s="166">
        <v>64</v>
      </c>
      <c r="AL153" s="166" t="s">
        <v>81</v>
      </c>
      <c r="AM153" s="166" t="s">
        <v>264</v>
      </c>
      <c r="AN153" s="166"/>
      <c r="AO153" s="166"/>
      <c r="AP153" s="166"/>
      <c r="AQ153" s="166"/>
      <c r="AR153" s="166"/>
      <c r="AS153" s="165"/>
      <c r="AT153" s="165"/>
      <c r="AU153" s="165"/>
      <c r="AV153" s="165"/>
      <c r="AW153" s="165"/>
      <c r="AX153" s="165"/>
      <c r="AY153" s="165"/>
      <c r="AZ153" s="165"/>
      <c r="BA153" s="166"/>
      <c r="BB153" s="166"/>
      <c r="BC153" s="166"/>
      <c r="BD153" s="166"/>
      <c r="BE153" s="166"/>
      <c r="BF153" s="166"/>
      <c r="BG153" s="166"/>
      <c r="BH153" s="166"/>
      <c r="BI153" s="165"/>
      <c r="BJ153" s="165"/>
      <c r="BK153" s="165"/>
      <c r="BL153" s="165"/>
      <c r="BM153" s="165"/>
      <c r="BN153" s="165"/>
      <c r="BO153" s="165"/>
      <c r="BP153" s="165"/>
      <c r="BQ153" s="166"/>
      <c r="BR153" s="165"/>
      <c r="BS153" s="124">
        <v>248</v>
      </c>
      <c r="BT153" s="124"/>
    </row>
    <row r="154" spans="1:72" ht="14.25" hidden="1" customHeight="1" x14ac:dyDescent="0.2">
      <c r="A154" s="92">
        <v>249</v>
      </c>
      <c r="B154" s="233" t="s">
        <v>351</v>
      </c>
      <c r="C154" s="237" t="s">
        <v>352</v>
      </c>
      <c r="D154" s="233" t="s">
        <v>360</v>
      </c>
      <c r="E154" s="125" t="s">
        <v>102</v>
      </c>
      <c r="F154" s="181" t="s">
        <v>103</v>
      </c>
      <c r="G154" s="181" t="s">
        <v>76</v>
      </c>
      <c r="H154" s="181" t="s">
        <v>354</v>
      </c>
      <c r="I154" s="181"/>
      <c r="J154" s="178">
        <v>10</v>
      </c>
      <c r="K154" s="182"/>
      <c r="L154" s="182" t="s">
        <v>58</v>
      </c>
      <c r="M154" s="178" t="s">
        <v>59</v>
      </c>
      <c r="N154" s="178">
        <v>0</v>
      </c>
      <c r="O154" s="178" t="s">
        <v>60</v>
      </c>
      <c r="P154" s="178" t="s">
        <v>79</v>
      </c>
      <c r="Q154" s="179"/>
      <c r="R154" s="179" t="s">
        <v>361</v>
      </c>
      <c r="S154" s="180"/>
      <c r="T154" s="179"/>
      <c r="U154" s="179"/>
      <c r="V154" s="167"/>
      <c r="W154" s="168"/>
      <c r="Y154" s="167"/>
      <c r="Z154" s="169" t="s">
        <v>63</v>
      </c>
      <c r="AA154" s="166">
        <v>1</v>
      </c>
      <c r="AB154" s="166"/>
      <c r="AC154" s="165"/>
      <c r="AD154" s="165" t="s">
        <v>80</v>
      </c>
      <c r="AE154" s="165"/>
      <c r="AF154" s="165"/>
      <c r="AG154" s="165"/>
      <c r="AH154" s="165"/>
      <c r="AI154" s="165">
        <v>22</v>
      </c>
      <c r="AJ154" s="165">
        <v>27</v>
      </c>
      <c r="AK154" s="166">
        <v>76</v>
      </c>
      <c r="AL154" s="166" t="s">
        <v>81</v>
      </c>
      <c r="AM154" s="166" t="s">
        <v>264</v>
      </c>
      <c r="AN154" s="166"/>
      <c r="AO154" s="166"/>
      <c r="AP154" s="166"/>
      <c r="AQ154" s="166"/>
      <c r="AR154" s="166"/>
      <c r="AS154" s="165"/>
      <c r="AT154" s="165"/>
      <c r="AU154" s="165"/>
      <c r="AV154" s="165"/>
      <c r="AW154" s="165"/>
      <c r="AX154" s="165"/>
      <c r="AY154" s="165"/>
      <c r="AZ154" s="165"/>
      <c r="BA154" s="166"/>
      <c r="BB154" s="166"/>
      <c r="BC154" s="166"/>
      <c r="BD154" s="166"/>
      <c r="BE154" s="166"/>
      <c r="BF154" s="166"/>
      <c r="BG154" s="166"/>
      <c r="BH154" s="166"/>
      <c r="BI154" s="165"/>
      <c r="BJ154" s="165"/>
      <c r="BK154" s="165"/>
      <c r="BL154" s="165"/>
      <c r="BM154" s="165"/>
      <c r="BN154" s="165"/>
      <c r="BO154" s="165"/>
      <c r="BP154" s="165"/>
      <c r="BQ154" s="166"/>
      <c r="BR154" s="165"/>
      <c r="BS154" s="124">
        <v>249</v>
      </c>
      <c r="BT154" s="124"/>
    </row>
    <row r="155" spans="1:72" ht="14.25" hidden="1" customHeight="1" x14ac:dyDescent="0.2">
      <c r="A155" s="92">
        <v>250</v>
      </c>
      <c r="B155" s="233" t="s">
        <v>351</v>
      </c>
      <c r="C155" s="237" t="s">
        <v>352</v>
      </c>
      <c r="D155" s="233" t="s">
        <v>362</v>
      </c>
      <c r="E155" s="125" t="s">
        <v>102</v>
      </c>
      <c r="F155" s="181" t="s">
        <v>103</v>
      </c>
      <c r="G155" s="181" t="s">
        <v>76</v>
      </c>
      <c r="H155" s="181" t="s">
        <v>354</v>
      </c>
      <c r="I155" s="181"/>
      <c r="J155" s="178">
        <v>10</v>
      </c>
      <c r="K155" s="182"/>
      <c r="L155" s="182" t="s">
        <v>58</v>
      </c>
      <c r="M155" s="178" t="s">
        <v>59</v>
      </c>
      <c r="N155" s="178">
        <v>0</v>
      </c>
      <c r="O155" s="178" t="s">
        <v>60</v>
      </c>
      <c r="P155" s="178" t="s">
        <v>79</v>
      </c>
      <c r="Q155" s="179"/>
      <c r="R155" s="179" t="s">
        <v>361</v>
      </c>
      <c r="S155" s="180"/>
      <c r="T155" s="179"/>
      <c r="U155" s="179"/>
      <c r="V155" s="167"/>
      <c r="W155" s="168"/>
      <c r="Y155" s="167"/>
      <c r="Z155" s="169" t="s">
        <v>63</v>
      </c>
      <c r="AA155" s="166">
        <v>1</v>
      </c>
      <c r="AB155" s="166"/>
      <c r="AC155" s="165"/>
      <c r="AD155" s="165" t="s">
        <v>80</v>
      </c>
      <c r="AE155" s="165"/>
      <c r="AF155" s="165"/>
      <c r="AG155" s="165"/>
      <c r="AH155" s="165"/>
      <c r="AI155" s="165">
        <v>22</v>
      </c>
      <c r="AJ155" s="165">
        <v>27</v>
      </c>
      <c r="AK155" s="166">
        <v>64</v>
      </c>
      <c r="AL155" s="166" t="s">
        <v>81</v>
      </c>
      <c r="AM155" s="166" t="s">
        <v>264</v>
      </c>
      <c r="AN155" s="166"/>
      <c r="AO155" s="166"/>
      <c r="AP155" s="166"/>
      <c r="AQ155" s="166"/>
      <c r="AR155" s="166"/>
      <c r="AS155" s="165"/>
      <c r="AT155" s="165"/>
      <c r="AU155" s="165"/>
      <c r="AV155" s="165"/>
      <c r="AW155" s="165"/>
      <c r="AX155" s="165"/>
      <c r="AY155" s="165"/>
      <c r="AZ155" s="165"/>
      <c r="BA155" s="166"/>
      <c r="BB155" s="166"/>
      <c r="BC155" s="166"/>
      <c r="BD155" s="166"/>
      <c r="BE155" s="166"/>
      <c r="BF155" s="166"/>
      <c r="BG155" s="166"/>
      <c r="BH155" s="166"/>
      <c r="BI155" s="165"/>
      <c r="BJ155" s="165"/>
      <c r="BK155" s="165"/>
      <c r="BL155" s="165"/>
      <c r="BM155" s="165"/>
      <c r="BN155" s="165"/>
      <c r="BO155" s="165"/>
      <c r="BP155" s="165"/>
      <c r="BQ155" s="166"/>
      <c r="BR155" s="165"/>
      <c r="BS155" s="124">
        <v>250</v>
      </c>
      <c r="BT155" s="124"/>
    </row>
    <row r="156" spans="1:72" ht="14.25" hidden="1" customHeight="1" x14ac:dyDescent="0.2">
      <c r="A156" s="92">
        <v>251</v>
      </c>
      <c r="B156" s="233" t="s">
        <v>351</v>
      </c>
      <c r="C156" s="237" t="s">
        <v>352</v>
      </c>
      <c r="D156" s="233" t="s">
        <v>363</v>
      </c>
      <c r="E156" s="125" t="s">
        <v>102</v>
      </c>
      <c r="F156" s="181" t="s">
        <v>103</v>
      </c>
      <c r="G156" s="181" t="s">
        <v>76</v>
      </c>
      <c r="H156" s="181" t="s">
        <v>354</v>
      </c>
      <c r="I156" s="181"/>
      <c r="J156" s="178">
        <v>10</v>
      </c>
      <c r="K156" s="182"/>
      <c r="L156" s="182" t="s">
        <v>58</v>
      </c>
      <c r="M156" s="178" t="s">
        <v>59</v>
      </c>
      <c r="N156" s="178">
        <v>0</v>
      </c>
      <c r="O156" s="178" t="s">
        <v>60</v>
      </c>
      <c r="P156" s="178" t="s">
        <v>79</v>
      </c>
      <c r="Q156" s="179"/>
      <c r="R156" s="179" t="s">
        <v>361</v>
      </c>
      <c r="S156" s="180"/>
      <c r="T156" s="179"/>
      <c r="U156" s="179"/>
      <c r="V156" s="167"/>
      <c r="W156" s="168"/>
      <c r="Y156" s="167"/>
      <c r="Z156" s="169" t="s">
        <v>63</v>
      </c>
      <c r="AA156" s="166">
        <v>1</v>
      </c>
      <c r="AB156" s="166"/>
      <c r="AC156" s="165"/>
      <c r="AD156" s="165" t="s">
        <v>80</v>
      </c>
      <c r="AE156" s="165"/>
      <c r="AF156" s="165"/>
      <c r="AG156" s="165"/>
      <c r="AH156" s="165"/>
      <c r="AI156" s="165">
        <v>22</v>
      </c>
      <c r="AJ156" s="165">
        <v>27</v>
      </c>
      <c r="AK156" s="166">
        <v>54.7</v>
      </c>
      <c r="AL156" s="166" t="s">
        <v>81</v>
      </c>
      <c r="AM156" s="166" t="s">
        <v>264</v>
      </c>
      <c r="AN156" s="166"/>
      <c r="AO156" s="166"/>
      <c r="AP156" s="166"/>
      <c r="AQ156" s="166"/>
      <c r="AR156" s="166"/>
      <c r="AS156" s="165"/>
      <c r="AT156" s="165"/>
      <c r="AU156" s="165"/>
      <c r="AV156" s="165"/>
      <c r="AW156" s="165"/>
      <c r="AX156" s="165"/>
      <c r="AY156" s="165"/>
      <c r="AZ156" s="165"/>
      <c r="BA156" s="166"/>
      <c r="BB156" s="166"/>
      <c r="BC156" s="166"/>
      <c r="BD156" s="166"/>
      <c r="BE156" s="166"/>
      <c r="BF156" s="166"/>
      <c r="BG156" s="166"/>
      <c r="BH156" s="166"/>
      <c r="BI156" s="165"/>
      <c r="BJ156" s="165"/>
      <c r="BK156" s="165"/>
      <c r="BL156" s="165"/>
      <c r="BM156" s="165"/>
      <c r="BN156" s="165"/>
      <c r="BO156" s="165"/>
      <c r="BP156" s="165"/>
      <c r="BQ156" s="166"/>
      <c r="BR156" s="165"/>
      <c r="BS156" s="124">
        <v>251</v>
      </c>
      <c r="BT156" s="124"/>
    </row>
    <row r="157" spans="1:72" ht="14.25" hidden="1" customHeight="1" x14ac:dyDescent="0.2">
      <c r="A157" s="92">
        <v>252</v>
      </c>
      <c r="B157" s="233" t="s">
        <v>351</v>
      </c>
      <c r="C157" s="237" t="s">
        <v>352</v>
      </c>
      <c r="D157" s="233" t="s">
        <v>364</v>
      </c>
      <c r="E157" s="125" t="s">
        <v>102</v>
      </c>
      <c r="F157" s="181" t="s">
        <v>103</v>
      </c>
      <c r="G157" s="181" t="s">
        <v>76</v>
      </c>
      <c r="H157" s="181" t="s">
        <v>354</v>
      </c>
      <c r="I157" s="181"/>
      <c r="J157" s="178">
        <v>20</v>
      </c>
      <c r="K157" s="182"/>
      <c r="L157" s="182" t="s">
        <v>58</v>
      </c>
      <c r="M157" s="178" t="s">
        <v>59</v>
      </c>
      <c r="N157" s="178">
        <v>0</v>
      </c>
      <c r="O157" s="178" t="s">
        <v>60</v>
      </c>
      <c r="P157" s="178" t="s">
        <v>79</v>
      </c>
      <c r="Q157" s="179"/>
      <c r="R157" s="179" t="s">
        <v>361</v>
      </c>
      <c r="S157" s="180"/>
      <c r="T157" s="179"/>
      <c r="U157" s="179" t="s">
        <v>365</v>
      </c>
      <c r="V157" s="167"/>
      <c r="W157" s="168"/>
      <c r="Y157" s="167"/>
      <c r="Z157" s="169" t="s">
        <v>63</v>
      </c>
      <c r="AA157" s="166">
        <v>1</v>
      </c>
      <c r="AB157" s="166"/>
      <c r="AC157" s="165"/>
      <c r="AD157" s="165" t="s">
        <v>80</v>
      </c>
      <c r="AE157" s="165"/>
      <c r="AF157" s="165"/>
      <c r="AG157" s="165"/>
      <c r="AH157" s="165"/>
      <c r="AI157" s="165">
        <v>22</v>
      </c>
      <c r="AJ157" s="165">
        <v>27</v>
      </c>
      <c r="AK157" s="166">
        <v>61.3</v>
      </c>
      <c r="AL157" s="166" t="s">
        <v>81</v>
      </c>
      <c r="AM157" s="166" t="s">
        <v>264</v>
      </c>
      <c r="AN157" s="166"/>
      <c r="AO157" s="166"/>
      <c r="AP157" s="166"/>
      <c r="AQ157" s="166"/>
      <c r="AR157" s="166"/>
      <c r="AS157" s="165"/>
      <c r="AT157" s="165"/>
      <c r="AU157" s="165"/>
      <c r="AV157" s="165"/>
      <c r="AW157" s="165"/>
      <c r="AX157" s="165"/>
      <c r="AY157" s="165"/>
      <c r="AZ157" s="165"/>
      <c r="BA157" s="166"/>
      <c r="BB157" s="166"/>
      <c r="BC157" s="166"/>
      <c r="BD157" s="166"/>
      <c r="BE157" s="166"/>
      <c r="BF157" s="166"/>
      <c r="BG157" s="166"/>
      <c r="BH157" s="166"/>
      <c r="BI157" s="165"/>
      <c r="BJ157" s="165"/>
      <c r="BK157" s="165"/>
      <c r="BL157" s="165"/>
      <c r="BM157" s="165"/>
      <c r="BN157" s="165"/>
      <c r="BO157" s="165"/>
      <c r="BP157" s="165"/>
      <c r="BQ157" s="166"/>
      <c r="BR157" s="165"/>
      <c r="BS157" s="124">
        <v>252</v>
      </c>
      <c r="BT157" s="124"/>
    </row>
    <row r="158" spans="1:72" ht="14.25" hidden="1" customHeight="1" x14ac:dyDescent="0.2">
      <c r="A158" s="92">
        <v>253</v>
      </c>
      <c r="B158" s="233" t="s">
        <v>351</v>
      </c>
      <c r="C158" s="237" t="s">
        <v>352</v>
      </c>
      <c r="D158" s="233" t="s">
        <v>366</v>
      </c>
      <c r="E158" s="125" t="s">
        <v>102</v>
      </c>
      <c r="F158" s="181" t="s">
        <v>103</v>
      </c>
      <c r="G158" s="181" t="s">
        <v>76</v>
      </c>
      <c r="H158" s="181" t="s">
        <v>354</v>
      </c>
      <c r="I158" s="181"/>
      <c r="J158" s="178">
        <v>20</v>
      </c>
      <c r="K158" s="182"/>
      <c r="L158" s="182" t="s">
        <v>58</v>
      </c>
      <c r="M158" s="178" t="s">
        <v>59</v>
      </c>
      <c r="N158" s="178">
        <v>0</v>
      </c>
      <c r="O158" s="178" t="s">
        <v>60</v>
      </c>
      <c r="P158" s="178" t="s">
        <v>79</v>
      </c>
      <c r="Q158" s="179"/>
      <c r="R158" s="179" t="s">
        <v>361</v>
      </c>
      <c r="S158" s="180"/>
      <c r="T158" s="179"/>
      <c r="U158" s="179" t="s">
        <v>365</v>
      </c>
      <c r="V158" s="167"/>
      <c r="W158" s="168"/>
      <c r="Y158" s="167"/>
      <c r="Z158" s="169" t="s">
        <v>63</v>
      </c>
      <c r="AA158" s="166">
        <v>1</v>
      </c>
      <c r="AB158" s="166"/>
      <c r="AC158" s="165"/>
      <c r="AD158" s="165" t="s">
        <v>80</v>
      </c>
      <c r="AE158" s="165"/>
      <c r="AF158" s="165"/>
      <c r="AG158" s="165"/>
      <c r="AH158" s="165"/>
      <c r="AI158" s="165">
        <v>22</v>
      </c>
      <c r="AJ158" s="165">
        <v>27</v>
      </c>
      <c r="AK158" s="166">
        <v>72</v>
      </c>
      <c r="AL158" s="166" t="s">
        <v>81</v>
      </c>
      <c r="AM158" s="166" t="s">
        <v>264</v>
      </c>
      <c r="AN158" s="166"/>
      <c r="AO158" s="166"/>
      <c r="AP158" s="166"/>
      <c r="AQ158" s="166"/>
      <c r="AR158" s="166"/>
      <c r="AS158" s="165"/>
      <c r="AT158" s="165"/>
      <c r="AU158" s="165"/>
      <c r="AV158" s="165"/>
      <c r="AW158" s="165"/>
      <c r="AX158" s="165"/>
      <c r="AY158" s="165"/>
      <c r="AZ158" s="165"/>
      <c r="BA158" s="166"/>
      <c r="BB158" s="166"/>
      <c r="BC158" s="166"/>
      <c r="BD158" s="166"/>
      <c r="BE158" s="166"/>
      <c r="BF158" s="166"/>
      <c r="BG158" s="166"/>
      <c r="BH158" s="166"/>
      <c r="BI158" s="165"/>
      <c r="BJ158" s="165"/>
      <c r="BK158" s="165"/>
      <c r="BL158" s="165"/>
      <c r="BM158" s="165"/>
      <c r="BN158" s="165"/>
      <c r="BO158" s="165"/>
      <c r="BP158" s="165"/>
      <c r="BQ158" s="166"/>
      <c r="BR158" s="165"/>
      <c r="BS158" s="124">
        <v>253</v>
      </c>
      <c r="BT158" s="124"/>
    </row>
    <row r="159" spans="1:72" ht="14.25" hidden="1" customHeight="1" x14ac:dyDescent="0.2">
      <c r="A159" s="92">
        <v>254</v>
      </c>
      <c r="B159" s="233" t="s">
        <v>351</v>
      </c>
      <c r="C159" s="237" t="s">
        <v>352</v>
      </c>
      <c r="D159" s="233" t="s">
        <v>367</v>
      </c>
      <c r="E159" s="125" t="s">
        <v>102</v>
      </c>
      <c r="F159" s="181" t="s">
        <v>103</v>
      </c>
      <c r="G159" s="181" t="s">
        <v>76</v>
      </c>
      <c r="H159" s="181" t="s">
        <v>354</v>
      </c>
      <c r="I159" s="181"/>
      <c r="J159" s="178">
        <v>20</v>
      </c>
      <c r="K159" s="182"/>
      <c r="L159" s="182" t="s">
        <v>58</v>
      </c>
      <c r="M159" s="178" t="s">
        <v>59</v>
      </c>
      <c r="N159" s="178">
        <v>0</v>
      </c>
      <c r="O159" s="178" t="s">
        <v>60</v>
      </c>
      <c r="P159" s="178" t="s">
        <v>79</v>
      </c>
      <c r="Q159" s="179"/>
      <c r="R159" s="179" t="s">
        <v>361</v>
      </c>
      <c r="S159" s="180"/>
      <c r="T159" s="179"/>
      <c r="U159" s="179" t="s">
        <v>365</v>
      </c>
      <c r="V159" s="167"/>
      <c r="W159" s="168"/>
      <c r="Y159" s="167"/>
      <c r="Z159" s="169" t="s">
        <v>63</v>
      </c>
      <c r="AA159" s="166">
        <v>1</v>
      </c>
      <c r="AB159" s="166"/>
      <c r="AC159" s="165"/>
      <c r="AD159" s="165" t="s">
        <v>80</v>
      </c>
      <c r="AE159" s="165"/>
      <c r="AF159" s="165"/>
      <c r="AG159" s="165"/>
      <c r="AH159" s="165"/>
      <c r="AI159" s="165">
        <v>22</v>
      </c>
      <c r="AJ159" s="165">
        <v>27</v>
      </c>
      <c r="AK159" s="166">
        <v>77.3</v>
      </c>
      <c r="AL159" s="166" t="s">
        <v>81</v>
      </c>
      <c r="AM159" s="166" t="s">
        <v>264</v>
      </c>
      <c r="AN159" s="166"/>
      <c r="AO159" s="166"/>
      <c r="AP159" s="166"/>
      <c r="AQ159" s="166"/>
      <c r="AR159" s="166"/>
      <c r="AS159" s="165"/>
      <c r="AT159" s="165"/>
      <c r="AU159" s="165"/>
      <c r="AV159" s="165"/>
      <c r="AW159" s="165"/>
      <c r="AX159" s="165"/>
      <c r="AY159" s="165"/>
      <c r="AZ159" s="165"/>
      <c r="BA159" s="166"/>
      <c r="BB159" s="166"/>
      <c r="BC159" s="166"/>
      <c r="BD159" s="166"/>
      <c r="BE159" s="166"/>
      <c r="BF159" s="166"/>
      <c r="BG159" s="166"/>
      <c r="BH159" s="166"/>
      <c r="BI159" s="165"/>
      <c r="BJ159" s="165"/>
      <c r="BK159" s="165"/>
      <c r="BL159" s="165"/>
      <c r="BM159" s="165"/>
      <c r="BN159" s="165"/>
      <c r="BO159" s="165"/>
      <c r="BP159" s="165"/>
      <c r="BQ159" s="166"/>
      <c r="BR159" s="165"/>
      <c r="BS159" s="124">
        <v>254</v>
      </c>
      <c r="BT159" s="124"/>
    </row>
    <row r="160" spans="1:72" ht="14.25" hidden="1" customHeight="1" x14ac:dyDescent="0.2">
      <c r="A160" s="92">
        <v>255</v>
      </c>
      <c r="B160" s="233" t="s">
        <v>351</v>
      </c>
      <c r="C160" s="237" t="s">
        <v>352</v>
      </c>
      <c r="D160" s="233" t="s">
        <v>368</v>
      </c>
      <c r="E160" s="125" t="s">
        <v>102</v>
      </c>
      <c r="F160" s="181" t="s">
        <v>103</v>
      </c>
      <c r="G160" s="181" t="s">
        <v>76</v>
      </c>
      <c r="H160" s="181" t="s">
        <v>354</v>
      </c>
      <c r="I160" s="181"/>
      <c r="J160" s="178">
        <v>20</v>
      </c>
      <c r="K160" s="182"/>
      <c r="L160" s="182" t="s">
        <v>58</v>
      </c>
      <c r="M160" s="178" t="s">
        <v>59</v>
      </c>
      <c r="N160" s="178">
        <v>0</v>
      </c>
      <c r="O160" s="178" t="s">
        <v>60</v>
      </c>
      <c r="P160" s="178" t="s">
        <v>79</v>
      </c>
      <c r="Q160" s="179"/>
      <c r="R160" s="179" t="s">
        <v>361</v>
      </c>
      <c r="S160" s="180"/>
      <c r="T160" s="179"/>
      <c r="U160" s="179" t="s">
        <v>365</v>
      </c>
      <c r="V160" s="167"/>
      <c r="W160" s="168"/>
      <c r="Y160" s="167"/>
      <c r="Z160" s="169" t="s">
        <v>63</v>
      </c>
      <c r="AA160" s="166">
        <v>1</v>
      </c>
      <c r="AB160" s="166"/>
      <c r="AC160" s="165"/>
      <c r="AD160" s="165" t="s">
        <v>80</v>
      </c>
      <c r="AE160" s="165"/>
      <c r="AF160" s="165"/>
      <c r="AG160" s="165"/>
      <c r="AH160" s="165"/>
      <c r="AI160" s="165">
        <v>22</v>
      </c>
      <c r="AJ160" s="165">
        <v>27</v>
      </c>
      <c r="AK160" s="166">
        <v>76</v>
      </c>
      <c r="AL160" s="166" t="s">
        <v>81</v>
      </c>
      <c r="AM160" s="166" t="s">
        <v>264</v>
      </c>
      <c r="AN160" s="166"/>
      <c r="AO160" s="166"/>
      <c r="AP160" s="166"/>
      <c r="AQ160" s="166"/>
      <c r="AR160" s="166"/>
      <c r="AS160" s="165"/>
      <c r="AT160" s="165"/>
      <c r="AU160" s="165"/>
      <c r="AV160" s="165"/>
      <c r="AW160" s="165"/>
      <c r="AX160" s="165"/>
      <c r="AY160" s="165"/>
      <c r="AZ160" s="165"/>
      <c r="BA160" s="166"/>
      <c r="BB160" s="166"/>
      <c r="BC160" s="166"/>
      <c r="BD160" s="166"/>
      <c r="BE160" s="166"/>
      <c r="BF160" s="166"/>
      <c r="BG160" s="166"/>
      <c r="BH160" s="166"/>
      <c r="BI160" s="165"/>
      <c r="BJ160" s="165"/>
      <c r="BK160" s="165"/>
      <c r="BL160" s="165"/>
      <c r="BM160" s="165"/>
      <c r="BN160" s="165"/>
      <c r="BO160" s="165"/>
      <c r="BP160" s="165"/>
      <c r="BQ160" s="166"/>
      <c r="BR160" s="165"/>
      <c r="BS160" s="124">
        <v>255</v>
      </c>
      <c r="BT160" s="174"/>
    </row>
    <row r="161" spans="1:72" ht="14.25" hidden="1" customHeight="1" x14ac:dyDescent="0.2">
      <c r="A161" s="92">
        <v>256</v>
      </c>
      <c r="B161" s="233" t="s">
        <v>351</v>
      </c>
      <c r="C161" s="237" t="s">
        <v>352</v>
      </c>
      <c r="D161" s="233" t="s">
        <v>369</v>
      </c>
      <c r="E161" s="125" t="s">
        <v>102</v>
      </c>
      <c r="F161" s="181" t="s">
        <v>103</v>
      </c>
      <c r="G161" s="181" t="s">
        <v>76</v>
      </c>
      <c r="H161" s="181" t="s">
        <v>354</v>
      </c>
      <c r="I161" s="181"/>
      <c r="J161" s="178">
        <v>20</v>
      </c>
      <c r="K161" s="182"/>
      <c r="L161" s="182" t="s">
        <v>58</v>
      </c>
      <c r="M161" s="178" t="s">
        <v>59</v>
      </c>
      <c r="N161" s="178">
        <v>0</v>
      </c>
      <c r="O161" s="178" t="s">
        <v>60</v>
      </c>
      <c r="P161" s="178" t="s">
        <v>79</v>
      </c>
      <c r="Q161" s="179"/>
      <c r="R161" s="179" t="s">
        <v>361</v>
      </c>
      <c r="S161" s="180"/>
      <c r="T161" s="179"/>
      <c r="U161" s="179" t="s">
        <v>365</v>
      </c>
      <c r="V161" s="167"/>
      <c r="W161" s="168"/>
      <c r="Y161" s="167"/>
      <c r="Z161" s="169" t="s">
        <v>63</v>
      </c>
      <c r="AA161" s="166">
        <v>1</v>
      </c>
      <c r="AB161" s="166"/>
      <c r="AC161" s="165"/>
      <c r="AD161" s="165" t="s">
        <v>80</v>
      </c>
      <c r="AE161" s="165"/>
      <c r="AF161" s="165"/>
      <c r="AG161" s="165"/>
      <c r="AH161" s="165"/>
      <c r="AI161" s="165">
        <v>22</v>
      </c>
      <c r="AJ161" s="165">
        <v>27</v>
      </c>
      <c r="AK161" s="166">
        <v>64</v>
      </c>
      <c r="AL161" s="166" t="s">
        <v>81</v>
      </c>
      <c r="AM161" s="166" t="s">
        <v>264</v>
      </c>
      <c r="AN161" s="166"/>
      <c r="AO161" s="166"/>
      <c r="AP161" s="166"/>
      <c r="AQ161" s="166"/>
      <c r="AR161" s="166"/>
      <c r="AS161" s="165"/>
      <c r="AT161" s="165"/>
      <c r="AU161" s="165"/>
      <c r="AV161" s="165"/>
      <c r="AW161" s="165"/>
      <c r="AX161" s="165"/>
      <c r="AY161" s="165"/>
      <c r="AZ161" s="165"/>
      <c r="BA161" s="166"/>
      <c r="BB161" s="166"/>
      <c r="BC161" s="166"/>
      <c r="BD161" s="166"/>
      <c r="BE161" s="166"/>
      <c r="BF161" s="166"/>
      <c r="BG161" s="166"/>
      <c r="BH161" s="166"/>
      <c r="BI161" s="165"/>
      <c r="BJ161" s="165"/>
      <c r="BK161" s="165"/>
      <c r="BL161" s="165"/>
      <c r="BM161" s="165"/>
      <c r="BN161" s="165"/>
      <c r="BO161" s="165"/>
      <c r="BP161" s="165"/>
      <c r="BQ161" s="166"/>
      <c r="BR161" s="165"/>
      <c r="BS161" s="124">
        <v>256</v>
      </c>
      <c r="BT161" s="174"/>
    </row>
    <row r="162" spans="1:72" ht="14.25" hidden="1" customHeight="1" x14ac:dyDescent="0.2">
      <c r="A162" s="92">
        <v>257</v>
      </c>
      <c r="B162" s="233" t="s">
        <v>351</v>
      </c>
      <c r="C162" s="237" t="s">
        <v>352</v>
      </c>
      <c r="D162" s="233" t="s">
        <v>370</v>
      </c>
      <c r="E162" s="125" t="s">
        <v>102</v>
      </c>
      <c r="F162" s="181" t="s">
        <v>103</v>
      </c>
      <c r="G162" s="181" t="s">
        <v>76</v>
      </c>
      <c r="H162" s="181" t="s">
        <v>354</v>
      </c>
      <c r="I162" s="181"/>
      <c r="J162" s="178">
        <v>20</v>
      </c>
      <c r="K162" s="182"/>
      <c r="L162" s="182" t="s">
        <v>58</v>
      </c>
      <c r="M162" s="178" t="s">
        <v>59</v>
      </c>
      <c r="N162" s="178">
        <v>0</v>
      </c>
      <c r="O162" s="178" t="s">
        <v>60</v>
      </c>
      <c r="P162" s="178" t="s">
        <v>79</v>
      </c>
      <c r="Q162" s="179"/>
      <c r="R162" s="179" t="s">
        <v>361</v>
      </c>
      <c r="S162" s="180"/>
      <c r="T162" s="179"/>
      <c r="U162" s="179" t="s">
        <v>365</v>
      </c>
      <c r="V162" s="167"/>
      <c r="W162" s="168"/>
      <c r="Y162" s="167"/>
      <c r="Z162" s="169" t="s">
        <v>63</v>
      </c>
      <c r="AA162" s="166">
        <v>1</v>
      </c>
      <c r="AB162" s="166"/>
      <c r="AC162" s="165"/>
      <c r="AD162" s="165" t="s">
        <v>80</v>
      </c>
      <c r="AE162" s="165"/>
      <c r="AF162" s="165"/>
      <c r="AG162" s="165"/>
      <c r="AH162" s="165"/>
      <c r="AI162" s="165">
        <v>22</v>
      </c>
      <c r="AJ162" s="165">
        <v>27</v>
      </c>
      <c r="AK162" s="166">
        <v>54.7</v>
      </c>
      <c r="AL162" s="166" t="s">
        <v>81</v>
      </c>
      <c r="AM162" s="166" t="s">
        <v>264</v>
      </c>
      <c r="AN162" s="166"/>
      <c r="AO162" s="166"/>
      <c r="AP162" s="166"/>
      <c r="AQ162" s="166"/>
      <c r="AR162" s="166"/>
      <c r="AS162" s="165"/>
      <c r="AT162" s="165"/>
      <c r="AU162" s="165"/>
      <c r="AV162" s="165"/>
      <c r="AW162" s="165"/>
      <c r="AX162" s="165"/>
      <c r="AY162" s="165"/>
      <c r="AZ162" s="165"/>
      <c r="BA162" s="166"/>
      <c r="BB162" s="166"/>
      <c r="BC162" s="166"/>
      <c r="BD162" s="166"/>
      <c r="BE162" s="166"/>
      <c r="BF162" s="166"/>
      <c r="BG162" s="166"/>
      <c r="BH162" s="166"/>
      <c r="BI162" s="165"/>
      <c r="BJ162" s="165"/>
      <c r="BK162" s="165"/>
      <c r="BL162" s="165"/>
      <c r="BM162" s="165"/>
      <c r="BN162" s="165"/>
      <c r="BO162" s="165"/>
      <c r="BP162" s="165"/>
      <c r="BQ162" s="166"/>
      <c r="BR162" s="165"/>
      <c r="BS162" s="124">
        <v>257</v>
      </c>
      <c r="BT162" s="174"/>
    </row>
    <row r="163" spans="1:72" ht="14.25" hidden="1" customHeight="1" x14ac:dyDescent="0.2">
      <c r="A163" s="92">
        <v>258</v>
      </c>
      <c r="B163" s="233" t="s">
        <v>351</v>
      </c>
      <c r="C163" s="237" t="s">
        <v>352</v>
      </c>
      <c r="D163" s="233" t="s">
        <v>371</v>
      </c>
      <c r="E163" s="125" t="s">
        <v>102</v>
      </c>
      <c r="F163" s="181" t="s">
        <v>103</v>
      </c>
      <c r="G163" s="181" t="s">
        <v>76</v>
      </c>
      <c r="H163" s="181" t="s">
        <v>354</v>
      </c>
      <c r="I163" s="181"/>
      <c r="J163" s="178">
        <v>40</v>
      </c>
      <c r="K163" s="182"/>
      <c r="L163" s="182" t="s">
        <v>58</v>
      </c>
      <c r="M163" s="178" t="s">
        <v>59</v>
      </c>
      <c r="N163" s="178">
        <v>0</v>
      </c>
      <c r="O163" s="178" t="s">
        <v>60</v>
      </c>
      <c r="P163" s="178" t="s">
        <v>79</v>
      </c>
      <c r="Q163" s="179"/>
      <c r="R163" s="179" t="s">
        <v>361</v>
      </c>
      <c r="S163" s="180"/>
      <c r="T163" s="179"/>
      <c r="U163" s="179"/>
      <c r="V163" s="167"/>
      <c r="W163" s="168"/>
      <c r="Y163" s="167"/>
      <c r="Z163" s="169" t="s">
        <v>63</v>
      </c>
      <c r="AA163" s="166">
        <v>1</v>
      </c>
      <c r="AB163" s="166"/>
      <c r="AC163" s="165"/>
      <c r="AD163" s="165" t="s">
        <v>80</v>
      </c>
      <c r="AE163" s="165"/>
      <c r="AF163" s="165"/>
      <c r="AG163" s="165"/>
      <c r="AH163" s="165"/>
      <c r="AI163" s="165">
        <v>22</v>
      </c>
      <c r="AJ163" s="165">
        <v>27</v>
      </c>
      <c r="AK163" s="166">
        <v>61.3</v>
      </c>
      <c r="AL163" s="166" t="s">
        <v>81</v>
      </c>
      <c r="AM163" s="166" t="s">
        <v>264</v>
      </c>
      <c r="AN163" s="166"/>
      <c r="AO163" s="166"/>
      <c r="AP163" s="166"/>
      <c r="AQ163" s="166"/>
      <c r="AR163" s="166"/>
      <c r="AS163" s="165"/>
      <c r="AT163" s="165"/>
      <c r="AU163" s="165"/>
      <c r="AV163" s="165"/>
      <c r="AW163" s="165"/>
      <c r="AX163" s="165"/>
      <c r="AY163" s="165"/>
      <c r="AZ163" s="165"/>
      <c r="BA163" s="166"/>
      <c r="BB163" s="166"/>
      <c r="BC163" s="166"/>
      <c r="BD163" s="166"/>
      <c r="BE163" s="166"/>
      <c r="BF163" s="166"/>
      <c r="BG163" s="166"/>
      <c r="BH163" s="166"/>
      <c r="BI163" s="165"/>
      <c r="BJ163" s="165"/>
      <c r="BK163" s="165"/>
      <c r="BL163" s="165"/>
      <c r="BM163" s="165"/>
      <c r="BN163" s="165"/>
      <c r="BO163" s="165"/>
      <c r="BP163" s="165"/>
      <c r="BQ163" s="166"/>
      <c r="BR163" s="165"/>
      <c r="BS163" s="124">
        <v>258</v>
      </c>
      <c r="BT163" s="174"/>
    </row>
    <row r="164" spans="1:72" ht="14.25" hidden="1" customHeight="1" x14ac:dyDescent="0.2">
      <c r="A164" s="92">
        <v>259</v>
      </c>
      <c r="B164" s="233" t="s">
        <v>351</v>
      </c>
      <c r="C164" s="237" t="s">
        <v>352</v>
      </c>
      <c r="D164" s="233" t="s">
        <v>372</v>
      </c>
      <c r="E164" s="125" t="s">
        <v>102</v>
      </c>
      <c r="F164" s="181" t="s">
        <v>103</v>
      </c>
      <c r="G164" s="181" t="s">
        <v>76</v>
      </c>
      <c r="H164" s="181" t="s">
        <v>354</v>
      </c>
      <c r="I164" s="181"/>
      <c r="J164" s="178">
        <v>40</v>
      </c>
      <c r="K164" s="182"/>
      <c r="L164" s="182" t="s">
        <v>58</v>
      </c>
      <c r="M164" s="178" t="s">
        <v>59</v>
      </c>
      <c r="N164" s="178">
        <v>0</v>
      </c>
      <c r="O164" s="178" t="s">
        <v>60</v>
      </c>
      <c r="P164" s="178" t="s">
        <v>79</v>
      </c>
      <c r="Q164" s="179"/>
      <c r="R164" s="179" t="s">
        <v>361</v>
      </c>
      <c r="S164" s="180"/>
      <c r="T164" s="179"/>
      <c r="U164" s="179"/>
      <c r="V164" s="167"/>
      <c r="W164" s="168"/>
      <c r="Y164" s="167"/>
      <c r="Z164" s="169" t="s">
        <v>63</v>
      </c>
      <c r="AA164" s="166">
        <v>1</v>
      </c>
      <c r="AB164" s="166"/>
      <c r="AC164" s="165"/>
      <c r="AD164" s="165" t="s">
        <v>80</v>
      </c>
      <c r="AE164" s="165"/>
      <c r="AF164" s="165"/>
      <c r="AG164" s="165"/>
      <c r="AH164" s="165"/>
      <c r="AI164" s="165">
        <v>22</v>
      </c>
      <c r="AJ164" s="165">
        <v>27</v>
      </c>
      <c r="AK164" s="166">
        <v>72</v>
      </c>
      <c r="AL164" s="166" t="s">
        <v>81</v>
      </c>
      <c r="AM164" s="166" t="s">
        <v>264</v>
      </c>
      <c r="AN164" s="166"/>
      <c r="AO164" s="166"/>
      <c r="AP164" s="166"/>
      <c r="AQ164" s="166"/>
      <c r="AR164" s="166"/>
      <c r="AS164" s="165"/>
      <c r="AT164" s="165"/>
      <c r="AU164" s="165"/>
      <c r="AV164" s="165"/>
      <c r="AW164" s="165"/>
      <c r="AX164" s="165"/>
      <c r="AY164" s="165"/>
      <c r="AZ164" s="165"/>
      <c r="BA164" s="166"/>
      <c r="BB164" s="166"/>
      <c r="BC164" s="166"/>
      <c r="BD164" s="166"/>
      <c r="BE164" s="166"/>
      <c r="BF164" s="166"/>
      <c r="BG164" s="166"/>
      <c r="BH164" s="166"/>
      <c r="BI164" s="165"/>
      <c r="BJ164" s="165"/>
      <c r="BK164" s="165"/>
      <c r="BL164" s="165"/>
      <c r="BM164" s="165"/>
      <c r="BN164" s="165"/>
      <c r="BO164" s="165"/>
      <c r="BP164" s="165"/>
      <c r="BQ164" s="166"/>
      <c r="BR164" s="165"/>
      <c r="BS164" s="124">
        <v>259</v>
      </c>
      <c r="BT164" s="174"/>
    </row>
    <row r="165" spans="1:72" ht="14.25" hidden="1" customHeight="1" x14ac:dyDescent="0.2">
      <c r="A165" s="92">
        <v>260</v>
      </c>
      <c r="B165" s="233" t="s">
        <v>351</v>
      </c>
      <c r="C165" s="237" t="s">
        <v>352</v>
      </c>
      <c r="D165" s="233" t="s">
        <v>373</v>
      </c>
      <c r="E165" s="125" t="s">
        <v>102</v>
      </c>
      <c r="F165" s="181" t="s">
        <v>103</v>
      </c>
      <c r="G165" s="181" t="s">
        <v>76</v>
      </c>
      <c r="H165" s="181" t="s">
        <v>354</v>
      </c>
      <c r="I165" s="181"/>
      <c r="J165" s="178">
        <v>40</v>
      </c>
      <c r="K165" s="182"/>
      <c r="L165" s="182" t="s">
        <v>58</v>
      </c>
      <c r="M165" s="178" t="s">
        <v>59</v>
      </c>
      <c r="N165" s="178">
        <v>0</v>
      </c>
      <c r="O165" s="178" t="s">
        <v>60</v>
      </c>
      <c r="P165" s="178" t="s">
        <v>79</v>
      </c>
      <c r="Q165" s="179"/>
      <c r="R165" s="179" t="s">
        <v>361</v>
      </c>
      <c r="S165" s="180"/>
      <c r="T165" s="179"/>
      <c r="U165" s="179"/>
      <c r="V165" s="167"/>
      <c r="W165" s="168"/>
      <c r="Y165" s="167"/>
      <c r="Z165" s="169" t="s">
        <v>63</v>
      </c>
      <c r="AA165" s="166">
        <v>1</v>
      </c>
      <c r="AB165" s="166"/>
      <c r="AC165" s="165"/>
      <c r="AD165" s="165" t="s">
        <v>80</v>
      </c>
      <c r="AE165" s="165"/>
      <c r="AF165" s="165"/>
      <c r="AG165" s="165"/>
      <c r="AH165" s="165"/>
      <c r="AI165" s="165">
        <v>22</v>
      </c>
      <c r="AJ165" s="165">
        <v>27</v>
      </c>
      <c r="AK165" s="166">
        <v>77.3</v>
      </c>
      <c r="AL165" s="166" t="s">
        <v>81</v>
      </c>
      <c r="AM165" s="166" t="s">
        <v>264</v>
      </c>
      <c r="AN165" s="166"/>
      <c r="AO165" s="166"/>
      <c r="AP165" s="166"/>
      <c r="AQ165" s="166"/>
      <c r="AR165" s="166"/>
      <c r="AS165" s="165"/>
      <c r="AT165" s="165"/>
      <c r="AU165" s="165"/>
      <c r="AV165" s="165"/>
      <c r="AW165" s="165"/>
      <c r="AX165" s="165"/>
      <c r="AY165" s="165"/>
      <c r="AZ165" s="165"/>
      <c r="BA165" s="166"/>
      <c r="BB165" s="166"/>
      <c r="BC165" s="166"/>
      <c r="BD165" s="166"/>
      <c r="BE165" s="166"/>
      <c r="BF165" s="166"/>
      <c r="BG165" s="166"/>
      <c r="BH165" s="166"/>
      <c r="BI165" s="165"/>
      <c r="BJ165" s="165"/>
      <c r="BK165" s="165"/>
      <c r="BL165" s="165"/>
      <c r="BM165" s="165"/>
      <c r="BN165" s="165"/>
      <c r="BO165" s="165"/>
      <c r="BP165" s="165"/>
      <c r="BQ165" s="166"/>
      <c r="BR165" s="165"/>
      <c r="BS165" s="124">
        <v>260</v>
      </c>
      <c r="BT165" s="174"/>
    </row>
    <row r="166" spans="1:72" ht="14.25" hidden="1" customHeight="1" x14ac:dyDescent="0.2">
      <c r="A166" s="91">
        <v>265</v>
      </c>
      <c r="B166" s="233" t="s">
        <v>374</v>
      </c>
      <c r="C166" s="237" t="s">
        <v>375</v>
      </c>
      <c r="D166" s="233" t="s">
        <v>376</v>
      </c>
      <c r="E166" s="125" t="s">
        <v>377</v>
      </c>
      <c r="F166" s="181" t="s">
        <v>71</v>
      </c>
      <c r="G166" s="181" t="s">
        <v>56</v>
      </c>
      <c r="H166" s="181" t="s">
        <v>378</v>
      </c>
      <c r="I166" s="181"/>
      <c r="J166" s="178">
        <v>3</v>
      </c>
      <c r="K166" s="182"/>
      <c r="L166" s="182" t="s">
        <v>58</v>
      </c>
      <c r="M166" s="178" t="s">
        <v>59</v>
      </c>
      <c r="N166" s="178">
        <v>0</v>
      </c>
      <c r="O166" s="178" t="s">
        <v>60</v>
      </c>
      <c r="P166" s="178" t="s">
        <v>79</v>
      </c>
      <c r="Q166" s="179"/>
      <c r="R166" s="179"/>
      <c r="S166" s="180"/>
      <c r="T166" s="179"/>
      <c r="U166" s="179"/>
      <c r="V166" s="167"/>
      <c r="W166" s="168"/>
      <c r="Y166" s="167"/>
      <c r="Z166" s="169" t="s">
        <v>63</v>
      </c>
      <c r="AA166" s="166">
        <v>6</v>
      </c>
      <c r="AB166" s="166">
        <v>0</v>
      </c>
      <c r="AC166" s="165"/>
      <c r="AD166" s="165" t="s">
        <v>80</v>
      </c>
      <c r="AE166" s="165"/>
      <c r="AF166" s="165"/>
      <c r="AG166" s="165"/>
      <c r="AH166" s="165"/>
      <c r="AI166" s="165">
        <v>22</v>
      </c>
      <c r="AJ166" s="165">
        <v>54</v>
      </c>
      <c r="AK166" s="166"/>
      <c r="AL166" s="166" t="s">
        <v>81</v>
      </c>
      <c r="AM166" s="166"/>
      <c r="AN166" s="166"/>
      <c r="AO166" s="166"/>
      <c r="AP166" s="166"/>
      <c r="AQ166" s="166">
        <v>71</v>
      </c>
      <c r="AR166" s="166">
        <v>94</v>
      </c>
      <c r="AS166" s="165"/>
      <c r="AT166" s="165"/>
      <c r="AU166" s="165"/>
      <c r="AV166" s="165"/>
      <c r="AW166" s="165"/>
      <c r="AX166" s="165"/>
      <c r="AY166" s="165"/>
      <c r="AZ166" s="165"/>
      <c r="BA166" s="166"/>
      <c r="BB166" s="166"/>
      <c r="BC166" s="166"/>
      <c r="BD166" s="166"/>
      <c r="BE166" s="166"/>
      <c r="BF166" s="166"/>
      <c r="BG166" s="166"/>
      <c r="BH166" s="166"/>
      <c r="BI166" s="165"/>
      <c r="BJ166" s="165"/>
      <c r="BK166" s="165"/>
      <c r="BL166" s="165"/>
      <c r="BM166" s="165"/>
      <c r="BN166" s="165"/>
      <c r="BO166" s="165"/>
      <c r="BP166" s="165"/>
      <c r="BQ166" s="166"/>
      <c r="BR166" s="165"/>
      <c r="BS166" s="124">
        <v>265</v>
      </c>
      <c r="BT166" s="174"/>
    </row>
    <row r="167" spans="1:72" ht="14.25" hidden="1" customHeight="1" x14ac:dyDescent="0.2">
      <c r="A167" s="91">
        <v>266</v>
      </c>
      <c r="B167" s="233" t="s">
        <v>374</v>
      </c>
      <c r="C167" s="237" t="s">
        <v>375</v>
      </c>
      <c r="D167" s="233" t="s">
        <v>379</v>
      </c>
      <c r="E167" s="125" t="s">
        <v>377</v>
      </c>
      <c r="F167" s="181" t="s">
        <v>71</v>
      </c>
      <c r="G167" s="181" t="s">
        <v>56</v>
      </c>
      <c r="H167" s="181" t="s">
        <v>378</v>
      </c>
      <c r="I167" s="181"/>
      <c r="J167" s="178">
        <v>1</v>
      </c>
      <c r="K167" s="182"/>
      <c r="L167" s="182" t="s">
        <v>58</v>
      </c>
      <c r="M167" s="178" t="s">
        <v>78</v>
      </c>
      <c r="N167" s="178">
        <v>0</v>
      </c>
      <c r="O167" s="178" t="s">
        <v>60</v>
      </c>
      <c r="P167" s="178" t="s">
        <v>79</v>
      </c>
      <c r="Q167" s="179"/>
      <c r="R167" s="179"/>
      <c r="S167" s="180"/>
      <c r="T167" s="179"/>
      <c r="U167" s="179"/>
      <c r="V167" s="167"/>
      <c r="W167" s="168"/>
      <c r="Y167" s="167"/>
      <c r="Z167" s="169" t="s">
        <v>63</v>
      </c>
      <c r="AA167" s="166">
        <v>6</v>
      </c>
      <c r="AB167" s="166">
        <v>0</v>
      </c>
      <c r="AC167" s="165"/>
      <c r="AD167" s="165" t="s">
        <v>80</v>
      </c>
      <c r="AE167" s="165"/>
      <c r="AF167" s="165"/>
      <c r="AG167" s="165"/>
      <c r="AH167" s="165"/>
      <c r="AI167" s="165">
        <v>22</v>
      </c>
      <c r="AJ167" s="165">
        <v>54</v>
      </c>
      <c r="AK167" s="166"/>
      <c r="AL167" s="166" t="s">
        <v>81</v>
      </c>
      <c r="AM167" s="166"/>
      <c r="AN167" s="166"/>
      <c r="AO167" s="166"/>
      <c r="AP167" s="166"/>
      <c r="AQ167" s="166">
        <v>71</v>
      </c>
      <c r="AR167" s="166">
        <v>94</v>
      </c>
      <c r="AS167" s="165"/>
      <c r="AT167" s="165"/>
      <c r="AU167" s="165"/>
      <c r="AV167" s="165"/>
      <c r="AW167" s="165"/>
      <c r="AX167" s="165"/>
      <c r="AY167" s="165"/>
      <c r="AZ167" s="165"/>
      <c r="BA167" s="166"/>
      <c r="BB167" s="166"/>
      <c r="BC167" s="166"/>
      <c r="BD167" s="166"/>
      <c r="BE167" s="166"/>
      <c r="BF167" s="166"/>
      <c r="BG167" s="166"/>
      <c r="BH167" s="166"/>
      <c r="BI167" s="165"/>
      <c r="BJ167" s="165"/>
      <c r="BK167" s="165"/>
      <c r="BL167" s="165"/>
      <c r="BM167" s="165"/>
      <c r="BN167" s="165"/>
      <c r="BO167" s="165"/>
      <c r="BP167" s="165"/>
      <c r="BQ167" s="166"/>
      <c r="BR167" s="165"/>
      <c r="BS167" s="124">
        <v>266</v>
      </c>
      <c r="BT167" s="174"/>
    </row>
    <row r="168" spans="1:72" ht="14.25" hidden="1" customHeight="1" x14ac:dyDescent="0.2">
      <c r="A168" s="91">
        <v>267</v>
      </c>
      <c r="B168" s="233" t="s">
        <v>374</v>
      </c>
      <c r="C168" s="237" t="s">
        <v>375</v>
      </c>
      <c r="D168" s="233" t="s">
        <v>380</v>
      </c>
      <c r="E168" s="125" t="s">
        <v>377</v>
      </c>
      <c r="F168" s="181" t="s">
        <v>71</v>
      </c>
      <c r="G168" s="181" t="s">
        <v>56</v>
      </c>
      <c r="H168" s="181" t="s">
        <v>378</v>
      </c>
      <c r="I168" s="181"/>
      <c r="J168" s="178">
        <v>3</v>
      </c>
      <c r="K168" s="182"/>
      <c r="L168" s="182" t="s">
        <v>58</v>
      </c>
      <c r="M168" s="178" t="s">
        <v>59</v>
      </c>
      <c r="N168" s="178">
        <v>0</v>
      </c>
      <c r="O168" s="178" t="s">
        <v>60</v>
      </c>
      <c r="P168" s="178" t="s">
        <v>79</v>
      </c>
      <c r="Q168" s="179"/>
      <c r="R168" s="179"/>
      <c r="S168" s="180"/>
      <c r="T168" s="179"/>
      <c r="U168" s="179"/>
      <c r="V168" s="167"/>
      <c r="W168" s="168"/>
      <c r="Y168" s="167"/>
      <c r="Z168" s="169" t="s">
        <v>63</v>
      </c>
      <c r="AA168" s="166">
        <v>6</v>
      </c>
      <c r="AB168" s="166">
        <v>0</v>
      </c>
      <c r="AC168" s="165"/>
      <c r="AD168" s="165" t="s">
        <v>80</v>
      </c>
      <c r="AE168" s="165"/>
      <c r="AF168" s="165"/>
      <c r="AG168" s="165"/>
      <c r="AH168" s="165"/>
      <c r="AI168" s="165">
        <v>22</v>
      </c>
      <c r="AJ168" s="165">
        <v>54</v>
      </c>
      <c r="AK168" s="166"/>
      <c r="AL168" s="166" t="s">
        <v>81</v>
      </c>
      <c r="AM168" s="166"/>
      <c r="AN168" s="166"/>
      <c r="AO168" s="166"/>
      <c r="AP168" s="166"/>
      <c r="AQ168" s="166">
        <v>71</v>
      </c>
      <c r="AR168" s="166">
        <v>94</v>
      </c>
      <c r="AS168" s="165"/>
      <c r="AT168" s="165"/>
      <c r="AU168" s="165"/>
      <c r="AV168" s="165"/>
      <c r="AW168" s="165"/>
      <c r="AX168" s="165"/>
      <c r="AY168" s="165"/>
      <c r="AZ168" s="165"/>
      <c r="BA168" s="166"/>
      <c r="BB168" s="166"/>
      <c r="BC168" s="166"/>
      <c r="BD168" s="166"/>
      <c r="BE168" s="166"/>
      <c r="BF168" s="166"/>
      <c r="BG168" s="166"/>
      <c r="BH168" s="166"/>
      <c r="BI168" s="165"/>
      <c r="BJ168" s="165"/>
      <c r="BK168" s="165"/>
      <c r="BL168" s="165"/>
      <c r="BM168" s="165"/>
      <c r="BN168" s="165"/>
      <c r="BO168" s="165"/>
      <c r="BP168" s="165"/>
      <c r="BQ168" s="166"/>
      <c r="BR168" s="165"/>
      <c r="BS168" s="124">
        <v>267</v>
      </c>
      <c r="BT168" s="174"/>
    </row>
    <row r="169" spans="1:72" ht="14.25" hidden="1" customHeight="1" x14ac:dyDescent="0.2">
      <c r="A169" s="91">
        <v>268</v>
      </c>
      <c r="B169" s="233" t="s">
        <v>374</v>
      </c>
      <c r="C169" s="237" t="s">
        <v>375</v>
      </c>
      <c r="D169" s="233" t="s">
        <v>381</v>
      </c>
      <c r="E169" s="125" t="s">
        <v>377</v>
      </c>
      <c r="F169" s="181" t="s">
        <v>71</v>
      </c>
      <c r="G169" s="181" t="s">
        <v>56</v>
      </c>
      <c r="H169" s="181" t="s">
        <v>378</v>
      </c>
      <c r="I169" s="181"/>
      <c r="J169" s="178">
        <v>1</v>
      </c>
      <c r="K169" s="182"/>
      <c r="L169" s="182" t="s">
        <v>58</v>
      </c>
      <c r="M169" s="178" t="s">
        <v>78</v>
      </c>
      <c r="N169" s="178">
        <v>0</v>
      </c>
      <c r="O169" s="178" t="s">
        <v>60</v>
      </c>
      <c r="P169" s="178" t="s">
        <v>79</v>
      </c>
      <c r="Q169" s="179"/>
      <c r="R169" s="179"/>
      <c r="S169" s="180"/>
      <c r="T169" s="179"/>
      <c r="U169" s="179"/>
      <c r="V169" s="167"/>
      <c r="W169" s="168"/>
      <c r="Y169" s="167"/>
      <c r="Z169" s="169" t="s">
        <v>63</v>
      </c>
      <c r="AA169" s="166">
        <v>6</v>
      </c>
      <c r="AB169" s="166">
        <v>0</v>
      </c>
      <c r="AC169" s="165"/>
      <c r="AD169" s="165" t="s">
        <v>80</v>
      </c>
      <c r="AE169" s="165"/>
      <c r="AF169" s="165"/>
      <c r="AG169" s="165"/>
      <c r="AH169" s="165"/>
      <c r="AI169" s="165">
        <v>22</v>
      </c>
      <c r="AJ169" s="165">
        <v>54</v>
      </c>
      <c r="AK169" s="166"/>
      <c r="AL169" s="166" t="s">
        <v>81</v>
      </c>
      <c r="AM169" s="166"/>
      <c r="AN169" s="166"/>
      <c r="AO169" s="166"/>
      <c r="AP169" s="166"/>
      <c r="AQ169" s="166">
        <v>71</v>
      </c>
      <c r="AR169" s="166">
        <v>94</v>
      </c>
      <c r="AS169" s="165"/>
      <c r="AT169" s="165"/>
      <c r="AU169" s="165"/>
      <c r="AV169" s="165"/>
      <c r="AW169" s="165"/>
      <c r="AX169" s="165"/>
      <c r="AY169" s="165"/>
      <c r="AZ169" s="165"/>
      <c r="BA169" s="166"/>
      <c r="BB169" s="166"/>
      <c r="BC169" s="166"/>
      <c r="BD169" s="166"/>
      <c r="BE169" s="166"/>
      <c r="BF169" s="166"/>
      <c r="BG169" s="166"/>
      <c r="BH169" s="166"/>
      <c r="BI169" s="165"/>
      <c r="BJ169" s="165"/>
      <c r="BK169" s="165"/>
      <c r="BL169" s="165"/>
      <c r="BM169" s="165"/>
      <c r="BN169" s="165"/>
      <c r="BO169" s="165"/>
      <c r="BP169" s="165"/>
      <c r="BQ169" s="166"/>
      <c r="BR169" s="165"/>
      <c r="BS169" s="124">
        <v>268</v>
      </c>
      <c r="BT169" s="174"/>
    </row>
    <row r="170" spans="1:72" ht="14.25" hidden="1" customHeight="1" x14ac:dyDescent="0.2">
      <c r="A170" s="92">
        <v>269</v>
      </c>
      <c r="B170" s="235" t="s">
        <v>382</v>
      </c>
      <c r="C170" s="236" t="s">
        <v>383</v>
      </c>
      <c r="D170" s="235" t="s">
        <v>384</v>
      </c>
      <c r="E170" s="125" t="s">
        <v>111</v>
      </c>
      <c r="F170" s="181" t="s">
        <v>71</v>
      </c>
      <c r="G170" s="181" t="s">
        <v>56</v>
      </c>
      <c r="H170" s="181" t="s">
        <v>263</v>
      </c>
      <c r="I170" s="181"/>
      <c r="J170" s="178">
        <v>20</v>
      </c>
      <c r="K170" s="182">
        <f>J170*0.9135071</f>
        <v>18.270142</v>
      </c>
      <c r="L170" s="182" t="s">
        <v>58</v>
      </c>
      <c r="M170" s="178" t="s">
        <v>59</v>
      </c>
      <c r="N170" s="178">
        <v>0</v>
      </c>
      <c r="O170" s="178" t="s">
        <v>60</v>
      </c>
      <c r="P170" s="178" t="s">
        <v>79</v>
      </c>
      <c r="Q170" s="179" t="s">
        <v>296</v>
      </c>
      <c r="R170" s="179" t="s">
        <v>290</v>
      </c>
      <c r="S170" s="180"/>
      <c r="T170" s="179"/>
      <c r="U170" s="179"/>
      <c r="V170" s="167"/>
      <c r="W170" s="168"/>
      <c r="Y170" s="167"/>
      <c r="Z170" s="82" t="s">
        <v>63</v>
      </c>
      <c r="AA170" s="166">
        <v>7</v>
      </c>
      <c r="AB170" s="166"/>
      <c r="AC170" s="165"/>
      <c r="AD170" s="21"/>
      <c r="AE170" s="165"/>
      <c r="AF170" s="165"/>
      <c r="AG170" s="165"/>
      <c r="AH170" s="165"/>
      <c r="AI170" s="165"/>
      <c r="AJ170" s="165"/>
      <c r="AK170" s="166"/>
      <c r="AL170" s="166"/>
      <c r="AM170" s="166"/>
      <c r="AN170" s="166"/>
      <c r="AO170" s="166"/>
      <c r="AP170" s="166"/>
      <c r="AQ170" s="166"/>
      <c r="AR170" s="166"/>
      <c r="AS170" s="165"/>
      <c r="AT170" s="165"/>
      <c r="AU170" s="165"/>
      <c r="AV170" s="165"/>
      <c r="AW170" s="165"/>
      <c r="AX170" s="165"/>
      <c r="AY170" s="165"/>
      <c r="AZ170" s="165"/>
      <c r="BA170" s="166"/>
      <c r="BB170" s="166"/>
      <c r="BC170" s="166"/>
      <c r="BD170" s="166"/>
      <c r="BE170" s="166"/>
      <c r="BF170" s="166"/>
      <c r="BG170" s="166"/>
      <c r="BH170" s="166"/>
      <c r="BI170" s="165"/>
      <c r="BJ170" s="165"/>
      <c r="BK170" s="165"/>
      <c r="BL170" s="165"/>
      <c r="BM170" s="165"/>
      <c r="BN170" s="165"/>
      <c r="BO170" s="165"/>
      <c r="BP170" s="165"/>
      <c r="BQ170" s="166"/>
      <c r="BR170" s="165"/>
      <c r="BS170" s="124">
        <v>269</v>
      </c>
      <c r="BT170" s="174"/>
    </row>
    <row r="171" spans="1:72" ht="14.25" hidden="1" customHeight="1" x14ac:dyDescent="0.2">
      <c r="A171" s="92">
        <v>279</v>
      </c>
      <c r="B171" s="235" t="s">
        <v>385</v>
      </c>
      <c r="C171" s="236" t="s">
        <v>386</v>
      </c>
      <c r="D171" s="235" t="s">
        <v>387</v>
      </c>
      <c r="E171" s="125" t="s">
        <v>102</v>
      </c>
      <c r="F171" s="181" t="s">
        <v>103</v>
      </c>
      <c r="G171" s="181" t="s">
        <v>56</v>
      </c>
      <c r="H171" s="181" t="s">
        <v>57</v>
      </c>
      <c r="I171" s="181"/>
      <c r="J171" s="178">
        <v>1</v>
      </c>
      <c r="K171" s="182"/>
      <c r="L171" s="182" t="s">
        <v>58</v>
      </c>
      <c r="M171" s="178" t="s">
        <v>78</v>
      </c>
      <c r="N171" s="178">
        <v>0</v>
      </c>
      <c r="O171" s="178" t="s">
        <v>60</v>
      </c>
      <c r="P171" s="178"/>
      <c r="Q171" s="179" t="s">
        <v>62</v>
      </c>
      <c r="R171" s="179"/>
      <c r="S171" s="180">
        <v>0</v>
      </c>
      <c r="T171" s="179"/>
      <c r="U171" s="179"/>
      <c r="V171" s="167" t="s">
        <v>62</v>
      </c>
      <c r="W171" s="168"/>
      <c r="X171" s="106" t="s">
        <v>388</v>
      </c>
      <c r="Y171" s="167"/>
      <c r="Z171" s="169" t="s">
        <v>63</v>
      </c>
      <c r="AA171" s="166">
        <v>10</v>
      </c>
      <c r="AB171" s="166">
        <v>5</v>
      </c>
      <c r="AC171" s="165">
        <v>27</v>
      </c>
      <c r="AD171" s="165" t="s">
        <v>80</v>
      </c>
      <c r="AE171" s="165" t="s">
        <v>389</v>
      </c>
      <c r="AF171" s="165">
        <v>6</v>
      </c>
      <c r="AG171" s="165" t="s">
        <v>80</v>
      </c>
      <c r="AH171" s="165" t="s">
        <v>117</v>
      </c>
      <c r="AI171" s="165">
        <v>20</v>
      </c>
      <c r="AJ171" s="165">
        <v>39</v>
      </c>
      <c r="AK171" s="166">
        <v>74</v>
      </c>
      <c r="AL171" s="166" t="s">
        <v>81</v>
      </c>
      <c r="AM171" s="166" t="s">
        <v>389</v>
      </c>
      <c r="AN171" s="166">
        <v>16</v>
      </c>
      <c r="AO171" s="166" t="s">
        <v>81</v>
      </c>
      <c r="AP171" s="166" t="s">
        <v>117</v>
      </c>
      <c r="AQ171" s="166">
        <v>53</v>
      </c>
      <c r="AR171" s="166">
        <v>96</v>
      </c>
      <c r="AS171" s="165"/>
      <c r="AT171" s="165"/>
      <c r="AU171" s="165"/>
      <c r="AV171" s="165"/>
      <c r="AW171" s="165"/>
      <c r="AX171" s="165"/>
      <c r="AY171" s="165"/>
      <c r="AZ171" s="165"/>
      <c r="BA171" s="166"/>
      <c r="BB171" s="166"/>
      <c r="BC171" s="166"/>
      <c r="BD171" s="166"/>
      <c r="BE171" s="166"/>
      <c r="BF171" s="166"/>
      <c r="BG171" s="166"/>
      <c r="BH171" s="166"/>
      <c r="BI171" s="165"/>
      <c r="BJ171" s="165"/>
      <c r="BK171" s="165"/>
      <c r="BL171" s="165"/>
      <c r="BM171" s="165"/>
      <c r="BN171" s="165"/>
      <c r="BO171" s="165"/>
      <c r="BP171" s="165"/>
      <c r="BQ171" s="166"/>
      <c r="BR171" s="165"/>
      <c r="BS171" s="124">
        <v>279</v>
      </c>
      <c r="BT171" s="174"/>
    </row>
    <row r="172" spans="1:72" ht="14.25" hidden="1" customHeight="1" x14ac:dyDescent="0.2">
      <c r="A172" s="92">
        <v>280</v>
      </c>
      <c r="B172" s="235" t="s">
        <v>385</v>
      </c>
      <c r="C172" s="236" t="s">
        <v>386</v>
      </c>
      <c r="D172" s="235" t="s">
        <v>390</v>
      </c>
      <c r="E172" s="125" t="s">
        <v>102</v>
      </c>
      <c r="F172" s="181" t="s">
        <v>103</v>
      </c>
      <c r="G172" s="181" t="s">
        <v>56</v>
      </c>
      <c r="H172" s="181" t="s">
        <v>57</v>
      </c>
      <c r="I172" s="156" t="s">
        <v>391</v>
      </c>
      <c r="J172" s="178">
        <v>1</v>
      </c>
      <c r="K172" s="182"/>
      <c r="L172" s="182" t="s">
        <v>58</v>
      </c>
      <c r="M172" s="178" t="s">
        <v>78</v>
      </c>
      <c r="N172" s="178">
        <v>104</v>
      </c>
      <c r="O172" s="178" t="s">
        <v>60</v>
      </c>
      <c r="P172" s="178"/>
      <c r="Q172" s="179" t="s">
        <v>62</v>
      </c>
      <c r="R172" s="179"/>
      <c r="S172" s="180">
        <v>0</v>
      </c>
      <c r="T172" s="179"/>
      <c r="U172" s="179"/>
      <c r="V172" s="167" t="s">
        <v>62</v>
      </c>
      <c r="W172" s="168"/>
      <c r="X172" s="106" t="s">
        <v>388</v>
      </c>
      <c r="Y172" s="167"/>
      <c r="Z172" s="169" t="s">
        <v>63</v>
      </c>
      <c r="AA172" s="166">
        <v>10</v>
      </c>
      <c r="AB172" s="166">
        <v>5</v>
      </c>
      <c r="AC172" s="165">
        <v>27</v>
      </c>
      <c r="AD172" s="165" t="s">
        <v>80</v>
      </c>
      <c r="AE172" s="165" t="s">
        <v>389</v>
      </c>
      <c r="AF172" s="165">
        <v>6</v>
      </c>
      <c r="AG172" s="165" t="s">
        <v>80</v>
      </c>
      <c r="AH172" s="165" t="s">
        <v>117</v>
      </c>
      <c r="AI172" s="165">
        <v>20</v>
      </c>
      <c r="AJ172" s="165">
        <v>39</v>
      </c>
      <c r="AK172" s="166">
        <v>74</v>
      </c>
      <c r="AL172" s="166" t="s">
        <v>81</v>
      </c>
      <c r="AM172" s="166" t="s">
        <v>389</v>
      </c>
      <c r="AN172" s="166">
        <v>16</v>
      </c>
      <c r="AO172" s="166" t="s">
        <v>81</v>
      </c>
      <c r="AP172" s="166" t="s">
        <v>117</v>
      </c>
      <c r="AQ172" s="166">
        <v>53</v>
      </c>
      <c r="AR172" s="166">
        <v>96</v>
      </c>
      <c r="AS172" s="165"/>
      <c r="AT172" s="165"/>
      <c r="AU172" s="165"/>
      <c r="AV172" s="165"/>
      <c r="AW172" s="165"/>
      <c r="AX172" s="165"/>
      <c r="AY172" s="165"/>
      <c r="AZ172" s="165"/>
      <c r="BA172" s="166"/>
      <c r="BB172" s="166"/>
      <c r="BC172" s="166"/>
      <c r="BD172" s="166"/>
      <c r="BE172" s="166"/>
      <c r="BF172" s="166"/>
      <c r="BG172" s="166"/>
      <c r="BH172" s="166"/>
      <c r="BI172" s="165"/>
      <c r="BJ172" s="165"/>
      <c r="BK172" s="165"/>
      <c r="BL172" s="165"/>
      <c r="BM172" s="165"/>
      <c r="BN172" s="165"/>
      <c r="BO172" s="165"/>
      <c r="BP172" s="165"/>
      <c r="BQ172" s="166"/>
      <c r="BR172" s="165"/>
      <c r="BS172" s="124">
        <v>280</v>
      </c>
      <c r="BT172" s="174"/>
    </row>
    <row r="173" spans="1:72" ht="14.25" hidden="1" customHeight="1" x14ac:dyDescent="0.2">
      <c r="A173" s="92">
        <v>281</v>
      </c>
      <c r="B173" s="235" t="s">
        <v>385</v>
      </c>
      <c r="C173" s="236" t="s">
        <v>386</v>
      </c>
      <c r="D173" s="235" t="s">
        <v>392</v>
      </c>
      <c r="E173" s="125" t="s">
        <v>102</v>
      </c>
      <c r="F173" s="181" t="s">
        <v>103</v>
      </c>
      <c r="G173" s="181" t="s">
        <v>56</v>
      </c>
      <c r="H173" s="181" t="s">
        <v>57</v>
      </c>
      <c r="I173" s="181"/>
      <c r="J173" s="178">
        <v>1</v>
      </c>
      <c r="K173" s="182"/>
      <c r="L173" s="182" t="s">
        <v>58</v>
      </c>
      <c r="M173" s="178" t="s">
        <v>78</v>
      </c>
      <c r="N173" s="178">
        <v>0</v>
      </c>
      <c r="O173" s="178" t="s">
        <v>60</v>
      </c>
      <c r="P173" s="178"/>
      <c r="Q173" s="179" t="s">
        <v>62</v>
      </c>
      <c r="R173" s="179"/>
      <c r="S173" s="180">
        <v>0</v>
      </c>
      <c r="T173" s="179"/>
      <c r="U173" s="179"/>
      <c r="V173" s="167" t="s">
        <v>62</v>
      </c>
      <c r="W173" s="168"/>
      <c r="X173" s="106" t="s">
        <v>388</v>
      </c>
      <c r="Y173" s="167"/>
      <c r="Z173" s="169" t="s">
        <v>63</v>
      </c>
      <c r="AA173" s="166">
        <v>10</v>
      </c>
      <c r="AB173" s="166">
        <v>5</v>
      </c>
      <c r="AC173" s="165">
        <v>27</v>
      </c>
      <c r="AD173" s="165" t="s">
        <v>80</v>
      </c>
      <c r="AE173" s="165" t="s">
        <v>389</v>
      </c>
      <c r="AF173" s="165">
        <v>6</v>
      </c>
      <c r="AG173" s="165" t="s">
        <v>80</v>
      </c>
      <c r="AH173" s="165" t="s">
        <v>117</v>
      </c>
      <c r="AI173" s="165">
        <v>20</v>
      </c>
      <c r="AJ173" s="165">
        <v>39</v>
      </c>
      <c r="AK173" s="166">
        <v>74</v>
      </c>
      <c r="AL173" s="166" t="s">
        <v>81</v>
      </c>
      <c r="AM173" s="166" t="s">
        <v>389</v>
      </c>
      <c r="AN173" s="166">
        <v>16</v>
      </c>
      <c r="AO173" s="166" t="s">
        <v>81</v>
      </c>
      <c r="AP173" s="166" t="s">
        <v>117</v>
      </c>
      <c r="AQ173" s="166">
        <v>53</v>
      </c>
      <c r="AR173" s="166">
        <v>96</v>
      </c>
      <c r="AS173" s="165"/>
      <c r="AT173" s="165"/>
      <c r="AU173" s="165"/>
      <c r="AV173" s="165"/>
      <c r="AW173" s="165"/>
      <c r="AX173" s="165"/>
      <c r="AY173" s="165"/>
      <c r="AZ173" s="165"/>
      <c r="BA173" s="166"/>
      <c r="BB173" s="166"/>
      <c r="BC173" s="166"/>
      <c r="BD173" s="166"/>
      <c r="BE173" s="166"/>
      <c r="BF173" s="166"/>
      <c r="BG173" s="166"/>
      <c r="BH173" s="166"/>
      <c r="BI173" s="165"/>
      <c r="BJ173" s="165"/>
      <c r="BK173" s="165"/>
      <c r="BL173" s="165"/>
      <c r="BM173" s="165"/>
      <c r="BN173" s="165"/>
      <c r="BO173" s="165"/>
      <c r="BP173" s="165"/>
      <c r="BQ173" s="166"/>
      <c r="BR173" s="165"/>
      <c r="BS173" s="124">
        <v>281</v>
      </c>
      <c r="BT173" s="174"/>
    </row>
    <row r="174" spans="1:72" ht="14.25" hidden="1" customHeight="1" x14ac:dyDescent="0.2">
      <c r="A174" s="92">
        <v>282</v>
      </c>
      <c r="B174" s="235" t="s">
        <v>385</v>
      </c>
      <c r="C174" s="236" t="s">
        <v>386</v>
      </c>
      <c r="D174" s="235" t="s">
        <v>387</v>
      </c>
      <c r="E174" s="125" t="s">
        <v>393</v>
      </c>
      <c r="F174" s="181" t="s">
        <v>103</v>
      </c>
      <c r="G174" s="181" t="s">
        <v>56</v>
      </c>
      <c r="H174" s="181" t="s">
        <v>57</v>
      </c>
      <c r="I174" s="181"/>
      <c r="J174" s="178">
        <v>15</v>
      </c>
      <c r="K174" s="251"/>
      <c r="L174" s="182" t="s">
        <v>236</v>
      </c>
      <c r="M174" s="178" t="s">
        <v>78</v>
      </c>
      <c r="N174" s="178">
        <v>0</v>
      </c>
      <c r="O174" s="178" t="s">
        <v>60</v>
      </c>
      <c r="P174" s="178"/>
      <c r="Q174" s="179" t="s">
        <v>62</v>
      </c>
      <c r="R174" s="179"/>
      <c r="S174" s="180">
        <v>0</v>
      </c>
      <c r="T174" s="179"/>
      <c r="U174" s="179"/>
      <c r="V174" s="167" t="s">
        <v>62</v>
      </c>
      <c r="W174" s="168"/>
      <c r="X174" s="106" t="s">
        <v>388</v>
      </c>
      <c r="Y174" s="167"/>
      <c r="Z174" s="169" t="s">
        <v>63</v>
      </c>
      <c r="AA174" s="166">
        <v>10</v>
      </c>
      <c r="AB174" s="166">
        <v>5</v>
      </c>
      <c r="AC174" s="165">
        <v>27</v>
      </c>
      <c r="AD174" s="165" t="s">
        <v>80</v>
      </c>
      <c r="AE174" s="165" t="s">
        <v>389</v>
      </c>
      <c r="AF174" s="165">
        <v>6</v>
      </c>
      <c r="AG174" s="165" t="s">
        <v>80</v>
      </c>
      <c r="AH174" s="165" t="s">
        <v>117</v>
      </c>
      <c r="AI174" s="165">
        <v>20</v>
      </c>
      <c r="AJ174" s="165">
        <v>39</v>
      </c>
      <c r="AK174" s="166">
        <v>74</v>
      </c>
      <c r="AL174" s="166" t="s">
        <v>81</v>
      </c>
      <c r="AM174" s="166" t="s">
        <v>389</v>
      </c>
      <c r="AN174" s="166">
        <v>16</v>
      </c>
      <c r="AO174" s="166" t="s">
        <v>81</v>
      </c>
      <c r="AP174" s="166" t="s">
        <v>117</v>
      </c>
      <c r="AQ174" s="166">
        <v>53</v>
      </c>
      <c r="AR174" s="166">
        <v>96</v>
      </c>
      <c r="AS174" s="165"/>
      <c r="AT174" s="165"/>
      <c r="AU174" s="165"/>
      <c r="AV174" s="165"/>
      <c r="AW174" s="165"/>
      <c r="AX174" s="165"/>
      <c r="AY174" s="165"/>
      <c r="AZ174" s="165"/>
      <c r="BA174" s="166"/>
      <c r="BB174" s="166"/>
      <c r="BC174" s="166"/>
      <c r="BD174" s="166"/>
      <c r="BE174" s="166"/>
      <c r="BF174" s="166"/>
      <c r="BG174" s="166"/>
      <c r="BH174" s="166"/>
      <c r="BI174" s="165"/>
      <c r="BJ174" s="165"/>
      <c r="BK174" s="165"/>
      <c r="BL174" s="165"/>
      <c r="BM174" s="165"/>
      <c r="BN174" s="165"/>
      <c r="BO174" s="165"/>
      <c r="BP174" s="165"/>
      <c r="BQ174" s="166"/>
      <c r="BR174" s="165"/>
      <c r="BS174" s="124">
        <v>282</v>
      </c>
      <c r="BT174" s="174"/>
    </row>
    <row r="175" spans="1:72" ht="14.25" hidden="1" customHeight="1" x14ac:dyDescent="0.2">
      <c r="A175" s="92">
        <v>283</v>
      </c>
      <c r="B175" s="235" t="s">
        <v>385</v>
      </c>
      <c r="C175" s="236" t="s">
        <v>386</v>
      </c>
      <c r="D175" s="235" t="s">
        <v>390</v>
      </c>
      <c r="E175" s="125" t="s">
        <v>393</v>
      </c>
      <c r="F175" s="181" t="s">
        <v>103</v>
      </c>
      <c r="G175" s="181" t="s">
        <v>56</v>
      </c>
      <c r="H175" s="181" t="s">
        <v>57</v>
      </c>
      <c r="I175" s="156" t="s">
        <v>391</v>
      </c>
      <c r="J175" s="178">
        <v>15</v>
      </c>
      <c r="K175" s="251"/>
      <c r="L175" s="182" t="s">
        <v>236</v>
      </c>
      <c r="M175" s="178" t="s">
        <v>78</v>
      </c>
      <c r="N175" s="178">
        <v>105</v>
      </c>
      <c r="O175" s="178" t="s">
        <v>60</v>
      </c>
      <c r="P175" s="178"/>
      <c r="Q175" s="179" t="s">
        <v>62</v>
      </c>
      <c r="R175" s="179"/>
      <c r="S175" s="180">
        <v>0</v>
      </c>
      <c r="T175" s="179"/>
      <c r="U175" s="179"/>
      <c r="V175" s="167" t="s">
        <v>62</v>
      </c>
      <c r="W175" s="168"/>
      <c r="X175" s="106" t="s">
        <v>388</v>
      </c>
      <c r="Y175" s="167"/>
      <c r="Z175" s="169" t="s">
        <v>63</v>
      </c>
      <c r="AA175" s="166">
        <v>10</v>
      </c>
      <c r="AB175" s="166">
        <v>5</v>
      </c>
      <c r="AC175" s="165">
        <v>27</v>
      </c>
      <c r="AD175" s="165" t="s">
        <v>80</v>
      </c>
      <c r="AE175" s="165" t="s">
        <v>389</v>
      </c>
      <c r="AF175" s="165">
        <v>6</v>
      </c>
      <c r="AG175" s="165" t="s">
        <v>80</v>
      </c>
      <c r="AH175" s="165" t="s">
        <v>117</v>
      </c>
      <c r="AI175" s="165">
        <v>20</v>
      </c>
      <c r="AJ175" s="165">
        <v>39</v>
      </c>
      <c r="AK175" s="166">
        <v>74</v>
      </c>
      <c r="AL175" s="166" t="s">
        <v>81</v>
      </c>
      <c r="AM175" s="166" t="s">
        <v>389</v>
      </c>
      <c r="AN175" s="166">
        <v>16</v>
      </c>
      <c r="AO175" s="166" t="s">
        <v>81</v>
      </c>
      <c r="AP175" s="166" t="s">
        <v>117</v>
      </c>
      <c r="AQ175" s="166">
        <v>53</v>
      </c>
      <c r="AR175" s="166">
        <v>96</v>
      </c>
      <c r="AS175" s="165"/>
      <c r="AT175" s="165"/>
      <c r="AU175" s="165"/>
      <c r="AV175" s="165"/>
      <c r="AW175" s="165"/>
      <c r="AX175" s="165"/>
      <c r="AY175" s="165"/>
      <c r="AZ175" s="165"/>
      <c r="BA175" s="166"/>
      <c r="BB175" s="166"/>
      <c r="BC175" s="166"/>
      <c r="BD175" s="166"/>
      <c r="BE175" s="166"/>
      <c r="BF175" s="166"/>
      <c r="BG175" s="166"/>
      <c r="BH175" s="166"/>
      <c r="BI175" s="165"/>
      <c r="BJ175" s="165"/>
      <c r="BK175" s="165"/>
      <c r="BL175" s="165"/>
      <c r="BM175" s="165"/>
      <c r="BN175" s="165"/>
      <c r="BO175" s="165"/>
      <c r="BP175" s="165"/>
      <c r="BQ175" s="166"/>
      <c r="BR175" s="165"/>
      <c r="BS175" s="124">
        <v>283</v>
      </c>
      <c r="BT175" s="174"/>
    </row>
    <row r="176" spans="1:72" ht="14.25" hidden="1" customHeight="1" x14ac:dyDescent="0.2">
      <c r="A176" s="92">
        <v>284</v>
      </c>
      <c r="B176" s="235" t="s">
        <v>385</v>
      </c>
      <c r="C176" s="236" t="s">
        <v>386</v>
      </c>
      <c r="D176" s="235" t="s">
        <v>392</v>
      </c>
      <c r="E176" s="125" t="s">
        <v>393</v>
      </c>
      <c r="F176" s="181" t="s">
        <v>103</v>
      </c>
      <c r="G176" s="181" t="s">
        <v>56</v>
      </c>
      <c r="H176" s="181" t="s">
        <v>57</v>
      </c>
      <c r="I176" s="181"/>
      <c r="J176" s="178">
        <v>15</v>
      </c>
      <c r="K176" s="251"/>
      <c r="L176" s="182" t="s">
        <v>236</v>
      </c>
      <c r="M176" s="178" t="s">
        <v>78</v>
      </c>
      <c r="N176" s="178">
        <v>0</v>
      </c>
      <c r="O176" s="178" t="s">
        <v>60</v>
      </c>
      <c r="P176" s="178"/>
      <c r="Q176" s="179" t="s">
        <v>62</v>
      </c>
      <c r="R176" s="179"/>
      <c r="S176" s="180">
        <v>0</v>
      </c>
      <c r="T176" s="179"/>
      <c r="U176" s="179"/>
      <c r="V176" s="167" t="s">
        <v>62</v>
      </c>
      <c r="W176" s="168"/>
      <c r="X176" s="106" t="s">
        <v>388</v>
      </c>
      <c r="Y176" s="167"/>
      <c r="Z176" s="169" t="s">
        <v>63</v>
      </c>
      <c r="AA176" s="166">
        <v>10</v>
      </c>
      <c r="AB176" s="166">
        <v>5</v>
      </c>
      <c r="AC176" s="165">
        <v>27</v>
      </c>
      <c r="AD176" s="165" t="s">
        <v>80</v>
      </c>
      <c r="AE176" s="165" t="s">
        <v>389</v>
      </c>
      <c r="AF176" s="165">
        <v>6</v>
      </c>
      <c r="AG176" s="165" t="s">
        <v>80</v>
      </c>
      <c r="AH176" s="165" t="s">
        <v>117</v>
      </c>
      <c r="AI176" s="165">
        <v>20</v>
      </c>
      <c r="AJ176" s="165">
        <v>39</v>
      </c>
      <c r="AK176" s="166">
        <v>74</v>
      </c>
      <c r="AL176" s="166" t="s">
        <v>81</v>
      </c>
      <c r="AM176" s="166" t="s">
        <v>389</v>
      </c>
      <c r="AN176" s="166">
        <v>16</v>
      </c>
      <c r="AO176" s="166" t="s">
        <v>81</v>
      </c>
      <c r="AP176" s="166" t="s">
        <v>117</v>
      </c>
      <c r="AQ176" s="166">
        <v>53</v>
      </c>
      <c r="AR176" s="166">
        <v>96</v>
      </c>
      <c r="AS176" s="165"/>
      <c r="AT176" s="165"/>
      <c r="AU176" s="165"/>
      <c r="AV176" s="165"/>
      <c r="AW176" s="165"/>
      <c r="AX176" s="165"/>
      <c r="AY176" s="165"/>
      <c r="AZ176" s="165"/>
      <c r="BA176" s="166"/>
      <c r="BB176" s="166"/>
      <c r="BC176" s="166"/>
      <c r="BD176" s="166"/>
      <c r="BE176" s="166"/>
      <c r="BF176" s="166"/>
      <c r="BG176" s="166"/>
      <c r="BH176" s="166"/>
      <c r="BI176" s="165"/>
      <c r="BJ176" s="165"/>
      <c r="BK176" s="165"/>
      <c r="BL176" s="165"/>
      <c r="BM176" s="165"/>
      <c r="BN176" s="165"/>
      <c r="BO176" s="165"/>
      <c r="BP176" s="165"/>
      <c r="BQ176" s="166"/>
      <c r="BR176" s="165"/>
      <c r="BS176" s="124">
        <v>284</v>
      </c>
      <c r="BT176" s="174"/>
    </row>
    <row r="177" spans="1:72" ht="14.25" hidden="1" customHeight="1" x14ac:dyDescent="0.2">
      <c r="A177" s="92">
        <v>285</v>
      </c>
      <c r="B177" s="235" t="s">
        <v>385</v>
      </c>
      <c r="C177" s="236" t="s">
        <v>386</v>
      </c>
      <c r="D177" s="235" t="s">
        <v>394</v>
      </c>
      <c r="E177" s="125" t="s">
        <v>102</v>
      </c>
      <c r="F177" s="181" t="s">
        <v>103</v>
      </c>
      <c r="G177" s="181" t="s">
        <v>56</v>
      </c>
      <c r="H177" s="181" t="s">
        <v>168</v>
      </c>
      <c r="I177" s="181"/>
      <c r="J177" s="178">
        <v>3</v>
      </c>
      <c r="K177" s="182"/>
      <c r="L177" s="182" t="s">
        <v>58</v>
      </c>
      <c r="M177" s="178" t="s">
        <v>59</v>
      </c>
      <c r="N177" s="178">
        <v>0</v>
      </c>
      <c r="O177" s="178" t="s">
        <v>60</v>
      </c>
      <c r="P177" s="178"/>
      <c r="Q177" s="179" t="s">
        <v>62</v>
      </c>
      <c r="R177" s="179" t="s">
        <v>171</v>
      </c>
      <c r="S177" s="180"/>
      <c r="T177" s="179"/>
      <c r="U177" s="179" t="s">
        <v>395</v>
      </c>
      <c r="V177" s="167" t="s">
        <v>62</v>
      </c>
      <c r="W177" s="168"/>
      <c r="X177" s="106" t="s">
        <v>388</v>
      </c>
      <c r="Y177" s="167"/>
      <c r="Z177" s="169" t="s">
        <v>63</v>
      </c>
      <c r="AA177" s="166">
        <v>10</v>
      </c>
      <c r="AB177" s="166">
        <v>5</v>
      </c>
      <c r="AC177" s="165">
        <v>27</v>
      </c>
      <c r="AD177" s="165" t="s">
        <v>80</v>
      </c>
      <c r="AE177" s="165" t="s">
        <v>389</v>
      </c>
      <c r="AF177" s="165">
        <v>6</v>
      </c>
      <c r="AG177" s="165" t="s">
        <v>80</v>
      </c>
      <c r="AH177" s="165" t="s">
        <v>117</v>
      </c>
      <c r="AI177" s="165">
        <v>20</v>
      </c>
      <c r="AJ177" s="165">
        <v>39</v>
      </c>
      <c r="AK177" s="166">
        <v>74</v>
      </c>
      <c r="AL177" s="166" t="s">
        <v>81</v>
      </c>
      <c r="AM177" s="166" t="s">
        <v>389</v>
      </c>
      <c r="AN177" s="166">
        <v>16</v>
      </c>
      <c r="AO177" s="166" t="s">
        <v>81</v>
      </c>
      <c r="AP177" s="166" t="s">
        <v>117</v>
      </c>
      <c r="AQ177" s="166">
        <v>53</v>
      </c>
      <c r="AR177" s="166">
        <v>96</v>
      </c>
      <c r="AS177" s="165"/>
      <c r="AT177" s="165"/>
      <c r="AU177" s="165"/>
      <c r="AV177" s="165"/>
      <c r="AW177" s="165"/>
      <c r="AX177" s="165"/>
      <c r="AY177" s="165"/>
      <c r="AZ177" s="165"/>
      <c r="BA177" s="166"/>
      <c r="BB177" s="166"/>
      <c r="BC177" s="166"/>
      <c r="BD177" s="166"/>
      <c r="BE177" s="166"/>
      <c r="BF177" s="166"/>
      <c r="BG177" s="166"/>
      <c r="BH177" s="166"/>
      <c r="BI177" s="165"/>
      <c r="BJ177" s="165"/>
      <c r="BK177" s="165"/>
      <c r="BL177" s="165"/>
      <c r="BM177" s="165"/>
      <c r="BN177" s="165"/>
      <c r="BO177" s="165"/>
      <c r="BP177" s="165"/>
      <c r="BQ177" s="166"/>
      <c r="BR177" s="165"/>
      <c r="BS177" s="124">
        <v>285</v>
      </c>
      <c r="BT177" s="174"/>
    </row>
    <row r="178" spans="1:72" ht="14.25" hidden="1" customHeight="1" x14ac:dyDescent="0.2">
      <c r="A178" s="92">
        <v>286</v>
      </c>
      <c r="B178" s="235" t="s">
        <v>385</v>
      </c>
      <c r="C178" s="236" t="s">
        <v>386</v>
      </c>
      <c r="D178" s="235" t="s">
        <v>396</v>
      </c>
      <c r="E178" s="125" t="s">
        <v>102</v>
      </c>
      <c r="F178" s="181" t="s">
        <v>103</v>
      </c>
      <c r="G178" s="181" t="s">
        <v>56</v>
      </c>
      <c r="H178" s="181" t="s">
        <v>168</v>
      </c>
      <c r="I178" s="156" t="s">
        <v>391</v>
      </c>
      <c r="J178" s="178">
        <v>3</v>
      </c>
      <c r="K178" s="182"/>
      <c r="L178" s="182" t="s">
        <v>58</v>
      </c>
      <c r="M178" s="178" t="s">
        <v>59</v>
      </c>
      <c r="N178" s="178">
        <v>128</v>
      </c>
      <c r="O178" s="178" t="s">
        <v>60</v>
      </c>
      <c r="P178" s="178"/>
      <c r="Q178" s="179" t="s">
        <v>62</v>
      </c>
      <c r="R178" s="179" t="s">
        <v>171</v>
      </c>
      <c r="S178" s="180"/>
      <c r="T178" s="179"/>
      <c r="U178" s="179" t="s">
        <v>395</v>
      </c>
      <c r="V178" s="167" t="s">
        <v>62</v>
      </c>
      <c r="W178" s="168"/>
      <c r="X178" s="106" t="s">
        <v>388</v>
      </c>
      <c r="Y178" s="167"/>
      <c r="Z178" s="169" t="s">
        <v>63</v>
      </c>
      <c r="AA178" s="166">
        <v>10</v>
      </c>
      <c r="AB178" s="166">
        <v>5</v>
      </c>
      <c r="AC178" s="165">
        <v>27</v>
      </c>
      <c r="AD178" s="165" t="s">
        <v>80</v>
      </c>
      <c r="AE178" s="165" t="s">
        <v>389</v>
      </c>
      <c r="AF178" s="165">
        <v>6</v>
      </c>
      <c r="AG178" s="165" t="s">
        <v>80</v>
      </c>
      <c r="AH178" s="165" t="s">
        <v>117</v>
      </c>
      <c r="AI178" s="165">
        <v>20</v>
      </c>
      <c r="AJ178" s="165">
        <v>39</v>
      </c>
      <c r="AK178" s="166">
        <v>74</v>
      </c>
      <c r="AL178" s="166" t="s">
        <v>81</v>
      </c>
      <c r="AM178" s="166" t="s">
        <v>389</v>
      </c>
      <c r="AN178" s="166">
        <v>16</v>
      </c>
      <c r="AO178" s="166" t="s">
        <v>81</v>
      </c>
      <c r="AP178" s="166" t="s">
        <v>117</v>
      </c>
      <c r="AQ178" s="166">
        <v>53</v>
      </c>
      <c r="AR178" s="166">
        <v>96</v>
      </c>
      <c r="AS178" s="165"/>
      <c r="AT178" s="165"/>
      <c r="AU178" s="165"/>
      <c r="AV178" s="165"/>
      <c r="AW178" s="165"/>
      <c r="AX178" s="165"/>
      <c r="AY178" s="165"/>
      <c r="AZ178" s="165"/>
      <c r="BA178" s="166"/>
      <c r="BB178" s="166"/>
      <c r="BC178" s="166"/>
      <c r="BD178" s="166"/>
      <c r="BE178" s="166"/>
      <c r="BF178" s="166"/>
      <c r="BG178" s="166"/>
      <c r="BH178" s="166"/>
      <c r="BI178" s="165"/>
      <c r="BJ178" s="165"/>
      <c r="BK178" s="165"/>
      <c r="BL178" s="165"/>
      <c r="BM178" s="165"/>
      <c r="BN178" s="165"/>
      <c r="BO178" s="165"/>
      <c r="BP178" s="165"/>
      <c r="BQ178" s="166"/>
      <c r="BR178" s="165"/>
      <c r="BS178" s="124">
        <v>286</v>
      </c>
      <c r="BT178" s="174"/>
    </row>
    <row r="179" spans="1:72" ht="14.25" hidden="1" customHeight="1" x14ac:dyDescent="0.2">
      <c r="A179" s="92">
        <v>287</v>
      </c>
      <c r="B179" s="235" t="s">
        <v>385</v>
      </c>
      <c r="C179" s="236" t="s">
        <v>386</v>
      </c>
      <c r="D179" s="235" t="s">
        <v>397</v>
      </c>
      <c r="E179" s="125" t="s">
        <v>393</v>
      </c>
      <c r="F179" s="181" t="s">
        <v>103</v>
      </c>
      <c r="G179" s="181" t="s">
        <v>56</v>
      </c>
      <c r="H179" s="181" t="s">
        <v>168</v>
      </c>
      <c r="I179" s="181"/>
      <c r="J179" s="178">
        <v>60</v>
      </c>
      <c r="K179" s="251"/>
      <c r="L179" s="182" t="s">
        <v>236</v>
      </c>
      <c r="M179" s="178" t="s">
        <v>59</v>
      </c>
      <c r="N179" s="178">
        <v>0</v>
      </c>
      <c r="O179" s="178" t="s">
        <v>60</v>
      </c>
      <c r="P179" s="178"/>
      <c r="Q179" s="179" t="s">
        <v>62</v>
      </c>
      <c r="R179" s="179" t="s">
        <v>171</v>
      </c>
      <c r="S179" s="180"/>
      <c r="T179" s="179"/>
      <c r="U179" s="179" t="s">
        <v>398</v>
      </c>
      <c r="V179" s="167" t="s">
        <v>62</v>
      </c>
      <c r="W179" s="168"/>
      <c r="X179" s="106" t="s">
        <v>388</v>
      </c>
      <c r="Y179" s="167"/>
      <c r="Z179" s="169" t="s">
        <v>63</v>
      </c>
      <c r="AA179" s="166">
        <v>10</v>
      </c>
      <c r="AB179" s="166">
        <v>5</v>
      </c>
      <c r="AC179" s="165">
        <v>27</v>
      </c>
      <c r="AD179" s="165" t="s">
        <v>80</v>
      </c>
      <c r="AE179" s="165" t="s">
        <v>389</v>
      </c>
      <c r="AF179" s="165">
        <v>6</v>
      </c>
      <c r="AG179" s="165" t="s">
        <v>80</v>
      </c>
      <c r="AH179" s="165" t="s">
        <v>117</v>
      </c>
      <c r="AI179" s="165">
        <v>20</v>
      </c>
      <c r="AJ179" s="165">
        <v>39</v>
      </c>
      <c r="AK179" s="166">
        <v>74</v>
      </c>
      <c r="AL179" s="166" t="s">
        <v>81</v>
      </c>
      <c r="AM179" s="166" t="s">
        <v>389</v>
      </c>
      <c r="AN179" s="166">
        <v>16</v>
      </c>
      <c r="AO179" s="166" t="s">
        <v>81</v>
      </c>
      <c r="AP179" s="166" t="s">
        <v>117</v>
      </c>
      <c r="AQ179" s="166">
        <v>53</v>
      </c>
      <c r="AR179" s="166">
        <v>96</v>
      </c>
      <c r="AS179" s="165"/>
      <c r="AT179" s="165"/>
      <c r="AU179" s="165"/>
      <c r="AV179" s="165"/>
      <c r="AW179" s="165"/>
      <c r="AX179" s="165"/>
      <c r="AY179" s="165"/>
      <c r="AZ179" s="165"/>
      <c r="BA179" s="166"/>
      <c r="BB179" s="166"/>
      <c r="BC179" s="166"/>
      <c r="BD179" s="166"/>
      <c r="BE179" s="166"/>
      <c r="BF179" s="166"/>
      <c r="BG179" s="166"/>
      <c r="BH179" s="166"/>
      <c r="BI179" s="165"/>
      <c r="BJ179" s="165"/>
      <c r="BK179" s="165"/>
      <c r="BL179" s="165"/>
      <c r="BM179" s="165"/>
      <c r="BN179" s="165"/>
      <c r="BO179" s="165"/>
      <c r="BP179" s="165"/>
      <c r="BQ179" s="166"/>
      <c r="BR179" s="165"/>
      <c r="BS179" s="124">
        <v>287</v>
      </c>
      <c r="BT179" s="174"/>
    </row>
    <row r="180" spans="1:72" ht="14.25" hidden="1" customHeight="1" x14ac:dyDescent="0.2">
      <c r="A180" s="92">
        <v>288</v>
      </c>
      <c r="B180" s="235" t="s">
        <v>385</v>
      </c>
      <c r="C180" s="236" t="s">
        <v>386</v>
      </c>
      <c r="D180" s="235" t="s">
        <v>399</v>
      </c>
      <c r="E180" s="125" t="s">
        <v>393</v>
      </c>
      <c r="F180" s="181" t="s">
        <v>103</v>
      </c>
      <c r="G180" s="181" t="s">
        <v>56</v>
      </c>
      <c r="H180" s="181" t="s">
        <v>168</v>
      </c>
      <c r="I180" s="156" t="s">
        <v>391</v>
      </c>
      <c r="J180" s="178">
        <v>60</v>
      </c>
      <c r="K180" s="251"/>
      <c r="L180" s="182" t="s">
        <v>236</v>
      </c>
      <c r="M180" s="178" t="s">
        <v>59</v>
      </c>
      <c r="N180" s="178">
        <v>129</v>
      </c>
      <c r="O180" s="178" t="s">
        <v>60</v>
      </c>
      <c r="P180" s="178"/>
      <c r="Q180" s="179" t="s">
        <v>62</v>
      </c>
      <c r="R180" s="179" t="s">
        <v>171</v>
      </c>
      <c r="S180" s="180"/>
      <c r="T180" s="179"/>
      <c r="U180" s="179" t="s">
        <v>398</v>
      </c>
      <c r="V180" s="167" t="s">
        <v>62</v>
      </c>
      <c r="W180" s="168"/>
      <c r="X180" s="106" t="s">
        <v>388</v>
      </c>
      <c r="Y180" s="167"/>
      <c r="Z180" s="169" t="s">
        <v>63</v>
      </c>
      <c r="AA180" s="166">
        <v>10</v>
      </c>
      <c r="AB180" s="166">
        <v>5</v>
      </c>
      <c r="AC180" s="165">
        <v>27</v>
      </c>
      <c r="AD180" s="165" t="s">
        <v>80</v>
      </c>
      <c r="AE180" s="165" t="s">
        <v>389</v>
      </c>
      <c r="AF180" s="165">
        <v>6</v>
      </c>
      <c r="AG180" s="165" t="s">
        <v>80</v>
      </c>
      <c r="AH180" s="165" t="s">
        <v>117</v>
      </c>
      <c r="AI180" s="165">
        <v>20</v>
      </c>
      <c r="AJ180" s="165">
        <v>39</v>
      </c>
      <c r="AK180" s="166">
        <v>74</v>
      </c>
      <c r="AL180" s="166" t="s">
        <v>81</v>
      </c>
      <c r="AM180" s="166" t="s">
        <v>389</v>
      </c>
      <c r="AN180" s="166">
        <v>16</v>
      </c>
      <c r="AO180" s="166" t="s">
        <v>81</v>
      </c>
      <c r="AP180" s="166" t="s">
        <v>117</v>
      </c>
      <c r="AQ180" s="166">
        <v>53</v>
      </c>
      <c r="AR180" s="166">
        <v>96</v>
      </c>
      <c r="AS180" s="165"/>
      <c r="AT180" s="165"/>
      <c r="AU180" s="165"/>
      <c r="AV180" s="165"/>
      <c r="AW180" s="165"/>
      <c r="AX180" s="165"/>
      <c r="AY180" s="165"/>
      <c r="AZ180" s="165"/>
      <c r="BA180" s="166"/>
      <c r="BB180" s="166"/>
      <c r="BC180" s="166"/>
      <c r="BD180" s="166"/>
      <c r="BE180" s="166"/>
      <c r="BF180" s="166"/>
      <c r="BG180" s="166"/>
      <c r="BH180" s="166"/>
      <c r="BI180" s="165"/>
      <c r="BJ180" s="165"/>
      <c r="BK180" s="165"/>
      <c r="BL180" s="165"/>
      <c r="BM180" s="165"/>
      <c r="BN180" s="165"/>
      <c r="BO180" s="165"/>
      <c r="BP180" s="165"/>
      <c r="BQ180" s="166"/>
      <c r="BR180" s="165"/>
      <c r="BS180" s="124">
        <v>288</v>
      </c>
      <c r="BT180" s="174"/>
    </row>
    <row r="181" spans="1:72" ht="14.25" hidden="1" customHeight="1" x14ac:dyDescent="0.2">
      <c r="A181" s="92">
        <v>289</v>
      </c>
      <c r="B181" s="235" t="s">
        <v>385</v>
      </c>
      <c r="C181" s="236" t="s">
        <v>386</v>
      </c>
      <c r="D181" s="235" t="s">
        <v>400</v>
      </c>
      <c r="E181" s="125" t="s">
        <v>102</v>
      </c>
      <c r="F181" s="181" t="s">
        <v>103</v>
      </c>
      <c r="G181" s="181" t="s">
        <v>56</v>
      </c>
      <c r="H181" s="181" t="s">
        <v>168</v>
      </c>
      <c r="I181" s="181"/>
      <c r="J181" s="178">
        <v>3</v>
      </c>
      <c r="K181" s="182"/>
      <c r="L181" s="182" t="s">
        <v>58</v>
      </c>
      <c r="M181" s="178" t="s">
        <v>59</v>
      </c>
      <c r="N181" s="178">
        <v>0</v>
      </c>
      <c r="O181" s="178" t="s">
        <v>60</v>
      </c>
      <c r="P181" s="178"/>
      <c r="Q181" s="179" t="s">
        <v>62</v>
      </c>
      <c r="R181" s="179" t="s">
        <v>171</v>
      </c>
      <c r="S181" s="180"/>
      <c r="T181" s="179"/>
      <c r="U181" s="179" t="s">
        <v>395</v>
      </c>
      <c r="V181" s="167" t="s">
        <v>62</v>
      </c>
      <c r="W181" s="168"/>
      <c r="X181" s="106" t="s">
        <v>388</v>
      </c>
      <c r="Y181" s="167"/>
      <c r="Z181" s="169" t="s">
        <v>63</v>
      </c>
      <c r="AA181" s="166">
        <v>10</v>
      </c>
      <c r="AB181" s="166">
        <v>5</v>
      </c>
      <c r="AC181" s="165">
        <v>27</v>
      </c>
      <c r="AD181" s="165" t="s">
        <v>80</v>
      </c>
      <c r="AE181" s="165" t="s">
        <v>389</v>
      </c>
      <c r="AF181" s="165">
        <v>6</v>
      </c>
      <c r="AG181" s="165" t="s">
        <v>80</v>
      </c>
      <c r="AH181" s="165" t="s">
        <v>117</v>
      </c>
      <c r="AI181" s="165">
        <v>20</v>
      </c>
      <c r="AJ181" s="165">
        <v>39</v>
      </c>
      <c r="AK181" s="166">
        <v>74</v>
      </c>
      <c r="AL181" s="166" t="s">
        <v>81</v>
      </c>
      <c r="AM181" s="166" t="s">
        <v>389</v>
      </c>
      <c r="AN181" s="166">
        <v>16</v>
      </c>
      <c r="AO181" s="166" t="s">
        <v>81</v>
      </c>
      <c r="AP181" s="166" t="s">
        <v>117</v>
      </c>
      <c r="AQ181" s="166">
        <v>53</v>
      </c>
      <c r="AR181" s="166">
        <v>96</v>
      </c>
      <c r="AS181" s="165"/>
      <c r="AT181" s="165"/>
      <c r="AU181" s="165"/>
      <c r="AV181" s="165"/>
      <c r="AW181" s="165"/>
      <c r="AX181" s="165"/>
      <c r="AY181" s="165"/>
      <c r="AZ181" s="165"/>
      <c r="BA181" s="166"/>
      <c r="BB181" s="166"/>
      <c r="BC181" s="166"/>
      <c r="BD181" s="166"/>
      <c r="BE181" s="166"/>
      <c r="BF181" s="166"/>
      <c r="BG181" s="166"/>
      <c r="BH181" s="166"/>
      <c r="BI181" s="165"/>
      <c r="BJ181" s="165"/>
      <c r="BK181" s="165"/>
      <c r="BL181" s="165"/>
      <c r="BM181" s="165"/>
      <c r="BN181" s="165"/>
      <c r="BO181" s="165"/>
      <c r="BP181" s="165"/>
      <c r="BQ181" s="166"/>
      <c r="BR181" s="165"/>
      <c r="BS181" s="124">
        <v>289</v>
      </c>
      <c r="BT181" s="174"/>
    </row>
    <row r="182" spans="1:72" ht="14.25" hidden="1" customHeight="1" x14ac:dyDescent="0.2">
      <c r="A182" s="92">
        <v>290</v>
      </c>
      <c r="B182" s="235" t="s">
        <v>385</v>
      </c>
      <c r="C182" s="236" t="s">
        <v>386</v>
      </c>
      <c r="D182" s="235" t="s">
        <v>401</v>
      </c>
      <c r="E182" s="125" t="s">
        <v>102</v>
      </c>
      <c r="F182" s="181" t="s">
        <v>103</v>
      </c>
      <c r="G182" s="181" t="s">
        <v>56</v>
      </c>
      <c r="H182" s="181" t="s">
        <v>168</v>
      </c>
      <c r="I182" s="181"/>
      <c r="J182" s="178">
        <v>3</v>
      </c>
      <c r="K182" s="182"/>
      <c r="L182" s="182" t="s">
        <v>58</v>
      </c>
      <c r="M182" s="178" t="s">
        <v>59</v>
      </c>
      <c r="N182" s="178">
        <v>0</v>
      </c>
      <c r="O182" s="178" t="s">
        <v>60</v>
      </c>
      <c r="P182" s="178"/>
      <c r="Q182" s="179" t="s">
        <v>62</v>
      </c>
      <c r="R182" s="179" t="s">
        <v>171</v>
      </c>
      <c r="S182" s="180"/>
      <c r="T182" s="179"/>
      <c r="U182" s="179" t="s">
        <v>395</v>
      </c>
      <c r="V182" s="167" t="s">
        <v>62</v>
      </c>
      <c r="W182" s="168"/>
      <c r="X182" s="106" t="s">
        <v>388</v>
      </c>
      <c r="Y182" s="167"/>
      <c r="Z182" s="169" t="s">
        <v>63</v>
      </c>
      <c r="AA182" s="166">
        <v>10</v>
      </c>
      <c r="AB182" s="166">
        <v>5</v>
      </c>
      <c r="AC182" s="165">
        <v>27</v>
      </c>
      <c r="AD182" s="165" t="s">
        <v>80</v>
      </c>
      <c r="AE182" s="165" t="s">
        <v>389</v>
      </c>
      <c r="AF182" s="165">
        <v>6</v>
      </c>
      <c r="AG182" s="165" t="s">
        <v>80</v>
      </c>
      <c r="AH182" s="165" t="s">
        <v>117</v>
      </c>
      <c r="AI182" s="165">
        <v>20</v>
      </c>
      <c r="AJ182" s="165">
        <v>39</v>
      </c>
      <c r="AK182" s="166">
        <v>74</v>
      </c>
      <c r="AL182" s="166" t="s">
        <v>81</v>
      </c>
      <c r="AM182" s="166" t="s">
        <v>389</v>
      </c>
      <c r="AN182" s="166">
        <v>16</v>
      </c>
      <c r="AO182" s="166" t="s">
        <v>81</v>
      </c>
      <c r="AP182" s="166" t="s">
        <v>117</v>
      </c>
      <c r="AQ182" s="166">
        <v>53</v>
      </c>
      <c r="AR182" s="166">
        <v>96</v>
      </c>
      <c r="AS182" s="165"/>
      <c r="AT182" s="165"/>
      <c r="AU182" s="165"/>
      <c r="AV182" s="165"/>
      <c r="AW182" s="165"/>
      <c r="AX182" s="165"/>
      <c r="AY182" s="165"/>
      <c r="AZ182" s="165"/>
      <c r="BA182" s="166"/>
      <c r="BB182" s="166"/>
      <c r="BC182" s="166"/>
      <c r="BD182" s="166"/>
      <c r="BE182" s="166"/>
      <c r="BF182" s="166"/>
      <c r="BG182" s="166"/>
      <c r="BH182" s="166"/>
      <c r="BI182" s="165"/>
      <c r="BJ182" s="165"/>
      <c r="BK182" s="165"/>
      <c r="BL182" s="165"/>
      <c r="BM182" s="165"/>
      <c r="BN182" s="165"/>
      <c r="BO182" s="165"/>
      <c r="BP182" s="165"/>
      <c r="BQ182" s="166"/>
      <c r="BR182" s="165"/>
      <c r="BS182" s="124">
        <v>290</v>
      </c>
      <c r="BT182" s="174"/>
    </row>
    <row r="183" spans="1:72" ht="14.25" hidden="1" customHeight="1" x14ac:dyDescent="0.2">
      <c r="A183" s="92">
        <v>291</v>
      </c>
      <c r="B183" s="235" t="s">
        <v>385</v>
      </c>
      <c r="C183" s="236" t="s">
        <v>386</v>
      </c>
      <c r="D183" s="235" t="s">
        <v>402</v>
      </c>
      <c r="E183" s="125" t="s">
        <v>393</v>
      </c>
      <c r="F183" s="181" t="s">
        <v>103</v>
      </c>
      <c r="G183" s="181" t="s">
        <v>56</v>
      </c>
      <c r="H183" s="181" t="s">
        <v>168</v>
      </c>
      <c r="I183" s="181"/>
      <c r="J183" s="178">
        <v>23</v>
      </c>
      <c r="K183" s="251"/>
      <c r="L183" s="182" t="s">
        <v>236</v>
      </c>
      <c r="M183" s="178" t="s">
        <v>59</v>
      </c>
      <c r="N183" s="178">
        <v>0</v>
      </c>
      <c r="O183" s="178" t="s">
        <v>60</v>
      </c>
      <c r="P183" s="178"/>
      <c r="Q183" s="179" t="s">
        <v>62</v>
      </c>
      <c r="R183" s="179" t="s">
        <v>171</v>
      </c>
      <c r="S183" s="180"/>
      <c r="T183" s="179"/>
      <c r="U183" s="179" t="s">
        <v>398</v>
      </c>
      <c r="V183" s="167" t="s">
        <v>62</v>
      </c>
      <c r="W183" s="168"/>
      <c r="X183" s="106" t="s">
        <v>388</v>
      </c>
      <c r="Y183" s="167"/>
      <c r="Z183" s="169" t="s">
        <v>63</v>
      </c>
      <c r="AA183" s="166">
        <v>10</v>
      </c>
      <c r="AB183" s="166">
        <v>5</v>
      </c>
      <c r="AC183" s="165">
        <v>27</v>
      </c>
      <c r="AD183" s="165" t="s">
        <v>80</v>
      </c>
      <c r="AE183" s="165" t="s">
        <v>389</v>
      </c>
      <c r="AF183" s="165">
        <v>6</v>
      </c>
      <c r="AG183" s="165" t="s">
        <v>80</v>
      </c>
      <c r="AH183" s="165" t="s">
        <v>117</v>
      </c>
      <c r="AI183" s="165">
        <v>20</v>
      </c>
      <c r="AJ183" s="165">
        <v>39</v>
      </c>
      <c r="AK183" s="166">
        <v>74</v>
      </c>
      <c r="AL183" s="166" t="s">
        <v>81</v>
      </c>
      <c r="AM183" s="166" t="s">
        <v>389</v>
      </c>
      <c r="AN183" s="166">
        <v>16</v>
      </c>
      <c r="AO183" s="166" t="s">
        <v>81</v>
      </c>
      <c r="AP183" s="166" t="s">
        <v>117</v>
      </c>
      <c r="AQ183" s="166">
        <v>53</v>
      </c>
      <c r="AR183" s="166">
        <v>96</v>
      </c>
      <c r="AS183" s="165"/>
      <c r="AT183" s="165"/>
      <c r="AU183" s="165"/>
      <c r="AV183" s="165"/>
      <c r="AW183" s="165"/>
      <c r="AX183" s="165"/>
      <c r="AY183" s="165"/>
      <c r="AZ183" s="165"/>
      <c r="BA183" s="166"/>
      <c r="BB183" s="166"/>
      <c r="BC183" s="166"/>
      <c r="BD183" s="166"/>
      <c r="BE183" s="166"/>
      <c r="BF183" s="166"/>
      <c r="BG183" s="166"/>
      <c r="BH183" s="166"/>
      <c r="BI183" s="165"/>
      <c r="BJ183" s="165"/>
      <c r="BK183" s="165"/>
      <c r="BL183" s="165"/>
      <c r="BM183" s="165"/>
      <c r="BN183" s="165"/>
      <c r="BO183" s="165"/>
      <c r="BP183" s="165"/>
      <c r="BQ183" s="166"/>
      <c r="BR183" s="165"/>
      <c r="BS183" s="124">
        <v>291</v>
      </c>
      <c r="BT183" s="174"/>
    </row>
    <row r="184" spans="1:72" ht="14.25" hidden="1" customHeight="1" x14ac:dyDescent="0.2">
      <c r="A184" s="92">
        <v>292</v>
      </c>
      <c r="B184" s="235" t="s">
        <v>385</v>
      </c>
      <c r="C184" s="236" t="s">
        <v>386</v>
      </c>
      <c r="D184" s="235" t="s">
        <v>403</v>
      </c>
      <c r="E184" s="125" t="s">
        <v>393</v>
      </c>
      <c r="F184" s="181" t="s">
        <v>103</v>
      </c>
      <c r="G184" s="181" t="s">
        <v>56</v>
      </c>
      <c r="H184" s="181" t="s">
        <v>168</v>
      </c>
      <c r="I184" s="181"/>
      <c r="J184" s="178">
        <v>23</v>
      </c>
      <c r="K184" s="251"/>
      <c r="L184" s="182" t="s">
        <v>236</v>
      </c>
      <c r="M184" s="178" t="s">
        <v>59</v>
      </c>
      <c r="N184" s="178">
        <v>0</v>
      </c>
      <c r="O184" s="178" t="s">
        <v>60</v>
      </c>
      <c r="P184" s="178"/>
      <c r="Q184" s="179" t="s">
        <v>62</v>
      </c>
      <c r="R184" s="179" t="s">
        <v>171</v>
      </c>
      <c r="S184" s="180"/>
      <c r="T184" s="179"/>
      <c r="U184" s="179" t="s">
        <v>398</v>
      </c>
      <c r="V184" s="167" t="s">
        <v>62</v>
      </c>
      <c r="W184" s="168"/>
      <c r="X184" s="106" t="s">
        <v>388</v>
      </c>
      <c r="Y184" s="167"/>
      <c r="Z184" s="169" t="s">
        <v>63</v>
      </c>
      <c r="AA184" s="166">
        <v>10</v>
      </c>
      <c r="AB184" s="166">
        <v>5</v>
      </c>
      <c r="AC184" s="165">
        <v>27</v>
      </c>
      <c r="AD184" s="165" t="s">
        <v>80</v>
      </c>
      <c r="AE184" s="165" t="s">
        <v>389</v>
      </c>
      <c r="AF184" s="165">
        <v>6</v>
      </c>
      <c r="AG184" s="165" t="s">
        <v>80</v>
      </c>
      <c r="AH184" s="165" t="s">
        <v>117</v>
      </c>
      <c r="AI184" s="165">
        <v>20</v>
      </c>
      <c r="AJ184" s="165">
        <v>39</v>
      </c>
      <c r="AK184" s="166">
        <v>74</v>
      </c>
      <c r="AL184" s="166" t="s">
        <v>81</v>
      </c>
      <c r="AM184" s="166" t="s">
        <v>389</v>
      </c>
      <c r="AN184" s="166">
        <v>16</v>
      </c>
      <c r="AO184" s="166" t="s">
        <v>81</v>
      </c>
      <c r="AP184" s="166" t="s">
        <v>117</v>
      </c>
      <c r="AQ184" s="166">
        <v>53</v>
      </c>
      <c r="AR184" s="166">
        <v>96</v>
      </c>
      <c r="AS184" s="165"/>
      <c r="AT184" s="165"/>
      <c r="AU184" s="165"/>
      <c r="AV184" s="165"/>
      <c r="AW184" s="165"/>
      <c r="AX184" s="165"/>
      <c r="AY184" s="165"/>
      <c r="AZ184" s="165"/>
      <c r="BA184" s="166"/>
      <c r="BB184" s="166"/>
      <c r="BC184" s="166"/>
      <c r="BD184" s="166"/>
      <c r="BE184" s="166"/>
      <c r="BF184" s="166"/>
      <c r="BG184" s="166"/>
      <c r="BH184" s="166"/>
      <c r="BI184" s="165"/>
      <c r="BJ184" s="165"/>
      <c r="BK184" s="165"/>
      <c r="BL184" s="165"/>
      <c r="BM184" s="165"/>
      <c r="BN184" s="165"/>
      <c r="BO184" s="165"/>
      <c r="BP184" s="165"/>
      <c r="BQ184" s="166"/>
      <c r="BR184" s="165"/>
      <c r="BS184" s="124">
        <v>292</v>
      </c>
      <c r="BT184" s="174"/>
    </row>
    <row r="185" spans="1:72" ht="14.25" hidden="1" customHeight="1" x14ac:dyDescent="0.2">
      <c r="A185" s="92">
        <v>317</v>
      </c>
      <c r="B185" s="235" t="s">
        <v>404</v>
      </c>
      <c r="C185" s="236" t="s">
        <v>405</v>
      </c>
      <c r="D185" s="235" t="s">
        <v>220</v>
      </c>
      <c r="E185" s="17" t="s">
        <v>111</v>
      </c>
      <c r="F185" s="18" t="s">
        <v>103</v>
      </c>
      <c r="G185" s="181" t="s">
        <v>56</v>
      </c>
      <c r="H185" s="181" t="s">
        <v>57</v>
      </c>
      <c r="I185" s="181"/>
      <c r="J185" s="178">
        <v>10</v>
      </c>
      <c r="K185" s="139">
        <f>J185*0.9135071</f>
        <v>9.1350709999999999</v>
      </c>
      <c r="L185" s="139" t="s">
        <v>58</v>
      </c>
      <c r="M185" s="178" t="s">
        <v>59</v>
      </c>
      <c r="N185" s="178">
        <v>0</v>
      </c>
      <c r="O185" s="138" t="s">
        <v>60</v>
      </c>
      <c r="P185" s="178" t="s">
        <v>79</v>
      </c>
      <c r="Q185" s="176" t="s">
        <v>113</v>
      </c>
      <c r="R185" s="179" t="s">
        <v>406</v>
      </c>
      <c r="S185" s="180"/>
      <c r="T185" s="180">
        <v>150</v>
      </c>
      <c r="U185" s="180"/>
      <c r="V185" s="19" t="s">
        <v>62</v>
      </c>
      <c r="W185" s="168">
        <v>2</v>
      </c>
      <c r="X185" s="106">
        <v>3</v>
      </c>
      <c r="Y185" s="167" t="s">
        <v>407</v>
      </c>
      <c r="Z185" s="82" t="s">
        <v>63</v>
      </c>
      <c r="AA185" s="166">
        <v>8</v>
      </c>
      <c r="AB185" s="166">
        <v>8</v>
      </c>
      <c r="AC185" s="165">
        <v>22.9</v>
      </c>
      <c r="AD185" s="21" t="s">
        <v>80</v>
      </c>
      <c r="AE185" s="165" t="s">
        <v>116</v>
      </c>
      <c r="AF185" s="165">
        <v>5.2</v>
      </c>
      <c r="AG185" s="165" t="s">
        <v>80</v>
      </c>
      <c r="AH185" s="165" t="s">
        <v>117</v>
      </c>
      <c r="AI185" s="165">
        <v>18</v>
      </c>
      <c r="AJ185" s="165">
        <v>34</v>
      </c>
      <c r="AK185" s="166">
        <v>60.5</v>
      </c>
      <c r="AL185" s="166" t="s">
        <v>81</v>
      </c>
      <c r="AM185" s="166" t="s">
        <v>116</v>
      </c>
      <c r="AN185" s="166">
        <v>4.5</v>
      </c>
      <c r="AO185" s="166" t="s">
        <v>81</v>
      </c>
      <c r="AP185" s="166" t="s">
        <v>117</v>
      </c>
      <c r="AQ185" s="166">
        <v>56</v>
      </c>
      <c r="AR185" s="166">
        <v>69</v>
      </c>
      <c r="AS185" s="165"/>
      <c r="AT185" s="165"/>
      <c r="AU185" s="165"/>
      <c r="AV185" s="165"/>
      <c r="AW185" s="165"/>
      <c r="AX185" s="165"/>
      <c r="AY185" s="165"/>
      <c r="AZ185" s="165"/>
      <c r="BA185" s="166"/>
      <c r="BB185" s="166"/>
      <c r="BC185" s="166"/>
      <c r="BD185" s="166"/>
      <c r="BE185" s="166"/>
      <c r="BF185" s="166"/>
      <c r="BG185" s="166"/>
      <c r="BH185" s="166"/>
      <c r="BI185" s="165"/>
      <c r="BJ185" s="165"/>
      <c r="BK185" s="165"/>
      <c r="BL185" s="165"/>
      <c r="BM185" s="165"/>
      <c r="BN185" s="165"/>
      <c r="BO185" s="165"/>
      <c r="BP185" s="165"/>
      <c r="BQ185" s="166" t="s">
        <v>408</v>
      </c>
      <c r="BR185" s="165"/>
      <c r="BS185" s="124">
        <v>317</v>
      </c>
      <c r="BT185" s="174"/>
    </row>
    <row r="186" spans="1:72" ht="14.25" hidden="1" customHeight="1" x14ac:dyDescent="0.2">
      <c r="A186" s="92">
        <v>318</v>
      </c>
      <c r="B186" s="235" t="s">
        <v>404</v>
      </c>
      <c r="C186" s="236" t="s">
        <v>405</v>
      </c>
      <c r="D186" s="235" t="s">
        <v>409</v>
      </c>
      <c r="E186" s="17" t="s">
        <v>111</v>
      </c>
      <c r="F186" s="18" t="s">
        <v>103</v>
      </c>
      <c r="G186" s="181" t="s">
        <v>56</v>
      </c>
      <c r="H186" s="181" t="s">
        <v>57</v>
      </c>
      <c r="I186" s="181"/>
      <c r="J186" s="178">
        <v>10</v>
      </c>
      <c r="K186" s="139">
        <f>J186*0.9135071</f>
        <v>9.1350709999999999</v>
      </c>
      <c r="L186" s="139" t="s">
        <v>58</v>
      </c>
      <c r="M186" s="178" t="s">
        <v>59</v>
      </c>
      <c r="N186" s="178">
        <v>79</v>
      </c>
      <c r="O186" s="138" t="s">
        <v>60</v>
      </c>
      <c r="P186" s="178" t="s">
        <v>79</v>
      </c>
      <c r="Q186" s="176" t="s">
        <v>113</v>
      </c>
      <c r="R186" s="179" t="s">
        <v>406</v>
      </c>
      <c r="S186" s="180"/>
      <c r="T186" s="180">
        <v>150</v>
      </c>
      <c r="U186" s="180"/>
      <c r="V186" s="19" t="s">
        <v>62</v>
      </c>
      <c r="W186" s="168">
        <v>2</v>
      </c>
      <c r="X186" s="106">
        <v>3</v>
      </c>
      <c r="Y186" s="167" t="s">
        <v>407</v>
      </c>
      <c r="Z186" s="82" t="s">
        <v>63</v>
      </c>
      <c r="AA186" s="166">
        <v>8</v>
      </c>
      <c r="AB186" s="166">
        <v>8</v>
      </c>
      <c r="AC186" s="165">
        <v>22.9</v>
      </c>
      <c r="AD186" s="21" t="s">
        <v>80</v>
      </c>
      <c r="AE186" s="165" t="s">
        <v>116</v>
      </c>
      <c r="AF186" s="165">
        <v>5.2</v>
      </c>
      <c r="AG186" s="165" t="s">
        <v>80</v>
      </c>
      <c r="AH186" s="165" t="s">
        <v>117</v>
      </c>
      <c r="AI186" s="165">
        <v>18</v>
      </c>
      <c r="AJ186" s="165">
        <v>34</v>
      </c>
      <c r="AK186" s="166">
        <v>60.5</v>
      </c>
      <c r="AL186" s="166" t="s">
        <v>81</v>
      </c>
      <c r="AM186" s="166" t="s">
        <v>116</v>
      </c>
      <c r="AN186" s="166">
        <v>4.5</v>
      </c>
      <c r="AO186" s="166" t="s">
        <v>81</v>
      </c>
      <c r="AP186" s="166" t="s">
        <v>117</v>
      </c>
      <c r="AQ186" s="166">
        <v>56</v>
      </c>
      <c r="AR186" s="166">
        <v>69</v>
      </c>
      <c r="AS186" s="165"/>
      <c r="AT186" s="165"/>
      <c r="AU186" s="165"/>
      <c r="AV186" s="165"/>
      <c r="AW186" s="165"/>
      <c r="AX186" s="165"/>
      <c r="AY186" s="165"/>
      <c r="AZ186" s="165"/>
      <c r="BA186" s="166"/>
      <c r="BB186" s="166"/>
      <c r="BC186" s="166"/>
      <c r="BD186" s="166"/>
      <c r="BE186" s="166"/>
      <c r="BF186" s="166"/>
      <c r="BG186" s="166"/>
      <c r="BH186" s="166"/>
      <c r="BI186" s="165"/>
      <c r="BJ186" s="165"/>
      <c r="BK186" s="165"/>
      <c r="BL186" s="165"/>
      <c r="BM186" s="165"/>
      <c r="BN186" s="165"/>
      <c r="BO186" s="165"/>
      <c r="BP186" s="165"/>
      <c r="BQ186" s="166" t="s">
        <v>408</v>
      </c>
      <c r="BR186" s="165"/>
      <c r="BS186" s="124">
        <v>318</v>
      </c>
      <c r="BT186" s="174"/>
    </row>
    <row r="187" spans="1:72" ht="12.75" hidden="1" customHeight="1" x14ac:dyDescent="0.2">
      <c r="A187" s="92">
        <v>319</v>
      </c>
      <c r="B187" s="235" t="s">
        <v>404</v>
      </c>
      <c r="C187" s="236" t="s">
        <v>405</v>
      </c>
      <c r="D187" s="235" t="s">
        <v>409</v>
      </c>
      <c r="E187" s="17" t="s">
        <v>410</v>
      </c>
      <c r="F187" s="18" t="s">
        <v>103</v>
      </c>
      <c r="G187" s="181" t="s">
        <v>56</v>
      </c>
      <c r="H187" s="181" t="s">
        <v>157</v>
      </c>
      <c r="I187" s="181"/>
      <c r="J187" s="178">
        <v>500</v>
      </c>
      <c r="K187" s="139"/>
      <c r="L187" s="139" t="s">
        <v>58</v>
      </c>
      <c r="M187" s="178" t="s">
        <v>59</v>
      </c>
      <c r="N187" s="178" t="s">
        <v>411</v>
      </c>
      <c r="O187" s="138" t="s">
        <v>60</v>
      </c>
      <c r="P187" s="178" t="s">
        <v>92</v>
      </c>
      <c r="Q187" s="176" t="s">
        <v>412</v>
      </c>
      <c r="R187" s="179" t="s">
        <v>413</v>
      </c>
      <c r="S187" s="180"/>
      <c r="T187" s="180">
        <v>150</v>
      </c>
      <c r="U187" s="180"/>
      <c r="V187" s="19" t="s">
        <v>62</v>
      </c>
      <c r="W187" s="168">
        <v>2</v>
      </c>
      <c r="X187" s="106">
        <v>3</v>
      </c>
      <c r="Y187" s="167" t="s">
        <v>407</v>
      </c>
      <c r="Z187" s="82" t="s">
        <v>63</v>
      </c>
      <c r="AA187" s="166">
        <v>8</v>
      </c>
      <c r="AB187" s="166">
        <v>8</v>
      </c>
      <c r="AC187" s="165">
        <v>22.9</v>
      </c>
      <c r="AD187" s="21" t="s">
        <v>80</v>
      </c>
      <c r="AE187" s="165" t="s">
        <v>116</v>
      </c>
      <c r="AF187" s="165">
        <v>5.2</v>
      </c>
      <c r="AG187" s="165" t="s">
        <v>80</v>
      </c>
      <c r="AH187" s="165" t="s">
        <v>117</v>
      </c>
      <c r="AI187" s="165">
        <v>18</v>
      </c>
      <c r="AJ187" s="165">
        <v>34</v>
      </c>
      <c r="AK187" s="166">
        <v>60.5</v>
      </c>
      <c r="AL187" s="166" t="s">
        <v>81</v>
      </c>
      <c r="AM187" s="166" t="s">
        <v>116</v>
      </c>
      <c r="AN187" s="166">
        <v>4.5</v>
      </c>
      <c r="AO187" s="166" t="s">
        <v>81</v>
      </c>
      <c r="AP187" s="166" t="s">
        <v>117</v>
      </c>
      <c r="AQ187" s="166">
        <v>56</v>
      </c>
      <c r="AR187" s="166">
        <v>69</v>
      </c>
      <c r="AS187" s="165"/>
      <c r="AT187" s="165"/>
      <c r="AU187" s="165"/>
      <c r="AV187" s="165"/>
      <c r="AW187" s="165"/>
      <c r="AX187" s="165"/>
      <c r="AY187" s="165"/>
      <c r="AZ187" s="165"/>
      <c r="BA187" s="166"/>
      <c r="BB187" s="166"/>
      <c r="BC187" s="166"/>
      <c r="BD187" s="166"/>
      <c r="BE187" s="166"/>
      <c r="BF187" s="166"/>
      <c r="BG187" s="166"/>
      <c r="BH187" s="166"/>
      <c r="BI187" s="165"/>
      <c r="BJ187" s="165"/>
      <c r="BK187" s="165"/>
      <c r="BL187" s="165"/>
      <c r="BM187" s="165"/>
      <c r="BN187" s="165"/>
      <c r="BO187" s="165"/>
      <c r="BP187" s="165"/>
      <c r="BQ187" s="166" t="s">
        <v>408</v>
      </c>
      <c r="BR187" s="165"/>
      <c r="BS187" s="124">
        <v>319</v>
      </c>
      <c r="BT187" s="124"/>
    </row>
    <row r="188" spans="1:72" ht="14.25" hidden="1" customHeight="1" x14ac:dyDescent="0.2">
      <c r="A188" s="92">
        <v>320</v>
      </c>
      <c r="B188" s="235" t="s">
        <v>404</v>
      </c>
      <c r="C188" s="236" t="s">
        <v>405</v>
      </c>
      <c r="D188" s="235" t="s">
        <v>414</v>
      </c>
      <c r="E188" s="17" t="s">
        <v>111</v>
      </c>
      <c r="F188" s="18" t="s">
        <v>103</v>
      </c>
      <c r="G188" s="181" t="s">
        <v>56</v>
      </c>
      <c r="H188" s="181" t="s">
        <v>57</v>
      </c>
      <c r="I188" s="181"/>
      <c r="J188" s="178">
        <v>10</v>
      </c>
      <c r="K188" s="139">
        <f>J188*0.9135071</f>
        <v>9.1350709999999999</v>
      </c>
      <c r="L188" s="139" t="s">
        <v>58</v>
      </c>
      <c r="M188" s="178" t="s">
        <v>59</v>
      </c>
      <c r="N188" s="178">
        <v>79</v>
      </c>
      <c r="O188" s="138" t="s">
        <v>60</v>
      </c>
      <c r="P188" s="178" t="s">
        <v>79</v>
      </c>
      <c r="Q188" s="176" t="s">
        <v>113</v>
      </c>
      <c r="R188" s="179" t="s">
        <v>406</v>
      </c>
      <c r="S188" s="180"/>
      <c r="T188" s="180">
        <v>150</v>
      </c>
      <c r="U188" s="180"/>
      <c r="V188" s="19" t="s">
        <v>62</v>
      </c>
      <c r="W188" s="168">
        <v>2</v>
      </c>
      <c r="X188" s="106">
        <v>3</v>
      </c>
      <c r="Y188" s="167" t="s">
        <v>407</v>
      </c>
      <c r="Z188" s="82" t="s">
        <v>63</v>
      </c>
      <c r="AA188" s="166">
        <v>8</v>
      </c>
      <c r="AB188" s="166">
        <v>8</v>
      </c>
      <c r="AC188" s="165">
        <v>22.9</v>
      </c>
      <c r="AD188" s="21" t="s">
        <v>80</v>
      </c>
      <c r="AE188" s="165" t="s">
        <v>116</v>
      </c>
      <c r="AF188" s="165">
        <v>5.2</v>
      </c>
      <c r="AG188" s="165" t="s">
        <v>80</v>
      </c>
      <c r="AH188" s="165" t="s">
        <v>117</v>
      </c>
      <c r="AI188" s="165">
        <v>18</v>
      </c>
      <c r="AJ188" s="165">
        <v>34</v>
      </c>
      <c r="AK188" s="166">
        <v>60.5</v>
      </c>
      <c r="AL188" s="166" t="s">
        <v>81</v>
      </c>
      <c r="AM188" s="166" t="s">
        <v>116</v>
      </c>
      <c r="AN188" s="166">
        <v>4.5</v>
      </c>
      <c r="AO188" s="166" t="s">
        <v>81</v>
      </c>
      <c r="AP188" s="166" t="s">
        <v>117</v>
      </c>
      <c r="AQ188" s="166">
        <v>56</v>
      </c>
      <c r="AR188" s="166">
        <v>69</v>
      </c>
      <c r="AS188" s="165"/>
      <c r="AT188" s="165"/>
      <c r="AU188" s="165"/>
      <c r="AV188" s="165"/>
      <c r="AW188" s="165"/>
      <c r="AX188" s="165"/>
      <c r="AY188" s="165"/>
      <c r="AZ188" s="165"/>
      <c r="BA188" s="166"/>
      <c r="BB188" s="166"/>
      <c r="BC188" s="166"/>
      <c r="BD188" s="166"/>
      <c r="BE188" s="166"/>
      <c r="BF188" s="166"/>
      <c r="BG188" s="166"/>
      <c r="BH188" s="166"/>
      <c r="BI188" s="165"/>
      <c r="BJ188" s="165"/>
      <c r="BK188" s="165"/>
      <c r="BL188" s="165"/>
      <c r="BM188" s="165"/>
      <c r="BN188" s="165"/>
      <c r="BO188" s="165"/>
      <c r="BP188" s="165"/>
      <c r="BQ188" s="166" t="s">
        <v>408</v>
      </c>
      <c r="BR188" s="165"/>
      <c r="BS188" s="124">
        <v>320</v>
      </c>
      <c r="BT188" s="124"/>
    </row>
    <row r="189" spans="1:72" ht="12.75" hidden="1" customHeight="1" x14ac:dyDescent="0.2">
      <c r="A189" s="92">
        <v>321</v>
      </c>
      <c r="B189" s="235" t="s">
        <v>404</v>
      </c>
      <c r="C189" s="236" t="s">
        <v>405</v>
      </c>
      <c r="D189" s="235" t="s">
        <v>414</v>
      </c>
      <c r="E189" s="17" t="s">
        <v>149</v>
      </c>
      <c r="F189" s="18" t="s">
        <v>103</v>
      </c>
      <c r="G189" s="181" t="s">
        <v>56</v>
      </c>
      <c r="H189" s="181" t="s">
        <v>157</v>
      </c>
      <c r="I189" s="181"/>
      <c r="J189" s="178">
        <v>100</v>
      </c>
      <c r="K189" s="139"/>
      <c r="L189" s="139" t="s">
        <v>58</v>
      </c>
      <c r="M189" s="178" t="s">
        <v>59</v>
      </c>
      <c r="N189" s="27" t="s">
        <v>415</v>
      </c>
      <c r="O189" s="138" t="s">
        <v>60</v>
      </c>
      <c r="P189" s="178" t="s">
        <v>92</v>
      </c>
      <c r="Q189" s="176"/>
      <c r="R189" s="179" t="s">
        <v>416</v>
      </c>
      <c r="S189" s="180"/>
      <c r="T189" s="180">
        <v>150</v>
      </c>
      <c r="U189" s="180"/>
      <c r="V189" s="19" t="s">
        <v>62</v>
      </c>
      <c r="W189" s="168">
        <v>2</v>
      </c>
      <c r="X189" s="106">
        <v>3</v>
      </c>
      <c r="Y189" s="167" t="s">
        <v>407</v>
      </c>
      <c r="Z189" s="82" t="s">
        <v>63</v>
      </c>
      <c r="AA189" s="166">
        <v>8</v>
      </c>
      <c r="AB189" s="166">
        <v>8</v>
      </c>
      <c r="AC189" s="165">
        <v>22.9</v>
      </c>
      <c r="AD189" s="21" t="s">
        <v>80</v>
      </c>
      <c r="AE189" s="165" t="s">
        <v>116</v>
      </c>
      <c r="AF189" s="165">
        <v>5.2</v>
      </c>
      <c r="AG189" s="165" t="s">
        <v>80</v>
      </c>
      <c r="AH189" s="165" t="s">
        <v>117</v>
      </c>
      <c r="AI189" s="165">
        <v>18</v>
      </c>
      <c r="AJ189" s="165">
        <v>34</v>
      </c>
      <c r="AK189" s="166">
        <v>60.5</v>
      </c>
      <c r="AL189" s="166" t="s">
        <v>81</v>
      </c>
      <c r="AM189" s="166" t="s">
        <v>116</v>
      </c>
      <c r="AN189" s="166">
        <v>4.5</v>
      </c>
      <c r="AO189" s="166" t="s">
        <v>81</v>
      </c>
      <c r="AP189" s="166" t="s">
        <v>117</v>
      </c>
      <c r="AQ189" s="166">
        <v>56</v>
      </c>
      <c r="AR189" s="166">
        <v>69</v>
      </c>
      <c r="AS189" s="165"/>
      <c r="AT189" s="165"/>
      <c r="AU189" s="165"/>
      <c r="AV189" s="165"/>
      <c r="AW189" s="165"/>
      <c r="AX189" s="165"/>
      <c r="AY189" s="165"/>
      <c r="AZ189" s="165"/>
      <c r="BA189" s="166"/>
      <c r="BB189" s="166"/>
      <c r="BC189" s="166"/>
      <c r="BD189" s="166"/>
      <c r="BE189" s="166"/>
      <c r="BF189" s="166"/>
      <c r="BG189" s="166"/>
      <c r="BH189" s="166"/>
      <c r="BI189" s="165"/>
      <c r="BJ189" s="165"/>
      <c r="BK189" s="165"/>
      <c r="BL189" s="165"/>
      <c r="BM189" s="165"/>
      <c r="BN189" s="165"/>
      <c r="BO189" s="165"/>
      <c r="BP189" s="165"/>
      <c r="BQ189" s="166" t="s">
        <v>408</v>
      </c>
      <c r="BR189" s="165"/>
      <c r="BS189" s="124">
        <v>321</v>
      </c>
      <c r="BT189" s="124"/>
    </row>
    <row r="190" spans="1:72" ht="14.25" hidden="1" customHeight="1" x14ac:dyDescent="0.2">
      <c r="A190" s="92">
        <v>322</v>
      </c>
      <c r="B190" s="235" t="s">
        <v>417</v>
      </c>
      <c r="C190" s="236" t="s">
        <v>418</v>
      </c>
      <c r="D190" s="235" t="s">
        <v>419</v>
      </c>
      <c r="E190" s="17" t="s">
        <v>111</v>
      </c>
      <c r="F190" s="18" t="s">
        <v>103</v>
      </c>
      <c r="G190" s="181" t="s">
        <v>56</v>
      </c>
      <c r="H190" s="181" t="s">
        <v>66</v>
      </c>
      <c r="I190" s="181"/>
      <c r="J190" s="178">
        <v>0.3</v>
      </c>
      <c r="K190" s="139">
        <f t="shared" ref="K190:K199" si="3">J190*0.9135071</f>
        <v>0.27405213</v>
      </c>
      <c r="L190" s="139" t="s">
        <v>58</v>
      </c>
      <c r="M190" s="178" t="s">
        <v>78</v>
      </c>
      <c r="N190" s="178">
        <v>0</v>
      </c>
      <c r="O190" s="138" t="s">
        <v>420</v>
      </c>
      <c r="P190" s="178" t="s">
        <v>79</v>
      </c>
      <c r="Q190" s="176" t="s">
        <v>113</v>
      </c>
      <c r="R190" s="179"/>
      <c r="S190" s="180">
        <v>5</v>
      </c>
      <c r="T190" s="180"/>
      <c r="U190" s="180"/>
      <c r="V190" s="167"/>
      <c r="W190" s="168"/>
      <c r="Y190" s="167"/>
      <c r="Z190" s="82" t="s">
        <v>63</v>
      </c>
      <c r="AA190" s="166">
        <v>50</v>
      </c>
      <c r="AB190" s="166">
        <v>49</v>
      </c>
      <c r="AC190" s="165">
        <v>49.4</v>
      </c>
      <c r="AD190" s="21" t="s">
        <v>80</v>
      </c>
      <c r="AE190" s="165" t="s">
        <v>116</v>
      </c>
      <c r="AF190" s="165"/>
      <c r="AG190" s="165"/>
      <c r="AH190" s="165"/>
      <c r="AI190" s="165">
        <v>19</v>
      </c>
      <c r="AJ190" s="165">
        <v>86</v>
      </c>
      <c r="AK190" s="166"/>
      <c r="AL190" s="166"/>
      <c r="AM190" s="166"/>
      <c r="AN190" s="166"/>
      <c r="AO190" s="166"/>
      <c r="AP190" s="166"/>
      <c r="AQ190" s="166"/>
      <c r="AR190" s="166"/>
      <c r="AS190" s="165"/>
      <c r="AT190" s="165"/>
      <c r="AU190" s="165"/>
      <c r="AV190" s="165"/>
      <c r="AW190" s="165"/>
      <c r="AX190" s="165"/>
      <c r="AY190" s="165"/>
      <c r="AZ190" s="165"/>
      <c r="BA190" s="166">
        <v>26.9</v>
      </c>
      <c r="BB190" s="166" t="s">
        <v>421</v>
      </c>
      <c r="BC190" s="166" t="s">
        <v>116</v>
      </c>
      <c r="BD190" s="166"/>
      <c r="BE190" s="166"/>
      <c r="BF190" s="166"/>
      <c r="BG190" s="166">
        <v>15.1</v>
      </c>
      <c r="BH190" s="166">
        <v>42.9</v>
      </c>
      <c r="BI190" s="165"/>
      <c r="BJ190" s="165"/>
      <c r="BK190" s="165"/>
      <c r="BL190" s="165"/>
      <c r="BM190" s="165"/>
      <c r="BN190" s="165"/>
      <c r="BO190" s="165"/>
      <c r="BP190" s="165"/>
      <c r="BQ190" s="166" t="s">
        <v>422</v>
      </c>
      <c r="BR190" s="165" t="s">
        <v>423</v>
      </c>
      <c r="BS190" s="124">
        <v>322</v>
      </c>
      <c r="BT190" s="124"/>
    </row>
    <row r="191" spans="1:72" ht="14.25" hidden="1" customHeight="1" x14ac:dyDescent="0.2">
      <c r="A191" s="92">
        <v>323</v>
      </c>
      <c r="B191" s="235" t="s">
        <v>417</v>
      </c>
      <c r="C191" s="236" t="s">
        <v>418</v>
      </c>
      <c r="D191" s="235" t="s">
        <v>424</v>
      </c>
      <c r="E191" s="17" t="s">
        <v>111</v>
      </c>
      <c r="F191" s="18" t="s">
        <v>103</v>
      </c>
      <c r="G191" s="181" t="s">
        <v>56</v>
      </c>
      <c r="H191" s="181" t="s">
        <v>66</v>
      </c>
      <c r="I191" s="181"/>
      <c r="J191" s="178">
        <v>1</v>
      </c>
      <c r="K191" s="139">
        <f t="shared" si="3"/>
        <v>0.91350710000000002</v>
      </c>
      <c r="L191" s="139" t="s">
        <v>58</v>
      </c>
      <c r="M191" s="178" t="s">
        <v>78</v>
      </c>
      <c r="N191" s="178">
        <v>0</v>
      </c>
      <c r="O191" s="138" t="s">
        <v>60</v>
      </c>
      <c r="P191" s="178" t="s">
        <v>79</v>
      </c>
      <c r="Q191" s="176" t="s">
        <v>113</v>
      </c>
      <c r="R191" s="179"/>
      <c r="S191" s="180">
        <v>5</v>
      </c>
      <c r="T191" s="180"/>
      <c r="U191" s="180"/>
      <c r="V191" s="167"/>
      <c r="W191" s="168"/>
      <c r="Y191" s="167"/>
      <c r="Z191" s="82" t="s">
        <v>63</v>
      </c>
      <c r="AA191" s="166">
        <v>49</v>
      </c>
      <c r="AB191" s="166">
        <v>43</v>
      </c>
      <c r="AC191" s="165">
        <v>49.5</v>
      </c>
      <c r="AD191" s="21" t="s">
        <v>80</v>
      </c>
      <c r="AE191" s="165" t="s">
        <v>116</v>
      </c>
      <c r="AF191" s="165"/>
      <c r="AG191" s="165"/>
      <c r="AH191" s="165"/>
      <c r="AI191" s="165">
        <v>21</v>
      </c>
      <c r="AJ191" s="165">
        <v>85</v>
      </c>
      <c r="AK191" s="166"/>
      <c r="AL191" s="166"/>
      <c r="AM191" s="166"/>
      <c r="AN191" s="166"/>
      <c r="AO191" s="166"/>
      <c r="AP191" s="166"/>
      <c r="AQ191" s="166"/>
      <c r="AR191" s="166"/>
      <c r="AS191" s="165"/>
      <c r="AT191" s="165"/>
      <c r="AU191" s="165"/>
      <c r="AV191" s="165"/>
      <c r="AW191" s="165"/>
      <c r="AX191" s="165"/>
      <c r="AY191" s="165"/>
      <c r="AZ191" s="165"/>
      <c r="BA191" s="166">
        <v>26.8</v>
      </c>
      <c r="BB191" s="166" t="s">
        <v>421</v>
      </c>
      <c r="BC191" s="166" t="s">
        <v>116</v>
      </c>
      <c r="BD191" s="166"/>
      <c r="BE191" s="166"/>
      <c r="BF191" s="166"/>
      <c r="BG191" s="166">
        <v>17.7</v>
      </c>
      <c r="BH191" s="166">
        <v>40.200000000000003</v>
      </c>
      <c r="BI191" s="165"/>
      <c r="BJ191" s="165"/>
      <c r="BK191" s="165"/>
      <c r="BL191" s="165"/>
      <c r="BM191" s="165"/>
      <c r="BN191" s="165"/>
      <c r="BO191" s="165"/>
      <c r="BP191" s="165"/>
      <c r="BQ191" s="166" t="s">
        <v>422</v>
      </c>
      <c r="BR191" s="165" t="s">
        <v>423</v>
      </c>
      <c r="BS191" s="124">
        <v>323</v>
      </c>
      <c r="BT191" s="124"/>
    </row>
    <row r="192" spans="1:72" ht="14.25" hidden="1" customHeight="1" x14ac:dyDescent="0.2">
      <c r="A192" s="92">
        <v>324</v>
      </c>
      <c r="B192" s="235" t="s">
        <v>417</v>
      </c>
      <c r="C192" s="236" t="s">
        <v>418</v>
      </c>
      <c r="D192" s="235" t="s">
        <v>425</v>
      </c>
      <c r="E192" s="17" t="s">
        <v>111</v>
      </c>
      <c r="F192" s="18" t="s">
        <v>103</v>
      </c>
      <c r="G192" s="181" t="s">
        <v>56</v>
      </c>
      <c r="H192" s="181" t="s">
        <v>66</v>
      </c>
      <c r="I192" s="181"/>
      <c r="J192" s="178">
        <v>2</v>
      </c>
      <c r="K192" s="139">
        <f t="shared" si="3"/>
        <v>1.8270142</v>
      </c>
      <c r="L192" s="139" t="s">
        <v>58</v>
      </c>
      <c r="M192" s="178" t="s">
        <v>78</v>
      </c>
      <c r="N192" s="178">
        <v>0</v>
      </c>
      <c r="O192" s="138" t="s">
        <v>60</v>
      </c>
      <c r="P192" s="178" t="s">
        <v>79</v>
      </c>
      <c r="Q192" s="176" t="s">
        <v>113</v>
      </c>
      <c r="R192" s="179"/>
      <c r="S192" s="180">
        <v>5</v>
      </c>
      <c r="T192" s="180"/>
      <c r="U192" s="180"/>
      <c r="V192" s="167"/>
      <c r="W192" s="168"/>
      <c r="Y192" s="167"/>
      <c r="Z192" s="82" t="s">
        <v>63</v>
      </c>
      <c r="AA192" s="166">
        <v>52</v>
      </c>
      <c r="AB192" s="166">
        <v>45</v>
      </c>
      <c r="AC192" s="165">
        <v>52.3</v>
      </c>
      <c r="AD192" s="21" t="s">
        <v>80</v>
      </c>
      <c r="AE192" s="165" t="s">
        <v>116</v>
      </c>
      <c r="AF192" s="165"/>
      <c r="AG192" s="165"/>
      <c r="AH192" s="165"/>
      <c r="AI192" s="165">
        <v>25</v>
      </c>
      <c r="AJ192" s="165">
        <v>86</v>
      </c>
      <c r="AK192" s="166"/>
      <c r="AL192" s="166"/>
      <c r="AM192" s="166"/>
      <c r="AN192" s="166"/>
      <c r="AO192" s="166"/>
      <c r="AP192" s="166"/>
      <c r="AQ192" s="166"/>
      <c r="AR192" s="166"/>
      <c r="AS192" s="165"/>
      <c r="AT192" s="165"/>
      <c r="AU192" s="165"/>
      <c r="AV192" s="165"/>
      <c r="AW192" s="165"/>
      <c r="AX192" s="165"/>
      <c r="AY192" s="165"/>
      <c r="AZ192" s="165"/>
      <c r="BA192" s="166">
        <v>26.7</v>
      </c>
      <c r="BB192" s="166" t="s">
        <v>421</v>
      </c>
      <c r="BC192" s="166" t="s">
        <v>116</v>
      </c>
      <c r="BD192" s="166"/>
      <c r="BE192" s="166"/>
      <c r="BF192" s="166"/>
      <c r="BG192" s="166">
        <v>19.100000000000001</v>
      </c>
      <c r="BH192" s="166">
        <v>47</v>
      </c>
      <c r="BI192" s="165"/>
      <c r="BJ192" s="165"/>
      <c r="BK192" s="165"/>
      <c r="BL192" s="165"/>
      <c r="BM192" s="165"/>
      <c r="BN192" s="165"/>
      <c r="BO192" s="165"/>
      <c r="BP192" s="165"/>
      <c r="BQ192" s="166" t="s">
        <v>426</v>
      </c>
      <c r="BR192" s="165" t="s">
        <v>423</v>
      </c>
      <c r="BS192" s="124">
        <v>324</v>
      </c>
      <c r="BT192" s="124"/>
    </row>
    <row r="193" spans="1:72" ht="14.25" hidden="1" customHeight="1" x14ac:dyDescent="0.2">
      <c r="A193" s="92">
        <v>325</v>
      </c>
      <c r="B193" s="235" t="s">
        <v>417</v>
      </c>
      <c r="C193" s="236" t="s">
        <v>418</v>
      </c>
      <c r="D193" s="235" t="s">
        <v>427</v>
      </c>
      <c r="E193" s="17" t="s">
        <v>111</v>
      </c>
      <c r="F193" s="18" t="s">
        <v>103</v>
      </c>
      <c r="G193" s="181" t="s">
        <v>56</v>
      </c>
      <c r="H193" s="181" t="s">
        <v>66</v>
      </c>
      <c r="I193" s="181"/>
      <c r="J193" s="178">
        <v>3</v>
      </c>
      <c r="K193" s="139">
        <f t="shared" si="3"/>
        <v>2.7405213000000002</v>
      </c>
      <c r="L193" s="139" t="s">
        <v>58</v>
      </c>
      <c r="M193" s="178" t="s">
        <v>78</v>
      </c>
      <c r="N193" s="178">
        <v>0</v>
      </c>
      <c r="O193" s="138" t="s">
        <v>60</v>
      </c>
      <c r="P193" s="178" t="s">
        <v>79</v>
      </c>
      <c r="Q193" s="176" t="s">
        <v>113</v>
      </c>
      <c r="R193" s="179"/>
      <c r="S193" s="180">
        <v>5</v>
      </c>
      <c r="T193" s="180"/>
      <c r="U193" s="180"/>
      <c r="V193" s="167"/>
      <c r="W193" s="168"/>
      <c r="Y193" s="167"/>
      <c r="Z193" s="82" t="s">
        <v>63</v>
      </c>
      <c r="AA193" s="166">
        <v>55</v>
      </c>
      <c r="AB193" s="166">
        <v>49</v>
      </c>
      <c r="AC193" s="165">
        <v>50.3</v>
      </c>
      <c r="AD193" s="21" t="s">
        <v>80</v>
      </c>
      <c r="AE193" s="165" t="s">
        <v>116</v>
      </c>
      <c r="AF193" s="165"/>
      <c r="AG193" s="165"/>
      <c r="AH193" s="165"/>
      <c r="AI193" s="165">
        <v>25</v>
      </c>
      <c r="AJ193" s="165">
        <v>78</v>
      </c>
      <c r="AK193" s="166"/>
      <c r="AL193" s="166"/>
      <c r="AM193" s="166"/>
      <c r="AN193" s="166"/>
      <c r="AO193" s="166"/>
      <c r="AP193" s="166"/>
      <c r="AQ193" s="166"/>
      <c r="AR193" s="166"/>
      <c r="AS193" s="165"/>
      <c r="AT193" s="165"/>
      <c r="AU193" s="165"/>
      <c r="AV193" s="165"/>
      <c r="AW193" s="165"/>
      <c r="AX193" s="165"/>
      <c r="AY193" s="165"/>
      <c r="AZ193" s="165"/>
      <c r="BA193" s="166">
        <v>26.9</v>
      </c>
      <c r="BB193" s="166" t="s">
        <v>421</v>
      </c>
      <c r="BC193" s="166" t="s">
        <v>116</v>
      </c>
      <c r="BD193" s="166"/>
      <c r="BE193" s="166"/>
      <c r="BF193" s="166"/>
      <c r="BG193" s="166">
        <v>17.100000000000001</v>
      </c>
      <c r="BH193" s="166">
        <v>42.6</v>
      </c>
      <c r="BI193" s="165"/>
      <c r="BJ193" s="165"/>
      <c r="BK193" s="165"/>
      <c r="BL193" s="165"/>
      <c r="BM193" s="165"/>
      <c r="BN193" s="165"/>
      <c r="BO193" s="165"/>
      <c r="BP193" s="165"/>
      <c r="BQ193" s="166" t="s">
        <v>428</v>
      </c>
      <c r="BR193" s="165" t="s">
        <v>423</v>
      </c>
      <c r="BS193" s="124">
        <v>325</v>
      </c>
      <c r="BT193" s="124"/>
    </row>
    <row r="194" spans="1:72" ht="14.25" hidden="1" customHeight="1" x14ac:dyDescent="0.2">
      <c r="A194" s="92">
        <v>326</v>
      </c>
      <c r="B194" s="235" t="s">
        <v>429</v>
      </c>
      <c r="C194" s="236" t="s">
        <v>430</v>
      </c>
      <c r="D194" s="235" t="s">
        <v>220</v>
      </c>
      <c r="E194" s="17" t="s">
        <v>111</v>
      </c>
      <c r="F194" s="18" t="s">
        <v>103</v>
      </c>
      <c r="G194" s="181" t="s">
        <v>56</v>
      </c>
      <c r="H194" s="181" t="s">
        <v>57</v>
      </c>
      <c r="I194" s="181"/>
      <c r="J194" s="178">
        <v>10</v>
      </c>
      <c r="K194" s="139">
        <f t="shared" si="3"/>
        <v>9.1350709999999999</v>
      </c>
      <c r="L194" s="139" t="s">
        <v>58</v>
      </c>
      <c r="M194" s="178" t="s">
        <v>59</v>
      </c>
      <c r="N194" s="178">
        <v>0</v>
      </c>
      <c r="O194" s="138" t="s">
        <v>60</v>
      </c>
      <c r="P194" s="178" t="s">
        <v>79</v>
      </c>
      <c r="Q194" s="176" t="s">
        <v>113</v>
      </c>
      <c r="R194" s="179" t="s">
        <v>406</v>
      </c>
      <c r="S194" s="180"/>
      <c r="T194" s="180">
        <v>150</v>
      </c>
      <c r="U194" s="180"/>
      <c r="V194" s="19" t="s">
        <v>62</v>
      </c>
      <c r="W194" s="168">
        <v>2</v>
      </c>
      <c r="X194" s="106">
        <v>3</v>
      </c>
      <c r="Y194" s="167" t="s">
        <v>407</v>
      </c>
      <c r="Z194" s="82" t="s">
        <v>63</v>
      </c>
      <c r="AA194" s="166">
        <v>10</v>
      </c>
      <c r="AB194" s="166">
        <v>5</v>
      </c>
      <c r="AC194" s="165">
        <v>24.1</v>
      </c>
      <c r="AD194" s="21" t="s">
        <v>80</v>
      </c>
      <c r="AE194" s="165"/>
      <c r="AF194" s="165">
        <v>3.9</v>
      </c>
      <c r="AG194" s="165"/>
      <c r="AH194" s="165"/>
      <c r="AI194" s="165">
        <v>20</v>
      </c>
      <c r="AJ194" s="165">
        <v>32</v>
      </c>
      <c r="AK194" s="166">
        <v>66.5</v>
      </c>
      <c r="AL194" s="166"/>
      <c r="AM194" s="166"/>
      <c r="AN194" s="166">
        <v>9.9</v>
      </c>
      <c r="AO194" s="166"/>
      <c r="AP194" s="166"/>
      <c r="AQ194" s="166">
        <v>54</v>
      </c>
      <c r="AR194" s="166">
        <v>83</v>
      </c>
      <c r="AS194" s="165"/>
      <c r="AT194" s="165"/>
      <c r="AU194" s="165"/>
      <c r="AV194" s="165"/>
      <c r="AW194" s="165"/>
      <c r="AX194" s="165"/>
      <c r="AY194" s="165"/>
      <c r="AZ194" s="165"/>
      <c r="BA194" s="166"/>
      <c r="BB194" s="166"/>
      <c r="BC194" s="166"/>
      <c r="BD194" s="166"/>
      <c r="BE194" s="166"/>
      <c r="BF194" s="166"/>
      <c r="BG194" s="166"/>
      <c r="BH194" s="166"/>
      <c r="BI194" s="165"/>
      <c r="BJ194" s="165"/>
      <c r="BK194" s="165"/>
      <c r="BL194" s="165"/>
      <c r="BM194" s="165"/>
      <c r="BN194" s="165"/>
      <c r="BO194" s="165"/>
      <c r="BP194" s="165"/>
      <c r="BQ194" s="166" t="s">
        <v>408</v>
      </c>
      <c r="BR194" s="165"/>
      <c r="BS194" s="124">
        <v>326</v>
      </c>
      <c r="BT194" s="124"/>
    </row>
    <row r="195" spans="1:72" ht="14.25" hidden="1" customHeight="1" x14ac:dyDescent="0.2">
      <c r="A195" s="92">
        <v>327</v>
      </c>
      <c r="B195" s="235" t="s">
        <v>429</v>
      </c>
      <c r="C195" s="236" t="s">
        <v>430</v>
      </c>
      <c r="D195" s="235" t="s">
        <v>431</v>
      </c>
      <c r="E195" s="17" t="s">
        <v>111</v>
      </c>
      <c r="F195" s="18" t="s">
        <v>103</v>
      </c>
      <c r="G195" s="181" t="s">
        <v>56</v>
      </c>
      <c r="H195" s="181" t="s">
        <v>57</v>
      </c>
      <c r="I195" s="181"/>
      <c r="J195" s="178">
        <v>10</v>
      </c>
      <c r="K195" s="139">
        <f t="shared" si="3"/>
        <v>9.1350709999999999</v>
      </c>
      <c r="L195" s="139" t="s">
        <v>58</v>
      </c>
      <c r="M195" s="178" t="s">
        <v>59</v>
      </c>
      <c r="N195" s="178">
        <v>114</v>
      </c>
      <c r="O195" s="138" t="s">
        <v>60</v>
      </c>
      <c r="P195" s="178" t="s">
        <v>79</v>
      </c>
      <c r="Q195" s="176" t="s">
        <v>113</v>
      </c>
      <c r="R195" s="179" t="s">
        <v>406</v>
      </c>
      <c r="S195" s="180"/>
      <c r="T195" s="180">
        <v>150</v>
      </c>
      <c r="U195" s="180"/>
      <c r="V195" s="19" t="s">
        <v>62</v>
      </c>
      <c r="W195" s="168">
        <v>2</v>
      </c>
      <c r="X195" s="106">
        <v>3</v>
      </c>
      <c r="Y195" s="167" t="s">
        <v>407</v>
      </c>
      <c r="Z195" s="82" t="s">
        <v>63</v>
      </c>
      <c r="AA195" s="166">
        <v>10</v>
      </c>
      <c r="AB195" s="166">
        <v>5</v>
      </c>
      <c r="AC195" s="165">
        <v>24.1</v>
      </c>
      <c r="AD195" s="21" t="s">
        <v>80</v>
      </c>
      <c r="AE195" s="165"/>
      <c r="AF195" s="165">
        <v>3.9</v>
      </c>
      <c r="AG195" s="165"/>
      <c r="AH195" s="165"/>
      <c r="AI195" s="165">
        <v>20</v>
      </c>
      <c r="AJ195" s="165">
        <v>32</v>
      </c>
      <c r="AK195" s="166">
        <v>66.5</v>
      </c>
      <c r="AL195" s="166"/>
      <c r="AM195" s="166"/>
      <c r="AN195" s="166">
        <v>9.9</v>
      </c>
      <c r="AO195" s="166"/>
      <c r="AP195" s="166"/>
      <c r="AQ195" s="166">
        <v>54</v>
      </c>
      <c r="AR195" s="166">
        <v>83</v>
      </c>
      <c r="AS195" s="165"/>
      <c r="AT195" s="165"/>
      <c r="AU195" s="165"/>
      <c r="AV195" s="165"/>
      <c r="AW195" s="165"/>
      <c r="AX195" s="165"/>
      <c r="AY195" s="165"/>
      <c r="AZ195" s="165"/>
      <c r="BA195" s="166"/>
      <c r="BB195" s="166"/>
      <c r="BC195" s="166"/>
      <c r="BD195" s="166"/>
      <c r="BE195" s="166"/>
      <c r="BF195" s="166"/>
      <c r="BG195" s="166"/>
      <c r="BH195" s="166"/>
      <c r="BI195" s="165"/>
      <c r="BJ195" s="165"/>
      <c r="BK195" s="165"/>
      <c r="BL195" s="165"/>
      <c r="BM195" s="165"/>
      <c r="BN195" s="165"/>
      <c r="BO195" s="165"/>
      <c r="BP195" s="165"/>
      <c r="BQ195" s="166" t="s">
        <v>408</v>
      </c>
      <c r="BR195" s="165"/>
      <c r="BS195" s="124">
        <v>327</v>
      </c>
      <c r="BT195" s="124"/>
    </row>
    <row r="196" spans="1:72" ht="14.25" hidden="1" customHeight="1" x14ac:dyDescent="0.2">
      <c r="A196" s="92">
        <v>328</v>
      </c>
      <c r="B196" s="235" t="s">
        <v>432</v>
      </c>
      <c r="C196" s="236" t="s">
        <v>433</v>
      </c>
      <c r="D196" s="235" t="s">
        <v>220</v>
      </c>
      <c r="E196" s="17" t="s">
        <v>111</v>
      </c>
      <c r="F196" s="18" t="s">
        <v>103</v>
      </c>
      <c r="G196" s="181" t="s">
        <v>56</v>
      </c>
      <c r="H196" s="181" t="s">
        <v>57</v>
      </c>
      <c r="I196" s="181"/>
      <c r="J196" s="178">
        <v>30</v>
      </c>
      <c r="K196" s="139">
        <f t="shared" si="3"/>
        <v>27.405213</v>
      </c>
      <c r="L196" s="139" t="s">
        <v>58</v>
      </c>
      <c r="M196" s="178" t="s">
        <v>59</v>
      </c>
      <c r="N196" s="178">
        <v>0</v>
      </c>
      <c r="O196" s="138" t="s">
        <v>60</v>
      </c>
      <c r="P196" s="178" t="s">
        <v>79</v>
      </c>
      <c r="Q196" s="176" t="s">
        <v>113</v>
      </c>
      <c r="R196" s="179" t="s">
        <v>406</v>
      </c>
      <c r="S196" s="180"/>
      <c r="T196" s="180">
        <v>150</v>
      </c>
      <c r="U196" s="180"/>
      <c r="V196" s="167" t="s">
        <v>62</v>
      </c>
      <c r="W196" s="168">
        <v>2</v>
      </c>
      <c r="X196" s="106">
        <v>3</v>
      </c>
      <c r="Y196" s="167" t="s">
        <v>407</v>
      </c>
      <c r="Z196" s="82" t="s">
        <v>63</v>
      </c>
      <c r="AA196" s="166">
        <v>10</v>
      </c>
      <c r="AB196" s="166">
        <v>5</v>
      </c>
      <c r="AC196" s="165"/>
      <c r="AD196" s="21" t="s">
        <v>80</v>
      </c>
      <c r="AE196" s="165"/>
      <c r="AF196" s="165"/>
      <c r="AG196" s="165"/>
      <c r="AH196" s="165"/>
      <c r="AI196" s="165">
        <v>18</v>
      </c>
      <c r="AJ196" s="165">
        <v>26</v>
      </c>
      <c r="AK196" s="166"/>
      <c r="AL196" s="166"/>
      <c r="AM196" s="166"/>
      <c r="AN196" s="166"/>
      <c r="AO196" s="166"/>
      <c r="AP196" s="166"/>
      <c r="AQ196" s="166">
        <v>56</v>
      </c>
      <c r="AR196" s="166">
        <v>85</v>
      </c>
      <c r="AS196" s="165"/>
      <c r="AT196" s="165"/>
      <c r="AU196" s="165"/>
      <c r="AV196" s="165"/>
      <c r="AW196" s="165"/>
      <c r="AX196" s="165"/>
      <c r="AY196" s="165"/>
      <c r="AZ196" s="165"/>
      <c r="BA196" s="166"/>
      <c r="BB196" s="166"/>
      <c r="BC196" s="166"/>
      <c r="BD196" s="166"/>
      <c r="BE196" s="166"/>
      <c r="BF196" s="166"/>
      <c r="BG196" s="166"/>
      <c r="BH196" s="166"/>
      <c r="BI196" s="165"/>
      <c r="BJ196" s="165"/>
      <c r="BK196" s="165"/>
      <c r="BL196" s="165"/>
      <c r="BM196" s="165"/>
      <c r="BN196" s="165"/>
      <c r="BO196" s="165"/>
      <c r="BP196" s="165"/>
      <c r="BQ196" s="166" t="s">
        <v>408</v>
      </c>
      <c r="BR196" s="165"/>
      <c r="BS196" s="124">
        <v>328</v>
      </c>
      <c r="BT196" s="124"/>
    </row>
    <row r="197" spans="1:72" ht="14.25" hidden="1" customHeight="1" x14ac:dyDescent="0.2">
      <c r="A197" s="92">
        <v>329</v>
      </c>
      <c r="B197" s="235" t="s">
        <v>432</v>
      </c>
      <c r="C197" s="236" t="s">
        <v>433</v>
      </c>
      <c r="D197" s="235" t="s">
        <v>225</v>
      </c>
      <c r="E197" s="17" t="s">
        <v>111</v>
      </c>
      <c r="F197" s="18" t="s">
        <v>103</v>
      </c>
      <c r="G197" s="181" t="s">
        <v>56</v>
      </c>
      <c r="H197" s="181" t="s">
        <v>57</v>
      </c>
      <c r="I197" s="181"/>
      <c r="J197" s="178">
        <v>30</v>
      </c>
      <c r="K197" s="139">
        <f t="shared" si="3"/>
        <v>27.405213</v>
      </c>
      <c r="L197" s="139" t="s">
        <v>58</v>
      </c>
      <c r="M197" s="178" t="s">
        <v>59</v>
      </c>
      <c r="N197" s="178">
        <v>113</v>
      </c>
      <c r="O197" s="138" t="s">
        <v>60</v>
      </c>
      <c r="P197" s="178" t="s">
        <v>79</v>
      </c>
      <c r="Q197" s="176" t="s">
        <v>113</v>
      </c>
      <c r="R197" s="179" t="s">
        <v>406</v>
      </c>
      <c r="S197" s="180"/>
      <c r="T197" s="180">
        <v>150</v>
      </c>
      <c r="U197" s="180"/>
      <c r="V197" s="167" t="s">
        <v>62</v>
      </c>
      <c r="W197" s="168">
        <v>2</v>
      </c>
      <c r="X197" s="106">
        <v>3</v>
      </c>
      <c r="Y197" s="167" t="s">
        <v>407</v>
      </c>
      <c r="Z197" s="82" t="s">
        <v>63</v>
      </c>
      <c r="AA197" s="166">
        <v>10</v>
      </c>
      <c r="AB197" s="166">
        <v>5</v>
      </c>
      <c r="AC197" s="165"/>
      <c r="AD197" s="21" t="s">
        <v>80</v>
      </c>
      <c r="AE197" s="165"/>
      <c r="AF197" s="165"/>
      <c r="AG197" s="165"/>
      <c r="AH197" s="165"/>
      <c r="AI197" s="165">
        <v>18</v>
      </c>
      <c r="AJ197" s="165">
        <v>26</v>
      </c>
      <c r="AK197" s="166"/>
      <c r="AL197" s="166"/>
      <c r="AM197" s="166"/>
      <c r="AN197" s="166"/>
      <c r="AO197" s="166"/>
      <c r="AP197" s="166"/>
      <c r="AQ197" s="166">
        <v>56</v>
      </c>
      <c r="AR197" s="166">
        <v>85</v>
      </c>
      <c r="AS197" s="165"/>
      <c r="AT197" s="165"/>
      <c r="AU197" s="165"/>
      <c r="AV197" s="165"/>
      <c r="AW197" s="165"/>
      <c r="AX197" s="165"/>
      <c r="AY197" s="165"/>
      <c r="AZ197" s="165"/>
      <c r="BA197" s="166"/>
      <c r="BB197" s="166"/>
      <c r="BC197" s="166"/>
      <c r="BD197" s="166"/>
      <c r="BE197" s="166"/>
      <c r="BF197" s="166"/>
      <c r="BG197" s="166"/>
      <c r="BH197" s="166"/>
      <c r="BI197" s="165"/>
      <c r="BJ197" s="165"/>
      <c r="BK197" s="165"/>
      <c r="BL197" s="165"/>
      <c r="BM197" s="165"/>
      <c r="BN197" s="165"/>
      <c r="BO197" s="165"/>
      <c r="BP197" s="165"/>
      <c r="BQ197" s="166" t="s">
        <v>408</v>
      </c>
      <c r="BR197" s="165"/>
      <c r="BS197" s="124">
        <v>329</v>
      </c>
      <c r="BT197" s="124"/>
    </row>
    <row r="198" spans="1:72" ht="14.25" hidden="1" customHeight="1" x14ac:dyDescent="0.2">
      <c r="A198" s="92">
        <v>330</v>
      </c>
      <c r="B198" s="235" t="s">
        <v>434</v>
      </c>
      <c r="C198" s="236" t="s">
        <v>435</v>
      </c>
      <c r="D198" s="235" t="s">
        <v>220</v>
      </c>
      <c r="E198" s="17" t="s">
        <v>111</v>
      </c>
      <c r="F198" s="18" t="s">
        <v>103</v>
      </c>
      <c r="G198" s="181" t="s">
        <v>56</v>
      </c>
      <c r="H198" s="181" t="s">
        <v>57</v>
      </c>
      <c r="I198" s="181"/>
      <c r="J198" s="178">
        <v>10</v>
      </c>
      <c r="K198" s="139">
        <f t="shared" si="3"/>
        <v>9.1350709999999999</v>
      </c>
      <c r="L198" s="139" t="s">
        <v>58</v>
      </c>
      <c r="M198" s="178" t="s">
        <v>59</v>
      </c>
      <c r="N198" s="178">
        <v>0</v>
      </c>
      <c r="O198" s="138" t="s">
        <v>60</v>
      </c>
      <c r="P198" s="178" t="s">
        <v>79</v>
      </c>
      <c r="Q198" s="176" t="s">
        <v>113</v>
      </c>
      <c r="R198" s="179" t="s">
        <v>406</v>
      </c>
      <c r="S198" s="180"/>
      <c r="T198" s="180">
        <v>150</v>
      </c>
      <c r="U198" s="180"/>
      <c r="V198" s="167" t="s">
        <v>62</v>
      </c>
      <c r="W198" s="168">
        <v>2</v>
      </c>
      <c r="X198" s="106">
        <v>3</v>
      </c>
      <c r="Y198" s="167" t="s">
        <v>407</v>
      </c>
      <c r="Z198" s="82" t="s">
        <v>63</v>
      </c>
      <c r="AA198" s="166">
        <v>9</v>
      </c>
      <c r="AB198" s="166">
        <v>8</v>
      </c>
      <c r="AC198" s="165"/>
      <c r="AD198" s="21" t="s">
        <v>80</v>
      </c>
      <c r="AE198" s="165"/>
      <c r="AF198" s="165"/>
      <c r="AG198" s="165"/>
      <c r="AH198" s="165"/>
      <c r="AI198" s="165">
        <v>22</v>
      </c>
      <c r="AJ198" s="165">
        <v>26</v>
      </c>
      <c r="AK198" s="166"/>
      <c r="AL198" s="166"/>
      <c r="AM198" s="166"/>
      <c r="AN198" s="166"/>
      <c r="AO198" s="166"/>
      <c r="AP198" s="166"/>
      <c r="AQ198" s="166">
        <v>55</v>
      </c>
      <c r="AR198" s="166">
        <v>92</v>
      </c>
      <c r="AS198" s="165"/>
      <c r="AT198" s="165"/>
      <c r="AU198" s="165"/>
      <c r="AV198" s="165"/>
      <c r="AW198" s="165"/>
      <c r="AX198" s="165"/>
      <c r="AY198" s="165"/>
      <c r="AZ198" s="165"/>
      <c r="BA198" s="166"/>
      <c r="BB198" s="166"/>
      <c r="BC198" s="166"/>
      <c r="BD198" s="166"/>
      <c r="BE198" s="166"/>
      <c r="BF198" s="166"/>
      <c r="BG198" s="166"/>
      <c r="BH198" s="166"/>
      <c r="BI198" s="165"/>
      <c r="BJ198" s="165"/>
      <c r="BK198" s="165"/>
      <c r="BL198" s="165"/>
      <c r="BM198" s="165"/>
      <c r="BN198" s="165"/>
      <c r="BO198" s="165"/>
      <c r="BP198" s="165"/>
      <c r="BQ198" s="166" t="s">
        <v>408</v>
      </c>
      <c r="BR198" s="165"/>
      <c r="BS198" s="124">
        <v>330</v>
      </c>
      <c r="BT198" s="124"/>
    </row>
    <row r="199" spans="1:72" ht="14.25" hidden="1" customHeight="1" x14ac:dyDescent="0.2">
      <c r="A199" s="92">
        <v>331</v>
      </c>
      <c r="B199" s="235" t="s">
        <v>434</v>
      </c>
      <c r="C199" s="236" t="s">
        <v>435</v>
      </c>
      <c r="D199" s="235" t="s">
        <v>436</v>
      </c>
      <c r="E199" s="17" t="s">
        <v>111</v>
      </c>
      <c r="F199" s="18" t="s">
        <v>103</v>
      </c>
      <c r="G199" s="181" t="s">
        <v>56</v>
      </c>
      <c r="H199" s="181" t="s">
        <v>57</v>
      </c>
      <c r="I199" s="181"/>
      <c r="J199" s="178">
        <v>10</v>
      </c>
      <c r="K199" s="139">
        <f t="shared" si="3"/>
        <v>9.1350709999999999</v>
      </c>
      <c r="L199" s="139" t="s">
        <v>58</v>
      </c>
      <c r="M199" s="178" t="s">
        <v>59</v>
      </c>
      <c r="N199" s="178">
        <v>30</v>
      </c>
      <c r="O199" s="138" t="s">
        <v>60</v>
      </c>
      <c r="P199" s="178" t="s">
        <v>79</v>
      </c>
      <c r="Q199" s="176" t="s">
        <v>113</v>
      </c>
      <c r="R199" s="179" t="s">
        <v>406</v>
      </c>
      <c r="S199" s="180"/>
      <c r="T199" s="180">
        <v>150</v>
      </c>
      <c r="U199" s="180"/>
      <c r="V199" s="167" t="s">
        <v>62</v>
      </c>
      <c r="W199" s="168">
        <v>2</v>
      </c>
      <c r="X199" s="106">
        <v>3</v>
      </c>
      <c r="Y199" s="167" t="s">
        <v>407</v>
      </c>
      <c r="Z199" s="82" t="s">
        <v>63</v>
      </c>
      <c r="AA199" s="166">
        <v>9</v>
      </c>
      <c r="AB199" s="166">
        <v>8</v>
      </c>
      <c r="AC199" s="165"/>
      <c r="AD199" s="21" t="s">
        <v>80</v>
      </c>
      <c r="AE199" s="165"/>
      <c r="AF199" s="165"/>
      <c r="AG199" s="165"/>
      <c r="AH199" s="165"/>
      <c r="AI199" s="165">
        <v>22</v>
      </c>
      <c r="AJ199" s="165">
        <v>26</v>
      </c>
      <c r="AK199" s="166"/>
      <c r="AL199" s="166"/>
      <c r="AM199" s="166"/>
      <c r="AN199" s="166"/>
      <c r="AO199" s="166"/>
      <c r="AP199" s="166"/>
      <c r="AQ199" s="166">
        <v>55</v>
      </c>
      <c r="AR199" s="166">
        <v>92</v>
      </c>
      <c r="AS199" s="165"/>
      <c r="AT199" s="165"/>
      <c r="AU199" s="165"/>
      <c r="AV199" s="165"/>
      <c r="AW199" s="165"/>
      <c r="AX199" s="165"/>
      <c r="AY199" s="165"/>
      <c r="AZ199" s="165"/>
      <c r="BA199" s="166"/>
      <c r="BB199" s="166"/>
      <c r="BC199" s="166"/>
      <c r="BD199" s="166"/>
      <c r="BE199" s="166"/>
      <c r="BF199" s="166"/>
      <c r="BG199" s="166"/>
      <c r="BH199" s="166"/>
      <c r="BI199" s="165"/>
      <c r="BJ199" s="165"/>
      <c r="BK199" s="165"/>
      <c r="BL199" s="165"/>
      <c r="BM199" s="165"/>
      <c r="BN199" s="165"/>
      <c r="BO199" s="165"/>
      <c r="BP199" s="165"/>
      <c r="BQ199" s="166" t="s">
        <v>408</v>
      </c>
      <c r="BR199" s="165"/>
      <c r="BS199" s="124">
        <v>331</v>
      </c>
      <c r="BT199" s="124"/>
    </row>
    <row r="200" spans="1:72" ht="12.75" hidden="1" customHeight="1" x14ac:dyDescent="0.2">
      <c r="A200" s="92">
        <v>332</v>
      </c>
      <c r="B200" s="235" t="s">
        <v>434</v>
      </c>
      <c r="C200" s="236" t="s">
        <v>435</v>
      </c>
      <c r="D200" s="235" t="s">
        <v>436</v>
      </c>
      <c r="E200" s="17" t="s">
        <v>437</v>
      </c>
      <c r="F200" s="18" t="s">
        <v>103</v>
      </c>
      <c r="G200" s="181" t="s">
        <v>56</v>
      </c>
      <c r="H200" s="181" t="s">
        <v>57</v>
      </c>
      <c r="I200" s="181"/>
      <c r="J200" s="178">
        <v>80</v>
      </c>
      <c r="K200" s="139"/>
      <c r="L200" s="139" t="s">
        <v>58</v>
      </c>
      <c r="M200" s="178" t="s">
        <v>59</v>
      </c>
      <c r="N200" s="178" t="s">
        <v>438</v>
      </c>
      <c r="O200" s="138" t="s">
        <v>60</v>
      </c>
      <c r="P200" s="178" t="s">
        <v>79</v>
      </c>
      <c r="Q200" s="176"/>
      <c r="R200" s="179" t="s">
        <v>439</v>
      </c>
      <c r="S200" s="180"/>
      <c r="T200" s="180">
        <v>150</v>
      </c>
      <c r="U200" s="180"/>
      <c r="V200" s="167" t="s">
        <v>62</v>
      </c>
      <c r="W200" s="168">
        <v>2</v>
      </c>
      <c r="X200" s="106">
        <v>3</v>
      </c>
      <c r="Y200" s="167" t="s">
        <v>407</v>
      </c>
      <c r="Z200" s="82" t="s">
        <v>63</v>
      </c>
      <c r="AA200" s="166">
        <v>9</v>
      </c>
      <c r="AB200" s="166">
        <v>8</v>
      </c>
      <c r="AC200" s="165"/>
      <c r="AD200" s="21" t="s">
        <v>80</v>
      </c>
      <c r="AE200" s="165"/>
      <c r="AF200" s="165"/>
      <c r="AG200" s="165"/>
      <c r="AH200" s="165"/>
      <c r="AI200" s="165">
        <v>22</v>
      </c>
      <c r="AJ200" s="165">
        <v>26</v>
      </c>
      <c r="AK200" s="166"/>
      <c r="AL200" s="166"/>
      <c r="AM200" s="166"/>
      <c r="AN200" s="166"/>
      <c r="AO200" s="166"/>
      <c r="AP200" s="166"/>
      <c r="AQ200" s="166">
        <v>55</v>
      </c>
      <c r="AR200" s="166">
        <v>92</v>
      </c>
      <c r="AS200" s="165"/>
      <c r="AT200" s="165"/>
      <c r="AU200" s="165"/>
      <c r="AV200" s="165"/>
      <c r="AW200" s="165"/>
      <c r="AX200" s="165"/>
      <c r="AY200" s="165"/>
      <c r="AZ200" s="165"/>
      <c r="BA200" s="166"/>
      <c r="BB200" s="166"/>
      <c r="BC200" s="166"/>
      <c r="BD200" s="166"/>
      <c r="BE200" s="166"/>
      <c r="BF200" s="166"/>
      <c r="BG200" s="166"/>
      <c r="BH200" s="166"/>
      <c r="BI200" s="165"/>
      <c r="BJ200" s="165"/>
      <c r="BK200" s="165"/>
      <c r="BL200" s="165"/>
      <c r="BM200" s="165"/>
      <c r="BN200" s="165"/>
      <c r="BO200" s="165"/>
      <c r="BP200" s="165"/>
      <c r="BQ200" s="166" t="s">
        <v>408</v>
      </c>
      <c r="BR200" s="165"/>
      <c r="BS200" s="124">
        <v>332</v>
      </c>
      <c r="BT200" s="124"/>
    </row>
    <row r="201" spans="1:72" ht="14.25" hidden="1" customHeight="1" x14ac:dyDescent="0.2">
      <c r="A201" s="92">
        <v>333</v>
      </c>
      <c r="B201" s="235" t="s">
        <v>434</v>
      </c>
      <c r="C201" s="236" t="s">
        <v>435</v>
      </c>
      <c r="D201" s="235" t="s">
        <v>440</v>
      </c>
      <c r="E201" s="17" t="s">
        <v>111</v>
      </c>
      <c r="F201" s="18" t="s">
        <v>103</v>
      </c>
      <c r="G201" s="181" t="s">
        <v>56</v>
      </c>
      <c r="H201" s="181" t="s">
        <v>57</v>
      </c>
      <c r="I201" s="181"/>
      <c r="J201" s="178">
        <v>10</v>
      </c>
      <c r="K201" s="139">
        <f>J201*0.9135071</f>
        <v>9.1350709999999999</v>
      </c>
      <c r="L201" s="139" t="s">
        <v>58</v>
      </c>
      <c r="M201" s="178" t="s">
        <v>59</v>
      </c>
      <c r="N201" s="178">
        <v>30</v>
      </c>
      <c r="O201" s="138" t="s">
        <v>60</v>
      </c>
      <c r="P201" s="178" t="s">
        <v>79</v>
      </c>
      <c r="Q201" s="176" t="s">
        <v>113</v>
      </c>
      <c r="R201" s="179" t="s">
        <v>406</v>
      </c>
      <c r="S201" s="180"/>
      <c r="T201" s="180">
        <v>150</v>
      </c>
      <c r="U201" s="180"/>
      <c r="V201" s="167" t="s">
        <v>62</v>
      </c>
      <c r="W201" s="168">
        <v>2</v>
      </c>
      <c r="X201" s="106">
        <v>3</v>
      </c>
      <c r="Y201" s="167" t="s">
        <v>407</v>
      </c>
      <c r="Z201" s="82" t="s">
        <v>63</v>
      </c>
      <c r="AA201" s="166">
        <v>9</v>
      </c>
      <c r="AB201" s="166">
        <v>8</v>
      </c>
      <c r="AC201" s="165"/>
      <c r="AD201" s="21" t="s">
        <v>80</v>
      </c>
      <c r="AE201" s="165"/>
      <c r="AF201" s="165"/>
      <c r="AG201" s="165"/>
      <c r="AH201" s="165"/>
      <c r="AI201" s="165">
        <v>22</v>
      </c>
      <c r="AJ201" s="165">
        <v>26</v>
      </c>
      <c r="AK201" s="166"/>
      <c r="AL201" s="166"/>
      <c r="AM201" s="166"/>
      <c r="AN201" s="166"/>
      <c r="AO201" s="166"/>
      <c r="AP201" s="166"/>
      <c r="AQ201" s="166">
        <v>55</v>
      </c>
      <c r="AR201" s="166">
        <v>92</v>
      </c>
      <c r="AS201" s="165"/>
      <c r="AT201" s="165"/>
      <c r="AU201" s="165"/>
      <c r="AV201" s="165"/>
      <c r="AW201" s="165"/>
      <c r="AX201" s="165"/>
      <c r="AY201" s="165"/>
      <c r="AZ201" s="165"/>
      <c r="BA201" s="166"/>
      <c r="BB201" s="166"/>
      <c r="BC201" s="166"/>
      <c r="BD201" s="166"/>
      <c r="BE201" s="166"/>
      <c r="BF201" s="166"/>
      <c r="BG201" s="166"/>
      <c r="BH201" s="166"/>
      <c r="BI201" s="165"/>
      <c r="BJ201" s="165"/>
      <c r="BK201" s="165"/>
      <c r="BL201" s="165"/>
      <c r="BM201" s="165"/>
      <c r="BN201" s="165"/>
      <c r="BO201" s="165"/>
      <c r="BP201" s="165"/>
      <c r="BQ201" s="166" t="s">
        <v>408</v>
      </c>
      <c r="BR201" s="165"/>
      <c r="BS201" s="124">
        <v>333</v>
      </c>
      <c r="BT201" s="124"/>
    </row>
    <row r="202" spans="1:72" ht="14.25" hidden="1" customHeight="1" x14ac:dyDescent="0.2">
      <c r="A202" s="92">
        <v>334</v>
      </c>
      <c r="B202" s="235" t="s">
        <v>434</v>
      </c>
      <c r="C202" s="236" t="s">
        <v>435</v>
      </c>
      <c r="D202" s="235" t="s">
        <v>440</v>
      </c>
      <c r="E202" s="17" t="s">
        <v>441</v>
      </c>
      <c r="F202" s="18" t="s">
        <v>103</v>
      </c>
      <c r="G202" s="181" t="s">
        <v>56</v>
      </c>
      <c r="H202" s="181" t="s">
        <v>57</v>
      </c>
      <c r="I202" s="181"/>
      <c r="J202" s="178">
        <v>60</v>
      </c>
      <c r="K202" s="139"/>
      <c r="L202" s="139" t="s">
        <v>58</v>
      </c>
      <c r="M202" s="178" t="s">
        <v>59</v>
      </c>
      <c r="N202" s="178" t="s">
        <v>438</v>
      </c>
      <c r="O202" s="138" t="s">
        <v>60</v>
      </c>
      <c r="P202" s="178" t="s">
        <v>79</v>
      </c>
      <c r="Q202" s="176"/>
      <c r="R202" s="179" t="s">
        <v>442</v>
      </c>
      <c r="S202" s="180"/>
      <c r="T202" s="180">
        <v>150</v>
      </c>
      <c r="U202" s="180"/>
      <c r="V202" s="167" t="s">
        <v>62</v>
      </c>
      <c r="W202" s="168">
        <v>2</v>
      </c>
      <c r="X202" s="106">
        <v>3</v>
      </c>
      <c r="Y202" s="167" t="s">
        <v>407</v>
      </c>
      <c r="Z202" s="82" t="s">
        <v>63</v>
      </c>
      <c r="AA202" s="166">
        <v>9</v>
      </c>
      <c r="AB202" s="166">
        <v>8</v>
      </c>
      <c r="AC202" s="165"/>
      <c r="AD202" s="21" t="s">
        <v>80</v>
      </c>
      <c r="AE202" s="165"/>
      <c r="AF202" s="165"/>
      <c r="AG202" s="165"/>
      <c r="AH202" s="165"/>
      <c r="AI202" s="165">
        <v>22</v>
      </c>
      <c r="AJ202" s="165">
        <v>26</v>
      </c>
      <c r="AK202" s="166"/>
      <c r="AL202" s="166"/>
      <c r="AM202" s="166"/>
      <c r="AN202" s="166"/>
      <c r="AO202" s="166"/>
      <c r="AP202" s="166"/>
      <c r="AQ202" s="166">
        <v>55</v>
      </c>
      <c r="AR202" s="166">
        <v>92</v>
      </c>
      <c r="AS202" s="165"/>
      <c r="AT202" s="165"/>
      <c r="AU202" s="165"/>
      <c r="AV202" s="165"/>
      <c r="AW202" s="165"/>
      <c r="AX202" s="165"/>
      <c r="AY202" s="165"/>
      <c r="AZ202" s="165"/>
      <c r="BA202" s="166"/>
      <c r="BB202" s="166"/>
      <c r="BC202" s="166"/>
      <c r="BD202" s="166"/>
      <c r="BE202" s="166"/>
      <c r="BF202" s="166"/>
      <c r="BG202" s="166"/>
      <c r="BH202" s="166"/>
      <c r="BI202" s="165"/>
      <c r="BJ202" s="165"/>
      <c r="BK202" s="165"/>
      <c r="BL202" s="165"/>
      <c r="BM202" s="165"/>
      <c r="BN202" s="165"/>
      <c r="BO202" s="165"/>
      <c r="BP202" s="165"/>
      <c r="BQ202" s="166" t="s">
        <v>408</v>
      </c>
      <c r="BR202" s="165"/>
      <c r="BS202" s="124">
        <v>334</v>
      </c>
      <c r="BT202" s="124"/>
    </row>
    <row r="203" spans="1:72" ht="14.25" hidden="1" customHeight="1" x14ac:dyDescent="0.2">
      <c r="A203" s="92">
        <v>335</v>
      </c>
      <c r="B203" s="235" t="s">
        <v>443</v>
      </c>
      <c r="C203" s="236" t="s">
        <v>444</v>
      </c>
      <c r="D203" s="235" t="s">
        <v>220</v>
      </c>
      <c r="E203" s="17" t="s">
        <v>111</v>
      </c>
      <c r="F203" s="18" t="s">
        <v>103</v>
      </c>
      <c r="G203" s="181" t="s">
        <v>56</v>
      </c>
      <c r="H203" s="181" t="s">
        <v>57</v>
      </c>
      <c r="I203" s="181"/>
      <c r="J203" s="178">
        <v>10</v>
      </c>
      <c r="K203" s="139">
        <f>J203*0.9135071</f>
        <v>9.1350709999999999</v>
      </c>
      <c r="L203" s="139" t="s">
        <v>58</v>
      </c>
      <c r="M203" s="178" t="s">
        <v>59</v>
      </c>
      <c r="N203" s="178">
        <v>0</v>
      </c>
      <c r="O203" s="138" t="s">
        <v>60</v>
      </c>
      <c r="P203" s="178" t="s">
        <v>79</v>
      </c>
      <c r="Q203" s="176" t="s">
        <v>113</v>
      </c>
      <c r="R203" s="179" t="s">
        <v>406</v>
      </c>
      <c r="S203" s="180"/>
      <c r="T203" s="180">
        <v>150</v>
      </c>
      <c r="U203" s="180"/>
      <c r="V203" s="167" t="s">
        <v>62</v>
      </c>
      <c r="W203" s="168">
        <v>2</v>
      </c>
      <c r="X203" s="106">
        <v>3</v>
      </c>
      <c r="Y203" s="167" t="s">
        <v>407</v>
      </c>
      <c r="Z203" s="82" t="s">
        <v>63</v>
      </c>
      <c r="AA203" s="166">
        <v>10</v>
      </c>
      <c r="AB203" s="166">
        <v>5</v>
      </c>
      <c r="AC203" s="165">
        <v>22.3</v>
      </c>
      <c r="AD203" s="21" t="s">
        <v>80</v>
      </c>
      <c r="AE203" s="165"/>
      <c r="AF203" s="165">
        <v>3.2</v>
      </c>
      <c r="AG203" s="165"/>
      <c r="AH203" s="165"/>
      <c r="AI203" s="165">
        <v>20</v>
      </c>
      <c r="AJ203" s="165">
        <v>29</v>
      </c>
      <c r="AK203" s="166">
        <v>67.099999999999994</v>
      </c>
      <c r="AL203" s="166"/>
      <c r="AM203" s="166"/>
      <c r="AN203" s="166">
        <v>6.8</v>
      </c>
      <c r="AO203" s="166"/>
      <c r="AP203" s="166"/>
      <c r="AQ203" s="166">
        <v>58</v>
      </c>
      <c r="AR203" s="166">
        <v>76</v>
      </c>
      <c r="AS203" s="165"/>
      <c r="AT203" s="165"/>
      <c r="AU203" s="165"/>
      <c r="AV203" s="165"/>
      <c r="AW203" s="165"/>
      <c r="AX203" s="165"/>
      <c r="AY203" s="165"/>
      <c r="AZ203" s="165"/>
      <c r="BA203" s="166"/>
      <c r="BB203" s="166"/>
      <c r="BC203" s="166"/>
      <c r="BD203" s="166"/>
      <c r="BE203" s="166"/>
      <c r="BF203" s="166"/>
      <c r="BG203" s="166"/>
      <c r="BH203" s="166"/>
      <c r="BI203" s="165"/>
      <c r="BJ203" s="165"/>
      <c r="BK203" s="165"/>
      <c r="BL203" s="165"/>
      <c r="BM203" s="165"/>
      <c r="BN203" s="165"/>
      <c r="BO203" s="165"/>
      <c r="BP203" s="165"/>
      <c r="BQ203" s="166" t="s">
        <v>408</v>
      </c>
      <c r="BR203" s="165"/>
      <c r="BS203" s="124">
        <v>335</v>
      </c>
      <c r="BT203" s="174"/>
    </row>
    <row r="204" spans="1:72" ht="14.25" hidden="1" customHeight="1" x14ac:dyDescent="0.2">
      <c r="A204" s="92">
        <v>339</v>
      </c>
      <c r="B204" s="235" t="s">
        <v>445</v>
      </c>
      <c r="C204" s="236" t="s">
        <v>446</v>
      </c>
      <c r="D204" s="235" t="s">
        <v>220</v>
      </c>
      <c r="E204" s="17" t="s">
        <v>111</v>
      </c>
      <c r="F204" s="18" t="s">
        <v>103</v>
      </c>
      <c r="G204" s="181" t="s">
        <v>56</v>
      </c>
      <c r="H204" s="181" t="s">
        <v>57</v>
      </c>
      <c r="I204" s="181"/>
      <c r="J204" s="178">
        <v>10</v>
      </c>
      <c r="K204" s="139">
        <f>J204*0.9135071</f>
        <v>9.1350709999999999</v>
      </c>
      <c r="L204" s="139" t="s">
        <v>58</v>
      </c>
      <c r="M204" s="178" t="s">
        <v>59</v>
      </c>
      <c r="N204" s="178">
        <v>0</v>
      </c>
      <c r="O204" s="138" t="s">
        <v>60</v>
      </c>
      <c r="P204" s="178" t="s">
        <v>79</v>
      </c>
      <c r="Q204" s="176" t="s">
        <v>113</v>
      </c>
      <c r="R204" s="179" t="s">
        <v>406</v>
      </c>
      <c r="S204" s="180"/>
      <c r="T204" s="180">
        <v>200</v>
      </c>
      <c r="U204" s="180"/>
      <c r="V204" s="167" t="s">
        <v>62</v>
      </c>
      <c r="W204" s="168">
        <v>1</v>
      </c>
      <c r="X204" s="106">
        <v>4</v>
      </c>
      <c r="Y204" s="167" t="s">
        <v>407</v>
      </c>
      <c r="Z204" s="82" t="s">
        <v>63</v>
      </c>
      <c r="AA204" s="166">
        <v>10</v>
      </c>
      <c r="AB204" s="166">
        <v>6</v>
      </c>
      <c r="AC204" s="165">
        <v>22.3</v>
      </c>
      <c r="AD204" s="21" t="s">
        <v>80</v>
      </c>
      <c r="AE204" s="165" t="s">
        <v>116</v>
      </c>
      <c r="AF204" s="165">
        <v>3.5</v>
      </c>
      <c r="AG204" s="165"/>
      <c r="AH204" s="165"/>
      <c r="AI204" s="165">
        <v>20</v>
      </c>
      <c r="AJ204" s="165">
        <v>32</v>
      </c>
      <c r="AK204" s="166">
        <v>55.6</v>
      </c>
      <c r="AL204" s="166" t="s">
        <v>81</v>
      </c>
      <c r="AM204" s="166" t="s">
        <v>116</v>
      </c>
      <c r="AN204" s="166">
        <v>8.4</v>
      </c>
      <c r="AO204" s="166"/>
      <c r="AP204" s="166"/>
      <c r="AQ204" s="166">
        <v>56</v>
      </c>
      <c r="AR204" s="166">
        <v>80</v>
      </c>
      <c r="AS204" s="165"/>
      <c r="AT204" s="165"/>
      <c r="AU204" s="165"/>
      <c r="AV204" s="165"/>
      <c r="AW204" s="165"/>
      <c r="AX204" s="165"/>
      <c r="AY204" s="165"/>
      <c r="AZ204" s="165"/>
      <c r="BA204" s="166"/>
      <c r="BB204" s="166"/>
      <c r="BC204" s="166"/>
      <c r="BD204" s="166"/>
      <c r="BE204" s="166"/>
      <c r="BF204" s="166"/>
      <c r="BG204" s="166"/>
      <c r="BH204" s="166"/>
      <c r="BI204" s="165"/>
      <c r="BJ204" s="165"/>
      <c r="BK204" s="165"/>
      <c r="BL204" s="165"/>
      <c r="BM204" s="165"/>
      <c r="BN204" s="165"/>
      <c r="BO204" s="165"/>
      <c r="BP204" s="165"/>
      <c r="BQ204" s="166" t="s">
        <v>408</v>
      </c>
      <c r="BR204" s="165"/>
      <c r="BS204" s="124">
        <v>339</v>
      </c>
      <c r="BT204" s="174"/>
    </row>
    <row r="205" spans="1:72" ht="14.25" hidden="1" customHeight="1" x14ac:dyDescent="0.2">
      <c r="A205" s="92">
        <v>340</v>
      </c>
      <c r="B205" s="235" t="s">
        <v>445</v>
      </c>
      <c r="C205" s="236" t="s">
        <v>446</v>
      </c>
      <c r="D205" s="235" t="s">
        <v>328</v>
      </c>
      <c r="E205" s="17" t="s">
        <v>111</v>
      </c>
      <c r="F205" s="18" t="s">
        <v>103</v>
      </c>
      <c r="G205" s="181" t="s">
        <v>56</v>
      </c>
      <c r="H205" s="181" t="s">
        <v>57</v>
      </c>
      <c r="I205" s="181"/>
      <c r="J205" s="178">
        <v>10</v>
      </c>
      <c r="K205" s="139">
        <f>J205*0.9135071</f>
        <v>9.1350709999999999</v>
      </c>
      <c r="L205" s="139" t="s">
        <v>58</v>
      </c>
      <c r="M205" s="178" t="s">
        <v>59</v>
      </c>
      <c r="N205" s="178">
        <v>50</v>
      </c>
      <c r="O205" s="138" t="s">
        <v>60</v>
      </c>
      <c r="P205" s="178" t="s">
        <v>79</v>
      </c>
      <c r="Q205" s="176" t="s">
        <v>113</v>
      </c>
      <c r="R205" s="179" t="s">
        <v>406</v>
      </c>
      <c r="S205" s="180"/>
      <c r="T205" s="180">
        <v>200</v>
      </c>
      <c r="U205" s="180"/>
      <c r="V205" s="167" t="s">
        <v>62</v>
      </c>
      <c r="W205" s="168">
        <v>1</v>
      </c>
      <c r="X205" s="106">
        <v>4</v>
      </c>
      <c r="Y205" s="167" t="s">
        <v>407</v>
      </c>
      <c r="Z205" s="82" t="s">
        <v>63</v>
      </c>
      <c r="AA205" s="166">
        <v>10</v>
      </c>
      <c r="AB205" s="166">
        <v>6</v>
      </c>
      <c r="AC205" s="165">
        <v>22.3</v>
      </c>
      <c r="AD205" s="21" t="s">
        <v>80</v>
      </c>
      <c r="AE205" s="165" t="s">
        <v>116</v>
      </c>
      <c r="AF205" s="165">
        <v>3.5</v>
      </c>
      <c r="AG205" s="165"/>
      <c r="AH205" s="165"/>
      <c r="AI205" s="165">
        <v>20</v>
      </c>
      <c r="AJ205" s="165">
        <v>32</v>
      </c>
      <c r="AK205" s="166">
        <v>55.6</v>
      </c>
      <c r="AL205" s="166" t="s">
        <v>81</v>
      </c>
      <c r="AM205" s="166" t="s">
        <v>116</v>
      </c>
      <c r="AN205" s="166">
        <v>8.4</v>
      </c>
      <c r="AO205" s="166"/>
      <c r="AP205" s="166"/>
      <c r="AQ205" s="166">
        <v>56</v>
      </c>
      <c r="AR205" s="166">
        <v>80</v>
      </c>
      <c r="AS205" s="165"/>
      <c r="AT205" s="165"/>
      <c r="AU205" s="165"/>
      <c r="AV205" s="165"/>
      <c r="AW205" s="165"/>
      <c r="AX205" s="165"/>
      <c r="AY205" s="165"/>
      <c r="AZ205" s="165"/>
      <c r="BA205" s="166"/>
      <c r="BB205" s="166"/>
      <c r="BC205" s="166"/>
      <c r="BD205" s="166"/>
      <c r="BE205" s="166"/>
      <c r="BF205" s="166"/>
      <c r="BG205" s="166"/>
      <c r="BH205" s="166"/>
      <c r="BI205" s="165"/>
      <c r="BJ205" s="165"/>
      <c r="BK205" s="165"/>
      <c r="BL205" s="165"/>
      <c r="BM205" s="165"/>
      <c r="BN205" s="165"/>
      <c r="BO205" s="165"/>
      <c r="BP205" s="165"/>
      <c r="BQ205" s="166" t="s">
        <v>408</v>
      </c>
      <c r="BR205" s="165"/>
      <c r="BS205" s="124">
        <v>340</v>
      </c>
      <c r="BT205" s="174"/>
    </row>
    <row r="206" spans="1:72" ht="14.25" customHeight="1" x14ac:dyDescent="0.2">
      <c r="A206" s="113">
        <v>353</v>
      </c>
      <c r="B206" s="233" t="s">
        <v>447</v>
      </c>
      <c r="C206" s="236" t="s">
        <v>448</v>
      </c>
      <c r="D206" s="235" t="s">
        <v>220</v>
      </c>
      <c r="E206" s="125" t="s">
        <v>102</v>
      </c>
      <c r="F206" s="181" t="s">
        <v>103</v>
      </c>
      <c r="G206" s="181" t="s">
        <v>56</v>
      </c>
      <c r="H206" s="181"/>
      <c r="I206" s="181"/>
      <c r="J206" s="178"/>
      <c r="K206" s="182"/>
      <c r="L206" s="182"/>
      <c r="M206" s="178"/>
      <c r="N206" s="178"/>
      <c r="O206" s="178"/>
      <c r="P206" s="178"/>
      <c r="Q206" s="179"/>
      <c r="R206" s="179"/>
      <c r="S206" s="180"/>
      <c r="T206" s="179"/>
      <c r="U206" s="179"/>
      <c r="V206" s="167"/>
      <c r="W206" s="168"/>
      <c r="Y206" s="167"/>
      <c r="Z206" s="169"/>
      <c r="AA206" s="166"/>
      <c r="AB206" s="166"/>
      <c r="AC206" s="165"/>
      <c r="AD206" s="165"/>
      <c r="AE206" s="165"/>
      <c r="AF206" s="165"/>
      <c r="AG206" s="165"/>
      <c r="AH206" s="165"/>
      <c r="AI206" s="165"/>
      <c r="AJ206" s="165"/>
      <c r="AK206" s="166"/>
      <c r="AL206" s="166"/>
      <c r="AM206" s="166"/>
      <c r="AN206" s="166"/>
      <c r="AO206" s="166"/>
      <c r="AP206" s="166"/>
      <c r="AQ206" s="166"/>
      <c r="AR206" s="166"/>
      <c r="AS206" s="165"/>
      <c r="AT206" s="165"/>
      <c r="AU206" s="165"/>
      <c r="AV206" s="165"/>
      <c r="AW206" s="165"/>
      <c r="AX206" s="165"/>
      <c r="AY206" s="165"/>
      <c r="AZ206" s="165"/>
      <c r="BA206" s="166"/>
      <c r="BB206" s="166"/>
      <c r="BC206" s="166"/>
      <c r="BD206" s="166"/>
      <c r="BE206" s="166"/>
      <c r="BF206" s="166"/>
      <c r="BG206" s="166"/>
      <c r="BH206" s="166"/>
      <c r="BI206" s="165"/>
      <c r="BJ206" s="165"/>
      <c r="BK206" s="165"/>
      <c r="BL206" s="165"/>
      <c r="BM206" s="165"/>
      <c r="BN206" s="165"/>
      <c r="BO206" s="165"/>
      <c r="BP206" s="165"/>
      <c r="BQ206" s="166"/>
      <c r="BR206" s="165"/>
      <c r="BS206" s="124">
        <v>353</v>
      </c>
      <c r="BT206" s="174"/>
    </row>
    <row r="207" spans="1:72" ht="14.25" customHeight="1" x14ac:dyDescent="0.2">
      <c r="A207" s="113">
        <v>354</v>
      </c>
      <c r="B207" s="233" t="s">
        <v>447</v>
      </c>
      <c r="C207" s="236" t="s">
        <v>448</v>
      </c>
      <c r="D207" s="235" t="s">
        <v>449</v>
      </c>
      <c r="E207" s="125" t="s">
        <v>102</v>
      </c>
      <c r="F207" s="181" t="s">
        <v>103</v>
      </c>
      <c r="G207" s="181" t="s">
        <v>56</v>
      </c>
      <c r="H207" s="181"/>
      <c r="I207" s="181"/>
      <c r="J207" s="178"/>
      <c r="K207" s="182"/>
      <c r="L207" s="182"/>
      <c r="M207" s="178"/>
      <c r="N207" s="178"/>
      <c r="O207" s="178"/>
      <c r="P207" s="178"/>
      <c r="Q207" s="179"/>
      <c r="R207" s="179"/>
      <c r="S207" s="180"/>
      <c r="T207" s="179"/>
      <c r="U207" s="179"/>
      <c r="V207" s="167"/>
      <c r="W207" s="168"/>
      <c r="Y207" s="167"/>
      <c r="Z207" s="169"/>
      <c r="AA207" s="166"/>
      <c r="AB207" s="166"/>
      <c r="AC207" s="165"/>
      <c r="AD207" s="165"/>
      <c r="AE207" s="165"/>
      <c r="AF207" s="165"/>
      <c r="AG207" s="165"/>
      <c r="AH207" s="165"/>
      <c r="AI207" s="165"/>
      <c r="AJ207" s="165"/>
      <c r="AK207" s="166"/>
      <c r="AL207" s="166"/>
      <c r="AM207" s="166"/>
      <c r="AN207" s="166"/>
      <c r="AO207" s="166"/>
      <c r="AP207" s="166"/>
      <c r="AQ207" s="166"/>
      <c r="AR207" s="166"/>
      <c r="AS207" s="165"/>
      <c r="AT207" s="165"/>
      <c r="AU207" s="165"/>
      <c r="AV207" s="165"/>
      <c r="AW207" s="165"/>
      <c r="AX207" s="165"/>
      <c r="AY207" s="165"/>
      <c r="AZ207" s="165"/>
      <c r="BA207" s="166"/>
      <c r="BB207" s="166"/>
      <c r="BC207" s="166"/>
      <c r="BD207" s="166"/>
      <c r="BE207" s="166"/>
      <c r="BF207" s="166"/>
      <c r="BG207" s="166"/>
      <c r="BH207" s="166"/>
      <c r="BI207" s="165"/>
      <c r="BJ207" s="165"/>
      <c r="BK207" s="165"/>
      <c r="BL207" s="165"/>
      <c r="BM207" s="165"/>
      <c r="BN207" s="165"/>
      <c r="BO207" s="165"/>
      <c r="BP207" s="165"/>
      <c r="BQ207" s="166"/>
      <c r="BR207" s="165"/>
      <c r="BS207" s="124">
        <v>354</v>
      </c>
      <c r="BT207" s="174"/>
    </row>
    <row r="208" spans="1:72" ht="14.25" hidden="1" customHeight="1" x14ac:dyDescent="0.2">
      <c r="A208" s="92">
        <v>355</v>
      </c>
      <c r="B208" s="235" t="s">
        <v>450</v>
      </c>
      <c r="C208" s="236" t="s">
        <v>451</v>
      </c>
      <c r="D208" s="235" t="s">
        <v>452</v>
      </c>
      <c r="E208" s="125" t="s">
        <v>54</v>
      </c>
      <c r="F208" s="18" t="s">
        <v>55</v>
      </c>
      <c r="G208" s="181" t="s">
        <v>56</v>
      </c>
      <c r="H208" s="181" t="s">
        <v>453</v>
      </c>
      <c r="I208" s="181"/>
      <c r="J208" s="178">
        <v>300</v>
      </c>
      <c r="K208" s="182"/>
      <c r="L208" s="182" t="s">
        <v>58</v>
      </c>
      <c r="M208" s="178" t="s">
        <v>78</v>
      </c>
      <c r="N208" s="178">
        <v>0</v>
      </c>
      <c r="O208" s="178" t="s">
        <v>60</v>
      </c>
      <c r="P208" s="178" t="s">
        <v>79</v>
      </c>
      <c r="Q208" s="179"/>
      <c r="R208" s="179"/>
      <c r="S208" s="180">
        <v>180</v>
      </c>
      <c r="T208" s="179"/>
      <c r="U208" s="179"/>
      <c r="V208" s="167"/>
      <c r="W208" s="168"/>
      <c r="Y208" s="167"/>
      <c r="Z208" s="169" t="s">
        <v>63</v>
      </c>
      <c r="AA208" s="166">
        <v>2</v>
      </c>
      <c r="AB208" s="166"/>
      <c r="AC208" s="165"/>
      <c r="AD208" s="165"/>
      <c r="AE208" s="165"/>
      <c r="AF208" s="165"/>
      <c r="AG208" s="165"/>
      <c r="AH208" s="165"/>
      <c r="AI208" s="165"/>
      <c r="AJ208" s="165"/>
      <c r="AK208" s="166"/>
      <c r="AL208" s="166"/>
      <c r="AM208" s="166"/>
      <c r="AN208" s="166"/>
      <c r="AO208" s="166"/>
      <c r="AP208" s="166"/>
      <c r="AQ208" s="166"/>
      <c r="AR208" s="166"/>
      <c r="AS208" s="165"/>
      <c r="AT208" s="165"/>
      <c r="AU208" s="165"/>
      <c r="AV208" s="165"/>
      <c r="AW208" s="165"/>
      <c r="AX208" s="165"/>
      <c r="AY208" s="165"/>
      <c r="AZ208" s="165"/>
      <c r="BA208" s="166"/>
      <c r="BB208" s="166"/>
      <c r="BC208" s="166"/>
      <c r="BD208" s="166"/>
      <c r="BE208" s="166"/>
      <c r="BF208" s="166"/>
      <c r="BG208" s="166"/>
      <c r="BH208" s="166"/>
      <c r="BI208" s="165"/>
      <c r="BJ208" s="165"/>
      <c r="BK208" s="165"/>
      <c r="BL208" s="165"/>
      <c r="BM208" s="165"/>
      <c r="BN208" s="165"/>
      <c r="BO208" s="165"/>
      <c r="BP208" s="165"/>
      <c r="BQ208" s="166"/>
      <c r="BR208" s="165" t="s">
        <v>454</v>
      </c>
      <c r="BS208" s="124">
        <v>355</v>
      </c>
      <c r="BT208" s="174"/>
    </row>
    <row r="209" spans="1:72" ht="14.25" hidden="1" customHeight="1" x14ac:dyDescent="0.2">
      <c r="A209" s="92">
        <v>356</v>
      </c>
      <c r="B209" s="235" t="s">
        <v>450</v>
      </c>
      <c r="C209" s="236" t="s">
        <v>451</v>
      </c>
      <c r="D209" s="235" t="s">
        <v>455</v>
      </c>
      <c r="E209" s="125" t="s">
        <v>54</v>
      </c>
      <c r="F209" s="18" t="s">
        <v>55</v>
      </c>
      <c r="G209" s="181" t="s">
        <v>56</v>
      </c>
      <c r="H209" s="181" t="s">
        <v>453</v>
      </c>
      <c r="I209" s="181"/>
      <c r="J209" s="178">
        <v>450</v>
      </c>
      <c r="K209" s="182"/>
      <c r="L209" s="182" t="s">
        <v>58</v>
      </c>
      <c r="M209" s="178" t="s">
        <v>78</v>
      </c>
      <c r="N209" s="178">
        <v>0</v>
      </c>
      <c r="O209" s="178" t="s">
        <v>60</v>
      </c>
      <c r="P209" s="178" t="s">
        <v>79</v>
      </c>
      <c r="Q209" s="179"/>
      <c r="R209" s="179"/>
      <c r="S209" s="180">
        <v>180</v>
      </c>
      <c r="T209" s="179"/>
      <c r="U209" s="179"/>
      <c r="V209" s="167"/>
      <c r="W209" s="168"/>
      <c r="Y209" s="167"/>
      <c r="Z209" s="169" t="s">
        <v>63</v>
      </c>
      <c r="AA209" s="166">
        <v>3</v>
      </c>
      <c r="AB209" s="166"/>
      <c r="AC209" s="165"/>
      <c r="AD209" s="165"/>
      <c r="AE209" s="165"/>
      <c r="AF209" s="165"/>
      <c r="AG209" s="165"/>
      <c r="AH209" s="165"/>
      <c r="AI209" s="165"/>
      <c r="AJ209" s="165"/>
      <c r="AK209" s="166"/>
      <c r="AL209" s="166"/>
      <c r="AM209" s="166"/>
      <c r="AN209" s="166"/>
      <c r="AO209" s="166"/>
      <c r="AP209" s="166"/>
      <c r="AQ209" s="166"/>
      <c r="AR209" s="166"/>
      <c r="AS209" s="165"/>
      <c r="AT209" s="165"/>
      <c r="AU209" s="165"/>
      <c r="AV209" s="165"/>
      <c r="AW209" s="165"/>
      <c r="AX209" s="165"/>
      <c r="AY209" s="165"/>
      <c r="AZ209" s="165"/>
      <c r="BA209" s="166"/>
      <c r="BB209" s="166"/>
      <c r="BC209" s="166"/>
      <c r="BD209" s="166"/>
      <c r="BE209" s="166"/>
      <c r="BF209" s="166"/>
      <c r="BG209" s="166"/>
      <c r="BH209" s="166"/>
      <c r="BI209" s="165"/>
      <c r="BJ209" s="165"/>
      <c r="BK209" s="165"/>
      <c r="BL209" s="165"/>
      <c r="BM209" s="165"/>
      <c r="BN209" s="165"/>
      <c r="BO209" s="165"/>
      <c r="BP209" s="165"/>
      <c r="BQ209" s="166"/>
      <c r="BR209" s="165" t="s">
        <v>454</v>
      </c>
      <c r="BS209" s="124">
        <v>356</v>
      </c>
      <c r="BT209" s="174"/>
    </row>
    <row r="210" spans="1:72" ht="14.25" hidden="1" customHeight="1" x14ac:dyDescent="0.2">
      <c r="A210" s="92">
        <v>357</v>
      </c>
      <c r="B210" s="235" t="s">
        <v>450</v>
      </c>
      <c r="C210" s="236" t="s">
        <v>451</v>
      </c>
      <c r="D210" s="235" t="s">
        <v>456</v>
      </c>
      <c r="E210" s="125" t="s">
        <v>54</v>
      </c>
      <c r="F210" s="18" t="s">
        <v>55</v>
      </c>
      <c r="G210" s="181" t="s">
        <v>56</v>
      </c>
      <c r="H210" s="181" t="s">
        <v>453</v>
      </c>
      <c r="I210" s="181"/>
      <c r="J210" s="178">
        <v>600</v>
      </c>
      <c r="K210" s="182"/>
      <c r="L210" s="182" t="s">
        <v>58</v>
      </c>
      <c r="M210" s="178" t="s">
        <v>78</v>
      </c>
      <c r="N210" s="178">
        <v>0</v>
      </c>
      <c r="O210" s="178" t="s">
        <v>60</v>
      </c>
      <c r="P210" s="178" t="s">
        <v>79</v>
      </c>
      <c r="Q210" s="179"/>
      <c r="R210" s="179"/>
      <c r="S210" s="180">
        <v>180</v>
      </c>
      <c r="T210" s="179"/>
      <c r="U210" s="179"/>
      <c r="V210" s="167"/>
      <c r="W210" s="168"/>
      <c r="Y210" s="167"/>
      <c r="Z210" s="169" t="s">
        <v>63</v>
      </c>
      <c r="AA210" s="166">
        <v>6</v>
      </c>
      <c r="AB210" s="166"/>
      <c r="AC210" s="165"/>
      <c r="AD210" s="165"/>
      <c r="AE210" s="165"/>
      <c r="AF210" s="165"/>
      <c r="AG210" s="165"/>
      <c r="AH210" s="165"/>
      <c r="AI210" s="165"/>
      <c r="AJ210" s="165"/>
      <c r="AK210" s="166"/>
      <c r="AL210" s="166"/>
      <c r="AM210" s="166"/>
      <c r="AN210" s="166"/>
      <c r="AO210" s="166"/>
      <c r="AP210" s="166"/>
      <c r="AQ210" s="166"/>
      <c r="AR210" s="166"/>
      <c r="AS210" s="165"/>
      <c r="AT210" s="165"/>
      <c r="AU210" s="165"/>
      <c r="AV210" s="165"/>
      <c r="AW210" s="165"/>
      <c r="AX210" s="165"/>
      <c r="AY210" s="165"/>
      <c r="AZ210" s="165"/>
      <c r="BA210" s="166"/>
      <c r="BB210" s="166"/>
      <c r="BC210" s="166"/>
      <c r="BD210" s="166"/>
      <c r="BE210" s="166"/>
      <c r="BF210" s="166"/>
      <c r="BG210" s="166"/>
      <c r="BH210" s="166"/>
      <c r="BI210" s="165"/>
      <c r="BJ210" s="165"/>
      <c r="BK210" s="165"/>
      <c r="BL210" s="165"/>
      <c r="BM210" s="165"/>
      <c r="BN210" s="165"/>
      <c r="BO210" s="165"/>
      <c r="BP210" s="165"/>
      <c r="BQ210" s="166"/>
      <c r="BR210" s="165" t="s">
        <v>454</v>
      </c>
      <c r="BS210" s="124">
        <v>357</v>
      </c>
      <c r="BT210" s="174"/>
    </row>
    <row r="211" spans="1:72" ht="14.25" hidden="1" customHeight="1" x14ac:dyDescent="0.2">
      <c r="A211" s="92">
        <v>358</v>
      </c>
      <c r="B211" s="235" t="s">
        <v>450</v>
      </c>
      <c r="C211" s="236" t="s">
        <v>451</v>
      </c>
      <c r="D211" s="235" t="s">
        <v>452</v>
      </c>
      <c r="E211" s="125" t="s">
        <v>54</v>
      </c>
      <c r="F211" s="181" t="s">
        <v>71</v>
      </c>
      <c r="G211" s="181" t="s">
        <v>56</v>
      </c>
      <c r="H211" s="181" t="s">
        <v>457</v>
      </c>
      <c r="I211" s="181"/>
      <c r="J211" s="178">
        <v>300</v>
      </c>
      <c r="K211" s="182"/>
      <c r="L211" s="182" t="s">
        <v>58</v>
      </c>
      <c r="M211" s="178" t="s">
        <v>78</v>
      </c>
      <c r="N211" s="178">
        <v>0</v>
      </c>
      <c r="O211" s="178" t="s">
        <v>60</v>
      </c>
      <c r="P211" s="178" t="s">
        <v>79</v>
      </c>
      <c r="Q211" s="179"/>
      <c r="R211" s="179"/>
      <c r="S211" s="180">
        <v>180</v>
      </c>
      <c r="T211" s="179"/>
      <c r="U211" s="179"/>
      <c r="V211" s="167"/>
      <c r="W211" s="168"/>
      <c r="Y211" s="167"/>
      <c r="Z211" s="169" t="s">
        <v>63</v>
      </c>
      <c r="AA211" s="166">
        <v>2</v>
      </c>
      <c r="AB211" s="166"/>
      <c r="AC211" s="165"/>
      <c r="AD211" s="165"/>
      <c r="AE211" s="165"/>
      <c r="AF211" s="165"/>
      <c r="AG211" s="165"/>
      <c r="AH211" s="165"/>
      <c r="AI211" s="165"/>
      <c r="AJ211" s="165"/>
      <c r="AK211" s="166"/>
      <c r="AL211" s="166"/>
      <c r="AM211" s="166"/>
      <c r="AN211" s="166"/>
      <c r="AO211" s="166"/>
      <c r="AP211" s="166"/>
      <c r="AQ211" s="166"/>
      <c r="AR211" s="166"/>
      <c r="AS211" s="165"/>
      <c r="AT211" s="165"/>
      <c r="AU211" s="165"/>
      <c r="AV211" s="165"/>
      <c r="AW211" s="165"/>
      <c r="AX211" s="165"/>
      <c r="AY211" s="165"/>
      <c r="AZ211" s="165"/>
      <c r="BA211" s="166"/>
      <c r="BB211" s="166"/>
      <c r="BC211" s="166"/>
      <c r="BD211" s="166"/>
      <c r="BE211" s="166"/>
      <c r="BF211" s="166"/>
      <c r="BG211" s="166"/>
      <c r="BH211" s="166"/>
      <c r="BI211" s="165"/>
      <c r="BJ211" s="165"/>
      <c r="BK211" s="165"/>
      <c r="BL211" s="165"/>
      <c r="BM211" s="165"/>
      <c r="BN211" s="165"/>
      <c r="BO211" s="165"/>
      <c r="BP211" s="165"/>
      <c r="BQ211" s="166"/>
      <c r="BR211" s="165" t="s">
        <v>454</v>
      </c>
      <c r="BS211" s="124">
        <v>358</v>
      </c>
      <c r="BT211" s="174"/>
    </row>
    <row r="212" spans="1:72" ht="14.25" hidden="1" customHeight="1" x14ac:dyDescent="0.2">
      <c r="A212" s="92">
        <v>359</v>
      </c>
      <c r="B212" s="235" t="s">
        <v>450</v>
      </c>
      <c r="C212" s="236" t="s">
        <v>451</v>
      </c>
      <c r="D212" s="235" t="s">
        <v>455</v>
      </c>
      <c r="E212" s="125" t="s">
        <v>54</v>
      </c>
      <c r="F212" s="181" t="s">
        <v>71</v>
      </c>
      <c r="G212" s="181" t="s">
        <v>56</v>
      </c>
      <c r="H212" s="181" t="s">
        <v>457</v>
      </c>
      <c r="I212" s="181"/>
      <c r="J212" s="178">
        <v>450</v>
      </c>
      <c r="K212" s="182"/>
      <c r="L212" s="182" t="s">
        <v>58</v>
      </c>
      <c r="M212" s="178" t="s">
        <v>78</v>
      </c>
      <c r="N212" s="178">
        <v>0</v>
      </c>
      <c r="O212" s="178" t="s">
        <v>60</v>
      </c>
      <c r="P212" s="178" t="s">
        <v>79</v>
      </c>
      <c r="Q212" s="179"/>
      <c r="R212" s="179"/>
      <c r="S212" s="180">
        <v>180</v>
      </c>
      <c r="T212" s="179"/>
      <c r="U212" s="179"/>
      <c r="V212" s="167"/>
      <c r="W212" s="168"/>
      <c r="Y212" s="167"/>
      <c r="Z212" s="169" t="s">
        <v>63</v>
      </c>
      <c r="AA212" s="166">
        <v>3</v>
      </c>
      <c r="AB212" s="166"/>
      <c r="AC212" s="165"/>
      <c r="AD212" s="165"/>
      <c r="AE212" s="165"/>
      <c r="AF212" s="165"/>
      <c r="AG212" s="165"/>
      <c r="AH212" s="165"/>
      <c r="AI212" s="165"/>
      <c r="AJ212" s="165"/>
      <c r="AK212" s="166"/>
      <c r="AL212" s="166"/>
      <c r="AM212" s="166"/>
      <c r="AN212" s="166"/>
      <c r="AO212" s="166"/>
      <c r="AP212" s="166"/>
      <c r="AQ212" s="166"/>
      <c r="AR212" s="166"/>
      <c r="AS212" s="165"/>
      <c r="AT212" s="165"/>
      <c r="AU212" s="165"/>
      <c r="AV212" s="165"/>
      <c r="AW212" s="165"/>
      <c r="AX212" s="165"/>
      <c r="AY212" s="165"/>
      <c r="AZ212" s="165"/>
      <c r="BA212" s="166"/>
      <c r="BB212" s="166"/>
      <c r="BC212" s="166"/>
      <c r="BD212" s="166"/>
      <c r="BE212" s="166"/>
      <c r="BF212" s="166"/>
      <c r="BG212" s="166"/>
      <c r="BH212" s="166"/>
      <c r="BI212" s="165"/>
      <c r="BJ212" s="165"/>
      <c r="BK212" s="165"/>
      <c r="BL212" s="165"/>
      <c r="BM212" s="165"/>
      <c r="BN212" s="165"/>
      <c r="BO212" s="165"/>
      <c r="BP212" s="165"/>
      <c r="BQ212" s="166"/>
      <c r="BR212" s="165" t="s">
        <v>454</v>
      </c>
      <c r="BS212" s="124">
        <v>359</v>
      </c>
      <c r="BT212" s="174"/>
    </row>
    <row r="213" spans="1:72" ht="14.25" hidden="1" customHeight="1" x14ac:dyDescent="0.2">
      <c r="A213" s="92">
        <v>360</v>
      </c>
      <c r="B213" s="235" t="s">
        <v>450</v>
      </c>
      <c r="C213" s="236" t="s">
        <v>451</v>
      </c>
      <c r="D213" s="235" t="s">
        <v>456</v>
      </c>
      <c r="E213" s="125" t="s">
        <v>54</v>
      </c>
      <c r="F213" s="181" t="s">
        <v>71</v>
      </c>
      <c r="G213" s="181" t="s">
        <v>56</v>
      </c>
      <c r="H213" s="181" t="s">
        <v>457</v>
      </c>
      <c r="I213" s="181"/>
      <c r="J213" s="178">
        <v>600</v>
      </c>
      <c r="K213" s="182"/>
      <c r="L213" s="182" t="s">
        <v>58</v>
      </c>
      <c r="M213" s="178" t="s">
        <v>78</v>
      </c>
      <c r="N213" s="178">
        <v>0</v>
      </c>
      <c r="O213" s="178" t="s">
        <v>60</v>
      </c>
      <c r="P213" s="178" t="s">
        <v>79</v>
      </c>
      <c r="Q213" s="179"/>
      <c r="R213" s="179"/>
      <c r="S213" s="180">
        <v>180</v>
      </c>
      <c r="T213" s="179"/>
      <c r="U213" s="179"/>
      <c r="V213" s="167"/>
      <c r="W213" s="168"/>
      <c r="Y213" s="167"/>
      <c r="Z213" s="169" t="s">
        <v>63</v>
      </c>
      <c r="AA213" s="166">
        <v>6</v>
      </c>
      <c r="AB213" s="166"/>
      <c r="AC213" s="165"/>
      <c r="AD213" s="165"/>
      <c r="AE213" s="165"/>
      <c r="AF213" s="165"/>
      <c r="AG213" s="165"/>
      <c r="AH213" s="165"/>
      <c r="AI213" s="165"/>
      <c r="AJ213" s="165"/>
      <c r="AK213" s="166"/>
      <c r="AL213" s="166"/>
      <c r="AM213" s="166"/>
      <c r="AN213" s="166"/>
      <c r="AO213" s="166"/>
      <c r="AP213" s="166"/>
      <c r="AQ213" s="166"/>
      <c r="AR213" s="166"/>
      <c r="AS213" s="165"/>
      <c r="AT213" s="165"/>
      <c r="AU213" s="165"/>
      <c r="AV213" s="165"/>
      <c r="AW213" s="165"/>
      <c r="AX213" s="165"/>
      <c r="AY213" s="165"/>
      <c r="AZ213" s="165"/>
      <c r="BA213" s="166"/>
      <c r="BB213" s="166"/>
      <c r="BC213" s="166"/>
      <c r="BD213" s="166"/>
      <c r="BE213" s="166"/>
      <c r="BF213" s="166"/>
      <c r="BG213" s="166"/>
      <c r="BH213" s="166"/>
      <c r="BI213" s="165"/>
      <c r="BJ213" s="165"/>
      <c r="BK213" s="165"/>
      <c r="BL213" s="165"/>
      <c r="BM213" s="165"/>
      <c r="BN213" s="165"/>
      <c r="BO213" s="165"/>
      <c r="BP213" s="165"/>
      <c r="BQ213" s="166"/>
      <c r="BR213" s="165" t="s">
        <v>454</v>
      </c>
      <c r="BS213" s="124">
        <v>360</v>
      </c>
      <c r="BT213" s="174"/>
    </row>
    <row r="214" spans="1:72" ht="14.25" hidden="1" customHeight="1" x14ac:dyDescent="0.2">
      <c r="A214" s="92">
        <v>392</v>
      </c>
      <c r="B214" s="235" t="s">
        <v>458</v>
      </c>
      <c r="C214" s="236" t="s">
        <v>459</v>
      </c>
      <c r="D214" s="235" t="s">
        <v>460</v>
      </c>
      <c r="E214" s="125" t="s">
        <v>102</v>
      </c>
      <c r="F214" s="181" t="s">
        <v>103</v>
      </c>
      <c r="G214" s="181" t="s">
        <v>56</v>
      </c>
      <c r="H214" s="181" t="s">
        <v>461</v>
      </c>
      <c r="I214" s="181"/>
      <c r="J214" s="178">
        <v>2</v>
      </c>
      <c r="K214" s="182"/>
      <c r="L214" s="182" t="s">
        <v>58</v>
      </c>
      <c r="M214" s="178" t="s">
        <v>59</v>
      </c>
      <c r="N214" s="178">
        <v>648</v>
      </c>
      <c r="O214" s="178" t="s">
        <v>60</v>
      </c>
      <c r="P214" s="178"/>
      <c r="Q214" s="179"/>
      <c r="R214" s="179" t="s">
        <v>221</v>
      </c>
      <c r="S214" s="180"/>
      <c r="T214" s="179"/>
      <c r="U214" s="179" t="s">
        <v>462</v>
      </c>
      <c r="V214" s="167" t="s">
        <v>62</v>
      </c>
      <c r="W214" s="168"/>
      <c r="X214" s="106" t="s">
        <v>223</v>
      </c>
      <c r="Y214" s="167"/>
      <c r="Z214" s="169" t="s">
        <v>63</v>
      </c>
      <c r="AA214" s="166">
        <v>11</v>
      </c>
      <c r="AB214" s="166">
        <v>0</v>
      </c>
      <c r="AC214" s="165">
        <v>30</v>
      </c>
      <c r="AD214" s="165" t="s">
        <v>80</v>
      </c>
      <c r="AE214" s="165" t="s">
        <v>116</v>
      </c>
      <c r="AF214" s="165"/>
      <c r="AG214" s="165"/>
      <c r="AH214" s="165"/>
      <c r="AI214" s="165">
        <v>19</v>
      </c>
      <c r="AJ214" s="165">
        <v>48</v>
      </c>
      <c r="AK214" s="166"/>
      <c r="AL214" s="166"/>
      <c r="AM214" s="166"/>
      <c r="AN214" s="166"/>
      <c r="AO214" s="166"/>
      <c r="AP214" s="166"/>
      <c r="AQ214" s="166"/>
      <c r="AR214" s="166"/>
      <c r="AS214" s="165"/>
      <c r="AT214" s="165"/>
      <c r="AU214" s="165"/>
      <c r="AV214" s="165"/>
      <c r="AW214" s="165"/>
      <c r="AX214" s="165"/>
      <c r="AY214" s="165"/>
      <c r="AZ214" s="165"/>
      <c r="BA214" s="166">
        <v>26.9</v>
      </c>
      <c r="BB214" s="166" t="s">
        <v>224</v>
      </c>
      <c r="BC214" s="166" t="s">
        <v>116</v>
      </c>
      <c r="BD214" s="166"/>
      <c r="BE214" s="166"/>
      <c r="BF214" s="166"/>
      <c r="BG214" s="166">
        <v>22.1</v>
      </c>
      <c r="BH214" s="166">
        <v>31.1</v>
      </c>
      <c r="BI214" s="165"/>
      <c r="BJ214" s="165"/>
      <c r="BK214" s="165"/>
      <c r="BL214" s="165"/>
      <c r="BM214" s="165"/>
      <c r="BN214" s="165"/>
      <c r="BO214" s="165"/>
      <c r="BP214" s="165"/>
      <c r="BQ214" s="166"/>
      <c r="BR214" s="165"/>
      <c r="BS214" s="124">
        <v>392</v>
      </c>
      <c r="BT214" s="174"/>
    </row>
    <row r="215" spans="1:72" ht="14.25" hidden="1" customHeight="1" x14ac:dyDescent="0.2">
      <c r="A215" s="92">
        <v>393</v>
      </c>
      <c r="B215" s="235" t="s">
        <v>458</v>
      </c>
      <c r="C215" s="236" t="s">
        <v>459</v>
      </c>
      <c r="D215" s="235" t="s">
        <v>463</v>
      </c>
      <c r="E215" s="125" t="s">
        <v>102</v>
      </c>
      <c r="F215" s="181" t="s">
        <v>103</v>
      </c>
      <c r="G215" s="181" t="s">
        <v>56</v>
      </c>
      <c r="H215" s="181" t="s">
        <v>461</v>
      </c>
      <c r="I215" s="181"/>
      <c r="J215" s="178">
        <v>2</v>
      </c>
      <c r="K215" s="182"/>
      <c r="L215" s="182" t="s">
        <v>58</v>
      </c>
      <c r="M215" s="178" t="s">
        <v>59</v>
      </c>
      <c r="N215" s="178">
        <v>616</v>
      </c>
      <c r="O215" s="178" t="s">
        <v>60</v>
      </c>
      <c r="P215" s="178"/>
      <c r="Q215" s="179"/>
      <c r="R215" s="179" t="s">
        <v>221</v>
      </c>
      <c r="S215" s="180"/>
      <c r="T215" s="179"/>
      <c r="U215" s="179" t="s">
        <v>462</v>
      </c>
      <c r="V215" s="167" t="s">
        <v>62</v>
      </c>
      <c r="W215" s="168"/>
      <c r="X215" s="106" t="s">
        <v>223</v>
      </c>
      <c r="Y215" s="167"/>
      <c r="Z215" s="169" t="s">
        <v>63</v>
      </c>
      <c r="AA215" s="166">
        <v>11</v>
      </c>
      <c r="AB215" s="166">
        <v>0</v>
      </c>
      <c r="AC215" s="165">
        <v>30</v>
      </c>
      <c r="AD215" s="165" t="s">
        <v>80</v>
      </c>
      <c r="AE215" s="165" t="s">
        <v>116</v>
      </c>
      <c r="AF215" s="165"/>
      <c r="AG215" s="165"/>
      <c r="AH215" s="165"/>
      <c r="AI215" s="165">
        <v>19</v>
      </c>
      <c r="AJ215" s="165">
        <v>48</v>
      </c>
      <c r="AK215" s="166"/>
      <c r="AL215" s="166"/>
      <c r="AM215" s="166"/>
      <c r="AN215" s="166"/>
      <c r="AO215" s="166"/>
      <c r="AP215" s="166"/>
      <c r="AQ215" s="166"/>
      <c r="AR215" s="166"/>
      <c r="AS215" s="165"/>
      <c r="AT215" s="165"/>
      <c r="AU215" s="165"/>
      <c r="AV215" s="165"/>
      <c r="AW215" s="165"/>
      <c r="AX215" s="165"/>
      <c r="AY215" s="165"/>
      <c r="AZ215" s="165"/>
      <c r="BA215" s="166">
        <v>26.9</v>
      </c>
      <c r="BB215" s="166" t="s">
        <v>224</v>
      </c>
      <c r="BC215" s="166" t="s">
        <v>116</v>
      </c>
      <c r="BD215" s="166"/>
      <c r="BE215" s="166"/>
      <c r="BF215" s="166"/>
      <c r="BG215" s="166">
        <v>22.1</v>
      </c>
      <c r="BH215" s="166">
        <v>31.1</v>
      </c>
      <c r="BI215" s="165"/>
      <c r="BJ215" s="165"/>
      <c r="BK215" s="165"/>
      <c r="BL215" s="165"/>
      <c r="BM215" s="165"/>
      <c r="BN215" s="165"/>
      <c r="BO215" s="165"/>
      <c r="BP215" s="165"/>
      <c r="BQ215" s="166"/>
      <c r="BR215" s="165"/>
      <c r="BS215" s="124">
        <v>393</v>
      </c>
      <c r="BT215" s="174"/>
    </row>
    <row r="216" spans="1:72" ht="14.25" hidden="1" customHeight="1" x14ac:dyDescent="0.2">
      <c r="A216" s="92">
        <v>394</v>
      </c>
      <c r="B216" s="235" t="s">
        <v>458</v>
      </c>
      <c r="C216" s="236" t="s">
        <v>459</v>
      </c>
      <c r="D216" s="235" t="s">
        <v>464</v>
      </c>
      <c r="E216" s="125" t="s">
        <v>102</v>
      </c>
      <c r="F216" s="181" t="s">
        <v>103</v>
      </c>
      <c r="G216" s="181" t="s">
        <v>56</v>
      </c>
      <c r="H216" s="181" t="s">
        <v>461</v>
      </c>
      <c r="I216" s="181"/>
      <c r="J216" s="178">
        <v>2</v>
      </c>
      <c r="K216" s="182"/>
      <c r="L216" s="182" t="s">
        <v>58</v>
      </c>
      <c r="M216" s="178" t="s">
        <v>59</v>
      </c>
      <c r="N216" s="178">
        <v>984</v>
      </c>
      <c r="O216" s="178" t="s">
        <v>60</v>
      </c>
      <c r="P216" s="178"/>
      <c r="Q216" s="179"/>
      <c r="R216" s="179" t="s">
        <v>221</v>
      </c>
      <c r="S216" s="180"/>
      <c r="T216" s="179"/>
      <c r="U216" s="179" t="s">
        <v>462</v>
      </c>
      <c r="V216" s="167" t="s">
        <v>62</v>
      </c>
      <c r="W216" s="168"/>
      <c r="X216" s="106" t="s">
        <v>223</v>
      </c>
      <c r="Y216" s="167"/>
      <c r="Z216" s="169" t="s">
        <v>63</v>
      </c>
      <c r="AA216" s="166">
        <v>11</v>
      </c>
      <c r="AB216" s="166">
        <v>0</v>
      </c>
      <c r="AC216" s="165">
        <v>30</v>
      </c>
      <c r="AD216" s="165" t="s">
        <v>80</v>
      </c>
      <c r="AE216" s="165" t="s">
        <v>116</v>
      </c>
      <c r="AF216" s="165"/>
      <c r="AG216" s="165"/>
      <c r="AH216" s="165"/>
      <c r="AI216" s="165">
        <v>19</v>
      </c>
      <c r="AJ216" s="165">
        <v>48</v>
      </c>
      <c r="AK216" s="166"/>
      <c r="AL216" s="166"/>
      <c r="AM216" s="166"/>
      <c r="AN216" s="166"/>
      <c r="AO216" s="166"/>
      <c r="AP216" s="166"/>
      <c r="AQ216" s="166"/>
      <c r="AR216" s="166"/>
      <c r="AS216" s="165"/>
      <c r="AT216" s="165"/>
      <c r="AU216" s="165"/>
      <c r="AV216" s="165"/>
      <c r="AW216" s="165"/>
      <c r="AX216" s="165"/>
      <c r="AY216" s="165"/>
      <c r="AZ216" s="165"/>
      <c r="BA216" s="166">
        <v>26.9</v>
      </c>
      <c r="BB216" s="166" t="s">
        <v>224</v>
      </c>
      <c r="BC216" s="166" t="s">
        <v>116</v>
      </c>
      <c r="BD216" s="166"/>
      <c r="BE216" s="166"/>
      <c r="BF216" s="166"/>
      <c r="BG216" s="166">
        <v>22.1</v>
      </c>
      <c r="BH216" s="166">
        <v>31.1</v>
      </c>
      <c r="BI216" s="165"/>
      <c r="BJ216" s="165"/>
      <c r="BK216" s="165"/>
      <c r="BL216" s="165"/>
      <c r="BM216" s="165"/>
      <c r="BN216" s="165"/>
      <c r="BO216" s="165"/>
      <c r="BP216" s="165"/>
      <c r="BQ216" s="166"/>
      <c r="BR216" s="165"/>
      <c r="BS216" s="124">
        <v>394</v>
      </c>
      <c r="BT216" s="174"/>
    </row>
    <row r="217" spans="1:72" ht="14.25" hidden="1" customHeight="1" x14ac:dyDescent="0.2">
      <c r="A217" s="92">
        <v>395</v>
      </c>
      <c r="B217" s="235" t="s">
        <v>458</v>
      </c>
      <c r="C217" s="236" t="s">
        <v>459</v>
      </c>
      <c r="D217" s="235" t="s">
        <v>465</v>
      </c>
      <c r="E217" s="125" t="s">
        <v>102</v>
      </c>
      <c r="F217" s="181" t="s">
        <v>103</v>
      </c>
      <c r="G217" s="181" t="s">
        <v>56</v>
      </c>
      <c r="H217" s="181" t="s">
        <v>461</v>
      </c>
      <c r="I217" s="181"/>
      <c r="J217" s="178">
        <v>2</v>
      </c>
      <c r="K217" s="182"/>
      <c r="L217" s="182" t="s">
        <v>58</v>
      </c>
      <c r="M217" s="178" t="s">
        <v>59</v>
      </c>
      <c r="N217" s="178">
        <v>1320</v>
      </c>
      <c r="O217" s="178" t="s">
        <v>60</v>
      </c>
      <c r="P217" s="178"/>
      <c r="Q217" s="179"/>
      <c r="R217" s="179" t="s">
        <v>221</v>
      </c>
      <c r="S217" s="180"/>
      <c r="T217" s="179"/>
      <c r="U217" s="179" t="s">
        <v>462</v>
      </c>
      <c r="V217" s="167" t="s">
        <v>62</v>
      </c>
      <c r="W217" s="168"/>
      <c r="X217" s="106" t="s">
        <v>223</v>
      </c>
      <c r="Y217" s="167"/>
      <c r="Z217" s="169" t="s">
        <v>63</v>
      </c>
      <c r="AA217" s="166">
        <v>11</v>
      </c>
      <c r="AB217" s="166">
        <v>0</v>
      </c>
      <c r="AC217" s="165">
        <v>30</v>
      </c>
      <c r="AD217" s="165" t="s">
        <v>80</v>
      </c>
      <c r="AE217" s="165" t="s">
        <v>116</v>
      </c>
      <c r="AF217" s="165"/>
      <c r="AG217" s="165"/>
      <c r="AH217" s="165"/>
      <c r="AI217" s="165">
        <v>19</v>
      </c>
      <c r="AJ217" s="165">
        <v>48</v>
      </c>
      <c r="AK217" s="166"/>
      <c r="AL217" s="166"/>
      <c r="AM217" s="166"/>
      <c r="AN217" s="166"/>
      <c r="AO217" s="166"/>
      <c r="AP217" s="166"/>
      <c r="AQ217" s="166"/>
      <c r="AR217" s="166"/>
      <c r="AS217" s="165"/>
      <c r="AT217" s="165"/>
      <c r="AU217" s="165"/>
      <c r="AV217" s="165"/>
      <c r="AW217" s="165"/>
      <c r="AX217" s="165"/>
      <c r="AY217" s="165"/>
      <c r="AZ217" s="165"/>
      <c r="BA217" s="166">
        <v>26.9</v>
      </c>
      <c r="BB217" s="166" t="s">
        <v>224</v>
      </c>
      <c r="BC217" s="166" t="s">
        <v>116</v>
      </c>
      <c r="BD217" s="166"/>
      <c r="BE217" s="166"/>
      <c r="BF217" s="166"/>
      <c r="BG217" s="166">
        <v>22.1</v>
      </c>
      <c r="BH217" s="166">
        <v>31.1</v>
      </c>
      <c r="BI217" s="165"/>
      <c r="BJ217" s="165"/>
      <c r="BK217" s="165"/>
      <c r="BL217" s="165"/>
      <c r="BM217" s="165"/>
      <c r="BN217" s="165"/>
      <c r="BO217" s="165"/>
      <c r="BP217" s="165"/>
      <c r="BQ217" s="166"/>
      <c r="BR217" s="165"/>
      <c r="BS217" s="124">
        <v>395</v>
      </c>
      <c r="BT217" s="174"/>
    </row>
    <row r="218" spans="1:72" ht="14.25" hidden="1" customHeight="1" x14ac:dyDescent="0.2">
      <c r="A218" s="92">
        <v>396</v>
      </c>
      <c r="B218" s="235" t="s">
        <v>458</v>
      </c>
      <c r="C218" s="236" t="s">
        <v>459</v>
      </c>
      <c r="D218" s="235" t="s">
        <v>460</v>
      </c>
      <c r="E218" s="125" t="s">
        <v>466</v>
      </c>
      <c r="F218" s="181" t="s">
        <v>103</v>
      </c>
      <c r="G218" s="181" t="s">
        <v>56</v>
      </c>
      <c r="H218" s="181" t="s">
        <v>467</v>
      </c>
      <c r="I218" s="181"/>
      <c r="J218" s="178">
        <v>0.5</v>
      </c>
      <c r="K218" s="182"/>
      <c r="L218" s="182" t="s">
        <v>58</v>
      </c>
      <c r="M218" s="178" t="s">
        <v>59</v>
      </c>
      <c r="N218" s="178">
        <v>649</v>
      </c>
      <c r="O218" s="178" t="s">
        <v>60</v>
      </c>
      <c r="P218" s="178"/>
      <c r="Q218" s="179"/>
      <c r="R218" s="179" t="s">
        <v>468</v>
      </c>
      <c r="S218" s="180"/>
      <c r="T218" s="179"/>
      <c r="U218" s="179" t="s">
        <v>469</v>
      </c>
      <c r="V218" s="167" t="s">
        <v>62</v>
      </c>
      <c r="W218" s="168"/>
      <c r="X218" s="106" t="s">
        <v>470</v>
      </c>
      <c r="Y218" s="167"/>
      <c r="Z218" s="169" t="s">
        <v>63</v>
      </c>
      <c r="AA218" s="166">
        <v>11</v>
      </c>
      <c r="AB218" s="166">
        <v>0</v>
      </c>
      <c r="AC218" s="165">
        <v>30</v>
      </c>
      <c r="AD218" s="165" t="s">
        <v>80</v>
      </c>
      <c r="AE218" s="165" t="s">
        <v>116</v>
      </c>
      <c r="AF218" s="165"/>
      <c r="AG218" s="165"/>
      <c r="AH218" s="165"/>
      <c r="AI218" s="165">
        <v>19</v>
      </c>
      <c r="AJ218" s="165">
        <v>48</v>
      </c>
      <c r="AK218" s="166"/>
      <c r="AL218" s="166"/>
      <c r="AM218" s="166"/>
      <c r="AN218" s="166"/>
      <c r="AO218" s="166"/>
      <c r="AP218" s="166"/>
      <c r="AQ218" s="166"/>
      <c r="AR218" s="166"/>
      <c r="AS218" s="165"/>
      <c r="AT218" s="165"/>
      <c r="AU218" s="165"/>
      <c r="AV218" s="165"/>
      <c r="AW218" s="165"/>
      <c r="AX218" s="165"/>
      <c r="AY218" s="165"/>
      <c r="AZ218" s="165"/>
      <c r="BA218" s="166">
        <v>26.9</v>
      </c>
      <c r="BB218" s="166" t="s">
        <v>224</v>
      </c>
      <c r="BC218" s="166" t="s">
        <v>116</v>
      </c>
      <c r="BD218" s="166"/>
      <c r="BE218" s="166"/>
      <c r="BF218" s="166"/>
      <c r="BG218" s="166">
        <v>22.1</v>
      </c>
      <c r="BH218" s="166">
        <v>31.1</v>
      </c>
      <c r="BI218" s="165"/>
      <c r="BJ218" s="165"/>
      <c r="BK218" s="165"/>
      <c r="BL218" s="165"/>
      <c r="BM218" s="165"/>
      <c r="BN218" s="165"/>
      <c r="BO218" s="165"/>
      <c r="BP218" s="165"/>
      <c r="BQ218" s="166"/>
      <c r="BR218" s="165"/>
      <c r="BS218" s="124">
        <v>396</v>
      </c>
      <c r="BT218" s="174"/>
    </row>
    <row r="219" spans="1:72" ht="14.25" hidden="1" customHeight="1" x14ac:dyDescent="0.2">
      <c r="A219" s="92">
        <v>397</v>
      </c>
      <c r="B219" s="235" t="s">
        <v>458</v>
      </c>
      <c r="C219" s="236" t="s">
        <v>459</v>
      </c>
      <c r="D219" s="235" t="s">
        <v>463</v>
      </c>
      <c r="E219" s="125" t="s">
        <v>466</v>
      </c>
      <c r="F219" s="181" t="s">
        <v>103</v>
      </c>
      <c r="G219" s="181" t="s">
        <v>56</v>
      </c>
      <c r="H219" s="181" t="s">
        <v>467</v>
      </c>
      <c r="I219" s="181"/>
      <c r="J219" s="178">
        <v>0.5</v>
      </c>
      <c r="K219" s="182"/>
      <c r="L219" s="182" t="s">
        <v>58</v>
      </c>
      <c r="M219" s="178" t="s">
        <v>59</v>
      </c>
      <c r="N219" s="178">
        <v>817</v>
      </c>
      <c r="O219" s="178" t="s">
        <v>60</v>
      </c>
      <c r="P219" s="178"/>
      <c r="Q219" s="179"/>
      <c r="R219" s="179" t="s">
        <v>468</v>
      </c>
      <c r="S219" s="180"/>
      <c r="T219" s="179"/>
      <c r="U219" s="179" t="s">
        <v>469</v>
      </c>
      <c r="V219" s="167" t="s">
        <v>62</v>
      </c>
      <c r="W219" s="168"/>
      <c r="X219" s="106" t="s">
        <v>470</v>
      </c>
      <c r="Y219" s="167"/>
      <c r="Z219" s="169" t="s">
        <v>63</v>
      </c>
      <c r="AA219" s="166">
        <v>11</v>
      </c>
      <c r="AB219" s="166">
        <v>0</v>
      </c>
      <c r="AC219" s="165">
        <v>30</v>
      </c>
      <c r="AD219" s="165" t="s">
        <v>80</v>
      </c>
      <c r="AE219" s="165" t="s">
        <v>116</v>
      </c>
      <c r="AF219" s="165"/>
      <c r="AG219" s="165"/>
      <c r="AH219" s="165"/>
      <c r="AI219" s="165">
        <v>19</v>
      </c>
      <c r="AJ219" s="165">
        <v>48</v>
      </c>
      <c r="AK219" s="166"/>
      <c r="AL219" s="166"/>
      <c r="AM219" s="166"/>
      <c r="AN219" s="166"/>
      <c r="AO219" s="166"/>
      <c r="AP219" s="166"/>
      <c r="AQ219" s="166"/>
      <c r="AR219" s="166"/>
      <c r="AS219" s="165"/>
      <c r="AT219" s="165"/>
      <c r="AU219" s="165"/>
      <c r="AV219" s="165"/>
      <c r="AW219" s="165"/>
      <c r="AX219" s="165"/>
      <c r="AY219" s="165"/>
      <c r="AZ219" s="165"/>
      <c r="BA219" s="166">
        <v>26.9</v>
      </c>
      <c r="BB219" s="166" t="s">
        <v>224</v>
      </c>
      <c r="BC219" s="166" t="s">
        <v>116</v>
      </c>
      <c r="BD219" s="166"/>
      <c r="BE219" s="166"/>
      <c r="BF219" s="166"/>
      <c r="BG219" s="166">
        <v>22.1</v>
      </c>
      <c r="BH219" s="166">
        <v>31.1</v>
      </c>
      <c r="BI219" s="165"/>
      <c r="BJ219" s="165"/>
      <c r="BK219" s="165"/>
      <c r="BL219" s="165"/>
      <c r="BM219" s="165"/>
      <c r="BN219" s="165"/>
      <c r="BO219" s="165"/>
      <c r="BP219" s="165"/>
      <c r="BQ219" s="166"/>
      <c r="BR219" s="165"/>
      <c r="BS219" s="124">
        <v>397</v>
      </c>
      <c r="BT219" s="174"/>
    </row>
    <row r="220" spans="1:72" ht="14.25" hidden="1" customHeight="1" x14ac:dyDescent="0.2">
      <c r="A220" s="92">
        <v>398</v>
      </c>
      <c r="B220" s="235" t="s">
        <v>458</v>
      </c>
      <c r="C220" s="236" t="s">
        <v>459</v>
      </c>
      <c r="D220" s="235" t="s">
        <v>464</v>
      </c>
      <c r="E220" s="125" t="s">
        <v>466</v>
      </c>
      <c r="F220" s="181" t="s">
        <v>103</v>
      </c>
      <c r="G220" s="181" t="s">
        <v>56</v>
      </c>
      <c r="H220" s="181" t="s">
        <v>467</v>
      </c>
      <c r="I220" s="181"/>
      <c r="J220" s="178">
        <v>0.5</v>
      </c>
      <c r="K220" s="182"/>
      <c r="L220" s="182" t="s">
        <v>58</v>
      </c>
      <c r="M220" s="178" t="s">
        <v>59</v>
      </c>
      <c r="N220" s="178">
        <v>985</v>
      </c>
      <c r="O220" s="178" t="s">
        <v>60</v>
      </c>
      <c r="P220" s="178"/>
      <c r="Q220" s="179"/>
      <c r="R220" s="179" t="s">
        <v>468</v>
      </c>
      <c r="S220" s="180"/>
      <c r="T220" s="179"/>
      <c r="U220" s="179" t="s">
        <v>469</v>
      </c>
      <c r="V220" s="167" t="s">
        <v>62</v>
      </c>
      <c r="W220" s="168"/>
      <c r="X220" s="106" t="s">
        <v>470</v>
      </c>
      <c r="Y220" s="167"/>
      <c r="Z220" s="169" t="s">
        <v>63</v>
      </c>
      <c r="AA220" s="166">
        <v>11</v>
      </c>
      <c r="AB220" s="166">
        <v>0</v>
      </c>
      <c r="AC220" s="165">
        <v>30</v>
      </c>
      <c r="AD220" s="165" t="s">
        <v>80</v>
      </c>
      <c r="AE220" s="165" t="s">
        <v>116</v>
      </c>
      <c r="AF220" s="165"/>
      <c r="AG220" s="165"/>
      <c r="AH220" s="165"/>
      <c r="AI220" s="165">
        <v>19</v>
      </c>
      <c r="AJ220" s="165">
        <v>48</v>
      </c>
      <c r="AK220" s="166"/>
      <c r="AL220" s="166"/>
      <c r="AM220" s="166"/>
      <c r="AN220" s="166"/>
      <c r="AO220" s="166"/>
      <c r="AP220" s="166"/>
      <c r="AQ220" s="166"/>
      <c r="AR220" s="166"/>
      <c r="AS220" s="165"/>
      <c r="AT220" s="165"/>
      <c r="AU220" s="165"/>
      <c r="AV220" s="165"/>
      <c r="AW220" s="165"/>
      <c r="AX220" s="165"/>
      <c r="AY220" s="165"/>
      <c r="AZ220" s="165"/>
      <c r="BA220" s="166">
        <v>26.9</v>
      </c>
      <c r="BB220" s="166" t="s">
        <v>224</v>
      </c>
      <c r="BC220" s="166" t="s">
        <v>116</v>
      </c>
      <c r="BD220" s="166"/>
      <c r="BE220" s="166"/>
      <c r="BF220" s="166"/>
      <c r="BG220" s="166">
        <v>22.1</v>
      </c>
      <c r="BH220" s="166">
        <v>31.1</v>
      </c>
      <c r="BI220" s="165"/>
      <c r="BJ220" s="165"/>
      <c r="BK220" s="165"/>
      <c r="BL220" s="165"/>
      <c r="BM220" s="165"/>
      <c r="BN220" s="165"/>
      <c r="BO220" s="165"/>
      <c r="BP220" s="165"/>
      <c r="BQ220" s="166"/>
      <c r="BR220" s="165"/>
      <c r="BS220" s="124">
        <v>398</v>
      </c>
      <c r="BT220" s="174"/>
    </row>
    <row r="221" spans="1:72" ht="14.25" hidden="1" customHeight="1" x14ac:dyDescent="0.2">
      <c r="A221" s="92">
        <v>399</v>
      </c>
      <c r="B221" s="235" t="s">
        <v>458</v>
      </c>
      <c r="C221" s="236" t="s">
        <v>459</v>
      </c>
      <c r="D221" s="235" t="s">
        <v>465</v>
      </c>
      <c r="E221" s="125" t="s">
        <v>466</v>
      </c>
      <c r="F221" s="181" t="s">
        <v>103</v>
      </c>
      <c r="G221" s="181" t="s">
        <v>56</v>
      </c>
      <c r="H221" s="181" t="s">
        <v>467</v>
      </c>
      <c r="I221" s="181"/>
      <c r="J221" s="178">
        <v>0.5</v>
      </c>
      <c r="K221" s="182"/>
      <c r="L221" s="182" t="s">
        <v>58</v>
      </c>
      <c r="M221" s="178" t="s">
        <v>59</v>
      </c>
      <c r="N221" s="178">
        <v>1321</v>
      </c>
      <c r="O221" s="178" t="s">
        <v>60</v>
      </c>
      <c r="P221" s="178"/>
      <c r="Q221" s="179"/>
      <c r="R221" s="179" t="s">
        <v>468</v>
      </c>
      <c r="S221" s="180"/>
      <c r="T221" s="179"/>
      <c r="U221" s="179" t="s">
        <v>469</v>
      </c>
      <c r="V221" s="167" t="s">
        <v>62</v>
      </c>
      <c r="W221" s="168"/>
      <c r="X221" s="106" t="s">
        <v>470</v>
      </c>
      <c r="Y221" s="167"/>
      <c r="Z221" s="169" t="s">
        <v>63</v>
      </c>
      <c r="AA221" s="166">
        <v>11</v>
      </c>
      <c r="AB221" s="166">
        <v>0</v>
      </c>
      <c r="AC221" s="165">
        <v>30</v>
      </c>
      <c r="AD221" s="165" t="s">
        <v>80</v>
      </c>
      <c r="AE221" s="165" t="s">
        <v>116</v>
      </c>
      <c r="AF221" s="165"/>
      <c r="AG221" s="165"/>
      <c r="AH221" s="165"/>
      <c r="AI221" s="165">
        <v>19</v>
      </c>
      <c r="AJ221" s="165">
        <v>48</v>
      </c>
      <c r="AK221" s="166"/>
      <c r="AL221" s="166"/>
      <c r="AM221" s="166"/>
      <c r="AN221" s="166"/>
      <c r="AO221" s="166"/>
      <c r="AP221" s="166"/>
      <c r="AQ221" s="166"/>
      <c r="AR221" s="166"/>
      <c r="AS221" s="165"/>
      <c r="AT221" s="165"/>
      <c r="AU221" s="165"/>
      <c r="AV221" s="165"/>
      <c r="AW221" s="165"/>
      <c r="AX221" s="165"/>
      <c r="AY221" s="165"/>
      <c r="AZ221" s="165"/>
      <c r="BA221" s="166">
        <v>26.9</v>
      </c>
      <c r="BB221" s="166" t="s">
        <v>224</v>
      </c>
      <c r="BC221" s="166" t="s">
        <v>116</v>
      </c>
      <c r="BD221" s="166"/>
      <c r="BE221" s="166"/>
      <c r="BF221" s="166"/>
      <c r="BG221" s="166">
        <v>22.1</v>
      </c>
      <c r="BH221" s="166">
        <v>31.1</v>
      </c>
      <c r="BI221" s="165"/>
      <c r="BJ221" s="165"/>
      <c r="BK221" s="165"/>
      <c r="BL221" s="165"/>
      <c r="BM221" s="165"/>
      <c r="BN221" s="165"/>
      <c r="BO221" s="165"/>
      <c r="BP221" s="165"/>
      <c r="BQ221" s="166"/>
      <c r="BR221" s="165"/>
      <c r="BS221" s="124">
        <v>399</v>
      </c>
      <c r="BT221" s="174"/>
    </row>
    <row r="222" spans="1:72" ht="14.25" hidden="1" customHeight="1" x14ac:dyDescent="0.2">
      <c r="A222" s="92">
        <v>406</v>
      </c>
      <c r="B222" s="235" t="s">
        <v>471</v>
      </c>
      <c r="C222" s="236" t="s">
        <v>472</v>
      </c>
      <c r="D222" s="235" t="s">
        <v>452</v>
      </c>
      <c r="E222" s="125" t="s">
        <v>54</v>
      </c>
      <c r="F222" s="181" t="s">
        <v>103</v>
      </c>
      <c r="G222" s="181" t="s">
        <v>56</v>
      </c>
      <c r="H222" s="181" t="s">
        <v>473</v>
      </c>
      <c r="I222" s="181"/>
      <c r="J222" s="178">
        <v>300</v>
      </c>
      <c r="K222" s="182"/>
      <c r="L222" s="182" t="s">
        <v>58</v>
      </c>
      <c r="M222" s="178" t="s">
        <v>78</v>
      </c>
      <c r="N222" s="178">
        <v>0</v>
      </c>
      <c r="O222" s="178" t="s">
        <v>60</v>
      </c>
      <c r="P222" s="178" t="s">
        <v>79</v>
      </c>
      <c r="Q222" s="179"/>
      <c r="R222" s="179" t="s">
        <v>474</v>
      </c>
      <c r="S222" s="180">
        <v>30</v>
      </c>
      <c r="T222" s="179"/>
      <c r="U222" s="179"/>
      <c r="V222" s="167"/>
      <c r="W222" s="168"/>
      <c r="Y222" s="167"/>
      <c r="Z222" s="169" t="s">
        <v>63</v>
      </c>
      <c r="AA222" s="166">
        <v>12</v>
      </c>
      <c r="AB222" s="166">
        <v>0</v>
      </c>
      <c r="AC222" s="165"/>
      <c r="AD222" s="165"/>
      <c r="AE222" s="165"/>
      <c r="AF222" s="165"/>
      <c r="AG222" s="165"/>
      <c r="AH222" s="165"/>
      <c r="AI222" s="165"/>
      <c r="AJ222" s="165"/>
      <c r="AK222" s="166"/>
      <c r="AL222" s="166"/>
      <c r="AM222" s="166"/>
      <c r="AN222" s="166"/>
      <c r="AO222" s="166"/>
      <c r="AP222" s="166"/>
      <c r="AQ222" s="166"/>
      <c r="AR222" s="166"/>
      <c r="AS222" s="165"/>
      <c r="AT222" s="165"/>
      <c r="AU222" s="165"/>
      <c r="AV222" s="165"/>
      <c r="AW222" s="165"/>
      <c r="AX222" s="165"/>
      <c r="AY222" s="165"/>
      <c r="AZ222" s="165"/>
      <c r="BA222" s="166"/>
      <c r="BB222" s="166"/>
      <c r="BC222" s="166"/>
      <c r="BD222" s="166"/>
      <c r="BE222" s="166"/>
      <c r="BF222" s="166"/>
      <c r="BG222" s="166"/>
      <c r="BH222" s="166"/>
      <c r="BI222" s="165"/>
      <c r="BJ222" s="165"/>
      <c r="BK222" s="165"/>
      <c r="BL222" s="165"/>
      <c r="BM222" s="165"/>
      <c r="BN222" s="165"/>
      <c r="BO222" s="165"/>
      <c r="BP222" s="165"/>
      <c r="BQ222" s="166"/>
      <c r="BR222" s="165"/>
      <c r="BS222" s="124">
        <v>406</v>
      </c>
      <c r="BT222" s="174"/>
    </row>
    <row r="223" spans="1:72" ht="14.25" hidden="1" customHeight="1" x14ac:dyDescent="0.2">
      <c r="A223" s="92">
        <v>407</v>
      </c>
      <c r="B223" s="235" t="s">
        <v>471</v>
      </c>
      <c r="C223" s="236" t="s">
        <v>472</v>
      </c>
      <c r="D223" s="235" t="s">
        <v>456</v>
      </c>
      <c r="E223" s="125" t="s">
        <v>54</v>
      </c>
      <c r="F223" s="181" t="s">
        <v>103</v>
      </c>
      <c r="G223" s="181" t="s">
        <v>56</v>
      </c>
      <c r="H223" s="181" t="s">
        <v>473</v>
      </c>
      <c r="I223" s="181"/>
      <c r="J223" s="178">
        <v>600</v>
      </c>
      <c r="K223" s="182"/>
      <c r="L223" s="182" t="s">
        <v>58</v>
      </c>
      <c r="M223" s="178" t="s">
        <v>78</v>
      </c>
      <c r="N223" s="178">
        <v>0</v>
      </c>
      <c r="O223" s="178" t="s">
        <v>60</v>
      </c>
      <c r="P223" s="178" t="s">
        <v>79</v>
      </c>
      <c r="Q223" s="179"/>
      <c r="R223" s="179" t="s">
        <v>474</v>
      </c>
      <c r="S223" s="180">
        <v>30</v>
      </c>
      <c r="T223" s="179"/>
      <c r="U223" s="179"/>
      <c r="V223" s="167"/>
      <c r="W223" s="168"/>
      <c r="Y223" s="167"/>
      <c r="Z223" s="169" t="s">
        <v>63</v>
      </c>
      <c r="AA223" s="166">
        <v>12</v>
      </c>
      <c r="AB223" s="166">
        <v>0</v>
      </c>
      <c r="AC223" s="165"/>
      <c r="AD223" s="165"/>
      <c r="AE223" s="165"/>
      <c r="AF223" s="165"/>
      <c r="AG223" s="165"/>
      <c r="AH223" s="165"/>
      <c r="AI223" s="165"/>
      <c r="AJ223" s="165"/>
      <c r="AK223" s="166"/>
      <c r="AL223" s="166"/>
      <c r="AM223" s="166"/>
      <c r="AN223" s="166"/>
      <c r="AO223" s="166"/>
      <c r="AP223" s="166"/>
      <c r="AQ223" s="166"/>
      <c r="AR223" s="166"/>
      <c r="AS223" s="165"/>
      <c r="AT223" s="165"/>
      <c r="AU223" s="165"/>
      <c r="AV223" s="165"/>
      <c r="AW223" s="165"/>
      <c r="AX223" s="165"/>
      <c r="AY223" s="165"/>
      <c r="AZ223" s="165"/>
      <c r="BA223" s="166"/>
      <c r="BB223" s="166"/>
      <c r="BC223" s="166"/>
      <c r="BD223" s="166"/>
      <c r="BE223" s="166"/>
      <c r="BF223" s="166"/>
      <c r="BG223" s="166"/>
      <c r="BH223" s="166"/>
      <c r="BI223" s="165"/>
      <c r="BJ223" s="165"/>
      <c r="BK223" s="165"/>
      <c r="BL223" s="165"/>
      <c r="BM223" s="165"/>
      <c r="BN223" s="165"/>
      <c r="BO223" s="165"/>
      <c r="BP223" s="165"/>
      <c r="BQ223" s="166"/>
      <c r="BR223" s="165"/>
      <c r="BS223" s="124">
        <v>407</v>
      </c>
      <c r="BT223" s="174"/>
    </row>
    <row r="224" spans="1:72" ht="14.25" hidden="1" customHeight="1" x14ac:dyDescent="0.2">
      <c r="A224" s="92">
        <v>408</v>
      </c>
      <c r="B224" s="235" t="s">
        <v>475</v>
      </c>
      <c r="C224" s="236" t="s">
        <v>476</v>
      </c>
      <c r="D224" s="235" t="s">
        <v>477</v>
      </c>
      <c r="E224" s="125" t="s">
        <v>203</v>
      </c>
      <c r="F224" s="181" t="s">
        <v>103</v>
      </c>
      <c r="G224" s="181" t="s">
        <v>76</v>
      </c>
      <c r="H224" s="181" t="s">
        <v>478</v>
      </c>
      <c r="I224" s="181"/>
      <c r="J224" s="178">
        <v>15</v>
      </c>
      <c r="K224" s="182"/>
      <c r="L224" s="182" t="s">
        <v>107</v>
      </c>
      <c r="M224" s="178" t="s">
        <v>78</v>
      </c>
      <c r="N224" s="178">
        <v>0</v>
      </c>
      <c r="O224" s="178" t="s">
        <v>60</v>
      </c>
      <c r="P224" s="178" t="s">
        <v>206</v>
      </c>
      <c r="Q224" s="179"/>
      <c r="R224" s="179"/>
      <c r="S224" s="180">
        <v>30</v>
      </c>
      <c r="T224" s="179"/>
      <c r="U224" s="179"/>
      <c r="V224" s="167"/>
      <c r="W224" s="168"/>
      <c r="Y224" s="167"/>
      <c r="Z224" s="82" t="s">
        <v>63</v>
      </c>
      <c r="AA224" s="166">
        <v>7</v>
      </c>
      <c r="AB224" s="166"/>
      <c r="AC224" s="165">
        <v>7.1232999999999999E-3</v>
      </c>
      <c r="AD224" s="165" t="s">
        <v>80</v>
      </c>
      <c r="AE224" s="165" t="s">
        <v>116</v>
      </c>
      <c r="AF224" s="165"/>
      <c r="AG224" s="165"/>
      <c r="AH224" s="165"/>
      <c r="AI224" s="165"/>
      <c r="AJ224" s="165"/>
      <c r="AK224" s="166">
        <v>3.07</v>
      </c>
      <c r="AL224" s="166" t="s">
        <v>81</v>
      </c>
      <c r="AM224" s="166" t="s">
        <v>118</v>
      </c>
      <c r="AN224" s="166"/>
      <c r="AO224" s="166"/>
      <c r="AP224" s="166"/>
      <c r="AQ224" s="166"/>
      <c r="AR224" s="166"/>
      <c r="AS224" s="165"/>
      <c r="AT224" s="165"/>
      <c r="AU224" s="165"/>
      <c r="AV224" s="165"/>
      <c r="AW224" s="165"/>
      <c r="AX224" s="165"/>
      <c r="AY224" s="165"/>
      <c r="AZ224" s="165"/>
      <c r="BA224" s="166"/>
      <c r="BB224" s="166"/>
      <c r="BC224" s="166"/>
      <c r="BD224" s="166"/>
      <c r="BE224" s="166"/>
      <c r="BF224" s="166"/>
      <c r="BG224" s="166"/>
      <c r="BH224" s="166"/>
      <c r="BI224" s="165">
        <v>0.21</v>
      </c>
      <c r="BJ224" s="165" t="s">
        <v>120</v>
      </c>
      <c r="BK224" s="165" t="s">
        <v>118</v>
      </c>
      <c r="BL224" s="165"/>
      <c r="BM224" s="165"/>
      <c r="BN224" s="165"/>
      <c r="BO224" s="165"/>
      <c r="BP224" s="165"/>
      <c r="BQ224" s="166" t="s">
        <v>238</v>
      </c>
      <c r="BR224" s="126" t="s">
        <v>479</v>
      </c>
      <c r="BS224" s="124">
        <v>408</v>
      </c>
      <c r="BT224" s="174"/>
    </row>
    <row r="225" spans="1:72" ht="14.25" hidden="1" customHeight="1" x14ac:dyDescent="0.2">
      <c r="A225" s="92">
        <v>409</v>
      </c>
      <c r="B225" s="235" t="s">
        <v>475</v>
      </c>
      <c r="C225" s="236" t="s">
        <v>476</v>
      </c>
      <c r="D225" s="235" t="s">
        <v>480</v>
      </c>
      <c r="E225" s="125" t="s">
        <v>203</v>
      </c>
      <c r="F225" s="181" t="s">
        <v>103</v>
      </c>
      <c r="G225" s="181" t="s">
        <v>76</v>
      </c>
      <c r="H225" s="181" t="s">
        <v>234</v>
      </c>
      <c r="I225" s="181"/>
      <c r="J225" s="178">
        <v>10</v>
      </c>
      <c r="K225" s="182"/>
      <c r="L225" s="182" t="s">
        <v>107</v>
      </c>
      <c r="M225" s="178" t="s">
        <v>78</v>
      </c>
      <c r="N225" s="178">
        <v>0</v>
      </c>
      <c r="O225" s="178" t="s">
        <v>60</v>
      </c>
      <c r="P225" s="178" t="s">
        <v>206</v>
      </c>
      <c r="Q225" s="179"/>
      <c r="R225" s="179"/>
      <c r="S225" s="180">
        <v>60</v>
      </c>
      <c r="T225" s="179"/>
      <c r="U225" s="179"/>
      <c r="V225" s="167"/>
      <c r="W225" s="168"/>
      <c r="Y225" s="167"/>
      <c r="Z225" s="82" t="s">
        <v>63</v>
      </c>
      <c r="AA225" s="166">
        <v>12</v>
      </c>
      <c r="AB225" s="166"/>
      <c r="AC225" s="165">
        <v>0.25833299999999998</v>
      </c>
      <c r="AD225" s="165" t="s">
        <v>80</v>
      </c>
      <c r="AE225" s="165" t="s">
        <v>116</v>
      </c>
      <c r="AF225" s="165"/>
      <c r="AG225" s="165"/>
      <c r="AH225" s="165"/>
      <c r="AI225" s="165"/>
      <c r="AJ225" s="165"/>
      <c r="AK225" s="166">
        <v>4.9000000000000004</v>
      </c>
      <c r="AL225" s="166" t="s">
        <v>81</v>
      </c>
      <c r="AM225" s="166" t="s">
        <v>118</v>
      </c>
      <c r="AN225" s="166"/>
      <c r="AO225" s="166"/>
      <c r="AP225" s="166"/>
      <c r="AQ225" s="166"/>
      <c r="AR225" s="166"/>
      <c r="AS225" s="165"/>
      <c r="AT225" s="165"/>
      <c r="AU225" s="165"/>
      <c r="AV225" s="165"/>
      <c r="AW225" s="165"/>
      <c r="AX225" s="165"/>
      <c r="AY225" s="165"/>
      <c r="AZ225" s="165"/>
      <c r="BA225" s="166"/>
      <c r="BB225" s="166"/>
      <c r="BC225" s="166"/>
      <c r="BD225" s="166"/>
      <c r="BE225" s="166"/>
      <c r="BF225" s="166"/>
      <c r="BG225" s="166"/>
      <c r="BH225" s="166"/>
      <c r="BI225" s="165">
        <v>0.28000000000000003</v>
      </c>
      <c r="BJ225" s="165" t="s">
        <v>120</v>
      </c>
      <c r="BK225" s="165" t="s">
        <v>118</v>
      </c>
      <c r="BL225" s="165"/>
      <c r="BM225" s="165"/>
      <c r="BN225" s="165"/>
      <c r="BO225" s="165"/>
      <c r="BP225" s="165"/>
      <c r="BQ225" s="166" t="s">
        <v>238</v>
      </c>
      <c r="BR225" s="126" t="s">
        <v>479</v>
      </c>
      <c r="BS225" s="124">
        <v>409</v>
      </c>
      <c r="BT225" s="174"/>
    </row>
    <row r="226" spans="1:72" ht="14.25" hidden="1" customHeight="1" x14ac:dyDescent="0.2">
      <c r="A226" s="92">
        <v>410</v>
      </c>
      <c r="B226" s="235" t="s">
        <v>475</v>
      </c>
      <c r="C226" s="236" t="s">
        <v>476</v>
      </c>
      <c r="D226" s="235" t="s">
        <v>481</v>
      </c>
      <c r="E226" s="125" t="s">
        <v>203</v>
      </c>
      <c r="F226" s="181" t="s">
        <v>103</v>
      </c>
      <c r="G226" s="181" t="s">
        <v>76</v>
      </c>
      <c r="H226" s="181" t="s">
        <v>482</v>
      </c>
      <c r="I226" s="181"/>
      <c r="J226" s="178">
        <v>15</v>
      </c>
      <c r="K226" s="182"/>
      <c r="L226" s="182" t="s">
        <v>107</v>
      </c>
      <c r="M226" s="178" t="s">
        <v>78</v>
      </c>
      <c r="N226" s="178">
        <v>0</v>
      </c>
      <c r="O226" s="178" t="s">
        <v>60</v>
      </c>
      <c r="P226" s="178" t="s">
        <v>206</v>
      </c>
      <c r="Q226" s="179"/>
      <c r="R226" s="179"/>
      <c r="S226" s="180">
        <v>60</v>
      </c>
      <c r="T226" s="179"/>
      <c r="U226" s="179"/>
      <c r="V226" s="167"/>
      <c r="W226" s="168"/>
      <c r="Y226" s="167"/>
      <c r="Z226" s="82" t="s">
        <v>63</v>
      </c>
      <c r="AA226" s="166">
        <v>4</v>
      </c>
      <c r="AB226" s="166"/>
      <c r="AC226" s="165">
        <v>0.35833330000000002</v>
      </c>
      <c r="AD226" s="165" t="s">
        <v>80</v>
      </c>
      <c r="AE226" s="165" t="s">
        <v>116</v>
      </c>
      <c r="AF226" s="165"/>
      <c r="AG226" s="165"/>
      <c r="AH226" s="165"/>
      <c r="AI226" s="165"/>
      <c r="AJ226" s="165"/>
      <c r="AK226" s="166">
        <v>5.2</v>
      </c>
      <c r="AL226" s="166" t="s">
        <v>81</v>
      </c>
      <c r="AM226" s="166" t="s">
        <v>118</v>
      </c>
      <c r="AN226" s="166"/>
      <c r="AO226" s="166"/>
      <c r="AP226" s="166"/>
      <c r="AQ226" s="166"/>
      <c r="AR226" s="166"/>
      <c r="AS226" s="165"/>
      <c r="AT226" s="165"/>
      <c r="AU226" s="165"/>
      <c r="AV226" s="165"/>
      <c r="AW226" s="165"/>
      <c r="AX226" s="165"/>
      <c r="AY226" s="165"/>
      <c r="AZ226" s="165"/>
      <c r="BA226" s="166"/>
      <c r="BB226" s="166"/>
      <c r="BC226" s="166"/>
      <c r="BD226" s="166"/>
      <c r="BE226" s="166"/>
      <c r="BF226" s="166"/>
      <c r="BG226" s="166"/>
      <c r="BH226" s="166"/>
      <c r="BI226" s="165">
        <v>0.3</v>
      </c>
      <c r="BJ226" s="165" t="s">
        <v>120</v>
      </c>
      <c r="BK226" s="165" t="s">
        <v>118</v>
      </c>
      <c r="BL226" s="165"/>
      <c r="BM226" s="165"/>
      <c r="BN226" s="165"/>
      <c r="BO226" s="165"/>
      <c r="BP226" s="165"/>
      <c r="BQ226" s="166" t="s">
        <v>238</v>
      </c>
      <c r="BR226" s="126" t="s">
        <v>479</v>
      </c>
      <c r="BS226" s="124">
        <v>410</v>
      </c>
      <c r="BT226" s="174"/>
    </row>
    <row r="227" spans="1:72" ht="14.25" hidden="1" customHeight="1" x14ac:dyDescent="0.2">
      <c r="A227" s="92">
        <v>411</v>
      </c>
      <c r="B227" s="235" t="s">
        <v>475</v>
      </c>
      <c r="C227" s="236" t="s">
        <v>476</v>
      </c>
      <c r="D227" s="235" t="s">
        <v>483</v>
      </c>
      <c r="E227" s="125" t="s">
        <v>203</v>
      </c>
      <c r="F227" s="181" t="s">
        <v>103</v>
      </c>
      <c r="G227" s="181" t="s">
        <v>76</v>
      </c>
      <c r="H227" s="181" t="s">
        <v>484</v>
      </c>
      <c r="I227" s="181"/>
      <c r="J227" s="178">
        <v>15</v>
      </c>
      <c r="K227" s="182"/>
      <c r="L227" s="182" t="s">
        <v>107</v>
      </c>
      <c r="M227" s="178" t="s">
        <v>78</v>
      </c>
      <c r="N227" s="178">
        <v>0</v>
      </c>
      <c r="O227" s="178" t="s">
        <v>60</v>
      </c>
      <c r="P227" s="178" t="s">
        <v>206</v>
      </c>
      <c r="Q227" s="179"/>
      <c r="R227" s="179"/>
      <c r="S227" s="180">
        <v>60</v>
      </c>
      <c r="T227" s="179"/>
      <c r="U227" s="179"/>
      <c r="V227" s="167"/>
      <c r="W227" s="168"/>
      <c r="Y227" s="167"/>
      <c r="Z227" s="82" t="s">
        <v>63</v>
      </c>
      <c r="AA227" s="166">
        <v>5</v>
      </c>
      <c r="AB227" s="166"/>
      <c r="AC227" s="165">
        <v>3.9166666999999999</v>
      </c>
      <c r="AD227" s="165" t="s">
        <v>80</v>
      </c>
      <c r="AE227" s="165" t="s">
        <v>116</v>
      </c>
      <c r="AF227" s="165"/>
      <c r="AG227" s="165"/>
      <c r="AH227" s="165"/>
      <c r="AI227" s="165"/>
      <c r="AJ227" s="165"/>
      <c r="AK227" s="166">
        <v>15.5</v>
      </c>
      <c r="AL227" s="166" t="s">
        <v>81</v>
      </c>
      <c r="AM227" s="166" t="s">
        <v>118</v>
      </c>
      <c r="AN227" s="166"/>
      <c r="AO227" s="166"/>
      <c r="AP227" s="166"/>
      <c r="AQ227" s="166"/>
      <c r="AR227" s="166"/>
      <c r="AS227" s="165"/>
      <c r="AT227" s="165"/>
      <c r="AU227" s="165"/>
      <c r="AV227" s="165"/>
      <c r="AW227" s="165"/>
      <c r="AX227" s="165"/>
      <c r="AY227" s="165"/>
      <c r="AZ227" s="165"/>
      <c r="BA227" s="166"/>
      <c r="BB227" s="166"/>
      <c r="BC227" s="166"/>
      <c r="BD227" s="166"/>
      <c r="BE227" s="166"/>
      <c r="BF227" s="166"/>
      <c r="BG227" s="166"/>
      <c r="BH227" s="166"/>
      <c r="BI227" s="165">
        <v>0.65</v>
      </c>
      <c r="BJ227" s="165" t="s">
        <v>120</v>
      </c>
      <c r="BK227" s="165" t="s">
        <v>118</v>
      </c>
      <c r="BL227" s="165"/>
      <c r="BM227" s="165"/>
      <c r="BN227" s="165"/>
      <c r="BO227" s="165"/>
      <c r="BP227" s="165"/>
      <c r="BQ227" s="166" t="s">
        <v>238</v>
      </c>
      <c r="BR227" s="126" t="s">
        <v>479</v>
      </c>
      <c r="BS227" s="124">
        <v>411</v>
      </c>
      <c r="BT227" s="174"/>
    </row>
    <row r="228" spans="1:72" ht="14.25" hidden="1" customHeight="1" x14ac:dyDescent="0.2">
      <c r="A228" s="92">
        <v>412</v>
      </c>
      <c r="B228" s="235" t="s">
        <v>475</v>
      </c>
      <c r="C228" s="236" t="s">
        <v>476</v>
      </c>
      <c r="D228" s="235" t="s">
        <v>485</v>
      </c>
      <c r="E228" s="125" t="s">
        <v>203</v>
      </c>
      <c r="F228" s="181" t="s">
        <v>103</v>
      </c>
      <c r="G228" s="181" t="s">
        <v>76</v>
      </c>
      <c r="H228" s="181" t="s">
        <v>486</v>
      </c>
      <c r="I228" s="181"/>
      <c r="J228" s="178">
        <v>10</v>
      </c>
      <c r="K228" s="182"/>
      <c r="L228" s="182" t="s">
        <v>107</v>
      </c>
      <c r="M228" s="178" t="s">
        <v>78</v>
      </c>
      <c r="N228" s="178">
        <v>0</v>
      </c>
      <c r="O228" s="178" t="s">
        <v>60</v>
      </c>
      <c r="P228" s="178" t="s">
        <v>206</v>
      </c>
      <c r="Q228" s="179"/>
      <c r="R228" s="179"/>
      <c r="S228" s="180">
        <v>60</v>
      </c>
      <c r="T228" s="179"/>
      <c r="U228" s="179"/>
      <c r="V228" s="167"/>
      <c r="W228" s="168"/>
      <c r="Y228" s="167"/>
      <c r="Z228" s="82" t="s">
        <v>63</v>
      </c>
      <c r="AA228" s="166">
        <v>7</v>
      </c>
      <c r="AB228" s="166"/>
      <c r="AC228" s="165">
        <v>5.5833332999999996</v>
      </c>
      <c r="AD228" s="165" t="s">
        <v>80</v>
      </c>
      <c r="AE228" s="165" t="s">
        <v>116</v>
      </c>
      <c r="AF228" s="165"/>
      <c r="AG228" s="165"/>
      <c r="AH228" s="165"/>
      <c r="AI228" s="165"/>
      <c r="AJ228" s="165"/>
      <c r="AK228" s="166">
        <v>20</v>
      </c>
      <c r="AL228" s="166" t="s">
        <v>81</v>
      </c>
      <c r="AM228" s="166" t="s">
        <v>118</v>
      </c>
      <c r="AN228" s="166"/>
      <c r="AO228" s="166"/>
      <c r="AP228" s="166"/>
      <c r="AQ228" s="166"/>
      <c r="AR228" s="166"/>
      <c r="AS228" s="165"/>
      <c r="AT228" s="165"/>
      <c r="AU228" s="165"/>
      <c r="AV228" s="165"/>
      <c r="AW228" s="165"/>
      <c r="AX228" s="165"/>
      <c r="AY228" s="165"/>
      <c r="AZ228" s="165"/>
      <c r="BA228" s="166"/>
      <c r="BB228" s="166"/>
      <c r="BC228" s="166"/>
      <c r="BD228" s="166"/>
      <c r="BE228" s="166"/>
      <c r="BF228" s="166"/>
      <c r="BG228" s="166"/>
      <c r="BH228" s="166"/>
      <c r="BI228" s="165">
        <v>0.78</v>
      </c>
      <c r="BJ228" s="165" t="s">
        <v>120</v>
      </c>
      <c r="BK228" s="165" t="s">
        <v>118</v>
      </c>
      <c r="BL228" s="165"/>
      <c r="BM228" s="165"/>
      <c r="BN228" s="165"/>
      <c r="BO228" s="165"/>
      <c r="BP228" s="165"/>
      <c r="BQ228" s="166" t="s">
        <v>238</v>
      </c>
      <c r="BR228" s="126" t="s">
        <v>479</v>
      </c>
      <c r="BS228" s="124">
        <v>412</v>
      </c>
      <c r="BT228" s="174"/>
    </row>
    <row r="229" spans="1:72" ht="14.25" hidden="1" customHeight="1" x14ac:dyDescent="0.2">
      <c r="A229" s="92">
        <v>413</v>
      </c>
      <c r="B229" s="235" t="s">
        <v>475</v>
      </c>
      <c r="C229" s="236" t="s">
        <v>476</v>
      </c>
      <c r="D229" s="235" t="s">
        <v>487</v>
      </c>
      <c r="E229" s="125" t="s">
        <v>203</v>
      </c>
      <c r="F229" s="181" t="s">
        <v>103</v>
      </c>
      <c r="G229" s="181" t="s">
        <v>76</v>
      </c>
      <c r="H229" s="181" t="s">
        <v>488</v>
      </c>
      <c r="I229" s="181"/>
      <c r="J229" s="178">
        <v>10</v>
      </c>
      <c r="K229" s="182"/>
      <c r="L229" s="182" t="s">
        <v>107</v>
      </c>
      <c r="M229" s="178" t="s">
        <v>78</v>
      </c>
      <c r="N229" s="178">
        <v>0</v>
      </c>
      <c r="O229" s="178" t="s">
        <v>60</v>
      </c>
      <c r="P229" s="178" t="s">
        <v>206</v>
      </c>
      <c r="Q229" s="179"/>
      <c r="R229" s="179"/>
      <c r="S229" s="180">
        <v>30</v>
      </c>
      <c r="T229" s="179"/>
      <c r="U229" s="179"/>
      <c r="V229" s="167"/>
      <c r="W229" s="168"/>
      <c r="Y229" s="167"/>
      <c r="Z229" s="82" t="s">
        <v>63</v>
      </c>
      <c r="AA229" s="166">
        <v>6</v>
      </c>
      <c r="AB229" s="166"/>
      <c r="AC229" s="165">
        <v>7.5833329999999997</v>
      </c>
      <c r="AD229" s="165" t="s">
        <v>80</v>
      </c>
      <c r="AE229" s="165" t="s">
        <v>116</v>
      </c>
      <c r="AF229" s="165"/>
      <c r="AG229" s="165"/>
      <c r="AH229" s="165"/>
      <c r="AI229" s="165"/>
      <c r="AJ229" s="165"/>
      <c r="AK229" s="166">
        <v>26.7</v>
      </c>
      <c r="AL229" s="166" t="s">
        <v>81</v>
      </c>
      <c r="AM229" s="166" t="s">
        <v>118</v>
      </c>
      <c r="AN229" s="166"/>
      <c r="AO229" s="166"/>
      <c r="AP229" s="166"/>
      <c r="AQ229" s="166"/>
      <c r="AR229" s="166"/>
      <c r="AS229" s="165"/>
      <c r="AT229" s="165"/>
      <c r="AU229" s="165"/>
      <c r="AV229" s="165"/>
      <c r="AW229" s="165"/>
      <c r="AX229" s="165"/>
      <c r="AY229" s="165"/>
      <c r="AZ229" s="165"/>
      <c r="BA229" s="166"/>
      <c r="BB229" s="166"/>
      <c r="BC229" s="166"/>
      <c r="BD229" s="166"/>
      <c r="BE229" s="166"/>
      <c r="BF229" s="166"/>
      <c r="BG229" s="166"/>
      <c r="BH229" s="166"/>
      <c r="BI229" s="165">
        <v>0.96</v>
      </c>
      <c r="BJ229" s="165" t="s">
        <v>120</v>
      </c>
      <c r="BK229" s="165" t="s">
        <v>118</v>
      </c>
      <c r="BL229" s="165"/>
      <c r="BM229" s="165"/>
      <c r="BN229" s="165"/>
      <c r="BO229" s="165"/>
      <c r="BP229" s="165"/>
      <c r="BQ229" s="166" t="s">
        <v>238</v>
      </c>
      <c r="BR229" s="126" t="s">
        <v>479</v>
      </c>
      <c r="BS229" s="124">
        <v>413</v>
      </c>
      <c r="BT229" s="174"/>
    </row>
    <row r="230" spans="1:72" ht="14.25" hidden="1" customHeight="1" x14ac:dyDescent="0.2">
      <c r="A230" s="92">
        <v>415</v>
      </c>
      <c r="B230" s="233" t="s">
        <v>489</v>
      </c>
      <c r="C230" s="237" t="s">
        <v>490</v>
      </c>
      <c r="D230" s="233" t="s">
        <v>491</v>
      </c>
      <c r="E230" s="125" t="s">
        <v>102</v>
      </c>
      <c r="F230" s="181" t="s">
        <v>103</v>
      </c>
      <c r="G230" s="181" t="s">
        <v>56</v>
      </c>
      <c r="H230" s="181" t="s">
        <v>157</v>
      </c>
      <c r="I230" s="181"/>
      <c r="J230" s="178">
        <v>5</v>
      </c>
      <c r="K230" s="182"/>
      <c r="L230" s="182" t="s">
        <v>58</v>
      </c>
      <c r="M230" s="178" t="s">
        <v>78</v>
      </c>
      <c r="N230" s="178">
        <v>0</v>
      </c>
      <c r="O230" s="178" t="s">
        <v>60</v>
      </c>
      <c r="P230" s="178"/>
      <c r="Q230" s="179"/>
      <c r="R230" s="179"/>
      <c r="S230" s="180">
        <v>0</v>
      </c>
      <c r="T230" s="179"/>
      <c r="U230" s="179" t="s">
        <v>492</v>
      </c>
      <c r="V230" s="167" t="s">
        <v>62</v>
      </c>
      <c r="W230" s="168">
        <v>2</v>
      </c>
      <c r="Y230" s="167" t="s">
        <v>493</v>
      </c>
      <c r="Z230" s="169" t="s">
        <v>63</v>
      </c>
      <c r="AA230" s="166">
        <v>6</v>
      </c>
      <c r="AB230" s="166">
        <v>1</v>
      </c>
      <c r="AC230" s="165">
        <v>21.5</v>
      </c>
      <c r="AD230" s="165" t="s">
        <v>80</v>
      </c>
      <c r="AE230" s="165" t="s">
        <v>389</v>
      </c>
      <c r="AF230" s="165">
        <v>0.5</v>
      </c>
      <c r="AG230" s="165" t="s">
        <v>80</v>
      </c>
      <c r="AH230" s="165" t="s">
        <v>117</v>
      </c>
      <c r="AI230" s="165">
        <v>21</v>
      </c>
      <c r="AJ230" s="165">
        <v>22</v>
      </c>
      <c r="AK230" s="166">
        <v>72.5</v>
      </c>
      <c r="AL230" s="166" t="s">
        <v>81</v>
      </c>
      <c r="AM230" s="166" t="s">
        <v>389</v>
      </c>
      <c r="AN230" s="166">
        <v>5.4</v>
      </c>
      <c r="AO230" s="166" t="s">
        <v>81</v>
      </c>
      <c r="AP230" s="166" t="s">
        <v>117</v>
      </c>
      <c r="AQ230" s="166">
        <v>66.25</v>
      </c>
      <c r="AR230" s="166">
        <v>77.900000000000006</v>
      </c>
      <c r="AS230" s="165"/>
      <c r="AT230" s="165"/>
      <c r="AU230" s="165"/>
      <c r="AV230" s="165"/>
      <c r="AW230" s="165"/>
      <c r="AX230" s="165"/>
      <c r="AY230" s="165"/>
      <c r="AZ230" s="165"/>
      <c r="BA230" s="166"/>
      <c r="BB230" s="166"/>
      <c r="BC230" s="166"/>
      <c r="BD230" s="166"/>
      <c r="BE230" s="166"/>
      <c r="BF230" s="166"/>
      <c r="BG230" s="166"/>
      <c r="BH230" s="166"/>
      <c r="BI230" s="165"/>
      <c r="BJ230" s="165"/>
      <c r="BK230" s="165"/>
      <c r="BL230" s="165"/>
      <c r="BM230" s="165"/>
      <c r="BN230" s="165"/>
      <c r="BO230" s="165"/>
      <c r="BP230" s="165"/>
      <c r="BQ230" s="166"/>
      <c r="BR230" s="165"/>
      <c r="BS230" s="124">
        <v>415</v>
      </c>
      <c r="BT230" s="174"/>
    </row>
    <row r="231" spans="1:72" ht="14.25" hidden="1" customHeight="1" x14ac:dyDescent="0.2">
      <c r="A231" s="92">
        <v>416</v>
      </c>
      <c r="B231" s="233" t="s">
        <v>489</v>
      </c>
      <c r="C231" s="237" t="s">
        <v>490</v>
      </c>
      <c r="D231" s="233" t="s">
        <v>494</v>
      </c>
      <c r="E231" s="125" t="s">
        <v>102</v>
      </c>
      <c r="F231" s="181" t="s">
        <v>103</v>
      </c>
      <c r="G231" s="181" t="s">
        <v>56</v>
      </c>
      <c r="H231" s="181" t="s">
        <v>168</v>
      </c>
      <c r="I231" s="181"/>
      <c r="J231" s="178">
        <v>10</v>
      </c>
      <c r="K231" s="182"/>
      <c r="L231" s="182" t="s">
        <v>58</v>
      </c>
      <c r="M231" s="178" t="s">
        <v>59</v>
      </c>
      <c r="N231" s="178">
        <v>0</v>
      </c>
      <c r="O231" s="178" t="s">
        <v>60</v>
      </c>
      <c r="P231" s="178"/>
      <c r="Q231" s="179"/>
      <c r="R231" s="179" t="s">
        <v>171</v>
      </c>
      <c r="S231" s="180"/>
      <c r="T231" s="179"/>
      <c r="U231" s="179"/>
      <c r="V231" s="167" t="s">
        <v>62</v>
      </c>
      <c r="W231" s="168">
        <v>2</v>
      </c>
      <c r="Y231" s="167" t="s">
        <v>493</v>
      </c>
      <c r="Z231" s="169" t="s">
        <v>63</v>
      </c>
      <c r="AA231" s="166">
        <v>6</v>
      </c>
      <c r="AB231" s="166">
        <v>1</v>
      </c>
      <c r="AC231" s="165">
        <v>21.5</v>
      </c>
      <c r="AD231" s="165" t="s">
        <v>80</v>
      </c>
      <c r="AE231" s="165" t="s">
        <v>389</v>
      </c>
      <c r="AF231" s="165">
        <v>0.5</v>
      </c>
      <c r="AG231" s="165" t="s">
        <v>80</v>
      </c>
      <c r="AH231" s="165" t="s">
        <v>117</v>
      </c>
      <c r="AI231" s="165">
        <v>21</v>
      </c>
      <c r="AJ231" s="165">
        <v>22</v>
      </c>
      <c r="AK231" s="166">
        <v>72.5</v>
      </c>
      <c r="AL231" s="166" t="s">
        <v>81</v>
      </c>
      <c r="AM231" s="166" t="s">
        <v>389</v>
      </c>
      <c r="AN231" s="166">
        <v>5.4</v>
      </c>
      <c r="AO231" s="166" t="s">
        <v>81</v>
      </c>
      <c r="AP231" s="166" t="s">
        <v>117</v>
      </c>
      <c r="AQ231" s="166">
        <v>66.25</v>
      </c>
      <c r="AR231" s="166">
        <v>77.900000000000006</v>
      </c>
      <c r="AS231" s="165"/>
      <c r="AT231" s="165"/>
      <c r="AU231" s="165"/>
      <c r="AV231" s="165"/>
      <c r="AW231" s="165"/>
      <c r="AX231" s="165"/>
      <c r="AY231" s="165"/>
      <c r="AZ231" s="165"/>
      <c r="BA231" s="166"/>
      <c r="BB231" s="166"/>
      <c r="BC231" s="166"/>
      <c r="BD231" s="166"/>
      <c r="BE231" s="166"/>
      <c r="BF231" s="166"/>
      <c r="BG231" s="166"/>
      <c r="BH231" s="166"/>
      <c r="BI231" s="165"/>
      <c r="BJ231" s="165"/>
      <c r="BK231" s="165"/>
      <c r="BL231" s="165"/>
      <c r="BM231" s="165"/>
      <c r="BN231" s="165"/>
      <c r="BO231" s="165"/>
      <c r="BP231" s="165"/>
      <c r="BQ231" s="166"/>
      <c r="BR231" s="165"/>
      <c r="BS231" s="124">
        <v>416</v>
      </c>
      <c r="BT231" s="174"/>
    </row>
    <row r="232" spans="1:72" ht="14.25" hidden="1" customHeight="1" x14ac:dyDescent="0.2">
      <c r="A232" s="92">
        <v>417</v>
      </c>
      <c r="B232" s="233" t="s">
        <v>489</v>
      </c>
      <c r="C232" s="237" t="s">
        <v>490</v>
      </c>
      <c r="D232" s="233" t="s">
        <v>495</v>
      </c>
      <c r="E232" s="125" t="s">
        <v>102</v>
      </c>
      <c r="F232" s="181" t="s">
        <v>103</v>
      </c>
      <c r="G232" s="181" t="s">
        <v>56</v>
      </c>
      <c r="H232" s="181" t="s">
        <v>496</v>
      </c>
      <c r="I232" s="181"/>
      <c r="J232" s="178">
        <v>10</v>
      </c>
      <c r="K232" s="182"/>
      <c r="L232" s="182" t="s">
        <v>58</v>
      </c>
      <c r="M232" s="178" t="s">
        <v>59</v>
      </c>
      <c r="N232" s="178">
        <v>0</v>
      </c>
      <c r="O232" s="178" t="s">
        <v>60</v>
      </c>
      <c r="P232" s="178"/>
      <c r="Q232" s="179"/>
      <c r="R232" s="179" t="s">
        <v>361</v>
      </c>
      <c r="S232" s="180"/>
      <c r="T232" s="179"/>
      <c r="U232" s="179"/>
      <c r="V232" s="167" t="s">
        <v>62</v>
      </c>
      <c r="W232" s="168">
        <v>2</v>
      </c>
      <c r="Y232" s="167" t="s">
        <v>493</v>
      </c>
      <c r="Z232" s="169" t="s">
        <v>63</v>
      </c>
      <c r="AA232" s="166">
        <v>6</v>
      </c>
      <c r="AB232" s="166">
        <v>1</v>
      </c>
      <c r="AC232" s="165">
        <v>21.5</v>
      </c>
      <c r="AD232" s="165" t="s">
        <v>80</v>
      </c>
      <c r="AE232" s="165" t="s">
        <v>389</v>
      </c>
      <c r="AF232" s="165">
        <v>0.5</v>
      </c>
      <c r="AG232" s="165" t="s">
        <v>80</v>
      </c>
      <c r="AH232" s="165" t="s">
        <v>117</v>
      </c>
      <c r="AI232" s="165">
        <v>21</v>
      </c>
      <c r="AJ232" s="165">
        <v>22</v>
      </c>
      <c r="AK232" s="166">
        <v>72.5</v>
      </c>
      <c r="AL232" s="166" t="s">
        <v>81</v>
      </c>
      <c r="AM232" s="166" t="s">
        <v>389</v>
      </c>
      <c r="AN232" s="166">
        <v>5.4</v>
      </c>
      <c r="AO232" s="166" t="s">
        <v>81</v>
      </c>
      <c r="AP232" s="166" t="s">
        <v>117</v>
      </c>
      <c r="AQ232" s="166">
        <v>66.25</v>
      </c>
      <c r="AR232" s="166">
        <v>77.900000000000006</v>
      </c>
      <c r="AS232" s="165"/>
      <c r="AT232" s="165"/>
      <c r="AU232" s="165"/>
      <c r="AV232" s="165"/>
      <c r="AW232" s="165"/>
      <c r="AX232" s="165"/>
      <c r="AY232" s="165"/>
      <c r="AZ232" s="165"/>
      <c r="BA232" s="166"/>
      <c r="BB232" s="166"/>
      <c r="BC232" s="166"/>
      <c r="BD232" s="166"/>
      <c r="BE232" s="166"/>
      <c r="BF232" s="166"/>
      <c r="BG232" s="166"/>
      <c r="BH232" s="166"/>
      <c r="BI232" s="165"/>
      <c r="BJ232" s="165"/>
      <c r="BK232" s="165"/>
      <c r="BL232" s="165"/>
      <c r="BM232" s="165"/>
      <c r="BN232" s="165"/>
      <c r="BO232" s="165"/>
      <c r="BP232" s="165"/>
      <c r="BQ232" s="166"/>
      <c r="BR232" s="165"/>
      <c r="BS232" s="124">
        <v>417</v>
      </c>
      <c r="BT232" s="174"/>
    </row>
    <row r="233" spans="1:72" ht="14.25" hidden="1" customHeight="1" x14ac:dyDescent="0.2">
      <c r="A233" s="92">
        <v>418</v>
      </c>
      <c r="B233" s="233" t="s">
        <v>497</v>
      </c>
      <c r="C233" s="237" t="s">
        <v>498</v>
      </c>
      <c r="D233" s="233" t="s">
        <v>499</v>
      </c>
      <c r="E233" s="125" t="s">
        <v>54</v>
      </c>
      <c r="F233" s="181" t="s">
        <v>103</v>
      </c>
      <c r="G233" s="181" t="s">
        <v>56</v>
      </c>
      <c r="H233" s="181" t="s">
        <v>500</v>
      </c>
      <c r="I233" s="181"/>
      <c r="J233" s="178">
        <v>600</v>
      </c>
      <c r="K233" s="182"/>
      <c r="L233" s="182" t="s">
        <v>58</v>
      </c>
      <c r="M233" s="178" t="s">
        <v>59</v>
      </c>
      <c r="N233" s="178" t="s">
        <v>501</v>
      </c>
      <c r="O233" s="178" t="s">
        <v>60</v>
      </c>
      <c r="P233" s="178"/>
      <c r="Q233" s="179"/>
      <c r="R233" s="179"/>
      <c r="S233" s="180"/>
      <c r="T233" s="179"/>
      <c r="U233" s="179"/>
      <c r="V233" s="167" t="s">
        <v>502</v>
      </c>
      <c r="W233" s="168"/>
      <c r="Y233" s="167" t="s">
        <v>503</v>
      </c>
      <c r="Z233" s="169" t="s">
        <v>63</v>
      </c>
      <c r="AA233" s="166">
        <v>26</v>
      </c>
      <c r="AB233" s="166">
        <v>0</v>
      </c>
      <c r="AC233" s="165">
        <v>35</v>
      </c>
      <c r="AD233" s="165" t="s">
        <v>80</v>
      </c>
      <c r="AE233" s="165" t="s">
        <v>389</v>
      </c>
      <c r="AF233" s="165"/>
      <c r="AG233" s="165"/>
      <c r="AH233" s="165"/>
      <c r="AI233" s="165">
        <v>18</v>
      </c>
      <c r="AJ233" s="165">
        <v>44</v>
      </c>
      <c r="AK233" s="166">
        <v>76</v>
      </c>
      <c r="AL233" s="166" t="s">
        <v>81</v>
      </c>
      <c r="AM233" s="166" t="s">
        <v>389</v>
      </c>
      <c r="AN233" s="166"/>
      <c r="AO233" s="166"/>
      <c r="AP233" s="166"/>
      <c r="AQ233" s="166">
        <v>58</v>
      </c>
      <c r="AR233" s="166">
        <v>92</v>
      </c>
      <c r="AS233" s="165"/>
      <c r="AT233" s="165"/>
      <c r="AU233" s="165"/>
      <c r="AV233" s="165"/>
      <c r="AW233" s="165"/>
      <c r="AX233" s="165"/>
      <c r="AY233" s="165"/>
      <c r="AZ233" s="165"/>
      <c r="BA233" s="166"/>
      <c r="BB233" s="166"/>
      <c r="BC233" s="166"/>
      <c r="BD233" s="166"/>
      <c r="BE233" s="166"/>
      <c r="BF233" s="166"/>
      <c r="BG233" s="166"/>
      <c r="BH233" s="166"/>
      <c r="BI233" s="165"/>
      <c r="BJ233" s="165"/>
      <c r="BK233" s="165"/>
      <c r="BL233" s="165"/>
      <c r="BM233" s="165"/>
      <c r="BN233" s="165"/>
      <c r="BO233" s="165"/>
      <c r="BP233" s="165"/>
      <c r="BQ233" s="166" t="s">
        <v>261</v>
      </c>
      <c r="BR233" s="165" t="s">
        <v>504</v>
      </c>
      <c r="BS233" s="124">
        <v>418</v>
      </c>
      <c r="BT233" s="174"/>
    </row>
    <row r="234" spans="1:72" ht="14.25" hidden="1" customHeight="1" x14ac:dyDescent="0.2">
      <c r="A234" s="91">
        <v>429</v>
      </c>
      <c r="B234" s="233" t="s">
        <v>505</v>
      </c>
      <c r="C234" s="237" t="s">
        <v>506</v>
      </c>
      <c r="D234" s="233" t="s">
        <v>507</v>
      </c>
      <c r="E234" s="125" t="s">
        <v>102</v>
      </c>
      <c r="F234" s="181" t="s">
        <v>71</v>
      </c>
      <c r="G234" s="181" t="s">
        <v>56</v>
      </c>
      <c r="H234" s="181" t="s">
        <v>508</v>
      </c>
      <c r="I234" s="181"/>
      <c r="J234" s="178">
        <v>1</v>
      </c>
      <c r="K234" s="182"/>
      <c r="L234" s="182" t="s">
        <v>58</v>
      </c>
      <c r="M234" s="178" t="s">
        <v>78</v>
      </c>
      <c r="N234" s="178">
        <v>0</v>
      </c>
      <c r="O234" s="178" t="s">
        <v>60</v>
      </c>
      <c r="P234" s="178" t="s">
        <v>79</v>
      </c>
      <c r="Q234" s="179"/>
      <c r="R234" s="179"/>
      <c r="S234" s="180">
        <v>0</v>
      </c>
      <c r="T234" s="179"/>
      <c r="U234" s="179"/>
      <c r="V234" s="167"/>
      <c r="W234" s="168"/>
      <c r="Y234" s="167"/>
      <c r="Z234" s="169" t="s">
        <v>63</v>
      </c>
      <c r="AA234" s="166">
        <v>10</v>
      </c>
      <c r="AB234" s="166">
        <v>10</v>
      </c>
      <c r="AC234" s="165">
        <v>31</v>
      </c>
      <c r="AD234" s="165" t="s">
        <v>80</v>
      </c>
      <c r="AE234" s="165" t="s">
        <v>116</v>
      </c>
      <c r="AF234" s="165">
        <v>6</v>
      </c>
      <c r="AG234" s="165" t="s">
        <v>80</v>
      </c>
      <c r="AH234" s="165" t="s">
        <v>117</v>
      </c>
      <c r="AI234" s="165">
        <v>24</v>
      </c>
      <c r="AJ234" s="165">
        <v>44</v>
      </c>
      <c r="AK234" s="166">
        <v>73</v>
      </c>
      <c r="AL234" s="166" t="s">
        <v>81</v>
      </c>
      <c r="AM234" s="166" t="s">
        <v>116</v>
      </c>
      <c r="AN234" s="166">
        <v>17</v>
      </c>
      <c r="AO234" s="166" t="s">
        <v>81</v>
      </c>
      <c r="AP234" s="166" t="s">
        <v>117</v>
      </c>
      <c r="AQ234" s="166">
        <v>61</v>
      </c>
      <c r="AR234" s="166">
        <v>118</v>
      </c>
      <c r="AS234" s="165"/>
      <c r="AT234" s="165"/>
      <c r="AU234" s="165"/>
      <c r="AV234" s="165"/>
      <c r="AW234" s="165"/>
      <c r="AX234" s="165"/>
      <c r="AY234" s="165"/>
      <c r="AZ234" s="165"/>
      <c r="BA234" s="166"/>
      <c r="BB234" s="166"/>
      <c r="BC234" s="166"/>
      <c r="BD234" s="166"/>
      <c r="BE234" s="166"/>
      <c r="BF234" s="166"/>
      <c r="BG234" s="166"/>
      <c r="BH234" s="166"/>
      <c r="BI234" s="165"/>
      <c r="BJ234" s="165"/>
      <c r="BK234" s="165"/>
      <c r="BL234" s="165"/>
      <c r="BM234" s="165"/>
      <c r="BN234" s="165"/>
      <c r="BO234" s="165"/>
      <c r="BP234" s="165"/>
      <c r="BQ234" s="166"/>
      <c r="BR234" s="165"/>
      <c r="BS234" s="124">
        <v>429</v>
      </c>
      <c r="BT234" s="174"/>
    </row>
    <row r="235" spans="1:72" ht="14.25" hidden="1" customHeight="1" x14ac:dyDescent="0.2">
      <c r="A235" s="91">
        <v>430</v>
      </c>
      <c r="B235" s="233" t="s">
        <v>505</v>
      </c>
      <c r="C235" s="237" t="s">
        <v>506</v>
      </c>
      <c r="D235" s="233" t="s">
        <v>509</v>
      </c>
      <c r="E235" s="125" t="s">
        <v>102</v>
      </c>
      <c r="F235" s="181" t="s">
        <v>71</v>
      </c>
      <c r="G235" s="181" t="s">
        <v>56</v>
      </c>
      <c r="H235" s="181" t="s">
        <v>508</v>
      </c>
      <c r="I235" s="181"/>
      <c r="J235" s="178">
        <v>1</v>
      </c>
      <c r="K235" s="182"/>
      <c r="L235" s="182" t="s">
        <v>58</v>
      </c>
      <c r="M235" s="178" t="s">
        <v>78</v>
      </c>
      <c r="N235" s="178">
        <v>0</v>
      </c>
      <c r="O235" s="178" t="s">
        <v>60</v>
      </c>
      <c r="P235" s="178" t="s">
        <v>79</v>
      </c>
      <c r="Q235" s="179"/>
      <c r="R235" s="179"/>
      <c r="S235" s="180">
        <v>0</v>
      </c>
      <c r="T235" s="179"/>
      <c r="U235" s="179"/>
      <c r="V235" s="167"/>
      <c r="W235" s="168"/>
      <c r="Y235" s="167"/>
      <c r="Z235" s="169" t="s">
        <v>63</v>
      </c>
      <c r="AA235" s="166">
        <v>10</v>
      </c>
      <c r="AB235" s="166">
        <v>0</v>
      </c>
      <c r="AC235" s="165">
        <v>32</v>
      </c>
      <c r="AD235" s="165" t="s">
        <v>80</v>
      </c>
      <c r="AE235" s="165" t="s">
        <v>116</v>
      </c>
      <c r="AF235" s="165">
        <v>5</v>
      </c>
      <c r="AG235" s="165" t="s">
        <v>80</v>
      </c>
      <c r="AH235" s="165" t="s">
        <v>117</v>
      </c>
      <c r="AI235" s="165">
        <v>26</v>
      </c>
      <c r="AJ235" s="165">
        <v>42</v>
      </c>
      <c r="AK235" s="166">
        <v>84</v>
      </c>
      <c r="AL235" s="166" t="s">
        <v>81</v>
      </c>
      <c r="AM235" s="166" t="s">
        <v>116</v>
      </c>
      <c r="AN235" s="166">
        <v>9</v>
      </c>
      <c r="AO235" s="166" t="s">
        <v>81</v>
      </c>
      <c r="AP235" s="166" t="s">
        <v>117</v>
      </c>
      <c r="AQ235" s="166">
        <v>75</v>
      </c>
      <c r="AR235" s="166">
        <v>100</v>
      </c>
      <c r="AS235" s="165"/>
      <c r="AT235" s="165"/>
      <c r="AU235" s="165"/>
      <c r="AV235" s="165"/>
      <c r="AW235" s="165"/>
      <c r="AX235" s="165"/>
      <c r="AY235" s="165"/>
      <c r="AZ235" s="165"/>
      <c r="BA235" s="166"/>
      <c r="BB235" s="166"/>
      <c r="BC235" s="166"/>
      <c r="BD235" s="166"/>
      <c r="BE235" s="166"/>
      <c r="BF235" s="166"/>
      <c r="BG235" s="166"/>
      <c r="BH235" s="166"/>
      <c r="BI235" s="165"/>
      <c r="BJ235" s="165"/>
      <c r="BK235" s="165"/>
      <c r="BL235" s="165"/>
      <c r="BM235" s="165"/>
      <c r="BN235" s="165"/>
      <c r="BO235" s="165"/>
      <c r="BP235" s="165"/>
      <c r="BQ235" s="166"/>
      <c r="BR235" s="165"/>
      <c r="BS235" s="124">
        <v>430</v>
      </c>
      <c r="BT235" s="174"/>
    </row>
    <row r="236" spans="1:72" ht="14.25" hidden="1" customHeight="1" x14ac:dyDescent="0.2">
      <c r="A236" s="91">
        <v>431</v>
      </c>
      <c r="B236" s="233" t="s">
        <v>505</v>
      </c>
      <c r="C236" s="237" t="s">
        <v>506</v>
      </c>
      <c r="D236" s="233" t="s">
        <v>510</v>
      </c>
      <c r="E236" s="125" t="s">
        <v>102</v>
      </c>
      <c r="F236" s="181" t="s">
        <v>71</v>
      </c>
      <c r="G236" s="181" t="s">
        <v>56</v>
      </c>
      <c r="H236" s="181" t="s">
        <v>508</v>
      </c>
      <c r="I236" s="181"/>
      <c r="J236" s="178">
        <v>2</v>
      </c>
      <c r="K236" s="182"/>
      <c r="L236" s="182" t="s">
        <v>58</v>
      </c>
      <c r="M236" s="178" t="s">
        <v>59</v>
      </c>
      <c r="N236" s="178">
        <v>0</v>
      </c>
      <c r="O236" s="178" t="s">
        <v>60</v>
      </c>
      <c r="P236" s="178" t="s">
        <v>79</v>
      </c>
      <c r="Q236" s="179"/>
      <c r="R236" s="179"/>
      <c r="S236" s="180"/>
      <c r="T236" s="179"/>
      <c r="U236" s="179" t="s">
        <v>511</v>
      </c>
      <c r="V236" s="167" t="s">
        <v>62</v>
      </c>
      <c r="W236" s="168">
        <v>12</v>
      </c>
      <c r="Y236" s="167"/>
      <c r="Z236" s="169" t="s">
        <v>63</v>
      </c>
      <c r="AA236" s="166">
        <v>10</v>
      </c>
      <c r="AB236" s="166">
        <v>10</v>
      </c>
      <c r="AC236" s="165">
        <v>31</v>
      </c>
      <c r="AD236" s="165" t="s">
        <v>80</v>
      </c>
      <c r="AE236" s="165" t="s">
        <v>116</v>
      </c>
      <c r="AF236" s="165">
        <v>6</v>
      </c>
      <c r="AG236" s="165" t="s">
        <v>80</v>
      </c>
      <c r="AH236" s="165" t="s">
        <v>117</v>
      </c>
      <c r="AI236" s="165">
        <v>24</v>
      </c>
      <c r="AJ236" s="165">
        <v>44</v>
      </c>
      <c r="AK236" s="166">
        <v>73</v>
      </c>
      <c r="AL236" s="166" t="s">
        <v>81</v>
      </c>
      <c r="AM236" s="166" t="s">
        <v>116</v>
      </c>
      <c r="AN236" s="166">
        <v>17</v>
      </c>
      <c r="AO236" s="166" t="s">
        <v>81</v>
      </c>
      <c r="AP236" s="166" t="s">
        <v>117</v>
      </c>
      <c r="AQ236" s="166">
        <v>61</v>
      </c>
      <c r="AR236" s="166">
        <v>118</v>
      </c>
      <c r="AS236" s="165"/>
      <c r="AT236" s="165"/>
      <c r="AU236" s="165"/>
      <c r="AV236" s="165"/>
      <c r="AW236" s="165"/>
      <c r="AX236" s="165"/>
      <c r="AY236" s="165"/>
      <c r="AZ236" s="165"/>
      <c r="BA236" s="166"/>
      <c r="BB236" s="166"/>
      <c r="BC236" s="166"/>
      <c r="BD236" s="166"/>
      <c r="BE236" s="166"/>
      <c r="BF236" s="166"/>
      <c r="BG236" s="166"/>
      <c r="BH236" s="166"/>
      <c r="BI236" s="165"/>
      <c r="BJ236" s="165"/>
      <c r="BK236" s="165"/>
      <c r="BL236" s="165"/>
      <c r="BM236" s="165"/>
      <c r="BN236" s="165"/>
      <c r="BO236" s="165"/>
      <c r="BP236" s="165"/>
      <c r="BQ236" s="166"/>
      <c r="BR236" s="165"/>
      <c r="BS236" s="124">
        <v>431</v>
      </c>
      <c r="BT236" s="124"/>
    </row>
    <row r="237" spans="1:72" ht="14.25" hidden="1" customHeight="1" x14ac:dyDescent="0.2">
      <c r="A237" s="91">
        <v>432</v>
      </c>
      <c r="B237" s="233" t="s">
        <v>505</v>
      </c>
      <c r="C237" s="237" t="s">
        <v>506</v>
      </c>
      <c r="D237" s="233" t="s">
        <v>512</v>
      </c>
      <c r="E237" s="125" t="s">
        <v>102</v>
      </c>
      <c r="F237" s="181" t="s">
        <v>71</v>
      </c>
      <c r="G237" s="181" t="s">
        <v>56</v>
      </c>
      <c r="H237" s="181" t="s">
        <v>508</v>
      </c>
      <c r="I237" s="181"/>
      <c r="J237" s="178">
        <v>2</v>
      </c>
      <c r="K237" s="182"/>
      <c r="L237" s="182" t="s">
        <v>58</v>
      </c>
      <c r="M237" s="178" t="s">
        <v>59</v>
      </c>
      <c r="N237" s="178">
        <v>0</v>
      </c>
      <c r="O237" s="178" t="s">
        <v>60</v>
      </c>
      <c r="P237" s="178" t="s">
        <v>79</v>
      </c>
      <c r="Q237" s="179"/>
      <c r="R237" s="179"/>
      <c r="S237" s="180"/>
      <c r="T237" s="179"/>
      <c r="U237" s="179" t="s">
        <v>511</v>
      </c>
      <c r="V237" s="167" t="s">
        <v>62</v>
      </c>
      <c r="W237" s="168">
        <v>12</v>
      </c>
      <c r="Y237" s="167"/>
      <c r="Z237" s="169" t="s">
        <v>63</v>
      </c>
      <c r="AA237" s="166">
        <v>10</v>
      </c>
      <c r="AB237" s="166">
        <v>0</v>
      </c>
      <c r="AC237" s="165">
        <v>32</v>
      </c>
      <c r="AD237" s="165" t="s">
        <v>80</v>
      </c>
      <c r="AE237" s="165" t="s">
        <v>116</v>
      </c>
      <c r="AF237" s="165">
        <v>5</v>
      </c>
      <c r="AG237" s="165" t="s">
        <v>80</v>
      </c>
      <c r="AH237" s="165" t="s">
        <v>117</v>
      </c>
      <c r="AI237" s="165">
        <v>26</v>
      </c>
      <c r="AJ237" s="165">
        <v>42</v>
      </c>
      <c r="AK237" s="166">
        <v>84</v>
      </c>
      <c r="AL237" s="166" t="s">
        <v>81</v>
      </c>
      <c r="AM237" s="166" t="s">
        <v>116</v>
      </c>
      <c r="AN237" s="166">
        <v>9</v>
      </c>
      <c r="AO237" s="166" t="s">
        <v>81</v>
      </c>
      <c r="AP237" s="166" t="s">
        <v>117</v>
      </c>
      <c r="AQ237" s="166">
        <v>75</v>
      </c>
      <c r="AR237" s="166">
        <v>100</v>
      </c>
      <c r="AS237" s="165"/>
      <c r="AT237" s="165"/>
      <c r="AU237" s="165"/>
      <c r="AV237" s="165"/>
      <c r="AW237" s="165"/>
      <c r="AX237" s="165"/>
      <c r="AY237" s="165"/>
      <c r="AZ237" s="165"/>
      <c r="BA237" s="166"/>
      <c r="BB237" s="166"/>
      <c r="BC237" s="166"/>
      <c r="BD237" s="166"/>
      <c r="BE237" s="166"/>
      <c r="BF237" s="166"/>
      <c r="BG237" s="166"/>
      <c r="BH237" s="166"/>
      <c r="BI237" s="165"/>
      <c r="BJ237" s="165"/>
      <c r="BK237" s="165"/>
      <c r="BL237" s="165"/>
      <c r="BM237" s="165"/>
      <c r="BN237" s="165"/>
      <c r="BO237" s="165"/>
      <c r="BP237" s="165"/>
      <c r="BQ237" s="166"/>
      <c r="BR237" s="165"/>
      <c r="BS237" s="124">
        <v>432</v>
      </c>
      <c r="BT237" s="124"/>
    </row>
    <row r="238" spans="1:72" ht="14.25" hidden="1" customHeight="1" x14ac:dyDescent="0.2">
      <c r="A238" s="92">
        <v>433</v>
      </c>
      <c r="B238" s="235" t="s">
        <v>513</v>
      </c>
      <c r="C238" s="236" t="s">
        <v>514</v>
      </c>
      <c r="D238" s="235" t="s">
        <v>183</v>
      </c>
      <c r="E238" s="125" t="s">
        <v>184</v>
      </c>
      <c r="F238" s="181" t="s">
        <v>103</v>
      </c>
      <c r="G238" s="181" t="s">
        <v>56</v>
      </c>
      <c r="H238" s="181" t="s">
        <v>263</v>
      </c>
      <c r="I238" s="181"/>
      <c r="J238" s="178">
        <v>7.44</v>
      </c>
      <c r="K238" s="182"/>
      <c r="L238" s="182" t="s">
        <v>107</v>
      </c>
      <c r="M238" s="178" t="s">
        <v>78</v>
      </c>
      <c r="N238" s="178">
        <v>0</v>
      </c>
      <c r="O238" s="178" t="s">
        <v>60</v>
      </c>
      <c r="P238" s="178" t="s">
        <v>206</v>
      </c>
      <c r="Q238" s="179"/>
      <c r="R238" s="179"/>
      <c r="S238" s="180">
        <v>30</v>
      </c>
      <c r="T238" s="179"/>
      <c r="U238" s="179"/>
      <c r="V238" s="167"/>
      <c r="W238" s="168"/>
      <c r="Y238" s="167"/>
      <c r="Z238" s="82" t="s">
        <v>63</v>
      </c>
      <c r="AA238" s="166">
        <v>155</v>
      </c>
      <c r="AB238" s="166">
        <v>65</v>
      </c>
      <c r="AC238" s="165">
        <v>450</v>
      </c>
      <c r="AD238" s="165" t="s">
        <v>515</v>
      </c>
      <c r="AE238" s="165" t="s">
        <v>516</v>
      </c>
      <c r="AF238" s="165">
        <v>185</v>
      </c>
      <c r="AG238" s="165" t="s">
        <v>517</v>
      </c>
      <c r="AH238" s="165" t="s">
        <v>518</v>
      </c>
      <c r="AI238" s="165">
        <v>1</v>
      </c>
      <c r="AJ238" s="165">
        <v>3650</v>
      </c>
      <c r="AK238" s="166">
        <v>4.83</v>
      </c>
      <c r="AL238" s="166"/>
      <c r="AM238" s="166"/>
      <c r="AN238" s="166"/>
      <c r="AO238" s="166"/>
      <c r="AP238" s="166"/>
      <c r="AQ238" s="166">
        <v>1.35</v>
      </c>
      <c r="AR238" s="166">
        <v>33</v>
      </c>
      <c r="AS238" s="165"/>
      <c r="AT238" s="165"/>
      <c r="AU238" s="165"/>
      <c r="AV238" s="165"/>
      <c r="AW238" s="165"/>
      <c r="AX238" s="165"/>
      <c r="AY238" s="165"/>
      <c r="AZ238" s="165"/>
      <c r="BA238" s="166"/>
      <c r="BB238" s="166"/>
      <c r="BC238" s="166"/>
      <c r="BD238" s="166"/>
      <c r="BE238" s="166"/>
      <c r="BF238" s="166"/>
      <c r="BG238" s="166"/>
      <c r="BH238" s="166"/>
      <c r="BI238" s="165"/>
      <c r="BJ238" s="165"/>
      <c r="BK238" s="165"/>
      <c r="BL238" s="165"/>
      <c r="BM238" s="165"/>
      <c r="BN238" s="165"/>
      <c r="BO238" s="165"/>
      <c r="BP238" s="165"/>
      <c r="BQ238" s="166" t="s">
        <v>189</v>
      </c>
      <c r="BR238" s="165" t="s">
        <v>519</v>
      </c>
      <c r="BS238" s="124">
        <v>433</v>
      </c>
      <c r="BT238" s="124"/>
    </row>
    <row r="239" spans="1:72" ht="14.25" hidden="1" customHeight="1" x14ac:dyDescent="0.2">
      <c r="A239" s="92">
        <v>434</v>
      </c>
      <c r="B239" s="235" t="s">
        <v>513</v>
      </c>
      <c r="C239" s="236" t="s">
        <v>514</v>
      </c>
      <c r="D239" s="235" t="s">
        <v>303</v>
      </c>
      <c r="E239" s="125" t="s">
        <v>184</v>
      </c>
      <c r="F239" s="181" t="s">
        <v>103</v>
      </c>
      <c r="G239" s="181" t="s">
        <v>76</v>
      </c>
      <c r="H239" s="181" t="s">
        <v>263</v>
      </c>
      <c r="I239" s="181"/>
      <c r="J239" s="178">
        <v>7.44</v>
      </c>
      <c r="K239" s="182"/>
      <c r="L239" s="182" t="s">
        <v>107</v>
      </c>
      <c r="M239" s="178" t="s">
        <v>78</v>
      </c>
      <c r="N239" s="178">
        <v>0</v>
      </c>
      <c r="O239" s="178" t="s">
        <v>60</v>
      </c>
      <c r="P239" s="178" t="s">
        <v>206</v>
      </c>
      <c r="Q239" s="179"/>
      <c r="R239" s="179"/>
      <c r="S239" s="180">
        <v>30</v>
      </c>
      <c r="T239" s="179"/>
      <c r="U239" s="179"/>
      <c r="V239" s="167"/>
      <c r="W239" s="168"/>
      <c r="Y239" s="167"/>
      <c r="Z239" s="82" t="s">
        <v>63</v>
      </c>
      <c r="AA239" s="166">
        <v>1</v>
      </c>
      <c r="AB239" s="166"/>
      <c r="AC239" s="165">
        <v>0</v>
      </c>
      <c r="AD239" s="165" t="s">
        <v>237</v>
      </c>
      <c r="AE239" s="165" t="s">
        <v>264</v>
      </c>
      <c r="AF239" s="165"/>
      <c r="AG239" s="165"/>
      <c r="AH239" s="165"/>
      <c r="AI239" s="165"/>
      <c r="AJ239" s="165"/>
      <c r="AK239" s="166"/>
      <c r="AL239" s="166"/>
      <c r="AM239" s="166"/>
      <c r="AN239" s="166"/>
      <c r="AO239" s="166"/>
      <c r="AP239" s="166"/>
      <c r="AQ239" s="166"/>
      <c r="AR239" s="166"/>
      <c r="AS239" s="165"/>
      <c r="AT239" s="165"/>
      <c r="AU239" s="165"/>
      <c r="AV239" s="165"/>
      <c r="AW239" s="165"/>
      <c r="AX239" s="165"/>
      <c r="AY239" s="165"/>
      <c r="AZ239" s="165"/>
      <c r="BA239" s="166"/>
      <c r="BB239" s="166"/>
      <c r="BC239" s="166"/>
      <c r="BD239" s="166"/>
      <c r="BE239" s="166"/>
      <c r="BF239" s="166"/>
      <c r="BG239" s="166"/>
      <c r="BH239" s="166"/>
      <c r="BI239" s="165"/>
      <c r="BJ239" s="165"/>
      <c r="BK239" s="165"/>
      <c r="BL239" s="165"/>
      <c r="BM239" s="165"/>
      <c r="BN239" s="165"/>
      <c r="BO239" s="165"/>
      <c r="BP239" s="165"/>
      <c r="BQ239" s="166" t="s">
        <v>189</v>
      </c>
      <c r="BR239" s="165" t="s">
        <v>520</v>
      </c>
      <c r="BS239" s="124">
        <v>434</v>
      </c>
      <c r="BT239" s="124"/>
    </row>
    <row r="240" spans="1:72" ht="14.25" hidden="1" customHeight="1" x14ac:dyDescent="0.2">
      <c r="A240" s="92">
        <v>435</v>
      </c>
      <c r="B240" s="235" t="s">
        <v>513</v>
      </c>
      <c r="C240" s="236" t="s">
        <v>514</v>
      </c>
      <c r="D240" s="235" t="s">
        <v>307</v>
      </c>
      <c r="E240" s="125" t="s">
        <v>184</v>
      </c>
      <c r="F240" s="181" t="s">
        <v>103</v>
      </c>
      <c r="G240" s="181" t="s">
        <v>76</v>
      </c>
      <c r="H240" s="181" t="s">
        <v>263</v>
      </c>
      <c r="I240" s="181"/>
      <c r="J240" s="178">
        <v>7.44</v>
      </c>
      <c r="K240" s="182"/>
      <c r="L240" s="182" t="s">
        <v>107</v>
      </c>
      <c r="M240" s="178" t="s">
        <v>78</v>
      </c>
      <c r="N240" s="178">
        <v>0</v>
      </c>
      <c r="O240" s="178" t="s">
        <v>60</v>
      </c>
      <c r="P240" s="178" t="s">
        <v>206</v>
      </c>
      <c r="Q240" s="179"/>
      <c r="R240" s="179"/>
      <c r="S240" s="180">
        <v>30</v>
      </c>
      <c r="T240" s="179"/>
      <c r="U240" s="179"/>
      <c r="V240" s="167"/>
      <c r="W240" s="168"/>
      <c r="Y240" s="167"/>
      <c r="Z240" s="82" t="s">
        <v>63</v>
      </c>
      <c r="AA240" s="166">
        <v>1</v>
      </c>
      <c r="AB240" s="166"/>
      <c r="AC240" s="165">
        <v>0.27</v>
      </c>
      <c r="AD240" s="165" t="s">
        <v>237</v>
      </c>
      <c r="AE240" s="165" t="s">
        <v>264</v>
      </c>
      <c r="AF240" s="165"/>
      <c r="AG240" s="165"/>
      <c r="AH240" s="165"/>
      <c r="AI240" s="165"/>
      <c r="AJ240" s="165"/>
      <c r="AK240" s="166"/>
      <c r="AL240" s="166"/>
      <c r="AM240" s="166"/>
      <c r="AN240" s="166"/>
      <c r="AO240" s="166"/>
      <c r="AP240" s="166"/>
      <c r="AQ240" s="166"/>
      <c r="AR240" s="166"/>
      <c r="AS240" s="165"/>
      <c r="AT240" s="165"/>
      <c r="AU240" s="165"/>
      <c r="AV240" s="165"/>
      <c r="AW240" s="165"/>
      <c r="AX240" s="165"/>
      <c r="AY240" s="165"/>
      <c r="AZ240" s="165"/>
      <c r="BA240" s="166"/>
      <c r="BB240" s="166"/>
      <c r="BC240" s="166"/>
      <c r="BD240" s="166"/>
      <c r="BE240" s="166"/>
      <c r="BF240" s="166"/>
      <c r="BG240" s="166"/>
      <c r="BH240" s="166"/>
      <c r="BI240" s="165"/>
      <c r="BJ240" s="165"/>
      <c r="BK240" s="165"/>
      <c r="BL240" s="165"/>
      <c r="BM240" s="165"/>
      <c r="BN240" s="165"/>
      <c r="BO240" s="165"/>
      <c r="BP240" s="165"/>
      <c r="BQ240" s="166" t="s">
        <v>189</v>
      </c>
      <c r="BR240" s="165" t="s">
        <v>520</v>
      </c>
      <c r="BS240" s="124">
        <v>435</v>
      </c>
      <c r="BT240" s="124"/>
    </row>
    <row r="241" spans="1:71" ht="14.25" hidden="1" customHeight="1" x14ac:dyDescent="0.2">
      <c r="A241" s="92">
        <v>436</v>
      </c>
      <c r="B241" s="235" t="s">
        <v>513</v>
      </c>
      <c r="C241" s="236" t="s">
        <v>514</v>
      </c>
      <c r="D241" s="235" t="s">
        <v>308</v>
      </c>
      <c r="E241" s="125" t="s">
        <v>184</v>
      </c>
      <c r="F241" s="181" t="s">
        <v>103</v>
      </c>
      <c r="G241" s="181" t="s">
        <v>76</v>
      </c>
      <c r="H241" s="181" t="s">
        <v>263</v>
      </c>
      <c r="I241" s="181"/>
      <c r="J241" s="178">
        <v>7.44</v>
      </c>
      <c r="K241" s="182"/>
      <c r="L241" s="182" t="s">
        <v>107</v>
      </c>
      <c r="M241" s="178" t="s">
        <v>78</v>
      </c>
      <c r="N241" s="178">
        <v>0</v>
      </c>
      <c r="O241" s="178" t="s">
        <v>60</v>
      </c>
      <c r="P241" s="178" t="s">
        <v>206</v>
      </c>
      <c r="Q241" s="179"/>
      <c r="R241" s="179"/>
      <c r="S241" s="180">
        <v>30</v>
      </c>
      <c r="T241" s="179"/>
      <c r="U241" s="179"/>
      <c r="V241" s="167"/>
      <c r="W241" s="168"/>
      <c r="Y241" s="167"/>
      <c r="Z241" s="82" t="s">
        <v>63</v>
      </c>
      <c r="AA241" s="166">
        <v>1</v>
      </c>
      <c r="AB241" s="166"/>
      <c r="AC241" s="165">
        <v>0.5</v>
      </c>
      <c r="AD241" s="165" t="s">
        <v>237</v>
      </c>
      <c r="AE241" s="165" t="s">
        <v>264</v>
      </c>
      <c r="AF241" s="165"/>
      <c r="AG241" s="165"/>
      <c r="AH241" s="165"/>
      <c r="AI241" s="165"/>
      <c r="AJ241" s="165"/>
      <c r="AK241" s="166"/>
      <c r="AL241" s="166"/>
      <c r="AM241" s="166"/>
      <c r="AN241" s="166"/>
      <c r="AO241" s="166"/>
      <c r="AP241" s="166"/>
      <c r="AQ241" s="166"/>
      <c r="AR241" s="166"/>
      <c r="AS241" s="165"/>
      <c r="AT241" s="165"/>
      <c r="AU241" s="165"/>
      <c r="AV241" s="165"/>
      <c r="AW241" s="165"/>
      <c r="AX241" s="165"/>
      <c r="AY241" s="165"/>
      <c r="AZ241" s="165"/>
      <c r="BA241" s="166"/>
      <c r="BB241" s="166"/>
      <c r="BC241" s="166"/>
      <c r="BD241" s="166"/>
      <c r="BE241" s="166"/>
      <c r="BF241" s="166"/>
      <c r="BG241" s="166"/>
      <c r="BH241" s="166"/>
      <c r="BI241" s="165"/>
      <c r="BJ241" s="165"/>
      <c r="BK241" s="165"/>
      <c r="BL241" s="165"/>
      <c r="BM241" s="165"/>
      <c r="BN241" s="165"/>
      <c r="BO241" s="165"/>
      <c r="BP241" s="165"/>
      <c r="BQ241" s="166" t="s">
        <v>189</v>
      </c>
      <c r="BR241" s="165" t="s">
        <v>520</v>
      </c>
      <c r="BS241" s="124">
        <v>436</v>
      </c>
    </row>
    <row r="242" spans="1:71" ht="14.25" hidden="1" customHeight="1" x14ac:dyDescent="0.2">
      <c r="A242" s="92">
        <v>437</v>
      </c>
      <c r="B242" s="235" t="s">
        <v>513</v>
      </c>
      <c r="C242" s="236" t="s">
        <v>514</v>
      </c>
      <c r="D242" s="235" t="s">
        <v>309</v>
      </c>
      <c r="E242" s="125" t="s">
        <v>184</v>
      </c>
      <c r="F242" s="181" t="s">
        <v>103</v>
      </c>
      <c r="G242" s="181" t="s">
        <v>76</v>
      </c>
      <c r="H242" s="181" t="s">
        <v>263</v>
      </c>
      <c r="I242" s="181"/>
      <c r="J242" s="178">
        <v>7.44</v>
      </c>
      <c r="K242" s="182"/>
      <c r="L242" s="182" t="s">
        <v>107</v>
      </c>
      <c r="M242" s="178" t="s">
        <v>78</v>
      </c>
      <c r="N242" s="178">
        <v>0</v>
      </c>
      <c r="O242" s="178" t="s">
        <v>60</v>
      </c>
      <c r="P242" s="178" t="s">
        <v>206</v>
      </c>
      <c r="Q242" s="179"/>
      <c r="R242" s="179"/>
      <c r="S242" s="180">
        <v>30</v>
      </c>
      <c r="T242" s="179"/>
      <c r="U242" s="179"/>
      <c r="V242" s="167"/>
      <c r="W242" s="168"/>
      <c r="Y242" s="167"/>
      <c r="Z242" s="82" t="s">
        <v>63</v>
      </c>
      <c r="AA242" s="166">
        <v>1</v>
      </c>
      <c r="AB242" s="166"/>
      <c r="AC242" s="165">
        <v>0.86</v>
      </c>
      <c r="AD242" s="165" t="s">
        <v>237</v>
      </c>
      <c r="AE242" s="165" t="s">
        <v>264</v>
      </c>
      <c r="AF242" s="165"/>
      <c r="AG242" s="165"/>
      <c r="AH242" s="165"/>
      <c r="AI242" s="165"/>
      <c r="AJ242" s="165"/>
      <c r="AK242" s="166"/>
      <c r="AL242" s="166"/>
      <c r="AM242" s="166"/>
      <c r="AN242" s="166"/>
      <c r="AO242" s="166"/>
      <c r="AP242" s="166"/>
      <c r="AQ242" s="166"/>
      <c r="AR242" s="166"/>
      <c r="AS242" s="165"/>
      <c r="AT242" s="165"/>
      <c r="AU242" s="165"/>
      <c r="AV242" s="165"/>
      <c r="AW242" s="165"/>
      <c r="AX242" s="165"/>
      <c r="AY242" s="165"/>
      <c r="AZ242" s="165"/>
      <c r="BA242" s="166"/>
      <c r="BB242" s="166"/>
      <c r="BC242" s="166"/>
      <c r="BD242" s="166"/>
      <c r="BE242" s="166"/>
      <c r="BF242" s="166"/>
      <c r="BG242" s="166"/>
      <c r="BH242" s="166"/>
      <c r="BI242" s="165"/>
      <c r="BJ242" s="165"/>
      <c r="BK242" s="165"/>
      <c r="BL242" s="165"/>
      <c r="BM242" s="165"/>
      <c r="BN242" s="165"/>
      <c r="BO242" s="165"/>
      <c r="BP242" s="165"/>
      <c r="BQ242" s="166" t="s">
        <v>189</v>
      </c>
      <c r="BR242" s="165" t="s">
        <v>520</v>
      </c>
      <c r="BS242" s="124">
        <v>437</v>
      </c>
    </row>
    <row r="243" spans="1:71" ht="14.25" hidden="1" customHeight="1" x14ac:dyDescent="0.2">
      <c r="A243" s="92">
        <v>438</v>
      </c>
      <c r="B243" s="235" t="s">
        <v>513</v>
      </c>
      <c r="C243" s="236" t="s">
        <v>514</v>
      </c>
      <c r="D243" s="235" t="s">
        <v>310</v>
      </c>
      <c r="E243" s="125" t="s">
        <v>184</v>
      </c>
      <c r="F243" s="181" t="s">
        <v>103</v>
      </c>
      <c r="G243" s="181" t="s">
        <v>76</v>
      </c>
      <c r="H243" s="181" t="s">
        <v>263</v>
      </c>
      <c r="I243" s="181"/>
      <c r="J243" s="178">
        <v>7.44</v>
      </c>
      <c r="K243" s="182"/>
      <c r="L243" s="182" t="s">
        <v>107</v>
      </c>
      <c r="M243" s="178" t="s">
        <v>78</v>
      </c>
      <c r="N243" s="178">
        <v>0</v>
      </c>
      <c r="O243" s="178" t="s">
        <v>60</v>
      </c>
      <c r="P243" s="178" t="s">
        <v>206</v>
      </c>
      <c r="Q243" s="179"/>
      <c r="R243" s="179"/>
      <c r="S243" s="180">
        <v>30</v>
      </c>
      <c r="T243" s="179"/>
      <c r="U243" s="179"/>
      <c r="V243" s="167"/>
      <c r="W243" s="168"/>
      <c r="Y243" s="167"/>
      <c r="Z243" s="82" t="s">
        <v>63</v>
      </c>
      <c r="AA243" s="166">
        <v>1</v>
      </c>
      <c r="AB243" s="166"/>
      <c r="AC243" s="165">
        <v>0.95</v>
      </c>
      <c r="AD243" s="165" t="s">
        <v>237</v>
      </c>
      <c r="AE243" s="165" t="s">
        <v>264</v>
      </c>
      <c r="AF243" s="165"/>
      <c r="AG243" s="165"/>
      <c r="AH243" s="165"/>
      <c r="AI243" s="165"/>
      <c r="AJ243" s="165"/>
      <c r="AK243" s="166"/>
      <c r="AL243" s="166"/>
      <c r="AM243" s="166"/>
      <c r="AN243" s="166"/>
      <c r="AO243" s="166"/>
      <c r="AP243" s="166"/>
      <c r="AQ243" s="166"/>
      <c r="AR243" s="166"/>
      <c r="AS243" s="165"/>
      <c r="AT243" s="165"/>
      <c r="AU243" s="165"/>
      <c r="AV243" s="165"/>
      <c r="AW243" s="165"/>
      <c r="AX243" s="165"/>
      <c r="AY243" s="165"/>
      <c r="AZ243" s="165"/>
      <c r="BA243" s="166"/>
      <c r="BB243" s="166"/>
      <c r="BC243" s="166"/>
      <c r="BD243" s="166"/>
      <c r="BE243" s="166"/>
      <c r="BF243" s="166"/>
      <c r="BG243" s="166"/>
      <c r="BH243" s="166"/>
      <c r="BI243" s="165"/>
      <c r="BJ243" s="165"/>
      <c r="BK243" s="165"/>
      <c r="BL243" s="165"/>
      <c r="BM243" s="165"/>
      <c r="BN243" s="165"/>
      <c r="BO243" s="165"/>
      <c r="BP243" s="165"/>
      <c r="BQ243" s="166" t="s">
        <v>189</v>
      </c>
      <c r="BR243" s="165" t="s">
        <v>520</v>
      </c>
      <c r="BS243" s="124">
        <v>438</v>
      </c>
    </row>
    <row r="244" spans="1:71" ht="14.25" hidden="1" customHeight="1" x14ac:dyDescent="0.2">
      <c r="A244" s="92">
        <v>439</v>
      </c>
      <c r="B244" s="235" t="s">
        <v>513</v>
      </c>
      <c r="C244" s="236" t="s">
        <v>514</v>
      </c>
      <c r="D244" s="235" t="s">
        <v>311</v>
      </c>
      <c r="E244" s="125" t="s">
        <v>184</v>
      </c>
      <c r="F244" s="181" t="s">
        <v>103</v>
      </c>
      <c r="G244" s="181" t="s">
        <v>76</v>
      </c>
      <c r="H244" s="181" t="s">
        <v>263</v>
      </c>
      <c r="I244" s="181"/>
      <c r="J244" s="178">
        <v>7.44</v>
      </c>
      <c r="K244" s="182"/>
      <c r="L244" s="182" t="s">
        <v>107</v>
      </c>
      <c r="M244" s="178" t="s">
        <v>78</v>
      </c>
      <c r="N244" s="178">
        <v>0</v>
      </c>
      <c r="O244" s="178" t="s">
        <v>60</v>
      </c>
      <c r="P244" s="178" t="s">
        <v>206</v>
      </c>
      <c r="Q244" s="179"/>
      <c r="R244" s="179"/>
      <c r="S244" s="180">
        <v>30</v>
      </c>
      <c r="T244" s="179"/>
      <c r="U244" s="179"/>
      <c r="V244" s="167"/>
      <c r="W244" s="168"/>
      <c r="Y244" s="167"/>
      <c r="Z244" s="82" t="s">
        <v>63</v>
      </c>
      <c r="AA244" s="166">
        <v>1</v>
      </c>
      <c r="AB244" s="166"/>
      <c r="AC244" s="165">
        <v>1.31</v>
      </c>
      <c r="AD244" s="165" t="s">
        <v>237</v>
      </c>
      <c r="AE244" s="165" t="s">
        <v>264</v>
      </c>
      <c r="AF244" s="165"/>
      <c r="AG244" s="165"/>
      <c r="AH244" s="165"/>
      <c r="AI244" s="165"/>
      <c r="AJ244" s="165"/>
      <c r="AK244" s="166"/>
      <c r="AL244" s="166"/>
      <c r="AM244" s="166"/>
      <c r="AN244" s="166"/>
      <c r="AO244" s="166"/>
      <c r="AP244" s="166"/>
      <c r="AQ244" s="166"/>
      <c r="AR244" s="166"/>
      <c r="AS244" s="165"/>
      <c r="AT244" s="165"/>
      <c r="AU244" s="165"/>
      <c r="AV244" s="165"/>
      <c r="AW244" s="165"/>
      <c r="AX244" s="165"/>
      <c r="AY244" s="165"/>
      <c r="AZ244" s="165"/>
      <c r="BA244" s="166"/>
      <c r="BB244" s="166"/>
      <c r="BC244" s="166"/>
      <c r="BD244" s="166"/>
      <c r="BE244" s="166"/>
      <c r="BF244" s="166"/>
      <c r="BG244" s="166"/>
      <c r="BH244" s="166"/>
      <c r="BI244" s="165"/>
      <c r="BJ244" s="165"/>
      <c r="BK244" s="165"/>
      <c r="BL244" s="165"/>
      <c r="BM244" s="165"/>
      <c r="BN244" s="165"/>
      <c r="BO244" s="165"/>
      <c r="BP244" s="165"/>
      <c r="BQ244" s="166" t="s">
        <v>189</v>
      </c>
      <c r="BR244" s="165" t="s">
        <v>520</v>
      </c>
      <c r="BS244" s="124">
        <v>439</v>
      </c>
    </row>
    <row r="245" spans="1:71" ht="14.25" hidden="1" customHeight="1" x14ac:dyDescent="0.2">
      <c r="A245" s="92">
        <v>440</v>
      </c>
      <c r="B245" s="235" t="s">
        <v>513</v>
      </c>
      <c r="C245" s="236" t="s">
        <v>514</v>
      </c>
      <c r="D245" s="235" t="s">
        <v>312</v>
      </c>
      <c r="E245" s="125" t="s">
        <v>184</v>
      </c>
      <c r="F245" s="181" t="s">
        <v>103</v>
      </c>
      <c r="G245" s="181" t="s">
        <v>76</v>
      </c>
      <c r="H245" s="181" t="s">
        <v>263</v>
      </c>
      <c r="I245" s="181"/>
      <c r="J245" s="178">
        <v>7.44</v>
      </c>
      <c r="K245" s="182"/>
      <c r="L245" s="182" t="s">
        <v>107</v>
      </c>
      <c r="M245" s="178" t="s">
        <v>78</v>
      </c>
      <c r="N245" s="178">
        <v>0</v>
      </c>
      <c r="O245" s="178" t="s">
        <v>60</v>
      </c>
      <c r="P245" s="178" t="s">
        <v>206</v>
      </c>
      <c r="Q245" s="179"/>
      <c r="R245" s="179"/>
      <c r="S245" s="180">
        <v>30</v>
      </c>
      <c r="T245" s="179"/>
      <c r="U245" s="179"/>
      <c r="V245" s="167"/>
      <c r="W245" s="168"/>
      <c r="Y245" s="167"/>
      <c r="Z245" s="82" t="s">
        <v>63</v>
      </c>
      <c r="AA245" s="166">
        <v>1</v>
      </c>
      <c r="AB245" s="166"/>
      <c r="AC245" s="165">
        <v>6.07</v>
      </c>
      <c r="AD245" s="165" t="s">
        <v>237</v>
      </c>
      <c r="AE245" s="165" t="s">
        <v>264</v>
      </c>
      <c r="AF245" s="165"/>
      <c r="AG245" s="165"/>
      <c r="AH245" s="165"/>
      <c r="AI245" s="165"/>
      <c r="AJ245" s="165"/>
      <c r="AK245" s="166"/>
      <c r="AL245" s="166"/>
      <c r="AM245" s="166"/>
      <c r="AN245" s="166"/>
      <c r="AO245" s="166"/>
      <c r="AP245" s="166"/>
      <c r="AQ245" s="166"/>
      <c r="AR245" s="166"/>
      <c r="AS245" s="165"/>
      <c r="AT245" s="165"/>
      <c r="AU245" s="165"/>
      <c r="AV245" s="165"/>
      <c r="AW245" s="165"/>
      <c r="AX245" s="165"/>
      <c r="AY245" s="165"/>
      <c r="AZ245" s="165"/>
      <c r="BA245" s="166"/>
      <c r="BB245" s="166"/>
      <c r="BC245" s="166"/>
      <c r="BD245" s="166"/>
      <c r="BE245" s="166"/>
      <c r="BF245" s="166"/>
      <c r="BG245" s="166"/>
      <c r="BH245" s="166"/>
      <c r="BI245" s="165"/>
      <c r="BJ245" s="165"/>
      <c r="BK245" s="165"/>
      <c r="BL245" s="165"/>
      <c r="BM245" s="165"/>
      <c r="BN245" s="165"/>
      <c r="BO245" s="165"/>
      <c r="BP245" s="165"/>
      <c r="BQ245" s="166" t="s">
        <v>189</v>
      </c>
      <c r="BR245" s="165" t="s">
        <v>520</v>
      </c>
      <c r="BS245" s="124">
        <v>440</v>
      </c>
    </row>
    <row r="246" spans="1:71" ht="14.25" hidden="1" customHeight="1" x14ac:dyDescent="0.2">
      <c r="A246" s="92">
        <v>441</v>
      </c>
      <c r="B246" s="235" t="s">
        <v>513</v>
      </c>
      <c r="C246" s="236" t="s">
        <v>514</v>
      </c>
      <c r="D246" s="235" t="s">
        <v>313</v>
      </c>
      <c r="E246" s="125" t="s">
        <v>184</v>
      </c>
      <c r="F246" s="181" t="s">
        <v>103</v>
      </c>
      <c r="G246" s="181" t="s">
        <v>76</v>
      </c>
      <c r="H246" s="181" t="s">
        <v>263</v>
      </c>
      <c r="I246" s="181"/>
      <c r="J246" s="178">
        <v>7.44</v>
      </c>
      <c r="K246" s="182"/>
      <c r="L246" s="182" t="s">
        <v>107</v>
      </c>
      <c r="M246" s="178" t="s">
        <v>78</v>
      </c>
      <c r="N246" s="178">
        <v>0</v>
      </c>
      <c r="O246" s="178" t="s">
        <v>60</v>
      </c>
      <c r="P246" s="178" t="s">
        <v>206</v>
      </c>
      <c r="Q246" s="179"/>
      <c r="R246" s="179"/>
      <c r="S246" s="180">
        <v>30</v>
      </c>
      <c r="T246" s="179"/>
      <c r="U246" s="179"/>
      <c r="V246" s="167"/>
      <c r="W246" s="168"/>
      <c r="Y246" s="167"/>
      <c r="Z246" s="82" t="s">
        <v>63</v>
      </c>
      <c r="AA246" s="166">
        <v>1</v>
      </c>
      <c r="AB246" s="166"/>
      <c r="AC246" s="165">
        <v>9.01</v>
      </c>
      <c r="AD246" s="165" t="s">
        <v>237</v>
      </c>
      <c r="AE246" s="165" t="s">
        <v>264</v>
      </c>
      <c r="AF246" s="165"/>
      <c r="AG246" s="165"/>
      <c r="AH246" s="165"/>
      <c r="AI246" s="165"/>
      <c r="AJ246" s="165"/>
      <c r="AK246" s="166"/>
      <c r="AL246" s="166"/>
      <c r="AM246" s="166"/>
      <c r="AN246" s="166"/>
      <c r="AO246" s="166"/>
      <c r="AP246" s="166"/>
      <c r="AQ246" s="166"/>
      <c r="AR246" s="166"/>
      <c r="AS246" s="165"/>
      <c r="AT246" s="165"/>
      <c r="AU246" s="165"/>
      <c r="AV246" s="165"/>
      <c r="AW246" s="165"/>
      <c r="AX246" s="165"/>
      <c r="AY246" s="165"/>
      <c r="AZ246" s="165"/>
      <c r="BA246" s="166"/>
      <c r="BB246" s="166"/>
      <c r="BC246" s="166"/>
      <c r="BD246" s="166"/>
      <c r="BE246" s="166"/>
      <c r="BF246" s="166"/>
      <c r="BG246" s="166"/>
      <c r="BH246" s="166"/>
      <c r="BI246" s="165"/>
      <c r="BJ246" s="165"/>
      <c r="BK246" s="165"/>
      <c r="BL246" s="165"/>
      <c r="BM246" s="165"/>
      <c r="BN246" s="165"/>
      <c r="BO246" s="165"/>
      <c r="BP246" s="165"/>
      <c r="BQ246" s="166" t="s">
        <v>189</v>
      </c>
      <c r="BR246" s="165" t="s">
        <v>520</v>
      </c>
      <c r="BS246" s="124">
        <v>441</v>
      </c>
    </row>
    <row r="247" spans="1:71" ht="14.25" hidden="1" customHeight="1" x14ac:dyDescent="0.2">
      <c r="A247" s="92">
        <v>442</v>
      </c>
      <c r="B247" s="235" t="s">
        <v>513</v>
      </c>
      <c r="C247" s="236" t="s">
        <v>514</v>
      </c>
      <c r="D247" s="235" t="s">
        <v>314</v>
      </c>
      <c r="E247" s="125" t="s">
        <v>184</v>
      </c>
      <c r="F247" s="181" t="s">
        <v>103</v>
      </c>
      <c r="G247" s="181" t="s">
        <v>76</v>
      </c>
      <c r="H247" s="181" t="s">
        <v>263</v>
      </c>
      <c r="I247" s="181"/>
      <c r="J247" s="178">
        <v>7.44</v>
      </c>
      <c r="K247" s="182"/>
      <c r="L247" s="182" t="s">
        <v>107</v>
      </c>
      <c r="M247" s="178" t="s">
        <v>78</v>
      </c>
      <c r="N247" s="178">
        <v>0</v>
      </c>
      <c r="O247" s="178" t="s">
        <v>60</v>
      </c>
      <c r="P247" s="178" t="s">
        <v>206</v>
      </c>
      <c r="Q247" s="179"/>
      <c r="R247" s="179"/>
      <c r="S247" s="180">
        <v>30</v>
      </c>
      <c r="T247" s="179"/>
      <c r="U247" s="179"/>
      <c r="V247" s="167"/>
      <c r="W247" s="168"/>
      <c r="Y247" s="167"/>
      <c r="Z247" s="82" t="s">
        <v>63</v>
      </c>
      <c r="AA247" s="166">
        <v>1</v>
      </c>
      <c r="AB247" s="166"/>
      <c r="AC247" s="165">
        <v>24.31</v>
      </c>
      <c r="AD247" s="165" t="s">
        <v>237</v>
      </c>
      <c r="AE247" s="165" t="s">
        <v>264</v>
      </c>
      <c r="AF247" s="165"/>
      <c r="AG247" s="165"/>
      <c r="AH247" s="165"/>
      <c r="AI247" s="165"/>
      <c r="AJ247" s="165"/>
      <c r="AK247" s="166"/>
      <c r="AL247" s="166"/>
      <c r="AM247" s="166"/>
      <c r="AN247" s="166"/>
      <c r="AO247" s="166"/>
      <c r="AP247" s="166"/>
      <c r="AQ247" s="166"/>
      <c r="AR247" s="166"/>
      <c r="AS247" s="165"/>
      <c r="AT247" s="165"/>
      <c r="AU247" s="165"/>
      <c r="AV247" s="165"/>
      <c r="AW247" s="165"/>
      <c r="AX247" s="165"/>
      <c r="AY247" s="165"/>
      <c r="AZ247" s="165"/>
      <c r="BA247" s="166"/>
      <c r="BB247" s="166"/>
      <c r="BC247" s="166"/>
      <c r="BD247" s="166"/>
      <c r="BE247" s="166"/>
      <c r="BF247" s="166"/>
      <c r="BG247" s="166"/>
      <c r="BH247" s="166"/>
      <c r="BI247" s="165"/>
      <c r="BJ247" s="165"/>
      <c r="BK247" s="165"/>
      <c r="BL247" s="165"/>
      <c r="BM247" s="165"/>
      <c r="BN247" s="165"/>
      <c r="BO247" s="165"/>
      <c r="BP247" s="165"/>
      <c r="BQ247" s="166" t="s">
        <v>189</v>
      </c>
      <c r="BR247" s="165" t="s">
        <v>520</v>
      </c>
      <c r="BS247" s="124">
        <v>442</v>
      </c>
    </row>
    <row r="248" spans="1:71" ht="14.25" hidden="1" customHeight="1" x14ac:dyDescent="0.2">
      <c r="A248" s="92">
        <v>443</v>
      </c>
      <c r="B248" s="235" t="s">
        <v>513</v>
      </c>
      <c r="C248" s="236" t="s">
        <v>514</v>
      </c>
      <c r="D248" s="235" t="s">
        <v>312</v>
      </c>
      <c r="E248" s="125" t="s">
        <v>184</v>
      </c>
      <c r="F248" s="181" t="s">
        <v>103</v>
      </c>
      <c r="G248" s="181" t="s">
        <v>76</v>
      </c>
      <c r="H248" s="181" t="s">
        <v>263</v>
      </c>
      <c r="I248" s="181"/>
      <c r="J248" s="178">
        <v>7.44</v>
      </c>
      <c r="K248" s="182"/>
      <c r="L248" s="182" t="s">
        <v>107</v>
      </c>
      <c r="M248" s="178" t="s">
        <v>78</v>
      </c>
      <c r="N248" s="178">
        <v>0</v>
      </c>
      <c r="O248" s="178" t="s">
        <v>60</v>
      </c>
      <c r="P248" s="178" t="s">
        <v>206</v>
      </c>
      <c r="Q248" s="179"/>
      <c r="R248" s="179"/>
      <c r="S248" s="180">
        <v>30</v>
      </c>
      <c r="T248" s="179"/>
      <c r="U248" s="179"/>
      <c r="V248" s="167"/>
      <c r="W248" s="168"/>
      <c r="Y248" s="167"/>
      <c r="Z248" s="82" t="s">
        <v>63</v>
      </c>
      <c r="AA248" s="166">
        <v>1</v>
      </c>
      <c r="AB248" s="166"/>
      <c r="AC248" s="165" t="s">
        <v>521</v>
      </c>
      <c r="AD248" s="165" t="s">
        <v>237</v>
      </c>
      <c r="AE248" s="165" t="s">
        <v>264</v>
      </c>
      <c r="AF248" s="165"/>
      <c r="AG248" s="165"/>
      <c r="AH248" s="165"/>
      <c r="AI248" s="165"/>
      <c r="AJ248" s="165"/>
      <c r="AK248" s="166"/>
      <c r="AL248" s="166"/>
      <c r="AM248" s="166"/>
      <c r="AN248" s="166"/>
      <c r="AO248" s="166"/>
      <c r="AP248" s="166"/>
      <c r="AQ248" s="166"/>
      <c r="AR248" s="166"/>
      <c r="AS248" s="165"/>
      <c r="AT248" s="165"/>
      <c r="AU248" s="165"/>
      <c r="AV248" s="165"/>
      <c r="AW248" s="165"/>
      <c r="AX248" s="165"/>
      <c r="AY248" s="165"/>
      <c r="AZ248" s="165"/>
      <c r="BA248" s="166"/>
      <c r="BB248" s="166"/>
      <c r="BC248" s="166"/>
      <c r="BD248" s="166"/>
      <c r="BE248" s="166"/>
      <c r="BF248" s="166"/>
      <c r="BG248" s="166"/>
      <c r="BH248" s="166"/>
      <c r="BI248" s="165"/>
      <c r="BJ248" s="165"/>
      <c r="BK248" s="165"/>
      <c r="BL248" s="165"/>
      <c r="BM248" s="165"/>
      <c r="BN248" s="165"/>
      <c r="BO248" s="165"/>
      <c r="BP248" s="165"/>
      <c r="BQ248" s="166" t="s">
        <v>189</v>
      </c>
      <c r="BR248" s="165" t="s">
        <v>520</v>
      </c>
      <c r="BS248" s="124">
        <v>443</v>
      </c>
    </row>
    <row r="249" spans="1:71" ht="14.25" hidden="1" customHeight="1" x14ac:dyDescent="0.2">
      <c r="A249" s="92">
        <v>444</v>
      </c>
      <c r="B249" s="235" t="s">
        <v>513</v>
      </c>
      <c r="C249" s="236" t="s">
        <v>514</v>
      </c>
      <c r="D249" s="235" t="s">
        <v>313</v>
      </c>
      <c r="E249" s="125" t="s">
        <v>184</v>
      </c>
      <c r="F249" s="181" t="s">
        <v>103</v>
      </c>
      <c r="G249" s="181" t="s">
        <v>76</v>
      </c>
      <c r="H249" s="181" t="s">
        <v>263</v>
      </c>
      <c r="I249" s="181"/>
      <c r="J249" s="178">
        <v>7.44</v>
      </c>
      <c r="K249" s="182"/>
      <c r="L249" s="182" t="s">
        <v>107</v>
      </c>
      <c r="M249" s="178" t="s">
        <v>78</v>
      </c>
      <c r="N249" s="178">
        <v>0</v>
      </c>
      <c r="O249" s="178" t="s">
        <v>60</v>
      </c>
      <c r="P249" s="178" t="s">
        <v>206</v>
      </c>
      <c r="Q249" s="179"/>
      <c r="R249" s="179"/>
      <c r="S249" s="180">
        <v>30</v>
      </c>
      <c r="T249" s="179"/>
      <c r="U249" s="179"/>
      <c r="V249" s="167"/>
      <c r="W249" s="168"/>
      <c r="Y249" s="167"/>
      <c r="Z249" s="82" t="s">
        <v>63</v>
      </c>
      <c r="AA249" s="166">
        <v>1</v>
      </c>
      <c r="AB249" s="166"/>
      <c r="AC249" s="165">
        <v>73.02</v>
      </c>
      <c r="AD249" s="165" t="s">
        <v>237</v>
      </c>
      <c r="AE249" s="165" t="s">
        <v>264</v>
      </c>
      <c r="AF249" s="165"/>
      <c r="AG249" s="165"/>
      <c r="AH249" s="165"/>
      <c r="AI249" s="165"/>
      <c r="AJ249" s="165"/>
      <c r="AK249" s="166"/>
      <c r="AL249" s="166"/>
      <c r="AM249" s="166"/>
      <c r="AN249" s="166"/>
      <c r="AO249" s="166"/>
      <c r="AP249" s="166"/>
      <c r="AQ249" s="166"/>
      <c r="AR249" s="166"/>
      <c r="AS249" s="165"/>
      <c r="AT249" s="165"/>
      <c r="AU249" s="165"/>
      <c r="AV249" s="165"/>
      <c r="AW249" s="165"/>
      <c r="AX249" s="165"/>
      <c r="AY249" s="165"/>
      <c r="AZ249" s="165"/>
      <c r="BA249" s="166"/>
      <c r="BB249" s="166"/>
      <c r="BC249" s="166"/>
      <c r="BD249" s="166"/>
      <c r="BE249" s="166"/>
      <c r="BF249" s="166"/>
      <c r="BG249" s="166"/>
      <c r="BH249" s="166"/>
      <c r="BI249" s="165"/>
      <c r="BJ249" s="165"/>
      <c r="BK249" s="165"/>
      <c r="BL249" s="165"/>
      <c r="BM249" s="165"/>
      <c r="BN249" s="165"/>
      <c r="BO249" s="165"/>
      <c r="BP249" s="165"/>
      <c r="BQ249" s="166" t="s">
        <v>189</v>
      </c>
      <c r="BR249" s="165" t="s">
        <v>520</v>
      </c>
      <c r="BS249" s="124">
        <v>444</v>
      </c>
    </row>
    <row r="250" spans="1:71" ht="14.25" hidden="1" customHeight="1" x14ac:dyDescent="0.2">
      <c r="A250" s="92">
        <v>445</v>
      </c>
      <c r="B250" s="235" t="s">
        <v>513</v>
      </c>
      <c r="C250" s="236" t="s">
        <v>514</v>
      </c>
      <c r="D250" s="235" t="s">
        <v>314</v>
      </c>
      <c r="E250" s="125" t="s">
        <v>184</v>
      </c>
      <c r="F250" s="181" t="s">
        <v>103</v>
      </c>
      <c r="G250" s="181" t="s">
        <v>76</v>
      </c>
      <c r="H250" s="181" t="s">
        <v>263</v>
      </c>
      <c r="I250" s="181"/>
      <c r="J250" s="178">
        <v>7.44</v>
      </c>
      <c r="K250" s="182"/>
      <c r="L250" s="182" t="s">
        <v>107</v>
      </c>
      <c r="M250" s="178" t="s">
        <v>78</v>
      </c>
      <c r="N250" s="178">
        <v>0</v>
      </c>
      <c r="O250" s="178" t="s">
        <v>60</v>
      </c>
      <c r="P250" s="178" t="s">
        <v>206</v>
      </c>
      <c r="Q250" s="179"/>
      <c r="R250" s="179"/>
      <c r="S250" s="180">
        <v>30</v>
      </c>
      <c r="T250" s="179"/>
      <c r="U250" s="179"/>
      <c r="V250" s="167"/>
      <c r="W250" s="168"/>
      <c r="Y250" s="167"/>
      <c r="Z250" s="82" t="s">
        <v>63</v>
      </c>
      <c r="AA250" s="166">
        <v>1</v>
      </c>
      <c r="AB250" s="166"/>
      <c r="AC250" s="165">
        <v>85.08</v>
      </c>
      <c r="AD250" s="165" t="s">
        <v>237</v>
      </c>
      <c r="AE250" s="165" t="s">
        <v>264</v>
      </c>
      <c r="AF250" s="165"/>
      <c r="AG250" s="165"/>
      <c r="AH250" s="165"/>
      <c r="AI250" s="165"/>
      <c r="AJ250" s="165"/>
      <c r="AK250" s="166"/>
      <c r="AL250" s="166"/>
      <c r="AM250" s="166"/>
      <c r="AN250" s="166"/>
      <c r="AO250" s="166"/>
      <c r="AP250" s="166"/>
      <c r="AQ250" s="166"/>
      <c r="AR250" s="166"/>
      <c r="AS250" s="165"/>
      <c r="AT250" s="165"/>
      <c r="AU250" s="165"/>
      <c r="AV250" s="165"/>
      <c r="AW250" s="165"/>
      <c r="AX250" s="165"/>
      <c r="AY250" s="165"/>
      <c r="AZ250" s="165"/>
      <c r="BA250" s="166"/>
      <c r="BB250" s="166"/>
      <c r="BC250" s="166"/>
      <c r="BD250" s="166"/>
      <c r="BE250" s="166"/>
      <c r="BF250" s="166"/>
      <c r="BG250" s="166"/>
      <c r="BH250" s="166"/>
      <c r="BI250" s="165"/>
      <c r="BJ250" s="165"/>
      <c r="BK250" s="165"/>
      <c r="BL250" s="165"/>
      <c r="BM250" s="165"/>
      <c r="BN250" s="165"/>
      <c r="BO250" s="165"/>
      <c r="BP250" s="165"/>
      <c r="BQ250" s="166" t="s">
        <v>189</v>
      </c>
      <c r="BR250" s="165" t="s">
        <v>520</v>
      </c>
      <c r="BS250" s="124">
        <v>445</v>
      </c>
    </row>
    <row r="251" spans="1:71" ht="14.25" hidden="1" customHeight="1" x14ac:dyDescent="0.2">
      <c r="A251" s="92">
        <v>446</v>
      </c>
      <c r="B251" s="235" t="s">
        <v>522</v>
      </c>
      <c r="C251" s="236" t="s">
        <v>523</v>
      </c>
      <c r="D251" s="235" t="s">
        <v>183</v>
      </c>
      <c r="E251" s="125" t="s">
        <v>184</v>
      </c>
      <c r="F251" s="181" t="s">
        <v>103</v>
      </c>
      <c r="G251" s="181" t="s">
        <v>56</v>
      </c>
      <c r="H251" s="181" t="s">
        <v>185</v>
      </c>
      <c r="I251" s="181"/>
      <c r="J251" s="178">
        <v>420</v>
      </c>
      <c r="K251" s="182"/>
      <c r="L251" s="182" t="s">
        <v>524</v>
      </c>
      <c r="M251" s="178" t="s">
        <v>78</v>
      </c>
      <c r="N251" s="178">
        <v>0</v>
      </c>
      <c r="O251" s="178" t="s">
        <v>60</v>
      </c>
      <c r="P251" s="178" t="s">
        <v>206</v>
      </c>
      <c r="Q251" s="179"/>
      <c r="R251" s="179" t="s">
        <v>525</v>
      </c>
      <c r="S251" s="180">
        <v>5</v>
      </c>
      <c r="T251" s="179"/>
      <c r="U251" s="179"/>
      <c r="V251" s="167"/>
      <c r="W251" s="168"/>
      <c r="Y251" s="167"/>
      <c r="Z251" s="82" t="s">
        <v>63</v>
      </c>
      <c r="AA251" s="166">
        <v>20</v>
      </c>
      <c r="AB251" s="166">
        <v>9</v>
      </c>
      <c r="AC251" s="165">
        <v>10.3</v>
      </c>
      <c r="AD251" s="165" t="s">
        <v>80</v>
      </c>
      <c r="AE251" s="165" t="s">
        <v>116</v>
      </c>
      <c r="AF251" s="165">
        <v>3.7290000000000001</v>
      </c>
      <c r="AG251" s="165" t="s">
        <v>80</v>
      </c>
      <c r="AH251" s="165" t="s">
        <v>117</v>
      </c>
      <c r="AI251" s="165">
        <v>4</v>
      </c>
      <c r="AJ251" s="165">
        <v>16</v>
      </c>
      <c r="AK251" s="166">
        <v>32.54</v>
      </c>
      <c r="AL251" s="166" t="s">
        <v>81</v>
      </c>
      <c r="AM251" s="166" t="s">
        <v>118</v>
      </c>
      <c r="AN251" s="166">
        <v>17.215</v>
      </c>
      <c r="AO251" s="166" t="s">
        <v>81</v>
      </c>
      <c r="AP251" s="166" t="s">
        <v>117</v>
      </c>
      <c r="AQ251" s="166">
        <v>14</v>
      </c>
      <c r="AR251" s="166">
        <v>77</v>
      </c>
      <c r="AS251" s="165"/>
      <c r="AT251" s="165"/>
      <c r="AU251" s="165"/>
      <c r="AV251" s="165"/>
      <c r="AW251" s="165"/>
      <c r="AX251" s="165"/>
      <c r="AY251" s="165"/>
      <c r="AZ251" s="165"/>
      <c r="BA251" s="166" t="s">
        <v>526</v>
      </c>
      <c r="BB251" s="166"/>
      <c r="BC251" s="166"/>
      <c r="BD251" s="166"/>
      <c r="BE251" s="166"/>
      <c r="BF251" s="166"/>
      <c r="BG251" s="166"/>
      <c r="BH251" s="166"/>
      <c r="BI251" s="165" t="s">
        <v>526</v>
      </c>
      <c r="BJ251" s="165"/>
      <c r="BK251" s="165"/>
      <c r="BL251" s="165"/>
      <c r="BM251" s="165"/>
      <c r="BN251" s="165"/>
      <c r="BO251" s="165"/>
      <c r="BP251" s="165"/>
      <c r="BQ251" s="166" t="s">
        <v>238</v>
      </c>
      <c r="BR251" s="165" t="s">
        <v>527</v>
      </c>
      <c r="BS251" s="124">
        <v>446</v>
      </c>
    </row>
    <row r="252" spans="1:71" ht="14.25" hidden="1" customHeight="1" x14ac:dyDescent="0.2">
      <c r="A252" s="92">
        <v>447</v>
      </c>
      <c r="B252" s="235" t="s">
        <v>528</v>
      </c>
      <c r="C252" s="236" t="s">
        <v>523</v>
      </c>
      <c r="D252" s="235" t="s">
        <v>303</v>
      </c>
      <c r="E252" s="125" t="s">
        <v>184</v>
      </c>
      <c r="F252" s="181" t="s">
        <v>103</v>
      </c>
      <c r="G252" s="181" t="s">
        <v>76</v>
      </c>
      <c r="H252" s="181" t="s">
        <v>185</v>
      </c>
      <c r="I252" s="181"/>
      <c r="J252" s="178">
        <v>11</v>
      </c>
      <c r="K252" s="182"/>
      <c r="L252" s="182" t="s">
        <v>107</v>
      </c>
      <c r="M252" s="178" t="s">
        <v>78</v>
      </c>
      <c r="N252" s="178">
        <v>0</v>
      </c>
      <c r="O252" s="178" t="s">
        <v>60</v>
      </c>
      <c r="P252" s="178" t="s">
        <v>206</v>
      </c>
      <c r="Q252" s="179"/>
      <c r="R252" s="179" t="s">
        <v>525</v>
      </c>
      <c r="S252" s="180">
        <v>5</v>
      </c>
      <c r="T252" s="179"/>
      <c r="U252" s="179"/>
      <c r="V252" s="167"/>
      <c r="W252" s="168"/>
      <c r="Y252" s="167"/>
      <c r="Z252" s="82" t="s">
        <v>63</v>
      </c>
      <c r="AA252" s="166">
        <v>1</v>
      </c>
      <c r="AB252" s="166">
        <v>0</v>
      </c>
      <c r="AC252" s="165">
        <v>15</v>
      </c>
      <c r="AD252" s="165" t="s">
        <v>80</v>
      </c>
      <c r="AE252" s="165" t="s">
        <v>264</v>
      </c>
      <c r="AF252" s="165"/>
      <c r="AG252" s="165"/>
      <c r="AH252" s="165"/>
      <c r="AI252" s="165"/>
      <c r="AJ252" s="165"/>
      <c r="AK252" s="166">
        <v>77</v>
      </c>
      <c r="AL252" s="166" t="s">
        <v>81</v>
      </c>
      <c r="AM252" s="166"/>
      <c r="AN252" s="166"/>
      <c r="AO252" s="166"/>
      <c r="AP252" s="166"/>
      <c r="AQ252" s="166"/>
      <c r="AR252" s="166"/>
      <c r="AS252" s="165"/>
      <c r="AT252" s="165"/>
      <c r="AU252" s="165"/>
      <c r="AV252" s="165"/>
      <c r="AW252" s="165"/>
      <c r="AX252" s="165"/>
      <c r="AY252" s="165"/>
      <c r="AZ252" s="165"/>
      <c r="BA252" s="166"/>
      <c r="BB252" s="166"/>
      <c r="BC252" s="166"/>
      <c r="BD252" s="166"/>
      <c r="BE252" s="166"/>
      <c r="BF252" s="166"/>
      <c r="BG252" s="166"/>
      <c r="BH252" s="166"/>
      <c r="BI252" s="165"/>
      <c r="BJ252" s="165"/>
      <c r="BK252" s="165"/>
      <c r="BL252" s="165"/>
      <c r="BM252" s="165"/>
      <c r="BN252" s="165"/>
      <c r="BO252" s="165"/>
      <c r="BP252" s="165"/>
      <c r="BQ252" s="166" t="s">
        <v>238</v>
      </c>
      <c r="BR252" s="165" t="s">
        <v>527</v>
      </c>
      <c r="BS252" s="124">
        <v>447</v>
      </c>
    </row>
    <row r="253" spans="1:71" ht="14.25" hidden="1" customHeight="1" x14ac:dyDescent="0.2">
      <c r="A253" s="92">
        <v>448</v>
      </c>
      <c r="B253" s="235" t="s">
        <v>528</v>
      </c>
      <c r="C253" s="236" t="s">
        <v>523</v>
      </c>
      <c r="D253" s="235" t="s">
        <v>307</v>
      </c>
      <c r="E253" s="125" t="s">
        <v>184</v>
      </c>
      <c r="F253" s="181" t="s">
        <v>103</v>
      </c>
      <c r="G253" s="181" t="s">
        <v>76</v>
      </c>
      <c r="H253" s="181" t="s">
        <v>185</v>
      </c>
      <c r="I253" s="181"/>
      <c r="J253" s="178">
        <v>8.9600000000000009</v>
      </c>
      <c r="K253" s="182"/>
      <c r="L253" s="182" t="s">
        <v>107</v>
      </c>
      <c r="M253" s="178" t="s">
        <v>78</v>
      </c>
      <c r="N253" s="178">
        <v>0</v>
      </c>
      <c r="O253" s="178" t="s">
        <v>60</v>
      </c>
      <c r="P253" s="178" t="s">
        <v>206</v>
      </c>
      <c r="Q253" s="179"/>
      <c r="R253" s="179" t="s">
        <v>525</v>
      </c>
      <c r="S253" s="180">
        <v>5</v>
      </c>
      <c r="T253" s="179"/>
      <c r="U253" s="179"/>
      <c r="V253" s="167"/>
      <c r="W253" s="168"/>
      <c r="Y253" s="167"/>
      <c r="Z253" s="82" t="s">
        <v>63</v>
      </c>
      <c r="AA253" s="166">
        <v>1</v>
      </c>
      <c r="AB253" s="166">
        <v>1</v>
      </c>
      <c r="AC253" s="165">
        <v>15</v>
      </c>
      <c r="AD253" s="165" t="s">
        <v>80</v>
      </c>
      <c r="AE253" s="165" t="s">
        <v>264</v>
      </c>
      <c r="AF253" s="165"/>
      <c r="AG253" s="165"/>
      <c r="AH253" s="165"/>
      <c r="AI253" s="165"/>
      <c r="AJ253" s="165"/>
      <c r="AK253" s="166">
        <v>62.5</v>
      </c>
      <c r="AL253" s="166" t="s">
        <v>81</v>
      </c>
      <c r="AM253" s="166"/>
      <c r="AN253" s="166"/>
      <c r="AO253" s="166"/>
      <c r="AP253" s="166"/>
      <c r="AQ253" s="166"/>
      <c r="AR253" s="166"/>
      <c r="AS253" s="165"/>
      <c r="AT253" s="165"/>
      <c r="AU253" s="165"/>
      <c r="AV253" s="165"/>
      <c r="AW253" s="165"/>
      <c r="AX253" s="165"/>
      <c r="AY253" s="165"/>
      <c r="AZ253" s="165"/>
      <c r="BA253" s="166"/>
      <c r="BB253" s="166"/>
      <c r="BC253" s="166"/>
      <c r="BD253" s="166"/>
      <c r="BE253" s="166"/>
      <c r="BF253" s="166"/>
      <c r="BG253" s="166"/>
      <c r="BH253" s="166"/>
      <c r="BI253" s="165"/>
      <c r="BJ253" s="165"/>
      <c r="BK253" s="165"/>
      <c r="BL253" s="165"/>
      <c r="BM253" s="165"/>
      <c r="BN253" s="165"/>
      <c r="BO253" s="165"/>
      <c r="BP253" s="165"/>
      <c r="BQ253" s="166" t="s">
        <v>238</v>
      </c>
      <c r="BR253" s="165" t="s">
        <v>527</v>
      </c>
      <c r="BS253" s="124">
        <v>448</v>
      </c>
    </row>
    <row r="254" spans="1:71" ht="14.25" hidden="1" customHeight="1" x14ac:dyDescent="0.2">
      <c r="A254" s="92">
        <v>449</v>
      </c>
      <c r="B254" s="235" t="s">
        <v>528</v>
      </c>
      <c r="C254" s="236" t="s">
        <v>523</v>
      </c>
      <c r="D254" s="235" t="s">
        <v>308</v>
      </c>
      <c r="E254" s="125" t="s">
        <v>184</v>
      </c>
      <c r="F254" s="181" t="s">
        <v>103</v>
      </c>
      <c r="G254" s="181" t="s">
        <v>76</v>
      </c>
      <c r="H254" s="181" t="s">
        <v>185</v>
      </c>
      <c r="I254" s="181"/>
      <c r="J254" s="178">
        <v>17.399999999999999</v>
      </c>
      <c r="K254" s="182"/>
      <c r="L254" s="182" t="s">
        <v>107</v>
      </c>
      <c r="M254" s="178" t="s">
        <v>78</v>
      </c>
      <c r="N254" s="178">
        <v>0</v>
      </c>
      <c r="O254" s="178" t="s">
        <v>60</v>
      </c>
      <c r="P254" s="178" t="s">
        <v>206</v>
      </c>
      <c r="Q254" s="179"/>
      <c r="R254" s="179" t="s">
        <v>525</v>
      </c>
      <c r="S254" s="180">
        <v>5</v>
      </c>
      <c r="T254" s="179"/>
      <c r="U254" s="179"/>
      <c r="V254" s="167"/>
      <c r="W254" s="168"/>
      <c r="Y254" s="167"/>
      <c r="Z254" s="82" t="s">
        <v>63</v>
      </c>
      <c r="AA254" s="166">
        <v>1</v>
      </c>
      <c r="AB254" s="166">
        <v>0</v>
      </c>
      <c r="AC254" s="165">
        <v>9</v>
      </c>
      <c r="AD254" s="165" t="s">
        <v>80</v>
      </c>
      <c r="AE254" s="165" t="s">
        <v>264</v>
      </c>
      <c r="AF254" s="165"/>
      <c r="AG254" s="165"/>
      <c r="AH254" s="165"/>
      <c r="AI254" s="165"/>
      <c r="AJ254" s="165"/>
      <c r="AK254" s="166">
        <v>21.5</v>
      </c>
      <c r="AL254" s="166" t="s">
        <v>81</v>
      </c>
      <c r="AM254" s="166"/>
      <c r="AN254" s="166"/>
      <c r="AO254" s="166"/>
      <c r="AP254" s="166"/>
      <c r="AQ254" s="166"/>
      <c r="AR254" s="166"/>
      <c r="AS254" s="165"/>
      <c r="AT254" s="165"/>
      <c r="AU254" s="165"/>
      <c r="AV254" s="165"/>
      <c r="AW254" s="165"/>
      <c r="AX254" s="165"/>
      <c r="AY254" s="165"/>
      <c r="AZ254" s="165"/>
      <c r="BA254" s="166"/>
      <c r="BB254" s="166"/>
      <c r="BC254" s="166"/>
      <c r="BD254" s="166"/>
      <c r="BE254" s="166"/>
      <c r="BF254" s="166"/>
      <c r="BG254" s="166"/>
      <c r="BH254" s="166"/>
      <c r="BI254" s="165"/>
      <c r="BJ254" s="165"/>
      <c r="BK254" s="165"/>
      <c r="BL254" s="165"/>
      <c r="BM254" s="165"/>
      <c r="BN254" s="165"/>
      <c r="BO254" s="165"/>
      <c r="BP254" s="165"/>
      <c r="BQ254" s="166" t="s">
        <v>238</v>
      </c>
      <c r="BR254" s="165" t="s">
        <v>527</v>
      </c>
      <c r="BS254" s="124">
        <v>449</v>
      </c>
    </row>
    <row r="255" spans="1:71" ht="14.25" hidden="1" customHeight="1" x14ac:dyDescent="0.2">
      <c r="A255" s="92">
        <v>450</v>
      </c>
      <c r="B255" s="235" t="s">
        <v>528</v>
      </c>
      <c r="C255" s="236" t="s">
        <v>523</v>
      </c>
      <c r="D255" s="235" t="s">
        <v>309</v>
      </c>
      <c r="E255" s="125" t="s">
        <v>184</v>
      </c>
      <c r="F255" s="181" t="s">
        <v>103</v>
      </c>
      <c r="G255" s="181" t="s">
        <v>76</v>
      </c>
      <c r="H255" s="181" t="s">
        <v>185</v>
      </c>
      <c r="I255" s="181"/>
      <c r="J255" s="178">
        <v>10.5</v>
      </c>
      <c r="K255" s="182"/>
      <c r="L255" s="182" t="s">
        <v>107</v>
      </c>
      <c r="M255" s="178" t="s">
        <v>78</v>
      </c>
      <c r="N255" s="178">
        <v>0</v>
      </c>
      <c r="O255" s="178" t="s">
        <v>60</v>
      </c>
      <c r="P255" s="178" t="s">
        <v>206</v>
      </c>
      <c r="Q255" s="179"/>
      <c r="R255" s="179" t="s">
        <v>525</v>
      </c>
      <c r="S255" s="180">
        <v>5</v>
      </c>
      <c r="T255" s="179"/>
      <c r="U255" s="179"/>
      <c r="V255" s="167"/>
      <c r="W255" s="168"/>
      <c r="Y255" s="167"/>
      <c r="Z255" s="82" t="s">
        <v>63</v>
      </c>
      <c r="AA255" s="166">
        <v>1</v>
      </c>
      <c r="AB255" s="166">
        <v>1</v>
      </c>
      <c r="AC255" s="165">
        <v>13</v>
      </c>
      <c r="AD255" s="165" t="s">
        <v>80</v>
      </c>
      <c r="AE255" s="165" t="s">
        <v>264</v>
      </c>
      <c r="AF255" s="165"/>
      <c r="AG255" s="165"/>
      <c r="AH255" s="165"/>
      <c r="AI255" s="165"/>
      <c r="AJ255" s="165"/>
      <c r="AK255" s="166">
        <v>51</v>
      </c>
      <c r="AL255" s="166" t="s">
        <v>81</v>
      </c>
      <c r="AM255" s="166"/>
      <c r="AN255" s="166"/>
      <c r="AO255" s="166"/>
      <c r="AP255" s="166"/>
      <c r="AQ255" s="166"/>
      <c r="AR255" s="166"/>
      <c r="AS255" s="165"/>
      <c r="AT255" s="165"/>
      <c r="AU255" s="165"/>
      <c r="AV255" s="165"/>
      <c r="AW255" s="165"/>
      <c r="AX255" s="165"/>
      <c r="AY255" s="165"/>
      <c r="AZ255" s="165"/>
      <c r="BA255" s="166"/>
      <c r="BB255" s="166"/>
      <c r="BC255" s="166"/>
      <c r="BD255" s="166"/>
      <c r="BE255" s="166"/>
      <c r="BF255" s="166"/>
      <c r="BG255" s="166"/>
      <c r="BH255" s="166"/>
      <c r="BI255" s="165"/>
      <c r="BJ255" s="165"/>
      <c r="BK255" s="165"/>
      <c r="BL255" s="165"/>
      <c r="BM255" s="165"/>
      <c r="BN255" s="165"/>
      <c r="BO255" s="165"/>
      <c r="BP255" s="165"/>
      <c r="BQ255" s="166" t="s">
        <v>238</v>
      </c>
      <c r="BR255" s="165" t="s">
        <v>527</v>
      </c>
      <c r="BS255" s="124">
        <v>450</v>
      </c>
    </row>
    <row r="256" spans="1:71" ht="14.25" hidden="1" customHeight="1" x14ac:dyDescent="0.2">
      <c r="A256" s="92">
        <v>451</v>
      </c>
      <c r="B256" s="235" t="s">
        <v>528</v>
      </c>
      <c r="C256" s="236" t="s">
        <v>523</v>
      </c>
      <c r="D256" s="235" t="s">
        <v>310</v>
      </c>
      <c r="E256" s="125" t="s">
        <v>184</v>
      </c>
      <c r="F256" s="181" t="s">
        <v>103</v>
      </c>
      <c r="G256" s="181" t="s">
        <v>76</v>
      </c>
      <c r="H256" s="181" t="s">
        <v>185</v>
      </c>
      <c r="I256" s="181"/>
      <c r="J256" s="178">
        <v>14.2</v>
      </c>
      <c r="K256" s="182"/>
      <c r="L256" s="182" t="s">
        <v>107</v>
      </c>
      <c r="M256" s="178" t="s">
        <v>78</v>
      </c>
      <c r="N256" s="178">
        <v>0</v>
      </c>
      <c r="O256" s="178" t="s">
        <v>60</v>
      </c>
      <c r="P256" s="178" t="s">
        <v>206</v>
      </c>
      <c r="Q256" s="179"/>
      <c r="R256" s="179" t="s">
        <v>525</v>
      </c>
      <c r="S256" s="180">
        <v>5</v>
      </c>
      <c r="T256" s="179"/>
      <c r="U256" s="179"/>
      <c r="V256" s="167"/>
      <c r="W256" s="168"/>
      <c r="Y256" s="167"/>
      <c r="Z256" s="82" t="s">
        <v>63</v>
      </c>
      <c r="AA256" s="166">
        <v>1</v>
      </c>
      <c r="AB256" s="166">
        <v>0</v>
      </c>
      <c r="AC256" s="165">
        <v>12</v>
      </c>
      <c r="AD256" s="165" t="s">
        <v>80</v>
      </c>
      <c r="AE256" s="165" t="s">
        <v>264</v>
      </c>
      <c r="AF256" s="165"/>
      <c r="AG256" s="165"/>
      <c r="AH256" s="165"/>
      <c r="AI256" s="165"/>
      <c r="AJ256" s="165"/>
      <c r="AK256" s="166">
        <v>27.1</v>
      </c>
      <c r="AL256" s="166" t="s">
        <v>81</v>
      </c>
      <c r="AM256" s="166"/>
      <c r="AN256" s="166"/>
      <c r="AO256" s="166"/>
      <c r="AP256" s="166"/>
      <c r="AQ256" s="166"/>
      <c r="AR256" s="166"/>
      <c r="AS256" s="165"/>
      <c r="AT256" s="165"/>
      <c r="AU256" s="165"/>
      <c r="AV256" s="165"/>
      <c r="AW256" s="165"/>
      <c r="AX256" s="165"/>
      <c r="AY256" s="165"/>
      <c r="AZ256" s="165"/>
      <c r="BA256" s="166"/>
      <c r="BB256" s="166"/>
      <c r="BC256" s="166"/>
      <c r="BD256" s="166"/>
      <c r="BE256" s="166"/>
      <c r="BF256" s="166"/>
      <c r="BG256" s="166"/>
      <c r="BH256" s="166"/>
      <c r="BI256" s="165"/>
      <c r="BJ256" s="165"/>
      <c r="BK256" s="165"/>
      <c r="BL256" s="165"/>
      <c r="BM256" s="165"/>
      <c r="BN256" s="165"/>
      <c r="BO256" s="165"/>
      <c r="BP256" s="165"/>
      <c r="BQ256" s="166" t="s">
        <v>238</v>
      </c>
      <c r="BR256" s="165" t="s">
        <v>527</v>
      </c>
      <c r="BS256" s="124">
        <v>451</v>
      </c>
    </row>
    <row r="257" spans="1:71" ht="14.25" hidden="1" customHeight="1" x14ac:dyDescent="0.2">
      <c r="A257" s="92">
        <v>452</v>
      </c>
      <c r="B257" s="235" t="s">
        <v>528</v>
      </c>
      <c r="C257" s="236" t="s">
        <v>523</v>
      </c>
      <c r="D257" s="235" t="s">
        <v>311</v>
      </c>
      <c r="E257" s="125" t="s">
        <v>184</v>
      </c>
      <c r="F257" s="181" t="s">
        <v>103</v>
      </c>
      <c r="G257" s="181" t="s">
        <v>76</v>
      </c>
      <c r="H257" s="181" t="s">
        <v>185</v>
      </c>
      <c r="I257" s="181"/>
      <c r="J257" s="178">
        <v>14.3</v>
      </c>
      <c r="K257" s="182"/>
      <c r="L257" s="182" t="s">
        <v>107</v>
      </c>
      <c r="M257" s="178" t="s">
        <v>78</v>
      </c>
      <c r="N257" s="178">
        <v>0</v>
      </c>
      <c r="O257" s="178" t="s">
        <v>60</v>
      </c>
      <c r="P257" s="178" t="s">
        <v>206</v>
      </c>
      <c r="Q257" s="179"/>
      <c r="R257" s="179" t="s">
        <v>525</v>
      </c>
      <c r="S257" s="180">
        <v>5</v>
      </c>
      <c r="T257" s="179"/>
      <c r="U257" s="179"/>
      <c r="V257" s="167"/>
      <c r="W257" s="168"/>
      <c r="Y257" s="167"/>
      <c r="Z257" s="82" t="s">
        <v>63</v>
      </c>
      <c r="AA257" s="166">
        <v>1</v>
      </c>
      <c r="AB257" s="166">
        <v>0</v>
      </c>
      <c r="AC257" s="165">
        <v>7</v>
      </c>
      <c r="AD257" s="165" t="s">
        <v>80</v>
      </c>
      <c r="AE257" s="165" t="s">
        <v>264</v>
      </c>
      <c r="AF257" s="165"/>
      <c r="AG257" s="165"/>
      <c r="AH257" s="165"/>
      <c r="AI257" s="165"/>
      <c r="AJ257" s="165"/>
      <c r="AK257" s="166">
        <v>27.4</v>
      </c>
      <c r="AL257" s="166" t="s">
        <v>81</v>
      </c>
      <c r="AM257" s="166"/>
      <c r="AN257" s="166"/>
      <c r="AO257" s="166"/>
      <c r="AP257" s="166"/>
      <c r="AQ257" s="166"/>
      <c r="AR257" s="166"/>
      <c r="AS257" s="165"/>
      <c r="AT257" s="165"/>
      <c r="AU257" s="165"/>
      <c r="AV257" s="165"/>
      <c r="AW257" s="165"/>
      <c r="AX257" s="165"/>
      <c r="AY257" s="165"/>
      <c r="AZ257" s="165"/>
      <c r="BA257" s="166"/>
      <c r="BB257" s="166"/>
      <c r="BC257" s="166"/>
      <c r="BD257" s="166"/>
      <c r="BE257" s="166"/>
      <c r="BF257" s="166"/>
      <c r="BG257" s="166"/>
      <c r="BH257" s="166"/>
      <c r="BI257" s="165"/>
      <c r="BJ257" s="165"/>
      <c r="BK257" s="165"/>
      <c r="BL257" s="165"/>
      <c r="BM257" s="165"/>
      <c r="BN257" s="165"/>
      <c r="BO257" s="165"/>
      <c r="BP257" s="165"/>
      <c r="BQ257" s="166" t="s">
        <v>238</v>
      </c>
      <c r="BR257" s="165" t="s">
        <v>527</v>
      </c>
      <c r="BS257" s="124">
        <v>452</v>
      </c>
    </row>
    <row r="258" spans="1:71" ht="14.25" hidden="1" customHeight="1" x14ac:dyDescent="0.2">
      <c r="A258" s="92">
        <v>453</v>
      </c>
      <c r="B258" s="235" t="s">
        <v>528</v>
      </c>
      <c r="C258" s="236" t="s">
        <v>523</v>
      </c>
      <c r="D258" s="235" t="s">
        <v>312</v>
      </c>
      <c r="E258" s="125" t="s">
        <v>184</v>
      </c>
      <c r="F258" s="181" t="s">
        <v>103</v>
      </c>
      <c r="G258" s="181" t="s">
        <v>76</v>
      </c>
      <c r="H258" s="181" t="s">
        <v>185</v>
      </c>
      <c r="I258" s="181"/>
      <c r="J258" s="178">
        <v>19.600000000000001</v>
      </c>
      <c r="K258" s="182"/>
      <c r="L258" s="182" t="s">
        <v>107</v>
      </c>
      <c r="M258" s="178" t="s">
        <v>78</v>
      </c>
      <c r="N258" s="178">
        <v>0</v>
      </c>
      <c r="O258" s="178" t="s">
        <v>60</v>
      </c>
      <c r="P258" s="178" t="s">
        <v>206</v>
      </c>
      <c r="Q258" s="179"/>
      <c r="R258" s="179" t="s">
        <v>525</v>
      </c>
      <c r="S258" s="180">
        <v>5</v>
      </c>
      <c r="T258" s="179"/>
      <c r="U258" s="179"/>
      <c r="V258" s="167"/>
      <c r="W258" s="168"/>
      <c r="Y258" s="167"/>
      <c r="Z258" s="82" t="s">
        <v>63</v>
      </c>
      <c r="AA258" s="166">
        <v>1</v>
      </c>
      <c r="AB258" s="166">
        <v>0</v>
      </c>
      <c r="AC258" s="165">
        <v>4</v>
      </c>
      <c r="AD258" s="165" t="s">
        <v>80</v>
      </c>
      <c r="AE258" s="165" t="s">
        <v>264</v>
      </c>
      <c r="AF258" s="165"/>
      <c r="AG258" s="165"/>
      <c r="AH258" s="165"/>
      <c r="AI258" s="165"/>
      <c r="AJ258" s="165"/>
      <c r="AK258" s="166">
        <v>14</v>
      </c>
      <c r="AL258" s="166" t="s">
        <v>81</v>
      </c>
      <c r="AM258" s="166"/>
      <c r="AN258" s="166"/>
      <c r="AO258" s="166"/>
      <c r="AP258" s="166"/>
      <c r="AQ258" s="166"/>
      <c r="AR258" s="166"/>
      <c r="AS258" s="165"/>
      <c r="AT258" s="165"/>
      <c r="AU258" s="165"/>
      <c r="AV258" s="165"/>
      <c r="AW258" s="165"/>
      <c r="AX258" s="165"/>
      <c r="AY258" s="165"/>
      <c r="AZ258" s="165"/>
      <c r="BA258" s="166"/>
      <c r="BB258" s="166"/>
      <c r="BC258" s="166"/>
      <c r="BD258" s="166"/>
      <c r="BE258" s="166"/>
      <c r="BF258" s="166"/>
      <c r="BG258" s="166"/>
      <c r="BH258" s="166"/>
      <c r="BI258" s="165"/>
      <c r="BJ258" s="165"/>
      <c r="BK258" s="165"/>
      <c r="BL258" s="165"/>
      <c r="BM258" s="165"/>
      <c r="BN258" s="165"/>
      <c r="BO258" s="165"/>
      <c r="BP258" s="165"/>
      <c r="BQ258" s="166" t="s">
        <v>238</v>
      </c>
      <c r="BR258" s="165" t="s">
        <v>527</v>
      </c>
      <c r="BS258" s="124">
        <v>453</v>
      </c>
    </row>
    <row r="259" spans="1:71" ht="14.25" hidden="1" customHeight="1" x14ac:dyDescent="0.2">
      <c r="A259" s="92">
        <v>454</v>
      </c>
      <c r="B259" s="235" t="s">
        <v>528</v>
      </c>
      <c r="C259" s="236" t="s">
        <v>523</v>
      </c>
      <c r="D259" s="235" t="s">
        <v>313</v>
      </c>
      <c r="E259" s="125" t="s">
        <v>184</v>
      </c>
      <c r="F259" s="181" t="s">
        <v>103</v>
      </c>
      <c r="G259" s="181" t="s">
        <v>76</v>
      </c>
      <c r="H259" s="181" t="s">
        <v>185</v>
      </c>
      <c r="I259" s="181"/>
      <c r="J259" s="178">
        <v>19.3</v>
      </c>
      <c r="K259" s="182"/>
      <c r="L259" s="182" t="s">
        <v>107</v>
      </c>
      <c r="M259" s="178" t="s">
        <v>78</v>
      </c>
      <c r="N259" s="178">
        <v>0</v>
      </c>
      <c r="O259" s="178" t="s">
        <v>60</v>
      </c>
      <c r="P259" s="178" t="s">
        <v>206</v>
      </c>
      <c r="Q259" s="179"/>
      <c r="R259" s="179" t="s">
        <v>525</v>
      </c>
      <c r="S259" s="180">
        <v>5</v>
      </c>
      <c r="T259" s="179"/>
      <c r="U259" s="179"/>
      <c r="V259" s="167"/>
      <c r="W259" s="168"/>
      <c r="Y259" s="167"/>
      <c r="Z259" s="82" t="s">
        <v>63</v>
      </c>
      <c r="AA259" s="166">
        <v>1</v>
      </c>
      <c r="AB259" s="166">
        <v>0</v>
      </c>
      <c r="AC259" s="165">
        <v>6</v>
      </c>
      <c r="AD259" s="165" t="s">
        <v>80</v>
      </c>
      <c r="AE259" s="165" t="s">
        <v>264</v>
      </c>
      <c r="AF259" s="165"/>
      <c r="AG259" s="165"/>
      <c r="AH259" s="165"/>
      <c r="AI259" s="165"/>
      <c r="AJ259" s="165"/>
      <c r="AK259" s="166">
        <v>17.3</v>
      </c>
      <c r="AL259" s="166" t="s">
        <v>81</v>
      </c>
      <c r="AM259" s="166"/>
      <c r="AN259" s="166"/>
      <c r="AO259" s="166"/>
      <c r="AP259" s="166"/>
      <c r="AQ259" s="166"/>
      <c r="AR259" s="166"/>
      <c r="AS259" s="165"/>
      <c r="AT259" s="165"/>
      <c r="AU259" s="165"/>
      <c r="AV259" s="165"/>
      <c r="AW259" s="165"/>
      <c r="AX259" s="165"/>
      <c r="AY259" s="165"/>
      <c r="AZ259" s="165"/>
      <c r="BA259" s="166"/>
      <c r="BB259" s="166"/>
      <c r="BC259" s="166"/>
      <c r="BD259" s="166"/>
      <c r="BE259" s="166"/>
      <c r="BF259" s="166"/>
      <c r="BG259" s="166"/>
      <c r="BH259" s="166"/>
      <c r="BI259" s="165"/>
      <c r="BJ259" s="165"/>
      <c r="BK259" s="165"/>
      <c r="BL259" s="165"/>
      <c r="BM259" s="165"/>
      <c r="BN259" s="165"/>
      <c r="BO259" s="165"/>
      <c r="BP259" s="165"/>
      <c r="BQ259" s="166" t="s">
        <v>238</v>
      </c>
      <c r="BR259" s="165" t="s">
        <v>527</v>
      </c>
      <c r="BS259" s="124">
        <v>454</v>
      </c>
    </row>
    <row r="260" spans="1:71" ht="14.25" hidden="1" customHeight="1" x14ac:dyDescent="0.2">
      <c r="A260" s="92">
        <v>455</v>
      </c>
      <c r="B260" s="235" t="s">
        <v>528</v>
      </c>
      <c r="C260" s="236" t="s">
        <v>523</v>
      </c>
      <c r="D260" s="235" t="s">
        <v>314</v>
      </c>
      <c r="E260" s="125" t="s">
        <v>184</v>
      </c>
      <c r="F260" s="181" t="s">
        <v>103</v>
      </c>
      <c r="G260" s="181" t="s">
        <v>76</v>
      </c>
      <c r="H260" s="181" t="s">
        <v>185</v>
      </c>
      <c r="I260" s="181"/>
      <c r="J260" s="178">
        <v>20</v>
      </c>
      <c r="K260" s="182"/>
      <c r="L260" s="182" t="s">
        <v>107</v>
      </c>
      <c r="M260" s="178" t="s">
        <v>78</v>
      </c>
      <c r="N260" s="178">
        <v>0</v>
      </c>
      <c r="O260" s="178" t="s">
        <v>60</v>
      </c>
      <c r="P260" s="178" t="s">
        <v>206</v>
      </c>
      <c r="Q260" s="179"/>
      <c r="R260" s="179" t="s">
        <v>525</v>
      </c>
      <c r="S260" s="180">
        <v>5</v>
      </c>
      <c r="T260" s="179"/>
      <c r="U260" s="179"/>
      <c r="V260" s="167"/>
      <c r="W260" s="168"/>
      <c r="Y260" s="167"/>
      <c r="Z260" s="82" t="s">
        <v>63</v>
      </c>
      <c r="AA260" s="166">
        <v>1</v>
      </c>
      <c r="AB260" s="166">
        <v>1</v>
      </c>
      <c r="AC260" s="165">
        <v>6</v>
      </c>
      <c r="AD260" s="165" t="s">
        <v>80</v>
      </c>
      <c r="AE260" s="165" t="s">
        <v>264</v>
      </c>
      <c r="AF260" s="165"/>
      <c r="AG260" s="165"/>
      <c r="AH260" s="165"/>
      <c r="AI260" s="165"/>
      <c r="AJ260" s="165"/>
      <c r="AK260" s="166">
        <v>15.5</v>
      </c>
      <c r="AL260" s="166" t="s">
        <v>81</v>
      </c>
      <c r="AM260" s="166"/>
      <c r="AN260" s="166"/>
      <c r="AO260" s="166"/>
      <c r="AP260" s="166"/>
      <c r="AQ260" s="166"/>
      <c r="AR260" s="166"/>
      <c r="AS260" s="165"/>
      <c r="AT260" s="165"/>
      <c r="AU260" s="165"/>
      <c r="AV260" s="165"/>
      <c r="AW260" s="165"/>
      <c r="AX260" s="165"/>
      <c r="AY260" s="165"/>
      <c r="AZ260" s="165"/>
      <c r="BA260" s="166"/>
      <c r="BB260" s="166"/>
      <c r="BC260" s="166"/>
      <c r="BD260" s="166"/>
      <c r="BE260" s="166"/>
      <c r="BF260" s="166"/>
      <c r="BG260" s="166"/>
      <c r="BH260" s="166"/>
      <c r="BI260" s="165"/>
      <c r="BJ260" s="165"/>
      <c r="BK260" s="165"/>
      <c r="BL260" s="165"/>
      <c r="BM260" s="165"/>
      <c r="BN260" s="165"/>
      <c r="BO260" s="165"/>
      <c r="BP260" s="165"/>
      <c r="BQ260" s="166" t="s">
        <v>238</v>
      </c>
      <c r="BR260" s="165" t="s">
        <v>527</v>
      </c>
      <c r="BS260" s="124">
        <v>455</v>
      </c>
    </row>
    <row r="261" spans="1:71" ht="14.25" hidden="1" customHeight="1" x14ac:dyDescent="0.2">
      <c r="A261" s="92">
        <v>456</v>
      </c>
      <c r="B261" s="235" t="s">
        <v>528</v>
      </c>
      <c r="C261" s="236" t="s">
        <v>523</v>
      </c>
      <c r="D261" s="235" t="s">
        <v>315</v>
      </c>
      <c r="E261" s="125" t="s">
        <v>184</v>
      </c>
      <c r="F261" s="181" t="s">
        <v>103</v>
      </c>
      <c r="G261" s="181" t="s">
        <v>76</v>
      </c>
      <c r="H261" s="181" t="s">
        <v>185</v>
      </c>
      <c r="I261" s="181"/>
      <c r="J261" s="178">
        <v>17.600000000000001</v>
      </c>
      <c r="K261" s="182"/>
      <c r="L261" s="182" t="s">
        <v>107</v>
      </c>
      <c r="M261" s="178" t="s">
        <v>78</v>
      </c>
      <c r="N261" s="178">
        <v>0</v>
      </c>
      <c r="O261" s="178" t="s">
        <v>60</v>
      </c>
      <c r="P261" s="178" t="s">
        <v>206</v>
      </c>
      <c r="Q261" s="179"/>
      <c r="R261" s="179" t="s">
        <v>525</v>
      </c>
      <c r="S261" s="180">
        <v>5</v>
      </c>
      <c r="T261" s="179"/>
      <c r="U261" s="179"/>
      <c r="V261" s="167"/>
      <c r="W261" s="168"/>
      <c r="Y261" s="167"/>
      <c r="Z261" s="82" t="s">
        <v>63</v>
      </c>
      <c r="AA261" s="166">
        <v>1</v>
      </c>
      <c r="AB261" s="166">
        <v>1</v>
      </c>
      <c r="AC261" s="165">
        <v>7</v>
      </c>
      <c r="AD261" s="165" t="s">
        <v>80</v>
      </c>
      <c r="AE261" s="165" t="s">
        <v>264</v>
      </c>
      <c r="AF261" s="165"/>
      <c r="AG261" s="165"/>
      <c r="AH261" s="165"/>
      <c r="AI261" s="165"/>
      <c r="AJ261" s="165"/>
      <c r="AK261" s="166">
        <v>15.9</v>
      </c>
      <c r="AL261" s="166" t="s">
        <v>81</v>
      </c>
      <c r="AM261" s="166"/>
      <c r="AN261" s="166"/>
      <c r="AO261" s="166"/>
      <c r="AP261" s="166"/>
      <c r="AQ261" s="166"/>
      <c r="AR261" s="166"/>
      <c r="AS261" s="165"/>
      <c r="AT261" s="165"/>
      <c r="AU261" s="165"/>
      <c r="AV261" s="165"/>
      <c r="AW261" s="165"/>
      <c r="AX261" s="165"/>
      <c r="AY261" s="165"/>
      <c r="AZ261" s="165"/>
      <c r="BA261" s="166"/>
      <c r="BB261" s="166"/>
      <c r="BC261" s="166"/>
      <c r="BD261" s="166"/>
      <c r="BE261" s="166"/>
      <c r="BF261" s="166"/>
      <c r="BG261" s="166"/>
      <c r="BH261" s="166"/>
      <c r="BI261" s="165"/>
      <c r="BJ261" s="165"/>
      <c r="BK261" s="165"/>
      <c r="BL261" s="165"/>
      <c r="BM261" s="165"/>
      <c r="BN261" s="165"/>
      <c r="BO261" s="165"/>
      <c r="BP261" s="165"/>
      <c r="BQ261" s="166" t="s">
        <v>238</v>
      </c>
      <c r="BR261" s="165" t="s">
        <v>527</v>
      </c>
      <c r="BS261" s="124">
        <v>456</v>
      </c>
    </row>
    <row r="262" spans="1:71" ht="14.25" hidden="1" customHeight="1" x14ac:dyDescent="0.2">
      <c r="A262" s="92">
        <v>457</v>
      </c>
      <c r="B262" s="235" t="s">
        <v>528</v>
      </c>
      <c r="C262" s="236" t="s">
        <v>523</v>
      </c>
      <c r="D262" s="235" t="s">
        <v>316</v>
      </c>
      <c r="E262" s="125" t="s">
        <v>184</v>
      </c>
      <c r="F262" s="181" t="s">
        <v>103</v>
      </c>
      <c r="G262" s="181" t="s">
        <v>76</v>
      </c>
      <c r="H262" s="181" t="s">
        <v>185</v>
      </c>
      <c r="I262" s="181"/>
      <c r="J262" s="178">
        <v>13.5</v>
      </c>
      <c r="K262" s="182"/>
      <c r="L262" s="182" t="s">
        <v>107</v>
      </c>
      <c r="M262" s="178" t="s">
        <v>78</v>
      </c>
      <c r="N262" s="178">
        <v>0</v>
      </c>
      <c r="O262" s="178" t="s">
        <v>60</v>
      </c>
      <c r="P262" s="178" t="s">
        <v>206</v>
      </c>
      <c r="Q262" s="179"/>
      <c r="R262" s="179" t="s">
        <v>525</v>
      </c>
      <c r="S262" s="180">
        <v>5</v>
      </c>
      <c r="T262" s="179"/>
      <c r="U262" s="179"/>
      <c r="V262" s="167"/>
      <c r="W262" s="168"/>
      <c r="Y262" s="167"/>
      <c r="Z262" s="82" t="s">
        <v>63</v>
      </c>
      <c r="AA262" s="166">
        <v>1</v>
      </c>
      <c r="AB262" s="166">
        <v>1</v>
      </c>
      <c r="AC262" s="165">
        <v>14</v>
      </c>
      <c r="AD262" s="165" t="s">
        <v>80</v>
      </c>
      <c r="AE262" s="165" t="s">
        <v>264</v>
      </c>
      <c r="AF262" s="165"/>
      <c r="AG262" s="165"/>
      <c r="AH262" s="165"/>
      <c r="AI262" s="165"/>
      <c r="AJ262" s="165"/>
      <c r="AK262" s="166">
        <v>39.5</v>
      </c>
      <c r="AL262" s="166" t="s">
        <v>81</v>
      </c>
      <c r="AM262" s="166"/>
      <c r="AN262" s="166"/>
      <c r="AO262" s="166"/>
      <c r="AP262" s="166"/>
      <c r="AQ262" s="166"/>
      <c r="AR262" s="166"/>
      <c r="AS262" s="165"/>
      <c r="AT262" s="165"/>
      <c r="AU262" s="165"/>
      <c r="AV262" s="165"/>
      <c r="AW262" s="165"/>
      <c r="AX262" s="165"/>
      <c r="AY262" s="165"/>
      <c r="AZ262" s="165"/>
      <c r="BA262" s="166"/>
      <c r="BB262" s="166"/>
      <c r="BC262" s="166"/>
      <c r="BD262" s="166"/>
      <c r="BE262" s="166"/>
      <c r="BF262" s="166"/>
      <c r="BG262" s="166"/>
      <c r="BH262" s="166"/>
      <c r="BI262" s="165"/>
      <c r="BJ262" s="165"/>
      <c r="BK262" s="165"/>
      <c r="BL262" s="165"/>
      <c r="BM262" s="165"/>
      <c r="BN262" s="165"/>
      <c r="BO262" s="165"/>
      <c r="BP262" s="165"/>
      <c r="BQ262" s="166" t="s">
        <v>238</v>
      </c>
      <c r="BR262" s="165" t="s">
        <v>527</v>
      </c>
      <c r="BS262" s="124">
        <v>457</v>
      </c>
    </row>
    <row r="263" spans="1:71" ht="14.25" hidden="1" customHeight="1" x14ac:dyDescent="0.2">
      <c r="A263" s="92">
        <v>458</v>
      </c>
      <c r="B263" s="235" t="s">
        <v>528</v>
      </c>
      <c r="C263" s="236" t="s">
        <v>523</v>
      </c>
      <c r="D263" s="235" t="s">
        <v>317</v>
      </c>
      <c r="E263" s="125" t="s">
        <v>184</v>
      </c>
      <c r="F263" s="181" t="s">
        <v>103</v>
      </c>
      <c r="G263" s="181" t="s">
        <v>76</v>
      </c>
      <c r="H263" s="181" t="s">
        <v>185</v>
      </c>
      <c r="I263" s="181"/>
      <c r="J263" s="178">
        <v>12.8</v>
      </c>
      <c r="K263" s="182"/>
      <c r="L263" s="182" t="s">
        <v>107</v>
      </c>
      <c r="M263" s="178" t="s">
        <v>78</v>
      </c>
      <c r="N263" s="178">
        <v>0</v>
      </c>
      <c r="O263" s="178" t="s">
        <v>60</v>
      </c>
      <c r="P263" s="178" t="s">
        <v>206</v>
      </c>
      <c r="Q263" s="179"/>
      <c r="R263" s="179" t="s">
        <v>525</v>
      </c>
      <c r="S263" s="180">
        <v>5</v>
      </c>
      <c r="T263" s="179"/>
      <c r="U263" s="179"/>
      <c r="V263" s="167"/>
      <c r="W263" s="168"/>
      <c r="Y263" s="167"/>
      <c r="Z263" s="82" t="s">
        <v>63</v>
      </c>
      <c r="AA263" s="166">
        <v>1</v>
      </c>
      <c r="AB263" s="166">
        <v>0</v>
      </c>
      <c r="AC263" s="165">
        <v>10</v>
      </c>
      <c r="AD263" s="165" t="s">
        <v>80</v>
      </c>
      <c r="AE263" s="165" t="s">
        <v>264</v>
      </c>
      <c r="AF263" s="165"/>
      <c r="AG263" s="165"/>
      <c r="AH263" s="165"/>
      <c r="AI263" s="165"/>
      <c r="AJ263" s="165"/>
      <c r="AK263" s="166">
        <v>32.799999999999997</v>
      </c>
      <c r="AL263" s="166" t="s">
        <v>81</v>
      </c>
      <c r="AM263" s="166"/>
      <c r="AN263" s="166"/>
      <c r="AO263" s="166"/>
      <c r="AP263" s="166"/>
      <c r="AQ263" s="166"/>
      <c r="AR263" s="166"/>
      <c r="AS263" s="165"/>
      <c r="AT263" s="165"/>
      <c r="AU263" s="165"/>
      <c r="AV263" s="165"/>
      <c r="AW263" s="165"/>
      <c r="AX263" s="165"/>
      <c r="AY263" s="165"/>
      <c r="AZ263" s="165"/>
      <c r="BA263" s="166"/>
      <c r="BB263" s="166"/>
      <c r="BC263" s="166"/>
      <c r="BD263" s="166"/>
      <c r="BE263" s="166"/>
      <c r="BF263" s="166"/>
      <c r="BG263" s="166"/>
      <c r="BH263" s="166"/>
      <c r="BI263" s="165"/>
      <c r="BJ263" s="165"/>
      <c r="BK263" s="165"/>
      <c r="BL263" s="165"/>
      <c r="BM263" s="165"/>
      <c r="BN263" s="165"/>
      <c r="BO263" s="165"/>
      <c r="BP263" s="165"/>
      <c r="BQ263" s="166" t="s">
        <v>238</v>
      </c>
      <c r="BR263" s="165" t="s">
        <v>527</v>
      </c>
      <c r="BS263" s="124">
        <v>458</v>
      </c>
    </row>
    <row r="264" spans="1:71" ht="14.25" hidden="1" customHeight="1" x14ac:dyDescent="0.2">
      <c r="A264" s="92">
        <v>459</v>
      </c>
      <c r="B264" s="235" t="s">
        <v>528</v>
      </c>
      <c r="C264" s="236" t="s">
        <v>523</v>
      </c>
      <c r="D264" s="235" t="s">
        <v>318</v>
      </c>
      <c r="E264" s="125" t="s">
        <v>184</v>
      </c>
      <c r="F264" s="181" t="s">
        <v>103</v>
      </c>
      <c r="G264" s="181" t="s">
        <v>76</v>
      </c>
      <c r="H264" s="181" t="s">
        <v>185</v>
      </c>
      <c r="I264" s="181"/>
      <c r="J264" s="178">
        <v>12.7</v>
      </c>
      <c r="K264" s="182"/>
      <c r="L264" s="182" t="s">
        <v>107</v>
      </c>
      <c r="M264" s="178" t="s">
        <v>78</v>
      </c>
      <c r="N264" s="178">
        <v>0</v>
      </c>
      <c r="O264" s="178" t="s">
        <v>60</v>
      </c>
      <c r="P264" s="178" t="s">
        <v>206</v>
      </c>
      <c r="Q264" s="179"/>
      <c r="R264" s="179" t="s">
        <v>525</v>
      </c>
      <c r="S264" s="180">
        <v>5</v>
      </c>
      <c r="T264" s="179"/>
      <c r="U264" s="179"/>
      <c r="V264" s="167"/>
      <c r="W264" s="168"/>
      <c r="Y264" s="167"/>
      <c r="Z264" s="82" t="s">
        <v>63</v>
      </c>
      <c r="AA264" s="166">
        <v>1</v>
      </c>
      <c r="AB264" s="166">
        <v>0</v>
      </c>
      <c r="AC264" s="165">
        <v>14</v>
      </c>
      <c r="AD264" s="165" t="s">
        <v>80</v>
      </c>
      <c r="AE264" s="165" t="s">
        <v>264</v>
      </c>
      <c r="AF264" s="165"/>
      <c r="AG264" s="165"/>
      <c r="AH264" s="165"/>
      <c r="AI264" s="165"/>
      <c r="AJ264" s="165"/>
      <c r="AK264" s="166">
        <v>45.5</v>
      </c>
      <c r="AL264" s="166" t="s">
        <v>81</v>
      </c>
      <c r="AM264" s="166"/>
      <c r="AN264" s="166"/>
      <c r="AO264" s="166"/>
      <c r="AP264" s="166"/>
      <c r="AQ264" s="166"/>
      <c r="AR264" s="166"/>
      <c r="AS264" s="165"/>
      <c r="AT264" s="165"/>
      <c r="AU264" s="165"/>
      <c r="AV264" s="165"/>
      <c r="AW264" s="165"/>
      <c r="AX264" s="165"/>
      <c r="AY264" s="165"/>
      <c r="AZ264" s="165"/>
      <c r="BA264" s="166"/>
      <c r="BB264" s="166"/>
      <c r="BC264" s="166"/>
      <c r="BD264" s="166"/>
      <c r="BE264" s="166"/>
      <c r="BF264" s="166"/>
      <c r="BG264" s="166"/>
      <c r="BH264" s="166"/>
      <c r="BI264" s="165"/>
      <c r="BJ264" s="165"/>
      <c r="BK264" s="165"/>
      <c r="BL264" s="165"/>
      <c r="BM264" s="165"/>
      <c r="BN264" s="165"/>
      <c r="BO264" s="165"/>
      <c r="BP264" s="165"/>
      <c r="BQ264" s="166" t="s">
        <v>238</v>
      </c>
      <c r="BR264" s="165" t="s">
        <v>527</v>
      </c>
      <c r="BS264" s="124">
        <v>459</v>
      </c>
    </row>
    <row r="265" spans="1:71" ht="14.25" hidden="1" customHeight="1" x14ac:dyDescent="0.2">
      <c r="A265" s="92">
        <v>460</v>
      </c>
      <c r="B265" s="235" t="s">
        <v>528</v>
      </c>
      <c r="C265" s="236" t="s">
        <v>523</v>
      </c>
      <c r="D265" s="235" t="s">
        <v>319</v>
      </c>
      <c r="E265" s="125" t="s">
        <v>184</v>
      </c>
      <c r="F265" s="181" t="s">
        <v>103</v>
      </c>
      <c r="G265" s="181" t="s">
        <v>76</v>
      </c>
      <c r="H265" s="181" t="s">
        <v>185</v>
      </c>
      <c r="I265" s="181"/>
      <c r="J265" s="178">
        <v>15.5</v>
      </c>
      <c r="K265" s="182"/>
      <c r="L265" s="182" t="s">
        <v>107</v>
      </c>
      <c r="M265" s="178" t="s">
        <v>78</v>
      </c>
      <c r="N265" s="178">
        <v>0</v>
      </c>
      <c r="O265" s="178" t="s">
        <v>60</v>
      </c>
      <c r="P265" s="178" t="s">
        <v>206</v>
      </c>
      <c r="Q265" s="179"/>
      <c r="R265" s="179" t="s">
        <v>525</v>
      </c>
      <c r="S265" s="180">
        <v>5</v>
      </c>
      <c r="T265" s="179"/>
      <c r="U265" s="179"/>
      <c r="V265" s="167"/>
      <c r="W265" s="168"/>
      <c r="Y265" s="167"/>
      <c r="Z265" s="82" t="s">
        <v>63</v>
      </c>
      <c r="AA265" s="166">
        <v>1</v>
      </c>
      <c r="AB265" s="166">
        <v>1</v>
      </c>
      <c r="AC265" s="165">
        <v>11</v>
      </c>
      <c r="AD265" s="165" t="s">
        <v>80</v>
      </c>
      <c r="AE265" s="165" t="s">
        <v>264</v>
      </c>
      <c r="AF265" s="165"/>
      <c r="AG265" s="165"/>
      <c r="AH265" s="165"/>
      <c r="AI265" s="165"/>
      <c r="AJ265" s="165"/>
      <c r="AK265" s="166">
        <v>35.200000000000003</v>
      </c>
      <c r="AL265" s="166" t="s">
        <v>81</v>
      </c>
      <c r="AM265" s="166"/>
      <c r="AN265" s="166"/>
      <c r="AO265" s="166"/>
      <c r="AP265" s="166"/>
      <c r="AQ265" s="166"/>
      <c r="AR265" s="166"/>
      <c r="AS265" s="165"/>
      <c r="AT265" s="165"/>
      <c r="AU265" s="165"/>
      <c r="AV265" s="165"/>
      <c r="AW265" s="165"/>
      <c r="AX265" s="165"/>
      <c r="AY265" s="165"/>
      <c r="AZ265" s="165"/>
      <c r="BA265" s="166"/>
      <c r="BB265" s="166"/>
      <c r="BC265" s="166"/>
      <c r="BD265" s="166"/>
      <c r="BE265" s="166"/>
      <c r="BF265" s="166"/>
      <c r="BG265" s="166"/>
      <c r="BH265" s="166"/>
      <c r="BI265" s="165"/>
      <c r="BJ265" s="165"/>
      <c r="BK265" s="165"/>
      <c r="BL265" s="165"/>
      <c r="BM265" s="165"/>
      <c r="BN265" s="165"/>
      <c r="BO265" s="165"/>
      <c r="BP265" s="165"/>
      <c r="BQ265" s="166" t="s">
        <v>238</v>
      </c>
      <c r="BR265" s="165" t="s">
        <v>527</v>
      </c>
      <c r="BS265" s="124">
        <v>460</v>
      </c>
    </row>
    <row r="266" spans="1:71" ht="14.25" hidden="1" customHeight="1" x14ac:dyDescent="0.2">
      <c r="A266" s="92">
        <v>461</v>
      </c>
      <c r="B266" s="235" t="s">
        <v>528</v>
      </c>
      <c r="C266" s="236" t="s">
        <v>523</v>
      </c>
      <c r="D266" s="235" t="s">
        <v>320</v>
      </c>
      <c r="E266" s="125" t="s">
        <v>184</v>
      </c>
      <c r="F266" s="181" t="s">
        <v>103</v>
      </c>
      <c r="G266" s="181" t="s">
        <v>76</v>
      </c>
      <c r="H266" s="181" t="s">
        <v>185</v>
      </c>
      <c r="I266" s="181"/>
      <c r="J266" s="178">
        <v>14.2</v>
      </c>
      <c r="K266" s="182"/>
      <c r="L266" s="182" t="s">
        <v>107</v>
      </c>
      <c r="M266" s="178" t="s">
        <v>78</v>
      </c>
      <c r="N266" s="178">
        <v>0</v>
      </c>
      <c r="O266" s="178" t="s">
        <v>60</v>
      </c>
      <c r="P266" s="178" t="s">
        <v>206</v>
      </c>
      <c r="Q266" s="179"/>
      <c r="R266" s="179" t="s">
        <v>525</v>
      </c>
      <c r="S266" s="180">
        <v>5</v>
      </c>
      <c r="T266" s="179"/>
      <c r="U266" s="179"/>
      <c r="V266" s="167"/>
      <c r="W266" s="168"/>
      <c r="Y266" s="167"/>
      <c r="Z266" s="82" t="s">
        <v>63</v>
      </c>
      <c r="AA266" s="166">
        <v>1</v>
      </c>
      <c r="AB266" s="166">
        <v>0</v>
      </c>
      <c r="AC266" s="165">
        <v>13</v>
      </c>
      <c r="AD266" s="165" t="s">
        <v>80</v>
      </c>
      <c r="AE266" s="165" t="s">
        <v>264</v>
      </c>
      <c r="AF266" s="165"/>
      <c r="AG266" s="165"/>
      <c r="AH266" s="165"/>
      <c r="AI266" s="165"/>
      <c r="AJ266" s="165"/>
      <c r="AK266" s="166">
        <v>27.7</v>
      </c>
      <c r="AL266" s="166" t="s">
        <v>81</v>
      </c>
      <c r="AM266" s="166"/>
      <c r="AN266" s="166"/>
      <c r="AO266" s="166"/>
      <c r="AP266" s="166"/>
      <c r="AQ266" s="166"/>
      <c r="AR266" s="166"/>
      <c r="AS266" s="165"/>
      <c r="AT266" s="165"/>
      <c r="AU266" s="165"/>
      <c r="AV266" s="165"/>
      <c r="AW266" s="165"/>
      <c r="AX266" s="165"/>
      <c r="AY266" s="165"/>
      <c r="AZ266" s="165"/>
      <c r="BA266" s="166"/>
      <c r="BB266" s="166"/>
      <c r="BC266" s="166"/>
      <c r="BD266" s="166"/>
      <c r="BE266" s="166"/>
      <c r="BF266" s="166"/>
      <c r="BG266" s="166"/>
      <c r="BH266" s="166"/>
      <c r="BI266" s="165"/>
      <c r="BJ266" s="165"/>
      <c r="BK266" s="165"/>
      <c r="BL266" s="165"/>
      <c r="BM266" s="165"/>
      <c r="BN266" s="165"/>
      <c r="BO266" s="165"/>
      <c r="BP266" s="165"/>
      <c r="BQ266" s="166" t="s">
        <v>238</v>
      </c>
      <c r="BR266" s="165" t="s">
        <v>527</v>
      </c>
      <c r="BS266" s="124">
        <v>461</v>
      </c>
    </row>
    <row r="267" spans="1:71" ht="14.25" hidden="1" customHeight="1" x14ac:dyDescent="0.2">
      <c r="A267" s="92">
        <v>462</v>
      </c>
      <c r="B267" s="235" t="s">
        <v>528</v>
      </c>
      <c r="C267" s="236" t="s">
        <v>523</v>
      </c>
      <c r="D267" s="235" t="s">
        <v>321</v>
      </c>
      <c r="E267" s="125" t="s">
        <v>184</v>
      </c>
      <c r="F267" s="181" t="s">
        <v>103</v>
      </c>
      <c r="G267" s="181" t="s">
        <v>76</v>
      </c>
      <c r="H267" s="181" t="s">
        <v>185</v>
      </c>
      <c r="I267" s="181"/>
      <c r="J267" s="178">
        <v>19.899999999999999</v>
      </c>
      <c r="K267" s="182"/>
      <c r="L267" s="182" t="s">
        <v>107</v>
      </c>
      <c r="M267" s="178" t="s">
        <v>78</v>
      </c>
      <c r="N267" s="178">
        <v>0</v>
      </c>
      <c r="O267" s="178" t="s">
        <v>60</v>
      </c>
      <c r="P267" s="178" t="s">
        <v>206</v>
      </c>
      <c r="Q267" s="179"/>
      <c r="R267" s="179" t="s">
        <v>525</v>
      </c>
      <c r="S267" s="180">
        <v>5</v>
      </c>
      <c r="T267" s="179"/>
      <c r="U267" s="179"/>
      <c r="V267" s="167"/>
      <c r="W267" s="168"/>
      <c r="Y267" s="167"/>
      <c r="Z267" s="82" t="s">
        <v>63</v>
      </c>
      <c r="AA267" s="166">
        <v>1</v>
      </c>
      <c r="AB267" s="166">
        <v>1</v>
      </c>
      <c r="AC267" s="165">
        <v>8</v>
      </c>
      <c r="AD267" s="165" t="s">
        <v>80</v>
      </c>
      <c r="AE267" s="165" t="s">
        <v>264</v>
      </c>
      <c r="AF267" s="165"/>
      <c r="AG267" s="165"/>
      <c r="AH267" s="165"/>
      <c r="AI267" s="165"/>
      <c r="AJ267" s="165"/>
      <c r="AK267" s="166">
        <v>20.8</v>
      </c>
      <c r="AL267" s="166" t="s">
        <v>81</v>
      </c>
      <c r="AM267" s="166"/>
      <c r="AN267" s="166"/>
      <c r="AO267" s="166"/>
      <c r="AP267" s="166"/>
      <c r="AQ267" s="166"/>
      <c r="AR267" s="166"/>
      <c r="AS267" s="165"/>
      <c r="AT267" s="165"/>
      <c r="AU267" s="165"/>
      <c r="AV267" s="165"/>
      <c r="AW267" s="165"/>
      <c r="AX267" s="165"/>
      <c r="AY267" s="165"/>
      <c r="AZ267" s="165"/>
      <c r="BA267" s="166"/>
      <c r="BB267" s="166"/>
      <c r="BC267" s="166"/>
      <c r="BD267" s="166"/>
      <c r="BE267" s="166"/>
      <c r="BF267" s="166"/>
      <c r="BG267" s="166"/>
      <c r="BH267" s="166"/>
      <c r="BI267" s="165"/>
      <c r="BJ267" s="165"/>
      <c r="BK267" s="165"/>
      <c r="BL267" s="165"/>
      <c r="BM267" s="165"/>
      <c r="BN267" s="165"/>
      <c r="BO267" s="165"/>
      <c r="BP267" s="165"/>
      <c r="BQ267" s="166" t="s">
        <v>238</v>
      </c>
      <c r="BR267" s="165" t="s">
        <v>527</v>
      </c>
      <c r="BS267" s="124">
        <v>462</v>
      </c>
    </row>
    <row r="268" spans="1:71" ht="14.25" hidden="1" customHeight="1" x14ac:dyDescent="0.2">
      <c r="A268" s="92">
        <v>463</v>
      </c>
      <c r="B268" s="235" t="s">
        <v>528</v>
      </c>
      <c r="C268" s="236" t="s">
        <v>523</v>
      </c>
      <c r="D268" s="235" t="s">
        <v>322</v>
      </c>
      <c r="E268" s="125" t="s">
        <v>184</v>
      </c>
      <c r="F268" s="181" t="s">
        <v>103</v>
      </c>
      <c r="G268" s="181" t="s">
        <v>76</v>
      </c>
      <c r="H268" s="181" t="s">
        <v>185</v>
      </c>
      <c r="I268" s="181"/>
      <c r="J268" s="178">
        <v>19.3</v>
      </c>
      <c r="K268" s="182"/>
      <c r="L268" s="182" t="s">
        <v>107</v>
      </c>
      <c r="M268" s="178" t="s">
        <v>78</v>
      </c>
      <c r="N268" s="178">
        <v>0</v>
      </c>
      <c r="O268" s="178" t="s">
        <v>60</v>
      </c>
      <c r="P268" s="178" t="s">
        <v>206</v>
      </c>
      <c r="Q268" s="179"/>
      <c r="R268" s="179" t="s">
        <v>525</v>
      </c>
      <c r="S268" s="180">
        <v>5</v>
      </c>
      <c r="T268" s="179"/>
      <c r="U268" s="179"/>
      <c r="V268" s="167"/>
      <c r="W268" s="168"/>
      <c r="Y268" s="167"/>
      <c r="Z268" s="82" t="s">
        <v>63</v>
      </c>
      <c r="AA268" s="166">
        <v>1</v>
      </c>
      <c r="AB268" s="166">
        <v>0</v>
      </c>
      <c r="AC268" s="165">
        <v>6</v>
      </c>
      <c r="AD268" s="165" t="s">
        <v>80</v>
      </c>
      <c r="AE268" s="165" t="s">
        <v>264</v>
      </c>
      <c r="AF268" s="165"/>
      <c r="AG268" s="165"/>
      <c r="AH268" s="165"/>
      <c r="AI268" s="165"/>
      <c r="AJ268" s="165"/>
      <c r="AK268" s="166">
        <v>15.5</v>
      </c>
      <c r="AL268" s="166" t="s">
        <v>81</v>
      </c>
      <c r="AM268" s="166"/>
      <c r="AN268" s="166"/>
      <c r="AO268" s="166"/>
      <c r="AP268" s="166"/>
      <c r="AQ268" s="166"/>
      <c r="AR268" s="166"/>
      <c r="AS268" s="165"/>
      <c r="AT268" s="165"/>
      <c r="AU268" s="165"/>
      <c r="AV268" s="165"/>
      <c r="AW268" s="165"/>
      <c r="AX268" s="165"/>
      <c r="AY268" s="165"/>
      <c r="AZ268" s="165"/>
      <c r="BA268" s="166"/>
      <c r="BB268" s="166"/>
      <c r="BC268" s="166"/>
      <c r="BD268" s="166"/>
      <c r="BE268" s="166"/>
      <c r="BF268" s="166"/>
      <c r="BG268" s="166"/>
      <c r="BH268" s="166"/>
      <c r="BI268" s="165"/>
      <c r="BJ268" s="165"/>
      <c r="BK268" s="165"/>
      <c r="BL268" s="165"/>
      <c r="BM268" s="165"/>
      <c r="BN268" s="165"/>
      <c r="BO268" s="165"/>
      <c r="BP268" s="165"/>
      <c r="BQ268" s="166" t="s">
        <v>238</v>
      </c>
      <c r="BR268" s="165" t="s">
        <v>527</v>
      </c>
      <c r="BS268" s="124">
        <v>463</v>
      </c>
    </row>
    <row r="269" spans="1:71" ht="14.25" hidden="1" customHeight="1" x14ac:dyDescent="0.2">
      <c r="A269" s="92">
        <v>464</v>
      </c>
      <c r="B269" s="235" t="s">
        <v>528</v>
      </c>
      <c r="C269" s="236" t="s">
        <v>523</v>
      </c>
      <c r="D269" s="235" t="s">
        <v>323</v>
      </c>
      <c r="E269" s="125" t="s">
        <v>184</v>
      </c>
      <c r="F269" s="181" t="s">
        <v>103</v>
      </c>
      <c r="G269" s="181" t="s">
        <v>76</v>
      </c>
      <c r="H269" s="181" t="s">
        <v>185</v>
      </c>
      <c r="I269" s="181"/>
      <c r="J269" s="178">
        <v>11.2</v>
      </c>
      <c r="K269" s="182"/>
      <c r="L269" s="182" t="s">
        <v>107</v>
      </c>
      <c r="M269" s="178" t="s">
        <v>78</v>
      </c>
      <c r="N269" s="178">
        <v>0</v>
      </c>
      <c r="O269" s="178" t="s">
        <v>60</v>
      </c>
      <c r="P269" s="178" t="s">
        <v>206</v>
      </c>
      <c r="Q269" s="179"/>
      <c r="R269" s="179" t="s">
        <v>525</v>
      </c>
      <c r="S269" s="180">
        <v>5</v>
      </c>
      <c r="T269" s="179"/>
      <c r="U269" s="179"/>
      <c r="V269" s="167"/>
      <c r="W269" s="168"/>
      <c r="Y269" s="167"/>
      <c r="Z269" s="82" t="s">
        <v>63</v>
      </c>
      <c r="AA269" s="166">
        <v>1</v>
      </c>
      <c r="AB269" s="166">
        <v>1</v>
      </c>
      <c r="AC269" s="165">
        <v>13</v>
      </c>
      <c r="AD269" s="165" t="s">
        <v>80</v>
      </c>
      <c r="AE269" s="165" t="s">
        <v>264</v>
      </c>
      <c r="AF269" s="165"/>
      <c r="AG269" s="165"/>
      <c r="AH269" s="165"/>
      <c r="AI269" s="165"/>
      <c r="AJ269" s="165"/>
      <c r="AK269" s="166">
        <v>49</v>
      </c>
      <c r="AL269" s="166" t="s">
        <v>81</v>
      </c>
      <c r="AM269" s="166"/>
      <c r="AN269" s="166"/>
      <c r="AO269" s="166"/>
      <c r="AP269" s="166"/>
      <c r="AQ269" s="166"/>
      <c r="AR269" s="166"/>
      <c r="AS269" s="165"/>
      <c r="AT269" s="165"/>
      <c r="AU269" s="165"/>
      <c r="AV269" s="165"/>
      <c r="AW269" s="165"/>
      <c r="AX269" s="165"/>
      <c r="AY269" s="165"/>
      <c r="AZ269" s="165"/>
      <c r="BA269" s="166"/>
      <c r="BB269" s="166"/>
      <c r="BC269" s="166"/>
      <c r="BD269" s="166"/>
      <c r="BE269" s="166"/>
      <c r="BF269" s="166"/>
      <c r="BG269" s="166"/>
      <c r="BH269" s="166"/>
      <c r="BI269" s="165"/>
      <c r="BJ269" s="165"/>
      <c r="BK269" s="165"/>
      <c r="BL269" s="165"/>
      <c r="BM269" s="165"/>
      <c r="BN269" s="165"/>
      <c r="BO269" s="165"/>
      <c r="BP269" s="165"/>
      <c r="BQ269" s="166" t="s">
        <v>238</v>
      </c>
      <c r="BR269" s="165" t="s">
        <v>527</v>
      </c>
      <c r="BS269" s="124">
        <v>464</v>
      </c>
    </row>
    <row r="270" spans="1:71" ht="14.25" hidden="1" customHeight="1" x14ac:dyDescent="0.2">
      <c r="A270" s="92">
        <v>465</v>
      </c>
      <c r="B270" s="235" t="s">
        <v>528</v>
      </c>
      <c r="C270" s="236" t="s">
        <v>523</v>
      </c>
      <c r="D270" s="235" t="s">
        <v>324</v>
      </c>
      <c r="E270" s="125" t="s">
        <v>184</v>
      </c>
      <c r="F270" s="181" t="s">
        <v>103</v>
      </c>
      <c r="G270" s="181" t="s">
        <v>76</v>
      </c>
      <c r="H270" s="181" t="s">
        <v>185</v>
      </c>
      <c r="I270" s="181"/>
      <c r="J270" s="178">
        <v>14.3</v>
      </c>
      <c r="K270" s="182"/>
      <c r="L270" s="182" t="s">
        <v>107</v>
      </c>
      <c r="M270" s="178" t="s">
        <v>78</v>
      </c>
      <c r="N270" s="178">
        <v>0</v>
      </c>
      <c r="O270" s="178" t="s">
        <v>60</v>
      </c>
      <c r="P270" s="178" t="s">
        <v>206</v>
      </c>
      <c r="Q270" s="179"/>
      <c r="R270" s="179" t="s">
        <v>525</v>
      </c>
      <c r="S270" s="180">
        <v>5</v>
      </c>
      <c r="T270" s="179"/>
      <c r="U270" s="179"/>
      <c r="V270" s="167"/>
      <c r="W270" s="168"/>
      <c r="Y270" s="167"/>
      <c r="Z270" s="82" t="s">
        <v>63</v>
      </c>
      <c r="AA270" s="166">
        <v>1</v>
      </c>
      <c r="AB270" s="166">
        <v>1</v>
      </c>
      <c r="AC270" s="165">
        <v>7</v>
      </c>
      <c r="AD270" s="165" t="s">
        <v>80</v>
      </c>
      <c r="AE270" s="165" t="s">
        <v>264</v>
      </c>
      <c r="AF270" s="165"/>
      <c r="AG270" s="165"/>
      <c r="AH270" s="165"/>
      <c r="AI270" s="165"/>
      <c r="AJ270" s="165"/>
      <c r="AK270" s="166">
        <v>20.6</v>
      </c>
      <c r="AL270" s="166" t="s">
        <v>81</v>
      </c>
      <c r="AM270" s="166"/>
      <c r="AN270" s="166"/>
      <c r="AO270" s="166"/>
      <c r="AP270" s="166"/>
      <c r="AQ270" s="166"/>
      <c r="AR270" s="166"/>
      <c r="AS270" s="165"/>
      <c r="AT270" s="165"/>
      <c r="AU270" s="165"/>
      <c r="AV270" s="165"/>
      <c r="AW270" s="165"/>
      <c r="AX270" s="165"/>
      <c r="AY270" s="165"/>
      <c r="AZ270" s="165"/>
      <c r="BA270" s="166"/>
      <c r="BB270" s="166"/>
      <c r="BC270" s="166"/>
      <c r="BD270" s="166"/>
      <c r="BE270" s="166"/>
      <c r="BF270" s="166"/>
      <c r="BG270" s="166"/>
      <c r="BH270" s="166"/>
      <c r="BI270" s="165"/>
      <c r="BJ270" s="165"/>
      <c r="BK270" s="165"/>
      <c r="BL270" s="165"/>
      <c r="BM270" s="165"/>
      <c r="BN270" s="165"/>
      <c r="BO270" s="165"/>
      <c r="BP270" s="165"/>
      <c r="BQ270" s="166" t="s">
        <v>238</v>
      </c>
      <c r="BR270" s="165" t="s">
        <v>527</v>
      </c>
      <c r="BS270" s="124">
        <v>465</v>
      </c>
    </row>
    <row r="271" spans="1:71" ht="14.25" hidden="1" customHeight="1" x14ac:dyDescent="0.2">
      <c r="A271" s="92">
        <v>466</v>
      </c>
      <c r="B271" s="235" t="s">
        <v>528</v>
      </c>
      <c r="C271" s="236" t="s">
        <v>523</v>
      </c>
      <c r="D271" s="235" t="s">
        <v>325</v>
      </c>
      <c r="E271" s="125" t="s">
        <v>184</v>
      </c>
      <c r="F271" s="181" t="s">
        <v>103</v>
      </c>
      <c r="G271" s="181" t="s">
        <v>76</v>
      </c>
      <c r="H271" s="181" t="s">
        <v>185</v>
      </c>
      <c r="I271" s="181"/>
      <c r="J271" s="178">
        <v>14.1</v>
      </c>
      <c r="K271" s="182"/>
      <c r="L271" s="182" t="s">
        <v>107</v>
      </c>
      <c r="M271" s="178" t="s">
        <v>78</v>
      </c>
      <c r="N271" s="178">
        <v>0</v>
      </c>
      <c r="O271" s="178" t="s">
        <v>60</v>
      </c>
      <c r="P271" s="178" t="s">
        <v>206</v>
      </c>
      <c r="Q271" s="179"/>
      <c r="R271" s="179" t="s">
        <v>525</v>
      </c>
      <c r="S271" s="180">
        <v>5</v>
      </c>
      <c r="T271" s="179"/>
      <c r="U271" s="179"/>
      <c r="V271" s="167"/>
      <c r="W271" s="168"/>
      <c r="Y271" s="167"/>
      <c r="Z271" s="82" t="s">
        <v>63</v>
      </c>
      <c r="AA271" s="166">
        <v>1</v>
      </c>
      <c r="AB271" s="166">
        <v>0</v>
      </c>
      <c r="AC271" s="165">
        <v>16</v>
      </c>
      <c r="AD271" s="165" t="s">
        <v>80</v>
      </c>
      <c r="AE271" s="165" t="s">
        <v>264</v>
      </c>
      <c r="AF271" s="165"/>
      <c r="AG271" s="165"/>
      <c r="AH271" s="165"/>
      <c r="AI271" s="165"/>
      <c r="AJ271" s="165"/>
      <c r="AK271" s="166">
        <v>35</v>
      </c>
      <c r="AL271" s="166" t="s">
        <v>81</v>
      </c>
      <c r="AM271" s="166"/>
      <c r="AN271" s="166"/>
      <c r="AO271" s="166"/>
      <c r="AP271" s="166"/>
      <c r="AQ271" s="166"/>
      <c r="AR271" s="166"/>
      <c r="AS271" s="165"/>
      <c r="AT271" s="165"/>
      <c r="AU271" s="165"/>
      <c r="AV271" s="165"/>
      <c r="AW271" s="165"/>
      <c r="AX271" s="165"/>
      <c r="AY271" s="165"/>
      <c r="AZ271" s="165"/>
      <c r="BA271" s="166"/>
      <c r="BB271" s="166"/>
      <c r="BC271" s="166"/>
      <c r="BD271" s="166"/>
      <c r="BE271" s="166"/>
      <c r="BF271" s="166"/>
      <c r="BG271" s="166"/>
      <c r="BH271" s="166"/>
      <c r="BI271" s="165"/>
      <c r="BJ271" s="165"/>
      <c r="BK271" s="165"/>
      <c r="BL271" s="165"/>
      <c r="BM271" s="165"/>
      <c r="BN271" s="165"/>
      <c r="BO271" s="165"/>
      <c r="BP271" s="165"/>
      <c r="BQ271" s="166" t="s">
        <v>238</v>
      </c>
      <c r="BR271" s="165" t="s">
        <v>527</v>
      </c>
      <c r="BS271" s="124">
        <v>466</v>
      </c>
    </row>
    <row r="272" spans="1:71" ht="14.25" hidden="1" customHeight="1" x14ac:dyDescent="0.2">
      <c r="A272" s="92">
        <v>467</v>
      </c>
      <c r="B272" s="235" t="s">
        <v>529</v>
      </c>
      <c r="C272" s="236" t="s">
        <v>530</v>
      </c>
      <c r="D272" s="235" t="s">
        <v>183</v>
      </c>
      <c r="E272" s="125" t="s">
        <v>213</v>
      </c>
      <c r="F272" s="181" t="s">
        <v>103</v>
      </c>
      <c r="G272" s="181" t="s">
        <v>56</v>
      </c>
      <c r="H272" s="181" t="s">
        <v>57</v>
      </c>
      <c r="I272" s="181"/>
      <c r="J272" s="178">
        <v>1.4999999999999999E-2</v>
      </c>
      <c r="K272" s="251"/>
      <c r="L272" s="182" t="s">
        <v>58</v>
      </c>
      <c r="M272" s="178" t="s">
        <v>78</v>
      </c>
      <c r="N272" s="178">
        <v>0</v>
      </c>
      <c r="O272" s="178" t="s">
        <v>60</v>
      </c>
      <c r="P272" s="178" t="s">
        <v>214</v>
      </c>
      <c r="Q272" s="179"/>
      <c r="R272" s="179" t="s">
        <v>532</v>
      </c>
      <c r="S272" s="180">
        <v>1</v>
      </c>
      <c r="T272" s="179"/>
      <c r="U272" s="179"/>
      <c r="V272" s="167"/>
      <c r="W272" s="168"/>
      <c r="Y272" s="167"/>
      <c r="Z272" s="82" t="s">
        <v>63</v>
      </c>
      <c r="AA272" s="166">
        <v>25</v>
      </c>
      <c r="AB272" s="166">
        <v>12</v>
      </c>
      <c r="AC272" s="165">
        <v>29.8</v>
      </c>
      <c r="AD272" s="165" t="s">
        <v>80</v>
      </c>
      <c r="AE272" s="165" t="s">
        <v>116</v>
      </c>
      <c r="AF272" s="165">
        <v>7.7</v>
      </c>
      <c r="AG272" s="165" t="s">
        <v>80</v>
      </c>
      <c r="AH272" s="165" t="s">
        <v>117</v>
      </c>
      <c r="AI272" s="165"/>
      <c r="AJ272" s="165"/>
      <c r="AK272" s="166"/>
      <c r="AL272" s="166"/>
      <c r="AM272" s="166"/>
      <c r="AN272" s="166"/>
      <c r="AO272" s="166"/>
      <c r="AP272" s="166"/>
      <c r="AQ272" s="166"/>
      <c r="AR272" s="166"/>
      <c r="AS272" s="165"/>
      <c r="AT272" s="165"/>
      <c r="AU272" s="165"/>
      <c r="AV272" s="165"/>
      <c r="AW272" s="165"/>
      <c r="AX272" s="165"/>
      <c r="AY272" s="165"/>
      <c r="AZ272" s="165"/>
      <c r="BA272" s="166">
        <v>24.4</v>
      </c>
      <c r="BB272" s="166" t="s">
        <v>533</v>
      </c>
      <c r="BC272" s="166" t="s">
        <v>118</v>
      </c>
      <c r="BD272" s="166">
        <v>3.2</v>
      </c>
      <c r="BE272" s="166" t="s">
        <v>533</v>
      </c>
      <c r="BF272" s="166" t="s">
        <v>534</v>
      </c>
      <c r="BG272" s="166"/>
      <c r="BH272" s="166"/>
      <c r="BI272" s="165"/>
      <c r="BJ272" s="165"/>
      <c r="BK272" s="165"/>
      <c r="BL272" s="165"/>
      <c r="BM272" s="165"/>
      <c r="BN272" s="165"/>
      <c r="BO272" s="165"/>
      <c r="BP272" s="165"/>
      <c r="BQ272" s="166" t="s">
        <v>238</v>
      </c>
      <c r="BR272" s="165" t="s">
        <v>535</v>
      </c>
      <c r="BS272" s="124">
        <v>467</v>
      </c>
    </row>
    <row r="273" spans="1:71" ht="14.25" hidden="1" customHeight="1" x14ac:dyDescent="0.2">
      <c r="A273" s="92">
        <v>468</v>
      </c>
      <c r="B273" s="233" t="s">
        <v>536</v>
      </c>
      <c r="C273" s="237" t="s">
        <v>537</v>
      </c>
      <c r="D273" s="235" t="s">
        <v>220</v>
      </c>
      <c r="E273" s="125" t="s">
        <v>102</v>
      </c>
      <c r="F273" s="181" t="s">
        <v>103</v>
      </c>
      <c r="G273" s="181" t="s">
        <v>56</v>
      </c>
      <c r="H273" s="181" t="s">
        <v>57</v>
      </c>
      <c r="I273" s="181"/>
      <c r="J273" s="178">
        <v>15</v>
      </c>
      <c r="K273" s="182"/>
      <c r="L273" s="182" t="s">
        <v>58</v>
      </c>
      <c r="M273" s="178" t="s">
        <v>59</v>
      </c>
      <c r="N273" s="178">
        <v>0</v>
      </c>
      <c r="O273" s="178" t="s">
        <v>60</v>
      </c>
      <c r="P273" s="178" t="s">
        <v>79</v>
      </c>
      <c r="Q273" s="179"/>
      <c r="R273" s="179" t="s">
        <v>538</v>
      </c>
      <c r="S273" s="180"/>
      <c r="T273" s="179"/>
      <c r="U273" s="179" t="s">
        <v>539</v>
      </c>
      <c r="V273" s="167" t="s">
        <v>62</v>
      </c>
      <c r="W273" s="168"/>
      <c r="X273" s="106" t="s">
        <v>388</v>
      </c>
      <c r="Y273" s="167"/>
      <c r="Z273" s="169" t="s">
        <v>63</v>
      </c>
      <c r="AA273" s="166">
        <v>12</v>
      </c>
      <c r="AB273" s="166">
        <v>8</v>
      </c>
      <c r="AC273" s="165"/>
      <c r="AD273" s="165" t="s">
        <v>80</v>
      </c>
      <c r="AE273" s="165"/>
      <c r="AF273" s="165"/>
      <c r="AG273" s="165"/>
      <c r="AH273" s="165"/>
      <c r="AI273" s="165">
        <v>24</v>
      </c>
      <c r="AJ273" s="165">
        <v>53</v>
      </c>
      <c r="AK273" s="166"/>
      <c r="AL273" s="166" t="s">
        <v>81</v>
      </c>
      <c r="AM273" s="166"/>
      <c r="AN273" s="166"/>
      <c r="AO273" s="166"/>
      <c r="AP273" s="166"/>
      <c r="AQ273" s="166">
        <v>54</v>
      </c>
      <c r="AR273" s="166">
        <v>96</v>
      </c>
      <c r="AS273" s="165"/>
      <c r="AT273" s="165"/>
      <c r="AU273" s="165"/>
      <c r="AV273" s="165"/>
      <c r="AW273" s="165"/>
      <c r="AX273" s="165"/>
      <c r="AY273" s="165"/>
      <c r="AZ273" s="165"/>
      <c r="BA273" s="166"/>
      <c r="BB273" s="166"/>
      <c r="BC273" s="166"/>
      <c r="BD273" s="166"/>
      <c r="BE273" s="166"/>
      <c r="BF273" s="166"/>
      <c r="BG273" s="166"/>
      <c r="BH273" s="166"/>
      <c r="BI273" s="165"/>
      <c r="BJ273" s="165"/>
      <c r="BK273" s="165"/>
      <c r="BL273" s="165"/>
      <c r="BM273" s="165"/>
      <c r="BN273" s="165"/>
      <c r="BO273" s="165"/>
      <c r="BP273" s="165"/>
      <c r="BQ273" s="166"/>
      <c r="BR273" s="165"/>
      <c r="BS273" s="124">
        <v>468</v>
      </c>
    </row>
    <row r="274" spans="1:71" ht="14.25" hidden="1" customHeight="1" x14ac:dyDescent="0.2">
      <c r="A274" s="92">
        <v>469</v>
      </c>
      <c r="B274" s="233" t="s">
        <v>536</v>
      </c>
      <c r="C274" s="237" t="s">
        <v>537</v>
      </c>
      <c r="D274" s="235" t="s">
        <v>449</v>
      </c>
      <c r="E274" s="125" t="s">
        <v>102</v>
      </c>
      <c r="F274" s="181" t="s">
        <v>103</v>
      </c>
      <c r="G274" s="181" t="s">
        <v>56</v>
      </c>
      <c r="H274" s="181" t="s">
        <v>57</v>
      </c>
      <c r="I274" s="181"/>
      <c r="J274" s="178">
        <v>15</v>
      </c>
      <c r="K274" s="182"/>
      <c r="L274" s="182" t="s">
        <v>58</v>
      </c>
      <c r="M274" s="178" t="s">
        <v>59</v>
      </c>
      <c r="N274" s="178">
        <f>96+1.5</f>
        <v>97.5</v>
      </c>
      <c r="O274" s="178" t="s">
        <v>60</v>
      </c>
      <c r="P274" s="178" t="s">
        <v>79</v>
      </c>
      <c r="Q274" s="179"/>
      <c r="R274" s="179" t="s">
        <v>538</v>
      </c>
      <c r="S274" s="180"/>
      <c r="T274" s="179"/>
      <c r="U274" s="179" t="s">
        <v>539</v>
      </c>
      <c r="V274" s="167" t="s">
        <v>62</v>
      </c>
      <c r="W274" s="168"/>
      <c r="X274" s="106" t="s">
        <v>388</v>
      </c>
      <c r="Y274" s="167"/>
      <c r="Z274" s="169" t="s">
        <v>63</v>
      </c>
      <c r="AA274" s="166">
        <v>12</v>
      </c>
      <c r="AB274" s="166">
        <v>8</v>
      </c>
      <c r="AC274" s="165"/>
      <c r="AD274" s="165" t="s">
        <v>80</v>
      </c>
      <c r="AE274" s="165"/>
      <c r="AF274" s="165"/>
      <c r="AG274" s="165"/>
      <c r="AH274" s="165"/>
      <c r="AI274" s="165">
        <v>24</v>
      </c>
      <c r="AJ274" s="165">
        <v>53</v>
      </c>
      <c r="AK274" s="166"/>
      <c r="AL274" s="166" t="s">
        <v>81</v>
      </c>
      <c r="AM274" s="166"/>
      <c r="AN274" s="166"/>
      <c r="AO274" s="166"/>
      <c r="AP274" s="166"/>
      <c r="AQ274" s="166">
        <v>54</v>
      </c>
      <c r="AR274" s="166">
        <v>96</v>
      </c>
      <c r="AS274" s="165"/>
      <c r="AT274" s="165"/>
      <c r="AU274" s="165"/>
      <c r="AV274" s="165"/>
      <c r="AW274" s="165"/>
      <c r="AX274" s="165"/>
      <c r="AY274" s="165"/>
      <c r="AZ274" s="165"/>
      <c r="BA274" s="166"/>
      <c r="BB274" s="166"/>
      <c r="BC274" s="166"/>
      <c r="BD274" s="166"/>
      <c r="BE274" s="166"/>
      <c r="BF274" s="166"/>
      <c r="BG274" s="166"/>
      <c r="BH274" s="166"/>
      <c r="BI274" s="165"/>
      <c r="BJ274" s="165"/>
      <c r="BK274" s="165"/>
      <c r="BL274" s="165"/>
      <c r="BM274" s="165"/>
      <c r="BN274" s="165"/>
      <c r="BO274" s="165"/>
      <c r="BP274" s="165"/>
      <c r="BQ274" s="166"/>
      <c r="BR274" s="165"/>
      <c r="BS274" s="124">
        <v>469</v>
      </c>
    </row>
    <row r="275" spans="1:71" ht="14.25" hidden="1" customHeight="1" x14ac:dyDescent="0.2">
      <c r="A275" s="92">
        <v>470</v>
      </c>
      <c r="B275" s="233" t="s">
        <v>540</v>
      </c>
      <c r="C275" s="237" t="s">
        <v>541</v>
      </c>
      <c r="D275" s="235" t="s">
        <v>220</v>
      </c>
      <c r="E275" s="125" t="s">
        <v>102</v>
      </c>
      <c r="F275" s="181" t="s">
        <v>103</v>
      </c>
      <c r="G275" s="181" t="s">
        <v>56</v>
      </c>
      <c r="H275" s="181" t="s">
        <v>157</v>
      </c>
      <c r="I275" s="181"/>
      <c r="J275" s="178">
        <v>15</v>
      </c>
      <c r="K275" s="182"/>
      <c r="L275" s="182" t="s">
        <v>58</v>
      </c>
      <c r="M275" s="178" t="s">
        <v>59</v>
      </c>
      <c r="N275" s="178">
        <v>0</v>
      </c>
      <c r="O275" s="178" t="s">
        <v>60</v>
      </c>
      <c r="P275" s="178"/>
      <c r="Q275" s="179"/>
      <c r="R275" s="179"/>
      <c r="S275" s="180"/>
      <c r="T275" s="179">
        <v>100</v>
      </c>
      <c r="U275" s="179"/>
      <c r="V275" s="167" t="s">
        <v>62</v>
      </c>
      <c r="W275" s="168">
        <v>10</v>
      </c>
      <c r="X275" s="106" t="s">
        <v>388</v>
      </c>
      <c r="Y275" s="167"/>
      <c r="Z275" s="169" t="s">
        <v>63</v>
      </c>
      <c r="AA275" s="166">
        <v>12</v>
      </c>
      <c r="AB275" s="166">
        <v>8</v>
      </c>
      <c r="AC275" s="165"/>
      <c r="AD275" s="165" t="s">
        <v>80</v>
      </c>
      <c r="AE275" s="165"/>
      <c r="AF275" s="165"/>
      <c r="AG275" s="165"/>
      <c r="AH275" s="165"/>
      <c r="AI275" s="165">
        <v>24</v>
      </c>
      <c r="AJ275" s="165">
        <v>53</v>
      </c>
      <c r="AK275" s="166"/>
      <c r="AL275" s="166" t="s">
        <v>81</v>
      </c>
      <c r="AM275" s="166"/>
      <c r="AN275" s="166"/>
      <c r="AO275" s="166"/>
      <c r="AP275" s="166"/>
      <c r="AQ275" s="166">
        <v>49</v>
      </c>
      <c r="AR275" s="166">
        <v>97</v>
      </c>
      <c r="AS275" s="165"/>
      <c r="AT275" s="165"/>
      <c r="AU275" s="165"/>
      <c r="AV275" s="165"/>
      <c r="AW275" s="165"/>
      <c r="AX275" s="165"/>
      <c r="AY275" s="165"/>
      <c r="AZ275" s="165"/>
      <c r="BA275" s="166"/>
      <c r="BB275" s="166"/>
      <c r="BC275" s="166"/>
      <c r="BD275" s="166"/>
      <c r="BE275" s="166"/>
      <c r="BF275" s="166"/>
      <c r="BG275" s="166"/>
      <c r="BH275" s="166"/>
      <c r="BI275" s="165"/>
      <c r="BJ275" s="165"/>
      <c r="BK275" s="165"/>
      <c r="BL275" s="165"/>
      <c r="BM275" s="165"/>
      <c r="BN275" s="165"/>
      <c r="BO275" s="165"/>
      <c r="BP275" s="165"/>
      <c r="BQ275" s="166"/>
      <c r="BR275" s="165"/>
      <c r="BS275" s="124">
        <v>470</v>
      </c>
    </row>
    <row r="276" spans="1:71" ht="14.25" hidden="1" customHeight="1" x14ac:dyDescent="0.2">
      <c r="A276" s="92">
        <v>471</v>
      </c>
      <c r="B276" s="233" t="s">
        <v>540</v>
      </c>
      <c r="C276" s="237" t="s">
        <v>541</v>
      </c>
      <c r="D276" s="235" t="s">
        <v>409</v>
      </c>
      <c r="E276" s="125" t="s">
        <v>102</v>
      </c>
      <c r="F276" s="181" t="s">
        <v>103</v>
      </c>
      <c r="G276" s="181" t="s">
        <v>56</v>
      </c>
      <c r="H276" s="181" t="s">
        <v>157</v>
      </c>
      <c r="I276" s="181"/>
      <c r="J276" s="178">
        <v>15</v>
      </c>
      <c r="K276" s="182"/>
      <c r="L276" s="182" t="s">
        <v>58</v>
      </c>
      <c r="M276" s="178" t="s">
        <v>59</v>
      </c>
      <c r="N276" s="178">
        <v>97.5</v>
      </c>
      <c r="O276" s="178" t="s">
        <v>60</v>
      </c>
      <c r="P276" s="178"/>
      <c r="Q276" s="179"/>
      <c r="R276" s="179"/>
      <c r="S276" s="180"/>
      <c r="T276" s="179">
        <v>100</v>
      </c>
      <c r="U276" s="179"/>
      <c r="V276" s="167" t="s">
        <v>62</v>
      </c>
      <c r="W276" s="168">
        <v>11.5</v>
      </c>
      <c r="X276" s="106" t="s">
        <v>388</v>
      </c>
      <c r="Y276" s="167"/>
      <c r="Z276" s="169" t="s">
        <v>63</v>
      </c>
      <c r="AA276" s="166">
        <v>12</v>
      </c>
      <c r="AB276" s="166">
        <v>8</v>
      </c>
      <c r="AC276" s="165"/>
      <c r="AD276" s="165" t="s">
        <v>80</v>
      </c>
      <c r="AE276" s="165"/>
      <c r="AF276" s="165"/>
      <c r="AG276" s="165"/>
      <c r="AH276" s="165"/>
      <c r="AI276" s="165">
        <v>24</v>
      </c>
      <c r="AJ276" s="165">
        <v>53</v>
      </c>
      <c r="AK276" s="166"/>
      <c r="AL276" s="166" t="s">
        <v>81</v>
      </c>
      <c r="AM276" s="166"/>
      <c r="AN276" s="166"/>
      <c r="AO276" s="166"/>
      <c r="AP276" s="166"/>
      <c r="AQ276" s="166">
        <v>49</v>
      </c>
      <c r="AR276" s="166">
        <v>97</v>
      </c>
      <c r="AS276" s="165"/>
      <c r="AT276" s="165"/>
      <c r="AU276" s="165"/>
      <c r="AV276" s="165"/>
      <c r="AW276" s="165"/>
      <c r="AX276" s="165"/>
      <c r="AY276" s="165"/>
      <c r="AZ276" s="165"/>
      <c r="BA276" s="166"/>
      <c r="BB276" s="166"/>
      <c r="BC276" s="166"/>
      <c r="BD276" s="166"/>
      <c r="BE276" s="166"/>
      <c r="BF276" s="166"/>
      <c r="BG276" s="166"/>
      <c r="BH276" s="166"/>
      <c r="BI276" s="165"/>
      <c r="BJ276" s="165"/>
      <c r="BK276" s="165"/>
      <c r="BL276" s="165"/>
      <c r="BM276" s="165"/>
      <c r="BN276" s="165"/>
      <c r="BO276" s="165"/>
      <c r="BP276" s="165"/>
      <c r="BQ276" s="166"/>
      <c r="BR276" s="165"/>
      <c r="BS276" s="124">
        <v>471</v>
      </c>
    </row>
    <row r="277" spans="1:71" ht="12.75" hidden="1" customHeight="1" x14ac:dyDescent="0.2">
      <c r="A277" s="92">
        <v>472</v>
      </c>
      <c r="B277" s="233" t="s">
        <v>542</v>
      </c>
      <c r="C277" s="237" t="s">
        <v>543</v>
      </c>
      <c r="D277" s="233" t="s">
        <v>544</v>
      </c>
      <c r="E277" s="125" t="s">
        <v>149</v>
      </c>
      <c r="F277" s="181" t="s">
        <v>103</v>
      </c>
      <c r="G277" s="181" t="s">
        <v>56</v>
      </c>
      <c r="H277" s="181" t="s">
        <v>157</v>
      </c>
      <c r="I277" s="181"/>
      <c r="J277" s="178">
        <v>100</v>
      </c>
      <c r="K277" s="182"/>
      <c r="L277" s="182" t="s">
        <v>58</v>
      </c>
      <c r="M277" s="178" t="s">
        <v>59</v>
      </c>
      <c r="N277" s="178">
        <v>0</v>
      </c>
      <c r="O277" s="178" t="s">
        <v>60</v>
      </c>
      <c r="P277" s="178" t="s">
        <v>545</v>
      </c>
      <c r="Q277" s="179"/>
      <c r="R277" s="179" t="s">
        <v>171</v>
      </c>
      <c r="S277" s="180"/>
      <c r="T277" s="179"/>
      <c r="U277" s="179" t="s">
        <v>546</v>
      </c>
      <c r="V277" s="167" t="s">
        <v>62</v>
      </c>
      <c r="W277" s="168">
        <v>12</v>
      </c>
      <c r="X277" s="106" t="s">
        <v>547</v>
      </c>
      <c r="Y277" s="167"/>
      <c r="Z277" s="169" t="s">
        <v>63</v>
      </c>
      <c r="AA277" s="166">
        <v>6</v>
      </c>
      <c r="AB277" s="166">
        <v>4</v>
      </c>
      <c r="AC277" s="165">
        <v>24</v>
      </c>
      <c r="AD277" s="165" t="s">
        <v>80</v>
      </c>
      <c r="AE277" s="165" t="s">
        <v>116</v>
      </c>
      <c r="AF277" s="165"/>
      <c r="AG277" s="165"/>
      <c r="AH277" s="165"/>
      <c r="AI277" s="165">
        <v>19</v>
      </c>
      <c r="AJ277" s="165">
        <v>33</v>
      </c>
      <c r="AK277" s="166"/>
      <c r="AL277" s="166"/>
      <c r="AM277" s="166"/>
      <c r="AN277" s="166"/>
      <c r="AO277" s="166"/>
      <c r="AP277" s="166"/>
      <c r="AQ277" s="166"/>
      <c r="AR277" s="166"/>
      <c r="AS277" s="165"/>
      <c r="AT277" s="165"/>
      <c r="AU277" s="165"/>
      <c r="AV277" s="165"/>
      <c r="AW277" s="165"/>
      <c r="AX277" s="165"/>
      <c r="AY277" s="165"/>
      <c r="AZ277" s="165"/>
      <c r="BA277" s="166"/>
      <c r="BB277" s="166"/>
      <c r="BC277" s="166"/>
      <c r="BD277" s="166"/>
      <c r="BE277" s="166"/>
      <c r="BF277" s="166"/>
      <c r="BG277" s="166"/>
      <c r="BH277" s="166"/>
      <c r="BI277" s="165"/>
      <c r="BJ277" s="165"/>
      <c r="BK277" s="165"/>
      <c r="BL277" s="165"/>
      <c r="BM277" s="165"/>
      <c r="BN277" s="165"/>
      <c r="BO277" s="165"/>
      <c r="BP277" s="165"/>
      <c r="BQ277" s="166"/>
      <c r="BR277" s="165"/>
      <c r="BS277" s="124"/>
    </row>
    <row r="278" spans="1:71" ht="12.75" hidden="1" customHeight="1" x14ac:dyDescent="0.2">
      <c r="A278" s="91">
        <v>473</v>
      </c>
      <c r="B278" s="233" t="s">
        <v>542</v>
      </c>
      <c r="C278" s="237" t="s">
        <v>543</v>
      </c>
      <c r="D278" s="233" t="s">
        <v>548</v>
      </c>
      <c r="E278" s="125" t="s">
        <v>149</v>
      </c>
      <c r="F278" s="181" t="s">
        <v>103</v>
      </c>
      <c r="G278" s="181" t="s">
        <v>56</v>
      </c>
      <c r="H278" s="181" t="s">
        <v>157</v>
      </c>
      <c r="I278" s="181"/>
      <c r="J278" s="178">
        <v>100</v>
      </c>
      <c r="K278" s="182"/>
      <c r="L278" s="182" t="s">
        <v>58</v>
      </c>
      <c r="M278" s="178" t="s">
        <v>59</v>
      </c>
      <c r="N278" s="178" t="s">
        <v>549</v>
      </c>
      <c r="O278" s="178" t="s">
        <v>60</v>
      </c>
      <c r="P278" s="178" t="s">
        <v>545</v>
      </c>
      <c r="Q278" s="179"/>
      <c r="R278" s="179" t="s">
        <v>171</v>
      </c>
      <c r="S278" s="180"/>
      <c r="T278" s="179"/>
      <c r="U278" s="179" t="s">
        <v>546</v>
      </c>
      <c r="V278" s="167" t="s">
        <v>62</v>
      </c>
      <c r="W278" s="168">
        <v>12</v>
      </c>
      <c r="X278" s="106" t="s">
        <v>547</v>
      </c>
      <c r="Y278" s="167"/>
      <c r="Z278" s="169" t="s">
        <v>63</v>
      </c>
      <c r="AA278" s="166">
        <v>6</v>
      </c>
      <c r="AB278" s="166">
        <v>4</v>
      </c>
      <c r="AC278" s="165">
        <v>24</v>
      </c>
      <c r="AD278" s="165" t="s">
        <v>80</v>
      </c>
      <c r="AE278" s="165" t="s">
        <v>116</v>
      </c>
      <c r="AF278" s="165"/>
      <c r="AG278" s="165"/>
      <c r="AH278" s="165"/>
      <c r="AI278" s="165">
        <v>19</v>
      </c>
      <c r="AJ278" s="165">
        <v>33</v>
      </c>
      <c r="AK278" s="166"/>
      <c r="AL278" s="166"/>
      <c r="AM278" s="166"/>
      <c r="AN278" s="166"/>
      <c r="AO278" s="166"/>
      <c r="AP278" s="166"/>
      <c r="AQ278" s="166"/>
      <c r="AR278" s="166"/>
      <c r="AS278" s="165"/>
      <c r="AT278" s="165"/>
      <c r="AU278" s="165"/>
      <c r="AV278" s="165"/>
      <c r="AW278" s="165"/>
      <c r="AX278" s="165"/>
      <c r="AY278" s="165"/>
      <c r="AZ278" s="165"/>
      <c r="BA278" s="166"/>
      <c r="BB278" s="166"/>
      <c r="BC278" s="166"/>
      <c r="BD278" s="166"/>
      <c r="BE278" s="166"/>
      <c r="BF278" s="166"/>
      <c r="BG278" s="166"/>
      <c r="BH278" s="166"/>
      <c r="BI278" s="165"/>
      <c r="BJ278" s="165"/>
      <c r="BK278" s="165"/>
      <c r="BL278" s="165"/>
      <c r="BM278" s="165"/>
      <c r="BN278" s="165"/>
      <c r="BO278" s="165"/>
      <c r="BP278" s="165"/>
      <c r="BQ278" s="166"/>
      <c r="BR278" s="165"/>
      <c r="BS278" s="124"/>
    </row>
    <row r="279" spans="1:71" ht="12.75" hidden="1" customHeight="1" x14ac:dyDescent="0.2">
      <c r="A279" s="91">
        <v>474</v>
      </c>
      <c r="B279" s="233" t="s">
        <v>542</v>
      </c>
      <c r="C279" s="237" t="s">
        <v>543</v>
      </c>
      <c r="D279" s="233" t="s">
        <v>550</v>
      </c>
      <c r="E279" s="125" t="s">
        <v>152</v>
      </c>
      <c r="F279" s="181" t="s">
        <v>103</v>
      </c>
      <c r="G279" s="181" t="s">
        <v>56</v>
      </c>
      <c r="H279" s="181" t="s">
        <v>157</v>
      </c>
      <c r="I279" s="181"/>
      <c r="J279" s="178">
        <v>100</v>
      </c>
      <c r="K279" s="182"/>
      <c r="L279" s="182" t="s">
        <v>58</v>
      </c>
      <c r="M279" s="178" t="s">
        <v>59</v>
      </c>
      <c r="N279" s="178">
        <v>0</v>
      </c>
      <c r="O279" s="178" t="s">
        <v>60</v>
      </c>
      <c r="P279" s="178" t="s">
        <v>545</v>
      </c>
      <c r="Q279" s="179"/>
      <c r="R279" s="179" t="s">
        <v>171</v>
      </c>
      <c r="S279" s="180"/>
      <c r="T279" s="179"/>
      <c r="U279" s="179" t="s">
        <v>546</v>
      </c>
      <c r="V279" s="167" t="s">
        <v>62</v>
      </c>
      <c r="W279" s="168">
        <v>12</v>
      </c>
      <c r="X279" s="106" t="s">
        <v>547</v>
      </c>
      <c r="Y279" s="167"/>
      <c r="Z279" s="169" t="s">
        <v>63</v>
      </c>
      <c r="AA279" s="166">
        <v>6</v>
      </c>
      <c r="AB279" s="166">
        <v>4</v>
      </c>
      <c r="AC279" s="165">
        <v>24</v>
      </c>
      <c r="AD279" s="165" t="s">
        <v>80</v>
      </c>
      <c r="AE279" s="165" t="s">
        <v>116</v>
      </c>
      <c r="AF279" s="165"/>
      <c r="AG279" s="165"/>
      <c r="AH279" s="165"/>
      <c r="AI279" s="165">
        <v>19</v>
      </c>
      <c r="AJ279" s="165">
        <v>33</v>
      </c>
      <c r="AK279" s="166"/>
      <c r="AL279" s="166"/>
      <c r="AM279" s="166"/>
      <c r="AN279" s="166"/>
      <c r="AO279" s="166"/>
      <c r="AP279" s="166"/>
      <c r="AQ279" s="166"/>
      <c r="AR279" s="166"/>
      <c r="AS279" s="165"/>
      <c r="AT279" s="165"/>
      <c r="AU279" s="165"/>
      <c r="AV279" s="165"/>
      <c r="AW279" s="165"/>
      <c r="AX279" s="165"/>
      <c r="AY279" s="165"/>
      <c r="AZ279" s="165"/>
      <c r="BA279" s="166"/>
      <c r="BB279" s="166"/>
      <c r="BC279" s="166"/>
      <c r="BD279" s="166"/>
      <c r="BE279" s="166"/>
      <c r="BF279" s="166"/>
      <c r="BG279" s="166"/>
      <c r="BH279" s="166"/>
      <c r="BI279" s="165"/>
      <c r="BJ279" s="165"/>
      <c r="BK279" s="165"/>
      <c r="BL279" s="165"/>
      <c r="BM279" s="165"/>
      <c r="BN279" s="165"/>
      <c r="BO279" s="165"/>
      <c r="BP279" s="165"/>
      <c r="BQ279" s="166"/>
      <c r="BR279" s="165"/>
      <c r="BS279" s="124"/>
    </row>
    <row r="280" spans="1:71" ht="12.75" hidden="1" customHeight="1" x14ac:dyDescent="0.2">
      <c r="A280" s="91">
        <v>475</v>
      </c>
      <c r="B280" s="233" t="s">
        <v>542</v>
      </c>
      <c r="C280" s="237" t="s">
        <v>543</v>
      </c>
      <c r="D280" s="233" t="s">
        <v>551</v>
      </c>
      <c r="E280" s="125" t="s">
        <v>152</v>
      </c>
      <c r="F280" s="181" t="s">
        <v>103</v>
      </c>
      <c r="G280" s="181" t="s">
        <v>56</v>
      </c>
      <c r="H280" s="181" t="s">
        <v>157</v>
      </c>
      <c r="I280" s="181"/>
      <c r="J280" s="178">
        <v>100</v>
      </c>
      <c r="K280" s="182"/>
      <c r="L280" s="182" t="s">
        <v>58</v>
      </c>
      <c r="M280" s="178" t="s">
        <v>59</v>
      </c>
      <c r="N280" s="178" t="s">
        <v>549</v>
      </c>
      <c r="O280" s="178" t="s">
        <v>60</v>
      </c>
      <c r="P280" s="178" t="s">
        <v>545</v>
      </c>
      <c r="Q280" s="179"/>
      <c r="R280" s="179" t="s">
        <v>171</v>
      </c>
      <c r="S280" s="180"/>
      <c r="T280" s="179"/>
      <c r="U280" s="179" t="s">
        <v>546</v>
      </c>
      <c r="V280" s="167" t="s">
        <v>62</v>
      </c>
      <c r="W280" s="168">
        <v>12</v>
      </c>
      <c r="X280" s="106" t="s">
        <v>547</v>
      </c>
      <c r="Y280" s="167"/>
      <c r="Z280" s="169" t="s">
        <v>63</v>
      </c>
      <c r="AA280" s="166">
        <v>6</v>
      </c>
      <c r="AB280" s="166">
        <v>4</v>
      </c>
      <c r="AC280" s="165">
        <v>24</v>
      </c>
      <c r="AD280" s="165" t="s">
        <v>80</v>
      </c>
      <c r="AE280" s="165" t="s">
        <v>116</v>
      </c>
      <c r="AF280" s="165"/>
      <c r="AG280" s="165"/>
      <c r="AH280" s="165"/>
      <c r="AI280" s="165">
        <v>19</v>
      </c>
      <c r="AJ280" s="165">
        <v>33</v>
      </c>
      <c r="AK280" s="166"/>
      <c r="AL280" s="166"/>
      <c r="AM280" s="166"/>
      <c r="AN280" s="166"/>
      <c r="AO280" s="166"/>
      <c r="AP280" s="166"/>
      <c r="AQ280" s="166"/>
      <c r="AR280" s="166"/>
      <c r="AS280" s="165"/>
      <c r="AT280" s="165"/>
      <c r="AU280" s="165"/>
      <c r="AV280" s="165"/>
      <c r="AW280" s="165"/>
      <c r="AX280" s="165"/>
      <c r="AY280" s="165"/>
      <c r="AZ280" s="165"/>
      <c r="BA280" s="166"/>
      <c r="BB280" s="166"/>
      <c r="BC280" s="166"/>
      <c r="BD280" s="166"/>
      <c r="BE280" s="166"/>
      <c r="BF280" s="166"/>
      <c r="BG280" s="166"/>
      <c r="BH280" s="166"/>
      <c r="BI280" s="165"/>
      <c r="BJ280" s="165"/>
      <c r="BK280" s="165"/>
      <c r="BL280" s="165"/>
      <c r="BM280" s="165"/>
      <c r="BN280" s="165"/>
      <c r="BO280" s="165"/>
      <c r="BP280" s="165"/>
      <c r="BQ280" s="166"/>
      <c r="BR280" s="165"/>
      <c r="BS280" s="124"/>
    </row>
    <row r="281" spans="1:71" ht="12.75" hidden="1" customHeight="1" x14ac:dyDescent="0.2">
      <c r="A281" s="91">
        <v>476</v>
      </c>
      <c r="B281" s="233" t="s">
        <v>542</v>
      </c>
      <c r="C281" s="237" t="s">
        <v>543</v>
      </c>
      <c r="D281" s="233" t="s">
        <v>552</v>
      </c>
      <c r="E281" s="125" t="s">
        <v>553</v>
      </c>
      <c r="F281" s="181" t="s">
        <v>103</v>
      </c>
      <c r="G281" s="181" t="s">
        <v>56</v>
      </c>
      <c r="H281" s="181" t="s">
        <v>157</v>
      </c>
      <c r="I281" s="181"/>
      <c r="J281" s="178">
        <v>100</v>
      </c>
      <c r="K281" s="182"/>
      <c r="L281" s="182" t="s">
        <v>58</v>
      </c>
      <c r="M281" s="178" t="s">
        <v>59</v>
      </c>
      <c r="N281" s="178">
        <v>0</v>
      </c>
      <c r="O281" s="178" t="s">
        <v>60</v>
      </c>
      <c r="P281" s="178" t="s">
        <v>545</v>
      </c>
      <c r="Q281" s="179"/>
      <c r="R281" s="179" t="s">
        <v>171</v>
      </c>
      <c r="S281" s="180"/>
      <c r="T281" s="179"/>
      <c r="U281" s="179" t="s">
        <v>546</v>
      </c>
      <c r="V281" s="167" t="s">
        <v>62</v>
      </c>
      <c r="W281" s="168">
        <v>12</v>
      </c>
      <c r="X281" s="106" t="s">
        <v>547</v>
      </c>
      <c r="Y281" s="167"/>
      <c r="Z281" s="169" t="s">
        <v>63</v>
      </c>
      <c r="AA281" s="166">
        <v>6</v>
      </c>
      <c r="AB281" s="166">
        <v>4</v>
      </c>
      <c r="AC281" s="165">
        <v>24</v>
      </c>
      <c r="AD281" s="165" t="s">
        <v>80</v>
      </c>
      <c r="AE281" s="165" t="s">
        <v>116</v>
      </c>
      <c r="AF281" s="165"/>
      <c r="AG281" s="165"/>
      <c r="AH281" s="165"/>
      <c r="AI281" s="165">
        <v>19</v>
      </c>
      <c r="AJ281" s="165">
        <v>33</v>
      </c>
      <c r="AK281" s="166"/>
      <c r="AL281" s="166"/>
      <c r="AM281" s="166"/>
      <c r="AN281" s="166"/>
      <c r="AO281" s="166"/>
      <c r="AP281" s="166"/>
      <c r="AQ281" s="166"/>
      <c r="AR281" s="166"/>
      <c r="AS281" s="165"/>
      <c r="AT281" s="165"/>
      <c r="AU281" s="165"/>
      <c r="AV281" s="165"/>
      <c r="AW281" s="165"/>
      <c r="AX281" s="165"/>
      <c r="AY281" s="165"/>
      <c r="AZ281" s="165"/>
      <c r="BA281" s="166"/>
      <c r="BB281" s="166"/>
      <c r="BC281" s="166"/>
      <c r="BD281" s="166"/>
      <c r="BE281" s="166"/>
      <c r="BF281" s="166"/>
      <c r="BG281" s="166"/>
      <c r="BH281" s="166"/>
      <c r="BI281" s="165"/>
      <c r="BJ281" s="165"/>
      <c r="BK281" s="165"/>
      <c r="BL281" s="165"/>
      <c r="BM281" s="165"/>
      <c r="BN281" s="165"/>
      <c r="BO281" s="165"/>
      <c r="BP281" s="165"/>
      <c r="BQ281" s="166"/>
      <c r="BR281" s="165"/>
      <c r="BS281" s="124"/>
    </row>
    <row r="282" spans="1:71" ht="12.75" hidden="1" customHeight="1" x14ac:dyDescent="0.2">
      <c r="A282" s="91">
        <v>477</v>
      </c>
      <c r="B282" s="233" t="s">
        <v>542</v>
      </c>
      <c r="C282" s="237" t="s">
        <v>543</v>
      </c>
      <c r="D282" s="233" t="s">
        <v>554</v>
      </c>
      <c r="E282" s="125" t="s">
        <v>553</v>
      </c>
      <c r="F282" s="181" t="s">
        <v>103</v>
      </c>
      <c r="G282" s="181" t="s">
        <v>56</v>
      </c>
      <c r="H282" s="181" t="s">
        <v>157</v>
      </c>
      <c r="I282" s="181"/>
      <c r="J282" s="178">
        <v>100</v>
      </c>
      <c r="K282" s="182"/>
      <c r="L282" s="182" t="s">
        <v>58</v>
      </c>
      <c r="M282" s="178" t="s">
        <v>59</v>
      </c>
      <c r="N282" s="178" t="s">
        <v>549</v>
      </c>
      <c r="O282" s="178" t="s">
        <v>60</v>
      </c>
      <c r="P282" s="178" t="s">
        <v>545</v>
      </c>
      <c r="Q282" s="179"/>
      <c r="R282" s="179" t="s">
        <v>171</v>
      </c>
      <c r="S282" s="180"/>
      <c r="T282" s="179"/>
      <c r="U282" s="179" t="s">
        <v>546</v>
      </c>
      <c r="V282" s="167" t="s">
        <v>62</v>
      </c>
      <c r="W282" s="168">
        <v>12</v>
      </c>
      <c r="X282" s="106" t="s">
        <v>547</v>
      </c>
      <c r="Y282" s="167"/>
      <c r="Z282" s="169" t="s">
        <v>63</v>
      </c>
      <c r="AA282" s="166">
        <v>6</v>
      </c>
      <c r="AB282" s="166">
        <v>4</v>
      </c>
      <c r="AC282" s="165">
        <v>24</v>
      </c>
      <c r="AD282" s="165" t="s">
        <v>80</v>
      </c>
      <c r="AE282" s="165" t="s">
        <v>116</v>
      </c>
      <c r="AF282" s="165"/>
      <c r="AG282" s="165"/>
      <c r="AH282" s="165"/>
      <c r="AI282" s="165">
        <v>19</v>
      </c>
      <c r="AJ282" s="165">
        <v>33</v>
      </c>
      <c r="AK282" s="166"/>
      <c r="AL282" s="166"/>
      <c r="AM282" s="166"/>
      <c r="AN282" s="166"/>
      <c r="AO282" s="166"/>
      <c r="AP282" s="166"/>
      <c r="AQ282" s="166"/>
      <c r="AR282" s="166"/>
      <c r="AS282" s="165"/>
      <c r="AT282" s="165"/>
      <c r="AU282" s="165"/>
      <c r="AV282" s="165"/>
      <c r="AW282" s="165"/>
      <c r="AX282" s="165"/>
      <c r="AY282" s="165"/>
      <c r="AZ282" s="165"/>
      <c r="BA282" s="166"/>
      <c r="BB282" s="166"/>
      <c r="BC282" s="166"/>
      <c r="BD282" s="166"/>
      <c r="BE282" s="166"/>
      <c r="BF282" s="166"/>
      <c r="BG282" s="166"/>
      <c r="BH282" s="166"/>
      <c r="BI282" s="165"/>
      <c r="BJ282" s="165"/>
      <c r="BK282" s="165"/>
      <c r="BL282" s="165"/>
      <c r="BM282" s="165"/>
      <c r="BN282" s="165"/>
      <c r="BO282" s="165"/>
      <c r="BP282" s="165"/>
      <c r="BQ282" s="166"/>
      <c r="BR282" s="165"/>
      <c r="BS282" s="124"/>
    </row>
    <row r="283" spans="1:71" ht="12.75" hidden="1" customHeight="1" x14ac:dyDescent="0.2">
      <c r="A283" s="91">
        <v>478</v>
      </c>
      <c r="B283" s="233" t="s">
        <v>542</v>
      </c>
      <c r="C283" s="237" t="s">
        <v>543</v>
      </c>
      <c r="D283" s="233" t="s">
        <v>555</v>
      </c>
      <c r="E283" s="125" t="s">
        <v>556</v>
      </c>
      <c r="F283" s="181" t="s">
        <v>103</v>
      </c>
      <c r="G283" s="181" t="s">
        <v>56</v>
      </c>
      <c r="H283" s="181" t="s">
        <v>157</v>
      </c>
      <c r="I283" s="181"/>
      <c r="J283" s="178">
        <v>100</v>
      </c>
      <c r="K283" s="182"/>
      <c r="L283" s="182" t="s">
        <v>58</v>
      </c>
      <c r="M283" s="178" t="s">
        <v>59</v>
      </c>
      <c r="N283" s="178">
        <v>0</v>
      </c>
      <c r="O283" s="178" t="s">
        <v>60</v>
      </c>
      <c r="P283" s="178" t="s">
        <v>545</v>
      </c>
      <c r="Q283" s="179"/>
      <c r="R283" s="179" t="s">
        <v>171</v>
      </c>
      <c r="S283" s="180"/>
      <c r="T283" s="179"/>
      <c r="U283" s="179" t="s">
        <v>546</v>
      </c>
      <c r="V283" s="167" t="s">
        <v>62</v>
      </c>
      <c r="W283" s="168">
        <v>12</v>
      </c>
      <c r="X283" s="106" t="s">
        <v>547</v>
      </c>
      <c r="Y283" s="167"/>
      <c r="Z283" s="169" t="s">
        <v>63</v>
      </c>
      <c r="AA283" s="166">
        <v>6</v>
      </c>
      <c r="AB283" s="166">
        <v>4</v>
      </c>
      <c r="AC283" s="165">
        <v>24</v>
      </c>
      <c r="AD283" s="165" t="s">
        <v>80</v>
      </c>
      <c r="AE283" s="165" t="s">
        <v>116</v>
      </c>
      <c r="AF283" s="165"/>
      <c r="AG283" s="165"/>
      <c r="AH283" s="165"/>
      <c r="AI283" s="165">
        <v>19</v>
      </c>
      <c r="AJ283" s="165">
        <v>33</v>
      </c>
      <c r="AK283" s="166"/>
      <c r="AL283" s="166"/>
      <c r="AM283" s="166"/>
      <c r="AN283" s="166"/>
      <c r="AO283" s="166"/>
      <c r="AP283" s="166"/>
      <c r="AQ283" s="166"/>
      <c r="AR283" s="166"/>
      <c r="AS283" s="165"/>
      <c r="AT283" s="165"/>
      <c r="AU283" s="165"/>
      <c r="AV283" s="165"/>
      <c r="AW283" s="165"/>
      <c r="AX283" s="165"/>
      <c r="AY283" s="165"/>
      <c r="AZ283" s="165"/>
      <c r="BA283" s="166"/>
      <c r="BB283" s="166"/>
      <c r="BC283" s="166"/>
      <c r="BD283" s="166"/>
      <c r="BE283" s="166"/>
      <c r="BF283" s="166"/>
      <c r="BG283" s="166"/>
      <c r="BH283" s="166"/>
      <c r="BI283" s="165"/>
      <c r="BJ283" s="165"/>
      <c r="BK283" s="165"/>
      <c r="BL283" s="165"/>
      <c r="BM283" s="165"/>
      <c r="BN283" s="165"/>
      <c r="BO283" s="165"/>
      <c r="BP283" s="165"/>
      <c r="BQ283" s="166"/>
      <c r="BR283" s="165"/>
      <c r="BS283" s="124"/>
    </row>
    <row r="284" spans="1:71" ht="12.75" hidden="1" customHeight="1" x14ac:dyDescent="0.2">
      <c r="A284" s="91">
        <v>479</v>
      </c>
      <c r="B284" s="233" t="s">
        <v>542</v>
      </c>
      <c r="C284" s="237" t="s">
        <v>543</v>
      </c>
      <c r="D284" s="233" t="s">
        <v>557</v>
      </c>
      <c r="E284" s="125" t="s">
        <v>556</v>
      </c>
      <c r="F284" s="181" t="s">
        <v>103</v>
      </c>
      <c r="G284" s="181" t="s">
        <v>56</v>
      </c>
      <c r="H284" s="181" t="s">
        <v>157</v>
      </c>
      <c r="I284" s="181"/>
      <c r="J284" s="178">
        <v>100</v>
      </c>
      <c r="K284" s="182"/>
      <c r="L284" s="182" t="s">
        <v>58</v>
      </c>
      <c r="M284" s="178" t="s">
        <v>59</v>
      </c>
      <c r="N284" s="178" t="s">
        <v>549</v>
      </c>
      <c r="O284" s="178" t="s">
        <v>60</v>
      </c>
      <c r="P284" s="178" t="s">
        <v>545</v>
      </c>
      <c r="Q284" s="179"/>
      <c r="R284" s="179" t="s">
        <v>171</v>
      </c>
      <c r="S284" s="180"/>
      <c r="T284" s="179"/>
      <c r="U284" s="179" t="s">
        <v>546</v>
      </c>
      <c r="V284" s="167" t="s">
        <v>62</v>
      </c>
      <c r="W284" s="168">
        <v>12</v>
      </c>
      <c r="X284" s="106" t="s">
        <v>547</v>
      </c>
      <c r="Y284" s="167"/>
      <c r="Z284" s="169" t="s">
        <v>63</v>
      </c>
      <c r="AA284" s="166">
        <v>6</v>
      </c>
      <c r="AB284" s="166">
        <v>4</v>
      </c>
      <c r="AC284" s="165">
        <v>24</v>
      </c>
      <c r="AD284" s="165" t="s">
        <v>80</v>
      </c>
      <c r="AE284" s="165" t="s">
        <v>116</v>
      </c>
      <c r="AF284" s="165"/>
      <c r="AG284" s="165"/>
      <c r="AH284" s="165"/>
      <c r="AI284" s="165">
        <v>19</v>
      </c>
      <c r="AJ284" s="165">
        <v>33</v>
      </c>
      <c r="AK284" s="166"/>
      <c r="AL284" s="166"/>
      <c r="AM284" s="166"/>
      <c r="AN284" s="166"/>
      <c r="AO284" s="166"/>
      <c r="AP284" s="166"/>
      <c r="AQ284" s="166"/>
      <c r="AR284" s="166"/>
      <c r="AS284" s="165"/>
      <c r="AT284" s="165"/>
      <c r="AU284" s="165"/>
      <c r="AV284" s="165"/>
      <c r="AW284" s="165"/>
      <c r="AX284" s="165"/>
      <c r="AY284" s="165"/>
      <c r="AZ284" s="165"/>
      <c r="BA284" s="166"/>
      <c r="BB284" s="166"/>
      <c r="BC284" s="166"/>
      <c r="BD284" s="166"/>
      <c r="BE284" s="166"/>
      <c r="BF284" s="166"/>
      <c r="BG284" s="166"/>
      <c r="BH284" s="166"/>
      <c r="BI284" s="165"/>
      <c r="BJ284" s="165"/>
      <c r="BK284" s="165"/>
      <c r="BL284" s="165"/>
      <c r="BM284" s="165"/>
      <c r="BN284" s="165"/>
      <c r="BO284" s="165"/>
      <c r="BP284" s="165"/>
      <c r="BQ284" s="166"/>
      <c r="BR284" s="165"/>
      <c r="BS284" s="124"/>
    </row>
    <row r="285" spans="1:71" ht="12.75" hidden="1" customHeight="1" x14ac:dyDescent="0.2">
      <c r="A285" s="91">
        <v>480</v>
      </c>
      <c r="B285" s="235" t="s">
        <v>558</v>
      </c>
      <c r="C285" s="237" t="s">
        <v>559</v>
      </c>
      <c r="D285" s="235" t="s">
        <v>560</v>
      </c>
      <c r="E285" s="125" t="s">
        <v>149</v>
      </c>
      <c r="F285" s="181" t="s">
        <v>103</v>
      </c>
      <c r="G285" s="181" t="s">
        <v>56</v>
      </c>
      <c r="H285" s="181" t="s">
        <v>57</v>
      </c>
      <c r="I285" s="181"/>
      <c r="J285" s="178">
        <v>100</v>
      </c>
      <c r="K285" s="182"/>
      <c r="L285" s="182" t="s">
        <v>58</v>
      </c>
      <c r="M285" s="178" t="s">
        <v>59</v>
      </c>
      <c r="N285" s="178">
        <v>0</v>
      </c>
      <c r="O285" s="178" t="s">
        <v>60</v>
      </c>
      <c r="P285" s="178" t="s">
        <v>79</v>
      </c>
      <c r="Q285" s="179"/>
      <c r="R285" s="179" t="s">
        <v>171</v>
      </c>
      <c r="S285" s="180"/>
      <c r="T285" s="179">
        <v>200</v>
      </c>
      <c r="U285" s="179" t="s">
        <v>561</v>
      </c>
      <c r="V285" s="167" t="s">
        <v>62</v>
      </c>
      <c r="W285" s="168">
        <v>10</v>
      </c>
      <c r="X285" s="106">
        <v>4</v>
      </c>
      <c r="Y285" s="167"/>
      <c r="Z285" s="169" t="s">
        <v>63</v>
      </c>
      <c r="AA285" s="166">
        <v>12</v>
      </c>
      <c r="AB285" s="166">
        <v>6</v>
      </c>
      <c r="AC285" s="165">
        <v>30</v>
      </c>
      <c r="AD285" s="165" t="s">
        <v>80</v>
      </c>
      <c r="AE285" s="165" t="s">
        <v>116</v>
      </c>
      <c r="AF285" s="165"/>
      <c r="AG285" s="165"/>
      <c r="AH285" s="165"/>
      <c r="AI285" s="165">
        <v>21</v>
      </c>
      <c r="AJ285" s="165">
        <v>40</v>
      </c>
      <c r="AK285" s="166">
        <v>70</v>
      </c>
      <c r="AL285" s="166" t="s">
        <v>81</v>
      </c>
      <c r="AM285" s="166" t="s">
        <v>116</v>
      </c>
      <c r="AN285" s="166"/>
      <c r="AO285" s="166"/>
      <c r="AP285" s="166"/>
      <c r="AQ285" s="166">
        <v>54</v>
      </c>
      <c r="AR285" s="166">
        <v>103</v>
      </c>
      <c r="AS285" s="165">
        <v>173</v>
      </c>
      <c r="AT285" s="165" t="s">
        <v>119</v>
      </c>
      <c r="AU285" s="165" t="s">
        <v>116</v>
      </c>
      <c r="AV285" s="165"/>
      <c r="AW285" s="165"/>
      <c r="AX285" s="165"/>
      <c r="AY285" s="165">
        <v>154</v>
      </c>
      <c r="AZ285" s="165">
        <v>189</v>
      </c>
      <c r="BA285" s="166"/>
      <c r="BB285" s="166"/>
      <c r="BC285" s="166"/>
      <c r="BD285" s="166"/>
      <c r="BE285" s="166"/>
      <c r="BF285" s="166"/>
      <c r="BG285" s="166"/>
      <c r="BH285" s="166"/>
      <c r="BI285" s="165"/>
      <c r="BJ285" s="165"/>
      <c r="BK285" s="165"/>
      <c r="BL285" s="165"/>
      <c r="BM285" s="165"/>
      <c r="BN285" s="165"/>
      <c r="BO285" s="165"/>
      <c r="BP285" s="165"/>
      <c r="BQ285" s="166"/>
      <c r="BR285" s="165"/>
      <c r="BS285" s="124"/>
    </row>
    <row r="286" spans="1:71" ht="12.75" hidden="1" customHeight="1" x14ac:dyDescent="0.2">
      <c r="A286" s="91">
        <v>481</v>
      </c>
      <c r="B286" s="235" t="s">
        <v>558</v>
      </c>
      <c r="C286" s="237" t="s">
        <v>559</v>
      </c>
      <c r="D286" s="235" t="s">
        <v>562</v>
      </c>
      <c r="E286" s="125" t="s">
        <v>152</v>
      </c>
      <c r="F286" s="181" t="s">
        <v>103</v>
      </c>
      <c r="G286" s="181" t="s">
        <v>56</v>
      </c>
      <c r="H286" s="181" t="s">
        <v>66</v>
      </c>
      <c r="I286" s="181"/>
      <c r="J286" s="178">
        <v>100</v>
      </c>
      <c r="K286" s="182"/>
      <c r="L286" s="182" t="s">
        <v>58</v>
      </c>
      <c r="M286" s="178" t="s">
        <v>59</v>
      </c>
      <c r="N286" s="178">
        <v>0</v>
      </c>
      <c r="O286" s="178" t="s">
        <v>60</v>
      </c>
      <c r="P286" s="178" t="s">
        <v>79</v>
      </c>
      <c r="Q286" s="179"/>
      <c r="R286" s="179" t="s">
        <v>171</v>
      </c>
      <c r="S286" s="180"/>
      <c r="T286" s="179">
        <v>200</v>
      </c>
      <c r="U286" s="179" t="s">
        <v>561</v>
      </c>
      <c r="V286" s="167" t="s">
        <v>62</v>
      </c>
      <c r="W286" s="168">
        <v>10</v>
      </c>
      <c r="X286" s="106">
        <v>4</v>
      </c>
      <c r="Y286" s="167"/>
      <c r="Z286" s="169" t="s">
        <v>63</v>
      </c>
      <c r="AA286" s="166">
        <v>12</v>
      </c>
      <c r="AB286" s="166">
        <v>6</v>
      </c>
      <c r="AC286" s="165">
        <v>30</v>
      </c>
      <c r="AD286" s="165" t="s">
        <v>80</v>
      </c>
      <c r="AE286" s="165" t="s">
        <v>116</v>
      </c>
      <c r="AF286" s="165"/>
      <c r="AG286" s="165"/>
      <c r="AH286" s="165"/>
      <c r="AI286" s="165">
        <v>21</v>
      </c>
      <c r="AJ286" s="165">
        <v>40</v>
      </c>
      <c r="AK286" s="166">
        <v>70</v>
      </c>
      <c r="AL286" s="166" t="s">
        <v>81</v>
      </c>
      <c r="AM286" s="166" t="s">
        <v>116</v>
      </c>
      <c r="AN286" s="166"/>
      <c r="AO286" s="166"/>
      <c r="AP286" s="166"/>
      <c r="AQ286" s="166">
        <v>54</v>
      </c>
      <c r="AR286" s="166">
        <v>103</v>
      </c>
      <c r="AS286" s="165">
        <v>173</v>
      </c>
      <c r="AT286" s="165" t="s">
        <v>119</v>
      </c>
      <c r="AU286" s="165" t="s">
        <v>116</v>
      </c>
      <c r="AV286" s="165"/>
      <c r="AW286" s="165"/>
      <c r="AX286" s="165"/>
      <c r="AY286" s="165">
        <v>154</v>
      </c>
      <c r="AZ286" s="165">
        <v>189</v>
      </c>
      <c r="BA286" s="166"/>
      <c r="BB286" s="166"/>
      <c r="BC286" s="166"/>
      <c r="BD286" s="166"/>
      <c r="BE286" s="166"/>
      <c r="BF286" s="166"/>
      <c r="BG286" s="166"/>
      <c r="BH286" s="166"/>
      <c r="BI286" s="165"/>
      <c r="BJ286" s="165"/>
      <c r="BK286" s="165"/>
      <c r="BL286" s="165"/>
      <c r="BM286" s="165"/>
      <c r="BN286" s="165"/>
      <c r="BO286" s="165"/>
      <c r="BP286" s="165"/>
      <c r="BQ286" s="166"/>
      <c r="BR286" s="165"/>
      <c r="BS286" s="124"/>
    </row>
    <row r="287" spans="1:71" ht="12.75" hidden="1" customHeight="1" x14ac:dyDescent="0.2">
      <c r="A287" s="91">
        <v>482</v>
      </c>
      <c r="B287" s="235" t="s">
        <v>558</v>
      </c>
      <c r="C287" s="237" t="s">
        <v>559</v>
      </c>
      <c r="D287" s="235" t="s">
        <v>563</v>
      </c>
      <c r="E287" s="125" t="s">
        <v>149</v>
      </c>
      <c r="F287" s="181" t="s">
        <v>103</v>
      </c>
      <c r="G287" s="181" t="s">
        <v>56</v>
      </c>
      <c r="H287" s="181" t="s">
        <v>57</v>
      </c>
      <c r="I287" s="181"/>
      <c r="J287" s="178">
        <v>100</v>
      </c>
      <c r="K287" s="182"/>
      <c r="L287" s="182" t="s">
        <v>58</v>
      </c>
      <c r="M287" s="178" t="s">
        <v>59</v>
      </c>
      <c r="N287" s="178">
        <v>0</v>
      </c>
      <c r="O287" s="178" t="s">
        <v>60</v>
      </c>
      <c r="P287" s="178" t="s">
        <v>79</v>
      </c>
      <c r="Q287" s="179"/>
      <c r="R287" s="179" t="s">
        <v>171</v>
      </c>
      <c r="S287" s="180"/>
      <c r="T287" s="179">
        <v>200</v>
      </c>
      <c r="U287" s="179" t="s">
        <v>561</v>
      </c>
      <c r="V287" s="167" t="s">
        <v>154</v>
      </c>
      <c r="W287" s="168">
        <v>0</v>
      </c>
      <c r="Y287" s="167" t="s">
        <v>564</v>
      </c>
      <c r="Z287" s="169" t="s">
        <v>63</v>
      </c>
      <c r="AA287" s="166">
        <v>12</v>
      </c>
      <c r="AB287" s="166">
        <v>6</v>
      </c>
      <c r="AC287" s="165">
        <v>30</v>
      </c>
      <c r="AD287" s="165" t="s">
        <v>80</v>
      </c>
      <c r="AE287" s="165" t="s">
        <v>116</v>
      </c>
      <c r="AF287" s="165"/>
      <c r="AG287" s="165"/>
      <c r="AH287" s="165"/>
      <c r="AI287" s="165">
        <v>21</v>
      </c>
      <c r="AJ287" s="165">
        <v>40</v>
      </c>
      <c r="AK287" s="166">
        <v>70</v>
      </c>
      <c r="AL287" s="166" t="s">
        <v>81</v>
      </c>
      <c r="AM287" s="166" t="s">
        <v>116</v>
      </c>
      <c r="AN287" s="166"/>
      <c r="AO287" s="166"/>
      <c r="AP287" s="166"/>
      <c r="AQ287" s="166">
        <v>54</v>
      </c>
      <c r="AR287" s="166">
        <v>103</v>
      </c>
      <c r="AS287" s="165">
        <v>173</v>
      </c>
      <c r="AT287" s="165" t="s">
        <v>119</v>
      </c>
      <c r="AU287" s="165" t="s">
        <v>116</v>
      </c>
      <c r="AV287" s="165"/>
      <c r="AW287" s="165"/>
      <c r="AX287" s="165"/>
      <c r="AY287" s="165">
        <v>154</v>
      </c>
      <c r="AZ287" s="165">
        <v>189</v>
      </c>
      <c r="BA287" s="166"/>
      <c r="BB287" s="166"/>
      <c r="BC287" s="166"/>
      <c r="BD287" s="166"/>
      <c r="BE287" s="166"/>
      <c r="BF287" s="166"/>
      <c r="BG287" s="166"/>
      <c r="BH287" s="166"/>
      <c r="BI287" s="165"/>
      <c r="BJ287" s="165"/>
      <c r="BK287" s="165"/>
      <c r="BL287" s="165"/>
      <c r="BM287" s="165"/>
      <c r="BN287" s="165"/>
      <c r="BO287" s="165"/>
      <c r="BP287" s="165"/>
      <c r="BQ287" s="166"/>
      <c r="BR287" s="165"/>
      <c r="BS287" s="124"/>
    </row>
    <row r="288" spans="1:71" ht="12.75" hidden="1" customHeight="1" x14ac:dyDescent="0.2">
      <c r="A288" s="91">
        <v>483</v>
      </c>
      <c r="B288" s="235" t="s">
        <v>558</v>
      </c>
      <c r="C288" s="237" t="s">
        <v>559</v>
      </c>
      <c r="D288" s="235" t="s">
        <v>565</v>
      </c>
      <c r="E288" s="125" t="s">
        <v>152</v>
      </c>
      <c r="F288" s="181" t="s">
        <v>103</v>
      </c>
      <c r="G288" s="181" t="s">
        <v>56</v>
      </c>
      <c r="H288" s="181" t="s">
        <v>66</v>
      </c>
      <c r="I288" s="181"/>
      <c r="J288" s="178">
        <v>100</v>
      </c>
      <c r="K288" s="182"/>
      <c r="L288" s="182" t="s">
        <v>58</v>
      </c>
      <c r="M288" s="178" t="s">
        <v>59</v>
      </c>
      <c r="N288" s="178">
        <v>0</v>
      </c>
      <c r="O288" s="178" t="s">
        <v>60</v>
      </c>
      <c r="P288" s="178" t="s">
        <v>79</v>
      </c>
      <c r="Q288" s="179"/>
      <c r="R288" s="179" t="s">
        <v>171</v>
      </c>
      <c r="S288" s="180"/>
      <c r="T288" s="179">
        <v>200</v>
      </c>
      <c r="U288" s="179" t="s">
        <v>561</v>
      </c>
      <c r="V288" s="167" t="s">
        <v>154</v>
      </c>
      <c r="W288" s="168">
        <v>0</v>
      </c>
      <c r="Y288" s="167" t="s">
        <v>564</v>
      </c>
      <c r="Z288" s="169" t="s">
        <v>63</v>
      </c>
      <c r="AA288" s="166">
        <v>12</v>
      </c>
      <c r="AB288" s="166">
        <v>6</v>
      </c>
      <c r="AC288" s="165">
        <v>30</v>
      </c>
      <c r="AD288" s="165" t="s">
        <v>80</v>
      </c>
      <c r="AE288" s="165" t="s">
        <v>116</v>
      </c>
      <c r="AF288" s="165"/>
      <c r="AG288" s="165"/>
      <c r="AH288" s="165"/>
      <c r="AI288" s="165">
        <v>21</v>
      </c>
      <c r="AJ288" s="165">
        <v>40</v>
      </c>
      <c r="AK288" s="166">
        <v>70</v>
      </c>
      <c r="AL288" s="166" t="s">
        <v>81</v>
      </c>
      <c r="AM288" s="166" t="s">
        <v>116</v>
      </c>
      <c r="AN288" s="166"/>
      <c r="AO288" s="166"/>
      <c r="AP288" s="166"/>
      <c r="AQ288" s="166">
        <v>54</v>
      </c>
      <c r="AR288" s="166">
        <v>103</v>
      </c>
      <c r="AS288" s="165">
        <v>173</v>
      </c>
      <c r="AT288" s="165" t="s">
        <v>119</v>
      </c>
      <c r="AU288" s="165" t="s">
        <v>116</v>
      </c>
      <c r="AV288" s="165"/>
      <c r="AW288" s="165"/>
      <c r="AX288" s="165"/>
      <c r="AY288" s="165">
        <v>154</v>
      </c>
      <c r="AZ288" s="165">
        <v>189</v>
      </c>
      <c r="BA288" s="166"/>
      <c r="BB288" s="166"/>
      <c r="BC288" s="166"/>
      <c r="BD288" s="166"/>
      <c r="BE288" s="166"/>
      <c r="BF288" s="166"/>
      <c r="BG288" s="166"/>
      <c r="BH288" s="166"/>
      <c r="BI288" s="165"/>
      <c r="BJ288" s="165"/>
      <c r="BK288" s="165"/>
      <c r="BL288" s="165"/>
      <c r="BM288" s="165"/>
      <c r="BN288" s="165"/>
      <c r="BO288" s="165"/>
      <c r="BP288" s="165"/>
      <c r="BQ288" s="166"/>
      <c r="BR288" s="165"/>
      <c r="BS288" s="124"/>
    </row>
    <row r="289" spans="1:72" ht="12.75" hidden="1" customHeight="1" x14ac:dyDescent="0.2">
      <c r="A289" s="91">
        <v>484</v>
      </c>
      <c r="B289" s="235" t="s">
        <v>566</v>
      </c>
      <c r="C289" s="237" t="s">
        <v>567</v>
      </c>
      <c r="D289" s="235" t="s">
        <v>568</v>
      </c>
      <c r="E289" s="125" t="s">
        <v>149</v>
      </c>
      <c r="F289" s="181" t="s">
        <v>103</v>
      </c>
      <c r="G289" s="181" t="s">
        <v>56</v>
      </c>
      <c r="H289" s="181" t="s">
        <v>461</v>
      </c>
      <c r="I289" s="181"/>
      <c r="J289" s="178">
        <v>100</v>
      </c>
      <c r="K289" s="182"/>
      <c r="L289" s="182" t="s">
        <v>58</v>
      </c>
      <c r="M289" s="178" t="s">
        <v>59</v>
      </c>
      <c r="N289" s="178">
        <v>0</v>
      </c>
      <c r="O289" s="178" t="s">
        <v>60</v>
      </c>
      <c r="P289" s="178" t="s">
        <v>79</v>
      </c>
      <c r="Q289" s="179"/>
      <c r="R289" s="179" t="s">
        <v>171</v>
      </c>
      <c r="S289" s="180"/>
      <c r="T289" s="179">
        <v>200</v>
      </c>
      <c r="U289" s="179" t="s">
        <v>569</v>
      </c>
      <c r="V289" s="167" t="s">
        <v>62</v>
      </c>
      <c r="W289" s="168">
        <v>12</v>
      </c>
      <c r="X289" s="106" t="s">
        <v>570</v>
      </c>
      <c r="Y289" s="167"/>
      <c r="Z289" s="169" t="s">
        <v>63</v>
      </c>
      <c r="AA289" s="166">
        <v>6</v>
      </c>
      <c r="AB289" s="166">
        <v>0</v>
      </c>
      <c r="AC289" s="165">
        <v>30</v>
      </c>
      <c r="AD289" s="165" t="s">
        <v>80</v>
      </c>
      <c r="AE289" s="165" t="s">
        <v>116</v>
      </c>
      <c r="AF289" s="165"/>
      <c r="AG289" s="165"/>
      <c r="AH289" s="165"/>
      <c r="AI289" s="165">
        <v>24</v>
      </c>
      <c r="AJ289" s="165">
        <v>34</v>
      </c>
      <c r="AK289" s="166">
        <v>71</v>
      </c>
      <c r="AL289" s="166" t="s">
        <v>81</v>
      </c>
      <c r="AM289" s="166" t="s">
        <v>116</v>
      </c>
      <c r="AN289" s="166"/>
      <c r="AO289" s="166"/>
      <c r="AP289" s="166"/>
      <c r="AQ289" s="166">
        <v>63</v>
      </c>
      <c r="AR289" s="166">
        <v>80</v>
      </c>
      <c r="AS289" s="165"/>
      <c r="AT289" s="165"/>
      <c r="AU289" s="165"/>
      <c r="AV289" s="165"/>
      <c r="AW289" s="165"/>
      <c r="AX289" s="165"/>
      <c r="AY289" s="165"/>
      <c r="AZ289" s="165"/>
      <c r="BA289" s="166"/>
      <c r="BB289" s="166"/>
      <c r="BC289" s="166"/>
      <c r="BD289" s="166"/>
      <c r="BE289" s="166"/>
      <c r="BF289" s="166"/>
      <c r="BG289" s="166"/>
      <c r="BH289" s="166"/>
      <c r="BI289" s="165"/>
      <c r="BJ289" s="165"/>
      <c r="BK289" s="165"/>
      <c r="BL289" s="165"/>
      <c r="BM289" s="165"/>
      <c r="BN289" s="165"/>
      <c r="BO289" s="165"/>
      <c r="BP289" s="165"/>
      <c r="BQ289" s="166"/>
      <c r="BR289" s="165"/>
      <c r="BS289" s="124"/>
      <c r="BT289" s="124"/>
    </row>
    <row r="290" spans="1:72" ht="12.75" hidden="1" customHeight="1" x14ac:dyDescent="0.2">
      <c r="A290" s="91">
        <v>485</v>
      </c>
      <c r="B290" s="235" t="s">
        <v>566</v>
      </c>
      <c r="C290" s="237" t="s">
        <v>567</v>
      </c>
      <c r="D290" s="235" t="s">
        <v>571</v>
      </c>
      <c r="E290" s="125" t="s">
        <v>149</v>
      </c>
      <c r="F290" s="181" t="s">
        <v>103</v>
      </c>
      <c r="G290" s="181" t="s">
        <v>56</v>
      </c>
      <c r="H290" s="181" t="s">
        <v>461</v>
      </c>
      <c r="I290" s="181"/>
      <c r="J290" s="178">
        <v>100</v>
      </c>
      <c r="K290" s="182"/>
      <c r="L290" s="182" t="s">
        <v>58</v>
      </c>
      <c r="M290" s="178" t="s">
        <v>59</v>
      </c>
      <c r="N290" s="178">
        <v>0</v>
      </c>
      <c r="O290" s="178" t="s">
        <v>60</v>
      </c>
      <c r="P290" s="178" t="s">
        <v>79</v>
      </c>
      <c r="Q290" s="179"/>
      <c r="R290" s="179" t="s">
        <v>150</v>
      </c>
      <c r="S290" s="180"/>
      <c r="T290" s="179">
        <v>200</v>
      </c>
      <c r="U290" s="179" t="s">
        <v>572</v>
      </c>
      <c r="V290" s="167" t="s">
        <v>154</v>
      </c>
      <c r="W290" s="168"/>
      <c r="Y290" s="167" t="s">
        <v>573</v>
      </c>
      <c r="Z290" s="169" t="s">
        <v>63</v>
      </c>
      <c r="AA290" s="166">
        <v>6</v>
      </c>
      <c r="AB290" s="166">
        <v>0</v>
      </c>
      <c r="AC290" s="165">
        <v>30</v>
      </c>
      <c r="AD290" s="165" t="s">
        <v>80</v>
      </c>
      <c r="AE290" s="165" t="s">
        <v>116</v>
      </c>
      <c r="AF290" s="165"/>
      <c r="AG290" s="165"/>
      <c r="AH290" s="165"/>
      <c r="AI290" s="165">
        <v>24</v>
      </c>
      <c r="AJ290" s="165">
        <v>34</v>
      </c>
      <c r="AK290" s="166">
        <v>71</v>
      </c>
      <c r="AL290" s="166" t="s">
        <v>81</v>
      </c>
      <c r="AM290" s="166" t="s">
        <v>116</v>
      </c>
      <c r="AN290" s="166"/>
      <c r="AO290" s="166"/>
      <c r="AP290" s="166"/>
      <c r="AQ290" s="166">
        <v>63</v>
      </c>
      <c r="AR290" s="166">
        <v>80</v>
      </c>
      <c r="AS290" s="165"/>
      <c r="AT290" s="165"/>
      <c r="AU290" s="165"/>
      <c r="AV290" s="165"/>
      <c r="AW290" s="165"/>
      <c r="AX290" s="165"/>
      <c r="AY290" s="165"/>
      <c r="AZ290" s="165"/>
      <c r="BA290" s="166"/>
      <c r="BB290" s="166"/>
      <c r="BC290" s="166"/>
      <c r="BD290" s="166"/>
      <c r="BE290" s="166"/>
      <c r="BF290" s="166"/>
      <c r="BG290" s="166"/>
      <c r="BH290" s="166"/>
      <c r="BI290" s="165"/>
      <c r="BJ290" s="165"/>
      <c r="BK290" s="165"/>
      <c r="BL290" s="165"/>
      <c r="BM290" s="165"/>
      <c r="BN290" s="165"/>
      <c r="BO290" s="165"/>
      <c r="BP290" s="165"/>
      <c r="BQ290" s="166"/>
      <c r="BR290" s="165"/>
      <c r="BS290" s="124"/>
      <c r="BT290" s="124"/>
    </row>
    <row r="291" spans="1:72" ht="12.75" hidden="1" customHeight="1" x14ac:dyDescent="0.2">
      <c r="A291" s="91">
        <v>486</v>
      </c>
      <c r="B291" s="235" t="s">
        <v>566</v>
      </c>
      <c r="C291" s="237" t="s">
        <v>567</v>
      </c>
      <c r="D291" s="235" t="s">
        <v>574</v>
      </c>
      <c r="E291" s="125" t="s">
        <v>149</v>
      </c>
      <c r="F291" s="181" t="s">
        <v>103</v>
      </c>
      <c r="G291" s="181" t="s">
        <v>56</v>
      </c>
      <c r="H291" s="181" t="s">
        <v>461</v>
      </c>
      <c r="I291" s="181"/>
      <c r="J291" s="178">
        <v>100</v>
      </c>
      <c r="K291" s="182"/>
      <c r="L291" s="182" t="s">
        <v>58</v>
      </c>
      <c r="M291" s="178" t="s">
        <v>59</v>
      </c>
      <c r="N291" s="178">
        <v>0</v>
      </c>
      <c r="O291" s="178" t="s">
        <v>60</v>
      </c>
      <c r="P291" s="178" t="s">
        <v>79</v>
      </c>
      <c r="Q291" s="179"/>
      <c r="R291" s="179" t="s">
        <v>150</v>
      </c>
      <c r="S291" s="180"/>
      <c r="T291" s="179">
        <v>200</v>
      </c>
      <c r="U291" s="179" t="s">
        <v>572</v>
      </c>
      <c r="V291" s="167" t="s">
        <v>154</v>
      </c>
      <c r="W291" s="168"/>
      <c r="Y291" s="167" t="s">
        <v>573</v>
      </c>
      <c r="Z291" s="169" t="s">
        <v>63</v>
      </c>
      <c r="AA291" s="166">
        <v>6</v>
      </c>
      <c r="AB291" s="166">
        <v>0</v>
      </c>
      <c r="AC291" s="165">
        <v>30</v>
      </c>
      <c r="AD291" s="165" t="s">
        <v>80</v>
      </c>
      <c r="AE291" s="165" t="s">
        <v>116</v>
      </c>
      <c r="AF291" s="165"/>
      <c r="AG291" s="165"/>
      <c r="AH291" s="165"/>
      <c r="AI291" s="165">
        <v>24</v>
      </c>
      <c r="AJ291" s="165">
        <v>34</v>
      </c>
      <c r="AK291" s="166">
        <v>71</v>
      </c>
      <c r="AL291" s="166" t="s">
        <v>81</v>
      </c>
      <c r="AM291" s="166" t="s">
        <v>116</v>
      </c>
      <c r="AN291" s="166"/>
      <c r="AO291" s="166"/>
      <c r="AP291" s="166"/>
      <c r="AQ291" s="166">
        <v>63</v>
      </c>
      <c r="AR291" s="166">
        <v>80</v>
      </c>
      <c r="AS291" s="165"/>
      <c r="AT291" s="165"/>
      <c r="AU291" s="165"/>
      <c r="AV291" s="165"/>
      <c r="AW291" s="165"/>
      <c r="AX291" s="165"/>
      <c r="AY291" s="165"/>
      <c r="AZ291" s="165"/>
      <c r="BA291" s="166"/>
      <c r="BB291" s="166"/>
      <c r="BC291" s="166"/>
      <c r="BD291" s="166"/>
      <c r="BE291" s="166"/>
      <c r="BF291" s="166"/>
      <c r="BG291" s="166"/>
      <c r="BH291" s="166"/>
      <c r="BI291" s="165"/>
      <c r="BJ291" s="165"/>
      <c r="BK291" s="165"/>
      <c r="BL291" s="165"/>
      <c r="BM291" s="165"/>
      <c r="BN291" s="165"/>
      <c r="BO291" s="165"/>
      <c r="BP291" s="165"/>
      <c r="BQ291" s="166"/>
      <c r="BR291" s="165"/>
      <c r="BS291" s="124"/>
      <c r="BT291" s="124"/>
    </row>
    <row r="292" spans="1:72" ht="12.75" hidden="1" customHeight="1" x14ac:dyDescent="0.2">
      <c r="A292" s="91">
        <v>487</v>
      </c>
      <c r="B292" s="235" t="s">
        <v>566</v>
      </c>
      <c r="C292" s="237" t="s">
        <v>567</v>
      </c>
      <c r="D292" s="235" t="s">
        <v>575</v>
      </c>
      <c r="E292" s="125" t="s">
        <v>149</v>
      </c>
      <c r="F292" s="181" t="s">
        <v>103</v>
      </c>
      <c r="G292" s="181" t="s">
        <v>56</v>
      </c>
      <c r="H292" s="181" t="s">
        <v>576</v>
      </c>
      <c r="I292" s="181"/>
      <c r="J292" s="178">
        <v>100</v>
      </c>
      <c r="K292" s="182"/>
      <c r="L292" s="182" t="s">
        <v>58</v>
      </c>
      <c r="M292" s="178" t="s">
        <v>59</v>
      </c>
      <c r="N292" s="178" t="s">
        <v>577</v>
      </c>
      <c r="O292" s="178" t="s">
        <v>60</v>
      </c>
      <c r="P292" s="178" t="s">
        <v>545</v>
      </c>
      <c r="Q292" s="179"/>
      <c r="R292" s="179" t="s">
        <v>150</v>
      </c>
      <c r="S292" s="180"/>
      <c r="T292" s="179">
        <v>200</v>
      </c>
      <c r="U292" s="179" t="s">
        <v>572</v>
      </c>
      <c r="V292" s="167" t="s">
        <v>154</v>
      </c>
      <c r="W292" s="168"/>
      <c r="Y292" s="167" t="s">
        <v>573</v>
      </c>
      <c r="Z292" s="169" t="s">
        <v>63</v>
      </c>
      <c r="AA292" s="166">
        <v>6</v>
      </c>
      <c r="AB292" s="166">
        <v>0</v>
      </c>
      <c r="AC292" s="165">
        <v>30</v>
      </c>
      <c r="AD292" s="165" t="s">
        <v>80</v>
      </c>
      <c r="AE292" s="165" t="s">
        <v>116</v>
      </c>
      <c r="AF292" s="165"/>
      <c r="AG292" s="165"/>
      <c r="AH292" s="165"/>
      <c r="AI292" s="165">
        <v>24</v>
      </c>
      <c r="AJ292" s="165">
        <v>34</v>
      </c>
      <c r="AK292" s="166">
        <v>71</v>
      </c>
      <c r="AL292" s="166" t="s">
        <v>81</v>
      </c>
      <c r="AM292" s="166" t="s">
        <v>116</v>
      </c>
      <c r="AN292" s="166"/>
      <c r="AO292" s="166"/>
      <c r="AP292" s="166"/>
      <c r="AQ292" s="166">
        <v>63</v>
      </c>
      <c r="AR292" s="166">
        <v>80</v>
      </c>
      <c r="AS292" s="165"/>
      <c r="AT292" s="165"/>
      <c r="AU292" s="165"/>
      <c r="AV292" s="165"/>
      <c r="AW292" s="165"/>
      <c r="AX292" s="165"/>
      <c r="AY292" s="165"/>
      <c r="AZ292" s="165"/>
      <c r="BA292" s="166"/>
      <c r="BB292" s="166"/>
      <c r="BC292" s="166"/>
      <c r="BD292" s="166"/>
      <c r="BE292" s="166"/>
      <c r="BF292" s="166"/>
      <c r="BG292" s="166"/>
      <c r="BH292" s="166"/>
      <c r="BI292" s="165"/>
      <c r="BJ292" s="165"/>
      <c r="BK292" s="165"/>
      <c r="BL292" s="165"/>
      <c r="BM292" s="165"/>
      <c r="BN292" s="165"/>
      <c r="BO292" s="165"/>
      <c r="BP292" s="165"/>
      <c r="BQ292" s="166"/>
      <c r="BR292" s="165"/>
      <c r="BS292" s="124"/>
      <c r="BT292" s="124"/>
    </row>
    <row r="293" spans="1:72" ht="12.75" hidden="1" customHeight="1" x14ac:dyDescent="0.2">
      <c r="A293" s="91">
        <v>488</v>
      </c>
      <c r="B293" s="235" t="s">
        <v>566</v>
      </c>
      <c r="C293" s="237" t="s">
        <v>567</v>
      </c>
      <c r="D293" s="235" t="s">
        <v>578</v>
      </c>
      <c r="E293" s="125" t="s">
        <v>149</v>
      </c>
      <c r="F293" s="181" t="s">
        <v>103</v>
      </c>
      <c r="G293" s="181" t="s">
        <v>56</v>
      </c>
      <c r="H293" s="181" t="s">
        <v>354</v>
      </c>
      <c r="I293" s="181" t="s">
        <v>579</v>
      </c>
      <c r="J293" s="178">
        <v>50</v>
      </c>
      <c r="K293" s="182"/>
      <c r="L293" s="182" t="s">
        <v>58</v>
      </c>
      <c r="M293" s="178" t="s">
        <v>59</v>
      </c>
      <c r="N293" s="178">
        <v>0</v>
      </c>
      <c r="O293" s="178" t="s">
        <v>60</v>
      </c>
      <c r="P293" s="178" t="s">
        <v>79</v>
      </c>
      <c r="Q293" s="179"/>
      <c r="R293" s="179" t="s">
        <v>150</v>
      </c>
      <c r="S293" s="180"/>
      <c r="T293" s="179">
        <v>200</v>
      </c>
      <c r="U293" s="179" t="s">
        <v>580</v>
      </c>
      <c r="V293" s="167" t="s">
        <v>154</v>
      </c>
      <c r="W293" s="168"/>
      <c r="Y293" s="167" t="s">
        <v>573</v>
      </c>
      <c r="Z293" s="169" t="s">
        <v>63</v>
      </c>
      <c r="AA293" s="166">
        <v>6</v>
      </c>
      <c r="AB293" s="166">
        <v>0</v>
      </c>
      <c r="AC293" s="165">
        <v>30</v>
      </c>
      <c r="AD293" s="165" t="s">
        <v>80</v>
      </c>
      <c r="AE293" s="165" t="s">
        <v>116</v>
      </c>
      <c r="AF293" s="165"/>
      <c r="AG293" s="165"/>
      <c r="AH293" s="165"/>
      <c r="AI293" s="165">
        <v>24</v>
      </c>
      <c r="AJ293" s="165">
        <v>34</v>
      </c>
      <c r="AK293" s="166">
        <v>71</v>
      </c>
      <c r="AL293" s="166" t="s">
        <v>81</v>
      </c>
      <c r="AM293" s="166" t="s">
        <v>116</v>
      </c>
      <c r="AN293" s="166"/>
      <c r="AO293" s="166"/>
      <c r="AP293" s="166"/>
      <c r="AQ293" s="166"/>
      <c r="AR293" s="166"/>
      <c r="AS293" s="165"/>
      <c r="AT293" s="165"/>
      <c r="AU293" s="165"/>
      <c r="AV293" s="165"/>
      <c r="AW293" s="165"/>
      <c r="AX293" s="165"/>
      <c r="AY293" s="165"/>
      <c r="AZ293" s="165"/>
      <c r="BA293" s="166"/>
      <c r="BB293" s="166"/>
      <c r="BC293" s="166"/>
      <c r="BD293" s="166"/>
      <c r="BE293" s="166"/>
      <c r="BF293" s="166"/>
      <c r="BG293" s="166"/>
      <c r="BH293" s="166"/>
      <c r="BI293" s="165"/>
      <c r="BJ293" s="165"/>
      <c r="BK293" s="165"/>
      <c r="BL293" s="165"/>
      <c r="BM293" s="165"/>
      <c r="BN293" s="165"/>
      <c r="BO293" s="165"/>
      <c r="BP293" s="165"/>
      <c r="BQ293" s="166"/>
      <c r="BR293" s="165"/>
      <c r="BS293" s="124"/>
      <c r="BT293" s="124"/>
    </row>
    <row r="294" spans="1:72" ht="12.75" hidden="1" customHeight="1" x14ac:dyDescent="0.2">
      <c r="A294" s="91">
        <v>489</v>
      </c>
      <c r="B294" s="235" t="s">
        <v>566</v>
      </c>
      <c r="C294" s="237" t="s">
        <v>567</v>
      </c>
      <c r="D294" s="235" t="s">
        <v>581</v>
      </c>
      <c r="E294" s="125" t="s">
        <v>149</v>
      </c>
      <c r="F294" s="181" t="s">
        <v>103</v>
      </c>
      <c r="G294" s="181" t="s">
        <v>56</v>
      </c>
      <c r="H294" s="181" t="s">
        <v>354</v>
      </c>
      <c r="I294" s="181" t="s">
        <v>579</v>
      </c>
      <c r="J294" s="178">
        <v>200</v>
      </c>
      <c r="K294" s="182"/>
      <c r="L294" s="182" t="s">
        <v>58</v>
      </c>
      <c r="M294" s="178" t="s">
        <v>59</v>
      </c>
      <c r="N294" s="178">
        <v>0</v>
      </c>
      <c r="O294" s="178" t="s">
        <v>60</v>
      </c>
      <c r="P294" s="178" t="s">
        <v>79</v>
      </c>
      <c r="Q294" s="179"/>
      <c r="R294" s="179" t="s">
        <v>150</v>
      </c>
      <c r="S294" s="180"/>
      <c r="T294" s="179">
        <v>200</v>
      </c>
      <c r="U294" s="179" t="s">
        <v>582</v>
      </c>
      <c r="V294" s="167" t="s">
        <v>154</v>
      </c>
      <c r="W294" s="168"/>
      <c r="Y294" s="167" t="s">
        <v>573</v>
      </c>
      <c r="Z294" s="169" t="s">
        <v>63</v>
      </c>
      <c r="AA294" s="166">
        <v>6</v>
      </c>
      <c r="AB294" s="166">
        <v>0</v>
      </c>
      <c r="AC294" s="165">
        <v>30</v>
      </c>
      <c r="AD294" s="165" t="s">
        <v>80</v>
      </c>
      <c r="AE294" s="165" t="s">
        <v>116</v>
      </c>
      <c r="AF294" s="165"/>
      <c r="AG294" s="165"/>
      <c r="AH294" s="165"/>
      <c r="AI294" s="165">
        <v>24</v>
      </c>
      <c r="AJ294" s="165">
        <v>34</v>
      </c>
      <c r="AK294" s="166">
        <v>71</v>
      </c>
      <c r="AL294" s="166" t="s">
        <v>81</v>
      </c>
      <c r="AM294" s="166" t="s">
        <v>116</v>
      </c>
      <c r="AN294" s="166"/>
      <c r="AO294" s="166"/>
      <c r="AP294" s="166"/>
      <c r="AQ294" s="166"/>
      <c r="AR294" s="166"/>
      <c r="AS294" s="165"/>
      <c r="AT294" s="165"/>
      <c r="AU294" s="165"/>
      <c r="AV294" s="165"/>
      <c r="AW294" s="165"/>
      <c r="AX294" s="165"/>
      <c r="AY294" s="165"/>
      <c r="AZ294" s="165"/>
      <c r="BA294" s="166"/>
      <c r="BB294" s="166"/>
      <c r="BC294" s="166"/>
      <c r="BD294" s="166"/>
      <c r="BE294" s="166"/>
      <c r="BF294" s="166"/>
      <c r="BG294" s="166"/>
      <c r="BH294" s="166"/>
      <c r="BI294" s="165"/>
      <c r="BJ294" s="165"/>
      <c r="BK294" s="165"/>
      <c r="BL294" s="165"/>
      <c r="BM294" s="165"/>
      <c r="BN294" s="165"/>
      <c r="BO294" s="165"/>
      <c r="BP294" s="165"/>
      <c r="BQ294" s="166"/>
      <c r="BR294" s="165"/>
      <c r="BS294" s="124"/>
      <c r="BT294" s="124"/>
    </row>
    <row r="295" spans="1:72" ht="12.75" hidden="1" customHeight="1" x14ac:dyDescent="0.2">
      <c r="A295" s="91">
        <v>490</v>
      </c>
      <c r="B295" s="235" t="s">
        <v>583</v>
      </c>
      <c r="C295" s="237" t="s">
        <v>584</v>
      </c>
      <c r="D295" s="235" t="s">
        <v>585</v>
      </c>
      <c r="E295" s="125" t="s">
        <v>149</v>
      </c>
      <c r="F295" s="181" t="s">
        <v>103</v>
      </c>
      <c r="G295" s="181" t="s">
        <v>56</v>
      </c>
      <c r="H295" s="181" t="s">
        <v>66</v>
      </c>
      <c r="I295" s="181"/>
      <c r="J295" s="178">
        <v>100</v>
      </c>
      <c r="K295" s="182"/>
      <c r="L295" s="182" t="s">
        <v>58</v>
      </c>
      <c r="M295" s="178" t="s">
        <v>78</v>
      </c>
      <c r="N295" s="178">
        <v>0</v>
      </c>
      <c r="O295" s="178" t="s">
        <v>60</v>
      </c>
      <c r="P295" s="178" t="s">
        <v>79</v>
      </c>
      <c r="Q295" s="179"/>
      <c r="R295" s="179"/>
      <c r="S295" s="180">
        <v>60</v>
      </c>
      <c r="T295" s="179"/>
      <c r="U295" s="179"/>
      <c r="V295" s="167" t="s">
        <v>154</v>
      </c>
      <c r="W295" s="168"/>
      <c r="Y295" s="167"/>
      <c r="Z295" s="169" t="s">
        <v>63</v>
      </c>
      <c r="AA295" s="166">
        <v>6</v>
      </c>
      <c r="AB295" s="166">
        <v>0</v>
      </c>
      <c r="AC295" s="165"/>
      <c r="AD295" s="165"/>
      <c r="AE295" s="165"/>
      <c r="AF295" s="165"/>
      <c r="AG295" s="165"/>
      <c r="AH295" s="165"/>
      <c r="AI295" s="165"/>
      <c r="AJ295" s="165"/>
      <c r="AK295" s="166"/>
      <c r="AL295" s="166"/>
      <c r="AM295" s="166"/>
      <c r="AN295" s="166"/>
      <c r="AO295" s="166"/>
      <c r="AP295" s="166"/>
      <c r="AQ295" s="166"/>
      <c r="AR295" s="166"/>
      <c r="AS295" s="165"/>
      <c r="AT295" s="165"/>
      <c r="AU295" s="165"/>
      <c r="AV295" s="165"/>
      <c r="AW295" s="165"/>
      <c r="AX295" s="165"/>
      <c r="AY295" s="165"/>
      <c r="AZ295" s="165"/>
      <c r="BA295" s="166"/>
      <c r="BB295" s="166"/>
      <c r="BC295" s="166"/>
      <c r="BD295" s="166"/>
      <c r="BE295" s="166"/>
      <c r="BF295" s="166"/>
      <c r="BG295" s="166"/>
      <c r="BH295" s="166"/>
      <c r="BI295" s="165"/>
      <c r="BJ295" s="165"/>
      <c r="BK295" s="165"/>
      <c r="BL295" s="165"/>
      <c r="BM295" s="165"/>
      <c r="BN295" s="165"/>
      <c r="BO295" s="165"/>
      <c r="BP295" s="165"/>
      <c r="BQ295" s="166"/>
      <c r="BR295" s="165"/>
      <c r="BS295" s="124"/>
      <c r="BT295" s="124"/>
    </row>
    <row r="296" spans="1:72" ht="12.75" hidden="1" customHeight="1" x14ac:dyDescent="0.2">
      <c r="A296" s="91">
        <v>491</v>
      </c>
      <c r="B296" s="235" t="s">
        <v>583</v>
      </c>
      <c r="C296" s="237" t="s">
        <v>584</v>
      </c>
      <c r="D296" s="235" t="s">
        <v>586</v>
      </c>
      <c r="E296" s="125" t="s">
        <v>149</v>
      </c>
      <c r="F296" s="181" t="s">
        <v>103</v>
      </c>
      <c r="G296" s="181" t="s">
        <v>56</v>
      </c>
      <c r="H296" s="181" t="s">
        <v>66</v>
      </c>
      <c r="I296" s="181"/>
      <c r="J296" s="178">
        <v>100</v>
      </c>
      <c r="K296" s="182"/>
      <c r="L296" s="182" t="s">
        <v>58</v>
      </c>
      <c r="M296" s="178" t="s">
        <v>59</v>
      </c>
      <c r="N296" s="178">
        <v>0</v>
      </c>
      <c r="O296" s="178" t="s">
        <v>60</v>
      </c>
      <c r="P296" s="178" t="s">
        <v>79</v>
      </c>
      <c r="Q296" s="179"/>
      <c r="R296" s="179" t="s">
        <v>171</v>
      </c>
      <c r="S296" s="180"/>
      <c r="T296" s="179"/>
      <c r="U296" s="179" t="s">
        <v>561</v>
      </c>
      <c r="V296" s="167" t="s">
        <v>154</v>
      </c>
      <c r="W296" s="168"/>
      <c r="Y296" s="167"/>
      <c r="Z296" s="169" t="s">
        <v>63</v>
      </c>
      <c r="AA296" s="166">
        <v>6</v>
      </c>
      <c r="AB296" s="166">
        <v>0</v>
      </c>
      <c r="AC296" s="165"/>
      <c r="AD296" s="165"/>
      <c r="AE296" s="165"/>
      <c r="AF296" s="165"/>
      <c r="AG296" s="165"/>
      <c r="AH296" s="165"/>
      <c r="AI296" s="165"/>
      <c r="AJ296" s="165"/>
      <c r="AK296" s="166"/>
      <c r="AL296" s="166"/>
      <c r="AM296" s="166"/>
      <c r="AN296" s="166"/>
      <c r="AO296" s="166"/>
      <c r="AP296" s="166"/>
      <c r="AQ296" s="166"/>
      <c r="AR296" s="166"/>
      <c r="AS296" s="165"/>
      <c r="AT296" s="165"/>
      <c r="AU296" s="165"/>
      <c r="AV296" s="165"/>
      <c r="AW296" s="165"/>
      <c r="AX296" s="165"/>
      <c r="AY296" s="165"/>
      <c r="AZ296" s="165"/>
      <c r="BA296" s="166"/>
      <c r="BB296" s="166"/>
      <c r="BC296" s="166"/>
      <c r="BD296" s="166"/>
      <c r="BE296" s="166"/>
      <c r="BF296" s="166"/>
      <c r="BG296" s="166"/>
      <c r="BH296" s="166"/>
      <c r="BI296" s="165"/>
      <c r="BJ296" s="165"/>
      <c r="BK296" s="165"/>
      <c r="BL296" s="165"/>
      <c r="BM296" s="165"/>
      <c r="BN296" s="165"/>
      <c r="BO296" s="165"/>
      <c r="BP296" s="165"/>
      <c r="BQ296" s="166"/>
      <c r="BR296" s="165"/>
      <c r="BS296" s="124"/>
      <c r="BT296" s="124"/>
    </row>
    <row r="297" spans="1:72" ht="12.75" hidden="1" customHeight="1" x14ac:dyDescent="0.2">
      <c r="A297" s="91">
        <v>492</v>
      </c>
      <c r="B297" s="235" t="s">
        <v>583</v>
      </c>
      <c r="C297" s="237" t="s">
        <v>584</v>
      </c>
      <c r="D297" s="235" t="s">
        <v>587</v>
      </c>
      <c r="E297" s="125" t="s">
        <v>149</v>
      </c>
      <c r="F297" s="181" t="s">
        <v>103</v>
      </c>
      <c r="G297" s="181" t="s">
        <v>56</v>
      </c>
      <c r="H297" s="181" t="s">
        <v>168</v>
      </c>
      <c r="I297" s="181"/>
      <c r="J297" s="178">
        <v>100</v>
      </c>
      <c r="K297" s="182"/>
      <c r="L297" s="182" t="s">
        <v>58</v>
      </c>
      <c r="M297" s="178" t="s">
        <v>59</v>
      </c>
      <c r="N297" s="178">
        <v>0</v>
      </c>
      <c r="O297" s="178" t="s">
        <v>60</v>
      </c>
      <c r="P297" s="178" t="s">
        <v>79</v>
      </c>
      <c r="Q297" s="179"/>
      <c r="R297" s="179" t="s">
        <v>105</v>
      </c>
      <c r="S297" s="180"/>
      <c r="T297" s="179"/>
      <c r="U297" s="179"/>
      <c r="V297" s="167" t="s">
        <v>105</v>
      </c>
      <c r="W297" s="168"/>
      <c r="Y297" s="167"/>
      <c r="Z297" s="169" t="s">
        <v>63</v>
      </c>
      <c r="AA297" s="166">
        <v>24</v>
      </c>
      <c r="AB297" s="166">
        <v>0</v>
      </c>
      <c r="AC297" s="165"/>
      <c r="AD297" s="165"/>
      <c r="AE297" s="165"/>
      <c r="AF297" s="165"/>
      <c r="AG297" s="165"/>
      <c r="AH297" s="165"/>
      <c r="AI297" s="165"/>
      <c r="AJ297" s="165"/>
      <c r="AK297" s="166"/>
      <c r="AL297" s="166"/>
      <c r="AM297" s="166"/>
      <c r="AN297" s="166"/>
      <c r="AO297" s="166"/>
      <c r="AP297" s="166"/>
      <c r="AQ297" s="166"/>
      <c r="AR297" s="166"/>
      <c r="AS297" s="165"/>
      <c r="AT297" s="165"/>
      <c r="AU297" s="165"/>
      <c r="AV297" s="165"/>
      <c r="AW297" s="165"/>
      <c r="AX297" s="165"/>
      <c r="AY297" s="165"/>
      <c r="AZ297" s="165"/>
      <c r="BA297" s="166"/>
      <c r="BB297" s="166"/>
      <c r="BC297" s="166"/>
      <c r="BD297" s="166"/>
      <c r="BE297" s="166"/>
      <c r="BF297" s="166"/>
      <c r="BG297" s="166"/>
      <c r="BH297" s="166"/>
      <c r="BI297" s="165"/>
      <c r="BJ297" s="165"/>
      <c r="BK297" s="165"/>
      <c r="BL297" s="165"/>
      <c r="BM297" s="165"/>
      <c r="BN297" s="165"/>
      <c r="BO297" s="165"/>
      <c r="BP297" s="165"/>
      <c r="BQ297" s="166"/>
      <c r="BR297" s="165"/>
      <c r="BS297" s="124"/>
      <c r="BT297" s="124"/>
    </row>
    <row r="298" spans="1:72" ht="12.75" hidden="1" customHeight="1" x14ac:dyDescent="0.2">
      <c r="A298" s="91">
        <v>493</v>
      </c>
      <c r="B298" s="235" t="s">
        <v>583</v>
      </c>
      <c r="C298" s="237" t="s">
        <v>584</v>
      </c>
      <c r="D298" s="235" t="s">
        <v>587</v>
      </c>
      <c r="E298" s="125" t="s">
        <v>152</v>
      </c>
      <c r="F298" s="181" t="s">
        <v>103</v>
      </c>
      <c r="G298" s="181" t="s">
        <v>56</v>
      </c>
      <c r="H298" s="181" t="s">
        <v>168</v>
      </c>
      <c r="I298" s="181"/>
      <c r="J298" s="178">
        <v>100</v>
      </c>
      <c r="K298" s="182"/>
      <c r="L298" s="182" t="s">
        <v>58</v>
      </c>
      <c r="M298" s="178" t="s">
        <v>59</v>
      </c>
      <c r="N298" s="178">
        <v>0</v>
      </c>
      <c r="O298" s="178" t="s">
        <v>60</v>
      </c>
      <c r="P298" s="178" t="s">
        <v>79</v>
      </c>
      <c r="Q298" s="179"/>
      <c r="R298" s="179" t="s">
        <v>105</v>
      </c>
      <c r="S298" s="180"/>
      <c r="T298" s="179"/>
      <c r="U298" s="179"/>
      <c r="V298" s="167" t="s">
        <v>105</v>
      </c>
      <c r="W298" s="168"/>
      <c r="Y298" s="167"/>
      <c r="Z298" s="169" t="s">
        <v>63</v>
      </c>
      <c r="AA298" s="166">
        <v>24</v>
      </c>
      <c r="AB298" s="166">
        <v>0</v>
      </c>
      <c r="AC298" s="165"/>
      <c r="AD298" s="165"/>
      <c r="AE298" s="165"/>
      <c r="AF298" s="165"/>
      <c r="AG298" s="165"/>
      <c r="AH298" s="165"/>
      <c r="AI298" s="165"/>
      <c r="AJ298" s="165"/>
      <c r="AK298" s="166"/>
      <c r="AL298" s="166"/>
      <c r="AM298" s="166"/>
      <c r="AN298" s="166"/>
      <c r="AO298" s="166"/>
      <c r="AP298" s="166"/>
      <c r="AQ298" s="166"/>
      <c r="AR298" s="166"/>
      <c r="AS298" s="165"/>
      <c r="AT298" s="165"/>
      <c r="AU298" s="165"/>
      <c r="AV298" s="165"/>
      <c r="AW298" s="165"/>
      <c r="AX298" s="165"/>
      <c r="AY298" s="165"/>
      <c r="AZ298" s="165"/>
      <c r="BA298" s="166"/>
      <c r="BB298" s="166"/>
      <c r="BC298" s="166"/>
      <c r="BD298" s="166"/>
      <c r="BE298" s="166"/>
      <c r="BF298" s="166"/>
      <c r="BG298" s="166"/>
      <c r="BH298" s="166"/>
      <c r="BI298" s="165"/>
      <c r="BJ298" s="165"/>
      <c r="BK298" s="165"/>
      <c r="BL298" s="165"/>
      <c r="BM298" s="165"/>
      <c r="BN298" s="165"/>
      <c r="BO298" s="165"/>
      <c r="BP298" s="165"/>
      <c r="BQ298" s="166"/>
      <c r="BR298" s="165"/>
      <c r="BS298" s="124"/>
      <c r="BT298" s="124"/>
    </row>
    <row r="299" spans="1:72" ht="12.75" hidden="1" customHeight="1" x14ac:dyDescent="0.2">
      <c r="A299" s="91">
        <v>494</v>
      </c>
      <c r="B299" s="235" t="s">
        <v>583</v>
      </c>
      <c r="C299" s="237" t="s">
        <v>584</v>
      </c>
      <c r="D299" s="235" t="s">
        <v>588</v>
      </c>
      <c r="E299" s="125" t="s">
        <v>149</v>
      </c>
      <c r="F299" s="181" t="s">
        <v>103</v>
      </c>
      <c r="G299" s="181" t="s">
        <v>56</v>
      </c>
      <c r="H299" s="181" t="s">
        <v>496</v>
      </c>
      <c r="I299" s="181"/>
      <c r="J299" s="178">
        <v>100</v>
      </c>
      <c r="K299" s="182"/>
      <c r="L299" s="182" t="s">
        <v>58</v>
      </c>
      <c r="M299" s="178" t="s">
        <v>59</v>
      </c>
      <c r="N299" s="178" t="s">
        <v>589</v>
      </c>
      <c r="O299" s="178" t="s">
        <v>60</v>
      </c>
      <c r="P299" s="178" t="s">
        <v>545</v>
      </c>
      <c r="Q299" s="179"/>
      <c r="R299" s="179" t="s">
        <v>105</v>
      </c>
      <c r="S299" s="180"/>
      <c r="T299" s="179"/>
      <c r="U299" s="179"/>
      <c r="V299" s="167" t="s">
        <v>105</v>
      </c>
      <c r="W299" s="168"/>
      <c r="Y299" s="167"/>
      <c r="Z299" s="169" t="s">
        <v>63</v>
      </c>
      <c r="AA299" s="166">
        <v>10</v>
      </c>
      <c r="AB299" s="166">
        <v>0</v>
      </c>
      <c r="AC299" s="165"/>
      <c r="AD299" s="165" t="s">
        <v>80</v>
      </c>
      <c r="AE299" s="165"/>
      <c r="AF299" s="165"/>
      <c r="AG299" s="165"/>
      <c r="AH299" s="165"/>
      <c r="AI299" s="165">
        <v>27</v>
      </c>
      <c r="AJ299" s="165">
        <v>54</v>
      </c>
      <c r="AK299" s="166"/>
      <c r="AL299" s="166"/>
      <c r="AM299" s="166"/>
      <c r="AN299" s="166"/>
      <c r="AO299" s="166"/>
      <c r="AP299" s="166"/>
      <c r="AQ299" s="166"/>
      <c r="AR299" s="166"/>
      <c r="AS299" s="165"/>
      <c r="AT299" s="165"/>
      <c r="AU299" s="165"/>
      <c r="AV299" s="165"/>
      <c r="AW299" s="165"/>
      <c r="AX299" s="165"/>
      <c r="AY299" s="165"/>
      <c r="AZ299" s="165"/>
      <c r="BA299" s="166"/>
      <c r="BB299" s="166"/>
      <c r="BC299" s="166"/>
      <c r="BD299" s="166"/>
      <c r="BE299" s="166"/>
      <c r="BF299" s="166"/>
      <c r="BG299" s="166"/>
      <c r="BH299" s="166"/>
      <c r="BI299" s="165"/>
      <c r="BJ299" s="165"/>
      <c r="BK299" s="165"/>
      <c r="BL299" s="165"/>
      <c r="BM299" s="165"/>
      <c r="BN299" s="165"/>
      <c r="BO299" s="165"/>
      <c r="BP299" s="165"/>
      <c r="BQ299" s="166"/>
      <c r="BR299" s="165"/>
      <c r="BS299" s="124"/>
      <c r="BT299" s="124"/>
    </row>
    <row r="300" spans="1:72" ht="14.25" hidden="1" customHeight="1" x14ac:dyDescent="0.2">
      <c r="A300" s="91">
        <v>495</v>
      </c>
      <c r="B300" s="235" t="s">
        <v>583</v>
      </c>
      <c r="C300" s="237" t="s">
        <v>584</v>
      </c>
      <c r="D300" s="235" t="s">
        <v>588</v>
      </c>
      <c r="E300" s="125" t="s">
        <v>152</v>
      </c>
      <c r="F300" s="181" t="s">
        <v>103</v>
      </c>
      <c r="G300" s="181" t="s">
        <v>56</v>
      </c>
      <c r="H300" s="181" t="s">
        <v>496</v>
      </c>
      <c r="I300" s="181"/>
      <c r="J300" s="178">
        <v>100</v>
      </c>
      <c r="K300" s="182"/>
      <c r="L300" s="182" t="s">
        <v>58</v>
      </c>
      <c r="M300" s="178" t="s">
        <v>59</v>
      </c>
      <c r="N300" s="178" t="s">
        <v>589</v>
      </c>
      <c r="O300" s="178" t="s">
        <v>60</v>
      </c>
      <c r="P300" s="178" t="s">
        <v>545</v>
      </c>
      <c r="Q300" s="179"/>
      <c r="R300" s="179" t="s">
        <v>105</v>
      </c>
      <c r="S300" s="180"/>
      <c r="T300" s="179"/>
      <c r="U300" s="179"/>
      <c r="V300" s="167" t="s">
        <v>105</v>
      </c>
      <c r="W300" s="168"/>
      <c r="Y300" s="167"/>
      <c r="Z300" s="169" t="s">
        <v>63</v>
      </c>
      <c r="AA300" s="166">
        <v>10</v>
      </c>
      <c r="AB300" s="166">
        <v>0</v>
      </c>
      <c r="AC300" s="165"/>
      <c r="AD300" s="165" t="s">
        <v>80</v>
      </c>
      <c r="AE300" s="165"/>
      <c r="AF300" s="165"/>
      <c r="AG300" s="165"/>
      <c r="AH300" s="165"/>
      <c r="AI300" s="165">
        <v>27</v>
      </c>
      <c r="AJ300" s="165">
        <v>54</v>
      </c>
      <c r="AK300" s="166"/>
      <c r="AL300" s="166"/>
      <c r="AM300" s="166"/>
      <c r="AN300" s="166"/>
      <c r="AO300" s="166"/>
      <c r="AP300" s="166"/>
      <c r="AQ300" s="166"/>
      <c r="AR300" s="166"/>
      <c r="AS300" s="165"/>
      <c r="AT300" s="165"/>
      <c r="AU300" s="165"/>
      <c r="AV300" s="165"/>
      <c r="AW300" s="165"/>
      <c r="AX300" s="165"/>
      <c r="AY300" s="165"/>
      <c r="AZ300" s="165"/>
      <c r="BA300" s="166"/>
      <c r="BB300" s="166"/>
      <c r="BC300" s="166"/>
      <c r="BD300" s="166"/>
      <c r="BE300" s="166"/>
      <c r="BF300" s="166"/>
      <c r="BG300" s="166"/>
      <c r="BH300" s="166"/>
      <c r="BI300" s="165"/>
      <c r="BJ300" s="165"/>
      <c r="BK300" s="165"/>
      <c r="BL300" s="165"/>
      <c r="BM300" s="165"/>
      <c r="BN300" s="165"/>
      <c r="BO300" s="165"/>
      <c r="BP300" s="165"/>
      <c r="BQ300" s="166"/>
      <c r="BR300" s="165"/>
      <c r="BS300" s="124"/>
      <c r="BT300" s="174"/>
    </row>
    <row r="301" spans="1:72" ht="14.25" hidden="1" customHeight="1" x14ac:dyDescent="0.2">
      <c r="A301" s="93">
        <v>496</v>
      </c>
      <c r="B301" s="235" t="s">
        <v>590</v>
      </c>
      <c r="C301" s="237" t="s">
        <v>591</v>
      </c>
      <c r="D301" s="235" t="s">
        <v>592</v>
      </c>
      <c r="E301" s="125" t="s">
        <v>149</v>
      </c>
      <c r="F301" s="181" t="s">
        <v>103</v>
      </c>
      <c r="G301" s="181" t="s">
        <v>56</v>
      </c>
      <c r="H301" s="181" t="s">
        <v>168</v>
      </c>
      <c r="I301" s="181"/>
      <c r="J301" s="178">
        <v>200</v>
      </c>
      <c r="K301" s="182"/>
      <c r="L301" s="182" t="s">
        <v>58</v>
      </c>
      <c r="M301" s="178" t="s">
        <v>59</v>
      </c>
      <c r="N301" s="178" t="s">
        <v>593</v>
      </c>
      <c r="O301" s="178" t="s">
        <v>60</v>
      </c>
      <c r="P301" s="178" t="s">
        <v>545</v>
      </c>
      <c r="Q301" s="179"/>
      <c r="R301" s="179" t="s">
        <v>594</v>
      </c>
      <c r="S301" s="180"/>
      <c r="T301" s="179"/>
      <c r="U301" s="179" t="s">
        <v>595</v>
      </c>
      <c r="V301" s="167" t="s">
        <v>62</v>
      </c>
      <c r="W301" s="168">
        <v>10</v>
      </c>
      <c r="X301" s="106" t="s">
        <v>223</v>
      </c>
      <c r="Y301" s="167"/>
      <c r="Z301" s="169" t="s">
        <v>63</v>
      </c>
      <c r="AA301" s="166">
        <v>6</v>
      </c>
      <c r="AB301" s="166">
        <v>0</v>
      </c>
      <c r="AC301" s="165"/>
      <c r="AD301" s="165"/>
      <c r="AE301" s="165"/>
      <c r="AF301" s="165"/>
      <c r="AG301" s="165"/>
      <c r="AH301" s="165"/>
      <c r="AI301" s="165"/>
      <c r="AJ301" s="165"/>
      <c r="AK301" s="166"/>
      <c r="AL301" s="166"/>
      <c r="AM301" s="166"/>
      <c r="AN301" s="166"/>
      <c r="AO301" s="166"/>
      <c r="AP301" s="166"/>
      <c r="AQ301" s="166"/>
      <c r="AR301" s="166"/>
      <c r="AS301" s="165"/>
      <c r="AT301" s="165"/>
      <c r="AU301" s="165"/>
      <c r="AV301" s="165"/>
      <c r="AW301" s="165"/>
      <c r="AX301" s="165"/>
      <c r="AY301" s="165"/>
      <c r="AZ301" s="165"/>
      <c r="BA301" s="166"/>
      <c r="BB301" s="166"/>
      <c r="BC301" s="166"/>
      <c r="BD301" s="166"/>
      <c r="BE301" s="166"/>
      <c r="BF301" s="166"/>
      <c r="BG301" s="166"/>
      <c r="BH301" s="166"/>
      <c r="BI301" s="165"/>
      <c r="BJ301" s="165"/>
      <c r="BK301" s="165"/>
      <c r="BL301" s="165"/>
      <c r="BM301" s="165"/>
      <c r="BN301" s="165"/>
      <c r="BO301" s="165"/>
      <c r="BP301" s="165"/>
      <c r="BQ301" s="166" t="s">
        <v>596</v>
      </c>
      <c r="BR301" s="165"/>
      <c r="BS301" s="124"/>
      <c r="BT301" s="174"/>
    </row>
    <row r="302" spans="1:72" ht="14.25" hidden="1" customHeight="1" x14ac:dyDescent="0.2">
      <c r="A302" s="93">
        <v>497</v>
      </c>
      <c r="B302" s="235" t="s">
        <v>590</v>
      </c>
      <c r="C302" s="237" t="s">
        <v>591</v>
      </c>
      <c r="D302" s="235" t="s">
        <v>592</v>
      </c>
      <c r="E302" s="125" t="s">
        <v>152</v>
      </c>
      <c r="F302" s="181" t="s">
        <v>103</v>
      </c>
      <c r="G302" s="181" t="s">
        <v>56</v>
      </c>
      <c r="H302" s="181" t="s">
        <v>168</v>
      </c>
      <c r="I302" s="181"/>
      <c r="J302" s="178">
        <v>200</v>
      </c>
      <c r="K302" s="182"/>
      <c r="L302" s="182" t="s">
        <v>58</v>
      </c>
      <c r="M302" s="178" t="s">
        <v>59</v>
      </c>
      <c r="N302" s="178" t="s">
        <v>593</v>
      </c>
      <c r="O302" s="178" t="s">
        <v>60</v>
      </c>
      <c r="P302" s="178" t="s">
        <v>545</v>
      </c>
      <c r="Q302" s="179"/>
      <c r="R302" s="179" t="s">
        <v>594</v>
      </c>
      <c r="S302" s="180"/>
      <c r="T302" s="179"/>
      <c r="U302" s="179" t="s">
        <v>595</v>
      </c>
      <c r="V302" s="167" t="s">
        <v>62</v>
      </c>
      <c r="W302" s="168">
        <v>10</v>
      </c>
      <c r="X302" s="106" t="s">
        <v>223</v>
      </c>
      <c r="Y302" s="167"/>
      <c r="Z302" s="169" t="s">
        <v>63</v>
      </c>
      <c r="AA302" s="166">
        <v>6</v>
      </c>
      <c r="AB302" s="166">
        <v>0</v>
      </c>
      <c r="AC302" s="165"/>
      <c r="AD302" s="165"/>
      <c r="AE302" s="165"/>
      <c r="AF302" s="165"/>
      <c r="AG302" s="165"/>
      <c r="AH302" s="165"/>
      <c r="AI302" s="165"/>
      <c r="AJ302" s="165"/>
      <c r="AK302" s="166"/>
      <c r="AL302" s="166"/>
      <c r="AM302" s="166"/>
      <c r="AN302" s="166"/>
      <c r="AO302" s="166"/>
      <c r="AP302" s="166"/>
      <c r="AQ302" s="166"/>
      <c r="AR302" s="166"/>
      <c r="AS302" s="165"/>
      <c r="AT302" s="165"/>
      <c r="AU302" s="165"/>
      <c r="AV302" s="165"/>
      <c r="AW302" s="165"/>
      <c r="AX302" s="165"/>
      <c r="AY302" s="165"/>
      <c r="AZ302" s="165"/>
      <c r="BA302" s="166"/>
      <c r="BB302" s="166"/>
      <c r="BC302" s="166"/>
      <c r="BD302" s="166"/>
      <c r="BE302" s="166"/>
      <c r="BF302" s="166"/>
      <c r="BG302" s="166"/>
      <c r="BH302" s="166"/>
      <c r="BI302" s="165"/>
      <c r="BJ302" s="165"/>
      <c r="BK302" s="165"/>
      <c r="BL302" s="165"/>
      <c r="BM302" s="165"/>
      <c r="BN302" s="165"/>
      <c r="BO302" s="165"/>
      <c r="BP302" s="165"/>
      <c r="BQ302" s="166" t="s">
        <v>596</v>
      </c>
      <c r="BR302" s="165"/>
      <c r="BS302" s="124"/>
      <c r="BT302" s="174"/>
    </row>
    <row r="303" spans="1:72" ht="14.25" hidden="1" customHeight="1" x14ac:dyDescent="0.2">
      <c r="A303" s="93">
        <v>498</v>
      </c>
      <c r="B303" s="235" t="s">
        <v>597</v>
      </c>
      <c r="C303" s="237" t="s">
        <v>598</v>
      </c>
      <c r="D303" s="235" t="s">
        <v>599</v>
      </c>
      <c r="E303" s="125" t="s">
        <v>149</v>
      </c>
      <c r="F303" s="181" t="s">
        <v>103</v>
      </c>
      <c r="G303" s="181" t="s">
        <v>56</v>
      </c>
      <c r="H303" s="181" t="s">
        <v>57</v>
      </c>
      <c r="I303" s="181"/>
      <c r="J303" s="178">
        <v>200</v>
      </c>
      <c r="K303" s="182"/>
      <c r="L303" s="182" t="s">
        <v>58</v>
      </c>
      <c r="M303" s="178" t="s">
        <v>59</v>
      </c>
      <c r="N303" s="178">
        <v>0</v>
      </c>
      <c r="O303" s="178" t="s">
        <v>60</v>
      </c>
      <c r="P303" s="178" t="s">
        <v>79</v>
      </c>
      <c r="Q303" s="179"/>
      <c r="R303" s="179" t="s">
        <v>171</v>
      </c>
      <c r="S303" s="180"/>
      <c r="T303" s="179">
        <v>240</v>
      </c>
      <c r="U303" s="179" t="s">
        <v>600</v>
      </c>
      <c r="V303" s="167" t="s">
        <v>601</v>
      </c>
      <c r="W303" s="168"/>
      <c r="Y303" s="167" t="s">
        <v>602</v>
      </c>
      <c r="Z303" s="169" t="s">
        <v>63</v>
      </c>
      <c r="AA303" s="166">
        <v>20</v>
      </c>
      <c r="AB303" s="166">
        <v>10</v>
      </c>
      <c r="AC303" s="165">
        <v>25.9</v>
      </c>
      <c r="AD303" s="165" t="s">
        <v>80</v>
      </c>
      <c r="AE303" s="165" t="s">
        <v>116</v>
      </c>
      <c r="AF303" s="165">
        <v>4.5</v>
      </c>
      <c r="AG303" s="165" t="s">
        <v>80</v>
      </c>
      <c r="AH303" s="165" t="s">
        <v>117</v>
      </c>
      <c r="AI303" s="165">
        <v>22</v>
      </c>
      <c r="AJ303" s="165">
        <v>39</v>
      </c>
      <c r="AK303" s="166">
        <v>74.7</v>
      </c>
      <c r="AL303" s="166" t="s">
        <v>81</v>
      </c>
      <c r="AM303" s="166" t="s">
        <v>116</v>
      </c>
      <c r="AN303" s="166">
        <v>18.5</v>
      </c>
      <c r="AO303" s="166" t="s">
        <v>81</v>
      </c>
      <c r="AP303" s="166" t="s">
        <v>117</v>
      </c>
      <c r="AQ303" s="166">
        <v>49.4</v>
      </c>
      <c r="AR303" s="166">
        <v>105.2</v>
      </c>
      <c r="AS303" s="165"/>
      <c r="AT303" s="165"/>
      <c r="AU303" s="165"/>
      <c r="AV303" s="165"/>
      <c r="AW303" s="165"/>
      <c r="AX303" s="165"/>
      <c r="AY303" s="165"/>
      <c r="AZ303" s="165"/>
      <c r="BA303" s="166"/>
      <c r="BB303" s="166"/>
      <c r="BC303" s="166"/>
      <c r="BD303" s="166"/>
      <c r="BE303" s="166"/>
      <c r="BF303" s="166"/>
      <c r="BG303" s="166"/>
      <c r="BH303" s="166"/>
      <c r="BI303" s="165"/>
      <c r="BJ303" s="165"/>
      <c r="BK303" s="165"/>
      <c r="BL303" s="165"/>
      <c r="BM303" s="165"/>
      <c r="BN303" s="165"/>
      <c r="BO303" s="165"/>
      <c r="BP303" s="165"/>
      <c r="BQ303" s="166"/>
      <c r="BR303" s="165"/>
      <c r="BS303" s="124"/>
      <c r="BT303" s="174"/>
    </row>
    <row r="304" spans="1:72" ht="14.25" hidden="1" customHeight="1" x14ac:dyDescent="0.2">
      <c r="A304" s="93">
        <v>499</v>
      </c>
      <c r="B304" s="235" t="s">
        <v>597</v>
      </c>
      <c r="C304" s="237" t="s">
        <v>598</v>
      </c>
      <c r="D304" s="235" t="s">
        <v>599</v>
      </c>
      <c r="E304" s="125" t="s">
        <v>152</v>
      </c>
      <c r="F304" s="181" t="s">
        <v>103</v>
      </c>
      <c r="G304" s="181" t="s">
        <v>56</v>
      </c>
      <c r="H304" s="181" t="s">
        <v>66</v>
      </c>
      <c r="I304" s="181"/>
      <c r="J304" s="178">
        <v>200</v>
      </c>
      <c r="K304" s="182"/>
      <c r="L304" s="182" t="s">
        <v>58</v>
      </c>
      <c r="M304" s="178" t="s">
        <v>59</v>
      </c>
      <c r="N304" s="178">
        <v>0</v>
      </c>
      <c r="O304" s="178" t="s">
        <v>60</v>
      </c>
      <c r="P304" s="178" t="s">
        <v>79</v>
      </c>
      <c r="Q304" s="179"/>
      <c r="R304" s="179" t="s">
        <v>171</v>
      </c>
      <c r="S304" s="180"/>
      <c r="T304" s="179"/>
      <c r="U304" s="179" t="s">
        <v>600</v>
      </c>
      <c r="V304" s="167" t="s">
        <v>601</v>
      </c>
      <c r="W304" s="168"/>
      <c r="Y304" s="167" t="s">
        <v>602</v>
      </c>
      <c r="Z304" s="169" t="s">
        <v>63</v>
      </c>
      <c r="AA304" s="166">
        <v>20</v>
      </c>
      <c r="AB304" s="166">
        <v>10</v>
      </c>
      <c r="AC304" s="165">
        <v>25.9</v>
      </c>
      <c r="AD304" s="165" t="s">
        <v>80</v>
      </c>
      <c r="AE304" s="165" t="s">
        <v>116</v>
      </c>
      <c r="AF304" s="165">
        <v>4.5</v>
      </c>
      <c r="AG304" s="165" t="s">
        <v>80</v>
      </c>
      <c r="AH304" s="165" t="s">
        <v>117</v>
      </c>
      <c r="AI304" s="165">
        <v>22</v>
      </c>
      <c r="AJ304" s="165">
        <v>39</v>
      </c>
      <c r="AK304" s="166">
        <v>74.7</v>
      </c>
      <c r="AL304" s="166" t="s">
        <v>81</v>
      </c>
      <c r="AM304" s="166" t="s">
        <v>116</v>
      </c>
      <c r="AN304" s="166">
        <v>18.5</v>
      </c>
      <c r="AO304" s="166" t="s">
        <v>81</v>
      </c>
      <c r="AP304" s="166" t="s">
        <v>117</v>
      </c>
      <c r="AQ304" s="166">
        <v>49.4</v>
      </c>
      <c r="AR304" s="166">
        <v>105.2</v>
      </c>
      <c r="AS304" s="165"/>
      <c r="AT304" s="165"/>
      <c r="AU304" s="165"/>
      <c r="AV304" s="165"/>
      <c r="AW304" s="165"/>
      <c r="AX304" s="165"/>
      <c r="AY304" s="165"/>
      <c r="AZ304" s="165"/>
      <c r="BA304" s="166"/>
      <c r="BB304" s="166"/>
      <c r="BC304" s="166"/>
      <c r="BD304" s="166"/>
      <c r="BE304" s="166"/>
      <c r="BF304" s="166"/>
      <c r="BG304" s="166"/>
      <c r="BH304" s="166"/>
      <c r="BI304" s="165"/>
      <c r="BJ304" s="165"/>
      <c r="BK304" s="165"/>
      <c r="BL304" s="165"/>
      <c r="BM304" s="165"/>
      <c r="BN304" s="165"/>
      <c r="BO304" s="165"/>
      <c r="BP304" s="165"/>
      <c r="BQ304" s="166"/>
      <c r="BR304" s="165"/>
      <c r="BS304" s="124"/>
      <c r="BT304" s="174"/>
    </row>
    <row r="305" spans="1:72" ht="12.75" hidden="1" customHeight="1" x14ac:dyDescent="0.2">
      <c r="A305" s="118">
        <v>500</v>
      </c>
      <c r="B305" s="235" t="s">
        <v>597</v>
      </c>
      <c r="C305" s="237" t="s">
        <v>598</v>
      </c>
      <c r="D305" s="235" t="s">
        <v>603</v>
      </c>
      <c r="E305" s="125" t="s">
        <v>149</v>
      </c>
      <c r="F305" s="181" t="s">
        <v>103</v>
      </c>
      <c r="G305" s="181" t="s">
        <v>56</v>
      </c>
      <c r="H305" s="181" t="s">
        <v>57</v>
      </c>
      <c r="I305" s="181"/>
      <c r="J305" s="178">
        <v>200</v>
      </c>
      <c r="K305" s="182"/>
      <c r="L305" s="182" t="s">
        <v>58</v>
      </c>
      <c r="M305" s="178" t="s">
        <v>59</v>
      </c>
      <c r="N305" s="178">
        <v>0</v>
      </c>
      <c r="O305" s="178" t="s">
        <v>60</v>
      </c>
      <c r="P305" s="178" t="s">
        <v>79</v>
      </c>
      <c r="Q305" s="179"/>
      <c r="R305" s="179" t="s">
        <v>171</v>
      </c>
      <c r="S305" s="180"/>
      <c r="T305" s="179">
        <v>240</v>
      </c>
      <c r="U305" s="179" t="s">
        <v>600</v>
      </c>
      <c r="V305" s="167" t="s">
        <v>601</v>
      </c>
      <c r="W305" s="168"/>
      <c r="Y305" s="167" t="s">
        <v>602</v>
      </c>
      <c r="Z305" s="169" t="s">
        <v>63</v>
      </c>
      <c r="AA305" s="166">
        <v>20</v>
      </c>
      <c r="AB305" s="166">
        <v>10</v>
      </c>
      <c r="AC305" s="165">
        <v>25.9</v>
      </c>
      <c r="AD305" s="165" t="s">
        <v>80</v>
      </c>
      <c r="AE305" s="165" t="s">
        <v>116</v>
      </c>
      <c r="AF305" s="165">
        <v>4.5</v>
      </c>
      <c r="AG305" s="165" t="s">
        <v>80</v>
      </c>
      <c r="AH305" s="165" t="s">
        <v>117</v>
      </c>
      <c r="AI305" s="165">
        <v>22</v>
      </c>
      <c r="AJ305" s="165">
        <v>39</v>
      </c>
      <c r="AK305" s="166">
        <v>74.7</v>
      </c>
      <c r="AL305" s="166" t="s">
        <v>81</v>
      </c>
      <c r="AM305" s="166" t="s">
        <v>116</v>
      </c>
      <c r="AN305" s="166">
        <v>18.5</v>
      </c>
      <c r="AO305" s="166" t="s">
        <v>81</v>
      </c>
      <c r="AP305" s="166" t="s">
        <v>117</v>
      </c>
      <c r="AQ305" s="166">
        <v>49.4</v>
      </c>
      <c r="AR305" s="166">
        <v>105.2</v>
      </c>
      <c r="AS305" s="165"/>
      <c r="AT305" s="165"/>
      <c r="AU305" s="165"/>
      <c r="AV305" s="165"/>
      <c r="AW305" s="165"/>
      <c r="AX305" s="165"/>
      <c r="AY305" s="165"/>
      <c r="AZ305" s="165"/>
      <c r="BA305" s="166"/>
      <c r="BB305" s="166"/>
      <c r="BC305" s="166"/>
      <c r="BD305" s="166"/>
      <c r="BE305" s="166"/>
      <c r="BF305" s="166"/>
      <c r="BG305" s="166"/>
      <c r="BH305" s="166"/>
      <c r="BI305" s="165"/>
      <c r="BJ305" s="165"/>
      <c r="BK305" s="165"/>
      <c r="BL305" s="165"/>
      <c r="BM305" s="165"/>
      <c r="BN305" s="165"/>
      <c r="BO305" s="165"/>
      <c r="BP305" s="165"/>
      <c r="BQ305" s="166"/>
      <c r="BR305" s="165"/>
      <c r="BS305" s="124"/>
      <c r="BT305" s="124"/>
    </row>
    <row r="306" spans="1:72" ht="12.75" hidden="1" customHeight="1" x14ac:dyDescent="0.2">
      <c r="A306" s="118">
        <v>501</v>
      </c>
      <c r="B306" s="235" t="s">
        <v>597</v>
      </c>
      <c r="C306" s="237" t="s">
        <v>598</v>
      </c>
      <c r="D306" s="235" t="s">
        <v>603</v>
      </c>
      <c r="E306" s="125" t="s">
        <v>152</v>
      </c>
      <c r="F306" s="181" t="s">
        <v>103</v>
      </c>
      <c r="G306" s="181" t="s">
        <v>56</v>
      </c>
      <c r="H306" s="181" t="s">
        <v>66</v>
      </c>
      <c r="I306" s="181"/>
      <c r="J306" s="178">
        <v>200</v>
      </c>
      <c r="K306" s="182"/>
      <c r="L306" s="182" t="s">
        <v>58</v>
      </c>
      <c r="M306" s="178" t="s">
        <v>59</v>
      </c>
      <c r="N306" s="178">
        <v>0</v>
      </c>
      <c r="O306" s="178" t="s">
        <v>60</v>
      </c>
      <c r="P306" s="178" t="s">
        <v>79</v>
      </c>
      <c r="Q306" s="179"/>
      <c r="R306" s="179" t="s">
        <v>171</v>
      </c>
      <c r="S306" s="180"/>
      <c r="T306" s="179"/>
      <c r="U306" s="179" t="s">
        <v>600</v>
      </c>
      <c r="V306" s="167" t="s">
        <v>601</v>
      </c>
      <c r="W306" s="168"/>
      <c r="Y306" s="167" t="s">
        <v>602</v>
      </c>
      <c r="Z306" s="169" t="s">
        <v>63</v>
      </c>
      <c r="AA306" s="166">
        <v>20</v>
      </c>
      <c r="AB306" s="166">
        <v>10</v>
      </c>
      <c r="AC306" s="165">
        <v>25.9</v>
      </c>
      <c r="AD306" s="165" t="s">
        <v>80</v>
      </c>
      <c r="AE306" s="165" t="s">
        <v>116</v>
      </c>
      <c r="AF306" s="165">
        <v>4.5</v>
      </c>
      <c r="AG306" s="165" t="s">
        <v>80</v>
      </c>
      <c r="AH306" s="165" t="s">
        <v>117</v>
      </c>
      <c r="AI306" s="165">
        <v>22</v>
      </c>
      <c r="AJ306" s="165">
        <v>39</v>
      </c>
      <c r="AK306" s="166">
        <v>74.7</v>
      </c>
      <c r="AL306" s="166" t="s">
        <v>81</v>
      </c>
      <c r="AM306" s="166" t="s">
        <v>116</v>
      </c>
      <c r="AN306" s="166">
        <v>18.5</v>
      </c>
      <c r="AO306" s="166" t="s">
        <v>81</v>
      </c>
      <c r="AP306" s="166" t="s">
        <v>117</v>
      </c>
      <c r="AQ306" s="166">
        <v>49.4</v>
      </c>
      <c r="AR306" s="166">
        <v>105.2</v>
      </c>
      <c r="AS306" s="165"/>
      <c r="AT306" s="165"/>
      <c r="AU306" s="165"/>
      <c r="AV306" s="165"/>
      <c r="AW306" s="165"/>
      <c r="AX306" s="165"/>
      <c r="AY306" s="165"/>
      <c r="AZ306" s="165"/>
      <c r="BA306" s="166"/>
      <c r="BB306" s="166"/>
      <c r="BC306" s="166"/>
      <c r="BD306" s="166"/>
      <c r="BE306" s="166"/>
      <c r="BF306" s="166"/>
      <c r="BG306" s="166"/>
      <c r="BH306" s="166"/>
      <c r="BI306" s="165"/>
      <c r="BJ306" s="165"/>
      <c r="BK306" s="165"/>
      <c r="BL306" s="165"/>
      <c r="BM306" s="165"/>
      <c r="BN306" s="165"/>
      <c r="BO306" s="165"/>
      <c r="BP306" s="165"/>
      <c r="BQ306" s="166"/>
      <c r="BR306" s="165"/>
      <c r="BS306" s="124"/>
      <c r="BT306" s="124"/>
    </row>
    <row r="307" spans="1:72" ht="14.25" hidden="1" customHeight="1" x14ac:dyDescent="0.2">
      <c r="A307" s="93">
        <v>502</v>
      </c>
      <c r="B307" s="235" t="s">
        <v>604</v>
      </c>
      <c r="C307" s="237" t="s">
        <v>605</v>
      </c>
      <c r="D307" s="235" t="s">
        <v>606</v>
      </c>
      <c r="E307" s="125" t="s">
        <v>149</v>
      </c>
      <c r="F307" s="181" t="s">
        <v>103</v>
      </c>
      <c r="G307" s="181" t="s">
        <v>56</v>
      </c>
      <c r="H307" s="181" t="s">
        <v>66</v>
      </c>
      <c r="I307" s="181"/>
      <c r="J307" s="178">
        <v>200</v>
      </c>
      <c r="K307" s="182"/>
      <c r="L307" s="182" t="s">
        <v>58</v>
      </c>
      <c r="M307" s="178" t="s">
        <v>59</v>
      </c>
      <c r="N307" s="178">
        <v>0</v>
      </c>
      <c r="O307" s="178" t="s">
        <v>60</v>
      </c>
      <c r="P307" s="178" t="s">
        <v>79</v>
      </c>
      <c r="Q307" s="179"/>
      <c r="R307" s="179" t="s">
        <v>171</v>
      </c>
      <c r="S307" s="180"/>
      <c r="T307" s="179"/>
      <c r="U307" s="179" t="s">
        <v>600</v>
      </c>
      <c r="V307" s="167" t="s">
        <v>601</v>
      </c>
      <c r="W307" s="168"/>
      <c r="Y307" s="167" t="s">
        <v>602</v>
      </c>
      <c r="Z307" s="169" t="s">
        <v>63</v>
      </c>
      <c r="AA307" s="166">
        <v>10</v>
      </c>
      <c r="AB307" s="166">
        <v>10</v>
      </c>
      <c r="AC307" s="165">
        <v>24.5</v>
      </c>
      <c r="AD307" s="165" t="s">
        <v>80</v>
      </c>
      <c r="AE307" s="165" t="s">
        <v>116</v>
      </c>
      <c r="AF307" s="165">
        <v>2.2999999999999998</v>
      </c>
      <c r="AG307" s="165" t="s">
        <v>80</v>
      </c>
      <c r="AH307" s="165" t="s">
        <v>117</v>
      </c>
      <c r="AI307" s="165">
        <v>22</v>
      </c>
      <c r="AJ307" s="165">
        <v>30</v>
      </c>
      <c r="AK307" s="166">
        <v>64.3</v>
      </c>
      <c r="AL307" s="166" t="s">
        <v>81</v>
      </c>
      <c r="AM307" s="166" t="s">
        <v>116</v>
      </c>
      <c r="AN307" s="166">
        <v>19.600000000000001</v>
      </c>
      <c r="AO307" s="166" t="s">
        <v>81</v>
      </c>
      <c r="AP307" s="166" t="s">
        <v>117</v>
      </c>
      <c r="AQ307" s="166">
        <v>49.4</v>
      </c>
      <c r="AR307" s="166">
        <v>105.2</v>
      </c>
      <c r="AS307" s="165"/>
      <c r="AT307" s="165"/>
      <c r="AU307" s="165"/>
      <c r="AV307" s="165"/>
      <c r="AW307" s="165"/>
      <c r="AX307" s="165"/>
      <c r="AY307" s="165"/>
      <c r="AZ307" s="165"/>
      <c r="BA307" s="166"/>
      <c r="BB307" s="166"/>
      <c r="BC307" s="166"/>
      <c r="BD307" s="166"/>
      <c r="BE307" s="166"/>
      <c r="BF307" s="166"/>
      <c r="BG307" s="166"/>
      <c r="BH307" s="166"/>
      <c r="BI307" s="165"/>
      <c r="BJ307" s="165"/>
      <c r="BK307" s="165"/>
      <c r="BL307" s="165"/>
      <c r="BM307" s="165"/>
      <c r="BN307" s="165"/>
      <c r="BO307" s="165"/>
      <c r="BP307" s="165"/>
      <c r="BQ307" s="166"/>
      <c r="BR307" s="165"/>
      <c r="BS307" s="124"/>
      <c r="BT307" s="174"/>
    </row>
    <row r="308" spans="1:72" ht="14.25" hidden="1" customHeight="1" x14ac:dyDescent="0.2">
      <c r="A308" s="93">
        <v>503</v>
      </c>
      <c r="B308" s="235" t="s">
        <v>604</v>
      </c>
      <c r="C308" s="237" t="s">
        <v>605</v>
      </c>
      <c r="D308" s="235" t="s">
        <v>606</v>
      </c>
      <c r="E308" s="125" t="s">
        <v>152</v>
      </c>
      <c r="F308" s="181" t="s">
        <v>103</v>
      </c>
      <c r="G308" s="181" t="s">
        <v>56</v>
      </c>
      <c r="H308" s="181" t="s">
        <v>168</v>
      </c>
      <c r="I308" s="181"/>
      <c r="J308" s="178">
        <v>200</v>
      </c>
      <c r="K308" s="182"/>
      <c r="L308" s="182" t="s">
        <v>58</v>
      </c>
      <c r="M308" s="178" t="s">
        <v>59</v>
      </c>
      <c r="N308" s="178">
        <v>0</v>
      </c>
      <c r="O308" s="178" t="s">
        <v>60</v>
      </c>
      <c r="P308" s="178" t="s">
        <v>79</v>
      </c>
      <c r="Q308" s="179"/>
      <c r="R308" s="179" t="s">
        <v>171</v>
      </c>
      <c r="S308" s="180"/>
      <c r="T308" s="179"/>
      <c r="U308" s="179" t="s">
        <v>600</v>
      </c>
      <c r="V308" s="167" t="s">
        <v>601</v>
      </c>
      <c r="W308" s="168"/>
      <c r="Y308" s="167" t="s">
        <v>602</v>
      </c>
      <c r="Z308" s="169" t="s">
        <v>63</v>
      </c>
      <c r="AA308" s="166">
        <v>10</v>
      </c>
      <c r="AB308" s="166">
        <v>10</v>
      </c>
      <c r="AC308" s="165">
        <v>24.5</v>
      </c>
      <c r="AD308" s="165" t="s">
        <v>80</v>
      </c>
      <c r="AE308" s="165" t="s">
        <v>116</v>
      </c>
      <c r="AF308" s="165">
        <v>2.2999999999999998</v>
      </c>
      <c r="AG308" s="165" t="s">
        <v>80</v>
      </c>
      <c r="AH308" s="165" t="s">
        <v>117</v>
      </c>
      <c r="AI308" s="165">
        <v>22</v>
      </c>
      <c r="AJ308" s="165">
        <v>30</v>
      </c>
      <c r="AK308" s="166">
        <v>64.3</v>
      </c>
      <c r="AL308" s="166" t="s">
        <v>81</v>
      </c>
      <c r="AM308" s="166" t="s">
        <v>116</v>
      </c>
      <c r="AN308" s="166">
        <v>19.600000000000001</v>
      </c>
      <c r="AO308" s="166" t="s">
        <v>81</v>
      </c>
      <c r="AP308" s="166" t="s">
        <v>117</v>
      </c>
      <c r="AQ308" s="166">
        <v>49.4</v>
      </c>
      <c r="AR308" s="166">
        <v>105.2</v>
      </c>
      <c r="AS308" s="165"/>
      <c r="AT308" s="165"/>
      <c r="AU308" s="165"/>
      <c r="AV308" s="165"/>
      <c r="AW308" s="165"/>
      <c r="AX308" s="165"/>
      <c r="AY308" s="165"/>
      <c r="AZ308" s="165"/>
      <c r="BA308" s="166"/>
      <c r="BB308" s="166"/>
      <c r="BC308" s="166"/>
      <c r="BD308" s="166"/>
      <c r="BE308" s="166"/>
      <c r="BF308" s="166"/>
      <c r="BG308" s="166"/>
      <c r="BH308" s="166"/>
      <c r="BI308" s="165"/>
      <c r="BJ308" s="165"/>
      <c r="BK308" s="165"/>
      <c r="BL308" s="165"/>
      <c r="BM308" s="165"/>
      <c r="BN308" s="165"/>
      <c r="BO308" s="165"/>
      <c r="BP308" s="165"/>
      <c r="BQ308" s="166"/>
      <c r="BR308" s="165"/>
      <c r="BS308" s="124"/>
      <c r="BT308" s="174"/>
    </row>
    <row r="309" spans="1:72" ht="14.25" hidden="1" customHeight="1" x14ac:dyDescent="0.2">
      <c r="A309" s="93">
        <v>504</v>
      </c>
      <c r="B309" s="235" t="s">
        <v>604</v>
      </c>
      <c r="C309" s="237" t="s">
        <v>605</v>
      </c>
      <c r="D309" s="235" t="s">
        <v>607</v>
      </c>
      <c r="E309" s="125" t="s">
        <v>149</v>
      </c>
      <c r="F309" s="181" t="s">
        <v>103</v>
      </c>
      <c r="G309" s="181" t="s">
        <v>56</v>
      </c>
      <c r="H309" s="181" t="s">
        <v>157</v>
      </c>
      <c r="I309" s="181"/>
      <c r="J309" s="178">
        <v>200</v>
      </c>
      <c r="K309" s="182"/>
      <c r="L309" s="182" t="s">
        <v>58</v>
      </c>
      <c r="M309" s="178" t="s">
        <v>59</v>
      </c>
      <c r="N309" s="178">
        <v>0</v>
      </c>
      <c r="O309" s="178" t="s">
        <v>60</v>
      </c>
      <c r="P309" s="178" t="s">
        <v>79</v>
      </c>
      <c r="Q309" s="179"/>
      <c r="R309" s="179" t="s">
        <v>171</v>
      </c>
      <c r="S309" s="180"/>
      <c r="T309" s="179"/>
      <c r="U309" s="179" t="s">
        <v>600</v>
      </c>
      <c r="V309" s="167" t="s">
        <v>601</v>
      </c>
      <c r="W309" s="168"/>
      <c r="Y309" s="167" t="s">
        <v>602</v>
      </c>
      <c r="Z309" s="169" t="s">
        <v>63</v>
      </c>
      <c r="AA309" s="166">
        <v>10</v>
      </c>
      <c r="AB309" s="166">
        <v>0</v>
      </c>
      <c r="AC309" s="165">
        <v>27.2</v>
      </c>
      <c r="AD309" s="165" t="s">
        <v>80</v>
      </c>
      <c r="AE309" s="165" t="s">
        <v>116</v>
      </c>
      <c r="AF309" s="165">
        <v>5.7</v>
      </c>
      <c r="AG309" s="165" t="s">
        <v>80</v>
      </c>
      <c r="AH309" s="165" t="s">
        <v>117</v>
      </c>
      <c r="AI309" s="165">
        <v>22</v>
      </c>
      <c r="AJ309" s="165">
        <v>39</v>
      </c>
      <c r="AK309" s="166">
        <v>85.1</v>
      </c>
      <c r="AL309" s="166" t="s">
        <v>81</v>
      </c>
      <c r="AM309" s="166" t="s">
        <v>116</v>
      </c>
      <c r="AN309" s="166">
        <v>10</v>
      </c>
      <c r="AO309" s="166" t="s">
        <v>81</v>
      </c>
      <c r="AP309" s="166" t="s">
        <v>117</v>
      </c>
      <c r="AQ309" s="166">
        <v>71.2</v>
      </c>
      <c r="AR309" s="166">
        <v>102.1</v>
      </c>
      <c r="AS309" s="165"/>
      <c r="AT309" s="165"/>
      <c r="AU309" s="165"/>
      <c r="AV309" s="165"/>
      <c r="AW309" s="165"/>
      <c r="AX309" s="165"/>
      <c r="AY309" s="165"/>
      <c r="AZ309" s="165"/>
      <c r="BA309" s="166"/>
      <c r="BB309" s="166"/>
      <c r="BC309" s="166"/>
      <c r="BD309" s="166"/>
      <c r="BE309" s="166"/>
      <c r="BF309" s="166"/>
      <c r="BG309" s="166"/>
      <c r="BH309" s="166"/>
      <c r="BI309" s="165"/>
      <c r="BJ309" s="165"/>
      <c r="BK309" s="165"/>
      <c r="BL309" s="165"/>
      <c r="BM309" s="165"/>
      <c r="BN309" s="165"/>
      <c r="BO309" s="165"/>
      <c r="BP309" s="165"/>
      <c r="BQ309" s="166"/>
      <c r="BR309" s="165"/>
      <c r="BS309" s="124"/>
      <c r="BT309" s="174"/>
    </row>
    <row r="310" spans="1:72" ht="14.25" hidden="1" customHeight="1" x14ac:dyDescent="0.2">
      <c r="A310" s="93">
        <v>505</v>
      </c>
      <c r="B310" s="235" t="s">
        <v>604</v>
      </c>
      <c r="C310" s="237" t="s">
        <v>605</v>
      </c>
      <c r="D310" s="235" t="s">
        <v>607</v>
      </c>
      <c r="E310" s="125" t="s">
        <v>152</v>
      </c>
      <c r="F310" s="181" t="s">
        <v>103</v>
      </c>
      <c r="G310" s="181" t="s">
        <v>56</v>
      </c>
      <c r="H310" s="181" t="s">
        <v>496</v>
      </c>
      <c r="I310" s="181"/>
      <c r="J310" s="178">
        <v>200</v>
      </c>
      <c r="K310" s="182"/>
      <c r="L310" s="182" t="s">
        <v>58</v>
      </c>
      <c r="M310" s="178" t="s">
        <v>59</v>
      </c>
      <c r="N310" s="178">
        <v>0</v>
      </c>
      <c r="O310" s="178" t="s">
        <v>60</v>
      </c>
      <c r="P310" s="178" t="s">
        <v>79</v>
      </c>
      <c r="Q310" s="179"/>
      <c r="R310" s="179" t="s">
        <v>171</v>
      </c>
      <c r="S310" s="180"/>
      <c r="T310" s="179"/>
      <c r="U310" s="179" t="s">
        <v>600</v>
      </c>
      <c r="V310" s="167" t="s">
        <v>601</v>
      </c>
      <c r="W310" s="168"/>
      <c r="Y310" s="167" t="s">
        <v>602</v>
      </c>
      <c r="Z310" s="169" t="s">
        <v>63</v>
      </c>
      <c r="AA310" s="166">
        <v>10</v>
      </c>
      <c r="AB310" s="166">
        <v>0</v>
      </c>
      <c r="AC310" s="165">
        <v>27.2</v>
      </c>
      <c r="AD310" s="165" t="s">
        <v>80</v>
      </c>
      <c r="AE310" s="165" t="s">
        <v>116</v>
      </c>
      <c r="AF310" s="165">
        <v>5.7</v>
      </c>
      <c r="AG310" s="165" t="s">
        <v>80</v>
      </c>
      <c r="AH310" s="165" t="s">
        <v>117</v>
      </c>
      <c r="AI310" s="165">
        <v>22</v>
      </c>
      <c r="AJ310" s="165">
        <v>39</v>
      </c>
      <c r="AK310" s="166">
        <v>85.1</v>
      </c>
      <c r="AL310" s="166" t="s">
        <v>81</v>
      </c>
      <c r="AM310" s="166" t="s">
        <v>116</v>
      </c>
      <c r="AN310" s="166">
        <v>10</v>
      </c>
      <c r="AO310" s="166" t="s">
        <v>81</v>
      </c>
      <c r="AP310" s="166" t="s">
        <v>117</v>
      </c>
      <c r="AQ310" s="166">
        <v>71.2</v>
      </c>
      <c r="AR310" s="166">
        <v>102.1</v>
      </c>
      <c r="AS310" s="165"/>
      <c r="AT310" s="165"/>
      <c r="AU310" s="165"/>
      <c r="AV310" s="165"/>
      <c r="AW310" s="165"/>
      <c r="AX310" s="165"/>
      <c r="AY310" s="165"/>
      <c r="AZ310" s="165"/>
      <c r="BA310" s="166"/>
      <c r="BB310" s="166"/>
      <c r="BC310" s="166"/>
      <c r="BD310" s="166"/>
      <c r="BE310" s="166"/>
      <c r="BF310" s="166"/>
      <c r="BG310" s="166"/>
      <c r="BH310" s="166"/>
      <c r="BI310" s="165"/>
      <c r="BJ310" s="165"/>
      <c r="BK310" s="165"/>
      <c r="BL310" s="165"/>
      <c r="BM310" s="165"/>
      <c r="BN310" s="165"/>
      <c r="BO310" s="165"/>
      <c r="BP310" s="165"/>
      <c r="BQ310" s="166"/>
      <c r="BR310" s="165"/>
      <c r="BS310" s="124"/>
      <c r="BT310" s="174"/>
    </row>
    <row r="311" spans="1:72" ht="12.75" hidden="1" customHeight="1" x14ac:dyDescent="0.2">
      <c r="A311" s="118">
        <v>506</v>
      </c>
      <c r="B311" s="235" t="s">
        <v>604</v>
      </c>
      <c r="C311" s="237" t="s">
        <v>605</v>
      </c>
      <c r="D311" s="235" t="s">
        <v>608</v>
      </c>
      <c r="E311" s="125" t="s">
        <v>149</v>
      </c>
      <c r="F311" s="181" t="s">
        <v>103</v>
      </c>
      <c r="G311" s="181" t="s">
        <v>56</v>
      </c>
      <c r="H311" s="181" t="s">
        <v>66</v>
      </c>
      <c r="I311" s="181"/>
      <c r="J311" s="178">
        <v>200</v>
      </c>
      <c r="K311" s="182"/>
      <c r="L311" s="182" t="s">
        <v>58</v>
      </c>
      <c r="M311" s="178" t="s">
        <v>59</v>
      </c>
      <c r="N311" s="178">
        <v>0</v>
      </c>
      <c r="O311" s="178" t="s">
        <v>60</v>
      </c>
      <c r="P311" s="178" t="s">
        <v>79</v>
      </c>
      <c r="Q311" s="179"/>
      <c r="R311" s="179" t="s">
        <v>171</v>
      </c>
      <c r="S311" s="180"/>
      <c r="T311" s="179"/>
      <c r="U311" s="179" t="s">
        <v>600</v>
      </c>
      <c r="V311" s="167" t="s">
        <v>601</v>
      </c>
      <c r="W311" s="168"/>
      <c r="Y311" s="167" t="s">
        <v>602</v>
      </c>
      <c r="Z311" s="169" t="s">
        <v>63</v>
      </c>
      <c r="AA311" s="166">
        <v>10</v>
      </c>
      <c r="AB311" s="166">
        <v>10</v>
      </c>
      <c r="AC311" s="165">
        <v>24.5</v>
      </c>
      <c r="AD311" s="165" t="s">
        <v>80</v>
      </c>
      <c r="AE311" s="165" t="s">
        <v>116</v>
      </c>
      <c r="AF311" s="165">
        <v>2.2999999999999998</v>
      </c>
      <c r="AG311" s="165" t="s">
        <v>80</v>
      </c>
      <c r="AH311" s="165" t="s">
        <v>117</v>
      </c>
      <c r="AI311" s="165">
        <v>22</v>
      </c>
      <c r="AJ311" s="165">
        <v>30</v>
      </c>
      <c r="AK311" s="166">
        <v>64.3</v>
      </c>
      <c r="AL311" s="166" t="s">
        <v>81</v>
      </c>
      <c r="AM311" s="166" t="s">
        <v>116</v>
      </c>
      <c r="AN311" s="166">
        <v>19.600000000000001</v>
      </c>
      <c r="AO311" s="166" t="s">
        <v>81</v>
      </c>
      <c r="AP311" s="166" t="s">
        <v>117</v>
      </c>
      <c r="AQ311" s="166">
        <v>49.4</v>
      </c>
      <c r="AR311" s="166">
        <v>105.2</v>
      </c>
      <c r="AS311" s="165"/>
      <c r="AT311" s="165"/>
      <c r="AU311" s="165"/>
      <c r="AV311" s="165"/>
      <c r="AW311" s="165"/>
      <c r="AX311" s="165"/>
      <c r="AY311" s="165"/>
      <c r="AZ311" s="165"/>
      <c r="BA311" s="166"/>
      <c r="BB311" s="166"/>
      <c r="BC311" s="166"/>
      <c r="BD311" s="166"/>
      <c r="BE311" s="166"/>
      <c r="BF311" s="166"/>
      <c r="BG311" s="166"/>
      <c r="BH311" s="166"/>
      <c r="BI311" s="165"/>
      <c r="BJ311" s="165"/>
      <c r="BK311" s="165"/>
      <c r="BL311" s="165"/>
      <c r="BM311" s="165"/>
      <c r="BN311" s="165"/>
      <c r="BO311" s="165"/>
      <c r="BP311" s="165"/>
      <c r="BQ311" s="166"/>
      <c r="BR311" s="165"/>
      <c r="BS311" s="124"/>
      <c r="BT311" s="124"/>
    </row>
    <row r="312" spans="1:72" ht="12.75" hidden="1" customHeight="1" x14ac:dyDescent="0.2">
      <c r="A312" s="118">
        <v>507</v>
      </c>
      <c r="B312" s="235" t="s">
        <v>604</v>
      </c>
      <c r="C312" s="237" t="s">
        <v>605</v>
      </c>
      <c r="D312" s="235" t="s">
        <v>608</v>
      </c>
      <c r="E312" s="125" t="s">
        <v>152</v>
      </c>
      <c r="F312" s="181" t="s">
        <v>103</v>
      </c>
      <c r="G312" s="181" t="s">
        <v>56</v>
      </c>
      <c r="H312" s="181" t="s">
        <v>168</v>
      </c>
      <c r="I312" s="181"/>
      <c r="J312" s="178">
        <v>200</v>
      </c>
      <c r="K312" s="182"/>
      <c r="L312" s="182" t="s">
        <v>58</v>
      </c>
      <c r="M312" s="178" t="s">
        <v>59</v>
      </c>
      <c r="N312" s="178">
        <v>0</v>
      </c>
      <c r="O312" s="178" t="s">
        <v>60</v>
      </c>
      <c r="P312" s="178" t="s">
        <v>79</v>
      </c>
      <c r="Q312" s="179"/>
      <c r="R312" s="179" t="s">
        <v>171</v>
      </c>
      <c r="S312" s="180"/>
      <c r="T312" s="179"/>
      <c r="U312" s="179" t="s">
        <v>600</v>
      </c>
      <c r="V312" s="167" t="s">
        <v>601</v>
      </c>
      <c r="W312" s="168"/>
      <c r="Y312" s="167" t="s">
        <v>602</v>
      </c>
      <c r="Z312" s="169" t="s">
        <v>63</v>
      </c>
      <c r="AA312" s="166">
        <v>10</v>
      </c>
      <c r="AB312" s="166">
        <v>10</v>
      </c>
      <c r="AC312" s="165">
        <v>24.5</v>
      </c>
      <c r="AD312" s="165" t="s">
        <v>80</v>
      </c>
      <c r="AE312" s="165" t="s">
        <v>116</v>
      </c>
      <c r="AF312" s="165">
        <v>2.2999999999999998</v>
      </c>
      <c r="AG312" s="165" t="s">
        <v>80</v>
      </c>
      <c r="AH312" s="165" t="s">
        <v>117</v>
      </c>
      <c r="AI312" s="165">
        <v>22</v>
      </c>
      <c r="AJ312" s="165">
        <v>30</v>
      </c>
      <c r="AK312" s="166">
        <v>64.3</v>
      </c>
      <c r="AL312" s="166" t="s">
        <v>81</v>
      </c>
      <c r="AM312" s="166" t="s">
        <v>116</v>
      </c>
      <c r="AN312" s="166">
        <v>19.600000000000001</v>
      </c>
      <c r="AO312" s="166" t="s">
        <v>81</v>
      </c>
      <c r="AP312" s="166" t="s">
        <v>117</v>
      </c>
      <c r="AQ312" s="166">
        <v>49.4</v>
      </c>
      <c r="AR312" s="166">
        <v>105.2</v>
      </c>
      <c r="AS312" s="165"/>
      <c r="AT312" s="165"/>
      <c r="AU312" s="165"/>
      <c r="AV312" s="165"/>
      <c r="AW312" s="165"/>
      <c r="AX312" s="165"/>
      <c r="AY312" s="165"/>
      <c r="AZ312" s="165"/>
      <c r="BA312" s="166"/>
      <c r="BB312" s="166"/>
      <c r="BC312" s="166"/>
      <c r="BD312" s="166"/>
      <c r="BE312" s="166"/>
      <c r="BF312" s="166"/>
      <c r="BG312" s="166"/>
      <c r="BH312" s="166"/>
      <c r="BI312" s="165"/>
      <c r="BJ312" s="165"/>
      <c r="BK312" s="165"/>
      <c r="BL312" s="165"/>
      <c r="BM312" s="165"/>
      <c r="BN312" s="165"/>
      <c r="BO312" s="165"/>
      <c r="BP312" s="165"/>
      <c r="BQ312" s="166"/>
      <c r="BR312" s="165"/>
      <c r="BS312" s="124"/>
      <c r="BT312" s="124"/>
    </row>
    <row r="313" spans="1:72" ht="12.75" hidden="1" customHeight="1" x14ac:dyDescent="0.2">
      <c r="A313" s="118">
        <v>508</v>
      </c>
      <c r="B313" s="235" t="s">
        <v>604</v>
      </c>
      <c r="C313" s="237" t="s">
        <v>605</v>
      </c>
      <c r="D313" s="235" t="s">
        <v>609</v>
      </c>
      <c r="E313" s="125" t="s">
        <v>149</v>
      </c>
      <c r="F313" s="181" t="s">
        <v>103</v>
      </c>
      <c r="G313" s="181" t="s">
        <v>56</v>
      </c>
      <c r="H313" s="181" t="s">
        <v>157</v>
      </c>
      <c r="I313" s="181"/>
      <c r="J313" s="178">
        <v>200</v>
      </c>
      <c r="K313" s="182"/>
      <c r="L313" s="182" t="s">
        <v>58</v>
      </c>
      <c r="M313" s="178" t="s">
        <v>59</v>
      </c>
      <c r="N313" s="178">
        <v>0</v>
      </c>
      <c r="O313" s="178" t="s">
        <v>60</v>
      </c>
      <c r="P313" s="178" t="s">
        <v>79</v>
      </c>
      <c r="Q313" s="179"/>
      <c r="R313" s="179" t="s">
        <v>171</v>
      </c>
      <c r="S313" s="180"/>
      <c r="T313" s="179"/>
      <c r="U313" s="179" t="s">
        <v>600</v>
      </c>
      <c r="V313" s="167" t="s">
        <v>601</v>
      </c>
      <c r="W313" s="168"/>
      <c r="Y313" s="167" t="s">
        <v>602</v>
      </c>
      <c r="Z313" s="169" t="s">
        <v>63</v>
      </c>
      <c r="AA313" s="166">
        <v>10</v>
      </c>
      <c r="AB313" s="166">
        <v>0</v>
      </c>
      <c r="AC313" s="165">
        <v>27.2</v>
      </c>
      <c r="AD313" s="165" t="s">
        <v>80</v>
      </c>
      <c r="AE313" s="165" t="s">
        <v>116</v>
      </c>
      <c r="AF313" s="165">
        <v>5.7</v>
      </c>
      <c r="AG313" s="165" t="s">
        <v>80</v>
      </c>
      <c r="AH313" s="165" t="s">
        <v>117</v>
      </c>
      <c r="AI313" s="165">
        <v>22</v>
      </c>
      <c r="AJ313" s="165">
        <v>39</v>
      </c>
      <c r="AK313" s="166">
        <v>85.1</v>
      </c>
      <c r="AL313" s="166" t="s">
        <v>81</v>
      </c>
      <c r="AM313" s="166" t="s">
        <v>116</v>
      </c>
      <c r="AN313" s="166">
        <v>10</v>
      </c>
      <c r="AO313" s="166" t="s">
        <v>81</v>
      </c>
      <c r="AP313" s="166" t="s">
        <v>117</v>
      </c>
      <c r="AQ313" s="166">
        <v>71.2</v>
      </c>
      <c r="AR313" s="166">
        <v>102.1</v>
      </c>
      <c r="AS313" s="165"/>
      <c r="AT313" s="165"/>
      <c r="AU313" s="165"/>
      <c r="AV313" s="165"/>
      <c r="AW313" s="165"/>
      <c r="AX313" s="165"/>
      <c r="AY313" s="165"/>
      <c r="AZ313" s="165"/>
      <c r="BA313" s="166"/>
      <c r="BB313" s="166"/>
      <c r="BC313" s="166"/>
      <c r="BD313" s="166"/>
      <c r="BE313" s="166"/>
      <c r="BF313" s="166"/>
      <c r="BG313" s="166"/>
      <c r="BH313" s="166"/>
      <c r="BI313" s="165"/>
      <c r="BJ313" s="165"/>
      <c r="BK313" s="165"/>
      <c r="BL313" s="165"/>
      <c r="BM313" s="165"/>
      <c r="BN313" s="165"/>
      <c r="BO313" s="165"/>
      <c r="BP313" s="165"/>
      <c r="BQ313" s="166"/>
      <c r="BR313" s="165"/>
      <c r="BS313" s="124"/>
      <c r="BT313" s="124"/>
    </row>
    <row r="314" spans="1:72" ht="12.75" hidden="1" customHeight="1" x14ac:dyDescent="0.2">
      <c r="A314" s="118">
        <v>509</v>
      </c>
      <c r="B314" s="235" t="s">
        <v>604</v>
      </c>
      <c r="C314" s="237" t="s">
        <v>605</v>
      </c>
      <c r="D314" s="235" t="s">
        <v>609</v>
      </c>
      <c r="E314" s="125" t="s">
        <v>152</v>
      </c>
      <c r="F314" s="181" t="s">
        <v>103</v>
      </c>
      <c r="G314" s="181" t="s">
        <v>56</v>
      </c>
      <c r="H314" s="181" t="s">
        <v>496</v>
      </c>
      <c r="I314" s="181"/>
      <c r="J314" s="178">
        <v>200</v>
      </c>
      <c r="K314" s="182"/>
      <c r="L314" s="182" t="s">
        <v>58</v>
      </c>
      <c r="M314" s="178" t="s">
        <v>59</v>
      </c>
      <c r="N314" s="178">
        <v>0</v>
      </c>
      <c r="O314" s="178" t="s">
        <v>60</v>
      </c>
      <c r="P314" s="178" t="s">
        <v>79</v>
      </c>
      <c r="Q314" s="179"/>
      <c r="R314" s="179" t="s">
        <v>171</v>
      </c>
      <c r="S314" s="180"/>
      <c r="T314" s="179"/>
      <c r="U314" s="179" t="s">
        <v>600</v>
      </c>
      <c r="V314" s="167" t="s">
        <v>601</v>
      </c>
      <c r="W314" s="168"/>
      <c r="Y314" s="167" t="s">
        <v>602</v>
      </c>
      <c r="Z314" s="169" t="s">
        <v>63</v>
      </c>
      <c r="AA314" s="166">
        <v>10</v>
      </c>
      <c r="AB314" s="166">
        <v>0</v>
      </c>
      <c r="AC314" s="165">
        <v>27.2</v>
      </c>
      <c r="AD314" s="165" t="s">
        <v>80</v>
      </c>
      <c r="AE314" s="165" t="s">
        <v>116</v>
      </c>
      <c r="AF314" s="165">
        <v>5.7</v>
      </c>
      <c r="AG314" s="165" t="s">
        <v>80</v>
      </c>
      <c r="AH314" s="165" t="s">
        <v>117</v>
      </c>
      <c r="AI314" s="165">
        <v>22</v>
      </c>
      <c r="AJ314" s="165">
        <v>39</v>
      </c>
      <c r="AK314" s="166">
        <v>85.1</v>
      </c>
      <c r="AL314" s="166" t="s">
        <v>81</v>
      </c>
      <c r="AM314" s="166" t="s">
        <v>116</v>
      </c>
      <c r="AN314" s="166">
        <v>10</v>
      </c>
      <c r="AO314" s="166" t="s">
        <v>81</v>
      </c>
      <c r="AP314" s="166" t="s">
        <v>117</v>
      </c>
      <c r="AQ314" s="166">
        <v>71.2</v>
      </c>
      <c r="AR314" s="166">
        <v>102.1</v>
      </c>
      <c r="AS314" s="165"/>
      <c r="AT314" s="165"/>
      <c r="AU314" s="165"/>
      <c r="AV314" s="165"/>
      <c r="AW314" s="165"/>
      <c r="AX314" s="165"/>
      <c r="AY314" s="165"/>
      <c r="AZ314" s="165"/>
      <c r="BA314" s="166"/>
      <c r="BB314" s="166"/>
      <c r="BC314" s="166"/>
      <c r="BD314" s="166"/>
      <c r="BE314" s="166"/>
      <c r="BF314" s="166"/>
      <c r="BG314" s="166"/>
      <c r="BH314" s="166"/>
      <c r="BI314" s="165"/>
      <c r="BJ314" s="165"/>
      <c r="BK314" s="165"/>
      <c r="BL314" s="165"/>
      <c r="BM314" s="165"/>
      <c r="BN314" s="165"/>
      <c r="BO314" s="165"/>
      <c r="BP314" s="165"/>
      <c r="BQ314" s="166"/>
      <c r="BR314" s="165"/>
      <c r="BS314" s="124"/>
      <c r="BT314" s="124"/>
    </row>
    <row r="315" spans="1:72" ht="14.25" hidden="1" customHeight="1" x14ac:dyDescent="0.2">
      <c r="A315" s="91">
        <v>510</v>
      </c>
      <c r="B315" s="233" t="s">
        <v>610</v>
      </c>
      <c r="C315" s="237" t="s">
        <v>611</v>
      </c>
      <c r="D315" s="233" t="s">
        <v>612</v>
      </c>
      <c r="E315" s="125" t="s">
        <v>149</v>
      </c>
      <c r="F315" s="181" t="s">
        <v>103</v>
      </c>
      <c r="G315" s="181" t="s">
        <v>56</v>
      </c>
      <c r="H315" s="181" t="s">
        <v>66</v>
      </c>
      <c r="I315" s="181"/>
      <c r="J315" s="178">
        <v>200</v>
      </c>
      <c r="K315" s="182"/>
      <c r="L315" s="182" t="s">
        <v>58</v>
      </c>
      <c r="M315" s="178" t="s">
        <v>59</v>
      </c>
      <c r="N315" s="178">
        <v>0</v>
      </c>
      <c r="O315" s="178" t="s">
        <v>60</v>
      </c>
      <c r="P315" s="178" t="s">
        <v>79</v>
      </c>
      <c r="Q315" s="179"/>
      <c r="R315" s="179" t="s">
        <v>594</v>
      </c>
      <c r="S315" s="180"/>
      <c r="T315" s="179">
        <v>240</v>
      </c>
      <c r="U315" s="179" t="s">
        <v>613</v>
      </c>
      <c r="V315" s="167" t="s">
        <v>62</v>
      </c>
      <c r="W315" s="168">
        <v>12</v>
      </c>
      <c r="Y315" s="167"/>
      <c r="Z315" s="169" t="s">
        <v>63</v>
      </c>
      <c r="AA315" s="166">
        <v>8</v>
      </c>
      <c r="AB315" s="166">
        <v>0</v>
      </c>
      <c r="AC315" s="165">
        <v>25.5</v>
      </c>
      <c r="AD315" s="165" t="s">
        <v>80</v>
      </c>
      <c r="AE315" s="165" t="s">
        <v>116</v>
      </c>
      <c r="AF315" s="165">
        <v>5.3</v>
      </c>
      <c r="AG315" s="165" t="s">
        <v>80</v>
      </c>
      <c r="AH315" s="165" t="s">
        <v>117</v>
      </c>
      <c r="AI315" s="165">
        <v>22</v>
      </c>
      <c r="AJ315" s="165">
        <v>34</v>
      </c>
      <c r="AK315" s="166">
        <v>62.3</v>
      </c>
      <c r="AL315" s="166" t="s">
        <v>81</v>
      </c>
      <c r="AM315" s="166" t="s">
        <v>116</v>
      </c>
      <c r="AN315" s="166">
        <v>8.6</v>
      </c>
      <c r="AO315" s="166" t="s">
        <v>81</v>
      </c>
      <c r="AP315" s="166" t="s">
        <v>117</v>
      </c>
      <c r="AQ315" s="166">
        <v>53</v>
      </c>
      <c r="AR315" s="166">
        <v>73</v>
      </c>
      <c r="AS315" s="165"/>
      <c r="AT315" s="165"/>
      <c r="AU315" s="165"/>
      <c r="AV315" s="165"/>
      <c r="AW315" s="165"/>
      <c r="AX315" s="165"/>
      <c r="AY315" s="165"/>
      <c r="AZ315" s="165"/>
      <c r="BA315" s="166"/>
      <c r="BB315" s="166"/>
      <c r="BC315" s="166"/>
      <c r="BD315" s="166"/>
      <c r="BE315" s="166"/>
      <c r="BF315" s="166"/>
      <c r="BG315" s="166"/>
      <c r="BH315" s="166"/>
      <c r="BI315" s="165"/>
      <c r="BJ315" s="165"/>
      <c r="BK315" s="165"/>
      <c r="BL315" s="165"/>
      <c r="BM315" s="165"/>
      <c r="BN315" s="165"/>
      <c r="BO315" s="165"/>
      <c r="BP315" s="165"/>
      <c r="BQ315" s="166" t="s">
        <v>596</v>
      </c>
      <c r="BR315" s="165"/>
      <c r="BS315" s="124"/>
      <c r="BT315" s="174"/>
    </row>
    <row r="316" spans="1:72" ht="12.75" hidden="1" customHeight="1" x14ac:dyDescent="0.2">
      <c r="A316" s="91">
        <v>511</v>
      </c>
      <c r="B316" s="233" t="s">
        <v>610</v>
      </c>
      <c r="C316" s="237" t="s">
        <v>611</v>
      </c>
      <c r="D316" s="233" t="s">
        <v>612</v>
      </c>
      <c r="E316" s="125" t="s">
        <v>152</v>
      </c>
      <c r="F316" s="181" t="s">
        <v>103</v>
      </c>
      <c r="G316" s="181" t="s">
        <v>56</v>
      </c>
      <c r="H316" s="181" t="s">
        <v>66</v>
      </c>
      <c r="I316" s="181"/>
      <c r="J316" s="178">
        <v>200</v>
      </c>
      <c r="K316" s="182"/>
      <c r="L316" s="182" t="s">
        <v>58</v>
      </c>
      <c r="M316" s="178" t="s">
        <v>59</v>
      </c>
      <c r="N316" s="178">
        <v>0</v>
      </c>
      <c r="O316" s="178" t="s">
        <v>60</v>
      </c>
      <c r="P316" s="178" t="s">
        <v>79</v>
      </c>
      <c r="Q316" s="179"/>
      <c r="R316" s="179" t="s">
        <v>594</v>
      </c>
      <c r="S316" s="180"/>
      <c r="T316" s="179">
        <v>240</v>
      </c>
      <c r="U316" s="179" t="s">
        <v>613</v>
      </c>
      <c r="V316" s="167" t="s">
        <v>62</v>
      </c>
      <c r="W316" s="168">
        <v>12</v>
      </c>
      <c r="Y316" s="167"/>
      <c r="Z316" s="169" t="s">
        <v>63</v>
      </c>
      <c r="AA316" s="166">
        <v>8</v>
      </c>
      <c r="AB316" s="166">
        <v>0</v>
      </c>
      <c r="AC316" s="165">
        <v>25.5</v>
      </c>
      <c r="AD316" s="165" t="s">
        <v>80</v>
      </c>
      <c r="AE316" s="165" t="s">
        <v>116</v>
      </c>
      <c r="AF316" s="165">
        <v>5.3</v>
      </c>
      <c r="AG316" s="165" t="s">
        <v>80</v>
      </c>
      <c r="AH316" s="165" t="s">
        <v>117</v>
      </c>
      <c r="AI316" s="165">
        <v>22</v>
      </c>
      <c r="AJ316" s="165">
        <v>34</v>
      </c>
      <c r="AK316" s="166">
        <v>62.3</v>
      </c>
      <c r="AL316" s="166" t="s">
        <v>81</v>
      </c>
      <c r="AM316" s="166" t="s">
        <v>116</v>
      </c>
      <c r="AN316" s="166">
        <v>8.6</v>
      </c>
      <c r="AO316" s="166" t="s">
        <v>81</v>
      </c>
      <c r="AP316" s="166" t="s">
        <v>117</v>
      </c>
      <c r="AQ316" s="166">
        <v>53</v>
      </c>
      <c r="AR316" s="166">
        <v>73</v>
      </c>
      <c r="AS316" s="165"/>
      <c r="AT316" s="165"/>
      <c r="AU316" s="165"/>
      <c r="AV316" s="165"/>
      <c r="AW316" s="165"/>
      <c r="AX316" s="165"/>
      <c r="AY316" s="165"/>
      <c r="AZ316" s="165"/>
      <c r="BA316" s="166"/>
      <c r="BB316" s="166"/>
      <c r="BC316" s="166"/>
      <c r="BD316" s="166"/>
      <c r="BE316" s="166"/>
      <c r="BF316" s="166"/>
      <c r="BG316" s="166"/>
      <c r="BH316" s="166"/>
      <c r="BI316" s="165"/>
      <c r="BJ316" s="165"/>
      <c r="BK316" s="165"/>
      <c r="BL316" s="165"/>
      <c r="BM316" s="165"/>
      <c r="BN316" s="165"/>
      <c r="BO316" s="165"/>
      <c r="BP316" s="165"/>
      <c r="BQ316" s="166" t="s">
        <v>596</v>
      </c>
      <c r="BR316" s="165"/>
      <c r="BS316" s="124"/>
      <c r="BT316" s="124"/>
    </row>
    <row r="317" spans="1:72" ht="12.75" hidden="1" customHeight="1" x14ac:dyDescent="0.2">
      <c r="A317" s="91">
        <v>512</v>
      </c>
      <c r="B317" s="233" t="s">
        <v>610</v>
      </c>
      <c r="C317" s="237" t="s">
        <v>611</v>
      </c>
      <c r="D317" s="233" t="s">
        <v>614</v>
      </c>
      <c r="E317" s="125" t="s">
        <v>149</v>
      </c>
      <c r="F317" s="181" t="s">
        <v>103</v>
      </c>
      <c r="G317" s="181" t="s">
        <v>56</v>
      </c>
      <c r="H317" s="181" t="s">
        <v>66</v>
      </c>
      <c r="I317" s="181"/>
      <c r="J317" s="178">
        <v>200</v>
      </c>
      <c r="K317" s="182"/>
      <c r="L317" s="182" t="s">
        <v>58</v>
      </c>
      <c r="M317" s="178" t="s">
        <v>59</v>
      </c>
      <c r="N317" s="178" t="s">
        <v>615</v>
      </c>
      <c r="O317" s="178" t="s">
        <v>60</v>
      </c>
      <c r="P317" s="178" t="s">
        <v>79</v>
      </c>
      <c r="Q317" s="179"/>
      <c r="R317" s="179" t="s">
        <v>594</v>
      </c>
      <c r="S317" s="180"/>
      <c r="T317" s="179">
        <v>240</v>
      </c>
      <c r="U317" s="179" t="s">
        <v>613</v>
      </c>
      <c r="V317" s="167" t="s">
        <v>62</v>
      </c>
      <c r="W317" s="168">
        <v>12</v>
      </c>
      <c r="Y317" s="167"/>
      <c r="Z317" s="169" t="s">
        <v>63</v>
      </c>
      <c r="AA317" s="166">
        <v>8</v>
      </c>
      <c r="AB317" s="166">
        <v>0</v>
      </c>
      <c r="AC317" s="165">
        <v>25.5</v>
      </c>
      <c r="AD317" s="165" t="s">
        <v>80</v>
      </c>
      <c r="AE317" s="165" t="s">
        <v>116</v>
      </c>
      <c r="AF317" s="165">
        <v>5.3</v>
      </c>
      <c r="AG317" s="165" t="s">
        <v>80</v>
      </c>
      <c r="AH317" s="165" t="s">
        <v>117</v>
      </c>
      <c r="AI317" s="165">
        <v>22</v>
      </c>
      <c r="AJ317" s="165">
        <v>34</v>
      </c>
      <c r="AK317" s="166">
        <v>62.3</v>
      </c>
      <c r="AL317" s="166" t="s">
        <v>81</v>
      </c>
      <c r="AM317" s="166" t="s">
        <v>116</v>
      </c>
      <c r="AN317" s="166">
        <v>8.6</v>
      </c>
      <c r="AO317" s="166" t="s">
        <v>81</v>
      </c>
      <c r="AP317" s="166" t="s">
        <v>117</v>
      </c>
      <c r="AQ317" s="166">
        <v>53</v>
      </c>
      <c r="AR317" s="166">
        <v>73</v>
      </c>
      <c r="AS317" s="165"/>
      <c r="AT317" s="165"/>
      <c r="AU317" s="165"/>
      <c r="AV317" s="165"/>
      <c r="AW317" s="165"/>
      <c r="AX317" s="165"/>
      <c r="AY317" s="165"/>
      <c r="AZ317" s="165"/>
      <c r="BA317" s="166"/>
      <c r="BB317" s="166"/>
      <c r="BC317" s="166"/>
      <c r="BD317" s="166"/>
      <c r="BE317" s="166"/>
      <c r="BF317" s="166"/>
      <c r="BG317" s="166"/>
      <c r="BH317" s="166"/>
      <c r="BI317" s="165"/>
      <c r="BJ317" s="165"/>
      <c r="BK317" s="165"/>
      <c r="BL317" s="165"/>
      <c r="BM317" s="165"/>
      <c r="BN317" s="165"/>
      <c r="BO317" s="165"/>
      <c r="BP317" s="165"/>
      <c r="BQ317" s="166" t="s">
        <v>596</v>
      </c>
      <c r="BR317" s="165"/>
      <c r="BS317" s="124"/>
      <c r="BT317" s="124"/>
    </row>
    <row r="318" spans="1:72" ht="12.75" hidden="1" customHeight="1" x14ac:dyDescent="0.2">
      <c r="A318" s="91">
        <v>513</v>
      </c>
      <c r="B318" s="233" t="s">
        <v>610</v>
      </c>
      <c r="C318" s="237" t="s">
        <v>611</v>
      </c>
      <c r="D318" s="233" t="s">
        <v>614</v>
      </c>
      <c r="E318" s="125" t="s">
        <v>152</v>
      </c>
      <c r="F318" s="181" t="s">
        <v>103</v>
      </c>
      <c r="G318" s="181" t="s">
        <v>56</v>
      </c>
      <c r="H318" s="181" t="s">
        <v>66</v>
      </c>
      <c r="I318" s="181"/>
      <c r="J318" s="178">
        <v>200</v>
      </c>
      <c r="K318" s="182"/>
      <c r="L318" s="182" t="s">
        <v>58</v>
      </c>
      <c r="M318" s="178" t="s">
        <v>59</v>
      </c>
      <c r="N318" s="178" t="s">
        <v>615</v>
      </c>
      <c r="O318" s="178" t="s">
        <v>60</v>
      </c>
      <c r="P318" s="178" t="s">
        <v>79</v>
      </c>
      <c r="Q318" s="179"/>
      <c r="R318" s="179" t="s">
        <v>594</v>
      </c>
      <c r="S318" s="180"/>
      <c r="T318" s="179">
        <v>240</v>
      </c>
      <c r="U318" s="179" t="s">
        <v>613</v>
      </c>
      <c r="V318" s="167" t="s">
        <v>62</v>
      </c>
      <c r="W318" s="168">
        <v>12</v>
      </c>
      <c r="X318" s="106" t="s">
        <v>223</v>
      </c>
      <c r="Y318" s="167"/>
      <c r="Z318" s="169" t="s">
        <v>63</v>
      </c>
      <c r="AA318" s="166">
        <v>8</v>
      </c>
      <c r="AB318" s="166">
        <v>0</v>
      </c>
      <c r="AC318" s="165">
        <v>25.5</v>
      </c>
      <c r="AD318" s="165" t="s">
        <v>80</v>
      </c>
      <c r="AE318" s="165" t="s">
        <v>116</v>
      </c>
      <c r="AF318" s="165">
        <v>5.3</v>
      </c>
      <c r="AG318" s="165" t="s">
        <v>80</v>
      </c>
      <c r="AH318" s="165" t="s">
        <v>117</v>
      </c>
      <c r="AI318" s="165">
        <v>22</v>
      </c>
      <c r="AJ318" s="165">
        <v>34</v>
      </c>
      <c r="AK318" s="166">
        <v>62.3</v>
      </c>
      <c r="AL318" s="166" t="s">
        <v>81</v>
      </c>
      <c r="AM318" s="166" t="s">
        <v>116</v>
      </c>
      <c r="AN318" s="166">
        <v>8.6</v>
      </c>
      <c r="AO318" s="166" t="s">
        <v>81</v>
      </c>
      <c r="AP318" s="166" t="s">
        <v>117</v>
      </c>
      <c r="AQ318" s="166">
        <v>53</v>
      </c>
      <c r="AR318" s="166">
        <v>73</v>
      </c>
      <c r="AS318" s="165"/>
      <c r="AT318" s="165"/>
      <c r="AU318" s="165"/>
      <c r="AV318" s="165"/>
      <c r="AW318" s="165"/>
      <c r="AX318" s="165"/>
      <c r="AY318" s="165"/>
      <c r="AZ318" s="165"/>
      <c r="BA318" s="166"/>
      <c r="BB318" s="166"/>
      <c r="BC318" s="166"/>
      <c r="BD318" s="166"/>
      <c r="BE318" s="166"/>
      <c r="BF318" s="166"/>
      <c r="BG318" s="166"/>
      <c r="BH318" s="166"/>
      <c r="BI318" s="165"/>
      <c r="BJ318" s="165"/>
      <c r="BK318" s="165"/>
      <c r="BL318" s="165"/>
      <c r="BM318" s="165"/>
      <c r="BN318" s="165"/>
      <c r="BO318" s="165"/>
      <c r="BP318" s="165"/>
      <c r="BQ318" s="166" t="s">
        <v>596</v>
      </c>
      <c r="BR318" s="165"/>
      <c r="BS318" s="124"/>
      <c r="BT318" s="124"/>
    </row>
    <row r="319" spans="1:72" ht="12.75" hidden="1" customHeight="1" x14ac:dyDescent="0.2">
      <c r="A319" s="91">
        <v>514</v>
      </c>
      <c r="B319" s="233" t="s">
        <v>616</v>
      </c>
      <c r="C319" s="237" t="s">
        <v>617</v>
      </c>
      <c r="D319" s="233" t="s">
        <v>618</v>
      </c>
      <c r="E319" s="125" t="s">
        <v>149</v>
      </c>
      <c r="F319" s="181" t="s">
        <v>103</v>
      </c>
      <c r="G319" s="181" t="s">
        <v>56</v>
      </c>
      <c r="H319" s="181" t="s">
        <v>619</v>
      </c>
      <c r="I319" s="181"/>
      <c r="J319" s="178">
        <v>200</v>
      </c>
      <c r="K319" s="182"/>
      <c r="L319" s="182" t="s">
        <v>58</v>
      </c>
      <c r="M319" s="178" t="s">
        <v>59</v>
      </c>
      <c r="N319" s="178">
        <v>0</v>
      </c>
      <c r="O319" s="178" t="s">
        <v>60</v>
      </c>
      <c r="P319" s="178" t="s">
        <v>79</v>
      </c>
      <c r="Q319" s="179"/>
      <c r="R319" s="179" t="s">
        <v>620</v>
      </c>
      <c r="S319" s="180"/>
      <c r="T319" s="179">
        <v>240</v>
      </c>
      <c r="U319" s="179" t="s">
        <v>621</v>
      </c>
      <c r="V319" s="167" t="s">
        <v>62</v>
      </c>
      <c r="W319" s="168">
        <v>12</v>
      </c>
      <c r="X319" s="106" t="s">
        <v>223</v>
      </c>
      <c r="Y319" s="167"/>
      <c r="Z319" s="169" t="s">
        <v>63</v>
      </c>
      <c r="AA319" s="166">
        <v>12</v>
      </c>
      <c r="AB319" s="166">
        <v>6</v>
      </c>
      <c r="AC319" s="165">
        <v>24</v>
      </c>
      <c r="AD319" s="165" t="s">
        <v>80</v>
      </c>
      <c r="AE319" s="165" t="s">
        <v>622</v>
      </c>
      <c r="AF319" s="165"/>
      <c r="AG319" s="165"/>
      <c r="AH319" s="165"/>
      <c r="AI319" s="165">
        <v>23</v>
      </c>
      <c r="AJ319" s="165">
        <v>29</v>
      </c>
      <c r="AK319" s="166">
        <v>64.2</v>
      </c>
      <c r="AL319" s="166" t="s">
        <v>81</v>
      </c>
      <c r="AM319" s="166" t="s">
        <v>116</v>
      </c>
      <c r="AN319" s="166">
        <v>14.9</v>
      </c>
      <c r="AO319" s="166" t="s">
        <v>81</v>
      </c>
      <c r="AP319" s="166" t="s">
        <v>117</v>
      </c>
      <c r="AQ319" s="166">
        <v>52.5</v>
      </c>
      <c r="AR319" s="166">
        <v>86.4</v>
      </c>
      <c r="AS319" s="165"/>
      <c r="AT319" s="165"/>
      <c r="AU319" s="165"/>
      <c r="AV319" s="165"/>
      <c r="AW319" s="165"/>
      <c r="AX319" s="165"/>
      <c r="AY319" s="165"/>
      <c r="AZ319" s="165"/>
      <c r="BA319" s="166"/>
      <c r="BB319" s="166"/>
      <c r="BC319" s="166"/>
      <c r="BD319" s="166"/>
      <c r="BE319" s="166"/>
      <c r="BF319" s="166"/>
      <c r="BG319" s="166"/>
      <c r="BH319" s="166"/>
      <c r="BI319" s="165"/>
      <c r="BJ319" s="165"/>
      <c r="BK319" s="165"/>
      <c r="BL319" s="165"/>
      <c r="BM319" s="165"/>
      <c r="BN319" s="165"/>
      <c r="BO319" s="165"/>
      <c r="BP319" s="165"/>
      <c r="BQ319" s="166" t="s">
        <v>623</v>
      </c>
      <c r="BR319" s="165"/>
      <c r="BS319" s="124"/>
      <c r="BT319" s="124"/>
    </row>
    <row r="320" spans="1:72" ht="12.75" hidden="1" customHeight="1" x14ac:dyDescent="0.2">
      <c r="A320" s="91">
        <v>515</v>
      </c>
      <c r="B320" s="233" t="s">
        <v>616</v>
      </c>
      <c r="C320" s="237" t="s">
        <v>617</v>
      </c>
      <c r="D320" s="233" t="s">
        <v>618</v>
      </c>
      <c r="E320" s="125" t="s">
        <v>152</v>
      </c>
      <c r="F320" s="181" t="s">
        <v>103</v>
      </c>
      <c r="G320" s="181" t="s">
        <v>56</v>
      </c>
      <c r="H320" s="181" t="s">
        <v>624</v>
      </c>
      <c r="I320" s="181"/>
      <c r="J320" s="178">
        <v>200</v>
      </c>
      <c r="K320" s="182"/>
      <c r="L320" s="182" t="s">
        <v>58</v>
      </c>
      <c r="M320" s="178" t="s">
        <v>59</v>
      </c>
      <c r="N320" s="178">
        <v>0</v>
      </c>
      <c r="O320" s="178" t="s">
        <v>60</v>
      </c>
      <c r="P320" s="178" t="s">
        <v>79</v>
      </c>
      <c r="Q320" s="179"/>
      <c r="R320" s="179" t="s">
        <v>620</v>
      </c>
      <c r="S320" s="180"/>
      <c r="T320" s="179">
        <v>240</v>
      </c>
      <c r="U320" s="179" t="s">
        <v>621</v>
      </c>
      <c r="V320" s="167" t="s">
        <v>62</v>
      </c>
      <c r="W320" s="168">
        <v>12</v>
      </c>
      <c r="X320" s="106" t="s">
        <v>223</v>
      </c>
      <c r="Y320" s="167"/>
      <c r="Z320" s="169" t="s">
        <v>63</v>
      </c>
      <c r="AA320" s="166">
        <v>12</v>
      </c>
      <c r="AB320" s="166">
        <v>6</v>
      </c>
      <c r="AC320" s="165">
        <v>24</v>
      </c>
      <c r="AD320" s="165" t="s">
        <v>80</v>
      </c>
      <c r="AE320" s="165" t="s">
        <v>622</v>
      </c>
      <c r="AF320" s="165"/>
      <c r="AG320" s="165"/>
      <c r="AH320" s="165"/>
      <c r="AI320" s="165">
        <v>23</v>
      </c>
      <c r="AJ320" s="165">
        <v>29</v>
      </c>
      <c r="AK320" s="166">
        <v>64.2</v>
      </c>
      <c r="AL320" s="166" t="s">
        <v>81</v>
      </c>
      <c r="AM320" s="166" t="s">
        <v>116</v>
      </c>
      <c r="AN320" s="166">
        <v>14.9</v>
      </c>
      <c r="AO320" s="166" t="s">
        <v>81</v>
      </c>
      <c r="AP320" s="166" t="s">
        <v>117</v>
      </c>
      <c r="AQ320" s="166">
        <v>52.5</v>
      </c>
      <c r="AR320" s="166">
        <v>86.4</v>
      </c>
      <c r="AS320" s="165"/>
      <c r="AT320" s="165"/>
      <c r="AU320" s="165"/>
      <c r="AV320" s="165"/>
      <c r="AW320" s="165"/>
      <c r="AX320" s="165"/>
      <c r="AY320" s="165"/>
      <c r="AZ320" s="165"/>
      <c r="BA320" s="166"/>
      <c r="BB320" s="166"/>
      <c r="BC320" s="166"/>
      <c r="BD320" s="166"/>
      <c r="BE320" s="166"/>
      <c r="BF320" s="166"/>
      <c r="BG320" s="166"/>
      <c r="BH320" s="166"/>
      <c r="BI320" s="165"/>
      <c r="BJ320" s="165"/>
      <c r="BK320" s="165"/>
      <c r="BL320" s="165"/>
      <c r="BM320" s="165"/>
      <c r="BN320" s="165"/>
      <c r="BO320" s="165"/>
      <c r="BP320" s="165"/>
      <c r="BQ320" s="166" t="s">
        <v>623</v>
      </c>
      <c r="BR320" s="165"/>
      <c r="BS320" s="124"/>
      <c r="BT320" s="124"/>
    </row>
    <row r="321" spans="1:69" ht="12.75" hidden="1" customHeight="1" x14ac:dyDescent="0.2">
      <c r="A321" s="91">
        <v>516</v>
      </c>
      <c r="B321" s="233" t="s">
        <v>616</v>
      </c>
      <c r="C321" s="237" t="s">
        <v>617</v>
      </c>
      <c r="D321" s="233" t="s">
        <v>625</v>
      </c>
      <c r="E321" s="125" t="s">
        <v>149</v>
      </c>
      <c r="F321" s="181" t="s">
        <v>103</v>
      </c>
      <c r="G321" s="181" t="s">
        <v>56</v>
      </c>
      <c r="H321" s="181" t="s">
        <v>619</v>
      </c>
      <c r="I321" s="181"/>
      <c r="J321" s="178">
        <v>200</v>
      </c>
      <c r="K321" s="182"/>
      <c r="L321" s="182" t="s">
        <v>58</v>
      </c>
      <c r="M321" s="178" t="s">
        <v>59</v>
      </c>
      <c r="N321" s="178">
        <v>0</v>
      </c>
      <c r="O321" s="178" t="s">
        <v>60</v>
      </c>
      <c r="P321" s="178" t="s">
        <v>79</v>
      </c>
      <c r="Q321" s="179"/>
      <c r="R321" s="179" t="s">
        <v>620</v>
      </c>
      <c r="S321" s="180"/>
      <c r="T321" s="179">
        <v>240</v>
      </c>
      <c r="U321" s="179" t="s">
        <v>621</v>
      </c>
      <c r="V321" s="167" t="s">
        <v>62</v>
      </c>
      <c r="W321" s="168">
        <v>12</v>
      </c>
      <c r="X321" s="106" t="s">
        <v>223</v>
      </c>
      <c r="Y321" s="167"/>
      <c r="Z321" s="169" t="s">
        <v>63</v>
      </c>
      <c r="AA321" s="166">
        <v>12</v>
      </c>
      <c r="AB321" s="166">
        <v>6</v>
      </c>
      <c r="AC321" s="165">
        <v>24</v>
      </c>
      <c r="AD321" s="165" t="s">
        <v>80</v>
      </c>
      <c r="AE321" s="165" t="s">
        <v>622</v>
      </c>
      <c r="AF321" s="165"/>
      <c r="AG321" s="165"/>
      <c r="AH321" s="165"/>
      <c r="AI321" s="165">
        <v>23</v>
      </c>
      <c r="AJ321" s="165">
        <v>29</v>
      </c>
      <c r="AK321" s="166">
        <v>64.2</v>
      </c>
      <c r="AL321" s="166" t="s">
        <v>81</v>
      </c>
      <c r="AM321" s="166" t="s">
        <v>116</v>
      </c>
      <c r="AN321" s="166">
        <v>14.9</v>
      </c>
      <c r="AO321" s="166" t="s">
        <v>81</v>
      </c>
      <c r="AP321" s="166" t="s">
        <v>117</v>
      </c>
      <c r="AQ321" s="166">
        <v>52.5</v>
      </c>
      <c r="AR321" s="166">
        <v>86.4</v>
      </c>
      <c r="AS321" s="165"/>
      <c r="AT321" s="165"/>
      <c r="AU321" s="165"/>
      <c r="AV321" s="165"/>
      <c r="AW321" s="165"/>
      <c r="AX321" s="165"/>
      <c r="AY321" s="165"/>
      <c r="AZ321" s="165"/>
      <c r="BA321" s="166"/>
      <c r="BB321" s="166"/>
      <c r="BC321" s="166"/>
      <c r="BD321" s="166"/>
      <c r="BE321" s="166"/>
      <c r="BF321" s="166"/>
      <c r="BG321" s="166"/>
      <c r="BH321" s="166"/>
      <c r="BI321" s="165"/>
      <c r="BJ321" s="165"/>
      <c r="BK321" s="165"/>
      <c r="BL321" s="165"/>
      <c r="BM321" s="165"/>
      <c r="BN321" s="165"/>
      <c r="BO321" s="165"/>
      <c r="BP321" s="165"/>
      <c r="BQ321" s="166" t="s">
        <v>623</v>
      </c>
    </row>
    <row r="322" spans="1:69" ht="12.75" hidden="1" customHeight="1" x14ac:dyDescent="0.2">
      <c r="A322" s="91">
        <v>517</v>
      </c>
      <c r="B322" s="233" t="s">
        <v>616</v>
      </c>
      <c r="C322" s="237" t="s">
        <v>617</v>
      </c>
      <c r="D322" s="233" t="s">
        <v>625</v>
      </c>
      <c r="E322" s="125" t="s">
        <v>152</v>
      </c>
      <c r="F322" s="181" t="s">
        <v>103</v>
      </c>
      <c r="G322" s="181" t="s">
        <v>56</v>
      </c>
      <c r="H322" s="181" t="s">
        <v>624</v>
      </c>
      <c r="I322" s="181"/>
      <c r="J322" s="178">
        <v>200</v>
      </c>
      <c r="K322" s="182"/>
      <c r="L322" s="182" t="s">
        <v>58</v>
      </c>
      <c r="M322" s="178" t="s">
        <v>59</v>
      </c>
      <c r="N322" s="178">
        <v>0</v>
      </c>
      <c r="O322" s="178" t="s">
        <v>60</v>
      </c>
      <c r="P322" s="178" t="s">
        <v>79</v>
      </c>
      <c r="Q322" s="179"/>
      <c r="R322" s="179" t="s">
        <v>620</v>
      </c>
      <c r="S322" s="180"/>
      <c r="T322" s="179">
        <v>240</v>
      </c>
      <c r="U322" s="179" t="s">
        <v>621</v>
      </c>
      <c r="V322" s="167" t="s">
        <v>62</v>
      </c>
      <c r="W322" s="168">
        <v>12</v>
      </c>
      <c r="X322" s="106" t="s">
        <v>223</v>
      </c>
      <c r="Y322" s="167"/>
      <c r="Z322" s="169" t="s">
        <v>63</v>
      </c>
      <c r="AA322" s="166">
        <v>12</v>
      </c>
      <c r="AB322" s="166">
        <v>6</v>
      </c>
      <c r="AC322" s="165">
        <v>24</v>
      </c>
      <c r="AD322" s="165" t="s">
        <v>80</v>
      </c>
      <c r="AE322" s="165" t="s">
        <v>622</v>
      </c>
      <c r="AF322" s="165"/>
      <c r="AG322" s="165"/>
      <c r="AH322" s="165"/>
      <c r="AI322" s="165">
        <v>23</v>
      </c>
      <c r="AJ322" s="165">
        <v>29</v>
      </c>
      <c r="AK322" s="166">
        <v>64.2</v>
      </c>
      <c r="AL322" s="166" t="s">
        <v>81</v>
      </c>
      <c r="AM322" s="166" t="s">
        <v>116</v>
      </c>
      <c r="AN322" s="166">
        <v>14.9</v>
      </c>
      <c r="AO322" s="166" t="s">
        <v>81</v>
      </c>
      <c r="AP322" s="166" t="s">
        <v>117</v>
      </c>
      <c r="AQ322" s="166">
        <v>52.5</v>
      </c>
      <c r="AR322" s="166">
        <v>86.4</v>
      </c>
      <c r="AS322" s="165"/>
      <c r="AT322" s="165"/>
      <c r="AU322" s="165"/>
      <c r="AV322" s="165"/>
      <c r="AW322" s="165"/>
      <c r="AX322" s="165"/>
      <c r="AY322" s="165"/>
      <c r="AZ322" s="165"/>
      <c r="BA322" s="166"/>
      <c r="BB322" s="166"/>
      <c r="BC322" s="166"/>
      <c r="BD322" s="166"/>
      <c r="BE322" s="166"/>
      <c r="BF322" s="166"/>
      <c r="BG322" s="166"/>
      <c r="BH322" s="166"/>
      <c r="BI322" s="165"/>
      <c r="BJ322" s="165"/>
      <c r="BK322" s="165"/>
      <c r="BL322" s="165"/>
      <c r="BM322" s="165"/>
      <c r="BN322" s="165"/>
      <c r="BO322" s="165"/>
      <c r="BP322" s="165"/>
      <c r="BQ322" s="166" t="s">
        <v>623</v>
      </c>
    </row>
    <row r="323" spans="1:69" ht="12.75" hidden="1" customHeight="1" x14ac:dyDescent="0.2">
      <c r="A323" s="91">
        <v>518</v>
      </c>
      <c r="B323" s="233" t="s">
        <v>616</v>
      </c>
      <c r="C323" s="237" t="s">
        <v>617</v>
      </c>
      <c r="D323" s="233" t="s">
        <v>626</v>
      </c>
      <c r="E323" s="125" t="s">
        <v>149</v>
      </c>
      <c r="F323" s="181" t="s">
        <v>103</v>
      </c>
      <c r="G323" s="181" t="s">
        <v>56</v>
      </c>
      <c r="H323" s="181" t="s">
        <v>619</v>
      </c>
      <c r="I323" s="181"/>
      <c r="J323" s="178">
        <v>200</v>
      </c>
      <c r="K323" s="182"/>
      <c r="L323" s="182" t="s">
        <v>58</v>
      </c>
      <c r="M323" s="178" t="s">
        <v>59</v>
      </c>
      <c r="N323" s="178">
        <v>0</v>
      </c>
      <c r="O323" s="178" t="s">
        <v>60</v>
      </c>
      <c r="P323" s="178" t="s">
        <v>79</v>
      </c>
      <c r="Q323" s="179"/>
      <c r="R323" s="179" t="s">
        <v>620</v>
      </c>
      <c r="S323" s="180"/>
      <c r="T323" s="179">
        <v>240</v>
      </c>
      <c r="U323" s="179" t="s">
        <v>621</v>
      </c>
      <c r="V323" s="167" t="s">
        <v>62</v>
      </c>
      <c r="W323" s="168">
        <v>12</v>
      </c>
      <c r="X323" s="106" t="s">
        <v>223</v>
      </c>
      <c r="Y323" s="167"/>
      <c r="Z323" s="169" t="s">
        <v>63</v>
      </c>
      <c r="AA323" s="166">
        <v>12</v>
      </c>
      <c r="AB323" s="166">
        <v>6</v>
      </c>
      <c r="AC323" s="165">
        <v>24</v>
      </c>
      <c r="AD323" s="165" t="s">
        <v>80</v>
      </c>
      <c r="AE323" s="165" t="s">
        <v>622</v>
      </c>
      <c r="AF323" s="165"/>
      <c r="AG323" s="165"/>
      <c r="AH323" s="165"/>
      <c r="AI323" s="165">
        <v>23</v>
      </c>
      <c r="AJ323" s="165">
        <v>29</v>
      </c>
      <c r="AK323" s="166">
        <v>64.2</v>
      </c>
      <c r="AL323" s="166" t="s">
        <v>81</v>
      </c>
      <c r="AM323" s="166" t="s">
        <v>116</v>
      </c>
      <c r="AN323" s="166">
        <v>14.9</v>
      </c>
      <c r="AO323" s="166" t="s">
        <v>81</v>
      </c>
      <c r="AP323" s="166" t="s">
        <v>117</v>
      </c>
      <c r="AQ323" s="166">
        <v>52.5</v>
      </c>
      <c r="AR323" s="166">
        <v>86.4</v>
      </c>
      <c r="AS323" s="165"/>
      <c r="AT323" s="165"/>
      <c r="AU323" s="165"/>
      <c r="AV323" s="165"/>
      <c r="AW323" s="165"/>
      <c r="AX323" s="165"/>
      <c r="AY323" s="165"/>
      <c r="AZ323" s="165"/>
      <c r="BA323" s="166"/>
      <c r="BB323" s="166"/>
      <c r="BC323" s="166"/>
      <c r="BD323" s="166"/>
      <c r="BE323" s="166"/>
      <c r="BF323" s="166"/>
      <c r="BG323" s="166"/>
      <c r="BH323" s="166"/>
      <c r="BI323" s="165"/>
      <c r="BJ323" s="165"/>
      <c r="BK323" s="165"/>
      <c r="BL323" s="165"/>
      <c r="BM323" s="165"/>
      <c r="BN323" s="165"/>
      <c r="BO323" s="165"/>
      <c r="BP323" s="165"/>
      <c r="BQ323" s="166" t="s">
        <v>623</v>
      </c>
    </row>
    <row r="324" spans="1:69" ht="12.75" hidden="1" customHeight="1" x14ac:dyDescent="0.2">
      <c r="A324" s="91">
        <v>519</v>
      </c>
      <c r="B324" s="233" t="s">
        <v>616</v>
      </c>
      <c r="C324" s="237" t="s">
        <v>617</v>
      </c>
      <c r="D324" s="233" t="s">
        <v>626</v>
      </c>
      <c r="E324" s="125" t="s">
        <v>152</v>
      </c>
      <c r="F324" s="181" t="s">
        <v>103</v>
      </c>
      <c r="G324" s="181" t="s">
        <v>56</v>
      </c>
      <c r="H324" s="181" t="s">
        <v>624</v>
      </c>
      <c r="I324" s="181"/>
      <c r="J324" s="178">
        <v>200</v>
      </c>
      <c r="K324" s="182"/>
      <c r="L324" s="182" t="s">
        <v>58</v>
      </c>
      <c r="M324" s="178" t="s">
        <v>59</v>
      </c>
      <c r="N324" s="178">
        <v>0</v>
      </c>
      <c r="O324" s="178" t="s">
        <v>60</v>
      </c>
      <c r="P324" s="178" t="s">
        <v>79</v>
      </c>
      <c r="Q324" s="179"/>
      <c r="R324" s="179" t="s">
        <v>620</v>
      </c>
      <c r="S324" s="180"/>
      <c r="T324" s="179">
        <v>240</v>
      </c>
      <c r="U324" s="179" t="s">
        <v>621</v>
      </c>
      <c r="V324" s="167" t="s">
        <v>62</v>
      </c>
      <c r="W324" s="168">
        <v>12</v>
      </c>
      <c r="X324" s="106" t="s">
        <v>223</v>
      </c>
      <c r="Y324" s="167"/>
      <c r="Z324" s="169" t="s">
        <v>63</v>
      </c>
      <c r="AA324" s="166">
        <v>12</v>
      </c>
      <c r="AB324" s="166">
        <v>6</v>
      </c>
      <c r="AC324" s="165">
        <v>24</v>
      </c>
      <c r="AD324" s="165" t="s">
        <v>80</v>
      </c>
      <c r="AE324" s="165" t="s">
        <v>622</v>
      </c>
      <c r="AF324" s="165"/>
      <c r="AG324" s="165"/>
      <c r="AH324" s="165"/>
      <c r="AI324" s="165">
        <v>23</v>
      </c>
      <c r="AJ324" s="165">
        <v>29</v>
      </c>
      <c r="AK324" s="166">
        <v>64.2</v>
      </c>
      <c r="AL324" s="166" t="s">
        <v>81</v>
      </c>
      <c r="AM324" s="166" t="s">
        <v>116</v>
      </c>
      <c r="AN324" s="166">
        <v>14.9</v>
      </c>
      <c r="AO324" s="166" t="s">
        <v>81</v>
      </c>
      <c r="AP324" s="166" t="s">
        <v>117</v>
      </c>
      <c r="AQ324" s="166">
        <v>52.5</v>
      </c>
      <c r="AR324" s="166">
        <v>86.4</v>
      </c>
      <c r="AS324" s="165"/>
      <c r="AT324" s="165"/>
      <c r="AU324" s="165"/>
      <c r="AV324" s="165"/>
      <c r="AW324" s="165"/>
      <c r="AX324" s="165"/>
      <c r="AY324" s="165"/>
      <c r="AZ324" s="165"/>
      <c r="BA324" s="166"/>
      <c r="BB324" s="166"/>
      <c r="BC324" s="166"/>
      <c r="BD324" s="166"/>
      <c r="BE324" s="166"/>
      <c r="BF324" s="166"/>
      <c r="BG324" s="166"/>
      <c r="BH324" s="166"/>
      <c r="BI324" s="165"/>
      <c r="BJ324" s="165"/>
      <c r="BK324" s="165"/>
      <c r="BL324" s="165"/>
      <c r="BM324" s="165"/>
      <c r="BN324" s="165"/>
      <c r="BO324" s="165"/>
      <c r="BP324" s="165"/>
      <c r="BQ324" s="166" t="s">
        <v>623</v>
      </c>
    </row>
    <row r="325" spans="1:69" ht="12.75" hidden="1" customHeight="1" x14ac:dyDescent="0.2">
      <c r="A325" s="91">
        <v>520</v>
      </c>
      <c r="B325" s="233" t="s">
        <v>627</v>
      </c>
      <c r="C325" s="237" t="s">
        <v>628</v>
      </c>
      <c r="D325" s="233" t="s">
        <v>629</v>
      </c>
      <c r="E325" s="125" t="s">
        <v>149</v>
      </c>
      <c r="F325" s="181" t="s">
        <v>103</v>
      </c>
      <c r="G325" s="181" t="s">
        <v>56</v>
      </c>
      <c r="H325" s="181" t="s">
        <v>57</v>
      </c>
      <c r="I325" s="181"/>
      <c r="J325" s="178">
        <v>50</v>
      </c>
      <c r="K325" s="182"/>
      <c r="L325" s="182" t="s">
        <v>58</v>
      </c>
      <c r="M325" s="178" t="s">
        <v>78</v>
      </c>
      <c r="N325" s="178">
        <v>0</v>
      </c>
      <c r="O325" s="178" t="s">
        <v>60</v>
      </c>
      <c r="P325" s="178" t="s">
        <v>79</v>
      </c>
      <c r="Q325" s="179"/>
      <c r="R325" s="179" t="s">
        <v>630</v>
      </c>
      <c r="S325" s="180">
        <v>60</v>
      </c>
      <c r="T325" s="179"/>
      <c r="U325" s="179" t="s">
        <v>631</v>
      </c>
      <c r="V325" s="167" t="s">
        <v>62</v>
      </c>
      <c r="W325" s="168">
        <v>10</v>
      </c>
      <c r="X325" s="106" t="s">
        <v>388</v>
      </c>
      <c r="Y325" s="167"/>
      <c r="Z325" s="169" t="s">
        <v>63</v>
      </c>
      <c r="AA325" s="166">
        <v>6</v>
      </c>
      <c r="AB325" s="166">
        <v>1</v>
      </c>
      <c r="AC325" s="165">
        <v>43.2</v>
      </c>
      <c r="AD325" s="165" t="s">
        <v>80</v>
      </c>
      <c r="AE325" s="165" t="s">
        <v>116</v>
      </c>
      <c r="AF325" s="165">
        <v>6.7</v>
      </c>
      <c r="AG325" s="165" t="s">
        <v>80</v>
      </c>
      <c r="AH325" s="165" t="s">
        <v>117</v>
      </c>
      <c r="AI325" s="165"/>
      <c r="AJ325" s="165"/>
      <c r="AK325" s="166">
        <v>77.8</v>
      </c>
      <c r="AL325" s="166" t="s">
        <v>81</v>
      </c>
      <c r="AM325" s="166" t="s">
        <v>116</v>
      </c>
      <c r="AN325" s="166">
        <v>3.9</v>
      </c>
      <c r="AO325" s="166" t="s">
        <v>81</v>
      </c>
      <c r="AP325" s="166" t="s">
        <v>117</v>
      </c>
      <c r="AQ325" s="166"/>
      <c r="AR325" s="166"/>
      <c r="AS325" s="165">
        <v>177.5</v>
      </c>
      <c r="AT325" s="165" t="s">
        <v>119</v>
      </c>
      <c r="AU325" s="165" t="s">
        <v>116</v>
      </c>
      <c r="AV325" s="165">
        <v>7.5</v>
      </c>
      <c r="AW325" s="165" t="s">
        <v>119</v>
      </c>
      <c r="AX325" s="165" t="s">
        <v>117</v>
      </c>
      <c r="AY325" s="165"/>
      <c r="AZ325" s="165"/>
      <c r="BA325" s="166"/>
      <c r="BB325" s="166"/>
      <c r="BC325" s="166"/>
      <c r="BD325" s="166"/>
      <c r="BE325" s="166"/>
      <c r="BF325" s="166"/>
      <c r="BG325" s="166"/>
      <c r="BH325" s="166"/>
      <c r="BI325" s="165"/>
      <c r="BJ325" s="165"/>
      <c r="BK325" s="165"/>
      <c r="BL325" s="165"/>
      <c r="BM325" s="165"/>
      <c r="BN325" s="165"/>
      <c r="BO325" s="165"/>
      <c r="BP325" s="165"/>
      <c r="BQ325" s="166"/>
    </row>
    <row r="326" spans="1:69" ht="12.75" hidden="1" customHeight="1" x14ac:dyDescent="0.2">
      <c r="A326" s="91">
        <v>522</v>
      </c>
      <c r="B326" s="233" t="s">
        <v>627</v>
      </c>
      <c r="C326" s="237" t="s">
        <v>628</v>
      </c>
      <c r="D326" s="233" t="s">
        <v>632</v>
      </c>
      <c r="E326" s="125" t="s">
        <v>149</v>
      </c>
      <c r="F326" s="181" t="s">
        <v>103</v>
      </c>
      <c r="G326" s="181" t="s">
        <v>56</v>
      </c>
      <c r="H326" s="181" t="s">
        <v>57</v>
      </c>
      <c r="I326" s="181"/>
      <c r="J326" s="178">
        <v>200</v>
      </c>
      <c r="K326" s="182"/>
      <c r="L326" s="182" t="s">
        <v>58</v>
      </c>
      <c r="M326" s="178" t="s">
        <v>78</v>
      </c>
      <c r="N326" s="178">
        <v>0</v>
      </c>
      <c r="O326" s="178" t="s">
        <v>60</v>
      </c>
      <c r="P326" s="178" t="s">
        <v>79</v>
      </c>
      <c r="Q326" s="179"/>
      <c r="R326" s="179" t="s">
        <v>630</v>
      </c>
      <c r="S326" s="180">
        <v>60</v>
      </c>
      <c r="T326" s="179"/>
      <c r="U326" s="179" t="s">
        <v>631</v>
      </c>
      <c r="V326" s="167" t="s">
        <v>62</v>
      </c>
      <c r="W326" s="168">
        <v>10</v>
      </c>
      <c r="X326" s="106" t="s">
        <v>388</v>
      </c>
      <c r="Y326" s="167"/>
      <c r="Z326" s="169" t="s">
        <v>63</v>
      </c>
      <c r="AA326" s="166">
        <v>6</v>
      </c>
      <c r="AB326" s="166">
        <v>1</v>
      </c>
      <c r="AC326" s="165">
        <v>43.2</v>
      </c>
      <c r="AD326" s="165" t="s">
        <v>80</v>
      </c>
      <c r="AE326" s="165" t="s">
        <v>116</v>
      </c>
      <c r="AF326" s="165">
        <v>6.7</v>
      </c>
      <c r="AG326" s="165" t="s">
        <v>80</v>
      </c>
      <c r="AH326" s="165" t="s">
        <v>117</v>
      </c>
      <c r="AI326" s="165"/>
      <c r="AJ326" s="165"/>
      <c r="AK326" s="166">
        <v>77.8</v>
      </c>
      <c r="AL326" s="166" t="s">
        <v>81</v>
      </c>
      <c r="AM326" s="166" t="s">
        <v>116</v>
      </c>
      <c r="AN326" s="166">
        <v>3.9</v>
      </c>
      <c r="AO326" s="166" t="s">
        <v>81</v>
      </c>
      <c r="AP326" s="166" t="s">
        <v>117</v>
      </c>
      <c r="AQ326" s="166"/>
      <c r="AR326" s="166"/>
      <c r="AS326" s="165">
        <v>177.5</v>
      </c>
      <c r="AT326" s="165" t="s">
        <v>119</v>
      </c>
      <c r="AU326" s="165" t="s">
        <v>116</v>
      </c>
      <c r="AV326" s="165">
        <v>7.5</v>
      </c>
      <c r="AW326" s="165" t="s">
        <v>119</v>
      </c>
      <c r="AX326" s="165" t="s">
        <v>117</v>
      </c>
      <c r="AY326" s="165"/>
      <c r="AZ326" s="165"/>
      <c r="BA326" s="166"/>
      <c r="BB326" s="166"/>
      <c r="BC326" s="166"/>
      <c r="BD326" s="166"/>
      <c r="BE326" s="166"/>
      <c r="BF326" s="166"/>
      <c r="BG326" s="166"/>
      <c r="BH326" s="166"/>
      <c r="BI326" s="165"/>
      <c r="BJ326" s="165"/>
      <c r="BK326" s="165"/>
      <c r="BL326" s="165"/>
      <c r="BM326" s="165"/>
      <c r="BN326" s="165"/>
      <c r="BO326" s="165"/>
      <c r="BP326" s="165"/>
      <c r="BQ326" s="166"/>
    </row>
    <row r="327" spans="1:69" ht="12.75" hidden="1" customHeight="1" x14ac:dyDescent="0.2">
      <c r="A327" s="91">
        <v>521</v>
      </c>
      <c r="B327" s="233" t="s">
        <v>627</v>
      </c>
      <c r="C327" s="237" t="s">
        <v>628</v>
      </c>
      <c r="D327" s="233" t="s">
        <v>633</v>
      </c>
      <c r="E327" s="125" t="s">
        <v>149</v>
      </c>
      <c r="F327" s="181" t="s">
        <v>103</v>
      </c>
      <c r="G327" s="181" t="s">
        <v>56</v>
      </c>
      <c r="H327" s="181" t="s">
        <v>57</v>
      </c>
      <c r="I327" s="181"/>
      <c r="J327" s="178">
        <v>100</v>
      </c>
      <c r="K327" s="182"/>
      <c r="L327" s="182" t="s">
        <v>58</v>
      </c>
      <c r="M327" s="178" t="s">
        <v>78</v>
      </c>
      <c r="N327" s="178">
        <v>0</v>
      </c>
      <c r="O327" s="178" t="s">
        <v>60</v>
      </c>
      <c r="P327" s="178" t="s">
        <v>79</v>
      </c>
      <c r="Q327" s="179"/>
      <c r="R327" s="179" t="s">
        <v>630</v>
      </c>
      <c r="S327" s="180">
        <v>60</v>
      </c>
      <c r="T327" s="179"/>
      <c r="U327" s="179" t="s">
        <v>631</v>
      </c>
      <c r="V327" s="167" t="s">
        <v>62</v>
      </c>
      <c r="W327" s="168">
        <v>10</v>
      </c>
      <c r="X327" s="106" t="s">
        <v>388</v>
      </c>
      <c r="Y327" s="167"/>
      <c r="Z327" s="169" t="s">
        <v>63</v>
      </c>
      <c r="AA327" s="166">
        <v>6</v>
      </c>
      <c r="AB327" s="166">
        <v>1</v>
      </c>
      <c r="AC327" s="165">
        <v>40.700000000000003</v>
      </c>
      <c r="AD327" s="165" t="s">
        <v>80</v>
      </c>
      <c r="AE327" s="165" t="s">
        <v>116</v>
      </c>
      <c r="AF327" s="165">
        <v>5.6</v>
      </c>
      <c r="AG327" s="165" t="s">
        <v>80</v>
      </c>
      <c r="AH327" s="165" t="s">
        <v>117</v>
      </c>
      <c r="AI327" s="165"/>
      <c r="AJ327" s="165"/>
      <c r="AK327" s="166">
        <v>75.7</v>
      </c>
      <c r="AL327" s="166" t="s">
        <v>81</v>
      </c>
      <c r="AM327" s="166" t="s">
        <v>116</v>
      </c>
      <c r="AN327" s="166">
        <v>11.8</v>
      </c>
      <c r="AO327" s="166" t="s">
        <v>81</v>
      </c>
      <c r="AP327" s="166" t="s">
        <v>117</v>
      </c>
      <c r="AQ327" s="166"/>
      <c r="AR327" s="166"/>
      <c r="AS327" s="165">
        <v>176.3</v>
      </c>
      <c r="AT327" s="165" t="s">
        <v>119</v>
      </c>
      <c r="AU327" s="165" t="s">
        <v>116</v>
      </c>
      <c r="AV327" s="165">
        <v>6.4</v>
      </c>
      <c r="AW327" s="165" t="s">
        <v>119</v>
      </c>
      <c r="AX327" s="165" t="s">
        <v>117</v>
      </c>
      <c r="AY327" s="165"/>
      <c r="AZ327" s="165"/>
      <c r="BA327" s="166"/>
      <c r="BB327" s="166"/>
      <c r="BC327" s="166"/>
      <c r="BD327" s="166"/>
      <c r="BE327" s="166"/>
      <c r="BF327" s="166"/>
      <c r="BG327" s="166"/>
      <c r="BH327" s="166"/>
      <c r="BI327" s="165"/>
      <c r="BJ327" s="165"/>
      <c r="BK327" s="165"/>
      <c r="BL327" s="165"/>
      <c r="BM327" s="165"/>
      <c r="BN327" s="165"/>
      <c r="BO327" s="165"/>
      <c r="BP327" s="165"/>
      <c r="BQ327" s="166"/>
    </row>
    <row r="328" spans="1:69" ht="12.75" hidden="1" customHeight="1" x14ac:dyDescent="0.2">
      <c r="A328" s="91">
        <v>523</v>
      </c>
      <c r="B328" s="233" t="s">
        <v>627</v>
      </c>
      <c r="C328" s="237" t="s">
        <v>628</v>
      </c>
      <c r="D328" s="233" t="s">
        <v>634</v>
      </c>
      <c r="E328" s="125" t="s">
        <v>149</v>
      </c>
      <c r="F328" s="181" t="s">
        <v>103</v>
      </c>
      <c r="G328" s="181" t="s">
        <v>56</v>
      </c>
      <c r="H328" s="181" t="s">
        <v>57</v>
      </c>
      <c r="I328" s="181"/>
      <c r="J328" s="178">
        <v>300</v>
      </c>
      <c r="K328" s="182"/>
      <c r="L328" s="182" t="s">
        <v>58</v>
      </c>
      <c r="M328" s="178" t="s">
        <v>78</v>
      </c>
      <c r="N328" s="178">
        <v>0</v>
      </c>
      <c r="O328" s="178" t="s">
        <v>60</v>
      </c>
      <c r="P328" s="178" t="s">
        <v>79</v>
      </c>
      <c r="Q328" s="179"/>
      <c r="R328" s="179" t="s">
        <v>630</v>
      </c>
      <c r="S328" s="180">
        <v>60</v>
      </c>
      <c r="T328" s="179"/>
      <c r="U328" s="179" t="s">
        <v>631</v>
      </c>
      <c r="V328" s="167" t="s">
        <v>62</v>
      </c>
      <c r="W328" s="168">
        <v>10</v>
      </c>
      <c r="X328" s="106" t="s">
        <v>388</v>
      </c>
      <c r="Y328" s="167"/>
      <c r="Z328" s="169" t="s">
        <v>63</v>
      </c>
      <c r="AA328" s="166">
        <v>2</v>
      </c>
      <c r="AB328" s="166"/>
      <c r="AC328" s="165"/>
      <c r="AD328" s="165"/>
      <c r="AE328" s="165"/>
      <c r="AF328" s="165"/>
      <c r="AG328" s="165"/>
      <c r="AH328" s="165"/>
      <c r="AI328" s="165"/>
      <c r="AJ328" s="165"/>
      <c r="AK328" s="166"/>
      <c r="AL328" s="166"/>
      <c r="AM328" s="166"/>
      <c r="AN328" s="166"/>
      <c r="AO328" s="166"/>
      <c r="AP328" s="166"/>
      <c r="AQ328" s="166"/>
      <c r="AR328" s="166"/>
      <c r="AS328" s="165"/>
      <c r="AT328" s="165"/>
      <c r="AU328" s="165"/>
      <c r="AV328" s="165"/>
      <c r="AW328" s="165"/>
      <c r="AX328" s="165"/>
      <c r="AY328" s="165"/>
      <c r="AZ328" s="165"/>
      <c r="BA328" s="166"/>
      <c r="BB328" s="166"/>
      <c r="BC328" s="166"/>
      <c r="BD328" s="166"/>
      <c r="BE328" s="166"/>
      <c r="BF328" s="166"/>
      <c r="BG328" s="166"/>
      <c r="BH328" s="166"/>
      <c r="BI328" s="165"/>
      <c r="BJ328" s="165"/>
      <c r="BK328" s="165"/>
      <c r="BL328" s="165"/>
      <c r="BM328" s="165"/>
      <c r="BN328" s="165"/>
      <c r="BO328" s="165"/>
      <c r="BP328" s="165"/>
      <c r="BQ328" s="166"/>
    </row>
    <row r="329" spans="1:69" ht="12.75" hidden="1" customHeight="1" x14ac:dyDescent="0.2">
      <c r="A329" s="91">
        <v>524</v>
      </c>
      <c r="B329" s="233" t="s">
        <v>627</v>
      </c>
      <c r="C329" s="237" t="s">
        <v>628</v>
      </c>
      <c r="D329" s="233" t="s">
        <v>635</v>
      </c>
      <c r="E329" s="125" t="s">
        <v>149</v>
      </c>
      <c r="F329" s="181" t="s">
        <v>103</v>
      </c>
      <c r="G329" s="181" t="s">
        <v>56</v>
      </c>
      <c r="H329" s="181" t="s">
        <v>157</v>
      </c>
      <c r="I329" s="181"/>
      <c r="J329" s="178">
        <v>100</v>
      </c>
      <c r="K329" s="182"/>
      <c r="L329" s="182" t="s">
        <v>58</v>
      </c>
      <c r="M329" s="178" t="s">
        <v>78</v>
      </c>
      <c r="N329" s="178" t="s">
        <v>636</v>
      </c>
      <c r="O329" s="178" t="s">
        <v>60</v>
      </c>
      <c r="P329" s="178" t="s">
        <v>92</v>
      </c>
      <c r="Q329" s="179"/>
      <c r="R329" s="179" t="s">
        <v>630</v>
      </c>
      <c r="S329" s="180">
        <v>60</v>
      </c>
      <c r="T329" s="179"/>
      <c r="U329" s="179" t="s">
        <v>631</v>
      </c>
      <c r="V329" s="167" t="s">
        <v>62</v>
      </c>
      <c r="W329" s="168">
        <v>10</v>
      </c>
      <c r="X329" s="106" t="s">
        <v>388</v>
      </c>
      <c r="Y329" s="167"/>
      <c r="Z329" s="169" t="s">
        <v>63</v>
      </c>
      <c r="AA329" s="166">
        <v>4</v>
      </c>
      <c r="AB329" s="166">
        <v>2</v>
      </c>
      <c r="AC329" s="165">
        <v>23</v>
      </c>
      <c r="AD329" s="165" t="s">
        <v>80</v>
      </c>
      <c r="AE329" s="165" t="s">
        <v>116</v>
      </c>
      <c r="AF329" s="165">
        <v>6.1</v>
      </c>
      <c r="AG329" s="165" t="s">
        <v>80</v>
      </c>
      <c r="AH329" s="165" t="s">
        <v>117</v>
      </c>
      <c r="AI329" s="165"/>
      <c r="AJ329" s="165"/>
      <c r="AK329" s="166">
        <v>71.3</v>
      </c>
      <c r="AL329" s="166" t="s">
        <v>81</v>
      </c>
      <c r="AM329" s="166" t="s">
        <v>116</v>
      </c>
      <c r="AN329" s="166">
        <v>12.4</v>
      </c>
      <c r="AO329" s="166" t="s">
        <v>81</v>
      </c>
      <c r="AP329" s="166" t="s">
        <v>117</v>
      </c>
      <c r="AQ329" s="166"/>
      <c r="AR329" s="166"/>
      <c r="AS329" s="165">
        <v>174</v>
      </c>
      <c r="AT329" s="165" t="s">
        <v>119</v>
      </c>
      <c r="AU329" s="165" t="s">
        <v>116</v>
      </c>
      <c r="AV329" s="165">
        <v>7.9</v>
      </c>
      <c r="AW329" s="165" t="s">
        <v>119</v>
      </c>
      <c r="AX329" s="165" t="s">
        <v>117</v>
      </c>
      <c r="AY329" s="165"/>
      <c r="AZ329" s="165"/>
      <c r="BA329" s="166"/>
      <c r="BB329" s="166"/>
      <c r="BC329" s="166"/>
      <c r="BD329" s="166"/>
      <c r="BE329" s="166"/>
      <c r="BF329" s="166"/>
      <c r="BG329" s="166"/>
      <c r="BH329" s="166"/>
      <c r="BI329" s="165"/>
      <c r="BJ329" s="165"/>
      <c r="BK329" s="165"/>
      <c r="BL329" s="165"/>
      <c r="BM329" s="165"/>
      <c r="BN329" s="165"/>
      <c r="BO329" s="165"/>
      <c r="BP329" s="165"/>
      <c r="BQ329" s="166"/>
    </row>
    <row r="330" spans="1:69" ht="12.75" hidden="1" customHeight="1" x14ac:dyDescent="0.2">
      <c r="A330" s="91">
        <v>525</v>
      </c>
      <c r="B330" s="233" t="s">
        <v>627</v>
      </c>
      <c r="C330" s="237" t="s">
        <v>628</v>
      </c>
      <c r="D330" s="233" t="s">
        <v>637</v>
      </c>
      <c r="E330" s="125" t="s">
        <v>149</v>
      </c>
      <c r="F330" s="181" t="s">
        <v>103</v>
      </c>
      <c r="G330" s="181" t="s">
        <v>56</v>
      </c>
      <c r="H330" s="181" t="s">
        <v>496</v>
      </c>
      <c r="I330" s="181"/>
      <c r="J330" s="178">
        <v>200</v>
      </c>
      <c r="K330" s="182"/>
      <c r="L330" s="182" t="s">
        <v>58</v>
      </c>
      <c r="M330" s="178" t="s">
        <v>78</v>
      </c>
      <c r="N330" s="178" t="s">
        <v>636</v>
      </c>
      <c r="O330" s="178" t="s">
        <v>60</v>
      </c>
      <c r="P330" s="178" t="s">
        <v>92</v>
      </c>
      <c r="Q330" s="179"/>
      <c r="R330" s="179" t="s">
        <v>630</v>
      </c>
      <c r="S330" s="180">
        <v>120</v>
      </c>
      <c r="T330" s="179"/>
      <c r="U330" s="179" t="s">
        <v>631</v>
      </c>
      <c r="V330" s="167" t="s">
        <v>62</v>
      </c>
      <c r="W330" s="168">
        <v>10</v>
      </c>
      <c r="X330" s="106" t="s">
        <v>388</v>
      </c>
      <c r="Y330" s="167"/>
      <c r="Z330" s="169" t="s">
        <v>63</v>
      </c>
      <c r="AA330" s="166">
        <v>4</v>
      </c>
      <c r="AB330" s="166">
        <v>2</v>
      </c>
      <c r="AC330" s="165">
        <v>22.3</v>
      </c>
      <c r="AD330" s="165" t="s">
        <v>80</v>
      </c>
      <c r="AE330" s="165" t="s">
        <v>116</v>
      </c>
      <c r="AF330" s="165">
        <v>4</v>
      </c>
      <c r="AG330" s="165" t="s">
        <v>80</v>
      </c>
      <c r="AH330" s="165" t="s">
        <v>117</v>
      </c>
      <c r="AI330" s="165"/>
      <c r="AJ330" s="165"/>
      <c r="AK330" s="166">
        <v>66</v>
      </c>
      <c r="AL330" s="166" t="s">
        <v>81</v>
      </c>
      <c r="AM330" s="166" t="s">
        <v>116</v>
      </c>
      <c r="AN330" s="166">
        <v>9.1</v>
      </c>
      <c r="AO330" s="166" t="s">
        <v>81</v>
      </c>
      <c r="AP330" s="166" t="s">
        <v>117</v>
      </c>
      <c r="AQ330" s="166"/>
      <c r="AR330" s="166"/>
      <c r="AS330" s="165">
        <v>173.5</v>
      </c>
      <c r="AT330" s="165" t="s">
        <v>119</v>
      </c>
      <c r="AU330" s="165" t="s">
        <v>116</v>
      </c>
      <c r="AV330" s="165">
        <v>6.5</v>
      </c>
      <c r="AW330" s="165" t="s">
        <v>119</v>
      </c>
      <c r="AX330" s="165" t="s">
        <v>117</v>
      </c>
      <c r="AY330" s="165"/>
      <c r="AZ330" s="165"/>
      <c r="BA330" s="166"/>
      <c r="BB330" s="166"/>
      <c r="BC330" s="166"/>
      <c r="BD330" s="166"/>
      <c r="BE330" s="166"/>
      <c r="BF330" s="166"/>
      <c r="BG330" s="166"/>
      <c r="BH330" s="166"/>
      <c r="BI330" s="165"/>
      <c r="BJ330" s="165"/>
      <c r="BK330" s="165"/>
      <c r="BL330" s="165"/>
      <c r="BM330" s="165"/>
      <c r="BN330" s="165"/>
      <c r="BO330" s="165"/>
      <c r="BP330" s="165"/>
      <c r="BQ330" s="166"/>
    </row>
    <row r="331" spans="1:69" ht="12.75" hidden="1" customHeight="1" x14ac:dyDescent="0.2">
      <c r="A331" s="91">
        <v>526</v>
      </c>
      <c r="B331" s="233" t="s">
        <v>627</v>
      </c>
      <c r="C331" s="237" t="s">
        <v>628</v>
      </c>
      <c r="D331" s="233" t="s">
        <v>638</v>
      </c>
      <c r="E331" s="125" t="s">
        <v>149</v>
      </c>
      <c r="F331" s="181" t="s">
        <v>103</v>
      </c>
      <c r="G331" s="181" t="s">
        <v>56</v>
      </c>
      <c r="H331" s="181" t="s">
        <v>157</v>
      </c>
      <c r="I331" s="181"/>
      <c r="J331" s="178">
        <v>300</v>
      </c>
      <c r="K331" s="182"/>
      <c r="L331" s="182" t="s">
        <v>58</v>
      </c>
      <c r="M331" s="178" t="s">
        <v>78</v>
      </c>
      <c r="N331" s="178" t="s">
        <v>636</v>
      </c>
      <c r="O331" s="178" t="s">
        <v>60</v>
      </c>
      <c r="P331" s="178" t="s">
        <v>92</v>
      </c>
      <c r="Q331" s="179"/>
      <c r="R331" s="179" t="s">
        <v>630</v>
      </c>
      <c r="S331" s="180">
        <v>180</v>
      </c>
      <c r="T331" s="179"/>
      <c r="U331" s="179" t="s">
        <v>631</v>
      </c>
      <c r="V331" s="167" t="s">
        <v>62</v>
      </c>
      <c r="W331" s="168">
        <v>10</v>
      </c>
      <c r="X331" s="106" t="s">
        <v>388</v>
      </c>
      <c r="Y331" s="167"/>
      <c r="Z331" s="169" t="s">
        <v>63</v>
      </c>
      <c r="AA331" s="166">
        <v>4</v>
      </c>
      <c r="AB331" s="166">
        <v>2</v>
      </c>
      <c r="AC331" s="165">
        <v>24</v>
      </c>
      <c r="AD331" s="165" t="s">
        <v>80</v>
      </c>
      <c r="AE331" s="165" t="s">
        <v>116</v>
      </c>
      <c r="AF331" s="165">
        <v>5</v>
      </c>
      <c r="AG331" s="165" t="s">
        <v>80</v>
      </c>
      <c r="AH331" s="165" t="s">
        <v>117</v>
      </c>
      <c r="AI331" s="165"/>
      <c r="AJ331" s="165"/>
      <c r="AK331" s="166">
        <v>70.8</v>
      </c>
      <c r="AL331" s="166" t="s">
        <v>81</v>
      </c>
      <c r="AM331" s="166" t="s">
        <v>116</v>
      </c>
      <c r="AN331" s="166">
        <v>15.3</v>
      </c>
      <c r="AO331" s="166" t="s">
        <v>81</v>
      </c>
      <c r="AP331" s="166" t="s">
        <v>117</v>
      </c>
      <c r="AQ331" s="166"/>
      <c r="AR331" s="166"/>
      <c r="AS331" s="165">
        <v>174</v>
      </c>
      <c r="AT331" s="165" t="s">
        <v>119</v>
      </c>
      <c r="AU331" s="165" t="s">
        <v>116</v>
      </c>
      <c r="AV331" s="165">
        <v>9.5</v>
      </c>
      <c r="AW331" s="165" t="s">
        <v>119</v>
      </c>
      <c r="AX331" s="165" t="s">
        <v>117</v>
      </c>
      <c r="AY331" s="165"/>
      <c r="AZ331" s="165"/>
      <c r="BA331" s="166"/>
      <c r="BB331" s="166"/>
      <c r="BC331" s="166"/>
      <c r="BD331" s="166"/>
      <c r="BE331" s="166"/>
      <c r="BF331" s="166"/>
      <c r="BG331" s="166"/>
      <c r="BH331" s="166"/>
      <c r="BI331" s="165"/>
      <c r="BJ331" s="165"/>
      <c r="BK331" s="165"/>
      <c r="BL331" s="165"/>
      <c r="BM331" s="165"/>
      <c r="BN331" s="165"/>
      <c r="BO331" s="165"/>
      <c r="BP331" s="165"/>
      <c r="BQ331" s="166"/>
    </row>
    <row r="332" spans="1:69" ht="12.75" hidden="1" customHeight="1" x14ac:dyDescent="0.2">
      <c r="A332" s="91">
        <v>527</v>
      </c>
      <c r="B332" s="233" t="s">
        <v>627</v>
      </c>
      <c r="C332" s="237" t="s">
        <v>628</v>
      </c>
      <c r="D332" s="233" t="s">
        <v>639</v>
      </c>
      <c r="E332" s="125" t="s">
        <v>149</v>
      </c>
      <c r="F332" s="181" t="s">
        <v>103</v>
      </c>
      <c r="G332" s="181" t="s">
        <v>56</v>
      </c>
      <c r="H332" s="181" t="s">
        <v>496</v>
      </c>
      <c r="I332" s="181"/>
      <c r="J332" s="178">
        <v>200</v>
      </c>
      <c r="K332" s="182"/>
      <c r="L332" s="182" t="s">
        <v>58</v>
      </c>
      <c r="M332" s="178" t="s">
        <v>78</v>
      </c>
      <c r="N332" s="178" t="s">
        <v>636</v>
      </c>
      <c r="O332" s="178" t="s">
        <v>60</v>
      </c>
      <c r="P332" s="178" t="s">
        <v>92</v>
      </c>
      <c r="Q332" s="179"/>
      <c r="R332" s="179" t="s">
        <v>640</v>
      </c>
      <c r="S332" s="180">
        <v>120</v>
      </c>
      <c r="T332" s="179"/>
      <c r="U332" s="179" t="s">
        <v>641</v>
      </c>
      <c r="V332" s="167" t="s">
        <v>62</v>
      </c>
      <c r="W332" s="168">
        <v>10</v>
      </c>
      <c r="X332" s="106" t="s">
        <v>388</v>
      </c>
      <c r="Y332" s="167"/>
      <c r="Z332" s="169" t="s">
        <v>63</v>
      </c>
      <c r="AA332" s="166">
        <v>4</v>
      </c>
      <c r="AB332" s="166">
        <v>2</v>
      </c>
      <c r="AC332" s="165">
        <v>28</v>
      </c>
      <c r="AD332" s="165" t="s">
        <v>80</v>
      </c>
      <c r="AE332" s="165" t="s">
        <v>116</v>
      </c>
      <c r="AF332" s="165">
        <v>8.1</v>
      </c>
      <c r="AG332" s="165" t="s">
        <v>80</v>
      </c>
      <c r="AH332" s="165" t="s">
        <v>117</v>
      </c>
      <c r="AI332" s="165"/>
      <c r="AJ332" s="165"/>
      <c r="AK332" s="166">
        <v>68.3</v>
      </c>
      <c r="AL332" s="166" t="s">
        <v>81</v>
      </c>
      <c r="AM332" s="166" t="s">
        <v>116</v>
      </c>
      <c r="AN332" s="166">
        <v>4.3</v>
      </c>
      <c r="AO332" s="166" t="s">
        <v>81</v>
      </c>
      <c r="AP332" s="166" t="s">
        <v>117</v>
      </c>
      <c r="AQ332" s="166"/>
      <c r="AR332" s="166"/>
      <c r="AS332" s="165">
        <v>173</v>
      </c>
      <c r="AT332" s="165" t="s">
        <v>119</v>
      </c>
      <c r="AU332" s="165" t="s">
        <v>116</v>
      </c>
      <c r="AV332" s="165">
        <v>8.3000000000000007</v>
      </c>
      <c r="AW332" s="165" t="s">
        <v>119</v>
      </c>
      <c r="AX332" s="165" t="s">
        <v>117</v>
      </c>
      <c r="AY332" s="165"/>
      <c r="AZ332" s="165"/>
      <c r="BA332" s="166"/>
      <c r="BB332" s="166"/>
      <c r="BC332" s="166"/>
      <c r="BD332" s="166"/>
      <c r="BE332" s="166"/>
      <c r="BF332" s="166"/>
      <c r="BG332" s="166"/>
      <c r="BH332" s="166"/>
      <c r="BI332" s="165"/>
      <c r="BJ332" s="165"/>
      <c r="BK332" s="165"/>
      <c r="BL332" s="165"/>
      <c r="BM332" s="165"/>
      <c r="BN332" s="165"/>
      <c r="BO332" s="165"/>
      <c r="BP332" s="165"/>
      <c r="BQ332" s="166"/>
    </row>
    <row r="333" spans="1:69" ht="12.75" hidden="1" customHeight="1" x14ac:dyDescent="0.2">
      <c r="A333" s="91">
        <v>528</v>
      </c>
      <c r="B333" s="233" t="s">
        <v>627</v>
      </c>
      <c r="C333" s="237" t="s">
        <v>628</v>
      </c>
      <c r="D333" s="233" t="s">
        <v>629</v>
      </c>
      <c r="E333" s="125" t="s">
        <v>152</v>
      </c>
      <c r="F333" s="181" t="s">
        <v>103</v>
      </c>
      <c r="G333" s="181" t="s">
        <v>56</v>
      </c>
      <c r="H333" s="181" t="s">
        <v>57</v>
      </c>
      <c r="I333" s="181"/>
      <c r="J333" s="178">
        <v>50</v>
      </c>
      <c r="K333" s="182"/>
      <c r="L333" s="182" t="s">
        <v>58</v>
      </c>
      <c r="M333" s="178" t="s">
        <v>78</v>
      </c>
      <c r="N333" s="178">
        <v>0</v>
      </c>
      <c r="O333" s="178" t="s">
        <v>60</v>
      </c>
      <c r="P333" s="178" t="s">
        <v>79</v>
      </c>
      <c r="Q333" s="179"/>
      <c r="R333" s="179" t="s">
        <v>630</v>
      </c>
      <c r="S333" s="180">
        <v>60</v>
      </c>
      <c r="T333" s="179"/>
      <c r="U333" s="179" t="s">
        <v>631</v>
      </c>
      <c r="V333" s="167" t="s">
        <v>62</v>
      </c>
      <c r="W333" s="168">
        <v>10</v>
      </c>
      <c r="X333" s="106" t="s">
        <v>388</v>
      </c>
      <c r="Y333" s="167"/>
      <c r="Z333" s="169" t="s">
        <v>63</v>
      </c>
      <c r="AA333" s="166">
        <v>6</v>
      </c>
      <c r="AB333" s="166">
        <v>1</v>
      </c>
      <c r="AC333" s="165">
        <v>43.2</v>
      </c>
      <c r="AD333" s="165" t="s">
        <v>80</v>
      </c>
      <c r="AE333" s="165" t="s">
        <v>116</v>
      </c>
      <c r="AF333" s="165">
        <v>6.7</v>
      </c>
      <c r="AG333" s="165" t="s">
        <v>80</v>
      </c>
      <c r="AH333" s="165" t="s">
        <v>117</v>
      </c>
      <c r="AI333" s="165"/>
      <c r="AJ333" s="165"/>
      <c r="AK333" s="166">
        <v>77.8</v>
      </c>
      <c r="AL333" s="166" t="s">
        <v>81</v>
      </c>
      <c r="AM333" s="166" t="s">
        <v>116</v>
      </c>
      <c r="AN333" s="166">
        <v>3.9</v>
      </c>
      <c r="AO333" s="166" t="s">
        <v>81</v>
      </c>
      <c r="AP333" s="166" t="s">
        <v>117</v>
      </c>
      <c r="AQ333" s="166"/>
      <c r="AR333" s="166"/>
      <c r="AS333" s="165">
        <v>177.5</v>
      </c>
      <c r="AT333" s="165" t="s">
        <v>119</v>
      </c>
      <c r="AU333" s="165" t="s">
        <v>116</v>
      </c>
      <c r="AV333" s="165">
        <v>7.5</v>
      </c>
      <c r="AW333" s="165" t="s">
        <v>119</v>
      </c>
      <c r="AX333" s="165" t="s">
        <v>117</v>
      </c>
      <c r="AY333" s="165"/>
      <c r="AZ333" s="165"/>
      <c r="BA333" s="166"/>
      <c r="BB333" s="166"/>
      <c r="BC333" s="166"/>
      <c r="BD333" s="166"/>
      <c r="BE333" s="166"/>
      <c r="BF333" s="166"/>
      <c r="BG333" s="166"/>
      <c r="BH333" s="166"/>
      <c r="BI333" s="165"/>
      <c r="BJ333" s="165"/>
      <c r="BK333" s="165"/>
      <c r="BL333" s="165"/>
      <c r="BM333" s="165"/>
      <c r="BN333" s="165"/>
      <c r="BO333" s="165"/>
      <c r="BP333" s="165"/>
      <c r="BQ333" s="166"/>
    </row>
    <row r="334" spans="1:69" ht="12.75" hidden="1" customHeight="1" x14ac:dyDescent="0.2">
      <c r="A334" s="91">
        <v>530</v>
      </c>
      <c r="B334" s="233" t="s">
        <v>627</v>
      </c>
      <c r="C334" s="237" t="s">
        <v>628</v>
      </c>
      <c r="D334" s="233" t="s">
        <v>632</v>
      </c>
      <c r="E334" s="125" t="s">
        <v>152</v>
      </c>
      <c r="F334" s="181" t="s">
        <v>103</v>
      </c>
      <c r="G334" s="181" t="s">
        <v>56</v>
      </c>
      <c r="H334" s="181" t="s">
        <v>57</v>
      </c>
      <c r="I334" s="181"/>
      <c r="J334" s="178">
        <v>200</v>
      </c>
      <c r="K334" s="182"/>
      <c r="L334" s="182" t="s">
        <v>58</v>
      </c>
      <c r="M334" s="178" t="s">
        <v>78</v>
      </c>
      <c r="N334" s="178">
        <v>0</v>
      </c>
      <c r="O334" s="178" t="s">
        <v>60</v>
      </c>
      <c r="P334" s="178" t="s">
        <v>79</v>
      </c>
      <c r="Q334" s="179"/>
      <c r="R334" s="179" t="s">
        <v>630</v>
      </c>
      <c r="S334" s="180">
        <v>60</v>
      </c>
      <c r="T334" s="179"/>
      <c r="U334" s="179" t="s">
        <v>631</v>
      </c>
      <c r="V334" s="167" t="s">
        <v>62</v>
      </c>
      <c r="W334" s="168">
        <v>10</v>
      </c>
      <c r="X334" s="106" t="s">
        <v>388</v>
      </c>
      <c r="Y334" s="167"/>
      <c r="Z334" s="169" t="s">
        <v>63</v>
      </c>
      <c r="AA334" s="166">
        <v>6</v>
      </c>
      <c r="AB334" s="166">
        <v>1</v>
      </c>
      <c r="AC334" s="165">
        <v>43.2</v>
      </c>
      <c r="AD334" s="165" t="s">
        <v>80</v>
      </c>
      <c r="AE334" s="165" t="s">
        <v>116</v>
      </c>
      <c r="AF334" s="165">
        <v>6.7</v>
      </c>
      <c r="AG334" s="165" t="s">
        <v>80</v>
      </c>
      <c r="AH334" s="165" t="s">
        <v>117</v>
      </c>
      <c r="AI334" s="165"/>
      <c r="AJ334" s="165"/>
      <c r="AK334" s="166">
        <v>77.8</v>
      </c>
      <c r="AL334" s="166" t="s">
        <v>81</v>
      </c>
      <c r="AM334" s="166" t="s">
        <v>116</v>
      </c>
      <c r="AN334" s="166">
        <v>3.9</v>
      </c>
      <c r="AO334" s="166" t="s">
        <v>81</v>
      </c>
      <c r="AP334" s="166" t="s">
        <v>117</v>
      </c>
      <c r="AQ334" s="166"/>
      <c r="AR334" s="166"/>
      <c r="AS334" s="165">
        <v>177.5</v>
      </c>
      <c r="AT334" s="165" t="s">
        <v>119</v>
      </c>
      <c r="AU334" s="165" t="s">
        <v>116</v>
      </c>
      <c r="AV334" s="165">
        <v>7.5</v>
      </c>
      <c r="AW334" s="165" t="s">
        <v>119</v>
      </c>
      <c r="AX334" s="165" t="s">
        <v>117</v>
      </c>
      <c r="AY334" s="165"/>
      <c r="AZ334" s="165"/>
      <c r="BA334" s="166"/>
      <c r="BB334" s="166"/>
      <c r="BC334" s="166"/>
      <c r="BD334" s="166"/>
      <c r="BE334" s="166"/>
      <c r="BF334" s="166"/>
      <c r="BG334" s="166"/>
      <c r="BH334" s="166"/>
      <c r="BI334" s="165"/>
      <c r="BJ334" s="165"/>
      <c r="BK334" s="165"/>
      <c r="BL334" s="165"/>
      <c r="BM334" s="165"/>
      <c r="BN334" s="165"/>
      <c r="BO334" s="165"/>
      <c r="BP334" s="165"/>
      <c r="BQ334" s="166"/>
    </row>
    <row r="335" spans="1:69" ht="12.75" hidden="1" customHeight="1" x14ac:dyDescent="0.2">
      <c r="A335" s="91">
        <v>529</v>
      </c>
      <c r="B335" s="233" t="s">
        <v>627</v>
      </c>
      <c r="C335" s="237" t="s">
        <v>628</v>
      </c>
      <c r="D335" s="233" t="s">
        <v>633</v>
      </c>
      <c r="E335" s="125" t="s">
        <v>152</v>
      </c>
      <c r="F335" s="181" t="s">
        <v>103</v>
      </c>
      <c r="G335" s="181" t="s">
        <v>56</v>
      </c>
      <c r="H335" s="181" t="s">
        <v>57</v>
      </c>
      <c r="I335" s="181"/>
      <c r="J335" s="178">
        <v>100</v>
      </c>
      <c r="K335" s="182"/>
      <c r="L335" s="182" t="s">
        <v>58</v>
      </c>
      <c r="M335" s="178" t="s">
        <v>78</v>
      </c>
      <c r="N335" s="178">
        <v>0</v>
      </c>
      <c r="O335" s="178" t="s">
        <v>60</v>
      </c>
      <c r="P335" s="178" t="s">
        <v>79</v>
      </c>
      <c r="Q335" s="179"/>
      <c r="R335" s="179" t="s">
        <v>630</v>
      </c>
      <c r="S335" s="180">
        <v>60</v>
      </c>
      <c r="T335" s="179"/>
      <c r="U335" s="179" t="s">
        <v>631</v>
      </c>
      <c r="V335" s="167" t="s">
        <v>62</v>
      </c>
      <c r="W335" s="168">
        <v>10</v>
      </c>
      <c r="X335" s="106" t="s">
        <v>388</v>
      </c>
      <c r="Y335" s="167"/>
      <c r="Z335" s="169" t="s">
        <v>63</v>
      </c>
      <c r="AA335" s="166">
        <v>6</v>
      </c>
      <c r="AB335" s="166">
        <v>1</v>
      </c>
      <c r="AC335" s="165">
        <v>40.700000000000003</v>
      </c>
      <c r="AD335" s="165" t="s">
        <v>80</v>
      </c>
      <c r="AE335" s="165" t="s">
        <v>116</v>
      </c>
      <c r="AF335" s="165">
        <v>5.6</v>
      </c>
      <c r="AG335" s="165" t="s">
        <v>80</v>
      </c>
      <c r="AH335" s="165" t="s">
        <v>117</v>
      </c>
      <c r="AI335" s="165"/>
      <c r="AJ335" s="165"/>
      <c r="AK335" s="166">
        <v>75.7</v>
      </c>
      <c r="AL335" s="166" t="s">
        <v>81</v>
      </c>
      <c r="AM335" s="166" t="s">
        <v>116</v>
      </c>
      <c r="AN335" s="166">
        <v>11.8</v>
      </c>
      <c r="AO335" s="166" t="s">
        <v>81</v>
      </c>
      <c r="AP335" s="166" t="s">
        <v>117</v>
      </c>
      <c r="AQ335" s="166"/>
      <c r="AR335" s="166"/>
      <c r="AS335" s="165">
        <v>176.3</v>
      </c>
      <c r="AT335" s="165" t="s">
        <v>119</v>
      </c>
      <c r="AU335" s="165" t="s">
        <v>116</v>
      </c>
      <c r="AV335" s="165">
        <v>6.4</v>
      </c>
      <c r="AW335" s="165" t="s">
        <v>119</v>
      </c>
      <c r="AX335" s="165" t="s">
        <v>117</v>
      </c>
      <c r="AY335" s="165"/>
      <c r="AZ335" s="165"/>
      <c r="BA335" s="166"/>
      <c r="BB335" s="166"/>
      <c r="BC335" s="166"/>
      <c r="BD335" s="166"/>
      <c r="BE335" s="166"/>
      <c r="BF335" s="166"/>
      <c r="BG335" s="166"/>
      <c r="BH335" s="166"/>
      <c r="BI335" s="165"/>
      <c r="BJ335" s="165"/>
      <c r="BK335" s="165"/>
      <c r="BL335" s="165"/>
      <c r="BM335" s="165"/>
      <c r="BN335" s="165"/>
      <c r="BO335" s="165"/>
      <c r="BP335" s="165"/>
      <c r="BQ335" s="166"/>
    </row>
    <row r="336" spans="1:69" ht="12.75" hidden="1" customHeight="1" x14ac:dyDescent="0.2">
      <c r="A336" s="91">
        <v>531</v>
      </c>
      <c r="B336" s="233" t="s">
        <v>627</v>
      </c>
      <c r="C336" s="237" t="s">
        <v>628</v>
      </c>
      <c r="D336" s="233" t="s">
        <v>634</v>
      </c>
      <c r="E336" s="125" t="s">
        <v>152</v>
      </c>
      <c r="F336" s="181" t="s">
        <v>103</v>
      </c>
      <c r="G336" s="181" t="s">
        <v>56</v>
      </c>
      <c r="H336" s="181" t="s">
        <v>57</v>
      </c>
      <c r="I336" s="181"/>
      <c r="J336" s="178">
        <v>300</v>
      </c>
      <c r="K336" s="182"/>
      <c r="L336" s="182" t="s">
        <v>58</v>
      </c>
      <c r="M336" s="178" t="s">
        <v>78</v>
      </c>
      <c r="N336" s="178">
        <v>0</v>
      </c>
      <c r="O336" s="178" t="s">
        <v>60</v>
      </c>
      <c r="P336" s="178" t="s">
        <v>79</v>
      </c>
      <c r="Q336" s="179"/>
      <c r="R336" s="179" t="s">
        <v>630</v>
      </c>
      <c r="S336" s="180">
        <v>60</v>
      </c>
      <c r="T336" s="179"/>
      <c r="U336" s="179" t="s">
        <v>631</v>
      </c>
      <c r="V336" s="167" t="s">
        <v>62</v>
      </c>
      <c r="W336" s="168">
        <v>10</v>
      </c>
      <c r="X336" s="106" t="s">
        <v>388</v>
      </c>
      <c r="Y336" s="167"/>
      <c r="Z336" s="169" t="s">
        <v>63</v>
      </c>
      <c r="AA336" s="166">
        <v>2</v>
      </c>
      <c r="AB336" s="166"/>
      <c r="AC336" s="165"/>
      <c r="AD336" s="165"/>
      <c r="AE336" s="165"/>
      <c r="AF336" s="165"/>
      <c r="AG336" s="165"/>
      <c r="AH336" s="165"/>
      <c r="AI336" s="165"/>
      <c r="AJ336" s="165"/>
      <c r="AK336" s="166"/>
      <c r="AL336" s="166"/>
      <c r="AM336" s="166"/>
      <c r="AN336" s="166"/>
      <c r="AO336" s="166"/>
      <c r="AP336" s="166"/>
      <c r="AQ336" s="166"/>
      <c r="AR336" s="166"/>
      <c r="AS336" s="165"/>
      <c r="AT336" s="165"/>
      <c r="AU336" s="165"/>
      <c r="AV336" s="165"/>
      <c r="AW336" s="165"/>
      <c r="AX336" s="165"/>
      <c r="AY336" s="165"/>
      <c r="AZ336" s="165"/>
      <c r="BA336" s="166"/>
      <c r="BB336" s="166"/>
      <c r="BC336" s="166"/>
      <c r="BD336" s="166"/>
      <c r="BE336" s="166"/>
      <c r="BF336" s="166"/>
      <c r="BG336" s="166"/>
      <c r="BH336" s="166"/>
      <c r="BI336" s="165"/>
      <c r="BJ336" s="165"/>
      <c r="BK336" s="165"/>
      <c r="BL336" s="165"/>
      <c r="BM336" s="165"/>
      <c r="BN336" s="165"/>
      <c r="BO336" s="165"/>
      <c r="BP336" s="165"/>
      <c r="BQ336" s="166"/>
    </row>
    <row r="337" spans="1:70" ht="12.75" hidden="1" customHeight="1" x14ac:dyDescent="0.2">
      <c r="A337" s="91">
        <v>532</v>
      </c>
      <c r="B337" s="233" t="s">
        <v>627</v>
      </c>
      <c r="C337" s="237" t="s">
        <v>628</v>
      </c>
      <c r="D337" s="233" t="s">
        <v>635</v>
      </c>
      <c r="E337" s="125" t="s">
        <v>152</v>
      </c>
      <c r="F337" s="181" t="s">
        <v>103</v>
      </c>
      <c r="G337" s="181" t="s">
        <v>56</v>
      </c>
      <c r="H337" s="181" t="s">
        <v>157</v>
      </c>
      <c r="I337" s="181"/>
      <c r="J337" s="178">
        <v>100</v>
      </c>
      <c r="K337" s="182"/>
      <c r="L337" s="182" t="s">
        <v>58</v>
      </c>
      <c r="M337" s="178" t="s">
        <v>78</v>
      </c>
      <c r="N337" s="178" t="s">
        <v>636</v>
      </c>
      <c r="O337" s="178" t="s">
        <v>60</v>
      </c>
      <c r="P337" s="178" t="s">
        <v>92</v>
      </c>
      <c r="Q337" s="179"/>
      <c r="R337" s="179" t="s">
        <v>630</v>
      </c>
      <c r="S337" s="180">
        <v>60</v>
      </c>
      <c r="T337" s="179"/>
      <c r="U337" s="179" t="s">
        <v>631</v>
      </c>
      <c r="V337" s="167" t="s">
        <v>62</v>
      </c>
      <c r="W337" s="168">
        <v>10</v>
      </c>
      <c r="X337" s="106" t="s">
        <v>388</v>
      </c>
      <c r="Y337" s="167"/>
      <c r="Z337" s="169" t="s">
        <v>63</v>
      </c>
      <c r="AA337" s="166">
        <v>4</v>
      </c>
      <c r="AB337" s="166">
        <v>2</v>
      </c>
      <c r="AC337" s="165">
        <v>23</v>
      </c>
      <c r="AD337" s="165" t="s">
        <v>80</v>
      </c>
      <c r="AE337" s="165" t="s">
        <v>116</v>
      </c>
      <c r="AF337" s="165">
        <v>6.1</v>
      </c>
      <c r="AG337" s="165" t="s">
        <v>80</v>
      </c>
      <c r="AH337" s="165" t="s">
        <v>117</v>
      </c>
      <c r="AI337" s="165"/>
      <c r="AJ337" s="165"/>
      <c r="AK337" s="166">
        <v>71.3</v>
      </c>
      <c r="AL337" s="166" t="s">
        <v>81</v>
      </c>
      <c r="AM337" s="166" t="s">
        <v>116</v>
      </c>
      <c r="AN337" s="166">
        <v>12.4</v>
      </c>
      <c r="AO337" s="166" t="s">
        <v>81</v>
      </c>
      <c r="AP337" s="166" t="s">
        <v>117</v>
      </c>
      <c r="AQ337" s="166"/>
      <c r="AR337" s="166"/>
      <c r="AS337" s="165">
        <v>174</v>
      </c>
      <c r="AT337" s="165" t="s">
        <v>119</v>
      </c>
      <c r="AU337" s="165" t="s">
        <v>116</v>
      </c>
      <c r="AV337" s="165">
        <v>7.9</v>
      </c>
      <c r="AW337" s="165" t="s">
        <v>119</v>
      </c>
      <c r="AX337" s="165" t="s">
        <v>117</v>
      </c>
      <c r="AY337" s="165"/>
      <c r="AZ337" s="165"/>
      <c r="BA337" s="166"/>
      <c r="BB337" s="166"/>
      <c r="BC337" s="166"/>
      <c r="BD337" s="166"/>
      <c r="BE337" s="166"/>
      <c r="BF337" s="166"/>
      <c r="BG337" s="166"/>
      <c r="BH337" s="166"/>
      <c r="BI337" s="165"/>
      <c r="BJ337" s="165"/>
      <c r="BK337" s="165"/>
      <c r="BL337" s="165"/>
      <c r="BM337" s="165"/>
      <c r="BN337" s="165"/>
      <c r="BO337" s="165"/>
      <c r="BP337" s="165"/>
      <c r="BQ337" s="166"/>
      <c r="BR337" s="165"/>
    </row>
    <row r="338" spans="1:70" ht="12.75" hidden="1" customHeight="1" x14ac:dyDescent="0.2">
      <c r="A338" s="91">
        <v>533</v>
      </c>
      <c r="B338" s="233" t="s">
        <v>627</v>
      </c>
      <c r="C338" s="237" t="s">
        <v>628</v>
      </c>
      <c r="D338" s="233" t="s">
        <v>637</v>
      </c>
      <c r="E338" s="125" t="s">
        <v>152</v>
      </c>
      <c r="F338" s="181" t="s">
        <v>103</v>
      </c>
      <c r="G338" s="181" t="s">
        <v>56</v>
      </c>
      <c r="H338" s="181" t="s">
        <v>496</v>
      </c>
      <c r="I338" s="181"/>
      <c r="J338" s="178">
        <v>200</v>
      </c>
      <c r="K338" s="182"/>
      <c r="L338" s="182" t="s">
        <v>58</v>
      </c>
      <c r="M338" s="178" t="s">
        <v>78</v>
      </c>
      <c r="N338" s="178" t="s">
        <v>636</v>
      </c>
      <c r="O338" s="178" t="s">
        <v>60</v>
      </c>
      <c r="P338" s="178" t="s">
        <v>92</v>
      </c>
      <c r="Q338" s="179"/>
      <c r="R338" s="179" t="s">
        <v>630</v>
      </c>
      <c r="S338" s="180">
        <v>120</v>
      </c>
      <c r="T338" s="179"/>
      <c r="U338" s="179" t="s">
        <v>631</v>
      </c>
      <c r="V338" s="167" t="s">
        <v>62</v>
      </c>
      <c r="W338" s="168">
        <v>10</v>
      </c>
      <c r="X338" s="106" t="s">
        <v>388</v>
      </c>
      <c r="Y338" s="167"/>
      <c r="Z338" s="169" t="s">
        <v>63</v>
      </c>
      <c r="AA338" s="166">
        <v>4</v>
      </c>
      <c r="AB338" s="166">
        <v>2</v>
      </c>
      <c r="AC338" s="165">
        <v>22.3</v>
      </c>
      <c r="AD338" s="165" t="s">
        <v>80</v>
      </c>
      <c r="AE338" s="165" t="s">
        <v>116</v>
      </c>
      <c r="AF338" s="165">
        <v>4</v>
      </c>
      <c r="AG338" s="165" t="s">
        <v>80</v>
      </c>
      <c r="AH338" s="165" t="s">
        <v>117</v>
      </c>
      <c r="AI338" s="165"/>
      <c r="AJ338" s="165"/>
      <c r="AK338" s="166">
        <v>66</v>
      </c>
      <c r="AL338" s="166" t="s">
        <v>81</v>
      </c>
      <c r="AM338" s="166" t="s">
        <v>116</v>
      </c>
      <c r="AN338" s="166">
        <v>9.1</v>
      </c>
      <c r="AO338" s="166" t="s">
        <v>81</v>
      </c>
      <c r="AP338" s="166" t="s">
        <v>117</v>
      </c>
      <c r="AQ338" s="166"/>
      <c r="AR338" s="166"/>
      <c r="AS338" s="165">
        <v>173.5</v>
      </c>
      <c r="AT338" s="165" t="s">
        <v>119</v>
      </c>
      <c r="AU338" s="165" t="s">
        <v>116</v>
      </c>
      <c r="AV338" s="165">
        <v>6.5</v>
      </c>
      <c r="AW338" s="165" t="s">
        <v>119</v>
      </c>
      <c r="AX338" s="165" t="s">
        <v>117</v>
      </c>
      <c r="AY338" s="165"/>
      <c r="AZ338" s="165"/>
      <c r="BA338" s="166"/>
      <c r="BB338" s="166"/>
      <c r="BC338" s="166"/>
      <c r="BD338" s="166"/>
      <c r="BE338" s="166"/>
      <c r="BF338" s="166"/>
      <c r="BG338" s="166"/>
      <c r="BH338" s="166"/>
      <c r="BI338" s="165"/>
      <c r="BJ338" s="165"/>
      <c r="BK338" s="165"/>
      <c r="BL338" s="165"/>
      <c r="BM338" s="165"/>
      <c r="BN338" s="165"/>
      <c r="BO338" s="165"/>
      <c r="BP338" s="165"/>
      <c r="BQ338" s="166"/>
      <c r="BR338" s="165"/>
    </row>
    <row r="339" spans="1:70" ht="12.75" hidden="1" customHeight="1" x14ac:dyDescent="0.2">
      <c r="A339" s="91">
        <v>534</v>
      </c>
      <c r="B339" s="233" t="s">
        <v>627</v>
      </c>
      <c r="C339" s="237" t="s">
        <v>628</v>
      </c>
      <c r="D339" s="233" t="s">
        <v>638</v>
      </c>
      <c r="E339" s="125" t="s">
        <v>152</v>
      </c>
      <c r="F339" s="181" t="s">
        <v>103</v>
      </c>
      <c r="G339" s="181" t="s">
        <v>56</v>
      </c>
      <c r="H339" s="181" t="s">
        <v>157</v>
      </c>
      <c r="I339" s="181"/>
      <c r="J339" s="178">
        <v>300</v>
      </c>
      <c r="K339" s="182"/>
      <c r="L339" s="182" t="s">
        <v>58</v>
      </c>
      <c r="M339" s="178" t="s">
        <v>78</v>
      </c>
      <c r="N339" s="178" t="s">
        <v>636</v>
      </c>
      <c r="O339" s="178" t="s">
        <v>60</v>
      </c>
      <c r="P339" s="178" t="s">
        <v>92</v>
      </c>
      <c r="Q339" s="179"/>
      <c r="R339" s="179" t="s">
        <v>630</v>
      </c>
      <c r="S339" s="180">
        <v>180</v>
      </c>
      <c r="T339" s="179"/>
      <c r="U339" s="179" t="s">
        <v>631</v>
      </c>
      <c r="V339" s="167" t="s">
        <v>62</v>
      </c>
      <c r="W339" s="168">
        <v>10</v>
      </c>
      <c r="X339" s="106" t="s">
        <v>388</v>
      </c>
      <c r="Y339" s="167"/>
      <c r="Z339" s="169" t="s">
        <v>63</v>
      </c>
      <c r="AA339" s="166">
        <v>4</v>
      </c>
      <c r="AB339" s="166">
        <v>2</v>
      </c>
      <c r="AC339" s="165">
        <v>24</v>
      </c>
      <c r="AD339" s="165" t="s">
        <v>80</v>
      </c>
      <c r="AE339" s="165" t="s">
        <v>116</v>
      </c>
      <c r="AF339" s="165">
        <v>5</v>
      </c>
      <c r="AG339" s="165" t="s">
        <v>80</v>
      </c>
      <c r="AH339" s="165" t="s">
        <v>117</v>
      </c>
      <c r="AI339" s="165"/>
      <c r="AJ339" s="165"/>
      <c r="AK339" s="166">
        <v>70.8</v>
      </c>
      <c r="AL339" s="166" t="s">
        <v>81</v>
      </c>
      <c r="AM339" s="166" t="s">
        <v>116</v>
      </c>
      <c r="AN339" s="166">
        <v>15.3</v>
      </c>
      <c r="AO339" s="166" t="s">
        <v>81</v>
      </c>
      <c r="AP339" s="166" t="s">
        <v>117</v>
      </c>
      <c r="AQ339" s="166"/>
      <c r="AR339" s="166"/>
      <c r="AS339" s="165">
        <v>174</v>
      </c>
      <c r="AT339" s="165" t="s">
        <v>119</v>
      </c>
      <c r="AU339" s="165" t="s">
        <v>116</v>
      </c>
      <c r="AV339" s="165">
        <v>9.5</v>
      </c>
      <c r="AW339" s="165" t="s">
        <v>119</v>
      </c>
      <c r="AX339" s="165" t="s">
        <v>117</v>
      </c>
      <c r="AY339" s="165"/>
      <c r="AZ339" s="165"/>
      <c r="BA339" s="166"/>
      <c r="BB339" s="166"/>
      <c r="BC339" s="166"/>
      <c r="BD339" s="166"/>
      <c r="BE339" s="166"/>
      <c r="BF339" s="166"/>
      <c r="BG339" s="166"/>
      <c r="BH339" s="166"/>
      <c r="BI339" s="165"/>
      <c r="BJ339" s="165"/>
      <c r="BK339" s="165"/>
      <c r="BL339" s="165"/>
      <c r="BM339" s="165"/>
      <c r="BN339" s="165"/>
      <c r="BO339" s="165"/>
      <c r="BP339" s="165"/>
      <c r="BQ339" s="166"/>
      <c r="BR339" s="165"/>
    </row>
    <row r="340" spans="1:70" ht="12.75" hidden="1" customHeight="1" x14ac:dyDescent="0.2">
      <c r="A340" s="91">
        <v>535</v>
      </c>
      <c r="B340" s="233" t="s">
        <v>627</v>
      </c>
      <c r="C340" s="237" t="s">
        <v>628</v>
      </c>
      <c r="D340" s="233" t="s">
        <v>639</v>
      </c>
      <c r="E340" s="125" t="s">
        <v>152</v>
      </c>
      <c r="F340" s="181" t="s">
        <v>103</v>
      </c>
      <c r="G340" s="181" t="s">
        <v>56</v>
      </c>
      <c r="H340" s="181" t="s">
        <v>496</v>
      </c>
      <c r="I340" s="181"/>
      <c r="J340" s="178">
        <v>200</v>
      </c>
      <c r="K340" s="182"/>
      <c r="L340" s="182" t="s">
        <v>58</v>
      </c>
      <c r="M340" s="178" t="s">
        <v>78</v>
      </c>
      <c r="N340" s="178" t="s">
        <v>636</v>
      </c>
      <c r="O340" s="178" t="s">
        <v>60</v>
      </c>
      <c r="P340" s="178" t="s">
        <v>92</v>
      </c>
      <c r="Q340" s="179"/>
      <c r="R340" s="179" t="s">
        <v>640</v>
      </c>
      <c r="S340" s="180">
        <v>120</v>
      </c>
      <c r="T340" s="179"/>
      <c r="U340" s="179" t="s">
        <v>641</v>
      </c>
      <c r="V340" s="167" t="s">
        <v>62</v>
      </c>
      <c r="W340" s="168">
        <v>10</v>
      </c>
      <c r="X340" s="106" t="s">
        <v>388</v>
      </c>
      <c r="Y340" s="167"/>
      <c r="Z340" s="169" t="s">
        <v>63</v>
      </c>
      <c r="AA340" s="166">
        <v>4</v>
      </c>
      <c r="AB340" s="166">
        <v>2</v>
      </c>
      <c r="AC340" s="165">
        <v>28</v>
      </c>
      <c r="AD340" s="165" t="s">
        <v>80</v>
      </c>
      <c r="AE340" s="165" t="s">
        <v>116</v>
      </c>
      <c r="AF340" s="165">
        <v>8.1</v>
      </c>
      <c r="AG340" s="165" t="s">
        <v>80</v>
      </c>
      <c r="AH340" s="165" t="s">
        <v>117</v>
      </c>
      <c r="AI340" s="165"/>
      <c r="AJ340" s="165"/>
      <c r="AK340" s="166">
        <v>68.3</v>
      </c>
      <c r="AL340" s="166" t="s">
        <v>81</v>
      </c>
      <c r="AM340" s="166" t="s">
        <v>116</v>
      </c>
      <c r="AN340" s="166">
        <v>4.3</v>
      </c>
      <c r="AO340" s="166" t="s">
        <v>81</v>
      </c>
      <c r="AP340" s="166" t="s">
        <v>117</v>
      </c>
      <c r="AQ340" s="166"/>
      <c r="AR340" s="166"/>
      <c r="AS340" s="165">
        <v>173</v>
      </c>
      <c r="AT340" s="165" t="s">
        <v>119</v>
      </c>
      <c r="AU340" s="165" t="s">
        <v>116</v>
      </c>
      <c r="AV340" s="165">
        <v>8.3000000000000007</v>
      </c>
      <c r="AW340" s="165" t="s">
        <v>119</v>
      </c>
      <c r="AX340" s="165" t="s">
        <v>117</v>
      </c>
      <c r="AY340" s="165"/>
      <c r="AZ340" s="165"/>
      <c r="BA340" s="166"/>
      <c r="BB340" s="166"/>
      <c r="BC340" s="166"/>
      <c r="BD340" s="166"/>
      <c r="BE340" s="166"/>
      <c r="BF340" s="166"/>
      <c r="BG340" s="166"/>
      <c r="BH340" s="166"/>
      <c r="BI340" s="165"/>
      <c r="BJ340" s="165"/>
      <c r="BK340" s="165"/>
      <c r="BL340" s="165"/>
      <c r="BM340" s="165"/>
      <c r="BN340" s="165"/>
      <c r="BO340" s="165"/>
      <c r="BP340" s="165"/>
      <c r="BQ340" s="166"/>
      <c r="BR340" s="165"/>
    </row>
    <row r="341" spans="1:70" ht="12.75" hidden="1" customHeight="1" x14ac:dyDescent="0.2">
      <c r="A341" s="91">
        <v>536</v>
      </c>
      <c r="B341" s="233" t="s">
        <v>627</v>
      </c>
      <c r="C341" s="237" t="s">
        <v>628</v>
      </c>
      <c r="D341" s="233" t="s">
        <v>642</v>
      </c>
      <c r="E341" s="125" t="s">
        <v>149</v>
      </c>
      <c r="F341" s="181" t="s">
        <v>103</v>
      </c>
      <c r="G341" s="181" t="s">
        <v>56</v>
      </c>
      <c r="H341" s="181" t="s">
        <v>168</v>
      </c>
      <c r="I341" s="181"/>
      <c r="J341" s="178">
        <v>100</v>
      </c>
      <c r="K341" s="182"/>
      <c r="L341" s="182" t="s">
        <v>58</v>
      </c>
      <c r="M341" s="178" t="s">
        <v>78</v>
      </c>
      <c r="N341" s="178" t="s">
        <v>636</v>
      </c>
      <c r="O341" s="178" t="s">
        <v>60</v>
      </c>
      <c r="P341" s="178" t="s">
        <v>92</v>
      </c>
      <c r="Q341" s="179"/>
      <c r="R341" s="179" t="s">
        <v>630</v>
      </c>
      <c r="S341" s="180">
        <v>60</v>
      </c>
      <c r="T341" s="179"/>
      <c r="U341" s="179" t="s">
        <v>631</v>
      </c>
      <c r="V341" s="167" t="s">
        <v>62</v>
      </c>
      <c r="W341" s="168">
        <v>10</v>
      </c>
      <c r="X341" s="106" t="s">
        <v>388</v>
      </c>
      <c r="Y341" s="167"/>
      <c r="Z341" s="169" t="s">
        <v>63</v>
      </c>
      <c r="AA341" s="166">
        <v>4</v>
      </c>
      <c r="AB341" s="166">
        <v>2</v>
      </c>
      <c r="AC341" s="165">
        <v>23</v>
      </c>
      <c r="AD341" s="165" t="s">
        <v>80</v>
      </c>
      <c r="AE341" s="165" t="s">
        <v>116</v>
      </c>
      <c r="AF341" s="165">
        <v>6.1</v>
      </c>
      <c r="AG341" s="165" t="s">
        <v>80</v>
      </c>
      <c r="AH341" s="165" t="s">
        <v>117</v>
      </c>
      <c r="AI341" s="165"/>
      <c r="AJ341" s="165"/>
      <c r="AK341" s="166">
        <v>71.3</v>
      </c>
      <c r="AL341" s="166" t="s">
        <v>81</v>
      </c>
      <c r="AM341" s="166" t="s">
        <v>116</v>
      </c>
      <c r="AN341" s="166">
        <v>12.4</v>
      </c>
      <c r="AO341" s="166" t="s">
        <v>81</v>
      </c>
      <c r="AP341" s="166" t="s">
        <v>117</v>
      </c>
      <c r="AQ341" s="166"/>
      <c r="AR341" s="166"/>
      <c r="AS341" s="165">
        <v>174</v>
      </c>
      <c r="AT341" s="165" t="s">
        <v>119</v>
      </c>
      <c r="AU341" s="165" t="s">
        <v>116</v>
      </c>
      <c r="AV341" s="165">
        <v>7.9</v>
      </c>
      <c r="AW341" s="165" t="s">
        <v>119</v>
      </c>
      <c r="AX341" s="165" t="s">
        <v>117</v>
      </c>
      <c r="AY341" s="165"/>
      <c r="AZ341" s="165"/>
      <c r="BA341" s="166"/>
      <c r="BB341" s="166"/>
      <c r="BC341" s="166"/>
      <c r="BD341" s="166"/>
      <c r="BE341" s="166"/>
      <c r="BF341" s="166"/>
      <c r="BG341" s="166"/>
      <c r="BH341" s="166"/>
      <c r="BI341" s="165"/>
      <c r="BJ341" s="165"/>
      <c r="BK341" s="165"/>
      <c r="BL341" s="165"/>
      <c r="BM341" s="165"/>
      <c r="BN341" s="165"/>
      <c r="BO341" s="165"/>
      <c r="BP341" s="165"/>
      <c r="BQ341" s="166"/>
      <c r="BR341" s="165"/>
    </row>
    <row r="342" spans="1:70" ht="12.75" hidden="1" customHeight="1" x14ac:dyDescent="0.2">
      <c r="A342" s="91">
        <v>537</v>
      </c>
      <c r="B342" s="233" t="s">
        <v>627</v>
      </c>
      <c r="C342" s="237" t="s">
        <v>628</v>
      </c>
      <c r="D342" s="233" t="s">
        <v>643</v>
      </c>
      <c r="E342" s="125" t="s">
        <v>149</v>
      </c>
      <c r="F342" s="181" t="s">
        <v>103</v>
      </c>
      <c r="G342" s="181" t="s">
        <v>56</v>
      </c>
      <c r="H342" s="181" t="s">
        <v>168</v>
      </c>
      <c r="I342" s="181"/>
      <c r="J342" s="178">
        <v>200</v>
      </c>
      <c r="K342" s="182"/>
      <c r="L342" s="182" t="s">
        <v>58</v>
      </c>
      <c r="M342" s="178" t="s">
        <v>78</v>
      </c>
      <c r="N342" s="178" t="s">
        <v>636</v>
      </c>
      <c r="O342" s="178" t="s">
        <v>60</v>
      </c>
      <c r="P342" s="178" t="s">
        <v>92</v>
      </c>
      <c r="Q342" s="179"/>
      <c r="R342" s="179" t="s">
        <v>630</v>
      </c>
      <c r="S342" s="180">
        <v>120</v>
      </c>
      <c r="T342" s="179"/>
      <c r="U342" s="179" t="s">
        <v>631</v>
      </c>
      <c r="V342" s="167" t="s">
        <v>62</v>
      </c>
      <c r="W342" s="168">
        <v>10</v>
      </c>
      <c r="X342" s="106" t="s">
        <v>388</v>
      </c>
      <c r="Y342" s="167"/>
      <c r="Z342" s="169" t="s">
        <v>63</v>
      </c>
      <c r="AA342" s="166">
        <v>4</v>
      </c>
      <c r="AB342" s="166">
        <v>2</v>
      </c>
      <c r="AC342" s="165">
        <v>22.3</v>
      </c>
      <c r="AD342" s="165" t="s">
        <v>80</v>
      </c>
      <c r="AE342" s="165" t="s">
        <v>116</v>
      </c>
      <c r="AF342" s="165">
        <v>4</v>
      </c>
      <c r="AG342" s="165" t="s">
        <v>80</v>
      </c>
      <c r="AH342" s="165" t="s">
        <v>117</v>
      </c>
      <c r="AI342" s="165"/>
      <c r="AJ342" s="165"/>
      <c r="AK342" s="166">
        <v>66</v>
      </c>
      <c r="AL342" s="166" t="s">
        <v>81</v>
      </c>
      <c r="AM342" s="166" t="s">
        <v>116</v>
      </c>
      <c r="AN342" s="166">
        <v>9.1</v>
      </c>
      <c r="AO342" s="166" t="s">
        <v>81</v>
      </c>
      <c r="AP342" s="166" t="s">
        <v>117</v>
      </c>
      <c r="AQ342" s="166"/>
      <c r="AR342" s="166"/>
      <c r="AS342" s="165">
        <v>173.5</v>
      </c>
      <c r="AT342" s="165" t="s">
        <v>119</v>
      </c>
      <c r="AU342" s="165" t="s">
        <v>116</v>
      </c>
      <c r="AV342" s="165">
        <v>6.5</v>
      </c>
      <c r="AW342" s="165" t="s">
        <v>119</v>
      </c>
      <c r="AX342" s="165" t="s">
        <v>117</v>
      </c>
      <c r="AY342" s="165"/>
      <c r="AZ342" s="165"/>
      <c r="BA342" s="166"/>
      <c r="BB342" s="166"/>
      <c r="BC342" s="166"/>
      <c r="BD342" s="166"/>
      <c r="BE342" s="166"/>
      <c r="BF342" s="166"/>
      <c r="BG342" s="166"/>
      <c r="BH342" s="166"/>
      <c r="BI342" s="165"/>
      <c r="BJ342" s="165"/>
      <c r="BK342" s="165"/>
      <c r="BL342" s="165"/>
      <c r="BM342" s="165"/>
      <c r="BN342" s="165"/>
      <c r="BO342" s="165"/>
      <c r="BP342" s="165"/>
      <c r="BQ342" s="166"/>
      <c r="BR342" s="165"/>
    </row>
    <row r="343" spans="1:70" ht="12.75" hidden="1" customHeight="1" x14ac:dyDescent="0.2">
      <c r="A343" s="91">
        <v>538</v>
      </c>
      <c r="B343" s="233" t="s">
        <v>627</v>
      </c>
      <c r="C343" s="237" t="s">
        <v>628</v>
      </c>
      <c r="D343" s="233" t="s">
        <v>644</v>
      </c>
      <c r="E343" s="125" t="s">
        <v>149</v>
      </c>
      <c r="F343" s="181" t="s">
        <v>103</v>
      </c>
      <c r="G343" s="181" t="s">
        <v>56</v>
      </c>
      <c r="H343" s="181" t="s">
        <v>168</v>
      </c>
      <c r="I343" s="181"/>
      <c r="J343" s="178">
        <v>300</v>
      </c>
      <c r="K343" s="182"/>
      <c r="L343" s="182" t="s">
        <v>58</v>
      </c>
      <c r="M343" s="178" t="s">
        <v>78</v>
      </c>
      <c r="N343" s="178" t="s">
        <v>636</v>
      </c>
      <c r="O343" s="178" t="s">
        <v>60</v>
      </c>
      <c r="P343" s="178" t="s">
        <v>92</v>
      </c>
      <c r="Q343" s="179"/>
      <c r="R343" s="179" t="s">
        <v>630</v>
      </c>
      <c r="S343" s="180">
        <v>180</v>
      </c>
      <c r="T343" s="179"/>
      <c r="U343" s="179" t="s">
        <v>631</v>
      </c>
      <c r="V343" s="167" t="s">
        <v>62</v>
      </c>
      <c r="W343" s="168">
        <v>10</v>
      </c>
      <c r="X343" s="106" t="s">
        <v>388</v>
      </c>
      <c r="Y343" s="167"/>
      <c r="Z343" s="169" t="s">
        <v>63</v>
      </c>
      <c r="AA343" s="166">
        <v>4</v>
      </c>
      <c r="AB343" s="166">
        <v>2</v>
      </c>
      <c r="AC343" s="165">
        <v>24</v>
      </c>
      <c r="AD343" s="165" t="s">
        <v>80</v>
      </c>
      <c r="AE343" s="165" t="s">
        <v>116</v>
      </c>
      <c r="AF343" s="165">
        <v>5</v>
      </c>
      <c r="AG343" s="165" t="s">
        <v>80</v>
      </c>
      <c r="AH343" s="165" t="s">
        <v>117</v>
      </c>
      <c r="AI343" s="165"/>
      <c r="AJ343" s="165"/>
      <c r="AK343" s="166">
        <v>70.8</v>
      </c>
      <c r="AL343" s="166" t="s">
        <v>81</v>
      </c>
      <c r="AM343" s="166" t="s">
        <v>116</v>
      </c>
      <c r="AN343" s="166">
        <v>15.3</v>
      </c>
      <c r="AO343" s="166" t="s">
        <v>81</v>
      </c>
      <c r="AP343" s="166" t="s">
        <v>117</v>
      </c>
      <c r="AQ343" s="166"/>
      <c r="AR343" s="166"/>
      <c r="AS343" s="165">
        <v>174</v>
      </c>
      <c r="AT343" s="165" t="s">
        <v>119</v>
      </c>
      <c r="AU343" s="165" t="s">
        <v>116</v>
      </c>
      <c r="AV343" s="165">
        <v>9.5</v>
      </c>
      <c r="AW343" s="165" t="s">
        <v>119</v>
      </c>
      <c r="AX343" s="165" t="s">
        <v>117</v>
      </c>
      <c r="AY343" s="165"/>
      <c r="AZ343" s="165"/>
      <c r="BA343" s="166"/>
      <c r="BB343" s="166"/>
      <c r="BC343" s="166"/>
      <c r="BD343" s="166"/>
      <c r="BE343" s="166"/>
      <c r="BF343" s="166"/>
      <c r="BG343" s="166"/>
      <c r="BH343" s="166"/>
      <c r="BI343" s="165"/>
      <c r="BJ343" s="165"/>
      <c r="BK343" s="165"/>
      <c r="BL343" s="165"/>
      <c r="BM343" s="165"/>
      <c r="BN343" s="165"/>
      <c r="BO343" s="165"/>
      <c r="BP343" s="165"/>
      <c r="BQ343" s="166"/>
      <c r="BR343" s="165"/>
    </row>
    <row r="344" spans="1:70" ht="12.75" hidden="1" customHeight="1" x14ac:dyDescent="0.2">
      <c r="A344" s="91">
        <v>539</v>
      </c>
      <c r="B344" s="233" t="s">
        <v>627</v>
      </c>
      <c r="C344" s="237" t="s">
        <v>628</v>
      </c>
      <c r="D344" s="233" t="s">
        <v>642</v>
      </c>
      <c r="E344" s="125" t="s">
        <v>152</v>
      </c>
      <c r="F344" s="181" t="s">
        <v>103</v>
      </c>
      <c r="G344" s="181" t="s">
        <v>56</v>
      </c>
      <c r="H344" s="181" t="s">
        <v>168</v>
      </c>
      <c r="I344" s="181"/>
      <c r="J344" s="178">
        <v>100</v>
      </c>
      <c r="K344" s="182"/>
      <c r="L344" s="182" t="s">
        <v>58</v>
      </c>
      <c r="M344" s="178" t="s">
        <v>78</v>
      </c>
      <c r="N344" s="178" t="s">
        <v>636</v>
      </c>
      <c r="O344" s="178" t="s">
        <v>60</v>
      </c>
      <c r="P344" s="178" t="s">
        <v>92</v>
      </c>
      <c r="Q344" s="179"/>
      <c r="R344" s="179" t="s">
        <v>630</v>
      </c>
      <c r="S344" s="180">
        <v>60</v>
      </c>
      <c r="T344" s="179"/>
      <c r="U344" s="179" t="s">
        <v>631</v>
      </c>
      <c r="V344" s="167" t="s">
        <v>62</v>
      </c>
      <c r="W344" s="168">
        <v>10</v>
      </c>
      <c r="X344" s="106" t="s">
        <v>388</v>
      </c>
      <c r="Y344" s="167"/>
      <c r="Z344" s="169" t="s">
        <v>63</v>
      </c>
      <c r="AA344" s="166">
        <v>4</v>
      </c>
      <c r="AB344" s="166">
        <v>2</v>
      </c>
      <c r="AC344" s="165">
        <v>23</v>
      </c>
      <c r="AD344" s="165" t="s">
        <v>80</v>
      </c>
      <c r="AE344" s="165" t="s">
        <v>116</v>
      </c>
      <c r="AF344" s="165">
        <v>6.1</v>
      </c>
      <c r="AG344" s="165" t="s">
        <v>80</v>
      </c>
      <c r="AH344" s="165" t="s">
        <v>117</v>
      </c>
      <c r="AI344" s="165"/>
      <c r="AJ344" s="165"/>
      <c r="AK344" s="166">
        <v>71.3</v>
      </c>
      <c r="AL344" s="166" t="s">
        <v>81</v>
      </c>
      <c r="AM344" s="166" t="s">
        <v>116</v>
      </c>
      <c r="AN344" s="166">
        <v>12.4</v>
      </c>
      <c r="AO344" s="166" t="s">
        <v>81</v>
      </c>
      <c r="AP344" s="166" t="s">
        <v>117</v>
      </c>
      <c r="AQ344" s="166"/>
      <c r="AR344" s="166"/>
      <c r="AS344" s="165">
        <v>174</v>
      </c>
      <c r="AT344" s="165" t="s">
        <v>119</v>
      </c>
      <c r="AU344" s="165" t="s">
        <v>116</v>
      </c>
      <c r="AV344" s="165">
        <v>7.9</v>
      </c>
      <c r="AW344" s="165" t="s">
        <v>119</v>
      </c>
      <c r="AX344" s="165" t="s">
        <v>117</v>
      </c>
      <c r="AY344" s="165"/>
      <c r="AZ344" s="165"/>
      <c r="BA344" s="166"/>
      <c r="BB344" s="166"/>
      <c r="BC344" s="166"/>
      <c r="BD344" s="166"/>
      <c r="BE344" s="166"/>
      <c r="BF344" s="166"/>
      <c r="BG344" s="166"/>
      <c r="BH344" s="166"/>
      <c r="BI344" s="165"/>
      <c r="BJ344" s="165"/>
      <c r="BK344" s="165"/>
      <c r="BL344" s="165"/>
      <c r="BM344" s="165"/>
      <c r="BN344" s="165"/>
      <c r="BO344" s="165"/>
      <c r="BP344" s="165"/>
      <c r="BQ344" s="166"/>
      <c r="BR344" s="165"/>
    </row>
    <row r="345" spans="1:70" ht="12.75" hidden="1" customHeight="1" x14ac:dyDescent="0.2">
      <c r="A345" s="91">
        <v>540</v>
      </c>
      <c r="B345" s="233" t="s">
        <v>627</v>
      </c>
      <c r="C345" s="237" t="s">
        <v>628</v>
      </c>
      <c r="D345" s="233" t="s">
        <v>643</v>
      </c>
      <c r="E345" s="125" t="s">
        <v>152</v>
      </c>
      <c r="F345" s="181" t="s">
        <v>103</v>
      </c>
      <c r="G345" s="181" t="s">
        <v>56</v>
      </c>
      <c r="H345" s="181" t="s">
        <v>168</v>
      </c>
      <c r="I345" s="181"/>
      <c r="J345" s="178">
        <v>200</v>
      </c>
      <c r="K345" s="182"/>
      <c r="L345" s="182" t="s">
        <v>58</v>
      </c>
      <c r="M345" s="178" t="s">
        <v>78</v>
      </c>
      <c r="N345" s="178" t="s">
        <v>636</v>
      </c>
      <c r="O345" s="178" t="s">
        <v>60</v>
      </c>
      <c r="P345" s="178" t="s">
        <v>92</v>
      </c>
      <c r="Q345" s="179"/>
      <c r="R345" s="179" t="s">
        <v>630</v>
      </c>
      <c r="S345" s="180">
        <v>120</v>
      </c>
      <c r="T345" s="179"/>
      <c r="U345" s="179" t="s">
        <v>631</v>
      </c>
      <c r="V345" s="167" t="s">
        <v>62</v>
      </c>
      <c r="W345" s="168">
        <v>10</v>
      </c>
      <c r="X345" s="106" t="s">
        <v>388</v>
      </c>
      <c r="Y345" s="167"/>
      <c r="Z345" s="169" t="s">
        <v>63</v>
      </c>
      <c r="AA345" s="166">
        <v>4</v>
      </c>
      <c r="AB345" s="166">
        <v>2</v>
      </c>
      <c r="AC345" s="165">
        <v>22.3</v>
      </c>
      <c r="AD345" s="165" t="s">
        <v>80</v>
      </c>
      <c r="AE345" s="165" t="s">
        <v>116</v>
      </c>
      <c r="AF345" s="165">
        <v>4</v>
      </c>
      <c r="AG345" s="165" t="s">
        <v>80</v>
      </c>
      <c r="AH345" s="165" t="s">
        <v>117</v>
      </c>
      <c r="AI345" s="165"/>
      <c r="AJ345" s="165"/>
      <c r="AK345" s="166">
        <v>66</v>
      </c>
      <c r="AL345" s="166" t="s">
        <v>81</v>
      </c>
      <c r="AM345" s="166" t="s">
        <v>116</v>
      </c>
      <c r="AN345" s="166">
        <v>9.1</v>
      </c>
      <c r="AO345" s="166" t="s">
        <v>81</v>
      </c>
      <c r="AP345" s="166" t="s">
        <v>117</v>
      </c>
      <c r="AQ345" s="166"/>
      <c r="AR345" s="166"/>
      <c r="AS345" s="165">
        <v>173.5</v>
      </c>
      <c r="AT345" s="165" t="s">
        <v>119</v>
      </c>
      <c r="AU345" s="165" t="s">
        <v>116</v>
      </c>
      <c r="AV345" s="165">
        <v>6.5</v>
      </c>
      <c r="AW345" s="165" t="s">
        <v>119</v>
      </c>
      <c r="AX345" s="165" t="s">
        <v>117</v>
      </c>
      <c r="AY345" s="165"/>
      <c r="AZ345" s="165"/>
      <c r="BA345" s="166"/>
      <c r="BB345" s="166"/>
      <c r="BC345" s="166"/>
      <c r="BD345" s="166"/>
      <c r="BE345" s="166"/>
      <c r="BF345" s="166"/>
      <c r="BG345" s="166"/>
      <c r="BH345" s="166"/>
      <c r="BI345" s="165"/>
      <c r="BJ345" s="165"/>
      <c r="BK345" s="165"/>
      <c r="BL345" s="165"/>
      <c r="BM345" s="165"/>
      <c r="BN345" s="165"/>
      <c r="BO345" s="165"/>
      <c r="BP345" s="165"/>
      <c r="BQ345" s="166"/>
      <c r="BR345" s="165"/>
    </row>
    <row r="346" spans="1:70" ht="12.75" hidden="1" customHeight="1" x14ac:dyDescent="0.2">
      <c r="A346" s="91">
        <v>541</v>
      </c>
      <c r="B346" s="233" t="s">
        <v>627</v>
      </c>
      <c r="C346" s="237" t="s">
        <v>628</v>
      </c>
      <c r="D346" s="233" t="s">
        <v>644</v>
      </c>
      <c r="E346" s="125" t="s">
        <v>152</v>
      </c>
      <c r="F346" s="181" t="s">
        <v>103</v>
      </c>
      <c r="G346" s="181" t="s">
        <v>56</v>
      </c>
      <c r="H346" s="181" t="s">
        <v>168</v>
      </c>
      <c r="I346" s="181"/>
      <c r="J346" s="178">
        <v>300</v>
      </c>
      <c r="K346" s="182"/>
      <c r="L346" s="182" t="s">
        <v>58</v>
      </c>
      <c r="M346" s="178" t="s">
        <v>78</v>
      </c>
      <c r="N346" s="178" t="s">
        <v>636</v>
      </c>
      <c r="O346" s="178" t="s">
        <v>60</v>
      </c>
      <c r="P346" s="178" t="s">
        <v>92</v>
      </c>
      <c r="Q346" s="179"/>
      <c r="R346" s="179" t="s">
        <v>630</v>
      </c>
      <c r="S346" s="180">
        <v>180</v>
      </c>
      <c r="T346" s="179"/>
      <c r="U346" s="179" t="s">
        <v>631</v>
      </c>
      <c r="V346" s="167" t="s">
        <v>62</v>
      </c>
      <c r="W346" s="168">
        <v>10</v>
      </c>
      <c r="X346" s="106" t="s">
        <v>388</v>
      </c>
      <c r="Y346" s="167"/>
      <c r="Z346" s="169" t="s">
        <v>63</v>
      </c>
      <c r="AA346" s="166">
        <v>4</v>
      </c>
      <c r="AB346" s="166">
        <v>2</v>
      </c>
      <c r="AC346" s="165">
        <v>24</v>
      </c>
      <c r="AD346" s="165" t="s">
        <v>80</v>
      </c>
      <c r="AE346" s="165" t="s">
        <v>116</v>
      </c>
      <c r="AF346" s="165">
        <v>5</v>
      </c>
      <c r="AG346" s="165" t="s">
        <v>80</v>
      </c>
      <c r="AH346" s="165" t="s">
        <v>117</v>
      </c>
      <c r="AI346" s="165"/>
      <c r="AJ346" s="165"/>
      <c r="AK346" s="166">
        <v>70.8</v>
      </c>
      <c r="AL346" s="166" t="s">
        <v>81</v>
      </c>
      <c r="AM346" s="166" t="s">
        <v>116</v>
      </c>
      <c r="AN346" s="166">
        <v>15.3</v>
      </c>
      <c r="AO346" s="166" t="s">
        <v>81</v>
      </c>
      <c r="AP346" s="166" t="s">
        <v>117</v>
      </c>
      <c r="AQ346" s="166"/>
      <c r="AR346" s="166"/>
      <c r="AS346" s="165">
        <v>174</v>
      </c>
      <c r="AT346" s="165" t="s">
        <v>119</v>
      </c>
      <c r="AU346" s="165" t="s">
        <v>116</v>
      </c>
      <c r="AV346" s="165">
        <v>9.5</v>
      </c>
      <c r="AW346" s="165" t="s">
        <v>119</v>
      </c>
      <c r="AX346" s="165" t="s">
        <v>117</v>
      </c>
      <c r="AY346" s="165"/>
      <c r="AZ346" s="165"/>
      <c r="BA346" s="166"/>
      <c r="BB346" s="166"/>
      <c r="BC346" s="166"/>
      <c r="BD346" s="166"/>
      <c r="BE346" s="166"/>
      <c r="BF346" s="166"/>
      <c r="BG346" s="166"/>
      <c r="BH346" s="166"/>
      <c r="BI346" s="165"/>
      <c r="BJ346" s="165"/>
      <c r="BK346" s="165"/>
      <c r="BL346" s="165"/>
      <c r="BM346" s="165"/>
      <c r="BN346" s="165"/>
      <c r="BO346" s="165"/>
      <c r="BP346" s="165"/>
      <c r="BQ346" s="166"/>
      <c r="BR346" s="165"/>
    </row>
    <row r="347" spans="1:70" ht="12.75" hidden="1" customHeight="1" x14ac:dyDescent="0.2">
      <c r="A347" s="91">
        <v>542</v>
      </c>
      <c r="B347" s="233" t="s">
        <v>627</v>
      </c>
      <c r="C347" s="237" t="s">
        <v>628</v>
      </c>
      <c r="D347" s="233" t="s">
        <v>645</v>
      </c>
      <c r="E347" s="125" t="s">
        <v>149</v>
      </c>
      <c r="F347" s="181" t="s">
        <v>103</v>
      </c>
      <c r="G347" s="181" t="s">
        <v>56</v>
      </c>
      <c r="H347" s="181" t="s">
        <v>263</v>
      </c>
      <c r="I347" s="181" t="s">
        <v>579</v>
      </c>
      <c r="J347" s="178">
        <v>100</v>
      </c>
      <c r="K347" s="182"/>
      <c r="L347" s="182" t="s">
        <v>58</v>
      </c>
      <c r="M347" s="178" t="s">
        <v>78</v>
      </c>
      <c r="N347" s="178">
        <v>0</v>
      </c>
      <c r="O347" s="178" t="s">
        <v>60</v>
      </c>
      <c r="P347" s="178" t="s">
        <v>79</v>
      </c>
      <c r="Q347" s="179"/>
      <c r="R347" s="179" t="s">
        <v>630</v>
      </c>
      <c r="S347" s="180">
        <v>60</v>
      </c>
      <c r="T347" s="179"/>
      <c r="U347" s="179" t="s">
        <v>631</v>
      </c>
      <c r="V347" s="167" t="s">
        <v>62</v>
      </c>
      <c r="W347" s="168">
        <v>10</v>
      </c>
      <c r="X347" s="106" t="s">
        <v>388</v>
      </c>
      <c r="Y347" s="167"/>
      <c r="Z347" s="169" t="s">
        <v>63</v>
      </c>
      <c r="AA347" s="166">
        <v>4</v>
      </c>
      <c r="AB347" s="166">
        <v>2</v>
      </c>
      <c r="AC347" s="165">
        <v>23</v>
      </c>
      <c r="AD347" s="165" t="s">
        <v>80</v>
      </c>
      <c r="AE347" s="165" t="s">
        <v>116</v>
      </c>
      <c r="AF347" s="165">
        <v>6.1</v>
      </c>
      <c r="AG347" s="165" t="s">
        <v>80</v>
      </c>
      <c r="AH347" s="165" t="s">
        <v>117</v>
      </c>
      <c r="AI347" s="165"/>
      <c r="AJ347" s="165"/>
      <c r="AK347" s="166">
        <v>71.3</v>
      </c>
      <c r="AL347" s="166" t="s">
        <v>81</v>
      </c>
      <c r="AM347" s="166" t="s">
        <v>116</v>
      </c>
      <c r="AN347" s="166">
        <v>12.4</v>
      </c>
      <c r="AO347" s="166" t="s">
        <v>81</v>
      </c>
      <c r="AP347" s="166" t="s">
        <v>117</v>
      </c>
      <c r="AQ347" s="166"/>
      <c r="AR347" s="166"/>
      <c r="AS347" s="165">
        <v>174</v>
      </c>
      <c r="AT347" s="165" t="s">
        <v>119</v>
      </c>
      <c r="AU347" s="165" t="s">
        <v>116</v>
      </c>
      <c r="AV347" s="165">
        <v>7.9</v>
      </c>
      <c r="AW347" s="165" t="s">
        <v>119</v>
      </c>
      <c r="AX347" s="165" t="s">
        <v>117</v>
      </c>
      <c r="AY347" s="165"/>
      <c r="AZ347" s="165"/>
      <c r="BA347" s="166"/>
      <c r="BB347" s="166"/>
      <c r="BC347" s="166"/>
      <c r="BD347" s="166"/>
      <c r="BE347" s="166"/>
      <c r="BF347" s="166"/>
      <c r="BG347" s="166"/>
      <c r="BH347" s="166"/>
      <c r="BI347" s="165"/>
      <c r="BJ347" s="165"/>
      <c r="BK347" s="165"/>
      <c r="BL347" s="165"/>
      <c r="BM347" s="165"/>
      <c r="BN347" s="165"/>
      <c r="BO347" s="165"/>
      <c r="BP347" s="165"/>
      <c r="BQ347" s="166"/>
      <c r="BR347" s="165"/>
    </row>
    <row r="348" spans="1:70" ht="12.75" hidden="1" customHeight="1" x14ac:dyDescent="0.2">
      <c r="A348" s="91">
        <v>543</v>
      </c>
      <c r="B348" s="233" t="s">
        <v>627</v>
      </c>
      <c r="C348" s="237" t="s">
        <v>628</v>
      </c>
      <c r="D348" s="233" t="s">
        <v>646</v>
      </c>
      <c r="E348" s="125" t="s">
        <v>149</v>
      </c>
      <c r="F348" s="181" t="s">
        <v>103</v>
      </c>
      <c r="G348" s="181" t="s">
        <v>56</v>
      </c>
      <c r="H348" s="181" t="s">
        <v>263</v>
      </c>
      <c r="I348" s="181" t="s">
        <v>579</v>
      </c>
      <c r="J348" s="178">
        <v>200</v>
      </c>
      <c r="K348" s="182"/>
      <c r="L348" s="182" t="s">
        <v>58</v>
      </c>
      <c r="M348" s="178" t="s">
        <v>78</v>
      </c>
      <c r="N348" s="178">
        <v>0</v>
      </c>
      <c r="O348" s="178" t="s">
        <v>60</v>
      </c>
      <c r="P348" s="178" t="s">
        <v>79</v>
      </c>
      <c r="Q348" s="179"/>
      <c r="R348" s="179" t="s">
        <v>630</v>
      </c>
      <c r="S348" s="180">
        <v>120</v>
      </c>
      <c r="T348" s="179"/>
      <c r="U348" s="179" t="s">
        <v>631</v>
      </c>
      <c r="V348" s="167" t="s">
        <v>62</v>
      </c>
      <c r="W348" s="168">
        <v>10</v>
      </c>
      <c r="X348" s="106" t="s">
        <v>388</v>
      </c>
      <c r="Y348" s="167"/>
      <c r="Z348" s="169" t="s">
        <v>63</v>
      </c>
      <c r="AA348" s="166">
        <v>4</v>
      </c>
      <c r="AB348" s="166">
        <v>2</v>
      </c>
      <c r="AC348" s="165">
        <v>22.3</v>
      </c>
      <c r="AD348" s="165" t="s">
        <v>80</v>
      </c>
      <c r="AE348" s="165" t="s">
        <v>116</v>
      </c>
      <c r="AF348" s="165">
        <v>4</v>
      </c>
      <c r="AG348" s="165" t="s">
        <v>80</v>
      </c>
      <c r="AH348" s="165" t="s">
        <v>117</v>
      </c>
      <c r="AI348" s="165"/>
      <c r="AJ348" s="165"/>
      <c r="AK348" s="166">
        <v>66</v>
      </c>
      <c r="AL348" s="166" t="s">
        <v>81</v>
      </c>
      <c r="AM348" s="166" t="s">
        <v>116</v>
      </c>
      <c r="AN348" s="166">
        <v>9.1</v>
      </c>
      <c r="AO348" s="166" t="s">
        <v>81</v>
      </c>
      <c r="AP348" s="166" t="s">
        <v>117</v>
      </c>
      <c r="AQ348" s="166"/>
      <c r="AR348" s="166"/>
      <c r="AS348" s="165">
        <v>173.5</v>
      </c>
      <c r="AT348" s="165" t="s">
        <v>119</v>
      </c>
      <c r="AU348" s="165" t="s">
        <v>116</v>
      </c>
      <c r="AV348" s="165">
        <v>6.5</v>
      </c>
      <c r="AW348" s="165" t="s">
        <v>119</v>
      </c>
      <c r="AX348" s="165" t="s">
        <v>117</v>
      </c>
      <c r="AY348" s="165"/>
      <c r="AZ348" s="165"/>
      <c r="BA348" s="166"/>
      <c r="BB348" s="166"/>
      <c r="BC348" s="166"/>
      <c r="BD348" s="166"/>
      <c r="BE348" s="166"/>
      <c r="BF348" s="166"/>
      <c r="BG348" s="166"/>
      <c r="BH348" s="166"/>
      <c r="BI348" s="165"/>
      <c r="BJ348" s="165"/>
      <c r="BK348" s="165"/>
      <c r="BL348" s="165"/>
      <c r="BM348" s="165"/>
      <c r="BN348" s="165"/>
      <c r="BO348" s="165"/>
      <c r="BP348" s="165"/>
      <c r="BQ348" s="166"/>
      <c r="BR348" s="165"/>
    </row>
    <row r="349" spans="1:70" ht="12.75" hidden="1" customHeight="1" x14ac:dyDescent="0.2">
      <c r="A349" s="91">
        <v>544</v>
      </c>
      <c r="B349" s="233" t="s">
        <v>627</v>
      </c>
      <c r="C349" s="237" t="s">
        <v>628</v>
      </c>
      <c r="D349" s="233" t="s">
        <v>647</v>
      </c>
      <c r="E349" s="125" t="s">
        <v>149</v>
      </c>
      <c r="F349" s="181" t="s">
        <v>103</v>
      </c>
      <c r="G349" s="181" t="s">
        <v>56</v>
      </c>
      <c r="H349" s="181" t="s">
        <v>263</v>
      </c>
      <c r="I349" s="181" t="s">
        <v>579</v>
      </c>
      <c r="J349" s="178">
        <v>300</v>
      </c>
      <c r="K349" s="182"/>
      <c r="L349" s="182" t="s">
        <v>58</v>
      </c>
      <c r="M349" s="178" t="s">
        <v>78</v>
      </c>
      <c r="N349" s="178">
        <v>0</v>
      </c>
      <c r="O349" s="178" t="s">
        <v>60</v>
      </c>
      <c r="P349" s="178" t="s">
        <v>79</v>
      </c>
      <c r="Q349" s="179"/>
      <c r="R349" s="179" t="s">
        <v>630</v>
      </c>
      <c r="S349" s="180">
        <v>180</v>
      </c>
      <c r="T349" s="179"/>
      <c r="U349" s="179" t="s">
        <v>631</v>
      </c>
      <c r="V349" s="167" t="s">
        <v>62</v>
      </c>
      <c r="W349" s="168">
        <v>10</v>
      </c>
      <c r="X349" s="106" t="s">
        <v>388</v>
      </c>
      <c r="Y349" s="167"/>
      <c r="Z349" s="169" t="s">
        <v>63</v>
      </c>
      <c r="AA349" s="166">
        <v>4</v>
      </c>
      <c r="AB349" s="166">
        <v>2</v>
      </c>
      <c r="AC349" s="165">
        <v>24</v>
      </c>
      <c r="AD349" s="165" t="s">
        <v>80</v>
      </c>
      <c r="AE349" s="165" t="s">
        <v>116</v>
      </c>
      <c r="AF349" s="165">
        <v>5</v>
      </c>
      <c r="AG349" s="165" t="s">
        <v>80</v>
      </c>
      <c r="AH349" s="165" t="s">
        <v>117</v>
      </c>
      <c r="AI349" s="165"/>
      <c r="AJ349" s="165"/>
      <c r="AK349" s="166">
        <v>70.8</v>
      </c>
      <c r="AL349" s="166" t="s">
        <v>81</v>
      </c>
      <c r="AM349" s="166" t="s">
        <v>116</v>
      </c>
      <c r="AN349" s="166">
        <v>15.3</v>
      </c>
      <c r="AO349" s="166" t="s">
        <v>81</v>
      </c>
      <c r="AP349" s="166" t="s">
        <v>117</v>
      </c>
      <c r="AQ349" s="166"/>
      <c r="AR349" s="166"/>
      <c r="AS349" s="165">
        <v>174</v>
      </c>
      <c r="AT349" s="165" t="s">
        <v>119</v>
      </c>
      <c r="AU349" s="165" t="s">
        <v>116</v>
      </c>
      <c r="AV349" s="165">
        <v>9.5</v>
      </c>
      <c r="AW349" s="165" t="s">
        <v>119</v>
      </c>
      <c r="AX349" s="165" t="s">
        <v>117</v>
      </c>
      <c r="AY349" s="165"/>
      <c r="AZ349" s="165"/>
      <c r="BA349" s="166"/>
      <c r="BB349" s="166"/>
      <c r="BC349" s="166"/>
      <c r="BD349" s="166"/>
      <c r="BE349" s="166"/>
      <c r="BF349" s="166"/>
      <c r="BG349" s="166"/>
      <c r="BH349" s="166"/>
      <c r="BI349" s="165"/>
      <c r="BJ349" s="165"/>
      <c r="BK349" s="165"/>
      <c r="BL349" s="165"/>
      <c r="BM349" s="165"/>
      <c r="BN349" s="165"/>
      <c r="BO349" s="165"/>
      <c r="BP349" s="165"/>
      <c r="BQ349" s="166"/>
      <c r="BR349" s="165"/>
    </row>
    <row r="350" spans="1:70" ht="14.25" hidden="1" customHeight="1" x14ac:dyDescent="0.2">
      <c r="A350" s="91">
        <v>545</v>
      </c>
      <c r="B350" s="233" t="s">
        <v>648</v>
      </c>
      <c r="C350" s="240" t="s">
        <v>649</v>
      </c>
      <c r="D350" s="233" t="s">
        <v>650</v>
      </c>
      <c r="E350" s="125" t="s">
        <v>149</v>
      </c>
      <c r="F350" s="181" t="s">
        <v>103</v>
      </c>
      <c r="G350" s="181" t="s">
        <v>56</v>
      </c>
      <c r="H350" s="181" t="s">
        <v>57</v>
      </c>
      <c r="I350" s="181" t="s">
        <v>651</v>
      </c>
      <c r="J350" s="178">
        <v>200</v>
      </c>
      <c r="K350" s="182"/>
      <c r="L350" s="182" t="s">
        <v>58</v>
      </c>
      <c r="M350" s="178" t="s">
        <v>78</v>
      </c>
      <c r="N350" s="178" t="s">
        <v>652</v>
      </c>
      <c r="O350" s="178" t="s">
        <v>60</v>
      </c>
      <c r="P350" s="178" t="s">
        <v>653</v>
      </c>
      <c r="Q350" s="179"/>
      <c r="R350" s="179"/>
      <c r="S350" s="180">
        <v>60</v>
      </c>
      <c r="T350" s="179"/>
      <c r="U350" s="179"/>
      <c r="V350" s="167"/>
      <c r="W350" s="168"/>
      <c r="Y350" s="167"/>
      <c r="Z350" s="169" t="s">
        <v>63</v>
      </c>
      <c r="AA350" s="166">
        <v>29</v>
      </c>
      <c r="AB350" s="166"/>
      <c r="AC350" s="165"/>
      <c r="AD350" s="165"/>
      <c r="AE350" s="165"/>
      <c r="AF350" s="165"/>
      <c r="AG350" s="165"/>
      <c r="AH350" s="165"/>
      <c r="AI350" s="165"/>
      <c r="AJ350" s="165"/>
      <c r="AK350" s="166"/>
      <c r="AL350" s="166"/>
      <c r="AM350" s="166"/>
      <c r="AN350" s="166"/>
      <c r="AO350" s="166"/>
      <c r="AP350" s="166"/>
      <c r="AQ350" s="166"/>
      <c r="AR350" s="166"/>
      <c r="AS350" s="165"/>
      <c r="AT350" s="165"/>
      <c r="AU350" s="165"/>
      <c r="AV350" s="165"/>
      <c r="AW350" s="165"/>
      <c r="AX350" s="165"/>
      <c r="AY350" s="165"/>
      <c r="AZ350" s="165"/>
      <c r="BA350" s="166"/>
      <c r="BB350" s="166"/>
      <c r="BC350" s="166"/>
      <c r="BD350" s="166"/>
      <c r="BE350" s="166"/>
      <c r="BF350" s="166"/>
      <c r="BG350" s="166"/>
      <c r="BH350" s="166"/>
      <c r="BI350" s="165"/>
      <c r="BJ350" s="165"/>
      <c r="BK350" s="165"/>
      <c r="BL350" s="165"/>
      <c r="BM350" s="165"/>
      <c r="BN350" s="165"/>
      <c r="BO350" s="165"/>
      <c r="BP350" s="165"/>
      <c r="BQ350" s="166"/>
      <c r="BR350" s="165" t="s">
        <v>654</v>
      </c>
    </row>
    <row r="351" spans="1:70" ht="14.25" hidden="1" customHeight="1" x14ac:dyDescent="0.2">
      <c r="A351" s="91">
        <v>546</v>
      </c>
      <c r="B351" s="233" t="s">
        <v>648</v>
      </c>
      <c r="C351" s="240" t="s">
        <v>649</v>
      </c>
      <c r="D351" s="233" t="s">
        <v>650</v>
      </c>
      <c r="E351" s="125" t="s">
        <v>152</v>
      </c>
      <c r="F351" s="181" t="s">
        <v>103</v>
      </c>
      <c r="G351" s="181" t="s">
        <v>56</v>
      </c>
      <c r="H351" s="181" t="s">
        <v>66</v>
      </c>
      <c r="I351" s="181" t="s">
        <v>651</v>
      </c>
      <c r="J351" s="178">
        <v>200</v>
      </c>
      <c r="K351" s="182"/>
      <c r="L351" s="182" t="s">
        <v>58</v>
      </c>
      <c r="M351" s="178" t="s">
        <v>78</v>
      </c>
      <c r="N351" s="178" t="s">
        <v>652</v>
      </c>
      <c r="O351" s="178" t="s">
        <v>60</v>
      </c>
      <c r="P351" s="178" t="s">
        <v>653</v>
      </c>
      <c r="Q351" s="179"/>
      <c r="R351" s="179"/>
      <c r="S351" s="180">
        <v>60</v>
      </c>
      <c r="T351" s="179"/>
      <c r="U351" s="179"/>
      <c r="V351" s="167"/>
      <c r="W351" s="168"/>
      <c r="Y351" s="167"/>
      <c r="Z351" s="169" t="s">
        <v>63</v>
      </c>
      <c r="AA351" s="166">
        <v>29</v>
      </c>
      <c r="AB351" s="166"/>
      <c r="AC351" s="165"/>
      <c r="AD351" s="165"/>
      <c r="AE351" s="165"/>
      <c r="AF351" s="165"/>
      <c r="AG351" s="165"/>
      <c r="AH351" s="165"/>
      <c r="AI351" s="165"/>
      <c r="AJ351" s="165"/>
      <c r="AK351" s="166"/>
      <c r="AL351" s="166"/>
      <c r="AM351" s="166"/>
      <c r="AN351" s="166"/>
      <c r="AO351" s="166"/>
      <c r="AP351" s="166"/>
      <c r="AQ351" s="166"/>
      <c r="AR351" s="166"/>
      <c r="AS351" s="165"/>
      <c r="AT351" s="165"/>
      <c r="AU351" s="165"/>
      <c r="AV351" s="165"/>
      <c r="AW351" s="165"/>
      <c r="AX351" s="165"/>
      <c r="AY351" s="165"/>
      <c r="AZ351" s="165"/>
      <c r="BA351" s="166"/>
      <c r="BB351" s="166"/>
      <c r="BC351" s="166"/>
      <c r="BD351" s="166"/>
      <c r="BE351" s="166"/>
      <c r="BF351" s="166"/>
      <c r="BG351" s="166"/>
      <c r="BH351" s="166"/>
      <c r="BI351" s="165"/>
      <c r="BJ351" s="165"/>
      <c r="BK351" s="165"/>
      <c r="BL351" s="165"/>
      <c r="BM351" s="165"/>
      <c r="BN351" s="165"/>
      <c r="BO351" s="165"/>
      <c r="BP351" s="165"/>
      <c r="BQ351" s="166"/>
      <c r="BR351" s="165" t="s">
        <v>654</v>
      </c>
    </row>
    <row r="352" spans="1:70" ht="14.25" hidden="1" customHeight="1" x14ac:dyDescent="0.2">
      <c r="A352" s="91">
        <v>547</v>
      </c>
      <c r="B352" s="233" t="s">
        <v>655</v>
      </c>
      <c r="C352" s="240" t="s">
        <v>656</v>
      </c>
      <c r="D352" s="233" t="s">
        <v>13</v>
      </c>
      <c r="E352" s="125" t="s">
        <v>657</v>
      </c>
      <c r="F352" s="181" t="s">
        <v>103</v>
      </c>
      <c r="G352" s="181" t="s">
        <v>56</v>
      </c>
      <c r="H352" s="181" t="s">
        <v>157</v>
      </c>
      <c r="I352" s="181"/>
      <c r="J352" s="178">
        <v>250</v>
      </c>
      <c r="K352" s="182"/>
      <c r="L352" s="182" t="s">
        <v>58</v>
      </c>
      <c r="M352" s="178" t="s">
        <v>59</v>
      </c>
      <c r="N352" s="178">
        <v>0</v>
      </c>
      <c r="O352" s="178" t="s">
        <v>60</v>
      </c>
      <c r="P352" s="178" t="s">
        <v>79</v>
      </c>
      <c r="Q352" s="179"/>
      <c r="R352" s="179" t="s">
        <v>658</v>
      </c>
      <c r="S352" s="180"/>
      <c r="T352" s="179"/>
      <c r="U352" s="179"/>
      <c r="V352" s="167" t="s">
        <v>62</v>
      </c>
      <c r="W352" s="168">
        <v>12</v>
      </c>
      <c r="Y352" s="167"/>
      <c r="Z352" s="169" t="s">
        <v>63</v>
      </c>
      <c r="AA352" s="166">
        <v>12</v>
      </c>
      <c r="AB352" s="166"/>
      <c r="AC352" s="165"/>
      <c r="AD352" s="165"/>
      <c r="AE352" s="165"/>
      <c r="AF352" s="165"/>
      <c r="AG352" s="165"/>
      <c r="AH352" s="165"/>
      <c r="AI352" s="165"/>
      <c r="AJ352" s="165"/>
      <c r="AK352" s="166"/>
      <c r="AL352" s="166"/>
      <c r="AM352" s="166"/>
      <c r="AN352" s="166"/>
      <c r="AO352" s="166"/>
      <c r="AP352" s="166"/>
      <c r="AQ352" s="166"/>
      <c r="AR352" s="166"/>
      <c r="AS352" s="165"/>
      <c r="AT352" s="165"/>
      <c r="AU352" s="165"/>
      <c r="AV352" s="165"/>
      <c r="AW352" s="165"/>
      <c r="AX352" s="165"/>
      <c r="AY352" s="165"/>
      <c r="AZ352" s="165"/>
      <c r="BA352" s="166"/>
      <c r="BB352" s="166"/>
      <c r="BC352" s="166"/>
      <c r="BD352" s="166"/>
      <c r="BE352" s="166"/>
      <c r="BF352" s="166"/>
      <c r="BG352" s="166"/>
      <c r="BH352" s="166"/>
      <c r="BI352" s="165"/>
      <c r="BJ352" s="165"/>
      <c r="BK352" s="165"/>
      <c r="BL352" s="165"/>
      <c r="BM352" s="165"/>
      <c r="BN352" s="165"/>
      <c r="BO352" s="165"/>
      <c r="BP352" s="165"/>
      <c r="BQ352" s="166"/>
      <c r="BR352" s="165"/>
    </row>
    <row r="353" spans="1:72" ht="14.25" hidden="1" customHeight="1" x14ac:dyDescent="0.2">
      <c r="A353" s="91">
        <v>548</v>
      </c>
      <c r="B353" s="233" t="s">
        <v>659</v>
      </c>
      <c r="C353" s="240" t="s">
        <v>660</v>
      </c>
      <c r="D353" s="233" t="s">
        <v>13</v>
      </c>
      <c r="E353" s="125" t="s">
        <v>657</v>
      </c>
      <c r="F353" s="181" t="s">
        <v>103</v>
      </c>
      <c r="G353" s="181" t="s">
        <v>56</v>
      </c>
      <c r="H353" s="181" t="s">
        <v>157</v>
      </c>
      <c r="I353" s="181"/>
      <c r="J353" s="178">
        <v>250</v>
      </c>
      <c r="K353" s="182"/>
      <c r="L353" s="182" t="s">
        <v>58</v>
      </c>
      <c r="M353" s="178" t="s">
        <v>59</v>
      </c>
      <c r="N353" s="178">
        <v>0</v>
      </c>
      <c r="O353" s="178" t="s">
        <v>60</v>
      </c>
      <c r="P353" s="178" t="s">
        <v>79</v>
      </c>
      <c r="Q353" s="179"/>
      <c r="R353" s="179" t="s">
        <v>150</v>
      </c>
      <c r="S353" s="180"/>
      <c r="T353" s="179"/>
      <c r="U353" s="179"/>
      <c r="V353" s="167" t="s">
        <v>62</v>
      </c>
      <c r="W353" s="168"/>
      <c r="Y353" s="167"/>
      <c r="Z353" s="169" t="s">
        <v>63</v>
      </c>
      <c r="AA353" s="166">
        <v>12</v>
      </c>
      <c r="AB353" s="166">
        <v>0</v>
      </c>
      <c r="AC353" s="165"/>
      <c r="AD353" s="165"/>
      <c r="AE353" s="165"/>
      <c r="AF353" s="165"/>
      <c r="AG353" s="165"/>
      <c r="AH353" s="165"/>
      <c r="AI353" s="165"/>
      <c r="AJ353" s="165"/>
      <c r="AK353" s="166"/>
      <c r="AL353" s="166"/>
      <c r="AM353" s="166"/>
      <c r="AN353" s="166"/>
      <c r="AO353" s="166"/>
      <c r="AP353" s="166"/>
      <c r="AQ353" s="166"/>
      <c r="AR353" s="166"/>
      <c r="AS353" s="165"/>
      <c r="AT353" s="165"/>
      <c r="AU353" s="165"/>
      <c r="AV353" s="165"/>
      <c r="AW353" s="165"/>
      <c r="AX353" s="165"/>
      <c r="AY353" s="165"/>
      <c r="AZ353" s="165"/>
      <c r="BA353" s="166"/>
      <c r="BB353" s="166"/>
      <c r="BC353" s="166"/>
      <c r="BD353" s="166"/>
      <c r="BE353" s="166"/>
      <c r="BF353" s="166"/>
      <c r="BG353" s="166"/>
      <c r="BH353" s="166"/>
      <c r="BI353" s="165"/>
      <c r="BJ353" s="165"/>
      <c r="BK353" s="165"/>
      <c r="BL353" s="165"/>
      <c r="BM353" s="165"/>
      <c r="BN353" s="165"/>
      <c r="BO353" s="165"/>
      <c r="BP353" s="165"/>
      <c r="BQ353" s="166"/>
      <c r="BR353" s="165"/>
      <c r="BS353" s="124"/>
      <c r="BT353" s="124"/>
    </row>
    <row r="354" spans="1:72" s="124" customFormat="1" ht="14.25" hidden="1" customHeight="1" x14ac:dyDescent="0.2">
      <c r="A354" s="205">
        <v>5</v>
      </c>
      <c r="B354" s="235" t="s">
        <v>661</v>
      </c>
      <c r="C354" s="236" t="s">
        <v>662</v>
      </c>
      <c r="D354" s="235" t="s">
        <v>663</v>
      </c>
      <c r="E354" s="125" t="s">
        <v>54</v>
      </c>
      <c r="F354" s="181" t="s">
        <v>55</v>
      </c>
      <c r="G354" s="181" t="s">
        <v>56</v>
      </c>
      <c r="H354" s="181" t="s">
        <v>57</v>
      </c>
      <c r="I354" s="181"/>
      <c r="J354" s="178">
        <v>600</v>
      </c>
      <c r="K354" s="182"/>
      <c r="L354" s="182" t="s">
        <v>58</v>
      </c>
      <c r="M354" s="178" t="s">
        <v>59</v>
      </c>
      <c r="N354" s="178">
        <v>0</v>
      </c>
      <c r="O354" s="178" t="s">
        <v>60</v>
      </c>
      <c r="P354" s="178" t="s">
        <v>79</v>
      </c>
      <c r="Q354" s="179"/>
      <c r="R354" s="179" t="s">
        <v>664</v>
      </c>
      <c r="S354" s="180"/>
      <c r="T354" s="179"/>
      <c r="U354" s="179"/>
      <c r="V354" s="167" t="s">
        <v>62</v>
      </c>
      <c r="W354" s="168"/>
      <c r="X354" s="168">
        <v>2</v>
      </c>
      <c r="Y354" s="167" t="s">
        <v>665</v>
      </c>
      <c r="Z354" s="169" t="s">
        <v>63</v>
      </c>
      <c r="AA354" s="166">
        <v>6</v>
      </c>
      <c r="AB354" s="166">
        <v>0</v>
      </c>
      <c r="AC354" s="165"/>
      <c r="AD354" s="165"/>
      <c r="AE354" s="165"/>
      <c r="AF354" s="165"/>
      <c r="AG354" s="165"/>
      <c r="AH354" s="165"/>
      <c r="AI354" s="165"/>
      <c r="AJ354" s="165"/>
      <c r="AK354" s="166"/>
      <c r="AL354" s="166"/>
      <c r="AM354" s="166"/>
      <c r="AN354" s="166"/>
      <c r="AO354" s="166"/>
      <c r="AP354" s="166"/>
      <c r="AQ354" s="166"/>
      <c r="AR354" s="166"/>
      <c r="AS354" s="165"/>
      <c r="AT354" s="165"/>
      <c r="AU354" s="165"/>
      <c r="AV354" s="165"/>
      <c r="AW354" s="165"/>
      <c r="AX354" s="165"/>
      <c r="AY354" s="165"/>
      <c r="AZ354" s="165"/>
      <c r="BA354" s="166"/>
      <c r="BB354" s="166"/>
      <c r="BC354" s="166"/>
      <c r="BD354" s="166"/>
      <c r="BE354" s="166"/>
      <c r="BF354" s="166"/>
      <c r="BG354" s="166"/>
      <c r="BH354" s="166"/>
      <c r="BI354" s="165"/>
      <c r="BJ354" s="165"/>
      <c r="BK354" s="165"/>
      <c r="BL354" s="165"/>
      <c r="BM354" s="165"/>
      <c r="BN354" s="165"/>
      <c r="BO354" s="165"/>
      <c r="BP354" s="165"/>
      <c r="BQ354" s="166" t="s">
        <v>666</v>
      </c>
      <c r="BR354" s="165" t="s">
        <v>667</v>
      </c>
      <c r="BS354" s="124">
        <v>5</v>
      </c>
      <c r="BT354" s="124" t="s">
        <v>668</v>
      </c>
    </row>
    <row r="355" spans="1:72" s="124" customFormat="1" ht="12.75" hidden="1" customHeight="1" x14ac:dyDescent="0.2">
      <c r="A355" s="205">
        <v>6</v>
      </c>
      <c r="B355" s="235" t="s">
        <v>661</v>
      </c>
      <c r="C355" s="236" t="s">
        <v>662</v>
      </c>
      <c r="D355" s="235" t="s">
        <v>669</v>
      </c>
      <c r="E355" s="125" t="s">
        <v>54</v>
      </c>
      <c r="F355" s="181" t="s">
        <v>55</v>
      </c>
      <c r="G355" s="181" t="s">
        <v>56</v>
      </c>
      <c r="H355" s="181" t="s">
        <v>57</v>
      </c>
      <c r="I355" s="181"/>
      <c r="J355" s="178">
        <v>600</v>
      </c>
      <c r="K355" s="182"/>
      <c r="L355" s="182" t="s">
        <v>58</v>
      </c>
      <c r="M355" s="178" t="s">
        <v>59</v>
      </c>
      <c r="N355" s="178">
        <v>0</v>
      </c>
      <c r="O355" s="178" t="s">
        <v>60</v>
      </c>
      <c r="P355" s="178" t="s">
        <v>79</v>
      </c>
      <c r="Q355" s="179"/>
      <c r="R355" s="179" t="s">
        <v>664</v>
      </c>
      <c r="S355" s="180"/>
      <c r="T355" s="179"/>
      <c r="U355" s="179"/>
      <c r="V355" s="167" t="s">
        <v>62</v>
      </c>
      <c r="W355" s="168"/>
      <c r="X355" s="168">
        <v>2</v>
      </c>
      <c r="Y355" s="167" t="s">
        <v>665</v>
      </c>
      <c r="Z355" s="169" t="s">
        <v>63</v>
      </c>
      <c r="AA355" s="166">
        <v>7</v>
      </c>
      <c r="AB355" s="166">
        <v>0</v>
      </c>
      <c r="AC355" s="165"/>
      <c r="AD355" s="165"/>
      <c r="AE355" s="165"/>
      <c r="AF355" s="165"/>
      <c r="AG355" s="165"/>
      <c r="AH355" s="165"/>
      <c r="AI355" s="165"/>
      <c r="AJ355" s="165"/>
      <c r="AK355" s="166"/>
      <c r="AL355" s="166"/>
      <c r="AM355" s="166"/>
      <c r="AN355" s="166"/>
      <c r="AO355" s="166"/>
      <c r="AP355" s="166"/>
      <c r="AQ355" s="166"/>
      <c r="AR355" s="166"/>
      <c r="AS355" s="165"/>
      <c r="AT355" s="165"/>
      <c r="AU355" s="165"/>
      <c r="AV355" s="165"/>
      <c r="AW355" s="165"/>
      <c r="AX355" s="165"/>
      <c r="AY355" s="165"/>
      <c r="AZ355" s="165"/>
      <c r="BA355" s="166"/>
      <c r="BB355" s="166"/>
      <c r="BC355" s="166"/>
      <c r="BD355" s="166"/>
      <c r="BE355" s="166"/>
      <c r="BF355" s="166"/>
      <c r="BG355" s="166"/>
      <c r="BH355" s="166"/>
      <c r="BI355" s="165"/>
      <c r="BJ355" s="165"/>
      <c r="BK355" s="165"/>
      <c r="BL355" s="165"/>
      <c r="BM355" s="165"/>
      <c r="BN355" s="165"/>
      <c r="BO355" s="165"/>
      <c r="BP355" s="165"/>
      <c r="BQ355" s="166" t="s">
        <v>666</v>
      </c>
      <c r="BR355" s="165" t="s">
        <v>667</v>
      </c>
      <c r="BS355" s="124">
        <v>6</v>
      </c>
      <c r="BT355" s="124" t="s">
        <v>668</v>
      </c>
    </row>
    <row r="356" spans="1:72" s="124" customFormat="1" ht="14.25" hidden="1" customHeight="1" x14ac:dyDescent="0.2">
      <c r="A356" s="205">
        <v>7</v>
      </c>
      <c r="B356" s="235" t="s">
        <v>661</v>
      </c>
      <c r="C356" s="236" t="s">
        <v>662</v>
      </c>
      <c r="D356" s="235" t="s">
        <v>663</v>
      </c>
      <c r="E356" s="125" t="s">
        <v>54</v>
      </c>
      <c r="F356" s="181" t="s">
        <v>71</v>
      </c>
      <c r="G356" s="181" t="s">
        <v>56</v>
      </c>
      <c r="H356" s="181" t="s">
        <v>670</v>
      </c>
      <c r="I356" s="181"/>
      <c r="J356" s="178">
        <v>600</v>
      </c>
      <c r="K356" s="182"/>
      <c r="L356" s="182" t="s">
        <v>58</v>
      </c>
      <c r="M356" s="178" t="s">
        <v>59</v>
      </c>
      <c r="N356" s="178">
        <v>0</v>
      </c>
      <c r="O356" s="178" t="s">
        <v>60</v>
      </c>
      <c r="P356" s="178" t="s">
        <v>79</v>
      </c>
      <c r="Q356" s="179"/>
      <c r="R356" s="179" t="s">
        <v>664</v>
      </c>
      <c r="S356" s="180"/>
      <c r="T356" s="179"/>
      <c r="U356" s="179"/>
      <c r="V356" s="167" t="s">
        <v>62</v>
      </c>
      <c r="W356" s="168"/>
      <c r="X356" s="168">
        <v>2</v>
      </c>
      <c r="Y356" s="167" t="s">
        <v>665</v>
      </c>
      <c r="Z356" s="169" t="s">
        <v>63</v>
      </c>
      <c r="AA356" s="166">
        <v>6</v>
      </c>
      <c r="AB356" s="166">
        <v>0</v>
      </c>
      <c r="AC356" s="165"/>
      <c r="AD356" s="165"/>
      <c r="AE356" s="165"/>
      <c r="AF356" s="165"/>
      <c r="AG356" s="165"/>
      <c r="AH356" s="165"/>
      <c r="AI356" s="165"/>
      <c r="AJ356" s="165"/>
      <c r="AK356" s="166"/>
      <c r="AL356" s="166"/>
      <c r="AM356" s="166"/>
      <c r="AN356" s="166"/>
      <c r="AO356" s="166"/>
      <c r="AP356" s="166"/>
      <c r="AQ356" s="166"/>
      <c r="AR356" s="166"/>
      <c r="AS356" s="165"/>
      <c r="AT356" s="165"/>
      <c r="AU356" s="165"/>
      <c r="AV356" s="165"/>
      <c r="AW356" s="165"/>
      <c r="AX356" s="165"/>
      <c r="AY356" s="165"/>
      <c r="AZ356" s="165"/>
      <c r="BA356" s="166"/>
      <c r="BB356" s="166"/>
      <c r="BC356" s="166"/>
      <c r="BD356" s="166"/>
      <c r="BE356" s="166"/>
      <c r="BF356" s="166"/>
      <c r="BG356" s="166"/>
      <c r="BH356" s="166"/>
      <c r="BI356" s="165"/>
      <c r="BJ356" s="165"/>
      <c r="BK356" s="165"/>
      <c r="BL356" s="165"/>
      <c r="BM356" s="165"/>
      <c r="BN356" s="165"/>
      <c r="BO356" s="165"/>
      <c r="BP356" s="165"/>
      <c r="BQ356" s="166" t="s">
        <v>666</v>
      </c>
      <c r="BR356" s="165" t="s">
        <v>667</v>
      </c>
      <c r="BS356" s="124">
        <v>7</v>
      </c>
      <c r="BT356" s="124" t="s">
        <v>668</v>
      </c>
    </row>
    <row r="357" spans="1:72" s="124" customFormat="1" ht="12.75" hidden="1" customHeight="1" x14ac:dyDescent="0.2">
      <c r="A357" s="205">
        <v>8</v>
      </c>
      <c r="B357" s="235" t="s">
        <v>661</v>
      </c>
      <c r="C357" s="236" t="s">
        <v>662</v>
      </c>
      <c r="D357" s="235" t="s">
        <v>669</v>
      </c>
      <c r="E357" s="125" t="s">
        <v>54</v>
      </c>
      <c r="F357" s="181" t="s">
        <v>71</v>
      </c>
      <c r="G357" s="181" t="s">
        <v>56</v>
      </c>
      <c r="H357" s="181" t="s">
        <v>670</v>
      </c>
      <c r="I357" s="181"/>
      <c r="J357" s="178">
        <v>600</v>
      </c>
      <c r="K357" s="182"/>
      <c r="L357" s="182" t="s">
        <v>58</v>
      </c>
      <c r="M357" s="178" t="s">
        <v>59</v>
      </c>
      <c r="N357" s="178">
        <v>0</v>
      </c>
      <c r="O357" s="178" t="s">
        <v>60</v>
      </c>
      <c r="P357" s="178" t="s">
        <v>79</v>
      </c>
      <c r="Q357" s="179"/>
      <c r="R357" s="179" t="s">
        <v>664</v>
      </c>
      <c r="S357" s="180"/>
      <c r="T357" s="179"/>
      <c r="U357" s="179"/>
      <c r="V357" s="167" t="s">
        <v>62</v>
      </c>
      <c r="W357" s="168"/>
      <c r="X357" s="168">
        <v>2</v>
      </c>
      <c r="Y357" s="167" t="s">
        <v>665</v>
      </c>
      <c r="Z357" s="169" t="s">
        <v>63</v>
      </c>
      <c r="AA357" s="166">
        <v>7</v>
      </c>
      <c r="AB357" s="166">
        <v>0</v>
      </c>
      <c r="AC357" s="165"/>
      <c r="AD357" s="165"/>
      <c r="AE357" s="165"/>
      <c r="AF357" s="165"/>
      <c r="AG357" s="165"/>
      <c r="AH357" s="165"/>
      <c r="AI357" s="165"/>
      <c r="AJ357" s="165"/>
      <c r="AK357" s="166"/>
      <c r="AL357" s="166"/>
      <c r="AM357" s="166"/>
      <c r="AN357" s="166"/>
      <c r="AO357" s="166"/>
      <c r="AP357" s="166"/>
      <c r="AQ357" s="166"/>
      <c r="AR357" s="166"/>
      <c r="AS357" s="165"/>
      <c r="AT357" s="165"/>
      <c r="AU357" s="165"/>
      <c r="AV357" s="165"/>
      <c r="AW357" s="165"/>
      <c r="AX357" s="165"/>
      <c r="AY357" s="165"/>
      <c r="AZ357" s="165"/>
      <c r="BA357" s="166"/>
      <c r="BB357" s="166"/>
      <c r="BC357" s="166"/>
      <c r="BD357" s="166"/>
      <c r="BE357" s="166"/>
      <c r="BF357" s="166"/>
      <c r="BG357" s="166"/>
      <c r="BH357" s="166"/>
      <c r="BI357" s="165"/>
      <c r="BJ357" s="165"/>
      <c r="BK357" s="165"/>
      <c r="BL357" s="165"/>
      <c r="BM357" s="165"/>
      <c r="BN357" s="165"/>
      <c r="BO357" s="165"/>
      <c r="BP357" s="165"/>
      <c r="BQ357" s="166" t="s">
        <v>666</v>
      </c>
      <c r="BR357" s="165" t="s">
        <v>667</v>
      </c>
      <c r="BS357" s="124">
        <v>8</v>
      </c>
      <c r="BT357" s="124" t="s">
        <v>668</v>
      </c>
    </row>
    <row r="358" spans="1:72" s="124" customFormat="1" ht="14.25" hidden="1" customHeight="1" x14ac:dyDescent="0.2">
      <c r="A358" s="205">
        <v>30</v>
      </c>
      <c r="B358" s="235" t="s">
        <v>671</v>
      </c>
      <c r="C358" s="236" t="s">
        <v>672</v>
      </c>
      <c r="D358" s="235" t="s">
        <v>673</v>
      </c>
      <c r="E358" s="125" t="s">
        <v>54</v>
      </c>
      <c r="F358" s="181" t="s">
        <v>55</v>
      </c>
      <c r="G358" s="181" t="s">
        <v>76</v>
      </c>
      <c r="H358" s="181" t="s">
        <v>453</v>
      </c>
      <c r="I358" s="181"/>
      <c r="J358" s="178">
        <v>600</v>
      </c>
      <c r="K358" s="182"/>
      <c r="L358" s="182" t="s">
        <v>58</v>
      </c>
      <c r="M358" s="178" t="s">
        <v>78</v>
      </c>
      <c r="N358" s="178">
        <v>0</v>
      </c>
      <c r="O358" s="178" t="s">
        <v>60</v>
      </c>
      <c r="P358" s="178"/>
      <c r="Q358" s="179"/>
      <c r="R358" s="179" t="s">
        <v>674</v>
      </c>
      <c r="S358" s="180">
        <v>180</v>
      </c>
      <c r="T358" s="179"/>
      <c r="U358" s="179"/>
      <c r="V358" s="167"/>
      <c r="W358" s="168"/>
      <c r="X358" s="168"/>
      <c r="Y358" s="167"/>
      <c r="Z358" s="169" t="s">
        <v>63</v>
      </c>
      <c r="AA358" s="166">
        <v>1</v>
      </c>
      <c r="AB358" s="166">
        <v>0</v>
      </c>
      <c r="AC358" s="165"/>
      <c r="AD358" s="165"/>
      <c r="AE358" s="165"/>
      <c r="AF358" s="165"/>
      <c r="AG358" s="165"/>
      <c r="AH358" s="165"/>
      <c r="AI358" s="165"/>
      <c r="AJ358" s="165"/>
      <c r="AK358" s="166"/>
      <c r="AL358" s="166"/>
      <c r="AM358" s="166"/>
      <c r="AN358" s="166"/>
      <c r="AO358" s="166"/>
      <c r="AP358" s="166"/>
      <c r="AQ358" s="166"/>
      <c r="AR358" s="166"/>
      <c r="AS358" s="165"/>
      <c r="AT358" s="165"/>
      <c r="AU358" s="165"/>
      <c r="AV358" s="165"/>
      <c r="AW358" s="165"/>
      <c r="AX358" s="165"/>
      <c r="AY358" s="165"/>
      <c r="AZ358" s="165"/>
      <c r="BA358" s="166"/>
      <c r="BB358" s="166"/>
      <c r="BC358" s="166"/>
      <c r="BD358" s="166"/>
      <c r="BE358" s="166"/>
      <c r="BF358" s="166"/>
      <c r="BG358" s="166"/>
      <c r="BH358" s="166"/>
      <c r="BI358" s="165"/>
      <c r="BJ358" s="165"/>
      <c r="BK358" s="165"/>
      <c r="BL358" s="165"/>
      <c r="BM358" s="165"/>
      <c r="BN358" s="165"/>
      <c r="BO358" s="165"/>
      <c r="BP358" s="165"/>
      <c r="BQ358" s="166" t="s">
        <v>666</v>
      </c>
      <c r="BR358" s="165" t="s">
        <v>675</v>
      </c>
      <c r="BS358" s="124">
        <v>30</v>
      </c>
      <c r="BT358" s="124" t="s">
        <v>668</v>
      </c>
    </row>
    <row r="359" spans="1:72" s="124" customFormat="1" ht="14.25" hidden="1" customHeight="1" x14ac:dyDescent="0.2">
      <c r="A359" s="205">
        <v>31</v>
      </c>
      <c r="B359" s="235" t="s">
        <v>671</v>
      </c>
      <c r="C359" s="236" t="s">
        <v>672</v>
      </c>
      <c r="D359" s="235" t="s">
        <v>676</v>
      </c>
      <c r="E359" s="125" t="s">
        <v>54</v>
      </c>
      <c r="F359" s="181" t="s">
        <v>55</v>
      </c>
      <c r="G359" s="181" t="s">
        <v>76</v>
      </c>
      <c r="H359" s="181" t="s">
        <v>453</v>
      </c>
      <c r="I359" s="181"/>
      <c r="J359" s="178">
        <v>600</v>
      </c>
      <c r="K359" s="182"/>
      <c r="L359" s="182" t="s">
        <v>58</v>
      </c>
      <c r="M359" s="178" t="s">
        <v>78</v>
      </c>
      <c r="N359" s="178">
        <v>0</v>
      </c>
      <c r="O359" s="178" t="s">
        <v>60</v>
      </c>
      <c r="P359" s="178"/>
      <c r="Q359" s="179"/>
      <c r="R359" s="179" t="s">
        <v>674</v>
      </c>
      <c r="S359" s="180">
        <v>180</v>
      </c>
      <c r="T359" s="179"/>
      <c r="U359" s="179"/>
      <c r="V359" s="167"/>
      <c r="W359" s="168"/>
      <c r="X359" s="168"/>
      <c r="Y359" s="167"/>
      <c r="Z359" s="169" t="s">
        <v>63</v>
      </c>
      <c r="AA359" s="166">
        <v>1</v>
      </c>
      <c r="AB359" s="166">
        <v>0</v>
      </c>
      <c r="AC359" s="165"/>
      <c r="AD359" s="165"/>
      <c r="AE359" s="165"/>
      <c r="AF359" s="165"/>
      <c r="AG359" s="165"/>
      <c r="AH359" s="165"/>
      <c r="AI359" s="165"/>
      <c r="AJ359" s="165"/>
      <c r="AK359" s="166"/>
      <c r="AL359" s="166"/>
      <c r="AM359" s="166"/>
      <c r="AN359" s="166"/>
      <c r="AO359" s="166"/>
      <c r="AP359" s="166"/>
      <c r="AQ359" s="166"/>
      <c r="AR359" s="166"/>
      <c r="AS359" s="165"/>
      <c r="AT359" s="165"/>
      <c r="AU359" s="165"/>
      <c r="AV359" s="165"/>
      <c r="AW359" s="165"/>
      <c r="AX359" s="165"/>
      <c r="AY359" s="165"/>
      <c r="AZ359" s="165"/>
      <c r="BA359" s="166"/>
      <c r="BB359" s="166"/>
      <c r="BC359" s="166"/>
      <c r="BD359" s="166"/>
      <c r="BE359" s="166"/>
      <c r="BF359" s="166"/>
      <c r="BG359" s="166"/>
      <c r="BH359" s="166"/>
      <c r="BI359" s="165"/>
      <c r="BJ359" s="165"/>
      <c r="BK359" s="165"/>
      <c r="BL359" s="165"/>
      <c r="BM359" s="165"/>
      <c r="BN359" s="165"/>
      <c r="BO359" s="165"/>
      <c r="BP359" s="165"/>
      <c r="BQ359" s="166" t="s">
        <v>666</v>
      </c>
      <c r="BR359" s="165" t="s">
        <v>675</v>
      </c>
      <c r="BS359" s="124">
        <v>31</v>
      </c>
      <c r="BT359" s="124" t="s">
        <v>668</v>
      </c>
    </row>
    <row r="360" spans="1:72" s="124" customFormat="1" ht="14.25" hidden="1" customHeight="1" x14ac:dyDescent="0.2">
      <c r="A360" s="205">
        <v>32</v>
      </c>
      <c r="B360" s="235" t="s">
        <v>671</v>
      </c>
      <c r="C360" s="236" t="s">
        <v>672</v>
      </c>
      <c r="D360" s="235" t="s">
        <v>677</v>
      </c>
      <c r="E360" s="125" t="s">
        <v>54</v>
      </c>
      <c r="F360" s="181" t="s">
        <v>55</v>
      </c>
      <c r="G360" s="181" t="s">
        <v>76</v>
      </c>
      <c r="H360" s="181" t="s">
        <v>453</v>
      </c>
      <c r="I360" s="181"/>
      <c r="J360" s="178">
        <v>600</v>
      </c>
      <c r="K360" s="182"/>
      <c r="L360" s="182" t="s">
        <v>58</v>
      </c>
      <c r="M360" s="178" t="s">
        <v>78</v>
      </c>
      <c r="N360" s="178">
        <v>0</v>
      </c>
      <c r="O360" s="178" t="s">
        <v>60</v>
      </c>
      <c r="P360" s="178"/>
      <c r="Q360" s="179"/>
      <c r="R360" s="179" t="s">
        <v>674</v>
      </c>
      <c r="S360" s="180">
        <v>120</v>
      </c>
      <c r="T360" s="179"/>
      <c r="U360" s="179"/>
      <c r="V360" s="167"/>
      <c r="W360" s="168"/>
      <c r="X360" s="168"/>
      <c r="Y360" s="167"/>
      <c r="Z360" s="169" t="s">
        <v>63</v>
      </c>
      <c r="AA360" s="166">
        <v>1</v>
      </c>
      <c r="AB360" s="166">
        <v>0</v>
      </c>
      <c r="AC360" s="165"/>
      <c r="AD360" s="165"/>
      <c r="AE360" s="165"/>
      <c r="AF360" s="165"/>
      <c r="AG360" s="165"/>
      <c r="AH360" s="165"/>
      <c r="AI360" s="165"/>
      <c r="AJ360" s="165"/>
      <c r="AK360" s="166"/>
      <c r="AL360" s="166"/>
      <c r="AM360" s="166"/>
      <c r="AN360" s="166"/>
      <c r="AO360" s="166"/>
      <c r="AP360" s="166"/>
      <c r="AQ360" s="166"/>
      <c r="AR360" s="166"/>
      <c r="AS360" s="165"/>
      <c r="AT360" s="165"/>
      <c r="AU360" s="165"/>
      <c r="AV360" s="165"/>
      <c r="AW360" s="165"/>
      <c r="AX360" s="165"/>
      <c r="AY360" s="165"/>
      <c r="AZ360" s="165"/>
      <c r="BA360" s="166"/>
      <c r="BB360" s="166"/>
      <c r="BC360" s="166"/>
      <c r="BD360" s="166"/>
      <c r="BE360" s="166"/>
      <c r="BF360" s="166"/>
      <c r="BG360" s="166"/>
      <c r="BH360" s="166"/>
      <c r="BI360" s="165"/>
      <c r="BJ360" s="165"/>
      <c r="BK360" s="165"/>
      <c r="BL360" s="165"/>
      <c r="BM360" s="165"/>
      <c r="BN360" s="165"/>
      <c r="BO360" s="165"/>
      <c r="BP360" s="165"/>
      <c r="BQ360" s="166" t="s">
        <v>666</v>
      </c>
      <c r="BR360" s="165" t="s">
        <v>675</v>
      </c>
      <c r="BS360" s="124">
        <v>32</v>
      </c>
      <c r="BT360" s="124" t="s">
        <v>668</v>
      </c>
    </row>
    <row r="361" spans="1:72" s="124" customFormat="1" ht="14.25" hidden="1" customHeight="1" x14ac:dyDescent="0.2">
      <c r="A361" s="205">
        <v>33</v>
      </c>
      <c r="B361" s="235" t="s">
        <v>671</v>
      </c>
      <c r="C361" s="236" t="s">
        <v>672</v>
      </c>
      <c r="D361" s="235" t="s">
        <v>678</v>
      </c>
      <c r="E361" s="125" t="s">
        <v>54</v>
      </c>
      <c r="F361" s="181" t="s">
        <v>55</v>
      </c>
      <c r="G361" s="181" t="s">
        <v>76</v>
      </c>
      <c r="H361" s="181" t="s">
        <v>453</v>
      </c>
      <c r="I361" s="181"/>
      <c r="J361" s="178">
        <v>600</v>
      </c>
      <c r="K361" s="182"/>
      <c r="L361" s="182" t="s">
        <v>58</v>
      </c>
      <c r="M361" s="178" t="s">
        <v>78</v>
      </c>
      <c r="N361" s="178">
        <v>0</v>
      </c>
      <c r="O361" s="178" t="s">
        <v>60</v>
      </c>
      <c r="P361" s="178"/>
      <c r="Q361" s="179"/>
      <c r="R361" s="179" t="s">
        <v>674</v>
      </c>
      <c r="S361" s="180">
        <v>120</v>
      </c>
      <c r="T361" s="179"/>
      <c r="U361" s="179"/>
      <c r="V361" s="167"/>
      <c r="W361" s="168"/>
      <c r="X361" s="168"/>
      <c r="Y361" s="167"/>
      <c r="Z361" s="169" t="s">
        <v>63</v>
      </c>
      <c r="AA361" s="166">
        <v>1</v>
      </c>
      <c r="AB361" s="166">
        <v>0</v>
      </c>
      <c r="AC361" s="165"/>
      <c r="AD361" s="165"/>
      <c r="AE361" s="165"/>
      <c r="AF361" s="165"/>
      <c r="AG361" s="165"/>
      <c r="AH361" s="165"/>
      <c r="AI361" s="165"/>
      <c r="AJ361" s="165"/>
      <c r="AK361" s="166"/>
      <c r="AL361" s="166"/>
      <c r="AM361" s="166"/>
      <c r="AN361" s="166"/>
      <c r="AO361" s="166"/>
      <c r="AP361" s="166"/>
      <c r="AQ361" s="166"/>
      <c r="AR361" s="166"/>
      <c r="AS361" s="165"/>
      <c r="AT361" s="165"/>
      <c r="AU361" s="165"/>
      <c r="AV361" s="165"/>
      <c r="AW361" s="165"/>
      <c r="AX361" s="165"/>
      <c r="AY361" s="165"/>
      <c r="AZ361" s="165"/>
      <c r="BA361" s="166"/>
      <c r="BB361" s="166"/>
      <c r="BC361" s="166"/>
      <c r="BD361" s="166"/>
      <c r="BE361" s="166"/>
      <c r="BF361" s="166"/>
      <c r="BG361" s="166"/>
      <c r="BH361" s="166"/>
      <c r="BI361" s="165"/>
      <c r="BJ361" s="165"/>
      <c r="BK361" s="165"/>
      <c r="BL361" s="165"/>
      <c r="BM361" s="165"/>
      <c r="BN361" s="165"/>
      <c r="BO361" s="165"/>
      <c r="BP361" s="165"/>
      <c r="BQ361" s="166" t="s">
        <v>666</v>
      </c>
      <c r="BR361" s="165" t="s">
        <v>675</v>
      </c>
      <c r="BS361" s="124">
        <v>33</v>
      </c>
      <c r="BT361" s="124" t="s">
        <v>668</v>
      </c>
    </row>
    <row r="362" spans="1:72" s="124" customFormat="1" ht="14.25" hidden="1" customHeight="1" x14ac:dyDescent="0.2">
      <c r="A362" s="205">
        <v>34</v>
      </c>
      <c r="B362" s="235" t="s">
        <v>671</v>
      </c>
      <c r="C362" s="236" t="s">
        <v>672</v>
      </c>
      <c r="D362" s="235" t="s">
        <v>679</v>
      </c>
      <c r="E362" s="125" t="s">
        <v>54</v>
      </c>
      <c r="F362" s="181" t="s">
        <v>55</v>
      </c>
      <c r="G362" s="181" t="s">
        <v>76</v>
      </c>
      <c r="H362" s="181" t="s">
        <v>453</v>
      </c>
      <c r="I362" s="181"/>
      <c r="J362" s="178">
        <v>600</v>
      </c>
      <c r="K362" s="182"/>
      <c r="L362" s="182" t="s">
        <v>58</v>
      </c>
      <c r="M362" s="178" t="s">
        <v>78</v>
      </c>
      <c r="N362" s="178">
        <v>0</v>
      </c>
      <c r="O362" s="178" t="s">
        <v>60</v>
      </c>
      <c r="P362" s="178"/>
      <c r="Q362" s="179"/>
      <c r="R362" s="179" t="s">
        <v>674</v>
      </c>
      <c r="S362" s="180">
        <v>60</v>
      </c>
      <c r="T362" s="179"/>
      <c r="U362" s="179"/>
      <c r="V362" s="167"/>
      <c r="W362" s="168"/>
      <c r="X362" s="168"/>
      <c r="Y362" s="167"/>
      <c r="Z362" s="169" t="s">
        <v>63</v>
      </c>
      <c r="AA362" s="166">
        <v>1</v>
      </c>
      <c r="AB362" s="166">
        <v>0</v>
      </c>
      <c r="AC362" s="165"/>
      <c r="AD362" s="165"/>
      <c r="AE362" s="165"/>
      <c r="AF362" s="165"/>
      <c r="AG362" s="165"/>
      <c r="AH362" s="165"/>
      <c r="AI362" s="165"/>
      <c r="AJ362" s="165"/>
      <c r="AK362" s="166"/>
      <c r="AL362" s="166"/>
      <c r="AM362" s="166"/>
      <c r="AN362" s="166"/>
      <c r="AO362" s="166"/>
      <c r="AP362" s="166"/>
      <c r="AQ362" s="166"/>
      <c r="AR362" s="166"/>
      <c r="AS362" s="165"/>
      <c r="AT362" s="165"/>
      <c r="AU362" s="165"/>
      <c r="AV362" s="165"/>
      <c r="AW362" s="165"/>
      <c r="AX362" s="165"/>
      <c r="AY362" s="165"/>
      <c r="AZ362" s="165"/>
      <c r="BA362" s="166"/>
      <c r="BB362" s="166"/>
      <c r="BC362" s="166"/>
      <c r="BD362" s="166"/>
      <c r="BE362" s="166"/>
      <c r="BF362" s="166"/>
      <c r="BG362" s="166"/>
      <c r="BH362" s="166"/>
      <c r="BI362" s="165"/>
      <c r="BJ362" s="165"/>
      <c r="BK362" s="165"/>
      <c r="BL362" s="165"/>
      <c r="BM362" s="165"/>
      <c r="BN362" s="165"/>
      <c r="BO362" s="165"/>
      <c r="BP362" s="165"/>
      <c r="BQ362" s="166" t="s">
        <v>666</v>
      </c>
      <c r="BR362" s="165" t="s">
        <v>675</v>
      </c>
      <c r="BS362" s="124">
        <v>34</v>
      </c>
      <c r="BT362" s="124" t="s">
        <v>668</v>
      </c>
    </row>
    <row r="363" spans="1:72" s="124" customFormat="1" ht="14.25" hidden="1" customHeight="1" x14ac:dyDescent="0.2">
      <c r="A363" s="205">
        <v>35</v>
      </c>
      <c r="B363" s="235" t="s">
        <v>671</v>
      </c>
      <c r="C363" s="236" t="s">
        <v>672</v>
      </c>
      <c r="D363" s="235" t="s">
        <v>680</v>
      </c>
      <c r="E363" s="125" t="s">
        <v>54</v>
      </c>
      <c r="F363" s="181" t="s">
        <v>55</v>
      </c>
      <c r="G363" s="181" t="s">
        <v>76</v>
      </c>
      <c r="H363" s="181" t="s">
        <v>453</v>
      </c>
      <c r="I363" s="181"/>
      <c r="J363" s="178">
        <v>600</v>
      </c>
      <c r="K363" s="182"/>
      <c r="L363" s="182" t="s">
        <v>58</v>
      </c>
      <c r="M363" s="178" t="s">
        <v>78</v>
      </c>
      <c r="N363" s="178">
        <v>0</v>
      </c>
      <c r="O363" s="178" t="s">
        <v>60</v>
      </c>
      <c r="P363" s="178"/>
      <c r="Q363" s="179"/>
      <c r="R363" s="179" t="s">
        <v>674</v>
      </c>
      <c r="S363" s="180">
        <v>60</v>
      </c>
      <c r="T363" s="179"/>
      <c r="U363" s="179"/>
      <c r="V363" s="167"/>
      <c r="W363" s="168"/>
      <c r="X363" s="168"/>
      <c r="Y363" s="167"/>
      <c r="Z363" s="169" t="s">
        <v>63</v>
      </c>
      <c r="AA363" s="166">
        <v>1</v>
      </c>
      <c r="AB363" s="166">
        <v>0</v>
      </c>
      <c r="AC363" s="165"/>
      <c r="AD363" s="165"/>
      <c r="AE363" s="165"/>
      <c r="AF363" s="165"/>
      <c r="AG363" s="165"/>
      <c r="AH363" s="165"/>
      <c r="AI363" s="165"/>
      <c r="AJ363" s="165"/>
      <c r="AK363" s="166"/>
      <c r="AL363" s="166"/>
      <c r="AM363" s="166"/>
      <c r="AN363" s="166"/>
      <c r="AO363" s="166"/>
      <c r="AP363" s="166"/>
      <c r="AQ363" s="166"/>
      <c r="AR363" s="166"/>
      <c r="AS363" s="165"/>
      <c r="AT363" s="165"/>
      <c r="AU363" s="165"/>
      <c r="AV363" s="165"/>
      <c r="AW363" s="165"/>
      <c r="AX363" s="165"/>
      <c r="AY363" s="165"/>
      <c r="AZ363" s="165"/>
      <c r="BA363" s="166"/>
      <c r="BB363" s="166"/>
      <c r="BC363" s="166"/>
      <c r="BD363" s="166"/>
      <c r="BE363" s="166"/>
      <c r="BF363" s="166"/>
      <c r="BG363" s="166"/>
      <c r="BH363" s="166"/>
      <c r="BI363" s="165"/>
      <c r="BJ363" s="165"/>
      <c r="BK363" s="165"/>
      <c r="BL363" s="165"/>
      <c r="BM363" s="165"/>
      <c r="BN363" s="165"/>
      <c r="BO363" s="165"/>
      <c r="BP363" s="165"/>
      <c r="BQ363" s="166" t="s">
        <v>666</v>
      </c>
      <c r="BR363" s="165" t="s">
        <v>675</v>
      </c>
      <c r="BS363" s="124">
        <v>35</v>
      </c>
      <c r="BT363" s="124" t="s">
        <v>668</v>
      </c>
    </row>
    <row r="364" spans="1:72" s="124" customFormat="1" ht="14.25" hidden="1" customHeight="1" x14ac:dyDescent="0.2">
      <c r="A364" s="205">
        <v>36</v>
      </c>
      <c r="B364" s="235" t="s">
        <v>671</v>
      </c>
      <c r="C364" s="236" t="s">
        <v>672</v>
      </c>
      <c r="D364" s="235" t="s">
        <v>681</v>
      </c>
      <c r="E364" s="125" t="s">
        <v>54</v>
      </c>
      <c r="F364" s="181" t="s">
        <v>55</v>
      </c>
      <c r="G364" s="181" t="s">
        <v>76</v>
      </c>
      <c r="H364" s="181" t="s">
        <v>453</v>
      </c>
      <c r="I364" s="181"/>
      <c r="J364" s="178">
        <v>900</v>
      </c>
      <c r="K364" s="182"/>
      <c r="L364" s="182" t="s">
        <v>58</v>
      </c>
      <c r="M364" s="178" t="s">
        <v>78</v>
      </c>
      <c r="N364" s="178">
        <v>0</v>
      </c>
      <c r="O364" s="178" t="s">
        <v>60</v>
      </c>
      <c r="P364" s="178"/>
      <c r="Q364" s="179"/>
      <c r="R364" s="179" t="s">
        <v>674</v>
      </c>
      <c r="S364" s="180">
        <v>180</v>
      </c>
      <c r="T364" s="179"/>
      <c r="U364" s="179"/>
      <c r="V364" s="167"/>
      <c r="W364" s="168"/>
      <c r="X364" s="168"/>
      <c r="Y364" s="167"/>
      <c r="Z364" s="169" t="s">
        <v>63</v>
      </c>
      <c r="AA364" s="166">
        <v>1</v>
      </c>
      <c r="AB364" s="166">
        <v>0</v>
      </c>
      <c r="AC364" s="165"/>
      <c r="AD364" s="165"/>
      <c r="AE364" s="165"/>
      <c r="AF364" s="165"/>
      <c r="AG364" s="165"/>
      <c r="AH364" s="165"/>
      <c r="AI364" s="165"/>
      <c r="AJ364" s="165"/>
      <c r="AK364" s="166"/>
      <c r="AL364" s="166"/>
      <c r="AM364" s="166"/>
      <c r="AN364" s="166"/>
      <c r="AO364" s="166"/>
      <c r="AP364" s="166"/>
      <c r="AQ364" s="166"/>
      <c r="AR364" s="166"/>
      <c r="AS364" s="165"/>
      <c r="AT364" s="165"/>
      <c r="AU364" s="165"/>
      <c r="AV364" s="165"/>
      <c r="AW364" s="165"/>
      <c r="AX364" s="165"/>
      <c r="AY364" s="165"/>
      <c r="AZ364" s="165"/>
      <c r="BA364" s="166"/>
      <c r="BB364" s="166"/>
      <c r="BC364" s="166"/>
      <c r="BD364" s="166"/>
      <c r="BE364" s="166"/>
      <c r="BF364" s="166"/>
      <c r="BG364" s="166"/>
      <c r="BH364" s="166"/>
      <c r="BI364" s="165"/>
      <c r="BJ364" s="165"/>
      <c r="BK364" s="165"/>
      <c r="BL364" s="165"/>
      <c r="BM364" s="165"/>
      <c r="BN364" s="165"/>
      <c r="BO364" s="165"/>
      <c r="BP364" s="165"/>
      <c r="BQ364" s="166" t="s">
        <v>666</v>
      </c>
      <c r="BR364" s="165" t="s">
        <v>675</v>
      </c>
      <c r="BS364" s="124">
        <v>36</v>
      </c>
      <c r="BT364" s="124" t="s">
        <v>668</v>
      </c>
    </row>
    <row r="365" spans="1:72" s="124" customFormat="1" ht="14.25" hidden="1" customHeight="1" x14ac:dyDescent="0.2">
      <c r="A365" s="205">
        <v>37</v>
      </c>
      <c r="B365" s="235" t="s">
        <v>671</v>
      </c>
      <c r="C365" s="236" t="s">
        <v>672</v>
      </c>
      <c r="D365" s="235" t="s">
        <v>682</v>
      </c>
      <c r="E365" s="125" t="s">
        <v>54</v>
      </c>
      <c r="F365" s="181" t="s">
        <v>55</v>
      </c>
      <c r="G365" s="181" t="s">
        <v>76</v>
      </c>
      <c r="H365" s="181" t="s">
        <v>453</v>
      </c>
      <c r="I365" s="181"/>
      <c r="J365" s="178">
        <v>900</v>
      </c>
      <c r="K365" s="182"/>
      <c r="L365" s="182" t="s">
        <v>58</v>
      </c>
      <c r="M365" s="178" t="s">
        <v>78</v>
      </c>
      <c r="N365" s="178">
        <v>0</v>
      </c>
      <c r="O365" s="178" t="s">
        <v>60</v>
      </c>
      <c r="P365" s="178"/>
      <c r="Q365" s="179"/>
      <c r="R365" s="179" t="s">
        <v>674</v>
      </c>
      <c r="S365" s="180">
        <v>180</v>
      </c>
      <c r="T365" s="179"/>
      <c r="U365" s="179"/>
      <c r="V365" s="167"/>
      <c r="W365" s="168"/>
      <c r="X365" s="168"/>
      <c r="Y365" s="167"/>
      <c r="Z365" s="169" t="s">
        <v>63</v>
      </c>
      <c r="AA365" s="166">
        <v>1</v>
      </c>
      <c r="AB365" s="166">
        <v>0</v>
      </c>
      <c r="AC365" s="165"/>
      <c r="AD365" s="165"/>
      <c r="AE365" s="165"/>
      <c r="AF365" s="165"/>
      <c r="AG365" s="165"/>
      <c r="AH365" s="165"/>
      <c r="AI365" s="165"/>
      <c r="AJ365" s="165"/>
      <c r="AK365" s="166"/>
      <c r="AL365" s="166"/>
      <c r="AM365" s="166"/>
      <c r="AN365" s="166"/>
      <c r="AO365" s="166"/>
      <c r="AP365" s="166"/>
      <c r="AQ365" s="166"/>
      <c r="AR365" s="166"/>
      <c r="AS365" s="165"/>
      <c r="AT365" s="165"/>
      <c r="AU365" s="165"/>
      <c r="AV365" s="165"/>
      <c r="AW365" s="165"/>
      <c r="AX365" s="165"/>
      <c r="AY365" s="165"/>
      <c r="AZ365" s="165"/>
      <c r="BA365" s="166"/>
      <c r="BB365" s="166"/>
      <c r="BC365" s="166"/>
      <c r="BD365" s="166"/>
      <c r="BE365" s="166"/>
      <c r="BF365" s="166"/>
      <c r="BG365" s="166"/>
      <c r="BH365" s="166"/>
      <c r="BI365" s="165"/>
      <c r="BJ365" s="165"/>
      <c r="BK365" s="165"/>
      <c r="BL365" s="165"/>
      <c r="BM365" s="165"/>
      <c r="BN365" s="165"/>
      <c r="BO365" s="165"/>
      <c r="BP365" s="165"/>
      <c r="BQ365" s="166" t="s">
        <v>666</v>
      </c>
      <c r="BR365" s="165" t="s">
        <v>675</v>
      </c>
      <c r="BS365" s="124">
        <v>37</v>
      </c>
      <c r="BT365" s="124" t="s">
        <v>668</v>
      </c>
    </row>
    <row r="366" spans="1:72" s="124" customFormat="1" ht="14.25" hidden="1" customHeight="1" x14ac:dyDescent="0.2">
      <c r="A366" s="205">
        <v>38</v>
      </c>
      <c r="B366" s="235" t="s">
        <v>671</v>
      </c>
      <c r="C366" s="236" t="s">
        <v>672</v>
      </c>
      <c r="D366" s="235" t="s">
        <v>683</v>
      </c>
      <c r="E366" s="125" t="s">
        <v>54</v>
      </c>
      <c r="F366" s="181" t="s">
        <v>55</v>
      </c>
      <c r="G366" s="181" t="s">
        <v>76</v>
      </c>
      <c r="H366" s="181" t="s">
        <v>453</v>
      </c>
      <c r="I366" s="181"/>
      <c r="J366" s="178">
        <v>900</v>
      </c>
      <c r="K366" s="182"/>
      <c r="L366" s="182" t="s">
        <v>58</v>
      </c>
      <c r="M366" s="178" t="s">
        <v>78</v>
      </c>
      <c r="N366" s="178">
        <v>0</v>
      </c>
      <c r="O366" s="178" t="s">
        <v>60</v>
      </c>
      <c r="P366" s="178"/>
      <c r="Q366" s="179"/>
      <c r="R366" s="179" t="s">
        <v>674</v>
      </c>
      <c r="S366" s="180">
        <v>120</v>
      </c>
      <c r="T366" s="179"/>
      <c r="U366" s="179"/>
      <c r="V366" s="167"/>
      <c r="W366" s="168"/>
      <c r="X366" s="168"/>
      <c r="Y366" s="167"/>
      <c r="Z366" s="169" t="s">
        <v>63</v>
      </c>
      <c r="AA366" s="166">
        <v>1</v>
      </c>
      <c r="AB366" s="166">
        <v>0</v>
      </c>
      <c r="AC366" s="165"/>
      <c r="AD366" s="165"/>
      <c r="AE366" s="165"/>
      <c r="AF366" s="165"/>
      <c r="AG366" s="165"/>
      <c r="AH366" s="165"/>
      <c r="AI366" s="165"/>
      <c r="AJ366" s="165"/>
      <c r="AK366" s="166"/>
      <c r="AL366" s="166"/>
      <c r="AM366" s="166"/>
      <c r="AN366" s="166"/>
      <c r="AO366" s="166"/>
      <c r="AP366" s="166"/>
      <c r="AQ366" s="166"/>
      <c r="AR366" s="166"/>
      <c r="AS366" s="165"/>
      <c r="AT366" s="165"/>
      <c r="AU366" s="165"/>
      <c r="AV366" s="165"/>
      <c r="AW366" s="165"/>
      <c r="AX366" s="165"/>
      <c r="AY366" s="165"/>
      <c r="AZ366" s="165"/>
      <c r="BA366" s="166"/>
      <c r="BB366" s="166"/>
      <c r="BC366" s="166"/>
      <c r="BD366" s="166"/>
      <c r="BE366" s="166"/>
      <c r="BF366" s="166"/>
      <c r="BG366" s="166"/>
      <c r="BH366" s="166"/>
      <c r="BI366" s="165"/>
      <c r="BJ366" s="165"/>
      <c r="BK366" s="165"/>
      <c r="BL366" s="165"/>
      <c r="BM366" s="165"/>
      <c r="BN366" s="165"/>
      <c r="BO366" s="165"/>
      <c r="BP366" s="165"/>
      <c r="BQ366" s="166" t="s">
        <v>666</v>
      </c>
      <c r="BR366" s="165" t="s">
        <v>675</v>
      </c>
      <c r="BS366" s="124">
        <v>38</v>
      </c>
      <c r="BT366" s="124" t="s">
        <v>668</v>
      </c>
    </row>
    <row r="367" spans="1:72" s="124" customFormat="1" ht="14.25" hidden="1" customHeight="1" x14ac:dyDescent="0.2">
      <c r="A367" s="205">
        <v>39</v>
      </c>
      <c r="B367" s="235" t="s">
        <v>671</v>
      </c>
      <c r="C367" s="236" t="s">
        <v>672</v>
      </c>
      <c r="D367" s="235" t="s">
        <v>684</v>
      </c>
      <c r="E367" s="125" t="s">
        <v>54</v>
      </c>
      <c r="F367" s="181" t="s">
        <v>55</v>
      </c>
      <c r="G367" s="181" t="s">
        <v>76</v>
      </c>
      <c r="H367" s="181" t="s">
        <v>453</v>
      </c>
      <c r="I367" s="181"/>
      <c r="J367" s="178">
        <v>900</v>
      </c>
      <c r="K367" s="182"/>
      <c r="L367" s="182" t="s">
        <v>58</v>
      </c>
      <c r="M367" s="178" t="s">
        <v>78</v>
      </c>
      <c r="N367" s="178">
        <v>0</v>
      </c>
      <c r="O367" s="178" t="s">
        <v>60</v>
      </c>
      <c r="P367" s="178"/>
      <c r="Q367" s="179"/>
      <c r="R367" s="179" t="s">
        <v>674</v>
      </c>
      <c r="S367" s="180">
        <v>120</v>
      </c>
      <c r="T367" s="179"/>
      <c r="U367" s="179"/>
      <c r="V367" s="167"/>
      <c r="W367" s="168"/>
      <c r="X367" s="168"/>
      <c r="Y367" s="167"/>
      <c r="Z367" s="169" t="s">
        <v>63</v>
      </c>
      <c r="AA367" s="166">
        <v>1</v>
      </c>
      <c r="AB367" s="166">
        <v>0</v>
      </c>
      <c r="AC367" s="165"/>
      <c r="AD367" s="165"/>
      <c r="AE367" s="165"/>
      <c r="AF367" s="165"/>
      <c r="AG367" s="165"/>
      <c r="AH367" s="165"/>
      <c r="AI367" s="165"/>
      <c r="AJ367" s="165"/>
      <c r="AK367" s="166"/>
      <c r="AL367" s="166"/>
      <c r="AM367" s="166"/>
      <c r="AN367" s="166"/>
      <c r="AO367" s="166"/>
      <c r="AP367" s="166"/>
      <c r="AQ367" s="166"/>
      <c r="AR367" s="166"/>
      <c r="AS367" s="165"/>
      <c r="AT367" s="165"/>
      <c r="AU367" s="165"/>
      <c r="AV367" s="165"/>
      <c r="AW367" s="165"/>
      <c r="AX367" s="165"/>
      <c r="AY367" s="165"/>
      <c r="AZ367" s="165"/>
      <c r="BA367" s="166"/>
      <c r="BB367" s="166"/>
      <c r="BC367" s="166"/>
      <c r="BD367" s="166"/>
      <c r="BE367" s="166"/>
      <c r="BF367" s="166"/>
      <c r="BG367" s="166"/>
      <c r="BH367" s="166"/>
      <c r="BI367" s="165"/>
      <c r="BJ367" s="165"/>
      <c r="BK367" s="165"/>
      <c r="BL367" s="165"/>
      <c r="BM367" s="165"/>
      <c r="BN367" s="165"/>
      <c r="BO367" s="165"/>
      <c r="BP367" s="165"/>
      <c r="BQ367" s="166" t="s">
        <v>666</v>
      </c>
      <c r="BR367" s="165" t="s">
        <v>675</v>
      </c>
      <c r="BS367" s="124">
        <v>39</v>
      </c>
      <c r="BT367" s="124" t="s">
        <v>668</v>
      </c>
    </row>
    <row r="368" spans="1:72" s="124" customFormat="1" ht="14.25" hidden="1" customHeight="1" x14ac:dyDescent="0.2">
      <c r="A368" s="205">
        <v>40</v>
      </c>
      <c r="B368" s="235" t="s">
        <v>671</v>
      </c>
      <c r="C368" s="236" t="s">
        <v>672</v>
      </c>
      <c r="D368" s="235" t="s">
        <v>685</v>
      </c>
      <c r="E368" s="125" t="s">
        <v>54</v>
      </c>
      <c r="F368" s="181" t="s">
        <v>55</v>
      </c>
      <c r="G368" s="181" t="s">
        <v>76</v>
      </c>
      <c r="H368" s="181" t="s">
        <v>453</v>
      </c>
      <c r="I368" s="181"/>
      <c r="J368" s="178">
        <v>900</v>
      </c>
      <c r="K368" s="182"/>
      <c r="L368" s="182" t="s">
        <v>58</v>
      </c>
      <c r="M368" s="178" t="s">
        <v>78</v>
      </c>
      <c r="N368" s="178">
        <v>0</v>
      </c>
      <c r="O368" s="178" t="s">
        <v>60</v>
      </c>
      <c r="P368" s="178"/>
      <c r="Q368" s="179"/>
      <c r="R368" s="179" t="s">
        <v>674</v>
      </c>
      <c r="S368" s="180">
        <v>60</v>
      </c>
      <c r="T368" s="179"/>
      <c r="U368" s="179"/>
      <c r="V368" s="167"/>
      <c r="W368" s="168"/>
      <c r="X368" s="168"/>
      <c r="Y368" s="167"/>
      <c r="Z368" s="169" t="s">
        <v>63</v>
      </c>
      <c r="AA368" s="166">
        <v>1</v>
      </c>
      <c r="AB368" s="166">
        <v>0</v>
      </c>
      <c r="AC368" s="165"/>
      <c r="AD368" s="165"/>
      <c r="AE368" s="165"/>
      <c r="AF368" s="165"/>
      <c r="AG368" s="165"/>
      <c r="AH368" s="165"/>
      <c r="AI368" s="165"/>
      <c r="AJ368" s="165"/>
      <c r="AK368" s="166"/>
      <c r="AL368" s="166"/>
      <c r="AM368" s="166"/>
      <c r="AN368" s="166"/>
      <c r="AO368" s="166"/>
      <c r="AP368" s="166"/>
      <c r="AQ368" s="166"/>
      <c r="AR368" s="166"/>
      <c r="AS368" s="165"/>
      <c r="AT368" s="165"/>
      <c r="AU368" s="165"/>
      <c r="AV368" s="165"/>
      <c r="AW368" s="165"/>
      <c r="AX368" s="165"/>
      <c r="AY368" s="165"/>
      <c r="AZ368" s="165"/>
      <c r="BA368" s="166"/>
      <c r="BB368" s="166"/>
      <c r="BC368" s="166"/>
      <c r="BD368" s="166"/>
      <c r="BE368" s="166"/>
      <c r="BF368" s="166"/>
      <c r="BG368" s="166"/>
      <c r="BH368" s="166"/>
      <c r="BI368" s="165"/>
      <c r="BJ368" s="165"/>
      <c r="BK368" s="165"/>
      <c r="BL368" s="165"/>
      <c r="BM368" s="165"/>
      <c r="BN368" s="165"/>
      <c r="BO368" s="165"/>
      <c r="BP368" s="165"/>
      <c r="BQ368" s="166" t="s">
        <v>666</v>
      </c>
      <c r="BR368" s="165" t="s">
        <v>675</v>
      </c>
      <c r="BS368" s="124">
        <v>40</v>
      </c>
      <c r="BT368" s="124" t="s">
        <v>668</v>
      </c>
    </row>
    <row r="369" spans="1:72" s="124" customFormat="1" ht="14.25" hidden="1" customHeight="1" x14ac:dyDescent="0.2">
      <c r="A369" s="205">
        <v>41</v>
      </c>
      <c r="B369" s="235" t="s">
        <v>671</v>
      </c>
      <c r="C369" s="236" t="s">
        <v>672</v>
      </c>
      <c r="D369" s="235" t="s">
        <v>686</v>
      </c>
      <c r="E369" s="125" t="s">
        <v>54</v>
      </c>
      <c r="F369" s="181" t="s">
        <v>55</v>
      </c>
      <c r="G369" s="181" t="s">
        <v>76</v>
      </c>
      <c r="H369" s="181" t="s">
        <v>453</v>
      </c>
      <c r="I369" s="181"/>
      <c r="J369" s="178">
        <v>900</v>
      </c>
      <c r="K369" s="182"/>
      <c r="L369" s="182" t="s">
        <v>58</v>
      </c>
      <c r="M369" s="178" t="s">
        <v>78</v>
      </c>
      <c r="N369" s="178">
        <v>0</v>
      </c>
      <c r="O369" s="178" t="s">
        <v>60</v>
      </c>
      <c r="P369" s="178"/>
      <c r="Q369" s="179"/>
      <c r="R369" s="179" t="s">
        <v>674</v>
      </c>
      <c r="S369" s="180">
        <v>60</v>
      </c>
      <c r="T369" s="179"/>
      <c r="U369" s="179"/>
      <c r="V369" s="167"/>
      <c r="W369" s="168"/>
      <c r="X369" s="168"/>
      <c r="Y369" s="167"/>
      <c r="Z369" s="169" t="s">
        <v>63</v>
      </c>
      <c r="AA369" s="166">
        <v>1</v>
      </c>
      <c r="AB369" s="166">
        <v>0</v>
      </c>
      <c r="AC369" s="165"/>
      <c r="AD369" s="165"/>
      <c r="AE369" s="165"/>
      <c r="AF369" s="165"/>
      <c r="AG369" s="165"/>
      <c r="AH369" s="165"/>
      <c r="AI369" s="165"/>
      <c r="AJ369" s="165"/>
      <c r="AK369" s="166"/>
      <c r="AL369" s="166"/>
      <c r="AM369" s="166"/>
      <c r="AN369" s="166"/>
      <c r="AO369" s="166"/>
      <c r="AP369" s="166"/>
      <c r="AQ369" s="166"/>
      <c r="AR369" s="166"/>
      <c r="AS369" s="165"/>
      <c r="AT369" s="165"/>
      <c r="AU369" s="165"/>
      <c r="AV369" s="165"/>
      <c r="AW369" s="165"/>
      <c r="AX369" s="165"/>
      <c r="AY369" s="165"/>
      <c r="AZ369" s="165"/>
      <c r="BA369" s="166"/>
      <c r="BB369" s="166"/>
      <c r="BC369" s="166"/>
      <c r="BD369" s="166"/>
      <c r="BE369" s="166"/>
      <c r="BF369" s="166"/>
      <c r="BG369" s="166"/>
      <c r="BH369" s="166"/>
      <c r="BI369" s="165"/>
      <c r="BJ369" s="165"/>
      <c r="BK369" s="165"/>
      <c r="BL369" s="165"/>
      <c r="BM369" s="165"/>
      <c r="BN369" s="165"/>
      <c r="BO369" s="165"/>
      <c r="BP369" s="165"/>
      <c r="BQ369" s="166" t="s">
        <v>666</v>
      </c>
      <c r="BR369" s="165" t="s">
        <v>675</v>
      </c>
      <c r="BS369" s="124">
        <v>41</v>
      </c>
      <c r="BT369" s="124" t="s">
        <v>668</v>
      </c>
    </row>
    <row r="370" spans="1:72" s="124" customFormat="1" ht="14.25" hidden="1" customHeight="1" x14ac:dyDescent="0.2">
      <c r="A370" s="205">
        <v>42</v>
      </c>
      <c r="B370" s="235" t="s">
        <v>671</v>
      </c>
      <c r="C370" s="236" t="s">
        <v>672</v>
      </c>
      <c r="D370" s="235" t="s">
        <v>687</v>
      </c>
      <c r="E370" s="125" t="s">
        <v>54</v>
      </c>
      <c r="F370" s="181" t="s">
        <v>55</v>
      </c>
      <c r="G370" s="181" t="s">
        <v>76</v>
      </c>
      <c r="H370" s="181" t="s">
        <v>453</v>
      </c>
      <c r="I370" s="181"/>
      <c r="J370" s="178">
        <v>1200</v>
      </c>
      <c r="K370" s="182"/>
      <c r="L370" s="182" t="s">
        <v>58</v>
      </c>
      <c r="M370" s="178" t="s">
        <v>78</v>
      </c>
      <c r="N370" s="178">
        <v>0</v>
      </c>
      <c r="O370" s="178" t="s">
        <v>60</v>
      </c>
      <c r="P370" s="178"/>
      <c r="Q370" s="179"/>
      <c r="R370" s="179" t="s">
        <v>674</v>
      </c>
      <c r="S370" s="180">
        <v>180</v>
      </c>
      <c r="T370" s="179"/>
      <c r="U370" s="179"/>
      <c r="V370" s="167"/>
      <c r="W370" s="168"/>
      <c r="X370" s="168"/>
      <c r="Y370" s="167"/>
      <c r="Z370" s="169" t="s">
        <v>63</v>
      </c>
      <c r="AA370" s="166">
        <v>1</v>
      </c>
      <c r="AB370" s="166">
        <v>0</v>
      </c>
      <c r="AC370" s="165"/>
      <c r="AD370" s="165"/>
      <c r="AE370" s="165"/>
      <c r="AF370" s="165"/>
      <c r="AG370" s="165"/>
      <c r="AH370" s="165"/>
      <c r="AI370" s="165"/>
      <c r="AJ370" s="165"/>
      <c r="AK370" s="166"/>
      <c r="AL370" s="166"/>
      <c r="AM370" s="166"/>
      <c r="AN370" s="166"/>
      <c r="AO370" s="166"/>
      <c r="AP370" s="166"/>
      <c r="AQ370" s="166"/>
      <c r="AR370" s="166"/>
      <c r="AS370" s="165"/>
      <c r="AT370" s="165"/>
      <c r="AU370" s="165"/>
      <c r="AV370" s="165"/>
      <c r="AW370" s="165"/>
      <c r="AX370" s="165"/>
      <c r="AY370" s="165"/>
      <c r="AZ370" s="165"/>
      <c r="BA370" s="166"/>
      <c r="BB370" s="166"/>
      <c r="BC370" s="166"/>
      <c r="BD370" s="166"/>
      <c r="BE370" s="166"/>
      <c r="BF370" s="166"/>
      <c r="BG370" s="166"/>
      <c r="BH370" s="166"/>
      <c r="BI370" s="165"/>
      <c r="BJ370" s="165"/>
      <c r="BK370" s="165"/>
      <c r="BL370" s="165"/>
      <c r="BM370" s="165"/>
      <c r="BN370" s="165"/>
      <c r="BO370" s="165"/>
      <c r="BP370" s="165"/>
      <c r="BQ370" s="166" t="s">
        <v>666</v>
      </c>
      <c r="BR370" s="165" t="s">
        <v>675</v>
      </c>
      <c r="BS370" s="124">
        <v>42</v>
      </c>
      <c r="BT370" s="124" t="s">
        <v>668</v>
      </c>
    </row>
    <row r="371" spans="1:72" s="124" customFormat="1" ht="14.25" hidden="1" customHeight="1" x14ac:dyDescent="0.2">
      <c r="A371" s="205">
        <v>43</v>
      </c>
      <c r="B371" s="235" t="s">
        <v>671</v>
      </c>
      <c r="C371" s="236" t="s">
        <v>672</v>
      </c>
      <c r="D371" s="235" t="s">
        <v>688</v>
      </c>
      <c r="E371" s="125" t="s">
        <v>54</v>
      </c>
      <c r="F371" s="181" t="s">
        <v>55</v>
      </c>
      <c r="G371" s="181" t="s">
        <v>76</v>
      </c>
      <c r="H371" s="181" t="s">
        <v>453</v>
      </c>
      <c r="I371" s="181"/>
      <c r="J371" s="178">
        <v>1200</v>
      </c>
      <c r="K371" s="182"/>
      <c r="L371" s="182" t="s">
        <v>58</v>
      </c>
      <c r="M371" s="178" t="s">
        <v>78</v>
      </c>
      <c r="N371" s="178">
        <v>0</v>
      </c>
      <c r="O371" s="178" t="s">
        <v>60</v>
      </c>
      <c r="P371" s="178"/>
      <c r="Q371" s="179"/>
      <c r="R371" s="179" t="s">
        <v>674</v>
      </c>
      <c r="S371" s="180">
        <v>180</v>
      </c>
      <c r="T371" s="179"/>
      <c r="U371" s="179"/>
      <c r="V371" s="167"/>
      <c r="W371" s="168"/>
      <c r="X371" s="168"/>
      <c r="Y371" s="167"/>
      <c r="Z371" s="169" t="s">
        <v>63</v>
      </c>
      <c r="AA371" s="166">
        <v>1</v>
      </c>
      <c r="AB371" s="166">
        <v>0</v>
      </c>
      <c r="AC371" s="165"/>
      <c r="AD371" s="165"/>
      <c r="AE371" s="165"/>
      <c r="AF371" s="165"/>
      <c r="AG371" s="165"/>
      <c r="AH371" s="165"/>
      <c r="AI371" s="165"/>
      <c r="AJ371" s="165"/>
      <c r="AK371" s="166"/>
      <c r="AL371" s="166"/>
      <c r="AM371" s="166"/>
      <c r="AN371" s="166"/>
      <c r="AO371" s="166"/>
      <c r="AP371" s="166"/>
      <c r="AQ371" s="166"/>
      <c r="AR371" s="166"/>
      <c r="AS371" s="165"/>
      <c r="AT371" s="165"/>
      <c r="AU371" s="165"/>
      <c r="AV371" s="165"/>
      <c r="AW371" s="165"/>
      <c r="AX371" s="165"/>
      <c r="AY371" s="165"/>
      <c r="AZ371" s="165"/>
      <c r="BA371" s="166"/>
      <c r="BB371" s="166"/>
      <c r="BC371" s="166"/>
      <c r="BD371" s="166"/>
      <c r="BE371" s="166"/>
      <c r="BF371" s="166"/>
      <c r="BG371" s="166"/>
      <c r="BH371" s="166"/>
      <c r="BI371" s="165"/>
      <c r="BJ371" s="165"/>
      <c r="BK371" s="165"/>
      <c r="BL371" s="165"/>
      <c r="BM371" s="165"/>
      <c r="BN371" s="165"/>
      <c r="BO371" s="165"/>
      <c r="BP371" s="165"/>
      <c r="BQ371" s="166" t="s">
        <v>666</v>
      </c>
      <c r="BR371" s="165" t="s">
        <v>675</v>
      </c>
      <c r="BS371" s="124">
        <v>43</v>
      </c>
      <c r="BT371" s="124" t="s">
        <v>668</v>
      </c>
    </row>
    <row r="372" spans="1:72" s="124" customFormat="1" ht="14.25" hidden="1" customHeight="1" x14ac:dyDescent="0.2">
      <c r="A372" s="205">
        <v>44</v>
      </c>
      <c r="B372" s="235" t="s">
        <v>671</v>
      </c>
      <c r="C372" s="236" t="s">
        <v>672</v>
      </c>
      <c r="D372" s="235" t="s">
        <v>689</v>
      </c>
      <c r="E372" s="125" t="s">
        <v>54</v>
      </c>
      <c r="F372" s="181" t="s">
        <v>55</v>
      </c>
      <c r="G372" s="181" t="s">
        <v>76</v>
      </c>
      <c r="H372" s="181" t="s">
        <v>453</v>
      </c>
      <c r="I372" s="181"/>
      <c r="J372" s="178">
        <v>1200</v>
      </c>
      <c r="K372" s="182"/>
      <c r="L372" s="182" t="s">
        <v>58</v>
      </c>
      <c r="M372" s="178" t="s">
        <v>78</v>
      </c>
      <c r="N372" s="178">
        <v>0</v>
      </c>
      <c r="O372" s="178" t="s">
        <v>60</v>
      </c>
      <c r="P372" s="178"/>
      <c r="Q372" s="179"/>
      <c r="R372" s="179" t="s">
        <v>674</v>
      </c>
      <c r="S372" s="180">
        <v>120</v>
      </c>
      <c r="T372" s="179"/>
      <c r="U372" s="179"/>
      <c r="V372" s="167"/>
      <c r="W372" s="168"/>
      <c r="X372" s="168"/>
      <c r="Y372" s="167"/>
      <c r="Z372" s="169" t="s">
        <v>63</v>
      </c>
      <c r="AA372" s="166">
        <v>1</v>
      </c>
      <c r="AB372" s="166">
        <v>0</v>
      </c>
      <c r="AC372" s="165"/>
      <c r="AD372" s="165"/>
      <c r="AE372" s="165"/>
      <c r="AF372" s="165"/>
      <c r="AG372" s="165"/>
      <c r="AH372" s="165"/>
      <c r="AI372" s="165"/>
      <c r="AJ372" s="165"/>
      <c r="AK372" s="166"/>
      <c r="AL372" s="166"/>
      <c r="AM372" s="166"/>
      <c r="AN372" s="166"/>
      <c r="AO372" s="166"/>
      <c r="AP372" s="166"/>
      <c r="AQ372" s="166"/>
      <c r="AR372" s="166"/>
      <c r="AS372" s="165"/>
      <c r="AT372" s="165"/>
      <c r="AU372" s="165"/>
      <c r="AV372" s="165"/>
      <c r="AW372" s="165"/>
      <c r="AX372" s="165"/>
      <c r="AY372" s="165"/>
      <c r="AZ372" s="165"/>
      <c r="BA372" s="166"/>
      <c r="BB372" s="166"/>
      <c r="BC372" s="166"/>
      <c r="BD372" s="166"/>
      <c r="BE372" s="166"/>
      <c r="BF372" s="166"/>
      <c r="BG372" s="166"/>
      <c r="BH372" s="166"/>
      <c r="BI372" s="165"/>
      <c r="BJ372" s="165"/>
      <c r="BK372" s="165"/>
      <c r="BL372" s="165"/>
      <c r="BM372" s="165"/>
      <c r="BN372" s="165"/>
      <c r="BO372" s="165"/>
      <c r="BP372" s="165"/>
      <c r="BQ372" s="166" t="s">
        <v>666</v>
      </c>
      <c r="BR372" s="165" t="s">
        <v>675</v>
      </c>
      <c r="BS372" s="124">
        <v>44</v>
      </c>
      <c r="BT372" s="124" t="s">
        <v>668</v>
      </c>
    </row>
    <row r="373" spans="1:72" s="124" customFormat="1" ht="14.25" hidden="1" customHeight="1" x14ac:dyDescent="0.2">
      <c r="A373" s="205">
        <v>45</v>
      </c>
      <c r="B373" s="235" t="s">
        <v>671</v>
      </c>
      <c r="C373" s="236" t="s">
        <v>672</v>
      </c>
      <c r="D373" s="235" t="s">
        <v>690</v>
      </c>
      <c r="E373" s="125" t="s">
        <v>54</v>
      </c>
      <c r="F373" s="181" t="s">
        <v>55</v>
      </c>
      <c r="G373" s="181" t="s">
        <v>76</v>
      </c>
      <c r="H373" s="181" t="s">
        <v>453</v>
      </c>
      <c r="I373" s="181"/>
      <c r="J373" s="178">
        <v>1200</v>
      </c>
      <c r="K373" s="182"/>
      <c r="L373" s="182" t="s">
        <v>58</v>
      </c>
      <c r="M373" s="178" t="s">
        <v>78</v>
      </c>
      <c r="N373" s="178">
        <v>0</v>
      </c>
      <c r="O373" s="178" t="s">
        <v>60</v>
      </c>
      <c r="P373" s="178"/>
      <c r="Q373" s="179"/>
      <c r="R373" s="179" t="s">
        <v>674</v>
      </c>
      <c r="S373" s="180">
        <v>120</v>
      </c>
      <c r="T373" s="179"/>
      <c r="U373" s="179"/>
      <c r="V373" s="167"/>
      <c r="W373" s="168"/>
      <c r="X373" s="168"/>
      <c r="Y373" s="167"/>
      <c r="Z373" s="169" t="s">
        <v>63</v>
      </c>
      <c r="AA373" s="166">
        <v>1</v>
      </c>
      <c r="AB373" s="166">
        <v>0</v>
      </c>
      <c r="AC373" s="165"/>
      <c r="AD373" s="165"/>
      <c r="AE373" s="165"/>
      <c r="AF373" s="165"/>
      <c r="AG373" s="165"/>
      <c r="AH373" s="165"/>
      <c r="AI373" s="165"/>
      <c r="AJ373" s="165"/>
      <c r="AK373" s="166"/>
      <c r="AL373" s="166"/>
      <c r="AM373" s="166"/>
      <c r="AN373" s="166"/>
      <c r="AO373" s="166"/>
      <c r="AP373" s="166"/>
      <c r="AQ373" s="166"/>
      <c r="AR373" s="166"/>
      <c r="AS373" s="165"/>
      <c r="AT373" s="165"/>
      <c r="AU373" s="165"/>
      <c r="AV373" s="165"/>
      <c r="AW373" s="165"/>
      <c r="AX373" s="165"/>
      <c r="AY373" s="165"/>
      <c r="AZ373" s="165"/>
      <c r="BA373" s="166"/>
      <c r="BB373" s="166"/>
      <c r="BC373" s="166"/>
      <c r="BD373" s="166"/>
      <c r="BE373" s="166"/>
      <c r="BF373" s="166"/>
      <c r="BG373" s="166"/>
      <c r="BH373" s="166"/>
      <c r="BI373" s="165"/>
      <c r="BJ373" s="165"/>
      <c r="BK373" s="165"/>
      <c r="BL373" s="165"/>
      <c r="BM373" s="165"/>
      <c r="BN373" s="165"/>
      <c r="BO373" s="165"/>
      <c r="BP373" s="165"/>
      <c r="BQ373" s="166" t="s">
        <v>666</v>
      </c>
      <c r="BR373" s="165" t="s">
        <v>675</v>
      </c>
      <c r="BS373" s="124">
        <v>45</v>
      </c>
      <c r="BT373" s="124" t="s">
        <v>668</v>
      </c>
    </row>
    <row r="374" spans="1:72" s="124" customFormat="1" ht="14.25" hidden="1" customHeight="1" x14ac:dyDescent="0.2">
      <c r="A374" s="205">
        <v>46</v>
      </c>
      <c r="B374" s="235" t="s">
        <v>671</v>
      </c>
      <c r="C374" s="236" t="s">
        <v>672</v>
      </c>
      <c r="D374" s="235" t="s">
        <v>691</v>
      </c>
      <c r="E374" s="125" t="s">
        <v>54</v>
      </c>
      <c r="F374" s="181" t="s">
        <v>55</v>
      </c>
      <c r="G374" s="181" t="s">
        <v>76</v>
      </c>
      <c r="H374" s="181" t="s">
        <v>453</v>
      </c>
      <c r="I374" s="181"/>
      <c r="J374" s="178">
        <v>1200</v>
      </c>
      <c r="K374" s="182"/>
      <c r="L374" s="182" t="s">
        <v>58</v>
      </c>
      <c r="M374" s="178" t="s">
        <v>78</v>
      </c>
      <c r="N374" s="178">
        <v>0</v>
      </c>
      <c r="O374" s="178" t="s">
        <v>60</v>
      </c>
      <c r="P374" s="178"/>
      <c r="Q374" s="179"/>
      <c r="R374" s="179" t="s">
        <v>674</v>
      </c>
      <c r="S374" s="180">
        <v>60</v>
      </c>
      <c r="T374" s="179"/>
      <c r="U374" s="179"/>
      <c r="V374" s="167"/>
      <c r="W374" s="168"/>
      <c r="X374" s="168"/>
      <c r="Y374" s="167"/>
      <c r="Z374" s="169" t="s">
        <v>63</v>
      </c>
      <c r="AA374" s="166">
        <v>1</v>
      </c>
      <c r="AB374" s="166">
        <v>0</v>
      </c>
      <c r="AC374" s="165"/>
      <c r="AD374" s="165"/>
      <c r="AE374" s="165"/>
      <c r="AF374" s="165"/>
      <c r="AG374" s="165"/>
      <c r="AH374" s="165"/>
      <c r="AI374" s="165"/>
      <c r="AJ374" s="165"/>
      <c r="AK374" s="166"/>
      <c r="AL374" s="166"/>
      <c r="AM374" s="166"/>
      <c r="AN374" s="166"/>
      <c r="AO374" s="166"/>
      <c r="AP374" s="166"/>
      <c r="AQ374" s="166"/>
      <c r="AR374" s="166"/>
      <c r="AS374" s="165"/>
      <c r="AT374" s="165"/>
      <c r="AU374" s="165"/>
      <c r="AV374" s="165"/>
      <c r="AW374" s="165"/>
      <c r="AX374" s="165"/>
      <c r="AY374" s="165"/>
      <c r="AZ374" s="165"/>
      <c r="BA374" s="166"/>
      <c r="BB374" s="166"/>
      <c r="BC374" s="166"/>
      <c r="BD374" s="166"/>
      <c r="BE374" s="166"/>
      <c r="BF374" s="166"/>
      <c r="BG374" s="166"/>
      <c r="BH374" s="166"/>
      <c r="BI374" s="165"/>
      <c r="BJ374" s="165"/>
      <c r="BK374" s="165"/>
      <c r="BL374" s="165"/>
      <c r="BM374" s="165"/>
      <c r="BN374" s="165"/>
      <c r="BO374" s="165"/>
      <c r="BP374" s="165"/>
      <c r="BQ374" s="166" t="s">
        <v>666</v>
      </c>
      <c r="BR374" s="165" t="s">
        <v>675</v>
      </c>
      <c r="BS374" s="124">
        <v>46</v>
      </c>
      <c r="BT374" s="124" t="s">
        <v>668</v>
      </c>
    </row>
    <row r="375" spans="1:72" s="124" customFormat="1" ht="14.25" hidden="1" customHeight="1" x14ac:dyDescent="0.2">
      <c r="A375" s="205">
        <v>47</v>
      </c>
      <c r="B375" s="235" t="s">
        <v>671</v>
      </c>
      <c r="C375" s="236" t="s">
        <v>672</v>
      </c>
      <c r="D375" s="235" t="s">
        <v>692</v>
      </c>
      <c r="E375" s="125" t="s">
        <v>54</v>
      </c>
      <c r="F375" s="181" t="s">
        <v>55</v>
      </c>
      <c r="G375" s="181" t="s">
        <v>76</v>
      </c>
      <c r="H375" s="181" t="s">
        <v>453</v>
      </c>
      <c r="I375" s="181"/>
      <c r="J375" s="178">
        <v>1200</v>
      </c>
      <c r="K375" s="182"/>
      <c r="L375" s="182" t="s">
        <v>58</v>
      </c>
      <c r="M375" s="178" t="s">
        <v>78</v>
      </c>
      <c r="N375" s="178">
        <v>0</v>
      </c>
      <c r="O375" s="178" t="s">
        <v>60</v>
      </c>
      <c r="P375" s="178"/>
      <c r="Q375" s="179"/>
      <c r="R375" s="179" t="s">
        <v>674</v>
      </c>
      <c r="S375" s="180">
        <v>60</v>
      </c>
      <c r="T375" s="179"/>
      <c r="U375" s="179"/>
      <c r="V375" s="167"/>
      <c r="W375" s="168"/>
      <c r="X375" s="168"/>
      <c r="Y375" s="167"/>
      <c r="Z375" s="169" t="s">
        <v>63</v>
      </c>
      <c r="AA375" s="166">
        <v>1</v>
      </c>
      <c r="AB375" s="166">
        <v>0</v>
      </c>
      <c r="AC375" s="165"/>
      <c r="AD375" s="165"/>
      <c r="AE375" s="165"/>
      <c r="AF375" s="165"/>
      <c r="AG375" s="165"/>
      <c r="AH375" s="165"/>
      <c r="AI375" s="165"/>
      <c r="AJ375" s="165"/>
      <c r="AK375" s="166"/>
      <c r="AL375" s="166"/>
      <c r="AM375" s="166"/>
      <c r="AN375" s="166"/>
      <c r="AO375" s="166"/>
      <c r="AP375" s="166"/>
      <c r="AQ375" s="166"/>
      <c r="AR375" s="166"/>
      <c r="AS375" s="165"/>
      <c r="AT375" s="165"/>
      <c r="AU375" s="165"/>
      <c r="AV375" s="165"/>
      <c r="AW375" s="165"/>
      <c r="AX375" s="165"/>
      <c r="AY375" s="165"/>
      <c r="AZ375" s="165"/>
      <c r="BA375" s="166"/>
      <c r="BB375" s="166"/>
      <c r="BC375" s="166"/>
      <c r="BD375" s="166"/>
      <c r="BE375" s="166"/>
      <c r="BF375" s="166"/>
      <c r="BG375" s="166"/>
      <c r="BH375" s="166"/>
      <c r="BI375" s="165"/>
      <c r="BJ375" s="165"/>
      <c r="BK375" s="165"/>
      <c r="BL375" s="165"/>
      <c r="BM375" s="165"/>
      <c r="BN375" s="165"/>
      <c r="BO375" s="165"/>
      <c r="BP375" s="165"/>
      <c r="BQ375" s="166" t="s">
        <v>666</v>
      </c>
      <c r="BR375" s="165" t="s">
        <v>675</v>
      </c>
      <c r="BS375" s="124">
        <v>47</v>
      </c>
      <c r="BT375" s="124" t="s">
        <v>668</v>
      </c>
    </row>
    <row r="376" spans="1:72" s="124" customFormat="1" ht="14.25" hidden="1" customHeight="1" x14ac:dyDescent="0.2">
      <c r="A376" s="205">
        <v>48</v>
      </c>
      <c r="B376" s="235" t="s">
        <v>693</v>
      </c>
      <c r="C376" s="237" t="s">
        <v>498</v>
      </c>
      <c r="D376" s="233" t="s">
        <v>694</v>
      </c>
      <c r="E376" s="125" t="s">
        <v>54</v>
      </c>
      <c r="F376" s="181" t="s">
        <v>103</v>
      </c>
      <c r="G376" s="181" t="s">
        <v>56</v>
      </c>
      <c r="H376" s="181" t="s">
        <v>157</v>
      </c>
      <c r="I376" s="181"/>
      <c r="J376" s="178">
        <v>10</v>
      </c>
      <c r="K376" s="182"/>
      <c r="L376" s="182" t="s">
        <v>107</v>
      </c>
      <c r="M376" s="178" t="s">
        <v>59</v>
      </c>
      <c r="N376" s="178">
        <v>0</v>
      </c>
      <c r="O376" s="178" t="s">
        <v>60</v>
      </c>
      <c r="P376" s="178" t="s">
        <v>1502</v>
      </c>
      <c r="Q376" s="179" t="s">
        <v>54</v>
      </c>
      <c r="R376" s="179" t="s">
        <v>664</v>
      </c>
      <c r="S376" s="180"/>
      <c r="T376" s="179"/>
      <c r="U376" s="179"/>
      <c r="V376" s="167"/>
      <c r="W376" s="168"/>
      <c r="X376" s="168"/>
      <c r="Y376" s="167"/>
      <c r="Z376" s="169" t="s">
        <v>63</v>
      </c>
      <c r="AA376" s="166">
        <v>4</v>
      </c>
      <c r="AB376" s="166">
        <v>0</v>
      </c>
      <c r="AC376" s="165"/>
      <c r="AD376" s="165"/>
      <c r="AE376" s="165"/>
      <c r="AF376" s="165"/>
      <c r="AG376" s="165"/>
      <c r="AH376" s="165"/>
      <c r="AI376" s="165"/>
      <c r="AJ376" s="165"/>
      <c r="AK376" s="166">
        <v>75.75</v>
      </c>
      <c r="AL376" s="166" t="s">
        <v>81</v>
      </c>
      <c r="AM376" s="166" t="s">
        <v>389</v>
      </c>
      <c r="AN376" s="166"/>
      <c r="AO376" s="166"/>
      <c r="AP376" s="166"/>
      <c r="AQ376" s="166">
        <v>64</v>
      </c>
      <c r="AR376" s="166">
        <v>94</v>
      </c>
      <c r="AS376" s="165"/>
      <c r="AT376" s="165"/>
      <c r="AU376" s="165"/>
      <c r="AV376" s="165"/>
      <c r="AW376" s="165"/>
      <c r="AX376" s="165"/>
      <c r="AY376" s="165"/>
      <c r="AZ376" s="165"/>
      <c r="BA376" s="166"/>
      <c r="BB376" s="166"/>
      <c r="BC376" s="166"/>
      <c r="BD376" s="166"/>
      <c r="BE376" s="166"/>
      <c r="BF376" s="166"/>
      <c r="BG376" s="166"/>
      <c r="BH376" s="166"/>
      <c r="BI376" s="165"/>
      <c r="BJ376" s="165"/>
      <c r="BK376" s="165"/>
      <c r="BL376" s="165"/>
      <c r="BM376" s="165"/>
      <c r="BN376" s="165"/>
      <c r="BO376" s="165"/>
      <c r="BP376" s="165"/>
      <c r="BQ376" s="166" t="s">
        <v>666</v>
      </c>
      <c r="BR376" s="165" t="s">
        <v>1503</v>
      </c>
      <c r="BS376" s="124">
        <v>48</v>
      </c>
    </row>
    <row r="377" spans="1:72" s="124" customFormat="1" ht="14.25" hidden="1" customHeight="1" x14ac:dyDescent="0.2">
      <c r="A377" s="205">
        <v>49</v>
      </c>
      <c r="B377" s="233" t="s">
        <v>695</v>
      </c>
      <c r="C377" s="237" t="s">
        <v>696</v>
      </c>
      <c r="D377" s="235" t="s">
        <v>220</v>
      </c>
      <c r="E377" s="125" t="s">
        <v>102</v>
      </c>
      <c r="F377" s="181" t="s">
        <v>103</v>
      </c>
      <c r="G377" s="181" t="s">
        <v>56</v>
      </c>
      <c r="H377" s="181" t="s">
        <v>57</v>
      </c>
      <c r="I377" s="181" t="s">
        <v>1442</v>
      </c>
      <c r="J377" s="178">
        <v>7.5</v>
      </c>
      <c r="K377" s="182"/>
      <c r="L377" s="182" t="s">
        <v>58</v>
      </c>
      <c r="M377" s="178" t="s">
        <v>59</v>
      </c>
      <c r="N377" s="178">
        <v>0</v>
      </c>
      <c r="O377" s="178" t="s">
        <v>60</v>
      </c>
      <c r="P377" s="178"/>
      <c r="Q377" s="179"/>
      <c r="R377" s="179" t="s">
        <v>1443</v>
      </c>
      <c r="S377" s="180"/>
      <c r="T377" s="179">
        <v>150</v>
      </c>
      <c r="U377" s="179"/>
      <c r="V377" s="167" t="s">
        <v>700</v>
      </c>
      <c r="W377" s="168">
        <v>3</v>
      </c>
      <c r="X377" s="168">
        <v>4</v>
      </c>
      <c r="Y377" s="167"/>
      <c r="Z377" s="169" t="s">
        <v>63</v>
      </c>
      <c r="AA377" s="166">
        <v>12</v>
      </c>
      <c r="AB377" s="166">
        <v>8</v>
      </c>
      <c r="AC377" s="165"/>
      <c r="AD377" s="165" t="s">
        <v>80</v>
      </c>
      <c r="AE377" s="165"/>
      <c r="AF377" s="165"/>
      <c r="AG377" s="165"/>
      <c r="AH377" s="165"/>
      <c r="AI377" s="165">
        <v>19</v>
      </c>
      <c r="AJ377" s="165">
        <v>30</v>
      </c>
      <c r="AK377" s="166"/>
      <c r="AL377" s="166" t="s">
        <v>81</v>
      </c>
      <c r="AM377" s="166"/>
      <c r="AN377" s="166"/>
      <c r="AO377" s="166"/>
      <c r="AP377" s="166"/>
      <c r="AQ377" s="166">
        <v>54</v>
      </c>
      <c r="AR377" s="166">
        <v>98</v>
      </c>
      <c r="AS377" s="165"/>
      <c r="AT377" s="165"/>
      <c r="AU377" s="165"/>
      <c r="AV377" s="165"/>
      <c r="AW377" s="165"/>
      <c r="AX377" s="165"/>
      <c r="AY377" s="165"/>
      <c r="AZ377" s="165"/>
      <c r="BA377" s="166"/>
      <c r="BB377" s="166"/>
      <c r="BC377" s="166"/>
      <c r="BD377" s="166"/>
      <c r="BE377" s="166"/>
      <c r="BF377" s="166"/>
      <c r="BG377" s="166"/>
      <c r="BH377" s="166"/>
      <c r="BI377" s="165"/>
      <c r="BJ377" s="165"/>
      <c r="BK377" s="165"/>
      <c r="BL377" s="165"/>
      <c r="BM377" s="165"/>
      <c r="BN377" s="165"/>
      <c r="BO377" s="165"/>
      <c r="BP377" s="165"/>
      <c r="BQ377" s="166" t="s">
        <v>408</v>
      </c>
      <c r="BR377" s="165" t="s">
        <v>1444</v>
      </c>
      <c r="BS377" s="124">
        <v>49</v>
      </c>
    </row>
    <row r="378" spans="1:72" s="124" customFormat="1" ht="14.25" hidden="1" customHeight="1" x14ac:dyDescent="0.2">
      <c r="A378" s="205">
        <v>50</v>
      </c>
      <c r="B378" s="233" t="s">
        <v>695</v>
      </c>
      <c r="C378" s="237" t="s">
        <v>696</v>
      </c>
      <c r="D378" s="235" t="s">
        <v>414</v>
      </c>
      <c r="E378" s="125" t="s">
        <v>102</v>
      </c>
      <c r="F378" s="181" t="s">
        <v>103</v>
      </c>
      <c r="G378" s="181" t="s">
        <v>56</v>
      </c>
      <c r="H378" s="181" t="s">
        <v>57</v>
      </c>
      <c r="I378" s="181"/>
      <c r="J378" s="178">
        <v>7.5</v>
      </c>
      <c r="K378" s="182"/>
      <c r="L378" s="182" t="s">
        <v>58</v>
      </c>
      <c r="M378" s="178" t="s">
        <v>59</v>
      </c>
      <c r="N378" s="178">
        <v>74</v>
      </c>
      <c r="O378" s="178" t="s">
        <v>60</v>
      </c>
      <c r="P378" s="178"/>
      <c r="Q378" s="179"/>
      <c r="R378" s="179" t="s">
        <v>1443</v>
      </c>
      <c r="S378" s="180"/>
      <c r="T378" s="179">
        <v>150</v>
      </c>
      <c r="U378" s="179"/>
      <c r="V378" s="167" t="s">
        <v>700</v>
      </c>
      <c r="W378" s="168">
        <v>3</v>
      </c>
      <c r="X378" s="168">
        <v>4</v>
      </c>
      <c r="Y378" s="167"/>
      <c r="Z378" s="169" t="s">
        <v>63</v>
      </c>
      <c r="AA378" s="166">
        <v>12</v>
      </c>
      <c r="AB378" s="166">
        <v>8</v>
      </c>
      <c r="AC378" s="165"/>
      <c r="AD378" s="165"/>
      <c r="AE378" s="165"/>
      <c r="AF378" s="165"/>
      <c r="AG378" s="165"/>
      <c r="AH378" s="165"/>
      <c r="AI378" s="165"/>
      <c r="AJ378" s="165"/>
      <c r="AK378" s="166"/>
      <c r="AL378" s="166"/>
      <c r="AM378" s="166"/>
      <c r="AN378" s="166"/>
      <c r="AO378" s="166"/>
      <c r="AP378" s="166"/>
      <c r="AQ378" s="166"/>
      <c r="AR378" s="166"/>
      <c r="AS378" s="165"/>
      <c r="AT378" s="165"/>
      <c r="AU378" s="165"/>
      <c r="AV378" s="165"/>
      <c r="AW378" s="165"/>
      <c r="AX378" s="165"/>
      <c r="AY378" s="165"/>
      <c r="AZ378" s="165"/>
      <c r="BA378" s="166"/>
      <c r="BB378" s="166"/>
      <c r="BC378" s="166"/>
      <c r="BD378" s="166"/>
      <c r="BE378" s="166"/>
      <c r="BF378" s="166"/>
      <c r="BG378" s="166"/>
      <c r="BH378" s="166"/>
      <c r="BI378" s="165"/>
      <c r="BJ378" s="165"/>
      <c r="BK378" s="165"/>
      <c r="BL378" s="165"/>
      <c r="BM378" s="165"/>
      <c r="BN378" s="165"/>
      <c r="BO378" s="165"/>
      <c r="BP378" s="165"/>
      <c r="BQ378" s="166" t="s">
        <v>408</v>
      </c>
      <c r="BR378" s="165" t="s">
        <v>1444</v>
      </c>
      <c r="BS378" s="124">
        <v>50</v>
      </c>
    </row>
    <row r="379" spans="1:72" s="124" customFormat="1" ht="14.25" hidden="1" customHeight="1" x14ac:dyDescent="0.2">
      <c r="A379" s="205">
        <v>53</v>
      </c>
      <c r="B379" s="235" t="s">
        <v>697</v>
      </c>
      <c r="C379" s="236" t="s">
        <v>698</v>
      </c>
      <c r="D379" s="235" t="s">
        <v>220</v>
      </c>
      <c r="E379" s="125" t="s">
        <v>102</v>
      </c>
      <c r="F379" s="181" t="s">
        <v>103</v>
      </c>
      <c r="G379" s="181" t="s">
        <v>56</v>
      </c>
      <c r="H379" s="181" t="s">
        <v>57</v>
      </c>
      <c r="I379" s="181"/>
      <c r="J379" s="178">
        <v>15</v>
      </c>
      <c r="K379" s="182"/>
      <c r="L379" s="182" t="s">
        <v>58</v>
      </c>
      <c r="M379" s="178" t="s">
        <v>59</v>
      </c>
      <c r="N379" s="178">
        <v>0</v>
      </c>
      <c r="O379" s="178" t="s">
        <v>60</v>
      </c>
      <c r="P379" s="178"/>
      <c r="Q379" s="179"/>
      <c r="R379" s="179" t="s">
        <v>699</v>
      </c>
      <c r="S379" s="180"/>
      <c r="T379" s="179">
        <v>150</v>
      </c>
      <c r="U379" s="179"/>
      <c r="V379" s="167" t="s">
        <v>700</v>
      </c>
      <c r="W379" s="168">
        <v>3</v>
      </c>
      <c r="X379" s="168">
        <v>4</v>
      </c>
      <c r="Y379" s="167"/>
      <c r="Z379" s="169" t="s">
        <v>63</v>
      </c>
      <c r="AA379" s="166">
        <v>10</v>
      </c>
      <c r="AB379" s="166">
        <v>5</v>
      </c>
      <c r="AC379" s="165"/>
      <c r="AD379" s="165" t="s">
        <v>80</v>
      </c>
      <c r="AE379" s="165"/>
      <c r="AF379" s="165"/>
      <c r="AG379" s="165"/>
      <c r="AH379" s="165"/>
      <c r="AI379" s="165">
        <v>19</v>
      </c>
      <c r="AJ379" s="165">
        <v>30</v>
      </c>
      <c r="AK379" s="166"/>
      <c r="AL379" s="166" t="s">
        <v>81</v>
      </c>
      <c r="AM379" s="166"/>
      <c r="AN379" s="166"/>
      <c r="AO379" s="166"/>
      <c r="AP379" s="166"/>
      <c r="AQ379" s="166">
        <v>50</v>
      </c>
      <c r="AR379" s="166">
        <v>93</v>
      </c>
      <c r="AS379" s="165"/>
      <c r="AT379" s="165"/>
      <c r="AU379" s="165"/>
      <c r="AV379" s="165"/>
      <c r="AW379" s="165"/>
      <c r="AX379" s="165"/>
      <c r="AY379" s="165"/>
      <c r="AZ379" s="165"/>
      <c r="BA379" s="166"/>
      <c r="BB379" s="166"/>
      <c r="BC379" s="166"/>
      <c r="BD379" s="166"/>
      <c r="BE379" s="166"/>
      <c r="BF379" s="166"/>
      <c r="BG379" s="166"/>
      <c r="BH379" s="166"/>
      <c r="BI379" s="165"/>
      <c r="BJ379" s="165"/>
      <c r="BK379" s="165"/>
      <c r="BL379" s="165"/>
      <c r="BM379" s="165"/>
      <c r="BN379" s="165"/>
      <c r="BO379" s="165"/>
      <c r="BP379" s="165"/>
      <c r="BQ379" s="166" t="s">
        <v>408</v>
      </c>
      <c r="BR379" s="165" t="s">
        <v>701</v>
      </c>
      <c r="BS379" s="124">
        <v>53</v>
      </c>
      <c r="BT379" s="124" t="s">
        <v>668</v>
      </c>
    </row>
    <row r="380" spans="1:72" s="124" customFormat="1" ht="14.25" hidden="1" customHeight="1" x14ac:dyDescent="0.2">
      <c r="A380" s="205">
        <v>54</v>
      </c>
      <c r="B380" s="235" t="s">
        <v>697</v>
      </c>
      <c r="C380" s="236" t="s">
        <v>698</v>
      </c>
      <c r="D380" s="235" t="s">
        <v>225</v>
      </c>
      <c r="E380" s="125" t="s">
        <v>102</v>
      </c>
      <c r="F380" s="181" t="s">
        <v>103</v>
      </c>
      <c r="G380" s="181" t="s">
        <v>56</v>
      </c>
      <c r="H380" s="181" t="s">
        <v>57</v>
      </c>
      <c r="I380" s="181"/>
      <c r="J380" s="178">
        <v>15</v>
      </c>
      <c r="K380" s="182"/>
      <c r="L380" s="182" t="s">
        <v>58</v>
      </c>
      <c r="M380" s="178" t="s">
        <v>59</v>
      </c>
      <c r="N380" s="178">
        <v>113</v>
      </c>
      <c r="O380" s="178" t="s">
        <v>60</v>
      </c>
      <c r="P380" s="178"/>
      <c r="Q380" s="179"/>
      <c r="R380" s="179" t="s">
        <v>699</v>
      </c>
      <c r="S380" s="180"/>
      <c r="T380" s="179">
        <v>150</v>
      </c>
      <c r="U380" s="179"/>
      <c r="V380" s="167" t="s">
        <v>700</v>
      </c>
      <c r="W380" s="168">
        <v>3</v>
      </c>
      <c r="X380" s="168">
        <v>4</v>
      </c>
      <c r="Y380" s="167"/>
      <c r="Z380" s="169" t="s">
        <v>63</v>
      </c>
      <c r="AA380" s="166">
        <v>10</v>
      </c>
      <c r="AB380" s="166">
        <v>5</v>
      </c>
      <c r="AC380" s="165"/>
      <c r="AD380" s="165" t="s">
        <v>80</v>
      </c>
      <c r="AE380" s="165"/>
      <c r="AF380" s="165"/>
      <c r="AG380" s="165"/>
      <c r="AH380" s="165"/>
      <c r="AI380" s="165">
        <v>19</v>
      </c>
      <c r="AJ380" s="165">
        <v>30</v>
      </c>
      <c r="AK380" s="166"/>
      <c r="AL380" s="166" t="s">
        <v>81</v>
      </c>
      <c r="AM380" s="166"/>
      <c r="AN380" s="166"/>
      <c r="AO380" s="166"/>
      <c r="AP380" s="166"/>
      <c r="AQ380" s="166">
        <v>50</v>
      </c>
      <c r="AR380" s="166">
        <v>93</v>
      </c>
      <c r="AS380" s="165"/>
      <c r="AT380" s="165"/>
      <c r="AU380" s="165"/>
      <c r="AV380" s="165"/>
      <c r="AW380" s="165"/>
      <c r="AX380" s="165"/>
      <c r="AY380" s="165"/>
      <c r="AZ380" s="165"/>
      <c r="BA380" s="166"/>
      <c r="BB380" s="166"/>
      <c r="BC380" s="166"/>
      <c r="BD380" s="166"/>
      <c r="BE380" s="166"/>
      <c r="BF380" s="166"/>
      <c r="BG380" s="166"/>
      <c r="BH380" s="166"/>
      <c r="BI380" s="165"/>
      <c r="BJ380" s="165"/>
      <c r="BK380" s="165"/>
      <c r="BL380" s="165"/>
      <c r="BM380" s="165"/>
      <c r="BN380" s="165"/>
      <c r="BO380" s="165"/>
      <c r="BP380" s="165"/>
      <c r="BQ380" s="166" t="s">
        <v>408</v>
      </c>
      <c r="BR380" s="165" t="s">
        <v>701</v>
      </c>
      <c r="BS380" s="124">
        <v>54</v>
      </c>
      <c r="BT380" s="124" t="s">
        <v>668</v>
      </c>
    </row>
    <row r="381" spans="1:72" s="124" customFormat="1" ht="14.25" hidden="1" customHeight="1" x14ac:dyDescent="0.2">
      <c r="A381" s="205">
        <v>55</v>
      </c>
      <c r="B381" s="235" t="s">
        <v>702</v>
      </c>
      <c r="C381" s="236" t="s">
        <v>703</v>
      </c>
      <c r="D381" s="235" t="s">
        <v>704</v>
      </c>
      <c r="E381" s="125" t="s">
        <v>102</v>
      </c>
      <c r="F381" s="181" t="s">
        <v>103</v>
      </c>
      <c r="G381" s="134" t="s">
        <v>56</v>
      </c>
      <c r="H381" s="181" t="s">
        <v>705</v>
      </c>
      <c r="I381" s="181"/>
      <c r="J381" s="178">
        <v>15</v>
      </c>
      <c r="K381" s="182"/>
      <c r="L381" s="182" t="s">
        <v>58</v>
      </c>
      <c r="M381" s="178" t="s">
        <v>59</v>
      </c>
      <c r="N381" s="178">
        <v>0</v>
      </c>
      <c r="O381" s="178" t="s">
        <v>60</v>
      </c>
      <c r="P381" s="178" t="s">
        <v>79</v>
      </c>
      <c r="Q381" s="179" t="s">
        <v>706</v>
      </c>
      <c r="R381" s="179" t="s">
        <v>707</v>
      </c>
      <c r="S381" s="180"/>
      <c r="T381" s="180">
        <v>150</v>
      </c>
      <c r="U381" s="179" t="s">
        <v>708</v>
      </c>
      <c r="V381" s="167" t="s">
        <v>62</v>
      </c>
      <c r="W381" s="168">
        <v>2</v>
      </c>
      <c r="X381" s="168">
        <v>4</v>
      </c>
      <c r="Y381" s="167"/>
      <c r="Z381" s="169" t="s">
        <v>63</v>
      </c>
      <c r="AA381" s="166">
        <v>9</v>
      </c>
      <c r="AB381" s="166">
        <v>5</v>
      </c>
      <c r="AC381" s="165"/>
      <c r="AD381" s="165" t="s">
        <v>80</v>
      </c>
      <c r="AE381" s="165"/>
      <c r="AF381" s="165"/>
      <c r="AG381" s="165"/>
      <c r="AH381" s="165"/>
      <c r="AI381" s="165">
        <v>22</v>
      </c>
      <c r="AJ381" s="165">
        <v>34</v>
      </c>
      <c r="AK381" s="166"/>
      <c r="AL381" s="166" t="s">
        <v>81</v>
      </c>
      <c r="AM381" s="166"/>
      <c r="AN381" s="166"/>
      <c r="AO381" s="166"/>
      <c r="AP381" s="166"/>
      <c r="AQ381" s="166">
        <v>55</v>
      </c>
      <c r="AR381" s="166">
        <v>78</v>
      </c>
      <c r="AS381" s="165"/>
      <c r="AT381" s="165"/>
      <c r="AU381" s="165"/>
      <c r="AV381" s="165"/>
      <c r="AW381" s="165"/>
      <c r="AX381" s="165"/>
      <c r="AY381" s="165"/>
      <c r="AZ381" s="165"/>
      <c r="BA381" s="166"/>
      <c r="BB381" s="166"/>
      <c r="BC381" s="166"/>
      <c r="BD381" s="166"/>
      <c r="BE381" s="166"/>
      <c r="BF381" s="166"/>
      <c r="BG381" s="166"/>
      <c r="BH381" s="166"/>
      <c r="BI381" s="165"/>
      <c r="BJ381" s="165"/>
      <c r="BK381" s="165"/>
      <c r="BL381" s="165"/>
      <c r="BM381" s="165"/>
      <c r="BN381" s="165"/>
      <c r="BO381" s="165"/>
      <c r="BP381" s="165"/>
      <c r="BQ381" s="166" t="s">
        <v>408</v>
      </c>
      <c r="BR381" s="165" t="s">
        <v>709</v>
      </c>
      <c r="BS381" s="124">
        <v>55</v>
      </c>
      <c r="BT381" s="124" t="s">
        <v>668</v>
      </c>
    </row>
    <row r="382" spans="1:72" s="124" customFormat="1" ht="14.25" hidden="1" customHeight="1" x14ac:dyDescent="0.2">
      <c r="A382" s="205">
        <v>56</v>
      </c>
      <c r="B382" s="235" t="s">
        <v>702</v>
      </c>
      <c r="C382" s="236" t="s">
        <v>703</v>
      </c>
      <c r="D382" s="235" t="s">
        <v>710</v>
      </c>
      <c r="E382" s="125" t="s">
        <v>102</v>
      </c>
      <c r="F382" s="181" t="s">
        <v>103</v>
      </c>
      <c r="G382" s="134" t="s">
        <v>56</v>
      </c>
      <c r="H382" s="181" t="s">
        <v>705</v>
      </c>
      <c r="I382" s="181"/>
      <c r="J382" s="178">
        <v>15</v>
      </c>
      <c r="K382" s="182"/>
      <c r="L382" s="182" t="s">
        <v>58</v>
      </c>
      <c r="M382" s="178" t="s">
        <v>59</v>
      </c>
      <c r="N382" s="178">
        <v>113</v>
      </c>
      <c r="O382" s="178" t="s">
        <v>60</v>
      </c>
      <c r="P382" s="178" t="s">
        <v>79</v>
      </c>
      <c r="Q382" s="179" t="s">
        <v>706</v>
      </c>
      <c r="R382" s="179" t="s">
        <v>707</v>
      </c>
      <c r="S382" s="180"/>
      <c r="T382" s="180">
        <v>150</v>
      </c>
      <c r="U382" s="179" t="s">
        <v>708</v>
      </c>
      <c r="V382" s="167" t="s">
        <v>62</v>
      </c>
      <c r="W382" s="168">
        <v>2</v>
      </c>
      <c r="X382" s="168">
        <v>4</v>
      </c>
      <c r="Y382" s="167"/>
      <c r="Z382" s="169" t="s">
        <v>63</v>
      </c>
      <c r="AA382" s="166">
        <v>9</v>
      </c>
      <c r="AB382" s="166">
        <v>5</v>
      </c>
      <c r="AC382" s="165"/>
      <c r="AD382" s="165" t="s">
        <v>80</v>
      </c>
      <c r="AE382" s="165"/>
      <c r="AF382" s="165"/>
      <c r="AG382" s="165"/>
      <c r="AH382" s="165"/>
      <c r="AI382" s="165">
        <v>22</v>
      </c>
      <c r="AJ382" s="165">
        <v>34</v>
      </c>
      <c r="AK382" s="166"/>
      <c r="AL382" s="166" t="s">
        <v>81</v>
      </c>
      <c r="AM382" s="166"/>
      <c r="AN382" s="166"/>
      <c r="AO382" s="166"/>
      <c r="AP382" s="166"/>
      <c r="AQ382" s="166">
        <v>55</v>
      </c>
      <c r="AR382" s="166">
        <v>78</v>
      </c>
      <c r="AS382" s="165"/>
      <c r="AT382" s="165"/>
      <c r="AU382" s="165"/>
      <c r="AV382" s="165"/>
      <c r="AW382" s="165"/>
      <c r="AX382" s="165"/>
      <c r="AY382" s="165"/>
      <c r="AZ382" s="165"/>
      <c r="BA382" s="166"/>
      <c r="BB382" s="166"/>
      <c r="BC382" s="166"/>
      <c r="BD382" s="166"/>
      <c r="BE382" s="166"/>
      <c r="BF382" s="166"/>
      <c r="BG382" s="166"/>
      <c r="BH382" s="166"/>
      <c r="BI382" s="165"/>
      <c r="BJ382" s="165"/>
      <c r="BK382" s="165"/>
      <c r="BL382" s="165"/>
      <c r="BM382" s="165"/>
      <c r="BN382" s="165"/>
      <c r="BO382" s="165"/>
      <c r="BP382" s="165"/>
      <c r="BQ382" s="166" t="s">
        <v>408</v>
      </c>
      <c r="BR382" s="165" t="s">
        <v>709</v>
      </c>
      <c r="BS382" s="124">
        <v>56</v>
      </c>
      <c r="BT382" s="124" t="s">
        <v>668</v>
      </c>
    </row>
    <row r="383" spans="1:72" s="124" customFormat="1" ht="14.25" hidden="1" customHeight="1" x14ac:dyDescent="0.2">
      <c r="A383" s="205">
        <v>57</v>
      </c>
      <c r="B383" s="235" t="s">
        <v>702</v>
      </c>
      <c r="C383" s="236" t="s">
        <v>703</v>
      </c>
      <c r="D383" s="235" t="s">
        <v>711</v>
      </c>
      <c r="E383" s="125" t="s">
        <v>102</v>
      </c>
      <c r="F383" s="181" t="s">
        <v>103</v>
      </c>
      <c r="G383" s="134" t="s">
        <v>56</v>
      </c>
      <c r="H383" s="181" t="s">
        <v>705</v>
      </c>
      <c r="I383" s="181"/>
      <c r="J383" s="178">
        <v>15</v>
      </c>
      <c r="K383" s="182"/>
      <c r="L383" s="182" t="s">
        <v>58</v>
      </c>
      <c r="M383" s="178" t="s">
        <v>59</v>
      </c>
      <c r="N383" s="178">
        <v>185</v>
      </c>
      <c r="O383" s="178" t="s">
        <v>60</v>
      </c>
      <c r="P383" s="178" t="s">
        <v>79</v>
      </c>
      <c r="Q383" s="179" t="s">
        <v>706</v>
      </c>
      <c r="R383" s="179" t="s">
        <v>707</v>
      </c>
      <c r="S383" s="180"/>
      <c r="T383" s="180">
        <v>150</v>
      </c>
      <c r="U383" s="179" t="s">
        <v>708</v>
      </c>
      <c r="V383" s="167" t="s">
        <v>62</v>
      </c>
      <c r="W383" s="168">
        <v>2</v>
      </c>
      <c r="X383" s="168">
        <v>4</v>
      </c>
      <c r="Y383" s="167"/>
      <c r="Z383" s="169" t="s">
        <v>63</v>
      </c>
      <c r="AA383" s="166">
        <v>9</v>
      </c>
      <c r="AB383" s="166">
        <v>5</v>
      </c>
      <c r="AC383" s="165"/>
      <c r="AD383" s="165" t="s">
        <v>80</v>
      </c>
      <c r="AE383" s="165"/>
      <c r="AF383" s="165"/>
      <c r="AG383" s="165"/>
      <c r="AH383" s="165"/>
      <c r="AI383" s="165">
        <v>22</v>
      </c>
      <c r="AJ383" s="165">
        <v>34</v>
      </c>
      <c r="AK383" s="166"/>
      <c r="AL383" s="166" t="s">
        <v>81</v>
      </c>
      <c r="AM383" s="166"/>
      <c r="AN383" s="166"/>
      <c r="AO383" s="166"/>
      <c r="AP383" s="166"/>
      <c r="AQ383" s="166">
        <v>55</v>
      </c>
      <c r="AR383" s="166">
        <v>78</v>
      </c>
      <c r="AS383" s="165"/>
      <c r="AT383" s="165"/>
      <c r="AU383" s="165"/>
      <c r="AV383" s="165"/>
      <c r="AW383" s="165"/>
      <c r="AX383" s="165"/>
      <c r="AY383" s="165"/>
      <c r="AZ383" s="165"/>
      <c r="BA383" s="166"/>
      <c r="BB383" s="166"/>
      <c r="BC383" s="166"/>
      <c r="BD383" s="166"/>
      <c r="BE383" s="166"/>
      <c r="BF383" s="166"/>
      <c r="BG383" s="166"/>
      <c r="BH383" s="166"/>
      <c r="BI383" s="165"/>
      <c r="BJ383" s="165"/>
      <c r="BK383" s="165"/>
      <c r="BL383" s="165"/>
      <c r="BM383" s="165"/>
      <c r="BN383" s="165"/>
      <c r="BO383" s="165"/>
      <c r="BP383" s="165"/>
      <c r="BQ383" s="166" t="s">
        <v>408</v>
      </c>
      <c r="BR383" s="165" t="s">
        <v>709</v>
      </c>
      <c r="BS383" s="124">
        <v>57</v>
      </c>
      <c r="BT383" s="124" t="s">
        <v>668</v>
      </c>
    </row>
    <row r="384" spans="1:72" s="124" customFormat="1" ht="14.25" hidden="1" customHeight="1" x14ac:dyDescent="0.2">
      <c r="A384" s="205">
        <v>58</v>
      </c>
      <c r="B384" s="235" t="s">
        <v>702</v>
      </c>
      <c r="C384" s="236" t="s">
        <v>703</v>
      </c>
      <c r="D384" s="235" t="s">
        <v>712</v>
      </c>
      <c r="E384" s="125" t="s">
        <v>102</v>
      </c>
      <c r="F384" s="181" t="s">
        <v>103</v>
      </c>
      <c r="G384" s="134" t="s">
        <v>56</v>
      </c>
      <c r="H384" s="181" t="s">
        <v>705</v>
      </c>
      <c r="I384" s="181" t="s">
        <v>713</v>
      </c>
      <c r="J384" s="178" t="s">
        <v>714</v>
      </c>
      <c r="K384" s="182"/>
      <c r="L384" s="182" t="s">
        <v>58</v>
      </c>
      <c r="M384" s="178" t="s">
        <v>59</v>
      </c>
      <c r="N384" s="178">
        <v>74</v>
      </c>
      <c r="O384" s="178" t="s">
        <v>60</v>
      </c>
      <c r="P384" s="178" t="s">
        <v>79</v>
      </c>
      <c r="Q384" s="179" t="s">
        <v>706</v>
      </c>
      <c r="R384" s="179" t="s">
        <v>707</v>
      </c>
      <c r="S384" s="180"/>
      <c r="T384" s="180">
        <v>150</v>
      </c>
      <c r="U384" s="179" t="s">
        <v>708</v>
      </c>
      <c r="V384" s="167" t="s">
        <v>62</v>
      </c>
      <c r="W384" s="168">
        <v>2</v>
      </c>
      <c r="X384" s="168">
        <v>4</v>
      </c>
      <c r="Y384" s="167"/>
      <c r="Z384" s="169" t="s">
        <v>63</v>
      </c>
      <c r="AA384" s="166">
        <v>9</v>
      </c>
      <c r="AB384" s="166">
        <v>5</v>
      </c>
      <c r="AC384" s="165"/>
      <c r="AD384" s="165" t="s">
        <v>80</v>
      </c>
      <c r="AE384" s="165"/>
      <c r="AF384" s="165"/>
      <c r="AG384" s="165"/>
      <c r="AH384" s="165"/>
      <c r="AI384" s="165">
        <v>22</v>
      </c>
      <c r="AJ384" s="165">
        <v>34</v>
      </c>
      <c r="AK384" s="166"/>
      <c r="AL384" s="166" t="s">
        <v>81</v>
      </c>
      <c r="AM384" s="166"/>
      <c r="AN384" s="166"/>
      <c r="AO384" s="166"/>
      <c r="AP384" s="166"/>
      <c r="AQ384" s="166">
        <v>55</v>
      </c>
      <c r="AR384" s="166">
        <v>78</v>
      </c>
      <c r="AS384" s="165"/>
      <c r="AT384" s="165"/>
      <c r="AU384" s="165"/>
      <c r="AV384" s="165"/>
      <c r="AW384" s="165"/>
      <c r="AX384" s="165"/>
      <c r="AY384" s="165"/>
      <c r="AZ384" s="165"/>
      <c r="BA384" s="166"/>
      <c r="BB384" s="166"/>
      <c r="BC384" s="166"/>
      <c r="BD384" s="166"/>
      <c r="BE384" s="166"/>
      <c r="BF384" s="166"/>
      <c r="BG384" s="166"/>
      <c r="BH384" s="166"/>
      <c r="BI384" s="165"/>
      <c r="BJ384" s="165"/>
      <c r="BK384" s="165"/>
      <c r="BL384" s="165"/>
      <c r="BM384" s="165"/>
      <c r="BN384" s="165"/>
      <c r="BO384" s="165"/>
      <c r="BP384" s="165"/>
      <c r="BQ384" s="166" t="s">
        <v>408</v>
      </c>
      <c r="BR384" s="165" t="s">
        <v>709</v>
      </c>
      <c r="BS384" s="124">
        <v>58</v>
      </c>
      <c r="BT384" s="124" t="s">
        <v>668</v>
      </c>
    </row>
    <row r="385" spans="1:72" s="124" customFormat="1" ht="14.25" hidden="1" customHeight="1" x14ac:dyDescent="0.2">
      <c r="A385" s="205">
        <v>59</v>
      </c>
      <c r="B385" s="235" t="s">
        <v>702</v>
      </c>
      <c r="C385" s="236" t="s">
        <v>703</v>
      </c>
      <c r="D385" s="235" t="s">
        <v>715</v>
      </c>
      <c r="E385" s="125" t="s">
        <v>102</v>
      </c>
      <c r="F385" s="181" t="s">
        <v>103</v>
      </c>
      <c r="G385" s="134" t="s">
        <v>56</v>
      </c>
      <c r="H385" s="181" t="s">
        <v>705</v>
      </c>
      <c r="I385" s="181" t="s">
        <v>713</v>
      </c>
      <c r="J385" s="178" t="s">
        <v>714</v>
      </c>
      <c r="K385" s="182"/>
      <c r="L385" s="182" t="s">
        <v>58</v>
      </c>
      <c r="M385" s="178" t="s">
        <v>59</v>
      </c>
      <c r="N385" s="178">
        <v>170</v>
      </c>
      <c r="O385" s="178" t="s">
        <v>60</v>
      </c>
      <c r="P385" s="178" t="s">
        <v>79</v>
      </c>
      <c r="Q385" s="179" t="s">
        <v>706</v>
      </c>
      <c r="R385" s="179" t="s">
        <v>707</v>
      </c>
      <c r="S385" s="180"/>
      <c r="T385" s="180">
        <v>150</v>
      </c>
      <c r="U385" s="179" t="s">
        <v>708</v>
      </c>
      <c r="V385" s="167" t="s">
        <v>62</v>
      </c>
      <c r="W385" s="168">
        <v>2</v>
      </c>
      <c r="X385" s="168">
        <v>4</v>
      </c>
      <c r="Y385" s="167"/>
      <c r="Z385" s="169" t="s">
        <v>63</v>
      </c>
      <c r="AA385" s="166">
        <v>9</v>
      </c>
      <c r="AB385" s="166">
        <v>5</v>
      </c>
      <c r="AC385" s="165"/>
      <c r="AD385" s="165" t="s">
        <v>80</v>
      </c>
      <c r="AE385" s="165"/>
      <c r="AF385" s="165"/>
      <c r="AG385" s="165"/>
      <c r="AH385" s="165"/>
      <c r="AI385" s="165">
        <v>22</v>
      </c>
      <c r="AJ385" s="165">
        <v>34</v>
      </c>
      <c r="AK385" s="166"/>
      <c r="AL385" s="166" t="s">
        <v>81</v>
      </c>
      <c r="AM385" s="166"/>
      <c r="AN385" s="166"/>
      <c r="AO385" s="166"/>
      <c r="AP385" s="166"/>
      <c r="AQ385" s="166">
        <v>55</v>
      </c>
      <c r="AR385" s="166">
        <v>78</v>
      </c>
      <c r="AS385" s="165"/>
      <c r="AT385" s="165"/>
      <c r="AU385" s="165"/>
      <c r="AV385" s="165"/>
      <c r="AW385" s="165"/>
      <c r="AX385" s="165"/>
      <c r="AY385" s="165"/>
      <c r="AZ385" s="165"/>
      <c r="BA385" s="166"/>
      <c r="BB385" s="166"/>
      <c r="BC385" s="166"/>
      <c r="BD385" s="166"/>
      <c r="BE385" s="166"/>
      <c r="BF385" s="166"/>
      <c r="BG385" s="166"/>
      <c r="BH385" s="166"/>
      <c r="BI385" s="165"/>
      <c r="BJ385" s="165"/>
      <c r="BK385" s="165"/>
      <c r="BL385" s="165"/>
      <c r="BM385" s="165"/>
      <c r="BN385" s="165"/>
      <c r="BO385" s="165"/>
      <c r="BP385" s="165"/>
      <c r="BQ385" s="166" t="s">
        <v>408</v>
      </c>
      <c r="BR385" s="165" t="s">
        <v>709</v>
      </c>
      <c r="BS385" s="124">
        <v>59</v>
      </c>
      <c r="BT385" s="124" t="s">
        <v>668</v>
      </c>
    </row>
    <row r="386" spans="1:72" s="124" customFormat="1" ht="14.25" hidden="1" customHeight="1" x14ac:dyDescent="0.2">
      <c r="A386" s="205">
        <v>60</v>
      </c>
      <c r="B386" s="235" t="s">
        <v>716</v>
      </c>
      <c r="C386" s="236" t="s">
        <v>717</v>
      </c>
      <c r="D386" s="235" t="s">
        <v>1440</v>
      </c>
      <c r="E386" s="125" t="s">
        <v>54</v>
      </c>
      <c r="F386" s="181" t="s">
        <v>103</v>
      </c>
      <c r="G386" s="181" t="s">
        <v>56</v>
      </c>
      <c r="H386" s="181" t="s">
        <v>718</v>
      </c>
      <c r="I386" s="181"/>
      <c r="J386" s="178">
        <v>600</v>
      </c>
      <c r="K386" s="182"/>
      <c r="L386" s="182" t="s">
        <v>58</v>
      </c>
      <c r="M386" s="178" t="s">
        <v>59</v>
      </c>
      <c r="N386" s="178" t="s">
        <v>1248</v>
      </c>
      <c r="O386" s="178" t="s">
        <v>60</v>
      </c>
      <c r="P386" s="178" t="s">
        <v>92</v>
      </c>
      <c r="Q386" s="179"/>
      <c r="R386" s="179"/>
      <c r="S386" s="180"/>
      <c r="T386" s="179"/>
      <c r="U386" s="179"/>
      <c r="V386" s="167"/>
      <c r="W386" s="168"/>
      <c r="X386" s="168"/>
      <c r="Y386" s="167"/>
      <c r="Z386" s="169" t="s">
        <v>63</v>
      </c>
      <c r="AA386" s="166">
        <v>12</v>
      </c>
      <c r="AB386" s="166">
        <v>0</v>
      </c>
      <c r="AC386" s="165"/>
      <c r="AD386" s="165"/>
      <c r="AE386" s="165"/>
      <c r="AF386" s="165"/>
      <c r="AG386" s="165"/>
      <c r="AH386" s="165"/>
      <c r="AI386" s="165"/>
      <c r="AJ386" s="165"/>
      <c r="AK386" s="166"/>
      <c r="AL386" s="166"/>
      <c r="AM386" s="166"/>
      <c r="AN386" s="166"/>
      <c r="AO386" s="166"/>
      <c r="AP386" s="166"/>
      <c r="AQ386" s="166"/>
      <c r="AR386" s="166"/>
      <c r="AS386" s="165"/>
      <c r="AT386" s="165"/>
      <c r="AU386" s="165"/>
      <c r="AV386" s="165"/>
      <c r="AW386" s="165"/>
      <c r="AX386" s="165"/>
      <c r="AY386" s="165"/>
      <c r="AZ386" s="165"/>
      <c r="BA386" s="166"/>
      <c r="BB386" s="166"/>
      <c r="BC386" s="166"/>
      <c r="BD386" s="166"/>
      <c r="BE386" s="166"/>
      <c r="BF386" s="166"/>
      <c r="BG386" s="166"/>
      <c r="BH386" s="166"/>
      <c r="BI386" s="165"/>
      <c r="BJ386" s="165"/>
      <c r="BK386" s="165"/>
      <c r="BL386" s="165"/>
      <c r="BM386" s="165"/>
      <c r="BN386" s="165"/>
      <c r="BO386" s="165"/>
      <c r="BP386" s="165"/>
      <c r="BQ386" s="166"/>
      <c r="BR386" s="165" t="s">
        <v>1445</v>
      </c>
      <c r="BS386" s="124">
        <v>60</v>
      </c>
    </row>
    <row r="387" spans="1:72" s="124" customFormat="1" ht="12.75" hidden="1" customHeight="1" x14ac:dyDescent="0.2">
      <c r="A387" s="205">
        <v>549</v>
      </c>
      <c r="B387" s="233" t="s">
        <v>716</v>
      </c>
      <c r="C387" s="237" t="s">
        <v>717</v>
      </c>
      <c r="D387" s="233" t="s">
        <v>1441</v>
      </c>
      <c r="E387" s="125" t="s">
        <v>54</v>
      </c>
      <c r="F387" s="181" t="s">
        <v>103</v>
      </c>
      <c r="G387" s="181" t="s">
        <v>56</v>
      </c>
      <c r="H387" s="181" t="s">
        <v>718</v>
      </c>
      <c r="I387" s="181"/>
      <c r="J387" s="178">
        <v>600</v>
      </c>
      <c r="K387" s="182"/>
      <c r="L387" s="182" t="s">
        <v>58</v>
      </c>
      <c r="M387" s="178" t="s">
        <v>59</v>
      </c>
      <c r="N387" s="178" t="s">
        <v>1248</v>
      </c>
      <c r="O387" s="178" t="s">
        <v>60</v>
      </c>
      <c r="P387" s="178" t="s">
        <v>92</v>
      </c>
      <c r="Q387" s="179"/>
      <c r="R387" s="179"/>
      <c r="S387" s="180"/>
      <c r="T387" s="179"/>
      <c r="U387" s="179"/>
      <c r="V387" s="167"/>
      <c r="W387" s="168"/>
      <c r="X387" s="106"/>
      <c r="Y387" s="167"/>
      <c r="Z387" s="169" t="s">
        <v>63</v>
      </c>
      <c r="AA387" s="166">
        <v>12</v>
      </c>
      <c r="AB387" s="166">
        <v>0</v>
      </c>
      <c r="AC387" s="165"/>
      <c r="AD387" s="165"/>
      <c r="AE387" s="165"/>
      <c r="AF387" s="165"/>
      <c r="AG387" s="165"/>
      <c r="AH387" s="165"/>
      <c r="AI387" s="165"/>
      <c r="AJ387" s="165"/>
      <c r="AK387" s="166"/>
      <c r="AL387" s="166"/>
      <c r="AM387" s="166"/>
      <c r="AN387" s="166"/>
      <c r="AO387" s="166"/>
      <c r="AP387" s="166"/>
      <c r="AQ387" s="166"/>
      <c r="AR387" s="166"/>
      <c r="AS387" s="165"/>
      <c r="AT387" s="165"/>
      <c r="AU387" s="165"/>
      <c r="AV387" s="165"/>
      <c r="AW387" s="165"/>
      <c r="AX387" s="165"/>
      <c r="AY387" s="165"/>
      <c r="AZ387" s="165"/>
      <c r="BA387" s="166"/>
      <c r="BB387" s="166"/>
      <c r="BC387" s="166"/>
      <c r="BD387" s="166"/>
      <c r="BE387" s="166"/>
      <c r="BF387" s="166"/>
      <c r="BG387" s="166"/>
      <c r="BH387" s="166"/>
      <c r="BI387" s="165"/>
      <c r="BJ387" s="165"/>
      <c r="BK387" s="165"/>
      <c r="BL387" s="165"/>
      <c r="BM387" s="165"/>
      <c r="BN387" s="165"/>
      <c r="BO387" s="165"/>
      <c r="BP387" s="165"/>
      <c r="BQ387" s="166"/>
      <c r="BR387" s="165" t="s">
        <v>1445</v>
      </c>
      <c r="BS387" s="124">
        <v>549</v>
      </c>
    </row>
    <row r="388" spans="1:72" s="124" customFormat="1" ht="14.25" hidden="1" customHeight="1" x14ac:dyDescent="0.2">
      <c r="A388" s="205">
        <v>104</v>
      </c>
      <c r="B388" s="233" t="s">
        <v>719</v>
      </c>
      <c r="C388" s="237" t="s">
        <v>720</v>
      </c>
      <c r="D388" s="233" t="s">
        <v>721</v>
      </c>
      <c r="E388" s="125" t="s">
        <v>102</v>
      </c>
      <c r="F388" s="181" t="s">
        <v>103</v>
      </c>
      <c r="G388" s="181" t="s">
        <v>56</v>
      </c>
      <c r="H388" s="181" t="s">
        <v>57</v>
      </c>
      <c r="I388" s="181"/>
      <c r="J388" s="178">
        <v>15</v>
      </c>
      <c r="K388" s="182"/>
      <c r="L388" s="182" t="s">
        <v>58</v>
      </c>
      <c r="M388" s="178" t="s">
        <v>59</v>
      </c>
      <c r="N388" s="178">
        <v>1</v>
      </c>
      <c r="O388" s="178" t="s">
        <v>60</v>
      </c>
      <c r="P388" s="178" t="s">
        <v>79</v>
      </c>
      <c r="Q388" s="179" t="s">
        <v>1460</v>
      </c>
      <c r="R388" s="179"/>
      <c r="S388" s="180"/>
      <c r="T388" s="179"/>
      <c r="U388" s="179"/>
      <c r="V388" s="167" t="s">
        <v>502</v>
      </c>
      <c r="W388" s="168"/>
      <c r="X388" s="168">
        <v>4</v>
      </c>
      <c r="Y388" s="167" t="s">
        <v>740</v>
      </c>
      <c r="Z388" s="169" t="s">
        <v>63</v>
      </c>
      <c r="AA388" s="166">
        <v>18</v>
      </c>
      <c r="AB388" s="166">
        <v>5</v>
      </c>
      <c r="AC388" s="165">
        <v>32</v>
      </c>
      <c r="AD388" s="165" t="s">
        <v>80</v>
      </c>
      <c r="AE388" s="165" t="s">
        <v>116</v>
      </c>
      <c r="AF388" s="165"/>
      <c r="AG388" s="165"/>
      <c r="AH388" s="165"/>
      <c r="AI388" s="165">
        <v>19</v>
      </c>
      <c r="AJ388" s="165">
        <v>46</v>
      </c>
      <c r="AK388" s="166">
        <v>70.8</v>
      </c>
      <c r="AL388" s="166" t="s">
        <v>81</v>
      </c>
      <c r="AM388" s="166" t="s">
        <v>116</v>
      </c>
      <c r="AN388" s="166"/>
      <c r="AO388" s="166"/>
      <c r="AP388" s="166"/>
      <c r="AQ388" s="166">
        <v>56</v>
      </c>
      <c r="AR388" s="166">
        <v>83</v>
      </c>
      <c r="AS388" s="165"/>
      <c r="AT388" s="165"/>
      <c r="AU388" s="165"/>
      <c r="AV388" s="165"/>
      <c r="AW388" s="165"/>
      <c r="AX388" s="165"/>
      <c r="AY388" s="165"/>
      <c r="AZ388" s="165"/>
      <c r="BA388" s="166"/>
      <c r="BB388" s="166"/>
      <c r="BC388" s="166"/>
      <c r="BD388" s="166"/>
      <c r="BE388" s="166"/>
      <c r="BF388" s="166"/>
      <c r="BG388" s="166"/>
      <c r="BH388" s="166"/>
      <c r="BI388" s="165"/>
      <c r="BJ388" s="165"/>
      <c r="BK388" s="165"/>
      <c r="BL388" s="165"/>
      <c r="BM388" s="165"/>
      <c r="BN388" s="165"/>
      <c r="BO388" s="165"/>
      <c r="BP388" s="165"/>
      <c r="BQ388" s="166" t="s">
        <v>238</v>
      </c>
      <c r="BR388" s="165"/>
      <c r="BS388" s="124">
        <v>104</v>
      </c>
    </row>
    <row r="389" spans="1:72" s="124" customFormat="1" ht="14.25" hidden="1" customHeight="1" x14ac:dyDescent="0.2">
      <c r="A389" s="205">
        <v>105</v>
      </c>
      <c r="B389" s="233" t="s">
        <v>719</v>
      </c>
      <c r="C389" s="237" t="s">
        <v>720</v>
      </c>
      <c r="D389" s="233" t="s">
        <v>722</v>
      </c>
      <c r="E389" s="125" t="s">
        <v>102</v>
      </c>
      <c r="F389" s="181" t="s">
        <v>103</v>
      </c>
      <c r="G389" s="181" t="s">
        <v>56</v>
      </c>
      <c r="H389" s="181" t="s">
        <v>57</v>
      </c>
      <c r="I389" s="181"/>
      <c r="J389" s="178">
        <v>15</v>
      </c>
      <c r="K389" s="182"/>
      <c r="L389" s="182" t="s">
        <v>58</v>
      </c>
      <c r="M389" s="178" t="s">
        <v>59</v>
      </c>
      <c r="N389" s="178">
        <v>0</v>
      </c>
      <c r="O389" s="178" t="s">
        <v>60</v>
      </c>
      <c r="P389" s="178" t="s">
        <v>79</v>
      </c>
      <c r="Q389" s="179" t="s">
        <v>1460</v>
      </c>
      <c r="R389" s="179"/>
      <c r="S389" s="180"/>
      <c r="T389" s="179"/>
      <c r="U389" s="179"/>
      <c r="V389" s="167" t="s">
        <v>62</v>
      </c>
      <c r="W389" s="168"/>
      <c r="X389" s="168"/>
      <c r="Y389" s="167" t="s">
        <v>740</v>
      </c>
      <c r="Z389" s="169" t="s">
        <v>63</v>
      </c>
      <c r="AA389" s="166">
        <v>18</v>
      </c>
      <c r="AB389" s="166">
        <v>5</v>
      </c>
      <c r="AC389" s="165">
        <v>32</v>
      </c>
      <c r="AD389" s="165" t="s">
        <v>80</v>
      </c>
      <c r="AE389" s="165" t="s">
        <v>116</v>
      </c>
      <c r="AF389" s="165"/>
      <c r="AG389" s="165"/>
      <c r="AH389" s="165"/>
      <c r="AI389" s="165">
        <v>19</v>
      </c>
      <c r="AJ389" s="165">
        <v>46</v>
      </c>
      <c r="AK389" s="166">
        <v>70.8</v>
      </c>
      <c r="AL389" s="166" t="s">
        <v>81</v>
      </c>
      <c r="AM389" s="166" t="s">
        <v>116</v>
      </c>
      <c r="AN389" s="166"/>
      <c r="AO389" s="166"/>
      <c r="AP389" s="166"/>
      <c r="AQ389" s="166">
        <v>56</v>
      </c>
      <c r="AR389" s="166">
        <v>83</v>
      </c>
      <c r="AS389" s="165"/>
      <c r="AT389" s="165"/>
      <c r="AU389" s="165"/>
      <c r="AV389" s="165"/>
      <c r="AW389" s="165"/>
      <c r="AX389" s="165"/>
      <c r="AY389" s="165"/>
      <c r="AZ389" s="165"/>
      <c r="BA389" s="166"/>
      <c r="BB389" s="166"/>
      <c r="BC389" s="166"/>
      <c r="BD389" s="166"/>
      <c r="BE389" s="166"/>
      <c r="BF389" s="166"/>
      <c r="BG389" s="166"/>
      <c r="BH389" s="166"/>
      <c r="BI389" s="165"/>
      <c r="BJ389" s="165"/>
      <c r="BK389" s="165"/>
      <c r="BL389" s="165"/>
      <c r="BM389" s="165"/>
      <c r="BN389" s="165"/>
      <c r="BO389" s="165"/>
      <c r="BP389" s="165"/>
      <c r="BQ389" s="166" t="s">
        <v>238</v>
      </c>
      <c r="BR389" s="165"/>
      <c r="BS389" s="124">
        <v>105</v>
      </c>
    </row>
    <row r="390" spans="1:72" s="124" customFormat="1" ht="14.25" hidden="1" customHeight="1" x14ac:dyDescent="0.2">
      <c r="A390" s="205">
        <v>106</v>
      </c>
      <c r="B390" s="233" t="s">
        <v>719</v>
      </c>
      <c r="C390" s="237" t="s">
        <v>720</v>
      </c>
      <c r="D390" s="233" t="s">
        <v>723</v>
      </c>
      <c r="E390" s="125" t="s">
        <v>102</v>
      </c>
      <c r="F390" s="181" t="s">
        <v>103</v>
      </c>
      <c r="G390" s="181" t="s">
        <v>56</v>
      </c>
      <c r="H390" s="181" t="s">
        <v>57</v>
      </c>
      <c r="I390" s="181"/>
      <c r="J390" s="178">
        <v>15</v>
      </c>
      <c r="K390" s="182"/>
      <c r="L390" s="182" t="s">
        <v>58</v>
      </c>
      <c r="M390" s="178" t="s">
        <v>59</v>
      </c>
      <c r="N390" s="178">
        <v>0</v>
      </c>
      <c r="O390" s="178" t="s">
        <v>60</v>
      </c>
      <c r="P390" s="178" t="s">
        <v>79</v>
      </c>
      <c r="Q390" s="179" t="s">
        <v>1460</v>
      </c>
      <c r="R390" s="179"/>
      <c r="S390" s="180"/>
      <c r="T390" s="179"/>
      <c r="U390" s="179"/>
      <c r="V390" s="167" t="s">
        <v>502</v>
      </c>
      <c r="W390" s="168"/>
      <c r="X390" s="168">
        <v>4</v>
      </c>
      <c r="Y390" s="167" t="s">
        <v>740</v>
      </c>
      <c r="Z390" s="169" t="s">
        <v>63</v>
      </c>
      <c r="AA390" s="166">
        <v>18</v>
      </c>
      <c r="AB390" s="166">
        <v>5</v>
      </c>
      <c r="AC390" s="165">
        <v>32</v>
      </c>
      <c r="AD390" s="165" t="s">
        <v>80</v>
      </c>
      <c r="AE390" s="165" t="s">
        <v>116</v>
      </c>
      <c r="AF390" s="165"/>
      <c r="AG390" s="165"/>
      <c r="AH390" s="165"/>
      <c r="AI390" s="165">
        <v>19</v>
      </c>
      <c r="AJ390" s="165">
        <v>46</v>
      </c>
      <c r="AK390" s="166">
        <v>70.8</v>
      </c>
      <c r="AL390" s="166" t="s">
        <v>81</v>
      </c>
      <c r="AM390" s="166" t="s">
        <v>116</v>
      </c>
      <c r="AN390" s="166"/>
      <c r="AO390" s="166"/>
      <c r="AP390" s="166"/>
      <c r="AQ390" s="166">
        <v>56</v>
      </c>
      <c r="AR390" s="166">
        <v>83</v>
      </c>
      <c r="AS390" s="165"/>
      <c r="AT390" s="165"/>
      <c r="AU390" s="165"/>
      <c r="AV390" s="165"/>
      <c r="AW390" s="165"/>
      <c r="AX390" s="165"/>
      <c r="AY390" s="165"/>
      <c r="AZ390" s="165"/>
      <c r="BA390" s="166"/>
      <c r="BB390" s="166"/>
      <c r="BC390" s="166"/>
      <c r="BD390" s="166"/>
      <c r="BE390" s="166"/>
      <c r="BF390" s="166"/>
      <c r="BG390" s="166"/>
      <c r="BH390" s="166"/>
      <c r="BI390" s="165"/>
      <c r="BJ390" s="165"/>
      <c r="BK390" s="165"/>
      <c r="BL390" s="165"/>
      <c r="BM390" s="165"/>
      <c r="BN390" s="165"/>
      <c r="BO390" s="165"/>
      <c r="BP390" s="165"/>
      <c r="BQ390" s="166" t="s">
        <v>238</v>
      </c>
      <c r="BR390" s="165"/>
      <c r="BS390" s="124">
        <v>106</v>
      </c>
    </row>
    <row r="391" spans="1:72" s="124" customFormat="1" ht="14.25" hidden="1" customHeight="1" x14ac:dyDescent="0.2">
      <c r="A391" s="205">
        <v>107</v>
      </c>
      <c r="B391" s="233" t="s">
        <v>719</v>
      </c>
      <c r="C391" s="237" t="s">
        <v>720</v>
      </c>
      <c r="D391" s="233" t="s">
        <v>724</v>
      </c>
      <c r="E391" s="125" t="s">
        <v>102</v>
      </c>
      <c r="F391" s="181" t="s">
        <v>103</v>
      </c>
      <c r="G391" s="181" t="s">
        <v>56</v>
      </c>
      <c r="H391" s="181" t="s">
        <v>57</v>
      </c>
      <c r="I391" s="181"/>
      <c r="J391" s="178">
        <v>15</v>
      </c>
      <c r="K391" s="182"/>
      <c r="L391" s="182" t="s">
        <v>58</v>
      </c>
      <c r="M391" s="178" t="s">
        <v>59</v>
      </c>
      <c r="N391" s="178">
        <v>0</v>
      </c>
      <c r="O391" s="178" t="s">
        <v>60</v>
      </c>
      <c r="P391" s="178" t="s">
        <v>79</v>
      </c>
      <c r="Q391" s="179" t="s">
        <v>1460</v>
      </c>
      <c r="R391" s="179"/>
      <c r="S391" s="180"/>
      <c r="T391" s="179"/>
      <c r="U391" s="179"/>
      <c r="V391" s="167" t="s">
        <v>62</v>
      </c>
      <c r="W391" s="168"/>
      <c r="X391" s="168">
        <v>4</v>
      </c>
      <c r="Y391" s="167" t="s">
        <v>740</v>
      </c>
      <c r="Z391" s="169" t="s">
        <v>63</v>
      </c>
      <c r="AA391" s="166">
        <v>18</v>
      </c>
      <c r="AB391" s="166">
        <v>5</v>
      </c>
      <c r="AC391" s="165">
        <v>32</v>
      </c>
      <c r="AD391" s="165" t="s">
        <v>80</v>
      </c>
      <c r="AE391" s="165" t="s">
        <v>116</v>
      </c>
      <c r="AF391" s="165"/>
      <c r="AG391" s="165"/>
      <c r="AH391" s="165"/>
      <c r="AI391" s="165">
        <v>19</v>
      </c>
      <c r="AJ391" s="165">
        <v>46</v>
      </c>
      <c r="AK391" s="166">
        <v>70.8</v>
      </c>
      <c r="AL391" s="166" t="s">
        <v>81</v>
      </c>
      <c r="AM391" s="166" t="s">
        <v>116</v>
      </c>
      <c r="AN391" s="166"/>
      <c r="AO391" s="166"/>
      <c r="AP391" s="166"/>
      <c r="AQ391" s="166">
        <v>56</v>
      </c>
      <c r="AR391" s="166">
        <v>83</v>
      </c>
      <c r="AS391" s="165"/>
      <c r="AT391" s="165"/>
      <c r="AU391" s="165"/>
      <c r="AV391" s="165"/>
      <c r="AW391" s="165"/>
      <c r="AX391" s="165"/>
      <c r="AY391" s="165"/>
      <c r="AZ391" s="165"/>
      <c r="BA391" s="166"/>
      <c r="BB391" s="166"/>
      <c r="BC391" s="166"/>
      <c r="BD391" s="166"/>
      <c r="BE391" s="166"/>
      <c r="BF391" s="166"/>
      <c r="BG391" s="166"/>
      <c r="BH391" s="166"/>
      <c r="BI391" s="165"/>
      <c r="BJ391" s="165"/>
      <c r="BK391" s="165"/>
      <c r="BL391" s="165"/>
      <c r="BM391" s="165"/>
      <c r="BN391" s="165"/>
      <c r="BO391" s="165"/>
      <c r="BP391" s="165"/>
      <c r="BQ391" s="166" t="s">
        <v>238</v>
      </c>
      <c r="BR391" s="165"/>
      <c r="BS391" s="124">
        <v>107</v>
      </c>
    </row>
    <row r="392" spans="1:72" s="124" customFormat="1" ht="14.25" customHeight="1" x14ac:dyDescent="0.2">
      <c r="A392" s="205">
        <v>109</v>
      </c>
      <c r="B392" s="233" t="s">
        <v>725</v>
      </c>
      <c r="C392" s="237" t="s">
        <v>726</v>
      </c>
      <c r="D392" s="233" t="s">
        <v>727</v>
      </c>
      <c r="E392" s="125" t="s">
        <v>54</v>
      </c>
      <c r="F392" s="181" t="s">
        <v>103</v>
      </c>
      <c r="G392" s="181" t="s">
        <v>56</v>
      </c>
      <c r="H392" s="181" t="s">
        <v>157</v>
      </c>
      <c r="I392" s="181"/>
      <c r="J392" s="178">
        <v>600</v>
      </c>
      <c r="K392" s="182"/>
      <c r="L392" s="182" t="s">
        <v>58</v>
      </c>
      <c r="M392" s="178" t="s">
        <v>59</v>
      </c>
      <c r="N392" s="178" t="s">
        <v>728</v>
      </c>
      <c r="O392" s="178" t="s">
        <v>60</v>
      </c>
      <c r="P392" s="178" t="s">
        <v>92</v>
      </c>
      <c r="Q392" s="179"/>
      <c r="R392" s="179"/>
      <c r="S392" s="180"/>
      <c r="T392" s="179"/>
      <c r="U392" s="179"/>
      <c r="V392" s="167" t="s">
        <v>729</v>
      </c>
      <c r="W392" s="168"/>
      <c r="X392" s="168"/>
      <c r="Y392" s="167" t="s">
        <v>730</v>
      </c>
      <c r="Z392" s="169" t="s">
        <v>63</v>
      </c>
      <c r="AA392" s="166">
        <v>14</v>
      </c>
      <c r="AB392" s="127">
        <v>0.34</v>
      </c>
      <c r="AC392" s="165">
        <v>31</v>
      </c>
      <c r="AD392" s="165" t="s">
        <v>80</v>
      </c>
      <c r="AE392" s="165" t="s">
        <v>389</v>
      </c>
      <c r="AF392" s="165">
        <v>10</v>
      </c>
      <c r="AG392" s="165" t="s">
        <v>80</v>
      </c>
      <c r="AH392" s="165" t="s">
        <v>731</v>
      </c>
      <c r="AI392" s="165"/>
      <c r="AJ392" s="165"/>
      <c r="AK392" s="166">
        <v>79</v>
      </c>
      <c r="AL392" s="166" t="s">
        <v>81</v>
      </c>
      <c r="AM392" s="166" t="s">
        <v>118</v>
      </c>
      <c r="AN392" s="166">
        <v>11</v>
      </c>
      <c r="AO392" s="166" t="s">
        <v>81</v>
      </c>
      <c r="AP392" s="166" t="s">
        <v>731</v>
      </c>
      <c r="AQ392" s="166"/>
      <c r="AR392" s="166"/>
      <c r="AS392" s="165"/>
      <c r="AT392" s="165"/>
      <c r="AU392" s="165"/>
      <c r="AV392" s="165"/>
      <c r="AW392" s="165"/>
      <c r="AX392" s="165"/>
      <c r="AY392" s="165"/>
      <c r="AZ392" s="165"/>
      <c r="BA392" s="166">
        <v>24</v>
      </c>
      <c r="BB392" s="166" t="s">
        <v>732</v>
      </c>
      <c r="BC392" s="166" t="s">
        <v>389</v>
      </c>
      <c r="BD392" s="166">
        <v>3</v>
      </c>
      <c r="BE392" s="166" t="s">
        <v>732</v>
      </c>
      <c r="BF392" s="166" t="s">
        <v>731</v>
      </c>
      <c r="BG392" s="166"/>
      <c r="BH392" s="166"/>
      <c r="BI392" s="165"/>
      <c r="BJ392" s="165"/>
      <c r="BK392" s="165"/>
      <c r="BL392" s="165"/>
      <c r="BM392" s="165"/>
      <c r="BN392" s="165"/>
      <c r="BO392" s="165"/>
      <c r="BP392" s="165"/>
      <c r="BQ392" s="166" t="s">
        <v>733</v>
      </c>
      <c r="BR392" s="165" t="s">
        <v>734</v>
      </c>
      <c r="BS392" s="124">
        <v>109</v>
      </c>
      <c r="BT392" s="124" t="s">
        <v>668</v>
      </c>
    </row>
    <row r="393" spans="1:72" s="124" customFormat="1" ht="14.25" hidden="1" customHeight="1" x14ac:dyDescent="0.2">
      <c r="A393" s="205">
        <v>110</v>
      </c>
      <c r="B393" s="235" t="s">
        <v>735</v>
      </c>
      <c r="C393" s="236" t="s">
        <v>736</v>
      </c>
      <c r="D393" s="235" t="s">
        <v>737</v>
      </c>
      <c r="E393" s="125" t="s">
        <v>54</v>
      </c>
      <c r="F393" s="181" t="s">
        <v>103</v>
      </c>
      <c r="G393" s="181" t="s">
        <v>56</v>
      </c>
      <c r="H393" s="181" t="s">
        <v>738</v>
      </c>
      <c r="I393" s="181"/>
      <c r="J393" s="209">
        <v>300</v>
      </c>
      <c r="K393" s="210"/>
      <c r="L393" s="210" t="s">
        <v>58</v>
      </c>
      <c r="M393" s="209" t="s">
        <v>59</v>
      </c>
      <c r="N393" s="209">
        <v>0</v>
      </c>
      <c r="O393" s="209" t="s">
        <v>60</v>
      </c>
      <c r="P393" s="209" t="s">
        <v>79</v>
      </c>
      <c r="Q393" s="211"/>
      <c r="R393" s="211" t="s">
        <v>739</v>
      </c>
      <c r="S393" s="212"/>
      <c r="T393" s="211"/>
      <c r="U393" s="211"/>
      <c r="V393" s="170" t="s">
        <v>62</v>
      </c>
      <c r="W393" s="129"/>
      <c r="X393" s="129">
        <v>2</v>
      </c>
      <c r="Y393" s="170" t="s">
        <v>740</v>
      </c>
      <c r="Z393" s="135" t="s">
        <v>63</v>
      </c>
      <c r="AA393" s="171">
        <v>12</v>
      </c>
      <c r="AB393" s="171">
        <v>6</v>
      </c>
      <c r="AC393" s="172">
        <v>39</v>
      </c>
      <c r="AD393" s="172" t="s">
        <v>80</v>
      </c>
      <c r="AE393" s="172" t="s">
        <v>116</v>
      </c>
      <c r="AF393" s="172">
        <v>9.6300000000000008</v>
      </c>
      <c r="AG393" s="172" t="s">
        <v>80</v>
      </c>
      <c r="AH393" s="172" t="s">
        <v>117</v>
      </c>
      <c r="AI393" s="172">
        <v>20</v>
      </c>
      <c r="AJ393" s="172">
        <v>53</v>
      </c>
      <c r="AK393" s="171">
        <v>63.4</v>
      </c>
      <c r="AL393" s="171" t="s">
        <v>81</v>
      </c>
      <c r="AM393" s="171" t="s">
        <v>118</v>
      </c>
      <c r="AN393" s="171">
        <v>12.15</v>
      </c>
      <c r="AO393" s="171" t="s">
        <v>81</v>
      </c>
      <c r="AP393" s="171" t="s">
        <v>117</v>
      </c>
      <c r="AQ393" s="171">
        <v>48</v>
      </c>
      <c r="AR393" s="171">
        <v>88</v>
      </c>
      <c r="AS393" s="172"/>
      <c r="AT393" s="172"/>
      <c r="AU393" s="172"/>
      <c r="AV393" s="172"/>
      <c r="AW393" s="172"/>
      <c r="AX393" s="172"/>
      <c r="AY393" s="172"/>
      <c r="AZ393" s="172"/>
      <c r="BA393" s="171"/>
      <c r="BB393" s="171"/>
      <c r="BC393" s="171"/>
      <c r="BD393" s="171"/>
      <c r="BE393" s="171"/>
      <c r="BF393" s="171"/>
      <c r="BG393" s="171"/>
      <c r="BH393" s="171"/>
      <c r="BI393" s="172"/>
      <c r="BJ393" s="172"/>
      <c r="BK393" s="172"/>
      <c r="BL393" s="172"/>
      <c r="BM393" s="172"/>
      <c r="BN393" s="172"/>
      <c r="BO393" s="172"/>
      <c r="BP393" s="172"/>
      <c r="BQ393" s="171" t="s">
        <v>189</v>
      </c>
      <c r="BR393" s="165"/>
      <c r="BS393" s="124">
        <v>110</v>
      </c>
      <c r="BT393" s="124" t="s">
        <v>668</v>
      </c>
    </row>
    <row r="394" spans="1:72" s="124" customFormat="1" ht="14.25" hidden="1" customHeight="1" x14ac:dyDescent="0.2">
      <c r="A394" s="205">
        <v>111</v>
      </c>
      <c r="B394" s="235" t="s">
        <v>735</v>
      </c>
      <c r="C394" s="236" t="s">
        <v>736</v>
      </c>
      <c r="D394" s="235" t="s">
        <v>741</v>
      </c>
      <c r="E394" s="125" t="s">
        <v>54</v>
      </c>
      <c r="F394" s="181" t="s">
        <v>103</v>
      </c>
      <c r="G394" s="181" t="s">
        <v>56</v>
      </c>
      <c r="H394" s="181" t="s">
        <v>738</v>
      </c>
      <c r="I394" s="181"/>
      <c r="J394" s="209">
        <v>300</v>
      </c>
      <c r="K394" s="210"/>
      <c r="L394" s="210" t="s">
        <v>58</v>
      </c>
      <c r="M394" s="209" t="s">
        <v>59</v>
      </c>
      <c r="N394" s="209">
        <v>0</v>
      </c>
      <c r="O394" s="209" t="s">
        <v>60</v>
      </c>
      <c r="P394" s="209" t="s">
        <v>79</v>
      </c>
      <c r="Q394" s="211"/>
      <c r="R394" s="211" t="s">
        <v>742</v>
      </c>
      <c r="S394" s="212"/>
      <c r="T394" s="211"/>
      <c r="U394" s="211"/>
      <c r="V394" s="170" t="s">
        <v>62</v>
      </c>
      <c r="W394" s="129"/>
      <c r="X394" s="129">
        <v>2</v>
      </c>
      <c r="Y394" s="170" t="s">
        <v>740</v>
      </c>
      <c r="Z394" s="135" t="s">
        <v>63</v>
      </c>
      <c r="AA394" s="171">
        <v>12</v>
      </c>
      <c r="AB394" s="171">
        <v>6</v>
      </c>
      <c r="AC394" s="172">
        <v>39</v>
      </c>
      <c r="AD394" s="172" t="s">
        <v>80</v>
      </c>
      <c r="AE394" s="172" t="s">
        <v>116</v>
      </c>
      <c r="AF394" s="172">
        <v>9.6300000000000008</v>
      </c>
      <c r="AG394" s="172" t="s">
        <v>80</v>
      </c>
      <c r="AH394" s="172" t="s">
        <v>117</v>
      </c>
      <c r="AI394" s="172">
        <v>20</v>
      </c>
      <c r="AJ394" s="172">
        <v>53</v>
      </c>
      <c r="AK394" s="171">
        <v>63.4</v>
      </c>
      <c r="AL394" s="171" t="s">
        <v>81</v>
      </c>
      <c r="AM394" s="171" t="s">
        <v>118</v>
      </c>
      <c r="AN394" s="171">
        <v>12.15</v>
      </c>
      <c r="AO394" s="171" t="s">
        <v>81</v>
      </c>
      <c r="AP394" s="171" t="s">
        <v>117</v>
      </c>
      <c r="AQ394" s="171">
        <v>48</v>
      </c>
      <c r="AR394" s="171">
        <v>88</v>
      </c>
      <c r="AS394" s="172"/>
      <c r="AT394" s="172"/>
      <c r="AU394" s="172"/>
      <c r="AV394" s="172"/>
      <c r="AW394" s="172"/>
      <c r="AX394" s="172"/>
      <c r="AY394" s="172"/>
      <c r="AZ394" s="172"/>
      <c r="BA394" s="171"/>
      <c r="BB394" s="171"/>
      <c r="BC394" s="171"/>
      <c r="BD394" s="171"/>
      <c r="BE394" s="171"/>
      <c r="BF394" s="171"/>
      <c r="BG394" s="171"/>
      <c r="BH394" s="171"/>
      <c r="BI394" s="172"/>
      <c r="BJ394" s="172"/>
      <c r="BK394" s="172"/>
      <c r="BL394" s="172"/>
      <c r="BM394" s="172"/>
      <c r="BN394" s="172"/>
      <c r="BO394" s="172"/>
      <c r="BP394" s="172"/>
      <c r="BQ394" s="171" t="s">
        <v>189</v>
      </c>
      <c r="BR394" s="165"/>
      <c r="BS394" s="124">
        <v>111</v>
      </c>
      <c r="BT394" s="124" t="s">
        <v>668</v>
      </c>
    </row>
    <row r="395" spans="1:72" s="124" customFormat="1" ht="14.25" hidden="1" customHeight="1" x14ac:dyDescent="0.2">
      <c r="A395" s="205">
        <v>118</v>
      </c>
      <c r="B395" s="233" t="s">
        <v>743</v>
      </c>
      <c r="C395" s="240" t="s">
        <v>744</v>
      </c>
      <c r="D395" s="233" t="s">
        <v>101</v>
      </c>
      <c r="E395" s="125" t="s">
        <v>102</v>
      </c>
      <c r="F395" s="181" t="s">
        <v>103</v>
      </c>
      <c r="G395" s="181" t="s">
        <v>56</v>
      </c>
      <c r="H395" s="181" t="s">
        <v>168</v>
      </c>
      <c r="I395" s="181"/>
      <c r="J395" s="178">
        <v>5</v>
      </c>
      <c r="K395" s="182"/>
      <c r="L395" s="182" t="s">
        <v>58</v>
      </c>
      <c r="M395" s="209" t="s">
        <v>59</v>
      </c>
      <c r="N395" s="209">
        <v>0</v>
      </c>
      <c r="O395" s="209" t="s">
        <v>60</v>
      </c>
      <c r="P395" s="209" t="s">
        <v>79</v>
      </c>
      <c r="Q395" s="179"/>
      <c r="R395" s="179"/>
      <c r="S395" s="180"/>
      <c r="T395" s="179"/>
      <c r="U395" s="179"/>
      <c r="V395" s="167" t="s">
        <v>62</v>
      </c>
      <c r="W395" s="168"/>
      <c r="X395" s="168"/>
      <c r="Y395" s="170" t="s">
        <v>740</v>
      </c>
      <c r="Z395" s="135" t="s">
        <v>63</v>
      </c>
      <c r="AA395" s="166">
        <v>24</v>
      </c>
      <c r="AB395" s="166">
        <v>7</v>
      </c>
      <c r="AC395" s="165">
        <v>38.799999999999997</v>
      </c>
      <c r="AD395" s="172" t="s">
        <v>80</v>
      </c>
      <c r="AE395" s="172" t="s">
        <v>116</v>
      </c>
      <c r="AF395" s="165">
        <v>6.7</v>
      </c>
      <c r="AG395" s="172" t="s">
        <v>80</v>
      </c>
      <c r="AH395" s="172" t="s">
        <v>117</v>
      </c>
      <c r="AI395" s="165"/>
      <c r="AJ395" s="165"/>
      <c r="AK395" s="166"/>
      <c r="AL395" s="166"/>
      <c r="AM395" s="166"/>
      <c r="AN395" s="166"/>
      <c r="AO395" s="166"/>
      <c r="AP395" s="166"/>
      <c r="AQ395" s="166"/>
      <c r="AR395" s="166"/>
      <c r="AS395" s="165"/>
      <c r="AT395" s="165"/>
      <c r="AU395" s="165"/>
      <c r="AV395" s="165"/>
      <c r="AW395" s="165"/>
      <c r="AX395" s="165"/>
      <c r="AY395" s="165"/>
      <c r="AZ395" s="165"/>
      <c r="BA395" s="166">
        <v>26.8</v>
      </c>
      <c r="BB395" s="166" t="s">
        <v>421</v>
      </c>
      <c r="BC395" s="166" t="s">
        <v>389</v>
      </c>
      <c r="BD395" s="166">
        <v>2.7</v>
      </c>
      <c r="BE395" s="166" t="s">
        <v>421</v>
      </c>
      <c r="BF395" s="166" t="s">
        <v>117</v>
      </c>
      <c r="BG395" s="166"/>
      <c r="BH395" s="166"/>
      <c r="BI395" s="165"/>
      <c r="BJ395" s="165"/>
      <c r="BK395" s="165"/>
      <c r="BL395" s="165"/>
      <c r="BM395" s="165"/>
      <c r="BN395" s="165"/>
      <c r="BO395" s="165"/>
      <c r="BP395" s="165"/>
      <c r="BQ395" s="166" t="s">
        <v>745</v>
      </c>
      <c r="BR395" s="165"/>
      <c r="BS395" s="124">
        <v>118</v>
      </c>
      <c r="BT395" s="124" t="s">
        <v>668</v>
      </c>
    </row>
    <row r="396" spans="1:72" s="124" customFormat="1" ht="14.25" hidden="1" customHeight="1" x14ac:dyDescent="0.2">
      <c r="A396" s="205">
        <v>119</v>
      </c>
      <c r="B396" s="233" t="s">
        <v>743</v>
      </c>
      <c r="C396" s="237" t="s">
        <v>746</v>
      </c>
      <c r="D396" s="233" t="s">
        <v>106</v>
      </c>
      <c r="E396" s="125" t="s">
        <v>102</v>
      </c>
      <c r="F396" s="181" t="s">
        <v>103</v>
      </c>
      <c r="G396" s="181" t="s">
        <v>56</v>
      </c>
      <c r="H396" s="181" t="s">
        <v>168</v>
      </c>
      <c r="I396" s="181"/>
      <c r="J396" s="178">
        <v>2</v>
      </c>
      <c r="K396" s="182"/>
      <c r="L396" s="182" t="s">
        <v>58</v>
      </c>
      <c r="M396" s="178" t="s">
        <v>78</v>
      </c>
      <c r="N396" s="209">
        <v>0</v>
      </c>
      <c r="O396" s="209" t="s">
        <v>60</v>
      </c>
      <c r="P396" s="209" t="s">
        <v>79</v>
      </c>
      <c r="Q396" s="179"/>
      <c r="R396" s="179"/>
      <c r="S396" s="180"/>
      <c r="T396" s="179"/>
      <c r="U396" s="179"/>
      <c r="V396" s="167" t="s">
        <v>62</v>
      </c>
      <c r="W396" s="168"/>
      <c r="X396" s="168"/>
      <c r="Y396" s="170" t="s">
        <v>740</v>
      </c>
      <c r="Z396" s="135" t="s">
        <v>63</v>
      </c>
      <c r="AA396" s="166">
        <v>24</v>
      </c>
      <c r="AB396" s="166">
        <v>7</v>
      </c>
      <c r="AC396" s="165">
        <v>38.799999999999997</v>
      </c>
      <c r="AD396" s="172" t="s">
        <v>80</v>
      </c>
      <c r="AE396" s="172" t="s">
        <v>116</v>
      </c>
      <c r="AF396" s="165">
        <v>6.7</v>
      </c>
      <c r="AG396" s="172" t="s">
        <v>80</v>
      </c>
      <c r="AH396" s="172" t="s">
        <v>117</v>
      </c>
      <c r="AI396" s="165"/>
      <c r="AJ396" s="165"/>
      <c r="AK396" s="166"/>
      <c r="AL396" s="166"/>
      <c r="AM396" s="166"/>
      <c r="AN396" s="166"/>
      <c r="AO396" s="166"/>
      <c r="AP396" s="166"/>
      <c r="AQ396" s="166"/>
      <c r="AR396" s="166"/>
      <c r="AS396" s="165"/>
      <c r="AT396" s="165"/>
      <c r="AU396" s="165"/>
      <c r="AV396" s="165"/>
      <c r="AW396" s="165"/>
      <c r="AX396" s="165"/>
      <c r="AY396" s="165"/>
      <c r="AZ396" s="165"/>
      <c r="BA396" s="166">
        <v>26.8</v>
      </c>
      <c r="BB396" s="166" t="s">
        <v>421</v>
      </c>
      <c r="BC396" s="166" t="s">
        <v>389</v>
      </c>
      <c r="BD396" s="166">
        <v>2.7</v>
      </c>
      <c r="BE396" s="166" t="s">
        <v>421</v>
      </c>
      <c r="BF396" s="166" t="s">
        <v>117</v>
      </c>
      <c r="BG396" s="166"/>
      <c r="BH396" s="166"/>
      <c r="BI396" s="165"/>
      <c r="BJ396" s="165"/>
      <c r="BK396" s="165"/>
      <c r="BL396" s="165"/>
      <c r="BM396" s="165"/>
      <c r="BN396" s="165"/>
      <c r="BO396" s="165"/>
      <c r="BP396" s="165"/>
      <c r="BQ396" s="166" t="s">
        <v>745</v>
      </c>
      <c r="BR396" s="165"/>
      <c r="BS396" s="124">
        <v>119</v>
      </c>
      <c r="BT396" s="124" t="s">
        <v>668</v>
      </c>
    </row>
    <row r="397" spans="1:72" s="124" customFormat="1" ht="14.25" hidden="1" customHeight="1" x14ac:dyDescent="0.2">
      <c r="A397" s="205">
        <v>120</v>
      </c>
      <c r="B397" s="233" t="s">
        <v>743</v>
      </c>
      <c r="C397" s="237" t="s">
        <v>746</v>
      </c>
      <c r="D397" s="233" t="s">
        <v>101</v>
      </c>
      <c r="E397" s="125" t="s">
        <v>747</v>
      </c>
      <c r="F397" s="181" t="s">
        <v>103</v>
      </c>
      <c r="G397" s="181" t="s">
        <v>56</v>
      </c>
      <c r="H397" s="181" t="s">
        <v>157</v>
      </c>
      <c r="I397" s="181"/>
      <c r="J397" s="178">
        <v>200</v>
      </c>
      <c r="K397" s="182"/>
      <c r="L397" s="182" t="s">
        <v>58</v>
      </c>
      <c r="M397" s="209" t="s">
        <v>59</v>
      </c>
      <c r="N397" s="209">
        <v>0</v>
      </c>
      <c r="O397" s="209" t="s">
        <v>60</v>
      </c>
      <c r="P397" s="209" t="s">
        <v>79</v>
      </c>
      <c r="Q397" s="179"/>
      <c r="R397" s="179"/>
      <c r="S397" s="180"/>
      <c r="T397" s="179"/>
      <c r="U397" s="179"/>
      <c r="V397" s="167" t="s">
        <v>62</v>
      </c>
      <c r="W397" s="168"/>
      <c r="X397" s="168"/>
      <c r="Y397" s="170" t="s">
        <v>740</v>
      </c>
      <c r="Z397" s="135" t="s">
        <v>63</v>
      </c>
      <c r="AA397" s="166">
        <v>29</v>
      </c>
      <c r="AB397" s="166">
        <v>11</v>
      </c>
      <c r="AC397" s="165">
        <v>28.4</v>
      </c>
      <c r="AD397" s="172" t="s">
        <v>80</v>
      </c>
      <c r="AE397" s="172" t="s">
        <v>116</v>
      </c>
      <c r="AF397" s="165">
        <v>8.4</v>
      </c>
      <c r="AG397" s="172" t="s">
        <v>80</v>
      </c>
      <c r="AH397" s="172" t="s">
        <v>117</v>
      </c>
      <c r="AI397" s="165"/>
      <c r="AJ397" s="165"/>
      <c r="AK397" s="166"/>
      <c r="AL397" s="166"/>
      <c r="AM397" s="166"/>
      <c r="AN397" s="166"/>
      <c r="AO397" s="166"/>
      <c r="AP397" s="166"/>
      <c r="AQ397" s="166"/>
      <c r="AR397" s="166"/>
      <c r="AS397" s="165"/>
      <c r="AT397" s="165"/>
      <c r="AU397" s="165"/>
      <c r="AV397" s="165"/>
      <c r="AW397" s="165"/>
      <c r="AX397" s="165"/>
      <c r="AY397" s="165"/>
      <c r="AZ397" s="165"/>
      <c r="BA397" s="166">
        <v>24.6</v>
      </c>
      <c r="BB397" s="166" t="s">
        <v>421</v>
      </c>
      <c r="BC397" s="166" t="s">
        <v>389</v>
      </c>
      <c r="BD397" s="166">
        <v>3.7</v>
      </c>
      <c r="BE397" s="166" t="s">
        <v>421</v>
      </c>
      <c r="BF397" s="166" t="s">
        <v>117</v>
      </c>
      <c r="BG397" s="166"/>
      <c r="BH397" s="166"/>
      <c r="BI397" s="165"/>
      <c r="BJ397" s="165"/>
      <c r="BK397" s="165"/>
      <c r="BL397" s="165"/>
      <c r="BM397" s="165"/>
      <c r="BN397" s="165"/>
      <c r="BO397" s="165"/>
      <c r="BP397" s="165"/>
      <c r="BQ397" s="166" t="s">
        <v>748</v>
      </c>
      <c r="BR397" s="165"/>
      <c r="BS397" s="124">
        <v>120</v>
      </c>
      <c r="BT397" s="124" t="s">
        <v>668</v>
      </c>
    </row>
    <row r="398" spans="1:72" s="124" customFormat="1" ht="14.25" hidden="1" customHeight="1" x14ac:dyDescent="0.2">
      <c r="A398" s="205">
        <v>128</v>
      </c>
      <c r="B398" s="235" t="s">
        <v>749</v>
      </c>
      <c r="C398" s="236" t="s">
        <v>750</v>
      </c>
      <c r="D398" s="235" t="s">
        <v>1497</v>
      </c>
      <c r="E398" s="125" t="s">
        <v>102</v>
      </c>
      <c r="F398" s="181" t="s">
        <v>103</v>
      </c>
      <c r="G398" s="181" t="s">
        <v>56</v>
      </c>
      <c r="H398" s="181" t="s">
        <v>57</v>
      </c>
      <c r="I398" s="181"/>
      <c r="J398" s="178">
        <v>7.4999999999999997E-2</v>
      </c>
      <c r="K398" s="251"/>
      <c r="L398" s="182" t="s">
        <v>58</v>
      </c>
      <c r="M398" s="178" t="s">
        <v>59</v>
      </c>
      <c r="N398" s="178">
        <v>0</v>
      </c>
      <c r="O398" s="178" t="s">
        <v>60</v>
      </c>
      <c r="P398" s="178" t="s">
        <v>79</v>
      </c>
      <c r="Q398" s="179"/>
      <c r="R398" s="179"/>
      <c r="S398" s="180"/>
      <c r="T398" s="179">
        <v>200</v>
      </c>
      <c r="U398" s="179"/>
      <c r="V398" s="167" t="s">
        <v>62</v>
      </c>
      <c r="W398" s="168"/>
      <c r="X398" s="168"/>
      <c r="Y398" s="167" t="s">
        <v>740</v>
      </c>
      <c r="Z398" s="169" t="s">
        <v>63</v>
      </c>
      <c r="AA398" s="166">
        <v>21</v>
      </c>
      <c r="AB398" s="166">
        <v>13</v>
      </c>
      <c r="AC398" s="165">
        <v>33</v>
      </c>
      <c r="AD398" s="165" t="s">
        <v>80</v>
      </c>
      <c r="AE398" s="165" t="s">
        <v>116</v>
      </c>
      <c r="AF398" s="165">
        <v>9</v>
      </c>
      <c r="AG398" s="165" t="s">
        <v>80</v>
      </c>
      <c r="AH398" s="165" t="s">
        <v>117</v>
      </c>
      <c r="AI398" s="165">
        <v>23</v>
      </c>
      <c r="AJ398" s="165">
        <v>55</v>
      </c>
      <c r="AK398" s="166">
        <v>62</v>
      </c>
      <c r="AL398" s="166" t="s">
        <v>81</v>
      </c>
      <c r="AM398" s="166" t="s">
        <v>116</v>
      </c>
      <c r="AN398" s="166">
        <v>10</v>
      </c>
      <c r="AO398" s="166" t="s">
        <v>81</v>
      </c>
      <c r="AP398" s="166" t="s">
        <v>117</v>
      </c>
      <c r="AQ398" s="166">
        <v>50</v>
      </c>
      <c r="AR398" s="166">
        <v>78</v>
      </c>
      <c r="AS398" s="165"/>
      <c r="AT398" s="165"/>
      <c r="AU398" s="165"/>
      <c r="AV398" s="165"/>
      <c r="AW398" s="165"/>
      <c r="AX398" s="165"/>
      <c r="AY398" s="165"/>
      <c r="AZ398" s="165"/>
      <c r="BA398" s="166"/>
      <c r="BB398" s="166"/>
      <c r="BC398" s="166"/>
      <c r="BD398" s="166"/>
      <c r="BE398" s="166"/>
      <c r="BF398" s="166"/>
      <c r="BG398" s="166"/>
      <c r="BH398" s="166"/>
      <c r="BI398" s="165"/>
      <c r="BJ398" s="165"/>
      <c r="BK398" s="165"/>
      <c r="BL398" s="165"/>
      <c r="BM398" s="165"/>
      <c r="BN398" s="165"/>
      <c r="BO398" s="165"/>
      <c r="BP398" s="165"/>
      <c r="BQ398" s="166" t="s">
        <v>880</v>
      </c>
      <c r="BR398" s="165" t="s">
        <v>1446</v>
      </c>
      <c r="BS398" s="124">
        <v>128</v>
      </c>
    </row>
    <row r="399" spans="1:72" s="124" customFormat="1" ht="14.25" hidden="1" customHeight="1" x14ac:dyDescent="0.2">
      <c r="A399" s="205">
        <v>129</v>
      </c>
      <c r="B399" s="235" t="s">
        <v>749</v>
      </c>
      <c r="C399" s="236" t="s">
        <v>750</v>
      </c>
      <c r="D399" s="235" t="s">
        <v>1498</v>
      </c>
      <c r="E399" s="125" t="s">
        <v>102</v>
      </c>
      <c r="F399" s="181" t="s">
        <v>103</v>
      </c>
      <c r="G399" s="181" t="s">
        <v>56</v>
      </c>
      <c r="H399" s="181" t="s">
        <v>57</v>
      </c>
      <c r="I399" s="181"/>
      <c r="J399" s="178">
        <v>7.4999999999999997E-2</v>
      </c>
      <c r="K399" s="251"/>
      <c r="L399" s="182" t="s">
        <v>58</v>
      </c>
      <c r="M399" s="178" t="s">
        <v>59</v>
      </c>
      <c r="N399" s="178">
        <v>90</v>
      </c>
      <c r="O399" s="178" t="s">
        <v>60</v>
      </c>
      <c r="P399" s="178" t="s">
        <v>79</v>
      </c>
      <c r="Q399" s="179"/>
      <c r="R399" s="179"/>
      <c r="S399" s="180"/>
      <c r="T399" s="179">
        <v>200</v>
      </c>
      <c r="U399" s="179" t="s">
        <v>1447</v>
      </c>
      <c r="V399" s="167" t="s">
        <v>62</v>
      </c>
      <c r="W399" s="168"/>
      <c r="X399" s="168"/>
      <c r="Y399" s="167" t="s">
        <v>740</v>
      </c>
      <c r="Z399" s="169" t="s">
        <v>63</v>
      </c>
      <c r="AA399" s="166">
        <v>4</v>
      </c>
      <c r="AB399" s="166"/>
      <c r="AC399" s="165"/>
      <c r="AD399" s="165"/>
      <c r="AE399" s="165"/>
      <c r="AF399" s="165"/>
      <c r="AG399" s="165"/>
      <c r="AH399" s="165"/>
      <c r="AI399" s="165"/>
      <c r="AJ399" s="165"/>
      <c r="AK399" s="166"/>
      <c r="AL399" s="166"/>
      <c r="AM399" s="166"/>
      <c r="AN399" s="166"/>
      <c r="AO399" s="166"/>
      <c r="AP399" s="166"/>
      <c r="AQ399" s="166"/>
      <c r="AR399" s="166"/>
      <c r="AS399" s="165"/>
      <c r="AT399" s="165"/>
      <c r="AU399" s="165"/>
      <c r="AV399" s="165"/>
      <c r="AW399" s="165"/>
      <c r="AX399" s="165"/>
      <c r="AY399" s="165"/>
      <c r="AZ399" s="165"/>
      <c r="BA399" s="166"/>
      <c r="BB399" s="166"/>
      <c r="BC399" s="166"/>
      <c r="BD399" s="166"/>
      <c r="BE399" s="166"/>
      <c r="BF399" s="166"/>
      <c r="BG399" s="166"/>
      <c r="BH399" s="166"/>
      <c r="BI399" s="165"/>
      <c r="BJ399" s="165"/>
      <c r="BK399" s="165"/>
      <c r="BL399" s="165"/>
      <c r="BM399" s="165"/>
      <c r="BN399" s="165"/>
      <c r="BO399" s="165"/>
      <c r="BP399" s="165"/>
      <c r="BQ399" s="166" t="s">
        <v>880</v>
      </c>
      <c r="BR399" s="165" t="s">
        <v>1446</v>
      </c>
      <c r="BS399" s="124">
        <v>129</v>
      </c>
    </row>
    <row r="400" spans="1:72" s="124" customFormat="1" ht="14.25" hidden="1" customHeight="1" x14ac:dyDescent="0.2">
      <c r="A400" s="205">
        <v>130</v>
      </c>
      <c r="B400" s="235" t="s">
        <v>749</v>
      </c>
      <c r="C400" s="236" t="s">
        <v>750</v>
      </c>
      <c r="D400" s="235" t="s">
        <v>1499</v>
      </c>
      <c r="E400" s="125" t="s">
        <v>102</v>
      </c>
      <c r="F400" s="181" t="s">
        <v>103</v>
      </c>
      <c r="G400" s="181" t="s">
        <v>56</v>
      </c>
      <c r="H400" s="181" t="s">
        <v>57</v>
      </c>
      <c r="I400" s="181"/>
      <c r="J400" s="178">
        <v>7.4999999999999997E-2</v>
      </c>
      <c r="K400" s="251"/>
      <c r="L400" s="182" t="s">
        <v>58</v>
      </c>
      <c r="M400" s="178" t="s">
        <v>59</v>
      </c>
      <c r="N400" s="178">
        <v>48</v>
      </c>
      <c r="O400" s="178" t="s">
        <v>60</v>
      </c>
      <c r="P400" s="178" t="s">
        <v>79</v>
      </c>
      <c r="Q400" s="179"/>
      <c r="R400" s="179"/>
      <c r="S400" s="180"/>
      <c r="T400" s="179">
        <v>200</v>
      </c>
      <c r="U400" s="179" t="s">
        <v>1447</v>
      </c>
      <c r="V400" s="167" t="s">
        <v>62</v>
      </c>
      <c r="W400" s="168"/>
      <c r="X400" s="168"/>
      <c r="Y400" s="167" t="s">
        <v>740</v>
      </c>
      <c r="Z400" s="169" t="s">
        <v>63</v>
      </c>
      <c r="AA400" s="166">
        <v>4</v>
      </c>
      <c r="AB400" s="166"/>
      <c r="AC400" s="165"/>
      <c r="AD400" s="165"/>
      <c r="AE400" s="165"/>
      <c r="AF400" s="165"/>
      <c r="AG400" s="165"/>
      <c r="AH400" s="165"/>
      <c r="AI400" s="165"/>
      <c r="AJ400" s="165"/>
      <c r="AK400" s="166"/>
      <c r="AL400" s="166"/>
      <c r="AM400" s="166"/>
      <c r="AN400" s="166"/>
      <c r="AO400" s="166"/>
      <c r="AP400" s="166"/>
      <c r="AQ400" s="166"/>
      <c r="AR400" s="166"/>
      <c r="AS400" s="165"/>
      <c r="AT400" s="165"/>
      <c r="AU400" s="165"/>
      <c r="AV400" s="165"/>
      <c r="AW400" s="165"/>
      <c r="AX400" s="165"/>
      <c r="AY400" s="165"/>
      <c r="AZ400" s="165"/>
      <c r="BA400" s="166"/>
      <c r="BB400" s="166"/>
      <c r="BC400" s="166"/>
      <c r="BD400" s="166"/>
      <c r="BE400" s="166"/>
      <c r="BF400" s="166"/>
      <c r="BG400" s="166"/>
      <c r="BH400" s="166"/>
      <c r="BI400" s="165"/>
      <c r="BJ400" s="165"/>
      <c r="BK400" s="165"/>
      <c r="BL400" s="165"/>
      <c r="BM400" s="165"/>
      <c r="BN400" s="165"/>
      <c r="BO400" s="165"/>
      <c r="BP400" s="165"/>
      <c r="BQ400" s="166" t="s">
        <v>880</v>
      </c>
      <c r="BR400" s="165" t="s">
        <v>1446</v>
      </c>
      <c r="BS400" s="124">
        <v>130</v>
      </c>
    </row>
    <row r="401" spans="1:72" s="124" customFormat="1" ht="14.25" hidden="1" customHeight="1" x14ac:dyDescent="0.2">
      <c r="A401" s="205">
        <v>131</v>
      </c>
      <c r="B401" s="235" t="s">
        <v>749</v>
      </c>
      <c r="C401" s="236" t="s">
        <v>750</v>
      </c>
      <c r="D401" s="235" t="s">
        <v>751</v>
      </c>
      <c r="E401" s="125" t="s">
        <v>102</v>
      </c>
      <c r="F401" s="181" t="s">
        <v>103</v>
      </c>
      <c r="G401" s="181" t="s">
        <v>56</v>
      </c>
      <c r="H401" s="181" t="s">
        <v>57</v>
      </c>
      <c r="I401" s="181"/>
      <c r="J401" s="178">
        <v>7.5</v>
      </c>
      <c r="K401" s="182"/>
      <c r="L401" s="182" t="s">
        <v>58</v>
      </c>
      <c r="M401" s="178" t="s">
        <v>59</v>
      </c>
      <c r="N401" s="178">
        <v>0</v>
      </c>
      <c r="O401" s="178" t="s">
        <v>60</v>
      </c>
      <c r="P401" s="178" t="s">
        <v>79</v>
      </c>
      <c r="Q401" s="179"/>
      <c r="R401" s="179"/>
      <c r="S401" s="180"/>
      <c r="T401" s="179">
        <v>200</v>
      </c>
      <c r="U401" s="179"/>
      <c r="V401" s="167" t="s">
        <v>62</v>
      </c>
      <c r="W401" s="168"/>
      <c r="X401" s="168"/>
      <c r="Y401" s="167" t="s">
        <v>740</v>
      </c>
      <c r="Z401" s="169" t="s">
        <v>63</v>
      </c>
      <c r="AA401" s="166">
        <v>13</v>
      </c>
      <c r="AB401" s="166"/>
      <c r="AC401" s="165"/>
      <c r="AD401" s="165"/>
      <c r="AE401" s="165"/>
      <c r="AF401" s="165"/>
      <c r="AG401" s="165"/>
      <c r="AH401" s="165"/>
      <c r="AI401" s="165"/>
      <c r="AJ401" s="165"/>
      <c r="AK401" s="166"/>
      <c r="AL401" s="166"/>
      <c r="AM401" s="166"/>
      <c r="AN401" s="166"/>
      <c r="AO401" s="166"/>
      <c r="AP401" s="166"/>
      <c r="AQ401" s="166"/>
      <c r="AR401" s="166"/>
      <c r="AS401" s="165"/>
      <c r="AT401" s="165"/>
      <c r="AU401" s="165"/>
      <c r="AV401" s="165"/>
      <c r="AW401" s="165"/>
      <c r="AX401" s="165"/>
      <c r="AY401" s="165"/>
      <c r="AZ401" s="165"/>
      <c r="BA401" s="166"/>
      <c r="BB401" s="166"/>
      <c r="BC401" s="166"/>
      <c r="BD401" s="166"/>
      <c r="BE401" s="166"/>
      <c r="BF401" s="166"/>
      <c r="BG401" s="166"/>
      <c r="BH401" s="166"/>
      <c r="BI401" s="165"/>
      <c r="BJ401" s="165"/>
      <c r="BK401" s="165"/>
      <c r="BL401" s="165"/>
      <c r="BM401" s="165"/>
      <c r="BN401" s="165"/>
      <c r="BO401" s="165"/>
      <c r="BP401" s="165"/>
      <c r="BQ401" s="166" t="s">
        <v>880</v>
      </c>
      <c r="BR401" s="165" t="s">
        <v>1446</v>
      </c>
      <c r="BS401" s="124">
        <v>131</v>
      </c>
    </row>
    <row r="402" spans="1:72" s="124" customFormat="1" ht="14.25" hidden="1" customHeight="1" x14ac:dyDescent="0.2">
      <c r="A402" s="205">
        <v>132</v>
      </c>
      <c r="B402" s="235" t="s">
        <v>749</v>
      </c>
      <c r="C402" s="236" t="s">
        <v>750</v>
      </c>
      <c r="D402" s="235" t="s">
        <v>752</v>
      </c>
      <c r="E402" s="125" t="s">
        <v>102</v>
      </c>
      <c r="F402" s="181" t="s">
        <v>103</v>
      </c>
      <c r="G402" s="181" t="s">
        <v>56</v>
      </c>
      <c r="H402" s="181" t="s">
        <v>57</v>
      </c>
      <c r="I402" s="181"/>
      <c r="J402" s="178">
        <v>7.5</v>
      </c>
      <c r="K402" s="182"/>
      <c r="L402" s="182" t="s">
        <v>58</v>
      </c>
      <c r="M402" s="178" t="s">
        <v>59</v>
      </c>
      <c r="N402" s="178">
        <v>114</v>
      </c>
      <c r="O402" s="178" t="s">
        <v>60</v>
      </c>
      <c r="P402" s="178" t="s">
        <v>79</v>
      </c>
      <c r="Q402" s="179"/>
      <c r="R402" s="179"/>
      <c r="S402" s="180"/>
      <c r="T402" s="179">
        <v>200</v>
      </c>
      <c r="U402" s="179" t="s">
        <v>1447</v>
      </c>
      <c r="V402" s="167" t="s">
        <v>62</v>
      </c>
      <c r="W402" s="168"/>
      <c r="X402" s="168"/>
      <c r="Y402" s="167" t="s">
        <v>740</v>
      </c>
      <c r="Z402" s="169" t="s">
        <v>63</v>
      </c>
      <c r="AA402" s="166">
        <v>4</v>
      </c>
      <c r="AB402" s="166"/>
      <c r="AC402" s="165"/>
      <c r="AD402" s="165"/>
      <c r="AE402" s="165"/>
      <c r="AF402" s="165"/>
      <c r="AG402" s="165"/>
      <c r="AH402" s="165"/>
      <c r="AI402" s="165"/>
      <c r="AJ402" s="165"/>
      <c r="AK402" s="166"/>
      <c r="AL402" s="166"/>
      <c r="AM402" s="166"/>
      <c r="AN402" s="166"/>
      <c r="AO402" s="166"/>
      <c r="AP402" s="166"/>
      <c r="AQ402" s="166"/>
      <c r="AR402" s="166"/>
      <c r="AS402" s="165"/>
      <c r="AT402" s="165"/>
      <c r="AU402" s="165"/>
      <c r="AV402" s="165"/>
      <c r="AW402" s="165"/>
      <c r="AX402" s="165"/>
      <c r="AY402" s="165"/>
      <c r="AZ402" s="165"/>
      <c r="BA402" s="166"/>
      <c r="BB402" s="166"/>
      <c r="BC402" s="166"/>
      <c r="BD402" s="166"/>
      <c r="BE402" s="166"/>
      <c r="BF402" s="166"/>
      <c r="BG402" s="166"/>
      <c r="BH402" s="166"/>
      <c r="BI402" s="165"/>
      <c r="BJ402" s="165"/>
      <c r="BK402" s="165"/>
      <c r="BL402" s="165"/>
      <c r="BM402" s="165"/>
      <c r="BN402" s="165"/>
      <c r="BO402" s="165"/>
      <c r="BP402" s="165"/>
      <c r="BQ402" s="166" t="s">
        <v>880</v>
      </c>
      <c r="BR402" s="165" t="s">
        <v>1446</v>
      </c>
      <c r="BS402" s="124">
        <v>132</v>
      </c>
    </row>
    <row r="403" spans="1:72" s="124" customFormat="1" ht="14.25" hidden="1" customHeight="1" x14ac:dyDescent="0.2">
      <c r="A403" s="205">
        <v>155</v>
      </c>
      <c r="B403" s="235" t="s">
        <v>753</v>
      </c>
      <c r="C403" s="236" t="s">
        <v>754</v>
      </c>
      <c r="D403" s="235" t="s">
        <v>755</v>
      </c>
      <c r="E403" s="125" t="s">
        <v>54</v>
      </c>
      <c r="F403" s="181" t="s">
        <v>103</v>
      </c>
      <c r="G403" s="181" t="s">
        <v>56</v>
      </c>
      <c r="H403" s="181" t="s">
        <v>756</v>
      </c>
      <c r="I403" s="181"/>
      <c r="J403" s="178">
        <v>600</v>
      </c>
      <c r="K403" s="182"/>
      <c r="L403" s="182" t="s">
        <v>58</v>
      </c>
      <c r="M403" s="178" t="s">
        <v>59</v>
      </c>
      <c r="N403" s="178">
        <v>0</v>
      </c>
      <c r="O403" s="178" t="s">
        <v>60</v>
      </c>
      <c r="P403" s="178"/>
      <c r="Q403" s="179"/>
      <c r="R403" s="179" t="s">
        <v>1495</v>
      </c>
      <c r="S403" s="180"/>
      <c r="T403" s="179">
        <v>240</v>
      </c>
      <c r="U403" s="179" t="s">
        <v>1494</v>
      </c>
      <c r="V403" s="167" t="s">
        <v>62</v>
      </c>
      <c r="W403" s="168">
        <v>10</v>
      </c>
      <c r="X403" s="168">
        <v>4</v>
      </c>
      <c r="Y403" s="167"/>
      <c r="Z403" s="169" t="s">
        <v>63</v>
      </c>
      <c r="AA403" s="166">
        <v>36</v>
      </c>
      <c r="AB403" s="166"/>
      <c r="AC403" s="165"/>
      <c r="AD403" s="165" t="s">
        <v>80</v>
      </c>
      <c r="AE403" s="165"/>
      <c r="AF403" s="165"/>
      <c r="AG403" s="165"/>
      <c r="AH403" s="165"/>
      <c r="AI403" s="165">
        <v>20</v>
      </c>
      <c r="AJ403" s="165">
        <v>45</v>
      </c>
      <c r="AK403" s="166"/>
      <c r="AL403" s="166"/>
      <c r="AM403" s="166"/>
      <c r="AN403" s="166"/>
      <c r="AO403" s="166"/>
      <c r="AP403" s="166"/>
      <c r="AQ403" s="166"/>
      <c r="AR403" s="166"/>
      <c r="AS403" s="165"/>
      <c r="AT403" s="165"/>
      <c r="AU403" s="165"/>
      <c r="AV403" s="165"/>
      <c r="AW403" s="165"/>
      <c r="AX403" s="165"/>
      <c r="AY403" s="165"/>
      <c r="AZ403" s="165"/>
      <c r="BA403" s="166"/>
      <c r="BB403" s="166"/>
      <c r="BC403" s="166"/>
      <c r="BD403" s="166"/>
      <c r="BE403" s="166"/>
      <c r="BF403" s="166"/>
      <c r="BG403" s="166"/>
      <c r="BH403" s="166"/>
      <c r="BI403" s="165"/>
      <c r="BJ403" s="165"/>
      <c r="BK403" s="165"/>
      <c r="BL403" s="165"/>
      <c r="BM403" s="165"/>
      <c r="BN403" s="165"/>
      <c r="BO403" s="165"/>
      <c r="BP403" s="165"/>
      <c r="BQ403" s="166"/>
      <c r="BR403" s="165"/>
      <c r="BS403" s="124">
        <v>155</v>
      </c>
      <c r="BT403" s="124" t="s">
        <v>668</v>
      </c>
    </row>
    <row r="404" spans="1:72" s="124" customFormat="1" ht="14.25" hidden="1" customHeight="1" x14ac:dyDescent="0.2">
      <c r="A404" s="205">
        <v>156</v>
      </c>
      <c r="B404" s="235" t="s">
        <v>753</v>
      </c>
      <c r="C404" s="236" t="s">
        <v>754</v>
      </c>
      <c r="D404" s="235" t="s">
        <v>757</v>
      </c>
      <c r="E404" s="125" t="s">
        <v>54</v>
      </c>
      <c r="F404" s="181" t="s">
        <v>103</v>
      </c>
      <c r="G404" s="181" t="s">
        <v>56</v>
      </c>
      <c r="H404" s="181" t="s">
        <v>756</v>
      </c>
      <c r="I404" s="181"/>
      <c r="J404" s="178">
        <v>600</v>
      </c>
      <c r="K404" s="182"/>
      <c r="L404" s="182" t="s">
        <v>58</v>
      </c>
      <c r="M404" s="178" t="s">
        <v>59</v>
      </c>
      <c r="N404" s="178">
        <v>0</v>
      </c>
      <c r="O404" s="178" t="s">
        <v>60</v>
      </c>
      <c r="P404" s="178"/>
      <c r="Q404" s="179"/>
      <c r="R404" s="179" t="s">
        <v>1496</v>
      </c>
      <c r="S404" s="180"/>
      <c r="T404" s="179">
        <v>240</v>
      </c>
      <c r="U404" s="179" t="s">
        <v>1494</v>
      </c>
      <c r="V404" s="167" t="s">
        <v>62</v>
      </c>
      <c r="W404" s="168">
        <v>10</v>
      </c>
      <c r="X404" s="168">
        <v>4</v>
      </c>
      <c r="Y404" s="167"/>
      <c r="Z404" s="169" t="s">
        <v>63</v>
      </c>
      <c r="AA404" s="166">
        <v>36</v>
      </c>
      <c r="AB404" s="166"/>
      <c r="AC404" s="165"/>
      <c r="AD404" s="165" t="s">
        <v>80</v>
      </c>
      <c r="AE404" s="165"/>
      <c r="AF404" s="165"/>
      <c r="AG404" s="165"/>
      <c r="AH404" s="165"/>
      <c r="AI404" s="165">
        <v>20</v>
      </c>
      <c r="AJ404" s="165">
        <v>45</v>
      </c>
      <c r="AK404" s="166"/>
      <c r="AL404" s="166"/>
      <c r="AM404" s="166"/>
      <c r="AN404" s="166"/>
      <c r="AO404" s="166"/>
      <c r="AP404" s="166"/>
      <c r="AQ404" s="166"/>
      <c r="AR404" s="166"/>
      <c r="AS404" s="165"/>
      <c r="AT404" s="165"/>
      <c r="AU404" s="165"/>
      <c r="AV404" s="165"/>
      <c r="AW404" s="165"/>
      <c r="AX404" s="165"/>
      <c r="AY404" s="165"/>
      <c r="AZ404" s="165"/>
      <c r="BA404" s="166"/>
      <c r="BB404" s="166"/>
      <c r="BC404" s="166"/>
      <c r="BD404" s="166"/>
      <c r="BE404" s="166"/>
      <c r="BF404" s="166"/>
      <c r="BG404" s="166"/>
      <c r="BH404" s="166"/>
      <c r="BI404" s="165"/>
      <c r="BJ404" s="165"/>
      <c r="BK404" s="165"/>
      <c r="BL404" s="165"/>
      <c r="BM404" s="165"/>
      <c r="BN404" s="165"/>
      <c r="BO404" s="165"/>
      <c r="BP404" s="165"/>
      <c r="BQ404" s="166"/>
      <c r="BR404" s="165"/>
      <c r="BS404" s="124">
        <v>156</v>
      </c>
      <c r="BT404" s="124" t="s">
        <v>668</v>
      </c>
    </row>
    <row r="405" spans="1:72" s="124" customFormat="1" ht="14.25" hidden="1" customHeight="1" x14ac:dyDescent="0.2">
      <c r="A405" s="205">
        <v>157</v>
      </c>
      <c r="B405" s="233" t="s">
        <v>758</v>
      </c>
      <c r="C405" s="237" t="s">
        <v>759</v>
      </c>
      <c r="D405" s="233" t="s">
        <v>760</v>
      </c>
      <c r="E405" s="125" t="s">
        <v>54</v>
      </c>
      <c r="F405" s="181" t="s">
        <v>55</v>
      </c>
      <c r="G405" s="181" t="s">
        <v>56</v>
      </c>
      <c r="H405" s="181" t="s">
        <v>761</v>
      </c>
      <c r="I405" s="181"/>
      <c r="J405" s="178">
        <v>100</v>
      </c>
      <c r="K405" s="182"/>
      <c r="L405" s="182" t="s">
        <v>58</v>
      </c>
      <c r="M405" s="178" t="s">
        <v>59</v>
      </c>
      <c r="N405" s="178">
        <v>0</v>
      </c>
      <c r="O405" s="178" t="s">
        <v>60</v>
      </c>
      <c r="P405" s="178" t="s">
        <v>79</v>
      </c>
      <c r="Q405" s="179"/>
      <c r="R405" s="179"/>
      <c r="S405" s="180"/>
      <c r="T405" s="179"/>
      <c r="U405" s="179"/>
      <c r="V405" s="167"/>
      <c r="W405" s="168"/>
      <c r="X405" s="168"/>
      <c r="Y405" s="167"/>
      <c r="Z405" s="169" t="s">
        <v>63</v>
      </c>
      <c r="AA405" s="166">
        <v>6</v>
      </c>
      <c r="AB405" s="166">
        <v>0</v>
      </c>
      <c r="AC405" s="165"/>
      <c r="AD405" s="165"/>
      <c r="AE405" s="165"/>
      <c r="AF405" s="165"/>
      <c r="AG405" s="165"/>
      <c r="AH405" s="165"/>
      <c r="AI405" s="165"/>
      <c r="AJ405" s="165"/>
      <c r="AK405" s="166"/>
      <c r="AL405" s="166"/>
      <c r="AM405" s="166"/>
      <c r="AN405" s="166"/>
      <c r="AO405" s="166"/>
      <c r="AP405" s="166"/>
      <c r="AQ405" s="166"/>
      <c r="AR405" s="166"/>
      <c r="AS405" s="165"/>
      <c r="AT405" s="165"/>
      <c r="AU405" s="165"/>
      <c r="AV405" s="165"/>
      <c r="AW405" s="165"/>
      <c r="AX405" s="165"/>
      <c r="AY405" s="165"/>
      <c r="AZ405" s="165"/>
      <c r="BA405" s="166"/>
      <c r="BB405" s="166"/>
      <c r="BC405" s="166"/>
      <c r="BD405" s="166"/>
      <c r="BE405" s="166"/>
      <c r="BF405" s="166"/>
      <c r="BG405" s="166"/>
      <c r="BH405" s="166"/>
      <c r="BI405" s="165"/>
      <c r="BJ405" s="165"/>
      <c r="BK405" s="165"/>
      <c r="BL405" s="165"/>
      <c r="BM405" s="165"/>
      <c r="BN405" s="165"/>
      <c r="BO405" s="165"/>
      <c r="BP405" s="165"/>
      <c r="BQ405" s="166"/>
      <c r="BR405" s="165"/>
      <c r="BS405" s="124">
        <v>157</v>
      </c>
      <c r="BT405" s="124" t="s">
        <v>668</v>
      </c>
    </row>
    <row r="406" spans="1:72" s="124" customFormat="1" ht="14.25" hidden="1" customHeight="1" x14ac:dyDescent="0.2">
      <c r="A406" s="205">
        <v>158</v>
      </c>
      <c r="B406" s="233" t="s">
        <v>758</v>
      </c>
      <c r="C406" s="237" t="s">
        <v>759</v>
      </c>
      <c r="D406" s="233" t="s">
        <v>762</v>
      </c>
      <c r="E406" s="125" t="s">
        <v>54</v>
      </c>
      <c r="F406" s="181" t="s">
        <v>55</v>
      </c>
      <c r="G406" s="181" t="s">
        <v>56</v>
      </c>
      <c r="H406" s="181" t="s">
        <v>761</v>
      </c>
      <c r="I406" s="181"/>
      <c r="J406" s="178">
        <v>150</v>
      </c>
      <c r="K406" s="182"/>
      <c r="L406" s="182" t="s">
        <v>58</v>
      </c>
      <c r="M406" s="178" t="s">
        <v>59</v>
      </c>
      <c r="N406" s="178">
        <v>0</v>
      </c>
      <c r="O406" s="178" t="s">
        <v>60</v>
      </c>
      <c r="P406" s="178" t="s">
        <v>79</v>
      </c>
      <c r="Q406" s="179"/>
      <c r="R406" s="179"/>
      <c r="S406" s="180"/>
      <c r="T406" s="179"/>
      <c r="U406" s="179"/>
      <c r="V406" s="167"/>
      <c r="W406" s="168"/>
      <c r="X406" s="168"/>
      <c r="Y406" s="167"/>
      <c r="Z406" s="169" t="s">
        <v>63</v>
      </c>
      <c r="AA406" s="166">
        <v>27</v>
      </c>
      <c r="AB406" s="166">
        <v>0</v>
      </c>
      <c r="AC406" s="165"/>
      <c r="AD406" s="165"/>
      <c r="AE406" s="165"/>
      <c r="AF406" s="165"/>
      <c r="AG406" s="165"/>
      <c r="AH406" s="165"/>
      <c r="AI406" s="165"/>
      <c r="AJ406" s="165"/>
      <c r="AK406" s="166"/>
      <c r="AL406" s="166"/>
      <c r="AM406" s="166"/>
      <c r="AN406" s="166"/>
      <c r="AO406" s="166"/>
      <c r="AP406" s="166"/>
      <c r="AQ406" s="166"/>
      <c r="AR406" s="166"/>
      <c r="AS406" s="165"/>
      <c r="AT406" s="165"/>
      <c r="AU406" s="165"/>
      <c r="AV406" s="165"/>
      <c r="AW406" s="165"/>
      <c r="AX406" s="165"/>
      <c r="AY406" s="165"/>
      <c r="AZ406" s="165"/>
      <c r="BA406" s="166"/>
      <c r="BB406" s="166"/>
      <c r="BC406" s="166"/>
      <c r="BD406" s="166"/>
      <c r="BE406" s="166"/>
      <c r="BF406" s="166"/>
      <c r="BG406" s="166"/>
      <c r="BH406" s="166"/>
      <c r="BI406" s="165"/>
      <c r="BJ406" s="165"/>
      <c r="BK406" s="165"/>
      <c r="BL406" s="165"/>
      <c r="BM406" s="165"/>
      <c r="BN406" s="165"/>
      <c r="BO406" s="165"/>
      <c r="BP406" s="165"/>
      <c r="BQ406" s="166"/>
      <c r="BR406" s="165"/>
      <c r="BS406" s="124">
        <v>158</v>
      </c>
      <c r="BT406" s="124" t="s">
        <v>668</v>
      </c>
    </row>
    <row r="407" spans="1:72" s="124" customFormat="1" ht="14.25" hidden="1" customHeight="1" x14ac:dyDescent="0.2">
      <c r="A407" s="205">
        <v>159</v>
      </c>
      <c r="B407" s="233" t="s">
        <v>758</v>
      </c>
      <c r="C407" s="237" t="s">
        <v>759</v>
      </c>
      <c r="D407" s="233" t="s">
        <v>763</v>
      </c>
      <c r="E407" s="125" t="s">
        <v>54</v>
      </c>
      <c r="F407" s="181" t="s">
        <v>55</v>
      </c>
      <c r="G407" s="181" t="s">
        <v>56</v>
      </c>
      <c r="H407" s="181" t="s">
        <v>761</v>
      </c>
      <c r="I407" s="181"/>
      <c r="J407" s="178">
        <v>250</v>
      </c>
      <c r="K407" s="182"/>
      <c r="L407" s="182" t="s">
        <v>58</v>
      </c>
      <c r="M407" s="178" t="s">
        <v>59</v>
      </c>
      <c r="N407" s="178">
        <v>0</v>
      </c>
      <c r="O407" s="178" t="s">
        <v>60</v>
      </c>
      <c r="P407" s="178" t="s">
        <v>79</v>
      </c>
      <c r="Q407" s="179"/>
      <c r="R407" s="179"/>
      <c r="S407" s="180"/>
      <c r="T407" s="179"/>
      <c r="U407" s="179"/>
      <c r="V407" s="167"/>
      <c r="W407" s="168"/>
      <c r="X407" s="168"/>
      <c r="Y407" s="167"/>
      <c r="Z407" s="169" t="s">
        <v>63</v>
      </c>
      <c r="AA407" s="166">
        <v>10</v>
      </c>
      <c r="AB407" s="166">
        <v>0</v>
      </c>
      <c r="AC407" s="165"/>
      <c r="AD407" s="165"/>
      <c r="AE407" s="165"/>
      <c r="AF407" s="165"/>
      <c r="AG407" s="165"/>
      <c r="AH407" s="165"/>
      <c r="AI407" s="165"/>
      <c r="AJ407" s="165"/>
      <c r="AK407" s="166"/>
      <c r="AL407" s="166"/>
      <c r="AM407" s="166"/>
      <c r="AN407" s="166"/>
      <c r="AO407" s="166"/>
      <c r="AP407" s="166"/>
      <c r="AQ407" s="166"/>
      <c r="AR407" s="166"/>
      <c r="AS407" s="165"/>
      <c r="AT407" s="165"/>
      <c r="AU407" s="165"/>
      <c r="AV407" s="165"/>
      <c r="AW407" s="165"/>
      <c r="AX407" s="165"/>
      <c r="AY407" s="165"/>
      <c r="AZ407" s="165"/>
      <c r="BA407" s="166"/>
      <c r="BB407" s="166"/>
      <c r="BC407" s="166"/>
      <c r="BD407" s="166"/>
      <c r="BE407" s="166"/>
      <c r="BF407" s="166"/>
      <c r="BG407" s="166"/>
      <c r="BH407" s="166"/>
      <c r="BI407" s="165"/>
      <c r="BJ407" s="165"/>
      <c r="BK407" s="165"/>
      <c r="BL407" s="165"/>
      <c r="BM407" s="165"/>
      <c r="BN407" s="165"/>
      <c r="BO407" s="165"/>
      <c r="BP407" s="165"/>
      <c r="BQ407" s="166"/>
      <c r="BR407" s="165"/>
      <c r="BS407" s="124">
        <v>159</v>
      </c>
      <c r="BT407" s="124" t="s">
        <v>668</v>
      </c>
    </row>
    <row r="408" spans="1:72" s="124" customFormat="1" ht="14.25" hidden="1" customHeight="1" x14ac:dyDescent="0.2">
      <c r="A408" s="205">
        <v>160</v>
      </c>
      <c r="B408" s="233" t="s">
        <v>758</v>
      </c>
      <c r="C408" s="237" t="s">
        <v>759</v>
      </c>
      <c r="D408" s="233" t="s">
        <v>452</v>
      </c>
      <c r="E408" s="125" t="s">
        <v>54</v>
      </c>
      <c r="F408" s="181" t="s">
        <v>55</v>
      </c>
      <c r="G408" s="181" t="s">
        <v>56</v>
      </c>
      <c r="H408" s="181" t="s">
        <v>761</v>
      </c>
      <c r="I408" s="181"/>
      <c r="J408" s="178">
        <v>300</v>
      </c>
      <c r="K408" s="182"/>
      <c r="L408" s="182" t="s">
        <v>58</v>
      </c>
      <c r="M408" s="178" t="s">
        <v>59</v>
      </c>
      <c r="N408" s="178">
        <v>0</v>
      </c>
      <c r="O408" s="178" t="s">
        <v>60</v>
      </c>
      <c r="P408" s="178" t="s">
        <v>79</v>
      </c>
      <c r="Q408" s="179"/>
      <c r="R408" s="179"/>
      <c r="S408" s="180"/>
      <c r="T408" s="179"/>
      <c r="U408" s="179"/>
      <c r="V408" s="167"/>
      <c r="W408" s="168"/>
      <c r="X408" s="168"/>
      <c r="Y408" s="167"/>
      <c r="Z408" s="169" t="s">
        <v>63</v>
      </c>
      <c r="AA408" s="166">
        <v>5</v>
      </c>
      <c r="AB408" s="166">
        <v>0</v>
      </c>
      <c r="AC408" s="165"/>
      <c r="AD408" s="165"/>
      <c r="AE408" s="165"/>
      <c r="AF408" s="165"/>
      <c r="AG408" s="165"/>
      <c r="AH408" s="165"/>
      <c r="AI408" s="165"/>
      <c r="AJ408" s="165"/>
      <c r="AK408" s="166"/>
      <c r="AL408" s="166"/>
      <c r="AM408" s="166"/>
      <c r="AN408" s="166"/>
      <c r="AO408" s="166"/>
      <c r="AP408" s="166"/>
      <c r="AQ408" s="166"/>
      <c r="AR408" s="166"/>
      <c r="AS408" s="165"/>
      <c r="AT408" s="165"/>
      <c r="AU408" s="165"/>
      <c r="AV408" s="165"/>
      <c r="AW408" s="165"/>
      <c r="AX408" s="165"/>
      <c r="AY408" s="165"/>
      <c r="AZ408" s="165"/>
      <c r="BA408" s="166"/>
      <c r="BB408" s="166"/>
      <c r="BC408" s="166"/>
      <c r="BD408" s="166"/>
      <c r="BE408" s="166"/>
      <c r="BF408" s="166"/>
      <c r="BG408" s="166"/>
      <c r="BH408" s="166"/>
      <c r="BI408" s="165"/>
      <c r="BJ408" s="165"/>
      <c r="BK408" s="165"/>
      <c r="BL408" s="165"/>
      <c r="BM408" s="165"/>
      <c r="BN408" s="165"/>
      <c r="BO408" s="165"/>
      <c r="BP408" s="165"/>
      <c r="BQ408" s="166"/>
      <c r="BR408" s="165"/>
      <c r="BS408" s="124">
        <v>160</v>
      </c>
      <c r="BT408" s="124" t="s">
        <v>668</v>
      </c>
    </row>
    <row r="409" spans="1:72" s="124" customFormat="1" ht="14.25" hidden="1" customHeight="1" x14ac:dyDescent="0.2">
      <c r="A409" s="205">
        <v>161</v>
      </c>
      <c r="B409" s="233" t="s">
        <v>758</v>
      </c>
      <c r="C409" s="237" t="s">
        <v>759</v>
      </c>
      <c r="D409" s="233" t="s">
        <v>455</v>
      </c>
      <c r="E409" s="125" t="s">
        <v>54</v>
      </c>
      <c r="F409" s="181" t="s">
        <v>55</v>
      </c>
      <c r="G409" s="181" t="s">
        <v>56</v>
      </c>
      <c r="H409" s="181" t="s">
        <v>761</v>
      </c>
      <c r="I409" s="181"/>
      <c r="J409" s="178">
        <v>450</v>
      </c>
      <c r="K409" s="182"/>
      <c r="L409" s="182" t="s">
        <v>58</v>
      </c>
      <c r="M409" s="178" t="s">
        <v>59</v>
      </c>
      <c r="N409" s="178">
        <v>0</v>
      </c>
      <c r="O409" s="178" t="s">
        <v>60</v>
      </c>
      <c r="P409" s="178" t="s">
        <v>79</v>
      </c>
      <c r="Q409" s="179"/>
      <c r="R409" s="179"/>
      <c r="S409" s="180"/>
      <c r="T409" s="179"/>
      <c r="U409" s="179"/>
      <c r="V409" s="167"/>
      <c r="W409" s="168"/>
      <c r="X409" s="168"/>
      <c r="Y409" s="167"/>
      <c r="Z409" s="169" t="s">
        <v>63</v>
      </c>
      <c r="AA409" s="166">
        <v>13</v>
      </c>
      <c r="AB409" s="166">
        <v>0</v>
      </c>
      <c r="AC409" s="165"/>
      <c r="AD409" s="165"/>
      <c r="AE409" s="165"/>
      <c r="AF409" s="165"/>
      <c r="AG409" s="165"/>
      <c r="AH409" s="165"/>
      <c r="AI409" s="165"/>
      <c r="AJ409" s="165"/>
      <c r="AK409" s="166"/>
      <c r="AL409" s="166"/>
      <c r="AM409" s="166"/>
      <c r="AN409" s="166"/>
      <c r="AO409" s="166"/>
      <c r="AP409" s="166"/>
      <c r="AQ409" s="166"/>
      <c r="AR409" s="166"/>
      <c r="AS409" s="165"/>
      <c r="AT409" s="165"/>
      <c r="AU409" s="165"/>
      <c r="AV409" s="165"/>
      <c r="AW409" s="165"/>
      <c r="AX409" s="165"/>
      <c r="AY409" s="165"/>
      <c r="AZ409" s="165"/>
      <c r="BA409" s="166"/>
      <c r="BB409" s="166"/>
      <c r="BC409" s="166"/>
      <c r="BD409" s="166"/>
      <c r="BE409" s="166"/>
      <c r="BF409" s="166"/>
      <c r="BG409" s="166"/>
      <c r="BH409" s="166"/>
      <c r="BI409" s="165"/>
      <c r="BJ409" s="165"/>
      <c r="BK409" s="165"/>
      <c r="BL409" s="165"/>
      <c r="BM409" s="165"/>
      <c r="BN409" s="165"/>
      <c r="BO409" s="165"/>
      <c r="BP409" s="165"/>
      <c r="BQ409" s="166"/>
      <c r="BR409" s="165"/>
      <c r="BS409" s="124">
        <v>161</v>
      </c>
      <c r="BT409" s="124" t="s">
        <v>668</v>
      </c>
    </row>
    <row r="410" spans="1:72" s="124" customFormat="1" ht="14.25" hidden="1" customHeight="1" x14ac:dyDescent="0.2">
      <c r="A410" s="205">
        <v>162</v>
      </c>
      <c r="B410" s="233" t="s">
        <v>758</v>
      </c>
      <c r="C410" s="237" t="s">
        <v>759</v>
      </c>
      <c r="D410" s="233" t="s">
        <v>456</v>
      </c>
      <c r="E410" s="125" t="s">
        <v>54</v>
      </c>
      <c r="F410" s="181" t="s">
        <v>55</v>
      </c>
      <c r="G410" s="181" t="s">
        <v>56</v>
      </c>
      <c r="H410" s="181" t="s">
        <v>761</v>
      </c>
      <c r="I410" s="181"/>
      <c r="J410" s="178">
        <v>600</v>
      </c>
      <c r="K410" s="182"/>
      <c r="L410" s="182" t="s">
        <v>58</v>
      </c>
      <c r="M410" s="178" t="s">
        <v>59</v>
      </c>
      <c r="N410" s="178">
        <v>0</v>
      </c>
      <c r="O410" s="178" t="s">
        <v>60</v>
      </c>
      <c r="P410" s="178" t="s">
        <v>79</v>
      </c>
      <c r="Q410" s="179"/>
      <c r="R410" s="179"/>
      <c r="S410" s="180"/>
      <c r="T410" s="179"/>
      <c r="U410" s="179"/>
      <c r="V410" s="167"/>
      <c r="W410" s="168"/>
      <c r="X410" s="168"/>
      <c r="Y410" s="167"/>
      <c r="Z410" s="169" t="s">
        <v>63</v>
      </c>
      <c r="AA410" s="166">
        <v>12</v>
      </c>
      <c r="AB410" s="166">
        <v>0</v>
      </c>
      <c r="AC410" s="165"/>
      <c r="AD410" s="165"/>
      <c r="AE410" s="165"/>
      <c r="AF410" s="165"/>
      <c r="AG410" s="165"/>
      <c r="AH410" s="165"/>
      <c r="AI410" s="165"/>
      <c r="AJ410" s="165"/>
      <c r="AK410" s="166"/>
      <c r="AL410" s="166"/>
      <c r="AM410" s="166"/>
      <c r="AN410" s="166"/>
      <c r="AO410" s="166"/>
      <c r="AP410" s="166"/>
      <c r="AQ410" s="166"/>
      <c r="AR410" s="166"/>
      <c r="AS410" s="165"/>
      <c r="AT410" s="165"/>
      <c r="AU410" s="165"/>
      <c r="AV410" s="165"/>
      <c r="AW410" s="165"/>
      <c r="AX410" s="165"/>
      <c r="AY410" s="165"/>
      <c r="AZ410" s="165"/>
      <c r="BA410" s="166"/>
      <c r="BB410" s="166"/>
      <c r="BC410" s="166"/>
      <c r="BD410" s="166"/>
      <c r="BE410" s="166"/>
      <c r="BF410" s="166"/>
      <c r="BG410" s="166"/>
      <c r="BH410" s="166"/>
      <c r="BI410" s="165"/>
      <c r="BJ410" s="165"/>
      <c r="BK410" s="165"/>
      <c r="BL410" s="165"/>
      <c r="BM410" s="165"/>
      <c r="BN410" s="165"/>
      <c r="BO410" s="165"/>
      <c r="BP410" s="165"/>
      <c r="BQ410" s="166"/>
      <c r="BR410" s="165"/>
      <c r="BS410" s="124">
        <v>162</v>
      </c>
      <c r="BT410" s="124" t="s">
        <v>668</v>
      </c>
    </row>
    <row r="411" spans="1:72" s="124" customFormat="1" ht="14.25" hidden="1" customHeight="1" x14ac:dyDescent="0.2">
      <c r="A411" s="205">
        <v>163</v>
      </c>
      <c r="B411" s="233" t="s">
        <v>758</v>
      </c>
      <c r="C411" s="237" t="s">
        <v>759</v>
      </c>
      <c r="D411" s="233" t="s">
        <v>764</v>
      </c>
      <c r="E411" s="125" t="s">
        <v>54</v>
      </c>
      <c r="F411" s="181" t="s">
        <v>55</v>
      </c>
      <c r="G411" s="181" t="s">
        <v>56</v>
      </c>
      <c r="H411" s="181" t="s">
        <v>761</v>
      </c>
      <c r="I411" s="181"/>
      <c r="J411" s="178">
        <v>750</v>
      </c>
      <c r="K411" s="182"/>
      <c r="L411" s="182" t="s">
        <v>58</v>
      </c>
      <c r="M411" s="178" t="s">
        <v>59</v>
      </c>
      <c r="N411" s="178">
        <v>0</v>
      </c>
      <c r="O411" s="178" t="s">
        <v>60</v>
      </c>
      <c r="P411" s="178" t="s">
        <v>79</v>
      </c>
      <c r="Q411" s="179"/>
      <c r="R411" s="179"/>
      <c r="S411" s="180"/>
      <c r="T411" s="179"/>
      <c r="U411" s="179"/>
      <c r="V411" s="167"/>
      <c r="W411" s="168"/>
      <c r="X411" s="168"/>
      <c r="Y411" s="167"/>
      <c r="Z411" s="169" t="s">
        <v>63</v>
      </c>
      <c r="AA411" s="166">
        <v>10</v>
      </c>
      <c r="AB411" s="166">
        <v>0</v>
      </c>
      <c r="AC411" s="165"/>
      <c r="AD411" s="165"/>
      <c r="AE411" s="165"/>
      <c r="AF411" s="165"/>
      <c r="AG411" s="165"/>
      <c r="AH411" s="165"/>
      <c r="AI411" s="165"/>
      <c r="AJ411" s="165"/>
      <c r="AK411" s="166"/>
      <c r="AL411" s="166"/>
      <c r="AM411" s="166"/>
      <c r="AN411" s="166"/>
      <c r="AO411" s="166"/>
      <c r="AP411" s="166"/>
      <c r="AQ411" s="166"/>
      <c r="AR411" s="166"/>
      <c r="AS411" s="165"/>
      <c r="AT411" s="165"/>
      <c r="AU411" s="165"/>
      <c r="AV411" s="165"/>
      <c r="AW411" s="165"/>
      <c r="AX411" s="165"/>
      <c r="AY411" s="165"/>
      <c r="AZ411" s="165"/>
      <c r="BA411" s="166"/>
      <c r="BB411" s="166"/>
      <c r="BC411" s="166"/>
      <c r="BD411" s="166"/>
      <c r="BE411" s="166"/>
      <c r="BF411" s="166"/>
      <c r="BG411" s="166"/>
      <c r="BH411" s="166"/>
      <c r="BI411" s="165"/>
      <c r="BJ411" s="165"/>
      <c r="BK411" s="165"/>
      <c r="BL411" s="165"/>
      <c r="BM411" s="165"/>
      <c r="BN411" s="165"/>
      <c r="BO411" s="165"/>
      <c r="BP411" s="165"/>
      <c r="BQ411" s="166"/>
      <c r="BR411" s="165"/>
      <c r="BS411" s="124">
        <v>163</v>
      </c>
      <c r="BT411" s="124" t="s">
        <v>668</v>
      </c>
    </row>
    <row r="412" spans="1:72" s="124" customFormat="1" ht="14.25" hidden="1" customHeight="1" x14ac:dyDescent="0.2">
      <c r="A412" s="205">
        <v>164</v>
      </c>
      <c r="B412" s="233" t="s">
        <v>758</v>
      </c>
      <c r="C412" s="237" t="s">
        <v>759</v>
      </c>
      <c r="D412" s="233" t="s">
        <v>765</v>
      </c>
      <c r="E412" s="125" t="s">
        <v>54</v>
      </c>
      <c r="F412" s="181" t="s">
        <v>55</v>
      </c>
      <c r="G412" s="181" t="s">
        <v>56</v>
      </c>
      <c r="H412" s="181" t="s">
        <v>761</v>
      </c>
      <c r="I412" s="181"/>
      <c r="J412" s="178">
        <v>900</v>
      </c>
      <c r="K412" s="182"/>
      <c r="L412" s="182" t="s">
        <v>58</v>
      </c>
      <c r="M412" s="178" t="s">
        <v>59</v>
      </c>
      <c r="N412" s="178">
        <v>0</v>
      </c>
      <c r="O412" s="178" t="s">
        <v>60</v>
      </c>
      <c r="P412" s="178" t="s">
        <v>79</v>
      </c>
      <c r="Q412" s="179"/>
      <c r="R412" s="179"/>
      <c r="S412" s="180"/>
      <c r="T412" s="179"/>
      <c r="U412" s="179"/>
      <c r="V412" s="167"/>
      <c r="W412" s="168"/>
      <c r="X412" s="168"/>
      <c r="Y412" s="167"/>
      <c r="Z412" s="169" t="s">
        <v>63</v>
      </c>
      <c r="AA412" s="166">
        <v>9</v>
      </c>
      <c r="AB412" s="166">
        <v>0</v>
      </c>
      <c r="AC412" s="165"/>
      <c r="AD412" s="165"/>
      <c r="AE412" s="165"/>
      <c r="AF412" s="165"/>
      <c r="AG412" s="165"/>
      <c r="AH412" s="165"/>
      <c r="AI412" s="165"/>
      <c r="AJ412" s="165"/>
      <c r="AK412" s="166"/>
      <c r="AL412" s="166"/>
      <c r="AM412" s="166"/>
      <c r="AN412" s="166"/>
      <c r="AO412" s="166"/>
      <c r="AP412" s="166"/>
      <c r="AQ412" s="166"/>
      <c r="AR412" s="166"/>
      <c r="AS412" s="165"/>
      <c r="AT412" s="165"/>
      <c r="AU412" s="165"/>
      <c r="AV412" s="165"/>
      <c r="AW412" s="165"/>
      <c r="AX412" s="165"/>
      <c r="AY412" s="165"/>
      <c r="AZ412" s="165"/>
      <c r="BA412" s="166"/>
      <c r="BB412" s="166"/>
      <c r="BC412" s="166"/>
      <c r="BD412" s="166"/>
      <c r="BE412" s="166"/>
      <c r="BF412" s="166"/>
      <c r="BG412" s="166"/>
      <c r="BH412" s="166"/>
      <c r="BI412" s="165"/>
      <c r="BJ412" s="165"/>
      <c r="BK412" s="165"/>
      <c r="BL412" s="165"/>
      <c r="BM412" s="165"/>
      <c r="BN412" s="165"/>
      <c r="BO412" s="165"/>
      <c r="BP412" s="165"/>
      <c r="BQ412" s="166"/>
      <c r="BR412" s="165"/>
      <c r="BS412" s="124">
        <v>164</v>
      </c>
      <c r="BT412" s="124" t="s">
        <v>668</v>
      </c>
    </row>
    <row r="413" spans="1:72" s="124" customFormat="1" ht="14.25" hidden="1" customHeight="1" x14ac:dyDescent="0.2">
      <c r="A413" s="205">
        <v>172</v>
      </c>
      <c r="B413" s="235" t="s">
        <v>766</v>
      </c>
      <c r="C413" s="236" t="s">
        <v>767</v>
      </c>
      <c r="D413" s="235" t="s">
        <v>768</v>
      </c>
      <c r="E413" s="125" t="s">
        <v>102</v>
      </c>
      <c r="F413" s="181" t="s">
        <v>769</v>
      </c>
      <c r="G413" s="181" t="s">
        <v>56</v>
      </c>
      <c r="H413" s="156" t="s">
        <v>770</v>
      </c>
      <c r="I413" s="156"/>
      <c r="J413" s="209">
        <v>4</v>
      </c>
      <c r="K413" s="210"/>
      <c r="L413" s="210" t="s">
        <v>58</v>
      </c>
      <c r="M413" s="209" t="s">
        <v>59</v>
      </c>
      <c r="N413" s="209">
        <v>0</v>
      </c>
      <c r="O413" s="209" t="s">
        <v>60</v>
      </c>
      <c r="P413" s="209" t="s">
        <v>79</v>
      </c>
      <c r="Q413" s="211" t="s">
        <v>771</v>
      </c>
      <c r="R413" s="211" t="s">
        <v>772</v>
      </c>
      <c r="S413" s="212"/>
      <c r="T413" s="211"/>
      <c r="U413" s="211"/>
      <c r="V413" s="170" t="s">
        <v>62</v>
      </c>
      <c r="W413" s="129"/>
      <c r="X413" s="129"/>
      <c r="Y413" s="170" t="s">
        <v>740</v>
      </c>
      <c r="Z413" s="135" t="s">
        <v>63</v>
      </c>
      <c r="AA413" s="171">
        <v>16</v>
      </c>
      <c r="AB413" s="171">
        <v>8</v>
      </c>
      <c r="AC413" s="172" t="s">
        <v>773</v>
      </c>
      <c r="AD413" s="172" t="s">
        <v>80</v>
      </c>
      <c r="AE413" s="172" t="s">
        <v>389</v>
      </c>
      <c r="AF413" s="172" t="s">
        <v>774</v>
      </c>
      <c r="AG413" s="172" t="s">
        <v>80</v>
      </c>
      <c r="AH413" s="172" t="s">
        <v>117</v>
      </c>
      <c r="AI413" s="172">
        <v>20</v>
      </c>
      <c r="AJ413" s="172">
        <v>40</v>
      </c>
      <c r="AK413" s="171" t="s">
        <v>775</v>
      </c>
      <c r="AL413" s="171" t="s">
        <v>81</v>
      </c>
      <c r="AM413" s="171" t="s">
        <v>389</v>
      </c>
      <c r="AN413" s="171" t="s">
        <v>776</v>
      </c>
      <c r="AO413" s="171" t="s">
        <v>81</v>
      </c>
      <c r="AP413" s="171" t="s">
        <v>117</v>
      </c>
      <c r="AQ413" s="171">
        <v>45</v>
      </c>
      <c r="AR413" s="171">
        <v>100</v>
      </c>
      <c r="AS413" s="172"/>
      <c r="AT413" s="172"/>
      <c r="AU413" s="172"/>
      <c r="AV413" s="172"/>
      <c r="AW413" s="172"/>
      <c r="AX413" s="172"/>
      <c r="AY413" s="172"/>
      <c r="AZ413" s="172"/>
      <c r="BA413" s="171"/>
      <c r="BB413" s="171"/>
      <c r="BC413" s="171"/>
      <c r="BD413" s="171"/>
      <c r="BE413" s="171"/>
      <c r="BF413" s="171"/>
      <c r="BG413" s="171"/>
      <c r="BH413" s="171"/>
      <c r="BI413" s="172"/>
      <c r="BJ413" s="172"/>
      <c r="BK413" s="172"/>
      <c r="BL413" s="172"/>
      <c r="BM413" s="172"/>
      <c r="BN413" s="172"/>
      <c r="BO413" s="172"/>
      <c r="BP413" s="172"/>
      <c r="BQ413" s="171" t="s">
        <v>777</v>
      </c>
      <c r="BR413" s="172" t="s">
        <v>778</v>
      </c>
      <c r="BS413" s="124">
        <v>172</v>
      </c>
      <c r="BT413" s="124" t="s">
        <v>668</v>
      </c>
    </row>
    <row r="414" spans="1:72" s="124" customFormat="1" ht="14.25" hidden="1" customHeight="1" x14ac:dyDescent="0.2">
      <c r="A414" s="205">
        <v>173</v>
      </c>
      <c r="B414" s="235" t="s">
        <v>766</v>
      </c>
      <c r="C414" s="236" t="s">
        <v>767</v>
      </c>
      <c r="D414" s="235" t="s">
        <v>779</v>
      </c>
      <c r="E414" s="125" t="s">
        <v>102</v>
      </c>
      <c r="F414" s="181" t="s">
        <v>769</v>
      </c>
      <c r="G414" s="181" t="s">
        <v>56</v>
      </c>
      <c r="H414" s="156" t="s">
        <v>770</v>
      </c>
      <c r="I414" s="156"/>
      <c r="J414" s="209">
        <v>4</v>
      </c>
      <c r="K414" s="210"/>
      <c r="L414" s="210" t="s">
        <v>58</v>
      </c>
      <c r="M414" s="209" t="s">
        <v>59</v>
      </c>
      <c r="N414" s="209">
        <v>146</v>
      </c>
      <c r="O414" s="209" t="s">
        <v>60</v>
      </c>
      <c r="P414" s="209" t="s">
        <v>79</v>
      </c>
      <c r="Q414" s="211" t="s">
        <v>771</v>
      </c>
      <c r="R414" s="211" t="s">
        <v>772</v>
      </c>
      <c r="S414" s="212"/>
      <c r="T414" s="211"/>
      <c r="U414" s="211"/>
      <c r="V414" s="170" t="s">
        <v>62</v>
      </c>
      <c r="W414" s="129"/>
      <c r="X414" s="129"/>
      <c r="Y414" s="170" t="s">
        <v>740</v>
      </c>
      <c r="Z414" s="135" t="s">
        <v>63</v>
      </c>
      <c r="AA414" s="171">
        <v>16</v>
      </c>
      <c r="AB414" s="171">
        <v>8</v>
      </c>
      <c r="AC414" s="172" t="s">
        <v>773</v>
      </c>
      <c r="AD414" s="172" t="s">
        <v>80</v>
      </c>
      <c r="AE414" s="172" t="s">
        <v>389</v>
      </c>
      <c r="AF414" s="172" t="s">
        <v>774</v>
      </c>
      <c r="AG414" s="172" t="s">
        <v>80</v>
      </c>
      <c r="AH414" s="172" t="s">
        <v>117</v>
      </c>
      <c r="AI414" s="172">
        <v>20</v>
      </c>
      <c r="AJ414" s="172">
        <v>40</v>
      </c>
      <c r="AK414" s="171" t="s">
        <v>775</v>
      </c>
      <c r="AL414" s="171" t="s">
        <v>81</v>
      </c>
      <c r="AM414" s="171" t="s">
        <v>389</v>
      </c>
      <c r="AN414" s="171" t="s">
        <v>776</v>
      </c>
      <c r="AO414" s="171" t="s">
        <v>81</v>
      </c>
      <c r="AP414" s="171" t="s">
        <v>117</v>
      </c>
      <c r="AQ414" s="171">
        <v>45</v>
      </c>
      <c r="AR414" s="171">
        <v>100</v>
      </c>
      <c r="AS414" s="172"/>
      <c r="AT414" s="172"/>
      <c r="AU414" s="172"/>
      <c r="AV414" s="172"/>
      <c r="AW414" s="172"/>
      <c r="AX414" s="172"/>
      <c r="AY414" s="172"/>
      <c r="AZ414" s="172"/>
      <c r="BA414" s="171"/>
      <c r="BB414" s="171"/>
      <c r="BC414" s="171"/>
      <c r="BD414" s="171"/>
      <c r="BE414" s="171"/>
      <c r="BF414" s="171"/>
      <c r="BG414" s="171"/>
      <c r="BH414" s="171"/>
      <c r="BI414" s="172"/>
      <c r="BJ414" s="172"/>
      <c r="BK414" s="172"/>
      <c r="BL414" s="172"/>
      <c r="BM414" s="172"/>
      <c r="BN414" s="172"/>
      <c r="BO414" s="172"/>
      <c r="BP414" s="172"/>
      <c r="BQ414" s="171" t="s">
        <v>777</v>
      </c>
      <c r="BR414" s="172" t="s">
        <v>778</v>
      </c>
      <c r="BS414" s="124">
        <v>173</v>
      </c>
      <c r="BT414" s="124" t="s">
        <v>668</v>
      </c>
    </row>
    <row r="415" spans="1:72" s="124" customFormat="1" ht="14.25" hidden="1" customHeight="1" x14ac:dyDescent="0.2">
      <c r="A415" s="205">
        <v>174</v>
      </c>
      <c r="B415" s="235" t="s">
        <v>766</v>
      </c>
      <c r="C415" s="236" t="s">
        <v>767</v>
      </c>
      <c r="D415" s="235" t="s">
        <v>387</v>
      </c>
      <c r="E415" s="125" t="s">
        <v>102</v>
      </c>
      <c r="F415" s="181" t="s">
        <v>769</v>
      </c>
      <c r="G415" s="181" t="s">
        <v>56</v>
      </c>
      <c r="H415" s="156" t="s">
        <v>770</v>
      </c>
      <c r="I415" s="156"/>
      <c r="J415" s="209">
        <v>0.05</v>
      </c>
      <c r="K415" s="210"/>
      <c r="L415" s="210" t="s">
        <v>107</v>
      </c>
      <c r="M415" s="209" t="s">
        <v>78</v>
      </c>
      <c r="N415" s="209">
        <v>0</v>
      </c>
      <c r="O415" s="209" t="s">
        <v>60</v>
      </c>
      <c r="P415" s="209" t="s">
        <v>79</v>
      </c>
      <c r="Q415" s="211"/>
      <c r="R415" s="211"/>
      <c r="S415" s="212">
        <v>30</v>
      </c>
      <c r="T415" s="211"/>
      <c r="U415" s="211"/>
      <c r="V415" s="170" t="s">
        <v>62</v>
      </c>
      <c r="W415" s="129"/>
      <c r="X415" s="129"/>
      <c r="Y415" s="170" t="s">
        <v>740</v>
      </c>
      <c r="Z415" s="135" t="s">
        <v>63</v>
      </c>
      <c r="AA415" s="171">
        <v>16</v>
      </c>
      <c r="AB415" s="171">
        <v>8</v>
      </c>
      <c r="AC415" s="172" t="s">
        <v>773</v>
      </c>
      <c r="AD415" s="172" t="s">
        <v>80</v>
      </c>
      <c r="AE415" s="172" t="s">
        <v>389</v>
      </c>
      <c r="AF415" s="172" t="s">
        <v>774</v>
      </c>
      <c r="AG415" s="172" t="s">
        <v>80</v>
      </c>
      <c r="AH415" s="172" t="s">
        <v>117</v>
      </c>
      <c r="AI415" s="172">
        <v>20</v>
      </c>
      <c r="AJ415" s="172">
        <v>40</v>
      </c>
      <c r="AK415" s="171" t="s">
        <v>775</v>
      </c>
      <c r="AL415" s="171" t="s">
        <v>81</v>
      </c>
      <c r="AM415" s="171" t="s">
        <v>389</v>
      </c>
      <c r="AN415" s="171" t="s">
        <v>776</v>
      </c>
      <c r="AO415" s="171" t="s">
        <v>81</v>
      </c>
      <c r="AP415" s="171" t="s">
        <v>117</v>
      </c>
      <c r="AQ415" s="171">
        <v>45</v>
      </c>
      <c r="AR415" s="171">
        <v>100</v>
      </c>
      <c r="AS415" s="172"/>
      <c r="AT415" s="172"/>
      <c r="AU415" s="172"/>
      <c r="AV415" s="172"/>
      <c r="AW415" s="172"/>
      <c r="AX415" s="172"/>
      <c r="AY415" s="172"/>
      <c r="AZ415" s="172"/>
      <c r="BA415" s="171"/>
      <c r="BB415" s="171"/>
      <c r="BC415" s="171"/>
      <c r="BD415" s="171"/>
      <c r="BE415" s="171"/>
      <c r="BF415" s="171"/>
      <c r="BG415" s="171"/>
      <c r="BH415" s="171"/>
      <c r="BI415" s="172"/>
      <c r="BJ415" s="172"/>
      <c r="BK415" s="172"/>
      <c r="BL415" s="172"/>
      <c r="BM415" s="172"/>
      <c r="BN415" s="172"/>
      <c r="BO415" s="172"/>
      <c r="BP415" s="172"/>
      <c r="BQ415" s="171" t="s">
        <v>777</v>
      </c>
      <c r="BR415" s="172" t="s">
        <v>778</v>
      </c>
      <c r="BS415" s="124">
        <v>174</v>
      </c>
      <c r="BT415" s="124" t="s">
        <v>668</v>
      </c>
    </row>
    <row r="416" spans="1:72" s="124" customFormat="1" ht="14.25" hidden="1" customHeight="1" x14ac:dyDescent="0.2">
      <c r="A416" s="205">
        <v>175</v>
      </c>
      <c r="B416" s="235" t="s">
        <v>766</v>
      </c>
      <c r="C416" s="236" t="s">
        <v>767</v>
      </c>
      <c r="D416" s="235" t="s">
        <v>780</v>
      </c>
      <c r="E416" s="125" t="s">
        <v>102</v>
      </c>
      <c r="F416" s="181" t="s">
        <v>769</v>
      </c>
      <c r="G416" s="181" t="s">
        <v>56</v>
      </c>
      <c r="H416" s="156" t="s">
        <v>770</v>
      </c>
      <c r="I416" s="156"/>
      <c r="J416" s="209">
        <v>0.05</v>
      </c>
      <c r="K416" s="210"/>
      <c r="L416" s="210" t="s">
        <v>107</v>
      </c>
      <c r="M416" s="209" t="s">
        <v>78</v>
      </c>
      <c r="N416" s="209">
        <v>146</v>
      </c>
      <c r="O416" s="209" t="s">
        <v>60</v>
      </c>
      <c r="P416" s="209" t="s">
        <v>79</v>
      </c>
      <c r="Q416" s="211"/>
      <c r="R416" s="211"/>
      <c r="S416" s="212">
        <v>30</v>
      </c>
      <c r="T416" s="211"/>
      <c r="U416" s="211"/>
      <c r="V416" s="170" t="s">
        <v>62</v>
      </c>
      <c r="W416" s="129"/>
      <c r="X416" s="129"/>
      <c r="Y416" s="170" t="s">
        <v>740</v>
      </c>
      <c r="Z416" s="135" t="s">
        <v>63</v>
      </c>
      <c r="AA416" s="171">
        <v>16</v>
      </c>
      <c r="AB416" s="171">
        <v>8</v>
      </c>
      <c r="AC416" s="172" t="s">
        <v>773</v>
      </c>
      <c r="AD416" s="172" t="s">
        <v>80</v>
      </c>
      <c r="AE416" s="172" t="s">
        <v>389</v>
      </c>
      <c r="AF416" s="172" t="s">
        <v>774</v>
      </c>
      <c r="AG416" s="172" t="s">
        <v>80</v>
      </c>
      <c r="AH416" s="172" t="s">
        <v>117</v>
      </c>
      <c r="AI416" s="172">
        <v>20</v>
      </c>
      <c r="AJ416" s="172">
        <v>40</v>
      </c>
      <c r="AK416" s="171" t="s">
        <v>775</v>
      </c>
      <c r="AL416" s="171" t="s">
        <v>81</v>
      </c>
      <c r="AM416" s="171" t="s">
        <v>389</v>
      </c>
      <c r="AN416" s="171" t="s">
        <v>776</v>
      </c>
      <c r="AO416" s="171" t="s">
        <v>81</v>
      </c>
      <c r="AP416" s="171" t="s">
        <v>117</v>
      </c>
      <c r="AQ416" s="171">
        <v>45</v>
      </c>
      <c r="AR416" s="171">
        <v>100</v>
      </c>
      <c r="AS416" s="172"/>
      <c r="AT416" s="172"/>
      <c r="AU416" s="172"/>
      <c r="AV416" s="172"/>
      <c r="AW416" s="172"/>
      <c r="AX416" s="172"/>
      <c r="AY416" s="172"/>
      <c r="AZ416" s="172"/>
      <c r="BA416" s="171"/>
      <c r="BB416" s="171"/>
      <c r="BC416" s="171"/>
      <c r="BD416" s="171"/>
      <c r="BE416" s="171"/>
      <c r="BF416" s="171"/>
      <c r="BG416" s="171"/>
      <c r="BH416" s="171"/>
      <c r="BI416" s="172"/>
      <c r="BJ416" s="172"/>
      <c r="BK416" s="172"/>
      <c r="BL416" s="172"/>
      <c r="BM416" s="172"/>
      <c r="BN416" s="172"/>
      <c r="BO416" s="172"/>
      <c r="BP416" s="172"/>
      <c r="BQ416" s="171" t="s">
        <v>777</v>
      </c>
      <c r="BR416" s="172" t="s">
        <v>778</v>
      </c>
      <c r="BS416" s="124">
        <v>175</v>
      </c>
      <c r="BT416" s="124" t="s">
        <v>668</v>
      </c>
    </row>
    <row r="417" spans="1:72" s="124" customFormat="1" ht="14.25" hidden="1" customHeight="1" x14ac:dyDescent="0.2">
      <c r="A417" s="205">
        <v>176</v>
      </c>
      <c r="B417" s="235" t="s">
        <v>781</v>
      </c>
      <c r="C417" s="236" t="s">
        <v>782</v>
      </c>
      <c r="D417" s="235" t="s">
        <v>768</v>
      </c>
      <c r="E417" s="125" t="s">
        <v>102</v>
      </c>
      <c r="F417" s="181" t="s">
        <v>769</v>
      </c>
      <c r="G417" s="156" t="s">
        <v>56</v>
      </c>
      <c r="H417" s="156" t="s">
        <v>783</v>
      </c>
      <c r="I417" s="156"/>
      <c r="J417" s="209">
        <v>4</v>
      </c>
      <c r="K417" s="210"/>
      <c r="L417" s="210" t="s">
        <v>58</v>
      </c>
      <c r="M417" s="209" t="s">
        <v>59</v>
      </c>
      <c r="N417" s="209">
        <v>0</v>
      </c>
      <c r="O417" s="209" t="s">
        <v>60</v>
      </c>
      <c r="P417" s="209" t="s">
        <v>79</v>
      </c>
      <c r="Q417" s="211" t="s">
        <v>771</v>
      </c>
      <c r="R417" s="211"/>
      <c r="S417" s="212"/>
      <c r="T417" s="211"/>
      <c r="U417" s="211"/>
      <c r="V417" s="170" t="s">
        <v>62</v>
      </c>
      <c r="W417" s="129"/>
      <c r="X417" s="129"/>
      <c r="Y417" s="170" t="s">
        <v>740</v>
      </c>
      <c r="Z417" s="135" t="s">
        <v>63</v>
      </c>
      <c r="AA417" s="171">
        <v>52</v>
      </c>
      <c r="AB417" s="171">
        <v>28</v>
      </c>
      <c r="AC417" s="172" t="s">
        <v>784</v>
      </c>
      <c r="AD417" s="172" t="s">
        <v>80</v>
      </c>
      <c r="AE417" s="172" t="s">
        <v>389</v>
      </c>
      <c r="AF417" s="136" t="s">
        <v>785</v>
      </c>
      <c r="AG417" s="172" t="s">
        <v>80</v>
      </c>
      <c r="AH417" s="172" t="s">
        <v>117</v>
      </c>
      <c r="AI417" s="172"/>
      <c r="AJ417" s="172"/>
      <c r="AK417" s="171">
        <v>75.5</v>
      </c>
      <c r="AL417" s="171" t="s">
        <v>81</v>
      </c>
      <c r="AM417" s="171" t="s">
        <v>389</v>
      </c>
      <c r="AN417" s="171">
        <v>14.4</v>
      </c>
      <c r="AO417" s="171" t="s">
        <v>81</v>
      </c>
      <c r="AP417" s="171" t="s">
        <v>117</v>
      </c>
      <c r="AQ417" s="171"/>
      <c r="AR417" s="171"/>
      <c r="AS417" s="172"/>
      <c r="AT417" s="172"/>
      <c r="AU417" s="172"/>
      <c r="AV417" s="172"/>
      <c r="AW417" s="172"/>
      <c r="AX417" s="172"/>
      <c r="AY417" s="172"/>
      <c r="AZ417" s="172"/>
      <c r="BA417" s="171"/>
      <c r="BB417" s="171"/>
      <c r="BC417" s="171"/>
      <c r="BD417" s="171"/>
      <c r="BE417" s="171"/>
      <c r="BF417" s="171"/>
      <c r="BG417" s="171"/>
      <c r="BH417" s="171"/>
      <c r="BI417" s="172"/>
      <c r="BJ417" s="172"/>
      <c r="BK417" s="172"/>
      <c r="BL417" s="172"/>
      <c r="BM417" s="172"/>
      <c r="BN417" s="172"/>
      <c r="BO417" s="172"/>
      <c r="BP417" s="172"/>
      <c r="BQ417" s="171" t="s">
        <v>238</v>
      </c>
      <c r="BR417" s="165"/>
      <c r="BS417" s="124">
        <v>176</v>
      </c>
      <c r="BT417" s="124" t="s">
        <v>668</v>
      </c>
    </row>
    <row r="418" spans="1:72" s="124" customFormat="1" ht="14.25" hidden="1" customHeight="1" x14ac:dyDescent="0.2">
      <c r="A418" s="205">
        <v>177</v>
      </c>
      <c r="B418" s="235" t="s">
        <v>781</v>
      </c>
      <c r="C418" s="236" t="s">
        <v>782</v>
      </c>
      <c r="D418" s="235" t="s">
        <v>786</v>
      </c>
      <c r="E418" s="125" t="s">
        <v>102</v>
      </c>
      <c r="F418" s="181" t="s">
        <v>769</v>
      </c>
      <c r="G418" s="156" t="s">
        <v>56</v>
      </c>
      <c r="H418" s="156" t="s">
        <v>783</v>
      </c>
      <c r="I418" s="156"/>
      <c r="J418" s="209">
        <v>6</v>
      </c>
      <c r="K418" s="210"/>
      <c r="L418" s="210" t="s">
        <v>58</v>
      </c>
      <c r="M418" s="209" t="s">
        <v>59</v>
      </c>
      <c r="N418" s="209">
        <v>132</v>
      </c>
      <c r="O418" s="209" t="s">
        <v>60</v>
      </c>
      <c r="P418" s="209" t="s">
        <v>79</v>
      </c>
      <c r="Q418" s="211" t="s">
        <v>771</v>
      </c>
      <c r="R418" s="211"/>
      <c r="S418" s="212"/>
      <c r="T418" s="211"/>
      <c r="U418" s="211"/>
      <c r="V418" s="170" t="s">
        <v>62</v>
      </c>
      <c r="W418" s="129"/>
      <c r="X418" s="129"/>
      <c r="Y418" s="170" t="s">
        <v>740</v>
      </c>
      <c r="Z418" s="135" t="s">
        <v>63</v>
      </c>
      <c r="AA418" s="171">
        <v>52</v>
      </c>
      <c r="AB418" s="171">
        <v>28</v>
      </c>
      <c r="AC418" s="172" t="s">
        <v>784</v>
      </c>
      <c r="AD418" s="172" t="s">
        <v>80</v>
      </c>
      <c r="AE418" s="172" t="s">
        <v>389</v>
      </c>
      <c r="AF418" s="136" t="s">
        <v>785</v>
      </c>
      <c r="AG418" s="172" t="s">
        <v>80</v>
      </c>
      <c r="AH418" s="172" t="s">
        <v>117</v>
      </c>
      <c r="AI418" s="172"/>
      <c r="AJ418" s="172"/>
      <c r="AK418" s="171">
        <v>75.400000000000006</v>
      </c>
      <c r="AL418" s="171" t="s">
        <v>81</v>
      </c>
      <c r="AM418" s="171" t="s">
        <v>389</v>
      </c>
      <c r="AN418" s="171">
        <v>14.4</v>
      </c>
      <c r="AO418" s="171" t="s">
        <v>81</v>
      </c>
      <c r="AP418" s="171" t="s">
        <v>117</v>
      </c>
      <c r="AQ418" s="171"/>
      <c r="AR418" s="171"/>
      <c r="AS418" s="172"/>
      <c r="AT418" s="172"/>
      <c r="AU418" s="172"/>
      <c r="AV418" s="172"/>
      <c r="AW418" s="172"/>
      <c r="AX418" s="172"/>
      <c r="AY418" s="172"/>
      <c r="AZ418" s="172"/>
      <c r="BA418" s="171"/>
      <c r="BB418" s="171"/>
      <c r="BC418" s="171"/>
      <c r="BD418" s="171"/>
      <c r="BE418" s="171"/>
      <c r="BF418" s="171"/>
      <c r="BG418" s="171"/>
      <c r="BH418" s="171"/>
      <c r="BI418" s="172"/>
      <c r="BJ418" s="172"/>
      <c r="BK418" s="172"/>
      <c r="BL418" s="172"/>
      <c r="BM418" s="172"/>
      <c r="BN418" s="172"/>
      <c r="BO418" s="172"/>
      <c r="BP418" s="172"/>
      <c r="BQ418" s="171" t="s">
        <v>238</v>
      </c>
      <c r="BR418" s="165"/>
      <c r="BS418" s="124">
        <v>177</v>
      </c>
      <c r="BT418" s="124" t="s">
        <v>668</v>
      </c>
    </row>
    <row r="419" spans="1:72" s="124" customFormat="1" ht="14.25" hidden="1" customHeight="1" x14ac:dyDescent="0.2">
      <c r="A419" s="205">
        <v>178</v>
      </c>
      <c r="B419" s="235" t="s">
        <v>781</v>
      </c>
      <c r="C419" s="236" t="s">
        <v>782</v>
      </c>
      <c r="D419" s="235" t="s">
        <v>387</v>
      </c>
      <c r="E419" s="125" t="s">
        <v>102</v>
      </c>
      <c r="F419" s="181" t="s">
        <v>769</v>
      </c>
      <c r="G419" s="156" t="s">
        <v>56</v>
      </c>
      <c r="H419" s="156" t="s">
        <v>783</v>
      </c>
      <c r="I419" s="156"/>
      <c r="J419" s="209">
        <v>0.05</v>
      </c>
      <c r="K419" s="210"/>
      <c r="L419" s="210" t="s">
        <v>107</v>
      </c>
      <c r="M419" s="209" t="s">
        <v>78</v>
      </c>
      <c r="N419" s="209">
        <v>0</v>
      </c>
      <c r="O419" s="209" t="s">
        <v>60</v>
      </c>
      <c r="P419" s="209" t="s">
        <v>79</v>
      </c>
      <c r="Q419" s="211"/>
      <c r="R419" s="211"/>
      <c r="S419" s="212">
        <v>30</v>
      </c>
      <c r="T419" s="211"/>
      <c r="U419" s="211"/>
      <c r="V419" s="170" t="s">
        <v>62</v>
      </c>
      <c r="W419" s="129"/>
      <c r="X419" s="129"/>
      <c r="Y419" s="170" t="s">
        <v>740</v>
      </c>
      <c r="Z419" s="135" t="s">
        <v>63</v>
      </c>
      <c r="AA419" s="171">
        <v>52</v>
      </c>
      <c r="AB419" s="171">
        <v>28</v>
      </c>
      <c r="AC419" s="172" t="s">
        <v>784</v>
      </c>
      <c r="AD419" s="172" t="s">
        <v>80</v>
      </c>
      <c r="AE419" s="172" t="s">
        <v>389</v>
      </c>
      <c r="AF419" s="136" t="s">
        <v>785</v>
      </c>
      <c r="AG419" s="172" t="s">
        <v>80</v>
      </c>
      <c r="AH419" s="172" t="s">
        <v>117</v>
      </c>
      <c r="AI419" s="172"/>
      <c r="AJ419" s="172"/>
      <c r="AK419" s="171">
        <v>75.5</v>
      </c>
      <c r="AL419" s="171" t="s">
        <v>81</v>
      </c>
      <c r="AM419" s="171" t="s">
        <v>389</v>
      </c>
      <c r="AN419" s="171">
        <v>14.4</v>
      </c>
      <c r="AO419" s="171" t="s">
        <v>81</v>
      </c>
      <c r="AP419" s="171" t="s">
        <v>117</v>
      </c>
      <c r="AQ419" s="171"/>
      <c r="AR419" s="171"/>
      <c r="AS419" s="172"/>
      <c r="AT419" s="172"/>
      <c r="AU419" s="172"/>
      <c r="AV419" s="172"/>
      <c r="AW419" s="172"/>
      <c r="AX419" s="172"/>
      <c r="AY419" s="172"/>
      <c r="AZ419" s="172"/>
      <c r="BA419" s="171"/>
      <c r="BB419" s="171"/>
      <c r="BC419" s="171"/>
      <c r="BD419" s="171"/>
      <c r="BE419" s="171"/>
      <c r="BF419" s="171"/>
      <c r="BG419" s="171"/>
      <c r="BH419" s="171"/>
      <c r="BI419" s="172"/>
      <c r="BJ419" s="172"/>
      <c r="BK419" s="172"/>
      <c r="BL419" s="172"/>
      <c r="BM419" s="172"/>
      <c r="BN419" s="172"/>
      <c r="BO419" s="172"/>
      <c r="BP419" s="172"/>
      <c r="BQ419" s="171" t="s">
        <v>238</v>
      </c>
      <c r="BR419" s="165"/>
      <c r="BS419" s="124">
        <v>178</v>
      </c>
      <c r="BT419" s="124" t="s">
        <v>668</v>
      </c>
    </row>
    <row r="420" spans="1:72" s="124" customFormat="1" ht="14.25" hidden="1" customHeight="1" x14ac:dyDescent="0.2">
      <c r="A420" s="205">
        <v>179</v>
      </c>
      <c r="B420" s="235" t="s">
        <v>781</v>
      </c>
      <c r="C420" s="236" t="s">
        <v>782</v>
      </c>
      <c r="D420" s="235" t="s">
        <v>390</v>
      </c>
      <c r="E420" s="125" t="s">
        <v>102</v>
      </c>
      <c r="F420" s="181" t="s">
        <v>769</v>
      </c>
      <c r="G420" s="156" t="s">
        <v>56</v>
      </c>
      <c r="H420" s="156" t="s">
        <v>783</v>
      </c>
      <c r="I420" s="156"/>
      <c r="J420" s="209">
        <v>0.05</v>
      </c>
      <c r="K420" s="210"/>
      <c r="L420" s="210" t="s">
        <v>107</v>
      </c>
      <c r="M420" s="209" t="s">
        <v>78</v>
      </c>
      <c r="N420" s="209">
        <v>132</v>
      </c>
      <c r="O420" s="209" t="s">
        <v>60</v>
      </c>
      <c r="P420" s="209" t="s">
        <v>79</v>
      </c>
      <c r="Q420" s="211"/>
      <c r="R420" s="211"/>
      <c r="S420" s="212">
        <v>30</v>
      </c>
      <c r="T420" s="211"/>
      <c r="U420" s="211"/>
      <c r="V420" s="170"/>
      <c r="W420" s="129"/>
      <c r="X420" s="129"/>
      <c r="Y420" s="170" t="s">
        <v>740</v>
      </c>
      <c r="Z420" s="135" t="s">
        <v>63</v>
      </c>
      <c r="AA420" s="171">
        <v>52</v>
      </c>
      <c r="AB420" s="171">
        <v>28</v>
      </c>
      <c r="AC420" s="172" t="s">
        <v>784</v>
      </c>
      <c r="AD420" s="172" t="s">
        <v>80</v>
      </c>
      <c r="AE420" s="172" t="s">
        <v>389</v>
      </c>
      <c r="AF420" s="136" t="s">
        <v>785</v>
      </c>
      <c r="AG420" s="172" t="s">
        <v>80</v>
      </c>
      <c r="AH420" s="172" t="s">
        <v>117</v>
      </c>
      <c r="AI420" s="172"/>
      <c r="AJ420" s="172"/>
      <c r="AK420" s="171">
        <v>75.400000000000006</v>
      </c>
      <c r="AL420" s="171" t="s">
        <v>81</v>
      </c>
      <c r="AM420" s="171" t="s">
        <v>389</v>
      </c>
      <c r="AN420" s="171">
        <v>14.4</v>
      </c>
      <c r="AO420" s="171" t="s">
        <v>81</v>
      </c>
      <c r="AP420" s="171" t="s">
        <v>117</v>
      </c>
      <c r="AQ420" s="171"/>
      <c r="AR420" s="171"/>
      <c r="AS420" s="172"/>
      <c r="AT420" s="172"/>
      <c r="AU420" s="172"/>
      <c r="AV420" s="172"/>
      <c r="AW420" s="172"/>
      <c r="AX420" s="172"/>
      <c r="AY420" s="172"/>
      <c r="AZ420" s="172"/>
      <c r="BA420" s="171"/>
      <c r="BB420" s="171"/>
      <c r="BC420" s="171"/>
      <c r="BD420" s="171"/>
      <c r="BE420" s="171"/>
      <c r="BF420" s="171"/>
      <c r="BG420" s="171"/>
      <c r="BH420" s="171"/>
      <c r="BI420" s="172"/>
      <c r="BJ420" s="172"/>
      <c r="BK420" s="172"/>
      <c r="BL420" s="172"/>
      <c r="BM420" s="172"/>
      <c r="BN420" s="172"/>
      <c r="BO420" s="172"/>
      <c r="BP420" s="172"/>
      <c r="BQ420" s="171" t="s">
        <v>238</v>
      </c>
      <c r="BR420" s="165"/>
      <c r="BS420" s="124">
        <v>179</v>
      </c>
      <c r="BT420" s="124" t="s">
        <v>668</v>
      </c>
    </row>
    <row r="421" spans="1:72" s="124" customFormat="1" ht="14.25" hidden="1" customHeight="1" x14ac:dyDescent="0.2">
      <c r="A421" s="205">
        <v>180</v>
      </c>
      <c r="B421" s="233" t="s">
        <v>787</v>
      </c>
      <c r="C421" s="237" t="s">
        <v>788</v>
      </c>
      <c r="D421" s="233" t="s">
        <v>789</v>
      </c>
      <c r="E421" s="125" t="s">
        <v>102</v>
      </c>
      <c r="F421" s="181" t="s">
        <v>103</v>
      </c>
      <c r="G421" s="181" t="s">
        <v>790</v>
      </c>
      <c r="H421" s="181" t="s">
        <v>791</v>
      </c>
      <c r="I421" s="181"/>
      <c r="J421" s="178">
        <v>5</v>
      </c>
      <c r="K421" s="182"/>
      <c r="L421" s="182" t="s">
        <v>58</v>
      </c>
      <c r="M421" s="178" t="s">
        <v>78</v>
      </c>
      <c r="N421" s="209">
        <v>0</v>
      </c>
      <c r="O421" s="209" t="s">
        <v>60</v>
      </c>
      <c r="P421" s="209" t="s">
        <v>79</v>
      </c>
      <c r="Q421" s="179"/>
      <c r="R421" s="179" t="s">
        <v>792</v>
      </c>
      <c r="S421" s="180">
        <v>10</v>
      </c>
      <c r="T421" s="179"/>
      <c r="U421" s="179"/>
      <c r="V421" s="167"/>
      <c r="W421" s="168"/>
      <c r="X421" s="168"/>
      <c r="Y421" s="167"/>
      <c r="Z421" s="135" t="s">
        <v>63</v>
      </c>
      <c r="AA421" s="166">
        <v>10</v>
      </c>
      <c r="AB421" s="166">
        <v>10</v>
      </c>
      <c r="AC421" s="165">
        <v>28.5</v>
      </c>
      <c r="AD421" s="172" t="s">
        <v>80</v>
      </c>
      <c r="AE421" s="172" t="s">
        <v>116</v>
      </c>
      <c r="AF421" s="165">
        <v>1.3</v>
      </c>
      <c r="AG421" s="172" t="s">
        <v>80</v>
      </c>
      <c r="AH421" s="172" t="s">
        <v>117</v>
      </c>
      <c r="AI421" s="165"/>
      <c r="AJ421" s="165"/>
      <c r="AK421" s="166">
        <v>58.5</v>
      </c>
      <c r="AL421" s="171" t="s">
        <v>81</v>
      </c>
      <c r="AM421" s="171" t="s">
        <v>118</v>
      </c>
      <c r="AN421" s="166">
        <v>1.3</v>
      </c>
      <c r="AO421" s="171" t="s">
        <v>81</v>
      </c>
      <c r="AP421" s="171" t="s">
        <v>117</v>
      </c>
      <c r="AQ421" s="166"/>
      <c r="AR421" s="166"/>
      <c r="AS421" s="165"/>
      <c r="AT421" s="165"/>
      <c r="AU421" s="165"/>
      <c r="AV421" s="165"/>
      <c r="AW421" s="165"/>
      <c r="AX421" s="165"/>
      <c r="AY421" s="165"/>
      <c r="AZ421" s="165"/>
      <c r="BA421" s="166"/>
      <c r="BB421" s="166"/>
      <c r="BC421" s="166"/>
      <c r="BD421" s="166"/>
      <c r="BE421" s="166"/>
      <c r="BF421" s="166"/>
      <c r="BG421" s="166"/>
      <c r="BH421" s="166"/>
      <c r="BI421" s="165"/>
      <c r="BJ421" s="165"/>
      <c r="BK421" s="165"/>
      <c r="BL421" s="165"/>
      <c r="BM421" s="165"/>
      <c r="BN421" s="165"/>
      <c r="BO421" s="165"/>
      <c r="BP421" s="165"/>
      <c r="BQ421" s="166" t="s">
        <v>238</v>
      </c>
      <c r="BR421" s="165"/>
      <c r="BS421" s="124">
        <v>180</v>
      </c>
      <c r="BT421" s="124" t="s">
        <v>668</v>
      </c>
    </row>
    <row r="422" spans="1:72" s="124" customFormat="1" ht="14.25" hidden="1" customHeight="1" x14ac:dyDescent="0.2">
      <c r="A422" s="205">
        <v>181</v>
      </c>
      <c r="B422" s="233" t="s">
        <v>787</v>
      </c>
      <c r="C422" s="237" t="s">
        <v>788</v>
      </c>
      <c r="D422" s="233" t="s">
        <v>793</v>
      </c>
      <c r="E422" s="125" t="s">
        <v>102</v>
      </c>
      <c r="F422" s="181" t="s">
        <v>103</v>
      </c>
      <c r="G422" s="181" t="s">
        <v>790</v>
      </c>
      <c r="H422" s="181" t="s">
        <v>791</v>
      </c>
      <c r="I422" s="181"/>
      <c r="J422" s="178">
        <v>5</v>
      </c>
      <c r="K422" s="182"/>
      <c r="L422" s="182" t="s">
        <v>58</v>
      </c>
      <c r="M422" s="178" t="s">
        <v>78</v>
      </c>
      <c r="N422" s="209">
        <v>0</v>
      </c>
      <c r="O422" s="209" t="s">
        <v>60</v>
      </c>
      <c r="P422" s="209" t="s">
        <v>79</v>
      </c>
      <c r="Q422" s="179"/>
      <c r="R422" s="179" t="s">
        <v>792</v>
      </c>
      <c r="S422" s="180">
        <v>10</v>
      </c>
      <c r="T422" s="179"/>
      <c r="U422" s="179"/>
      <c r="V422" s="167"/>
      <c r="W422" s="168"/>
      <c r="X422" s="168"/>
      <c r="Y422" s="167"/>
      <c r="Z422" s="135" t="s">
        <v>63</v>
      </c>
      <c r="AA422" s="166">
        <v>10</v>
      </c>
      <c r="AB422" s="166">
        <v>10</v>
      </c>
      <c r="AC422" s="165">
        <v>28.5</v>
      </c>
      <c r="AD422" s="172" t="s">
        <v>80</v>
      </c>
      <c r="AE422" s="172" t="s">
        <v>116</v>
      </c>
      <c r="AF422" s="165">
        <v>1.3</v>
      </c>
      <c r="AG422" s="172" t="s">
        <v>80</v>
      </c>
      <c r="AH422" s="172" t="s">
        <v>117</v>
      </c>
      <c r="AI422" s="165"/>
      <c r="AJ422" s="165"/>
      <c r="AK422" s="166">
        <v>58.5</v>
      </c>
      <c r="AL422" s="171" t="s">
        <v>81</v>
      </c>
      <c r="AM422" s="171" t="s">
        <v>118</v>
      </c>
      <c r="AN422" s="166">
        <v>1.3</v>
      </c>
      <c r="AO422" s="171" t="s">
        <v>81</v>
      </c>
      <c r="AP422" s="171" t="s">
        <v>117</v>
      </c>
      <c r="AQ422" s="166"/>
      <c r="AR422" s="166"/>
      <c r="AS422" s="165"/>
      <c r="AT422" s="165"/>
      <c r="AU422" s="165"/>
      <c r="AV422" s="165"/>
      <c r="AW422" s="165"/>
      <c r="AX422" s="165"/>
      <c r="AY422" s="165"/>
      <c r="AZ422" s="165"/>
      <c r="BA422" s="166"/>
      <c r="BB422" s="166"/>
      <c r="BC422" s="166"/>
      <c r="BD422" s="166"/>
      <c r="BE422" s="166"/>
      <c r="BF422" s="166"/>
      <c r="BG422" s="166"/>
      <c r="BH422" s="166"/>
      <c r="BI422" s="165"/>
      <c r="BJ422" s="165"/>
      <c r="BK422" s="165"/>
      <c r="BL422" s="165"/>
      <c r="BM422" s="165"/>
      <c r="BN422" s="165"/>
      <c r="BO422" s="165"/>
      <c r="BP422" s="165"/>
      <c r="BQ422" s="166" t="s">
        <v>238</v>
      </c>
      <c r="BR422" s="165"/>
      <c r="BS422" s="124">
        <v>181</v>
      </c>
      <c r="BT422" s="124" t="s">
        <v>668</v>
      </c>
    </row>
    <row r="423" spans="1:72" s="124" customFormat="1" ht="14.25" hidden="1" customHeight="1" x14ac:dyDescent="0.2">
      <c r="A423" s="205">
        <v>182</v>
      </c>
      <c r="B423" s="233" t="s">
        <v>787</v>
      </c>
      <c r="C423" s="237" t="s">
        <v>788</v>
      </c>
      <c r="D423" s="233" t="s">
        <v>794</v>
      </c>
      <c r="E423" s="125" t="s">
        <v>102</v>
      </c>
      <c r="F423" s="181" t="s">
        <v>103</v>
      </c>
      <c r="G423" s="181" t="s">
        <v>790</v>
      </c>
      <c r="H423" s="181" t="s">
        <v>57</v>
      </c>
      <c r="I423" s="181"/>
      <c r="J423" s="178">
        <v>5</v>
      </c>
      <c r="K423" s="182"/>
      <c r="L423" s="182" t="s">
        <v>58</v>
      </c>
      <c r="M423" s="178" t="s">
        <v>78</v>
      </c>
      <c r="N423" s="209">
        <v>0</v>
      </c>
      <c r="O423" s="209" t="s">
        <v>60</v>
      </c>
      <c r="P423" s="209" t="s">
        <v>79</v>
      </c>
      <c r="Q423" s="179"/>
      <c r="R423" s="179" t="s">
        <v>792</v>
      </c>
      <c r="S423" s="180">
        <v>10</v>
      </c>
      <c r="T423" s="179"/>
      <c r="U423" s="179"/>
      <c r="V423" s="167"/>
      <c r="W423" s="168"/>
      <c r="X423" s="168"/>
      <c r="Y423" s="167"/>
      <c r="Z423" s="135" t="s">
        <v>63</v>
      </c>
      <c r="AA423" s="166">
        <v>10</v>
      </c>
      <c r="AB423" s="166">
        <v>0</v>
      </c>
      <c r="AC423" s="165">
        <v>27.9</v>
      </c>
      <c r="AD423" s="172" t="s">
        <v>80</v>
      </c>
      <c r="AE423" s="172" t="s">
        <v>116</v>
      </c>
      <c r="AF423" s="165">
        <v>1</v>
      </c>
      <c r="AG423" s="172" t="s">
        <v>80</v>
      </c>
      <c r="AH423" s="172" t="s">
        <v>117</v>
      </c>
      <c r="AI423" s="165"/>
      <c r="AJ423" s="165"/>
      <c r="AK423" s="166">
        <v>68.8</v>
      </c>
      <c r="AL423" s="171" t="s">
        <v>81</v>
      </c>
      <c r="AM423" s="171" t="s">
        <v>118</v>
      </c>
      <c r="AN423" s="166">
        <v>1.7</v>
      </c>
      <c r="AO423" s="171" t="s">
        <v>81</v>
      </c>
      <c r="AP423" s="171" t="s">
        <v>117</v>
      </c>
      <c r="AQ423" s="166"/>
      <c r="AR423" s="166"/>
      <c r="AS423" s="165"/>
      <c r="AT423" s="165"/>
      <c r="AU423" s="165"/>
      <c r="AV423" s="165"/>
      <c r="AW423" s="165"/>
      <c r="AX423" s="165"/>
      <c r="AY423" s="165"/>
      <c r="AZ423" s="165"/>
      <c r="BA423" s="166"/>
      <c r="BB423" s="166"/>
      <c r="BC423" s="166"/>
      <c r="BD423" s="166"/>
      <c r="BE423" s="166"/>
      <c r="BF423" s="166"/>
      <c r="BG423" s="166"/>
      <c r="BH423" s="166"/>
      <c r="BI423" s="165"/>
      <c r="BJ423" s="165"/>
      <c r="BK423" s="165"/>
      <c r="BL423" s="165"/>
      <c r="BM423" s="165"/>
      <c r="BN423" s="165"/>
      <c r="BO423" s="165"/>
      <c r="BP423" s="165"/>
      <c r="BQ423" s="166" t="s">
        <v>238</v>
      </c>
      <c r="BR423" s="165"/>
      <c r="BS423" s="124">
        <v>182</v>
      </c>
      <c r="BT423" s="124" t="s">
        <v>668</v>
      </c>
    </row>
    <row r="424" spans="1:72" s="124" customFormat="1" ht="14.25" hidden="1" customHeight="1" x14ac:dyDescent="0.2">
      <c r="A424" s="205">
        <v>183</v>
      </c>
      <c r="B424" s="233" t="s">
        <v>787</v>
      </c>
      <c r="C424" s="237" t="s">
        <v>788</v>
      </c>
      <c r="D424" s="233" t="s">
        <v>795</v>
      </c>
      <c r="E424" s="125" t="s">
        <v>102</v>
      </c>
      <c r="F424" s="181" t="s">
        <v>103</v>
      </c>
      <c r="G424" s="181" t="s">
        <v>790</v>
      </c>
      <c r="H424" s="181" t="s">
        <v>57</v>
      </c>
      <c r="I424" s="181"/>
      <c r="J424" s="178">
        <v>5</v>
      </c>
      <c r="K424" s="182"/>
      <c r="L424" s="182" t="s">
        <v>58</v>
      </c>
      <c r="M424" s="178" t="s">
        <v>78</v>
      </c>
      <c r="N424" s="209">
        <v>0</v>
      </c>
      <c r="O424" s="209" t="s">
        <v>60</v>
      </c>
      <c r="P424" s="209" t="s">
        <v>79</v>
      </c>
      <c r="Q424" s="179"/>
      <c r="R424" s="179" t="s">
        <v>792</v>
      </c>
      <c r="S424" s="180">
        <v>10</v>
      </c>
      <c r="T424" s="179"/>
      <c r="U424" s="179"/>
      <c r="V424" s="167"/>
      <c r="W424" s="168"/>
      <c r="X424" s="168"/>
      <c r="Y424" s="167"/>
      <c r="Z424" s="135" t="s">
        <v>63</v>
      </c>
      <c r="AA424" s="166">
        <v>9</v>
      </c>
      <c r="AB424" s="166">
        <v>0</v>
      </c>
      <c r="AC424" s="165">
        <v>67.599999999999994</v>
      </c>
      <c r="AD424" s="172" t="s">
        <v>80</v>
      </c>
      <c r="AE424" s="172" t="s">
        <v>116</v>
      </c>
      <c r="AF424" s="165">
        <v>1.4</v>
      </c>
      <c r="AG424" s="172" t="s">
        <v>80</v>
      </c>
      <c r="AH424" s="172" t="s">
        <v>117</v>
      </c>
      <c r="AI424" s="165"/>
      <c r="AJ424" s="165"/>
      <c r="AK424" s="166">
        <v>79.599999999999994</v>
      </c>
      <c r="AL424" s="171" t="s">
        <v>81</v>
      </c>
      <c r="AM424" s="171" t="s">
        <v>118</v>
      </c>
      <c r="AN424" s="166">
        <v>3.6</v>
      </c>
      <c r="AO424" s="171" t="s">
        <v>81</v>
      </c>
      <c r="AP424" s="171" t="s">
        <v>117</v>
      </c>
      <c r="AQ424" s="166"/>
      <c r="AR424" s="166"/>
      <c r="AS424" s="165"/>
      <c r="AT424" s="165"/>
      <c r="AU424" s="165"/>
      <c r="AV424" s="165"/>
      <c r="AW424" s="165"/>
      <c r="AX424" s="165"/>
      <c r="AY424" s="165"/>
      <c r="AZ424" s="165"/>
      <c r="BA424" s="166"/>
      <c r="BB424" s="166"/>
      <c r="BC424" s="166"/>
      <c r="BD424" s="166"/>
      <c r="BE424" s="166"/>
      <c r="BF424" s="166"/>
      <c r="BG424" s="166"/>
      <c r="BH424" s="166"/>
      <c r="BI424" s="165"/>
      <c r="BJ424" s="165"/>
      <c r="BK424" s="165"/>
      <c r="BL424" s="165"/>
      <c r="BM424" s="165"/>
      <c r="BN424" s="165"/>
      <c r="BO424" s="165"/>
      <c r="BP424" s="165"/>
      <c r="BQ424" s="166" t="s">
        <v>238</v>
      </c>
      <c r="BR424" s="165"/>
      <c r="BS424" s="124">
        <v>183</v>
      </c>
      <c r="BT424" s="124" t="s">
        <v>668</v>
      </c>
    </row>
    <row r="425" spans="1:72" s="124" customFormat="1" ht="14.25" hidden="1" customHeight="1" x14ac:dyDescent="0.2">
      <c r="A425" s="205">
        <v>184</v>
      </c>
      <c r="B425" s="233" t="s">
        <v>787</v>
      </c>
      <c r="C425" s="237" t="s">
        <v>788</v>
      </c>
      <c r="D425" s="233" t="s">
        <v>796</v>
      </c>
      <c r="E425" s="125" t="s">
        <v>102</v>
      </c>
      <c r="F425" s="181" t="s">
        <v>103</v>
      </c>
      <c r="G425" s="181" t="s">
        <v>790</v>
      </c>
      <c r="H425" s="181" t="s">
        <v>791</v>
      </c>
      <c r="I425" s="181"/>
      <c r="J425" s="178">
        <v>10</v>
      </c>
      <c r="K425" s="182"/>
      <c r="L425" s="182" t="s">
        <v>58</v>
      </c>
      <c r="M425" s="209" t="s">
        <v>59</v>
      </c>
      <c r="N425" s="209">
        <v>0</v>
      </c>
      <c r="O425" s="209" t="s">
        <v>60</v>
      </c>
      <c r="P425" s="209" t="s">
        <v>79</v>
      </c>
      <c r="Q425" s="179" t="s">
        <v>797</v>
      </c>
      <c r="R425" s="179"/>
      <c r="S425" s="180"/>
      <c r="T425" s="179" t="s">
        <v>798</v>
      </c>
      <c r="U425" s="179"/>
      <c r="V425" s="167" t="s">
        <v>62</v>
      </c>
      <c r="W425" s="168"/>
      <c r="X425" s="168">
        <v>3</v>
      </c>
      <c r="Y425" s="170" t="s">
        <v>740</v>
      </c>
      <c r="Z425" s="135" t="s">
        <v>63</v>
      </c>
      <c r="AA425" s="166">
        <v>10</v>
      </c>
      <c r="AB425" s="166">
        <v>10</v>
      </c>
      <c r="AC425" s="165">
        <v>28.5</v>
      </c>
      <c r="AD425" s="172" t="s">
        <v>80</v>
      </c>
      <c r="AE425" s="172" t="s">
        <v>116</v>
      </c>
      <c r="AF425" s="165">
        <v>1.3</v>
      </c>
      <c r="AG425" s="172" t="s">
        <v>80</v>
      </c>
      <c r="AH425" s="172" t="s">
        <v>117</v>
      </c>
      <c r="AI425" s="165"/>
      <c r="AJ425" s="165"/>
      <c r="AK425" s="166">
        <v>58.5</v>
      </c>
      <c r="AL425" s="171" t="s">
        <v>81</v>
      </c>
      <c r="AM425" s="171" t="s">
        <v>118</v>
      </c>
      <c r="AN425" s="166">
        <v>1.3</v>
      </c>
      <c r="AO425" s="171" t="s">
        <v>81</v>
      </c>
      <c r="AP425" s="171" t="s">
        <v>117</v>
      </c>
      <c r="AQ425" s="166"/>
      <c r="AR425" s="166"/>
      <c r="AS425" s="165"/>
      <c r="AT425" s="165"/>
      <c r="AU425" s="165"/>
      <c r="AV425" s="165"/>
      <c r="AW425" s="165"/>
      <c r="AX425" s="165"/>
      <c r="AY425" s="165"/>
      <c r="AZ425" s="165"/>
      <c r="BA425" s="166"/>
      <c r="BB425" s="166"/>
      <c r="BC425" s="166"/>
      <c r="BD425" s="166"/>
      <c r="BE425" s="166"/>
      <c r="BF425" s="166"/>
      <c r="BG425" s="166"/>
      <c r="BH425" s="166"/>
      <c r="BI425" s="165"/>
      <c r="BJ425" s="165"/>
      <c r="BK425" s="165"/>
      <c r="BL425" s="165"/>
      <c r="BM425" s="165"/>
      <c r="BN425" s="165"/>
      <c r="BO425" s="165"/>
      <c r="BP425" s="165"/>
      <c r="BQ425" s="166" t="s">
        <v>238</v>
      </c>
      <c r="BR425" s="165"/>
      <c r="BS425" s="124">
        <v>184</v>
      </c>
      <c r="BT425" s="124" t="s">
        <v>668</v>
      </c>
    </row>
    <row r="426" spans="1:72" s="124" customFormat="1" ht="14.25" hidden="1" customHeight="1" x14ac:dyDescent="0.2">
      <c r="A426" s="205">
        <v>185</v>
      </c>
      <c r="B426" s="233" t="s">
        <v>787</v>
      </c>
      <c r="C426" s="237" t="s">
        <v>788</v>
      </c>
      <c r="D426" s="233" t="s">
        <v>799</v>
      </c>
      <c r="E426" s="125" t="s">
        <v>102</v>
      </c>
      <c r="F426" s="181" t="s">
        <v>103</v>
      </c>
      <c r="G426" s="181" t="s">
        <v>790</v>
      </c>
      <c r="H426" s="181" t="s">
        <v>791</v>
      </c>
      <c r="I426" s="181"/>
      <c r="J426" s="178">
        <v>10</v>
      </c>
      <c r="K426" s="182"/>
      <c r="L426" s="182" t="s">
        <v>58</v>
      </c>
      <c r="M426" s="209" t="s">
        <v>59</v>
      </c>
      <c r="N426" s="209">
        <v>0</v>
      </c>
      <c r="O426" s="209" t="s">
        <v>60</v>
      </c>
      <c r="P426" s="209" t="s">
        <v>79</v>
      </c>
      <c r="Q426" s="179" t="s">
        <v>797</v>
      </c>
      <c r="R426" s="179"/>
      <c r="S426" s="180"/>
      <c r="T426" s="179" t="s">
        <v>798</v>
      </c>
      <c r="U426" s="179"/>
      <c r="V426" s="167" t="s">
        <v>62</v>
      </c>
      <c r="W426" s="168"/>
      <c r="X426" s="168">
        <v>3</v>
      </c>
      <c r="Y426" s="170" t="s">
        <v>740</v>
      </c>
      <c r="Z426" s="135" t="s">
        <v>63</v>
      </c>
      <c r="AA426" s="166">
        <v>10</v>
      </c>
      <c r="AB426" s="166">
        <v>10</v>
      </c>
      <c r="AC426" s="165">
        <v>28.5</v>
      </c>
      <c r="AD426" s="172" t="s">
        <v>80</v>
      </c>
      <c r="AE426" s="172" t="s">
        <v>116</v>
      </c>
      <c r="AF426" s="165">
        <v>1.3</v>
      </c>
      <c r="AG426" s="172" t="s">
        <v>80</v>
      </c>
      <c r="AH426" s="172" t="s">
        <v>117</v>
      </c>
      <c r="AI426" s="165"/>
      <c r="AJ426" s="165"/>
      <c r="AK426" s="166">
        <v>58.5</v>
      </c>
      <c r="AL426" s="171" t="s">
        <v>81</v>
      </c>
      <c r="AM426" s="171" t="s">
        <v>118</v>
      </c>
      <c r="AN426" s="166">
        <v>1.3</v>
      </c>
      <c r="AO426" s="171" t="s">
        <v>81</v>
      </c>
      <c r="AP426" s="171" t="s">
        <v>117</v>
      </c>
      <c r="AQ426" s="166"/>
      <c r="AR426" s="166"/>
      <c r="AS426" s="165"/>
      <c r="AT426" s="165"/>
      <c r="AU426" s="165"/>
      <c r="AV426" s="165"/>
      <c r="AW426" s="165"/>
      <c r="AX426" s="165"/>
      <c r="AY426" s="165"/>
      <c r="AZ426" s="165"/>
      <c r="BA426" s="166"/>
      <c r="BB426" s="166"/>
      <c r="BC426" s="166"/>
      <c r="BD426" s="166"/>
      <c r="BE426" s="166"/>
      <c r="BF426" s="166"/>
      <c r="BG426" s="166"/>
      <c r="BH426" s="166"/>
      <c r="BI426" s="165"/>
      <c r="BJ426" s="165"/>
      <c r="BK426" s="165"/>
      <c r="BL426" s="165"/>
      <c r="BM426" s="165"/>
      <c r="BN426" s="165"/>
      <c r="BO426" s="165"/>
      <c r="BP426" s="165"/>
      <c r="BQ426" s="166" t="s">
        <v>238</v>
      </c>
      <c r="BR426" s="165"/>
      <c r="BS426" s="124">
        <v>185</v>
      </c>
      <c r="BT426" s="124" t="s">
        <v>668</v>
      </c>
    </row>
    <row r="427" spans="1:72" s="124" customFormat="1" ht="14.25" hidden="1" customHeight="1" x14ac:dyDescent="0.2">
      <c r="A427" s="205">
        <v>186</v>
      </c>
      <c r="B427" s="233" t="s">
        <v>787</v>
      </c>
      <c r="C427" s="237" t="s">
        <v>788</v>
      </c>
      <c r="D427" s="233" t="s">
        <v>800</v>
      </c>
      <c r="E427" s="125" t="s">
        <v>102</v>
      </c>
      <c r="F427" s="181" t="s">
        <v>103</v>
      </c>
      <c r="G427" s="181" t="s">
        <v>790</v>
      </c>
      <c r="H427" s="181" t="s">
        <v>57</v>
      </c>
      <c r="I427" s="181"/>
      <c r="J427" s="178">
        <v>10</v>
      </c>
      <c r="K427" s="182"/>
      <c r="L427" s="182" t="s">
        <v>58</v>
      </c>
      <c r="M427" s="209" t="s">
        <v>59</v>
      </c>
      <c r="N427" s="209">
        <v>0</v>
      </c>
      <c r="O427" s="209" t="s">
        <v>60</v>
      </c>
      <c r="P427" s="209" t="s">
        <v>79</v>
      </c>
      <c r="Q427" s="179" t="s">
        <v>797</v>
      </c>
      <c r="R427" s="179"/>
      <c r="S427" s="180"/>
      <c r="T427" s="179" t="s">
        <v>798</v>
      </c>
      <c r="U427" s="179"/>
      <c r="V427" s="167" t="s">
        <v>62</v>
      </c>
      <c r="W427" s="168"/>
      <c r="X427" s="168">
        <v>3</v>
      </c>
      <c r="Y427" s="170" t="s">
        <v>740</v>
      </c>
      <c r="Z427" s="135" t="s">
        <v>63</v>
      </c>
      <c r="AA427" s="166">
        <v>10</v>
      </c>
      <c r="AB427" s="166">
        <v>0</v>
      </c>
      <c r="AC427" s="165">
        <v>27.9</v>
      </c>
      <c r="AD427" s="172" t="s">
        <v>80</v>
      </c>
      <c r="AE427" s="172" t="s">
        <v>116</v>
      </c>
      <c r="AF427" s="165">
        <v>1</v>
      </c>
      <c r="AG427" s="172" t="s">
        <v>80</v>
      </c>
      <c r="AH427" s="172" t="s">
        <v>117</v>
      </c>
      <c r="AI427" s="165"/>
      <c r="AJ427" s="165"/>
      <c r="AK427" s="166">
        <v>68.8</v>
      </c>
      <c r="AL427" s="171" t="s">
        <v>81</v>
      </c>
      <c r="AM427" s="171" t="s">
        <v>118</v>
      </c>
      <c r="AN427" s="166">
        <v>1.7</v>
      </c>
      <c r="AO427" s="171" t="s">
        <v>81</v>
      </c>
      <c r="AP427" s="171" t="s">
        <v>117</v>
      </c>
      <c r="AQ427" s="166"/>
      <c r="AR427" s="166"/>
      <c r="AS427" s="165"/>
      <c r="AT427" s="165"/>
      <c r="AU427" s="165"/>
      <c r="AV427" s="165"/>
      <c r="AW427" s="165"/>
      <c r="AX427" s="165"/>
      <c r="AY427" s="165"/>
      <c r="AZ427" s="165"/>
      <c r="BA427" s="166"/>
      <c r="BB427" s="166"/>
      <c r="BC427" s="166"/>
      <c r="BD427" s="166"/>
      <c r="BE427" s="166"/>
      <c r="BF427" s="166"/>
      <c r="BG427" s="166"/>
      <c r="BH427" s="166"/>
      <c r="BI427" s="165"/>
      <c r="BJ427" s="165"/>
      <c r="BK427" s="165"/>
      <c r="BL427" s="165"/>
      <c r="BM427" s="165"/>
      <c r="BN427" s="165"/>
      <c r="BO427" s="165"/>
      <c r="BP427" s="165"/>
      <c r="BQ427" s="166" t="s">
        <v>238</v>
      </c>
      <c r="BR427" s="165"/>
      <c r="BS427" s="124">
        <v>186</v>
      </c>
      <c r="BT427" s="124" t="s">
        <v>668</v>
      </c>
    </row>
    <row r="428" spans="1:72" s="124" customFormat="1" ht="14.25" hidden="1" customHeight="1" x14ac:dyDescent="0.2">
      <c r="A428" s="205">
        <v>187</v>
      </c>
      <c r="B428" s="233" t="s">
        <v>787</v>
      </c>
      <c r="C428" s="237" t="s">
        <v>788</v>
      </c>
      <c r="D428" s="233" t="s">
        <v>801</v>
      </c>
      <c r="E428" s="125" t="s">
        <v>102</v>
      </c>
      <c r="F428" s="181" t="s">
        <v>103</v>
      </c>
      <c r="G428" s="181" t="s">
        <v>790</v>
      </c>
      <c r="H428" s="181" t="s">
        <v>57</v>
      </c>
      <c r="I428" s="181"/>
      <c r="J428" s="178">
        <v>10</v>
      </c>
      <c r="K428" s="182"/>
      <c r="L428" s="182" t="s">
        <v>58</v>
      </c>
      <c r="M428" s="209" t="s">
        <v>59</v>
      </c>
      <c r="N428" s="209">
        <v>0</v>
      </c>
      <c r="O428" s="209" t="s">
        <v>60</v>
      </c>
      <c r="P428" s="209" t="s">
        <v>79</v>
      </c>
      <c r="Q428" s="179" t="s">
        <v>797</v>
      </c>
      <c r="R428" s="179"/>
      <c r="S428" s="180"/>
      <c r="T428" s="179" t="s">
        <v>798</v>
      </c>
      <c r="U428" s="179"/>
      <c r="V428" s="167" t="s">
        <v>62</v>
      </c>
      <c r="W428" s="168"/>
      <c r="X428" s="168">
        <v>3</v>
      </c>
      <c r="Y428" s="170" t="s">
        <v>740</v>
      </c>
      <c r="Z428" s="135" t="s">
        <v>63</v>
      </c>
      <c r="AA428" s="166">
        <v>9</v>
      </c>
      <c r="AB428" s="166">
        <v>0</v>
      </c>
      <c r="AC428" s="165">
        <v>67.599999999999994</v>
      </c>
      <c r="AD428" s="172" t="s">
        <v>80</v>
      </c>
      <c r="AE428" s="172" t="s">
        <v>116</v>
      </c>
      <c r="AF428" s="165">
        <v>1.4</v>
      </c>
      <c r="AG428" s="172" t="s">
        <v>80</v>
      </c>
      <c r="AH428" s="172" t="s">
        <v>117</v>
      </c>
      <c r="AI428" s="165"/>
      <c r="AJ428" s="165"/>
      <c r="AK428" s="166">
        <v>79.599999999999994</v>
      </c>
      <c r="AL428" s="171" t="s">
        <v>81</v>
      </c>
      <c r="AM428" s="171" t="s">
        <v>118</v>
      </c>
      <c r="AN428" s="166">
        <v>3.6</v>
      </c>
      <c r="AO428" s="171" t="s">
        <v>81</v>
      </c>
      <c r="AP428" s="171" t="s">
        <v>117</v>
      </c>
      <c r="AQ428" s="166"/>
      <c r="AR428" s="166"/>
      <c r="AS428" s="165"/>
      <c r="AT428" s="165"/>
      <c r="AU428" s="165"/>
      <c r="AV428" s="165"/>
      <c r="AW428" s="165"/>
      <c r="AX428" s="165"/>
      <c r="AY428" s="165"/>
      <c r="AZ428" s="165"/>
      <c r="BA428" s="166"/>
      <c r="BB428" s="166"/>
      <c r="BC428" s="166"/>
      <c r="BD428" s="166"/>
      <c r="BE428" s="166"/>
      <c r="BF428" s="166"/>
      <c r="BG428" s="166"/>
      <c r="BH428" s="166"/>
      <c r="BI428" s="165"/>
      <c r="BJ428" s="165"/>
      <c r="BK428" s="165"/>
      <c r="BL428" s="165"/>
      <c r="BM428" s="165"/>
      <c r="BN428" s="165"/>
      <c r="BO428" s="165"/>
      <c r="BP428" s="165"/>
      <c r="BQ428" s="166" t="s">
        <v>238</v>
      </c>
      <c r="BR428" s="165"/>
      <c r="BS428" s="124">
        <v>187</v>
      </c>
      <c r="BT428" s="124" t="s">
        <v>668</v>
      </c>
    </row>
    <row r="429" spans="1:72" s="124" customFormat="1" ht="14.25" hidden="1" customHeight="1" x14ac:dyDescent="0.2">
      <c r="A429" s="205">
        <v>188</v>
      </c>
      <c r="B429" s="233" t="s">
        <v>802</v>
      </c>
      <c r="C429" s="237" t="s">
        <v>803</v>
      </c>
      <c r="D429" s="235" t="s">
        <v>220</v>
      </c>
      <c r="E429" s="125" t="s">
        <v>102</v>
      </c>
      <c r="F429" s="181" t="s">
        <v>103</v>
      </c>
      <c r="G429" s="181" t="s">
        <v>56</v>
      </c>
      <c r="H429" s="181" t="s">
        <v>66</v>
      </c>
      <c r="I429" s="181"/>
      <c r="J429" s="178">
        <v>6</v>
      </c>
      <c r="K429" s="182"/>
      <c r="L429" s="182" t="s">
        <v>58</v>
      </c>
      <c r="M429" s="209" t="s">
        <v>59</v>
      </c>
      <c r="N429" s="209">
        <v>0</v>
      </c>
      <c r="O429" s="209" t="s">
        <v>60</v>
      </c>
      <c r="P429" s="209" t="s">
        <v>79</v>
      </c>
      <c r="Q429" s="179"/>
      <c r="R429" s="179" t="s">
        <v>804</v>
      </c>
      <c r="S429" s="180"/>
      <c r="T429" s="179"/>
      <c r="U429" s="179"/>
      <c r="V429" s="167"/>
      <c r="W429" s="168"/>
      <c r="X429" s="168"/>
      <c r="Y429" s="167"/>
      <c r="Z429" s="135" t="s">
        <v>63</v>
      </c>
      <c r="AA429" s="166">
        <v>25</v>
      </c>
      <c r="AB429" s="166">
        <v>4</v>
      </c>
      <c r="AC429" s="165">
        <v>33</v>
      </c>
      <c r="AD429" s="172" t="s">
        <v>80</v>
      </c>
      <c r="AE429" s="172" t="s">
        <v>116</v>
      </c>
      <c r="AF429" s="165"/>
      <c r="AG429" s="165"/>
      <c r="AH429" s="165"/>
      <c r="AI429" s="165">
        <v>20</v>
      </c>
      <c r="AJ429" s="165">
        <v>49</v>
      </c>
      <c r="AK429" s="166"/>
      <c r="AL429" s="166"/>
      <c r="AM429" s="166"/>
      <c r="AN429" s="166"/>
      <c r="AO429" s="166"/>
      <c r="AP429" s="166"/>
      <c r="AQ429" s="166"/>
      <c r="AR429" s="166"/>
      <c r="AS429" s="165"/>
      <c r="AT429" s="165"/>
      <c r="AU429" s="165"/>
      <c r="AV429" s="165"/>
      <c r="AW429" s="165"/>
      <c r="AX429" s="165"/>
      <c r="AY429" s="165"/>
      <c r="AZ429" s="165"/>
      <c r="BA429" s="166"/>
      <c r="BB429" s="166"/>
      <c r="BC429" s="166"/>
      <c r="BD429" s="166"/>
      <c r="BE429" s="166"/>
      <c r="BF429" s="166"/>
      <c r="BG429" s="166"/>
      <c r="BH429" s="166"/>
      <c r="BI429" s="165"/>
      <c r="BJ429" s="165"/>
      <c r="BK429" s="165"/>
      <c r="BL429" s="165"/>
      <c r="BM429" s="165"/>
      <c r="BN429" s="165"/>
      <c r="BO429" s="165"/>
      <c r="BP429" s="165"/>
      <c r="BQ429" s="166" t="s">
        <v>238</v>
      </c>
      <c r="BR429" s="165"/>
      <c r="BS429" s="124">
        <v>188</v>
      </c>
      <c r="BT429" s="124" t="s">
        <v>668</v>
      </c>
    </row>
    <row r="430" spans="1:72" s="124" customFormat="1" ht="14.25" hidden="1" customHeight="1" x14ac:dyDescent="0.2">
      <c r="A430" s="205">
        <v>189</v>
      </c>
      <c r="B430" s="233" t="s">
        <v>802</v>
      </c>
      <c r="C430" s="237" t="s">
        <v>805</v>
      </c>
      <c r="D430" s="235" t="s">
        <v>328</v>
      </c>
      <c r="E430" s="125" t="s">
        <v>102</v>
      </c>
      <c r="F430" s="181" t="s">
        <v>103</v>
      </c>
      <c r="G430" s="181" t="s">
        <v>56</v>
      </c>
      <c r="H430" s="181" t="s">
        <v>66</v>
      </c>
      <c r="I430" s="181"/>
      <c r="J430" s="178">
        <v>6</v>
      </c>
      <c r="K430" s="182"/>
      <c r="L430" s="182" t="s">
        <v>58</v>
      </c>
      <c r="M430" s="209" t="s">
        <v>59</v>
      </c>
      <c r="N430" s="209">
        <v>0</v>
      </c>
      <c r="O430" s="209" t="s">
        <v>60</v>
      </c>
      <c r="P430" s="209" t="s">
        <v>79</v>
      </c>
      <c r="Q430" s="179"/>
      <c r="R430" s="179" t="s">
        <v>804</v>
      </c>
      <c r="S430" s="180"/>
      <c r="T430" s="179"/>
      <c r="U430" s="179" t="s">
        <v>806</v>
      </c>
      <c r="V430" s="167" t="s">
        <v>502</v>
      </c>
      <c r="W430" s="168"/>
      <c r="X430" s="168"/>
      <c r="Y430" s="167" t="s">
        <v>807</v>
      </c>
      <c r="Z430" s="135" t="s">
        <v>63</v>
      </c>
      <c r="AA430" s="166">
        <v>25</v>
      </c>
      <c r="AB430" s="166">
        <v>4</v>
      </c>
      <c r="AC430" s="165">
        <v>33</v>
      </c>
      <c r="AD430" s="172" t="s">
        <v>80</v>
      </c>
      <c r="AE430" s="172" t="s">
        <v>116</v>
      </c>
      <c r="AF430" s="165"/>
      <c r="AG430" s="165"/>
      <c r="AH430" s="165"/>
      <c r="AI430" s="165">
        <v>20</v>
      </c>
      <c r="AJ430" s="165">
        <v>49</v>
      </c>
      <c r="AK430" s="166"/>
      <c r="AL430" s="166"/>
      <c r="AM430" s="166"/>
      <c r="AN430" s="166"/>
      <c r="AO430" s="166"/>
      <c r="AP430" s="166"/>
      <c r="AQ430" s="166"/>
      <c r="AR430" s="166"/>
      <c r="AS430" s="165"/>
      <c r="AT430" s="165"/>
      <c r="AU430" s="165"/>
      <c r="AV430" s="165"/>
      <c r="AW430" s="165"/>
      <c r="AX430" s="165"/>
      <c r="AY430" s="165"/>
      <c r="AZ430" s="165"/>
      <c r="BA430" s="166"/>
      <c r="BB430" s="166"/>
      <c r="BC430" s="166"/>
      <c r="BD430" s="166"/>
      <c r="BE430" s="166"/>
      <c r="BF430" s="166"/>
      <c r="BG430" s="166"/>
      <c r="BH430" s="166"/>
      <c r="BI430" s="165"/>
      <c r="BJ430" s="165"/>
      <c r="BK430" s="165"/>
      <c r="BL430" s="165"/>
      <c r="BM430" s="165"/>
      <c r="BN430" s="165"/>
      <c r="BO430" s="165"/>
      <c r="BP430" s="165"/>
      <c r="BQ430" s="166" t="s">
        <v>238</v>
      </c>
      <c r="BR430" s="165"/>
      <c r="BS430" s="124">
        <v>189</v>
      </c>
      <c r="BT430" s="124" t="s">
        <v>668</v>
      </c>
    </row>
    <row r="431" spans="1:72" s="124" customFormat="1" ht="14.25" hidden="1" customHeight="1" x14ac:dyDescent="0.2">
      <c r="A431" s="205">
        <v>190</v>
      </c>
      <c r="B431" s="235" t="s">
        <v>808</v>
      </c>
      <c r="C431" s="236" t="s">
        <v>809</v>
      </c>
      <c r="D431" s="235" t="s">
        <v>768</v>
      </c>
      <c r="E431" s="125" t="s">
        <v>466</v>
      </c>
      <c r="F431" s="181" t="s">
        <v>103</v>
      </c>
      <c r="G431" s="181" t="s">
        <v>56</v>
      </c>
      <c r="H431" s="181" t="s">
        <v>461</v>
      </c>
      <c r="I431" s="181"/>
      <c r="J431" s="178">
        <v>1</v>
      </c>
      <c r="K431" s="182"/>
      <c r="L431" s="182" t="s">
        <v>58</v>
      </c>
      <c r="M431" s="178" t="s">
        <v>59</v>
      </c>
      <c r="N431" s="128">
        <v>0</v>
      </c>
      <c r="O431" s="178" t="s">
        <v>60</v>
      </c>
      <c r="P431" s="178" t="s">
        <v>79</v>
      </c>
      <c r="Q431" s="179"/>
      <c r="R431" s="179"/>
      <c r="S431" s="180"/>
      <c r="T431" s="179"/>
      <c r="U431" s="179"/>
      <c r="V431" s="167" t="s">
        <v>700</v>
      </c>
      <c r="W431" s="168">
        <v>10</v>
      </c>
      <c r="X431" s="168">
        <v>4</v>
      </c>
      <c r="Y431" s="167"/>
      <c r="Z431" s="169" t="s">
        <v>63</v>
      </c>
      <c r="AA431" s="166">
        <v>8</v>
      </c>
      <c r="AB431" s="166">
        <v>0</v>
      </c>
      <c r="AC431" s="165">
        <v>29</v>
      </c>
      <c r="AD431" s="165" t="s">
        <v>80</v>
      </c>
      <c r="AE431" s="165" t="s">
        <v>389</v>
      </c>
      <c r="AF431" s="165">
        <v>5</v>
      </c>
      <c r="AG431" s="165" t="s">
        <v>80</v>
      </c>
      <c r="AH431" s="165" t="s">
        <v>117</v>
      </c>
      <c r="AI431" s="165"/>
      <c r="AJ431" s="165"/>
      <c r="AK431" s="166">
        <v>84</v>
      </c>
      <c r="AL431" s="166" t="s">
        <v>81</v>
      </c>
      <c r="AM431" s="166" t="s">
        <v>389</v>
      </c>
      <c r="AN431" s="166">
        <v>9</v>
      </c>
      <c r="AO431" s="166" t="s">
        <v>81</v>
      </c>
      <c r="AP431" s="166" t="s">
        <v>117</v>
      </c>
      <c r="AQ431" s="166"/>
      <c r="AR431" s="166"/>
      <c r="AS431" s="165"/>
      <c r="AT431" s="165"/>
      <c r="AU431" s="165"/>
      <c r="AV431" s="165"/>
      <c r="AW431" s="165"/>
      <c r="AX431" s="165"/>
      <c r="AY431" s="165"/>
      <c r="AZ431" s="165"/>
      <c r="BA431" s="166"/>
      <c r="BB431" s="166"/>
      <c r="BC431" s="166"/>
      <c r="BD431" s="166"/>
      <c r="BE431" s="166"/>
      <c r="BF431" s="166"/>
      <c r="BG431" s="166"/>
      <c r="BH431" s="166"/>
      <c r="BI431" s="165"/>
      <c r="BJ431" s="165"/>
      <c r="BK431" s="165"/>
      <c r="BL431" s="165"/>
      <c r="BM431" s="165"/>
      <c r="BN431" s="165"/>
      <c r="BO431" s="165"/>
      <c r="BP431" s="165"/>
      <c r="BQ431" s="166" t="s">
        <v>208</v>
      </c>
      <c r="BR431" s="165" t="s">
        <v>810</v>
      </c>
      <c r="BS431" s="124">
        <v>190</v>
      </c>
      <c r="BT431" s="124" t="s">
        <v>668</v>
      </c>
    </row>
    <row r="432" spans="1:72" s="124" customFormat="1" ht="14.25" hidden="1" customHeight="1" x14ac:dyDescent="0.2">
      <c r="A432" s="205">
        <v>191</v>
      </c>
      <c r="B432" s="235" t="s">
        <v>808</v>
      </c>
      <c r="C432" s="236" t="s">
        <v>809</v>
      </c>
      <c r="D432" s="235" t="s">
        <v>786</v>
      </c>
      <c r="E432" s="125" t="s">
        <v>466</v>
      </c>
      <c r="F432" s="181" t="s">
        <v>103</v>
      </c>
      <c r="G432" s="181" t="s">
        <v>56</v>
      </c>
      <c r="H432" s="181" t="s">
        <v>461</v>
      </c>
      <c r="I432" s="181"/>
      <c r="J432" s="178">
        <v>1</v>
      </c>
      <c r="K432" s="182"/>
      <c r="L432" s="182" t="s">
        <v>58</v>
      </c>
      <c r="M432" s="178" t="s">
        <v>59</v>
      </c>
      <c r="N432" s="128">
        <v>240</v>
      </c>
      <c r="O432" s="178" t="s">
        <v>60</v>
      </c>
      <c r="P432" s="178" t="s">
        <v>79</v>
      </c>
      <c r="Q432" s="179"/>
      <c r="R432" s="179"/>
      <c r="S432" s="180"/>
      <c r="T432" s="179"/>
      <c r="U432" s="179"/>
      <c r="V432" s="167" t="s">
        <v>700</v>
      </c>
      <c r="W432" s="168">
        <v>10</v>
      </c>
      <c r="X432" s="168">
        <v>4</v>
      </c>
      <c r="Y432" s="167"/>
      <c r="Z432" s="169" t="s">
        <v>63</v>
      </c>
      <c r="AA432" s="166">
        <v>8</v>
      </c>
      <c r="AB432" s="166">
        <v>0</v>
      </c>
      <c r="AC432" s="165">
        <v>29</v>
      </c>
      <c r="AD432" s="165" t="s">
        <v>80</v>
      </c>
      <c r="AE432" s="165" t="s">
        <v>389</v>
      </c>
      <c r="AF432" s="165">
        <v>5</v>
      </c>
      <c r="AG432" s="165" t="s">
        <v>80</v>
      </c>
      <c r="AH432" s="165" t="s">
        <v>117</v>
      </c>
      <c r="AI432" s="165"/>
      <c r="AJ432" s="165"/>
      <c r="AK432" s="166">
        <v>84</v>
      </c>
      <c r="AL432" s="166" t="s">
        <v>81</v>
      </c>
      <c r="AM432" s="166" t="s">
        <v>389</v>
      </c>
      <c r="AN432" s="166">
        <v>9</v>
      </c>
      <c r="AO432" s="166" t="s">
        <v>81</v>
      </c>
      <c r="AP432" s="166" t="s">
        <v>117</v>
      </c>
      <c r="AQ432" s="166"/>
      <c r="AR432" s="166"/>
      <c r="AS432" s="165"/>
      <c r="AT432" s="165"/>
      <c r="AU432" s="165"/>
      <c r="AV432" s="165"/>
      <c r="AW432" s="165"/>
      <c r="AX432" s="165"/>
      <c r="AY432" s="165"/>
      <c r="AZ432" s="165"/>
      <c r="BA432" s="166"/>
      <c r="BB432" s="166"/>
      <c r="BC432" s="166"/>
      <c r="BD432" s="166"/>
      <c r="BE432" s="166"/>
      <c r="BF432" s="166"/>
      <c r="BG432" s="166"/>
      <c r="BH432" s="166"/>
      <c r="BI432" s="165"/>
      <c r="BJ432" s="165"/>
      <c r="BK432" s="165"/>
      <c r="BL432" s="165"/>
      <c r="BM432" s="165"/>
      <c r="BN432" s="165"/>
      <c r="BO432" s="165"/>
      <c r="BP432" s="165"/>
      <c r="BQ432" s="166" t="s">
        <v>208</v>
      </c>
      <c r="BR432" s="165" t="s">
        <v>810</v>
      </c>
      <c r="BS432" s="124">
        <v>191</v>
      </c>
      <c r="BT432" s="124" t="s">
        <v>668</v>
      </c>
    </row>
    <row r="433" spans="1:72" s="124" customFormat="1" ht="14.25" hidden="1" customHeight="1" x14ac:dyDescent="0.2">
      <c r="A433" s="205">
        <v>192</v>
      </c>
      <c r="B433" s="235" t="s">
        <v>808</v>
      </c>
      <c r="C433" s="236" t="s">
        <v>809</v>
      </c>
      <c r="D433" s="235" t="s">
        <v>387</v>
      </c>
      <c r="E433" s="125" t="s">
        <v>466</v>
      </c>
      <c r="F433" s="181" t="s">
        <v>103</v>
      </c>
      <c r="G433" s="181" t="s">
        <v>56</v>
      </c>
      <c r="H433" s="181" t="s">
        <v>576</v>
      </c>
      <c r="I433" s="181"/>
      <c r="J433" s="178">
        <v>1</v>
      </c>
      <c r="K433" s="182"/>
      <c r="L433" s="182" t="s">
        <v>58</v>
      </c>
      <c r="M433" s="178" t="s">
        <v>78</v>
      </c>
      <c r="N433" s="128">
        <v>0</v>
      </c>
      <c r="O433" s="178" t="s">
        <v>60</v>
      </c>
      <c r="P433" s="178" t="s">
        <v>79</v>
      </c>
      <c r="Q433" s="179"/>
      <c r="R433" s="179" t="s">
        <v>811</v>
      </c>
      <c r="S433" s="180">
        <v>30</v>
      </c>
      <c r="T433" s="179"/>
      <c r="U433" s="179"/>
      <c r="V433" s="167" t="s">
        <v>700</v>
      </c>
      <c r="W433" s="168">
        <v>10</v>
      </c>
      <c r="X433" s="168">
        <v>4</v>
      </c>
      <c r="Y433" s="167"/>
      <c r="Z433" s="169" t="s">
        <v>63</v>
      </c>
      <c r="AA433" s="166">
        <v>8</v>
      </c>
      <c r="AB433" s="166">
        <v>0</v>
      </c>
      <c r="AC433" s="165">
        <v>29</v>
      </c>
      <c r="AD433" s="165" t="s">
        <v>80</v>
      </c>
      <c r="AE433" s="165" t="s">
        <v>389</v>
      </c>
      <c r="AF433" s="165">
        <v>5</v>
      </c>
      <c r="AG433" s="165" t="s">
        <v>80</v>
      </c>
      <c r="AH433" s="165" t="s">
        <v>117</v>
      </c>
      <c r="AI433" s="165"/>
      <c r="AJ433" s="165"/>
      <c r="AK433" s="166">
        <v>84</v>
      </c>
      <c r="AL433" s="166" t="s">
        <v>81</v>
      </c>
      <c r="AM433" s="166" t="s">
        <v>389</v>
      </c>
      <c r="AN433" s="166">
        <v>9</v>
      </c>
      <c r="AO433" s="166" t="s">
        <v>81</v>
      </c>
      <c r="AP433" s="166" t="s">
        <v>117</v>
      </c>
      <c r="AQ433" s="166"/>
      <c r="AR433" s="166"/>
      <c r="AS433" s="165"/>
      <c r="AT433" s="165"/>
      <c r="AU433" s="165"/>
      <c r="AV433" s="165"/>
      <c r="AW433" s="165"/>
      <c r="AX433" s="165"/>
      <c r="AY433" s="165"/>
      <c r="AZ433" s="165"/>
      <c r="BA433" s="166"/>
      <c r="BB433" s="166"/>
      <c r="BC433" s="166"/>
      <c r="BD433" s="166"/>
      <c r="BE433" s="166"/>
      <c r="BF433" s="166"/>
      <c r="BG433" s="166"/>
      <c r="BH433" s="166"/>
      <c r="BI433" s="165"/>
      <c r="BJ433" s="165"/>
      <c r="BK433" s="165"/>
      <c r="BL433" s="165"/>
      <c r="BM433" s="165"/>
      <c r="BN433" s="165"/>
      <c r="BO433" s="165"/>
      <c r="BP433" s="165"/>
      <c r="BQ433" s="166" t="s">
        <v>208</v>
      </c>
      <c r="BR433" s="165" t="s">
        <v>810</v>
      </c>
      <c r="BS433" s="124">
        <v>192</v>
      </c>
      <c r="BT433" s="124" t="s">
        <v>668</v>
      </c>
    </row>
    <row r="434" spans="1:72" s="124" customFormat="1" ht="14.25" hidden="1" customHeight="1" x14ac:dyDescent="0.2">
      <c r="A434" s="205">
        <v>193</v>
      </c>
      <c r="B434" s="235" t="s">
        <v>808</v>
      </c>
      <c r="C434" s="236" t="s">
        <v>809</v>
      </c>
      <c r="D434" s="235" t="s">
        <v>390</v>
      </c>
      <c r="E434" s="125" t="s">
        <v>466</v>
      </c>
      <c r="F434" s="181" t="s">
        <v>103</v>
      </c>
      <c r="G434" s="181" t="s">
        <v>56</v>
      </c>
      <c r="H434" s="181" t="s">
        <v>576</v>
      </c>
      <c r="I434" s="181"/>
      <c r="J434" s="178">
        <v>1</v>
      </c>
      <c r="K434" s="182"/>
      <c r="L434" s="182" t="s">
        <v>58</v>
      </c>
      <c r="M434" s="178" t="s">
        <v>78</v>
      </c>
      <c r="N434" s="128">
        <v>240</v>
      </c>
      <c r="O434" s="178" t="s">
        <v>60</v>
      </c>
      <c r="P434" s="178" t="s">
        <v>79</v>
      </c>
      <c r="Q434" s="179"/>
      <c r="R434" s="179" t="s">
        <v>811</v>
      </c>
      <c r="S434" s="180">
        <v>30</v>
      </c>
      <c r="T434" s="179"/>
      <c r="U434" s="179"/>
      <c r="V434" s="167" t="s">
        <v>700</v>
      </c>
      <c r="W434" s="168">
        <v>10</v>
      </c>
      <c r="X434" s="168">
        <v>4</v>
      </c>
      <c r="Y434" s="167"/>
      <c r="Z434" s="169" t="s">
        <v>63</v>
      </c>
      <c r="AA434" s="166">
        <v>8</v>
      </c>
      <c r="AB434" s="166">
        <v>0</v>
      </c>
      <c r="AC434" s="165">
        <v>29</v>
      </c>
      <c r="AD434" s="165" t="s">
        <v>80</v>
      </c>
      <c r="AE434" s="165" t="s">
        <v>389</v>
      </c>
      <c r="AF434" s="165">
        <v>5</v>
      </c>
      <c r="AG434" s="165" t="s">
        <v>80</v>
      </c>
      <c r="AH434" s="165" t="s">
        <v>117</v>
      </c>
      <c r="AI434" s="165"/>
      <c r="AJ434" s="165"/>
      <c r="AK434" s="166">
        <v>84</v>
      </c>
      <c r="AL434" s="166" t="s">
        <v>81</v>
      </c>
      <c r="AM434" s="166" t="s">
        <v>389</v>
      </c>
      <c r="AN434" s="166">
        <v>9</v>
      </c>
      <c r="AO434" s="166" t="s">
        <v>81</v>
      </c>
      <c r="AP434" s="166" t="s">
        <v>117</v>
      </c>
      <c r="AQ434" s="166"/>
      <c r="AR434" s="166"/>
      <c r="AS434" s="165"/>
      <c r="AT434" s="165"/>
      <c r="AU434" s="165"/>
      <c r="AV434" s="165"/>
      <c r="AW434" s="165"/>
      <c r="AX434" s="165"/>
      <c r="AY434" s="165"/>
      <c r="AZ434" s="165"/>
      <c r="BA434" s="166"/>
      <c r="BB434" s="166"/>
      <c r="BC434" s="166"/>
      <c r="BD434" s="166"/>
      <c r="BE434" s="166"/>
      <c r="BF434" s="166"/>
      <c r="BG434" s="166"/>
      <c r="BH434" s="166"/>
      <c r="BI434" s="165"/>
      <c r="BJ434" s="165"/>
      <c r="BK434" s="165"/>
      <c r="BL434" s="165"/>
      <c r="BM434" s="165"/>
      <c r="BN434" s="165"/>
      <c r="BO434" s="165"/>
      <c r="BP434" s="165"/>
      <c r="BQ434" s="166" t="s">
        <v>208</v>
      </c>
      <c r="BR434" s="165" t="s">
        <v>810</v>
      </c>
      <c r="BS434" s="124">
        <v>193</v>
      </c>
      <c r="BT434" s="124" t="s">
        <v>668</v>
      </c>
    </row>
    <row r="435" spans="1:72" s="124" customFormat="1" ht="14.25" hidden="1" customHeight="1" x14ac:dyDescent="0.2">
      <c r="A435" s="205">
        <v>214</v>
      </c>
      <c r="B435" s="235" t="s">
        <v>812</v>
      </c>
      <c r="C435" s="236" t="s">
        <v>813</v>
      </c>
      <c r="D435" s="235" t="s">
        <v>814</v>
      </c>
      <c r="E435" s="125" t="s">
        <v>102</v>
      </c>
      <c r="F435" s="181" t="s">
        <v>103</v>
      </c>
      <c r="G435" s="156" t="s">
        <v>56</v>
      </c>
      <c r="H435" s="156" t="s">
        <v>815</v>
      </c>
      <c r="I435" s="181"/>
      <c r="J435" s="209">
        <v>8</v>
      </c>
      <c r="K435" s="210"/>
      <c r="L435" s="210" t="s">
        <v>58</v>
      </c>
      <c r="M435" s="209" t="s">
        <v>59</v>
      </c>
      <c r="N435" s="209">
        <v>0</v>
      </c>
      <c r="O435" s="209" t="s">
        <v>60</v>
      </c>
      <c r="P435" s="209" t="s">
        <v>79</v>
      </c>
      <c r="Q435" s="211" t="s">
        <v>706</v>
      </c>
      <c r="R435" s="211" t="s">
        <v>816</v>
      </c>
      <c r="S435" s="212"/>
      <c r="T435" s="212">
        <v>240</v>
      </c>
      <c r="U435" s="211"/>
      <c r="V435" s="170" t="s">
        <v>62</v>
      </c>
      <c r="W435" s="129"/>
      <c r="X435" s="129">
        <v>4</v>
      </c>
      <c r="Y435" s="130" t="s">
        <v>817</v>
      </c>
      <c r="Z435" s="169" t="s">
        <v>63</v>
      </c>
      <c r="AA435" s="171">
        <v>19</v>
      </c>
      <c r="AB435" s="171">
        <v>9</v>
      </c>
      <c r="AC435" s="172">
        <v>28</v>
      </c>
      <c r="AD435" s="172" t="s">
        <v>80</v>
      </c>
      <c r="AE435" s="172" t="s">
        <v>116</v>
      </c>
      <c r="AF435" s="172">
        <v>6</v>
      </c>
      <c r="AG435" s="172" t="s">
        <v>80</v>
      </c>
      <c r="AH435" s="172" t="s">
        <v>117</v>
      </c>
      <c r="AI435" s="172"/>
      <c r="AJ435" s="172"/>
      <c r="AK435" s="171">
        <v>76.5</v>
      </c>
      <c r="AL435" s="171" t="s">
        <v>81</v>
      </c>
      <c r="AM435" s="171" t="s">
        <v>118</v>
      </c>
      <c r="AN435" s="171">
        <v>16.399999999999999</v>
      </c>
      <c r="AO435" s="171" t="s">
        <v>81</v>
      </c>
      <c r="AP435" s="173" t="s">
        <v>117</v>
      </c>
      <c r="AQ435" s="171"/>
      <c r="AR435" s="171"/>
      <c r="AS435" s="172"/>
      <c r="AT435" s="172"/>
      <c r="AU435" s="172"/>
      <c r="AV435" s="172"/>
      <c r="AW435" s="172"/>
      <c r="AX435" s="172"/>
      <c r="AY435" s="172"/>
      <c r="AZ435" s="172"/>
      <c r="BA435" s="171"/>
      <c r="BB435" s="171"/>
      <c r="BC435" s="171"/>
      <c r="BD435" s="171"/>
      <c r="BE435" s="171"/>
      <c r="BF435" s="171"/>
      <c r="BG435" s="171"/>
      <c r="BH435" s="171"/>
      <c r="BI435" s="172"/>
      <c r="BJ435" s="172"/>
      <c r="BK435" s="172"/>
      <c r="BL435" s="172"/>
      <c r="BM435" s="172"/>
      <c r="BN435" s="172"/>
      <c r="BO435" s="172"/>
      <c r="BP435" s="172"/>
      <c r="BQ435" s="171" t="s">
        <v>238</v>
      </c>
      <c r="BR435" s="172" t="s">
        <v>818</v>
      </c>
      <c r="BS435" s="124">
        <v>214</v>
      </c>
      <c r="BT435" s="124" t="s">
        <v>668</v>
      </c>
    </row>
    <row r="436" spans="1:72" s="124" customFormat="1" ht="14.25" hidden="1" customHeight="1" x14ac:dyDescent="0.2">
      <c r="A436" s="205">
        <v>215</v>
      </c>
      <c r="B436" s="235" t="s">
        <v>812</v>
      </c>
      <c r="C436" s="236" t="s">
        <v>813</v>
      </c>
      <c r="D436" s="235" t="s">
        <v>225</v>
      </c>
      <c r="E436" s="125" t="s">
        <v>102</v>
      </c>
      <c r="F436" s="181" t="s">
        <v>103</v>
      </c>
      <c r="G436" s="156" t="s">
        <v>56</v>
      </c>
      <c r="H436" s="156" t="s">
        <v>815</v>
      </c>
      <c r="I436" s="181"/>
      <c r="J436" s="209">
        <v>8</v>
      </c>
      <c r="K436" s="210"/>
      <c r="L436" s="210" t="s">
        <v>58</v>
      </c>
      <c r="M436" s="209" t="s">
        <v>59</v>
      </c>
      <c r="N436" s="209">
        <v>146</v>
      </c>
      <c r="O436" s="209" t="s">
        <v>60</v>
      </c>
      <c r="P436" s="209" t="s">
        <v>819</v>
      </c>
      <c r="Q436" s="211" t="s">
        <v>706</v>
      </c>
      <c r="R436" s="211" t="s">
        <v>816</v>
      </c>
      <c r="S436" s="212"/>
      <c r="T436" s="212"/>
      <c r="U436" s="211"/>
      <c r="V436" s="170"/>
      <c r="W436" s="129"/>
      <c r="X436" s="129"/>
      <c r="Y436" s="130"/>
      <c r="Z436" s="169" t="s">
        <v>63</v>
      </c>
      <c r="AA436" s="171">
        <v>19</v>
      </c>
      <c r="AB436" s="171">
        <v>9</v>
      </c>
      <c r="AC436" s="172">
        <v>28</v>
      </c>
      <c r="AD436" s="172" t="s">
        <v>80</v>
      </c>
      <c r="AE436" s="172" t="s">
        <v>116</v>
      </c>
      <c r="AF436" s="172">
        <v>6</v>
      </c>
      <c r="AG436" s="172" t="s">
        <v>80</v>
      </c>
      <c r="AH436" s="172" t="s">
        <v>117</v>
      </c>
      <c r="AI436" s="172"/>
      <c r="AJ436" s="172"/>
      <c r="AK436" s="171">
        <v>76.5</v>
      </c>
      <c r="AL436" s="171" t="s">
        <v>81</v>
      </c>
      <c r="AM436" s="171" t="s">
        <v>118</v>
      </c>
      <c r="AN436" s="171">
        <v>16.399999999999999</v>
      </c>
      <c r="AO436" s="171" t="s">
        <v>81</v>
      </c>
      <c r="AP436" s="173" t="s">
        <v>117</v>
      </c>
      <c r="AQ436" s="171"/>
      <c r="AR436" s="171"/>
      <c r="AS436" s="172"/>
      <c r="AT436" s="172"/>
      <c r="AU436" s="172"/>
      <c r="AV436" s="172"/>
      <c r="AW436" s="172"/>
      <c r="AX436" s="172"/>
      <c r="AY436" s="172"/>
      <c r="AZ436" s="172"/>
      <c r="BA436" s="171"/>
      <c r="BB436" s="171"/>
      <c r="BC436" s="171"/>
      <c r="BD436" s="171"/>
      <c r="BE436" s="171"/>
      <c r="BF436" s="171"/>
      <c r="BG436" s="171"/>
      <c r="BH436" s="171"/>
      <c r="BI436" s="172"/>
      <c r="BJ436" s="172"/>
      <c r="BK436" s="172"/>
      <c r="BL436" s="172"/>
      <c r="BM436" s="172"/>
      <c r="BN436" s="172"/>
      <c r="BO436" s="172"/>
      <c r="BP436" s="172"/>
      <c r="BQ436" s="171" t="s">
        <v>238</v>
      </c>
      <c r="BR436" s="172" t="s">
        <v>818</v>
      </c>
      <c r="BS436" s="124">
        <v>215</v>
      </c>
      <c r="BT436" s="124" t="s">
        <v>668</v>
      </c>
    </row>
    <row r="437" spans="1:72" s="124" customFormat="1" ht="14.25" hidden="1" customHeight="1" x14ac:dyDescent="0.2">
      <c r="A437" s="205">
        <v>216</v>
      </c>
      <c r="B437" s="235" t="s">
        <v>812</v>
      </c>
      <c r="C437" s="236" t="s">
        <v>813</v>
      </c>
      <c r="D437" s="235" t="s">
        <v>820</v>
      </c>
      <c r="E437" s="125" t="s">
        <v>102</v>
      </c>
      <c r="F437" s="181" t="s">
        <v>103</v>
      </c>
      <c r="G437" s="156" t="s">
        <v>56</v>
      </c>
      <c r="H437" s="156" t="s">
        <v>815</v>
      </c>
      <c r="I437" s="181"/>
      <c r="J437" s="209">
        <v>8</v>
      </c>
      <c r="K437" s="210"/>
      <c r="L437" s="210" t="s">
        <v>58</v>
      </c>
      <c r="M437" s="209" t="s">
        <v>59</v>
      </c>
      <c r="N437" s="209">
        <v>0</v>
      </c>
      <c r="O437" s="209" t="s">
        <v>60</v>
      </c>
      <c r="P437" s="209" t="s">
        <v>79</v>
      </c>
      <c r="Q437" s="211" t="s">
        <v>706</v>
      </c>
      <c r="R437" s="211" t="s">
        <v>816</v>
      </c>
      <c r="S437" s="212"/>
      <c r="T437" s="212"/>
      <c r="U437" s="211"/>
      <c r="V437" s="170" t="s">
        <v>62</v>
      </c>
      <c r="W437" s="129"/>
      <c r="X437" s="129">
        <v>4</v>
      </c>
      <c r="Y437" s="130" t="s">
        <v>817</v>
      </c>
      <c r="Z437" s="169" t="s">
        <v>63</v>
      </c>
      <c r="AA437" s="171">
        <v>19</v>
      </c>
      <c r="AB437" s="171">
        <v>9</v>
      </c>
      <c r="AC437" s="172">
        <v>28</v>
      </c>
      <c r="AD437" s="172" t="s">
        <v>80</v>
      </c>
      <c r="AE437" s="172" t="s">
        <v>116</v>
      </c>
      <c r="AF437" s="172">
        <v>6</v>
      </c>
      <c r="AG437" s="172" t="s">
        <v>80</v>
      </c>
      <c r="AH437" s="172" t="s">
        <v>117</v>
      </c>
      <c r="AI437" s="172"/>
      <c r="AJ437" s="172"/>
      <c r="AK437" s="171">
        <v>76.5</v>
      </c>
      <c r="AL437" s="171" t="s">
        <v>81</v>
      </c>
      <c r="AM437" s="171" t="s">
        <v>118</v>
      </c>
      <c r="AN437" s="171">
        <v>16.399999999999999</v>
      </c>
      <c r="AO437" s="171" t="s">
        <v>81</v>
      </c>
      <c r="AP437" s="173" t="s">
        <v>117</v>
      </c>
      <c r="AQ437" s="171"/>
      <c r="AR437" s="171"/>
      <c r="AS437" s="172"/>
      <c r="AT437" s="172"/>
      <c r="AU437" s="172"/>
      <c r="AV437" s="172"/>
      <c r="AW437" s="172"/>
      <c r="AX437" s="172"/>
      <c r="AY437" s="172"/>
      <c r="AZ437" s="172"/>
      <c r="BA437" s="171"/>
      <c r="BB437" s="171"/>
      <c r="BC437" s="171"/>
      <c r="BD437" s="171"/>
      <c r="BE437" s="171"/>
      <c r="BF437" s="171"/>
      <c r="BG437" s="171"/>
      <c r="BH437" s="171"/>
      <c r="BI437" s="172"/>
      <c r="BJ437" s="172"/>
      <c r="BK437" s="172"/>
      <c r="BL437" s="172"/>
      <c r="BM437" s="172"/>
      <c r="BN437" s="172"/>
      <c r="BO437" s="172"/>
      <c r="BP437" s="172"/>
      <c r="BQ437" s="171" t="s">
        <v>238</v>
      </c>
      <c r="BR437" s="172" t="s">
        <v>818</v>
      </c>
      <c r="BS437" s="124">
        <v>216</v>
      </c>
      <c r="BT437" s="124" t="s">
        <v>668</v>
      </c>
    </row>
    <row r="438" spans="1:72" s="124" customFormat="1" ht="14.25" hidden="1" customHeight="1" x14ac:dyDescent="0.2">
      <c r="A438" s="205">
        <v>217</v>
      </c>
      <c r="B438" s="235" t="s">
        <v>812</v>
      </c>
      <c r="C438" s="236" t="s">
        <v>813</v>
      </c>
      <c r="D438" s="235" t="s">
        <v>821</v>
      </c>
      <c r="E438" s="125" t="s">
        <v>102</v>
      </c>
      <c r="F438" s="181" t="s">
        <v>103</v>
      </c>
      <c r="G438" s="156" t="s">
        <v>56</v>
      </c>
      <c r="H438" s="156" t="s">
        <v>815</v>
      </c>
      <c r="I438" s="181"/>
      <c r="J438" s="209">
        <v>8</v>
      </c>
      <c r="K438" s="210"/>
      <c r="L438" s="210" t="s">
        <v>58</v>
      </c>
      <c r="M438" s="209" t="s">
        <v>59</v>
      </c>
      <c r="N438" s="209">
        <v>146</v>
      </c>
      <c r="O438" s="209" t="s">
        <v>60</v>
      </c>
      <c r="P438" s="209" t="s">
        <v>819</v>
      </c>
      <c r="Q438" s="211" t="s">
        <v>706</v>
      </c>
      <c r="R438" s="211" t="s">
        <v>816</v>
      </c>
      <c r="S438" s="212"/>
      <c r="T438" s="212"/>
      <c r="U438" s="211"/>
      <c r="V438" s="170"/>
      <c r="W438" s="129"/>
      <c r="X438" s="129"/>
      <c r="Y438" s="130"/>
      <c r="Z438" s="169" t="s">
        <v>63</v>
      </c>
      <c r="AA438" s="171">
        <v>19</v>
      </c>
      <c r="AB438" s="171">
        <v>9</v>
      </c>
      <c r="AC438" s="172">
        <v>28</v>
      </c>
      <c r="AD438" s="172" t="s">
        <v>80</v>
      </c>
      <c r="AE438" s="172" t="s">
        <v>116</v>
      </c>
      <c r="AF438" s="172">
        <v>6</v>
      </c>
      <c r="AG438" s="172" t="s">
        <v>80</v>
      </c>
      <c r="AH438" s="172" t="s">
        <v>117</v>
      </c>
      <c r="AI438" s="172"/>
      <c r="AJ438" s="172"/>
      <c r="AK438" s="171">
        <v>76.5</v>
      </c>
      <c r="AL438" s="171" t="s">
        <v>81</v>
      </c>
      <c r="AM438" s="171" t="s">
        <v>118</v>
      </c>
      <c r="AN438" s="171">
        <v>16.399999999999999</v>
      </c>
      <c r="AO438" s="171" t="s">
        <v>81</v>
      </c>
      <c r="AP438" s="173" t="s">
        <v>117</v>
      </c>
      <c r="AQ438" s="171"/>
      <c r="AR438" s="171"/>
      <c r="AS438" s="172"/>
      <c r="AT438" s="172"/>
      <c r="AU438" s="172"/>
      <c r="AV438" s="172"/>
      <c r="AW438" s="172"/>
      <c r="AX438" s="172"/>
      <c r="AY438" s="172"/>
      <c r="AZ438" s="172"/>
      <c r="BA438" s="171"/>
      <c r="BB438" s="171"/>
      <c r="BC438" s="171"/>
      <c r="BD438" s="171"/>
      <c r="BE438" s="171"/>
      <c r="BF438" s="171"/>
      <c r="BG438" s="171"/>
      <c r="BH438" s="171"/>
      <c r="BI438" s="172"/>
      <c r="BJ438" s="172"/>
      <c r="BK438" s="172"/>
      <c r="BL438" s="172"/>
      <c r="BM438" s="172"/>
      <c r="BN438" s="172"/>
      <c r="BO438" s="172"/>
      <c r="BP438" s="172"/>
      <c r="BQ438" s="171" t="s">
        <v>238</v>
      </c>
      <c r="BR438" s="172" t="s">
        <v>818</v>
      </c>
      <c r="BS438" s="124">
        <v>217</v>
      </c>
      <c r="BT438" s="124" t="s">
        <v>668</v>
      </c>
    </row>
    <row r="439" spans="1:72" s="124" customFormat="1" ht="14.25" hidden="1" customHeight="1" x14ac:dyDescent="0.2">
      <c r="A439" s="205">
        <v>218</v>
      </c>
      <c r="B439" s="235" t="s">
        <v>812</v>
      </c>
      <c r="C439" s="236" t="s">
        <v>813</v>
      </c>
      <c r="D439" s="235" t="s">
        <v>822</v>
      </c>
      <c r="E439" s="125" t="s">
        <v>102</v>
      </c>
      <c r="F439" s="181" t="s">
        <v>103</v>
      </c>
      <c r="G439" s="156" t="s">
        <v>56</v>
      </c>
      <c r="H439" s="156" t="s">
        <v>815</v>
      </c>
      <c r="I439" s="181"/>
      <c r="J439" s="209">
        <v>8</v>
      </c>
      <c r="K439" s="210"/>
      <c r="L439" s="210" t="s">
        <v>58</v>
      </c>
      <c r="M439" s="209" t="s">
        <v>59</v>
      </c>
      <c r="N439" s="209">
        <v>0</v>
      </c>
      <c r="O439" s="209" t="s">
        <v>60</v>
      </c>
      <c r="P439" s="209" t="s">
        <v>79</v>
      </c>
      <c r="Q439" s="211" t="s">
        <v>706</v>
      </c>
      <c r="R439" s="211" t="s">
        <v>816</v>
      </c>
      <c r="S439" s="212"/>
      <c r="T439" s="212"/>
      <c r="U439" s="211"/>
      <c r="V439" s="170" t="s">
        <v>62</v>
      </c>
      <c r="W439" s="129"/>
      <c r="X439" s="129">
        <v>4</v>
      </c>
      <c r="Y439" s="130" t="s">
        <v>817</v>
      </c>
      <c r="Z439" s="169" t="s">
        <v>63</v>
      </c>
      <c r="AA439" s="171">
        <v>19</v>
      </c>
      <c r="AB439" s="171">
        <v>9</v>
      </c>
      <c r="AC439" s="172">
        <v>28</v>
      </c>
      <c r="AD439" s="172" t="s">
        <v>80</v>
      </c>
      <c r="AE439" s="172" t="s">
        <v>116</v>
      </c>
      <c r="AF439" s="172">
        <v>6</v>
      </c>
      <c r="AG439" s="172" t="s">
        <v>80</v>
      </c>
      <c r="AH439" s="172" t="s">
        <v>117</v>
      </c>
      <c r="AI439" s="172"/>
      <c r="AJ439" s="172"/>
      <c r="AK439" s="171">
        <v>76.5</v>
      </c>
      <c r="AL439" s="171" t="s">
        <v>81</v>
      </c>
      <c r="AM439" s="171" t="s">
        <v>118</v>
      </c>
      <c r="AN439" s="171">
        <v>16.399999999999999</v>
      </c>
      <c r="AO439" s="171" t="s">
        <v>81</v>
      </c>
      <c r="AP439" s="173" t="s">
        <v>117</v>
      </c>
      <c r="AQ439" s="171"/>
      <c r="AR439" s="171"/>
      <c r="AS439" s="172"/>
      <c r="AT439" s="172"/>
      <c r="AU439" s="172"/>
      <c r="AV439" s="172"/>
      <c r="AW439" s="172"/>
      <c r="AX439" s="172"/>
      <c r="AY439" s="172"/>
      <c r="AZ439" s="172"/>
      <c r="BA439" s="171"/>
      <c r="BB439" s="171"/>
      <c r="BC439" s="171"/>
      <c r="BD439" s="171"/>
      <c r="BE439" s="171"/>
      <c r="BF439" s="171"/>
      <c r="BG439" s="171"/>
      <c r="BH439" s="171"/>
      <c r="BI439" s="172"/>
      <c r="BJ439" s="172"/>
      <c r="BK439" s="172"/>
      <c r="BL439" s="172"/>
      <c r="BM439" s="172"/>
      <c r="BN439" s="172"/>
      <c r="BO439" s="172"/>
      <c r="BP439" s="172"/>
      <c r="BQ439" s="171" t="s">
        <v>238</v>
      </c>
      <c r="BR439" s="172" t="s">
        <v>818</v>
      </c>
      <c r="BS439" s="124">
        <v>218</v>
      </c>
      <c r="BT439" s="124" t="s">
        <v>668</v>
      </c>
    </row>
    <row r="440" spans="1:72" s="124" customFormat="1" ht="14.25" hidden="1" customHeight="1" x14ac:dyDescent="0.2">
      <c r="A440" s="205">
        <v>219</v>
      </c>
      <c r="B440" s="235" t="s">
        <v>812</v>
      </c>
      <c r="C440" s="236" t="s">
        <v>813</v>
      </c>
      <c r="D440" s="235" t="s">
        <v>823</v>
      </c>
      <c r="E440" s="125" t="s">
        <v>102</v>
      </c>
      <c r="F440" s="181" t="s">
        <v>103</v>
      </c>
      <c r="G440" s="156" t="s">
        <v>56</v>
      </c>
      <c r="H440" s="156" t="s">
        <v>815</v>
      </c>
      <c r="I440" s="181"/>
      <c r="J440" s="209">
        <v>8</v>
      </c>
      <c r="K440" s="210"/>
      <c r="L440" s="210" t="s">
        <v>58</v>
      </c>
      <c r="M440" s="209" t="s">
        <v>59</v>
      </c>
      <c r="N440" s="209">
        <v>0</v>
      </c>
      <c r="O440" s="209" t="s">
        <v>60</v>
      </c>
      <c r="P440" s="209" t="s">
        <v>79</v>
      </c>
      <c r="Q440" s="211" t="s">
        <v>706</v>
      </c>
      <c r="R440" s="211" t="s">
        <v>816</v>
      </c>
      <c r="S440" s="212"/>
      <c r="T440" s="212"/>
      <c r="U440" s="211"/>
      <c r="V440" s="170" t="s">
        <v>62</v>
      </c>
      <c r="W440" s="129"/>
      <c r="X440" s="129">
        <v>4</v>
      </c>
      <c r="Y440" s="130" t="s">
        <v>817</v>
      </c>
      <c r="Z440" s="169" t="s">
        <v>63</v>
      </c>
      <c r="AA440" s="171">
        <v>19</v>
      </c>
      <c r="AB440" s="171">
        <v>9</v>
      </c>
      <c r="AC440" s="172">
        <v>28</v>
      </c>
      <c r="AD440" s="172" t="s">
        <v>80</v>
      </c>
      <c r="AE440" s="172" t="s">
        <v>116</v>
      </c>
      <c r="AF440" s="172">
        <v>6</v>
      </c>
      <c r="AG440" s="172" t="s">
        <v>80</v>
      </c>
      <c r="AH440" s="172" t="s">
        <v>117</v>
      </c>
      <c r="AI440" s="172"/>
      <c r="AJ440" s="172"/>
      <c r="AK440" s="171">
        <v>76.5</v>
      </c>
      <c r="AL440" s="171" t="s">
        <v>81</v>
      </c>
      <c r="AM440" s="171" t="s">
        <v>118</v>
      </c>
      <c r="AN440" s="171">
        <v>16.399999999999999</v>
      </c>
      <c r="AO440" s="171" t="s">
        <v>81</v>
      </c>
      <c r="AP440" s="173" t="s">
        <v>117</v>
      </c>
      <c r="AQ440" s="171"/>
      <c r="AR440" s="171"/>
      <c r="AS440" s="172"/>
      <c r="AT440" s="172"/>
      <c r="AU440" s="172"/>
      <c r="AV440" s="172"/>
      <c r="AW440" s="172"/>
      <c r="AX440" s="172"/>
      <c r="AY440" s="172"/>
      <c r="AZ440" s="172"/>
      <c r="BA440" s="171"/>
      <c r="BB440" s="171"/>
      <c r="BC440" s="171"/>
      <c r="BD440" s="171"/>
      <c r="BE440" s="171"/>
      <c r="BF440" s="171"/>
      <c r="BG440" s="171"/>
      <c r="BH440" s="171"/>
      <c r="BI440" s="172"/>
      <c r="BJ440" s="172"/>
      <c r="BK440" s="172"/>
      <c r="BL440" s="172"/>
      <c r="BM440" s="172"/>
      <c r="BN440" s="172"/>
      <c r="BO440" s="172"/>
      <c r="BP440" s="172"/>
      <c r="BQ440" s="171" t="s">
        <v>238</v>
      </c>
      <c r="BR440" s="172" t="s">
        <v>818</v>
      </c>
      <c r="BS440" s="124">
        <v>219</v>
      </c>
      <c r="BT440" s="124" t="s">
        <v>668</v>
      </c>
    </row>
    <row r="441" spans="1:72" s="124" customFormat="1" ht="14.25" hidden="1" customHeight="1" x14ac:dyDescent="0.2">
      <c r="A441" s="205">
        <v>220</v>
      </c>
      <c r="B441" s="235" t="s">
        <v>824</v>
      </c>
      <c r="C441" s="236" t="s">
        <v>825</v>
      </c>
      <c r="D441" s="235" t="s">
        <v>814</v>
      </c>
      <c r="E441" s="125" t="s">
        <v>102</v>
      </c>
      <c r="F441" s="181" t="s">
        <v>103</v>
      </c>
      <c r="G441" s="156" t="s">
        <v>56</v>
      </c>
      <c r="H441" s="156" t="s">
        <v>815</v>
      </c>
      <c r="I441" s="181"/>
      <c r="J441" s="209">
        <v>8</v>
      </c>
      <c r="K441" s="210"/>
      <c r="L441" s="210" t="s">
        <v>58</v>
      </c>
      <c r="M441" s="209" t="s">
        <v>59</v>
      </c>
      <c r="N441" s="209">
        <v>0</v>
      </c>
      <c r="O441" s="209" t="s">
        <v>60</v>
      </c>
      <c r="P441" s="209" t="s">
        <v>79</v>
      </c>
      <c r="Q441" s="211" t="s">
        <v>826</v>
      </c>
      <c r="R441" s="211" t="s">
        <v>816</v>
      </c>
      <c r="S441" s="212"/>
      <c r="T441" s="212">
        <v>240</v>
      </c>
      <c r="U441" s="211"/>
      <c r="V441" s="170" t="s">
        <v>62</v>
      </c>
      <c r="W441" s="129"/>
      <c r="X441" s="129">
        <v>4</v>
      </c>
      <c r="Y441" s="130" t="s">
        <v>817</v>
      </c>
      <c r="Z441" s="169" t="s">
        <v>63</v>
      </c>
      <c r="AA441" s="171">
        <v>16</v>
      </c>
      <c r="AB441" s="171">
        <v>8</v>
      </c>
      <c r="AC441" s="172">
        <v>27</v>
      </c>
      <c r="AD441" s="172" t="s">
        <v>80</v>
      </c>
      <c r="AE441" s="172" t="s">
        <v>116</v>
      </c>
      <c r="AF441" s="172">
        <v>6</v>
      </c>
      <c r="AG441" s="172" t="s">
        <v>80</v>
      </c>
      <c r="AH441" s="172" t="s">
        <v>117</v>
      </c>
      <c r="AI441" s="172"/>
      <c r="AJ441" s="172"/>
      <c r="AK441" s="171">
        <v>75.8</v>
      </c>
      <c r="AL441" s="171" t="s">
        <v>81</v>
      </c>
      <c r="AM441" s="171" t="s">
        <v>118</v>
      </c>
      <c r="AN441" s="171">
        <v>15.6</v>
      </c>
      <c r="AO441" s="171" t="s">
        <v>81</v>
      </c>
      <c r="AP441" s="173" t="s">
        <v>117</v>
      </c>
      <c r="AQ441" s="171"/>
      <c r="AR441" s="171"/>
      <c r="AS441" s="172"/>
      <c r="AT441" s="172"/>
      <c r="AU441" s="172"/>
      <c r="AV441" s="172"/>
      <c r="AW441" s="172"/>
      <c r="AX441" s="172"/>
      <c r="AY441" s="172"/>
      <c r="AZ441" s="172"/>
      <c r="BA441" s="171"/>
      <c r="BB441" s="171"/>
      <c r="BC441" s="171"/>
      <c r="BD441" s="171"/>
      <c r="BE441" s="171"/>
      <c r="BF441" s="171"/>
      <c r="BG441" s="171"/>
      <c r="BH441" s="171"/>
      <c r="BI441" s="172"/>
      <c r="BJ441" s="172"/>
      <c r="BK441" s="172"/>
      <c r="BL441" s="172"/>
      <c r="BM441" s="172"/>
      <c r="BN441" s="172"/>
      <c r="BO441" s="172"/>
      <c r="BP441" s="172"/>
      <c r="BQ441" s="171" t="s">
        <v>238</v>
      </c>
      <c r="BR441" s="131" t="s">
        <v>827</v>
      </c>
      <c r="BS441" s="124">
        <v>220</v>
      </c>
      <c r="BT441" s="124" t="s">
        <v>668</v>
      </c>
    </row>
    <row r="442" spans="1:72" s="124" customFormat="1" ht="14.25" hidden="1" customHeight="1" x14ac:dyDescent="0.2">
      <c r="A442" s="205">
        <v>221</v>
      </c>
      <c r="B442" s="235" t="s">
        <v>824</v>
      </c>
      <c r="C442" s="236" t="s">
        <v>825</v>
      </c>
      <c r="D442" s="235" t="s">
        <v>225</v>
      </c>
      <c r="E442" s="125" t="s">
        <v>102</v>
      </c>
      <c r="F442" s="181" t="s">
        <v>103</v>
      </c>
      <c r="G442" s="156" t="s">
        <v>56</v>
      </c>
      <c r="H442" s="156" t="s">
        <v>815</v>
      </c>
      <c r="I442" s="181"/>
      <c r="J442" s="209">
        <v>8</v>
      </c>
      <c r="K442" s="210"/>
      <c r="L442" s="210" t="s">
        <v>58</v>
      </c>
      <c r="M442" s="209" t="s">
        <v>59</v>
      </c>
      <c r="N442" s="209">
        <v>146</v>
      </c>
      <c r="O442" s="209" t="s">
        <v>60</v>
      </c>
      <c r="P442" s="209" t="s">
        <v>79</v>
      </c>
      <c r="Q442" s="211" t="s">
        <v>826</v>
      </c>
      <c r="R442" s="211" t="s">
        <v>816</v>
      </c>
      <c r="S442" s="212"/>
      <c r="T442" s="212">
        <v>240</v>
      </c>
      <c r="U442" s="211"/>
      <c r="V442" s="170"/>
      <c r="W442" s="129"/>
      <c r="X442" s="129"/>
      <c r="Y442" s="170"/>
      <c r="Z442" s="169" t="s">
        <v>63</v>
      </c>
      <c r="AA442" s="171">
        <v>16</v>
      </c>
      <c r="AB442" s="171">
        <v>8</v>
      </c>
      <c r="AC442" s="172">
        <v>27</v>
      </c>
      <c r="AD442" s="172" t="s">
        <v>80</v>
      </c>
      <c r="AE442" s="172" t="s">
        <v>116</v>
      </c>
      <c r="AF442" s="172">
        <v>6</v>
      </c>
      <c r="AG442" s="172" t="s">
        <v>80</v>
      </c>
      <c r="AH442" s="172" t="s">
        <v>117</v>
      </c>
      <c r="AI442" s="172"/>
      <c r="AJ442" s="172"/>
      <c r="AK442" s="171">
        <v>75.8</v>
      </c>
      <c r="AL442" s="171" t="s">
        <v>81</v>
      </c>
      <c r="AM442" s="171" t="s">
        <v>118</v>
      </c>
      <c r="AN442" s="171">
        <v>15.6</v>
      </c>
      <c r="AO442" s="171" t="s">
        <v>81</v>
      </c>
      <c r="AP442" s="173" t="s">
        <v>117</v>
      </c>
      <c r="AQ442" s="171"/>
      <c r="AR442" s="171"/>
      <c r="AS442" s="172"/>
      <c r="AT442" s="172"/>
      <c r="AU442" s="172"/>
      <c r="AV442" s="172"/>
      <c r="AW442" s="172"/>
      <c r="AX442" s="172"/>
      <c r="AY442" s="172"/>
      <c r="AZ442" s="172"/>
      <c r="BA442" s="171"/>
      <c r="BB442" s="171"/>
      <c r="BC442" s="171"/>
      <c r="BD442" s="171"/>
      <c r="BE442" s="171"/>
      <c r="BF442" s="171"/>
      <c r="BG442" s="171"/>
      <c r="BH442" s="171"/>
      <c r="BI442" s="172"/>
      <c r="BJ442" s="172"/>
      <c r="BK442" s="172"/>
      <c r="BL442" s="172"/>
      <c r="BM442" s="172"/>
      <c r="BN442" s="172"/>
      <c r="BO442" s="172"/>
      <c r="BP442" s="172"/>
      <c r="BQ442" s="171" t="s">
        <v>238</v>
      </c>
      <c r="BR442" s="131" t="s">
        <v>827</v>
      </c>
      <c r="BS442" s="124">
        <v>221</v>
      </c>
      <c r="BT442" s="124" t="s">
        <v>668</v>
      </c>
    </row>
    <row r="443" spans="1:72" s="124" customFormat="1" ht="14.25" hidden="1" customHeight="1" x14ac:dyDescent="0.2">
      <c r="A443" s="205">
        <v>222</v>
      </c>
      <c r="B443" s="235" t="s">
        <v>824</v>
      </c>
      <c r="C443" s="236" t="s">
        <v>825</v>
      </c>
      <c r="D443" s="235" t="s">
        <v>820</v>
      </c>
      <c r="E443" s="125" t="s">
        <v>102</v>
      </c>
      <c r="F443" s="181" t="s">
        <v>103</v>
      </c>
      <c r="G443" s="156" t="s">
        <v>56</v>
      </c>
      <c r="H443" s="156" t="s">
        <v>815</v>
      </c>
      <c r="I443" s="181"/>
      <c r="J443" s="209">
        <v>8</v>
      </c>
      <c r="K443" s="210"/>
      <c r="L443" s="210" t="s">
        <v>58</v>
      </c>
      <c r="M443" s="209" t="s">
        <v>59</v>
      </c>
      <c r="N443" s="209">
        <v>0</v>
      </c>
      <c r="O443" s="209" t="s">
        <v>60</v>
      </c>
      <c r="P443" s="209" t="s">
        <v>79</v>
      </c>
      <c r="Q443" s="211" t="s">
        <v>826</v>
      </c>
      <c r="R443" s="211" t="s">
        <v>816</v>
      </c>
      <c r="S443" s="212"/>
      <c r="T443" s="212">
        <v>240</v>
      </c>
      <c r="U443" s="211"/>
      <c r="V443" s="170" t="s">
        <v>62</v>
      </c>
      <c r="W443" s="129"/>
      <c r="X443" s="129">
        <v>4</v>
      </c>
      <c r="Y443" s="130" t="s">
        <v>817</v>
      </c>
      <c r="Z443" s="169" t="s">
        <v>63</v>
      </c>
      <c r="AA443" s="171">
        <v>16</v>
      </c>
      <c r="AB443" s="171">
        <v>8</v>
      </c>
      <c r="AC443" s="172">
        <v>27</v>
      </c>
      <c r="AD443" s="172" t="s">
        <v>80</v>
      </c>
      <c r="AE443" s="172" t="s">
        <v>116</v>
      </c>
      <c r="AF443" s="172">
        <v>6</v>
      </c>
      <c r="AG443" s="172" t="s">
        <v>80</v>
      </c>
      <c r="AH443" s="172" t="s">
        <v>117</v>
      </c>
      <c r="AI443" s="172"/>
      <c r="AJ443" s="172"/>
      <c r="AK443" s="171">
        <v>75.8</v>
      </c>
      <c r="AL443" s="171" t="s">
        <v>81</v>
      </c>
      <c r="AM443" s="171" t="s">
        <v>118</v>
      </c>
      <c r="AN443" s="171">
        <v>15.6</v>
      </c>
      <c r="AO443" s="171" t="s">
        <v>81</v>
      </c>
      <c r="AP443" s="173" t="s">
        <v>117</v>
      </c>
      <c r="AQ443" s="171"/>
      <c r="AR443" s="171"/>
      <c r="AS443" s="172"/>
      <c r="AT443" s="172"/>
      <c r="AU443" s="172"/>
      <c r="AV443" s="172"/>
      <c r="AW443" s="172"/>
      <c r="AX443" s="172"/>
      <c r="AY443" s="172"/>
      <c r="AZ443" s="172"/>
      <c r="BA443" s="171"/>
      <c r="BB443" s="171"/>
      <c r="BC443" s="171"/>
      <c r="BD443" s="171"/>
      <c r="BE443" s="171"/>
      <c r="BF443" s="171"/>
      <c r="BG443" s="171"/>
      <c r="BH443" s="171"/>
      <c r="BI443" s="172"/>
      <c r="BJ443" s="172"/>
      <c r="BK443" s="172"/>
      <c r="BL443" s="172"/>
      <c r="BM443" s="172"/>
      <c r="BN443" s="172"/>
      <c r="BO443" s="172"/>
      <c r="BP443" s="172"/>
      <c r="BQ443" s="171" t="s">
        <v>238</v>
      </c>
      <c r="BR443" s="131" t="s">
        <v>827</v>
      </c>
      <c r="BS443" s="124">
        <v>222</v>
      </c>
      <c r="BT443" s="124" t="s">
        <v>668</v>
      </c>
    </row>
    <row r="444" spans="1:72" s="124" customFormat="1" ht="14.25" hidden="1" customHeight="1" x14ac:dyDescent="0.2">
      <c r="A444" s="205">
        <v>223</v>
      </c>
      <c r="B444" s="235" t="s">
        <v>824</v>
      </c>
      <c r="C444" s="236" t="s">
        <v>825</v>
      </c>
      <c r="D444" s="235" t="s">
        <v>821</v>
      </c>
      <c r="E444" s="125" t="s">
        <v>102</v>
      </c>
      <c r="F444" s="181" t="s">
        <v>103</v>
      </c>
      <c r="G444" s="156" t="s">
        <v>56</v>
      </c>
      <c r="H444" s="156" t="s">
        <v>815</v>
      </c>
      <c r="I444" s="181"/>
      <c r="J444" s="209">
        <v>8</v>
      </c>
      <c r="K444" s="210"/>
      <c r="L444" s="210" t="s">
        <v>58</v>
      </c>
      <c r="M444" s="209" t="s">
        <v>59</v>
      </c>
      <c r="N444" s="209">
        <v>146</v>
      </c>
      <c r="O444" s="209" t="s">
        <v>60</v>
      </c>
      <c r="P444" s="209" t="s">
        <v>79</v>
      </c>
      <c r="Q444" s="211" t="s">
        <v>826</v>
      </c>
      <c r="R444" s="211" t="s">
        <v>816</v>
      </c>
      <c r="S444" s="212"/>
      <c r="T444" s="212">
        <v>240</v>
      </c>
      <c r="U444" s="211"/>
      <c r="V444" s="170"/>
      <c r="W444" s="129"/>
      <c r="X444" s="129"/>
      <c r="Y444" s="170"/>
      <c r="Z444" s="169" t="s">
        <v>63</v>
      </c>
      <c r="AA444" s="171">
        <v>16</v>
      </c>
      <c r="AB444" s="171">
        <v>8</v>
      </c>
      <c r="AC444" s="172">
        <v>27</v>
      </c>
      <c r="AD444" s="172" t="s">
        <v>80</v>
      </c>
      <c r="AE444" s="172" t="s">
        <v>116</v>
      </c>
      <c r="AF444" s="172">
        <v>6</v>
      </c>
      <c r="AG444" s="172" t="s">
        <v>80</v>
      </c>
      <c r="AH444" s="172" t="s">
        <v>117</v>
      </c>
      <c r="AI444" s="172"/>
      <c r="AJ444" s="172"/>
      <c r="AK444" s="171">
        <v>75.8</v>
      </c>
      <c r="AL444" s="171" t="s">
        <v>81</v>
      </c>
      <c r="AM444" s="171" t="s">
        <v>118</v>
      </c>
      <c r="AN444" s="171">
        <v>15.6</v>
      </c>
      <c r="AO444" s="171" t="s">
        <v>81</v>
      </c>
      <c r="AP444" s="173" t="s">
        <v>117</v>
      </c>
      <c r="AQ444" s="171"/>
      <c r="AR444" s="171"/>
      <c r="AS444" s="172"/>
      <c r="AT444" s="172"/>
      <c r="AU444" s="172"/>
      <c r="AV444" s="172"/>
      <c r="AW444" s="172"/>
      <c r="AX444" s="172"/>
      <c r="AY444" s="172"/>
      <c r="AZ444" s="172"/>
      <c r="BA444" s="171"/>
      <c r="BB444" s="171"/>
      <c r="BC444" s="171"/>
      <c r="BD444" s="171"/>
      <c r="BE444" s="171"/>
      <c r="BF444" s="171"/>
      <c r="BG444" s="171"/>
      <c r="BH444" s="171"/>
      <c r="BI444" s="172"/>
      <c r="BJ444" s="172"/>
      <c r="BK444" s="172"/>
      <c r="BL444" s="172"/>
      <c r="BM444" s="172"/>
      <c r="BN444" s="172"/>
      <c r="BO444" s="172"/>
      <c r="BP444" s="172"/>
      <c r="BQ444" s="171" t="s">
        <v>238</v>
      </c>
      <c r="BR444" s="131" t="s">
        <v>827</v>
      </c>
      <c r="BS444" s="124">
        <v>223</v>
      </c>
      <c r="BT444" s="124" t="s">
        <v>668</v>
      </c>
    </row>
    <row r="445" spans="1:72" s="124" customFormat="1" ht="14.25" hidden="1" customHeight="1" x14ac:dyDescent="0.2">
      <c r="A445" s="205">
        <v>224</v>
      </c>
      <c r="B445" s="235" t="s">
        <v>824</v>
      </c>
      <c r="C445" s="236" t="s">
        <v>825</v>
      </c>
      <c r="D445" s="235" t="s">
        <v>828</v>
      </c>
      <c r="E445" s="125" t="s">
        <v>102</v>
      </c>
      <c r="F445" s="181" t="s">
        <v>103</v>
      </c>
      <c r="G445" s="156" t="s">
        <v>56</v>
      </c>
      <c r="H445" s="156" t="s">
        <v>815</v>
      </c>
      <c r="I445" s="181"/>
      <c r="J445" s="209">
        <v>8</v>
      </c>
      <c r="K445" s="210"/>
      <c r="L445" s="210" t="s">
        <v>58</v>
      </c>
      <c r="M445" s="209" t="s">
        <v>59</v>
      </c>
      <c r="N445" s="209">
        <v>0</v>
      </c>
      <c r="O445" s="209" t="s">
        <v>60</v>
      </c>
      <c r="P445" s="209" t="s">
        <v>79</v>
      </c>
      <c r="Q445" s="211" t="s">
        <v>826</v>
      </c>
      <c r="R445" s="211" t="s">
        <v>816</v>
      </c>
      <c r="S445" s="212"/>
      <c r="T445" s="212">
        <v>240</v>
      </c>
      <c r="U445" s="211"/>
      <c r="V445" s="170" t="s">
        <v>62</v>
      </c>
      <c r="W445" s="129"/>
      <c r="X445" s="129">
        <v>4</v>
      </c>
      <c r="Y445" s="130" t="s">
        <v>817</v>
      </c>
      <c r="Z445" s="169" t="s">
        <v>63</v>
      </c>
      <c r="AA445" s="171">
        <v>16</v>
      </c>
      <c r="AB445" s="171">
        <v>8</v>
      </c>
      <c r="AC445" s="172">
        <v>27</v>
      </c>
      <c r="AD445" s="172" t="s">
        <v>80</v>
      </c>
      <c r="AE445" s="172" t="s">
        <v>116</v>
      </c>
      <c r="AF445" s="172">
        <v>6</v>
      </c>
      <c r="AG445" s="172" t="s">
        <v>80</v>
      </c>
      <c r="AH445" s="172" t="s">
        <v>117</v>
      </c>
      <c r="AI445" s="172"/>
      <c r="AJ445" s="172"/>
      <c r="AK445" s="171">
        <v>75.8</v>
      </c>
      <c r="AL445" s="171" t="s">
        <v>81</v>
      </c>
      <c r="AM445" s="171" t="s">
        <v>118</v>
      </c>
      <c r="AN445" s="171">
        <v>15.6</v>
      </c>
      <c r="AO445" s="171" t="s">
        <v>81</v>
      </c>
      <c r="AP445" s="173" t="s">
        <v>117</v>
      </c>
      <c r="AQ445" s="171"/>
      <c r="AR445" s="171"/>
      <c r="AS445" s="172"/>
      <c r="AT445" s="172"/>
      <c r="AU445" s="172"/>
      <c r="AV445" s="172"/>
      <c r="AW445" s="172"/>
      <c r="AX445" s="172"/>
      <c r="AY445" s="172"/>
      <c r="AZ445" s="172"/>
      <c r="BA445" s="171"/>
      <c r="BB445" s="171"/>
      <c r="BC445" s="171"/>
      <c r="BD445" s="171"/>
      <c r="BE445" s="171"/>
      <c r="BF445" s="171"/>
      <c r="BG445" s="171"/>
      <c r="BH445" s="171"/>
      <c r="BI445" s="172"/>
      <c r="BJ445" s="172"/>
      <c r="BK445" s="172"/>
      <c r="BL445" s="172"/>
      <c r="BM445" s="172"/>
      <c r="BN445" s="172"/>
      <c r="BO445" s="172"/>
      <c r="BP445" s="172"/>
      <c r="BQ445" s="171" t="s">
        <v>238</v>
      </c>
      <c r="BR445" s="131" t="s">
        <v>827</v>
      </c>
      <c r="BS445" s="124">
        <v>224</v>
      </c>
      <c r="BT445" s="124" t="s">
        <v>668</v>
      </c>
    </row>
    <row r="446" spans="1:72" s="124" customFormat="1" ht="14.25" hidden="1" customHeight="1" x14ac:dyDescent="0.2">
      <c r="A446" s="205">
        <v>225</v>
      </c>
      <c r="B446" s="235" t="s">
        <v>824</v>
      </c>
      <c r="C446" s="236" t="s">
        <v>825</v>
      </c>
      <c r="D446" s="235" t="s">
        <v>829</v>
      </c>
      <c r="E446" s="125" t="s">
        <v>102</v>
      </c>
      <c r="F446" s="181" t="s">
        <v>103</v>
      </c>
      <c r="G446" s="156" t="s">
        <v>56</v>
      </c>
      <c r="H446" s="156" t="s">
        <v>815</v>
      </c>
      <c r="I446" s="181"/>
      <c r="J446" s="209">
        <v>8</v>
      </c>
      <c r="K446" s="210"/>
      <c r="L446" s="210" t="s">
        <v>58</v>
      </c>
      <c r="M446" s="209" t="s">
        <v>59</v>
      </c>
      <c r="N446" s="209">
        <v>0</v>
      </c>
      <c r="O446" s="209" t="s">
        <v>60</v>
      </c>
      <c r="P446" s="209" t="s">
        <v>79</v>
      </c>
      <c r="Q446" s="211" t="s">
        <v>826</v>
      </c>
      <c r="R446" s="211" t="s">
        <v>816</v>
      </c>
      <c r="S446" s="212"/>
      <c r="T446" s="212">
        <v>240</v>
      </c>
      <c r="U446" s="211"/>
      <c r="V446" s="170" t="s">
        <v>62</v>
      </c>
      <c r="W446" s="129"/>
      <c r="X446" s="129">
        <v>4</v>
      </c>
      <c r="Y446" s="130" t="s">
        <v>817</v>
      </c>
      <c r="Z446" s="169" t="s">
        <v>63</v>
      </c>
      <c r="AA446" s="171">
        <v>16</v>
      </c>
      <c r="AB446" s="171">
        <v>8</v>
      </c>
      <c r="AC446" s="172">
        <v>27</v>
      </c>
      <c r="AD446" s="172" t="s">
        <v>80</v>
      </c>
      <c r="AE446" s="172" t="s">
        <v>116</v>
      </c>
      <c r="AF446" s="172">
        <v>6</v>
      </c>
      <c r="AG446" s="172" t="s">
        <v>80</v>
      </c>
      <c r="AH446" s="172" t="s">
        <v>117</v>
      </c>
      <c r="AI446" s="172"/>
      <c r="AJ446" s="172"/>
      <c r="AK446" s="171">
        <v>75.8</v>
      </c>
      <c r="AL446" s="171" t="s">
        <v>81</v>
      </c>
      <c r="AM446" s="171" t="s">
        <v>118</v>
      </c>
      <c r="AN446" s="171">
        <v>15.6</v>
      </c>
      <c r="AO446" s="171" t="s">
        <v>81</v>
      </c>
      <c r="AP446" s="173" t="s">
        <v>117</v>
      </c>
      <c r="AQ446" s="171"/>
      <c r="AR446" s="171"/>
      <c r="AS446" s="172"/>
      <c r="AT446" s="172"/>
      <c r="AU446" s="172"/>
      <c r="AV446" s="172"/>
      <c r="AW446" s="172"/>
      <c r="AX446" s="172"/>
      <c r="AY446" s="172"/>
      <c r="AZ446" s="172"/>
      <c r="BA446" s="171"/>
      <c r="BB446" s="171"/>
      <c r="BC446" s="171"/>
      <c r="BD446" s="171"/>
      <c r="BE446" s="171"/>
      <c r="BF446" s="171"/>
      <c r="BG446" s="171"/>
      <c r="BH446" s="171"/>
      <c r="BI446" s="172"/>
      <c r="BJ446" s="172"/>
      <c r="BK446" s="172"/>
      <c r="BL446" s="172"/>
      <c r="BM446" s="172"/>
      <c r="BN446" s="172"/>
      <c r="BO446" s="172"/>
      <c r="BP446" s="172"/>
      <c r="BQ446" s="171" t="s">
        <v>238</v>
      </c>
      <c r="BR446" s="131" t="s">
        <v>827</v>
      </c>
      <c r="BS446" s="124">
        <v>225</v>
      </c>
      <c r="BT446" s="124" t="s">
        <v>668</v>
      </c>
    </row>
    <row r="447" spans="1:72" s="124" customFormat="1" ht="14.25" hidden="1" customHeight="1" x14ac:dyDescent="0.2">
      <c r="A447" s="205">
        <v>226</v>
      </c>
      <c r="B447" s="235" t="s">
        <v>830</v>
      </c>
      <c r="C447" s="236" t="s">
        <v>831</v>
      </c>
      <c r="D447" s="235" t="s">
        <v>220</v>
      </c>
      <c r="E447" s="125" t="s">
        <v>466</v>
      </c>
      <c r="F447" s="181" t="s">
        <v>55</v>
      </c>
      <c r="G447" s="156" t="s">
        <v>56</v>
      </c>
      <c r="H447" s="156" t="s">
        <v>832</v>
      </c>
      <c r="I447" s="181"/>
      <c r="J447" s="178">
        <v>0.25</v>
      </c>
      <c r="K447" s="182"/>
      <c r="L447" s="182" t="s">
        <v>58</v>
      </c>
      <c r="M447" s="178" t="s">
        <v>59</v>
      </c>
      <c r="N447" s="178">
        <v>0</v>
      </c>
      <c r="O447" s="178" t="s">
        <v>60</v>
      </c>
      <c r="P447" s="178" t="s">
        <v>79</v>
      </c>
      <c r="Q447" s="179" t="s">
        <v>833</v>
      </c>
      <c r="R447" s="179" t="s">
        <v>834</v>
      </c>
      <c r="S447" s="180"/>
      <c r="T447" s="180">
        <v>240</v>
      </c>
      <c r="U447" s="179"/>
      <c r="V447" s="170" t="s">
        <v>62</v>
      </c>
      <c r="W447" s="168"/>
      <c r="X447" s="168">
        <v>4</v>
      </c>
      <c r="Y447" s="167" t="s">
        <v>817</v>
      </c>
      <c r="Z447" s="169" t="s">
        <v>63</v>
      </c>
      <c r="AA447" s="166">
        <v>18</v>
      </c>
      <c r="AB447" s="166">
        <v>9</v>
      </c>
      <c r="AC447" s="165">
        <v>30</v>
      </c>
      <c r="AD447" s="172" t="s">
        <v>80</v>
      </c>
      <c r="AE447" s="172" t="s">
        <v>116</v>
      </c>
      <c r="AF447" s="165">
        <v>5.4</v>
      </c>
      <c r="AG447" s="172" t="s">
        <v>80</v>
      </c>
      <c r="AH447" s="172" t="s">
        <v>117</v>
      </c>
      <c r="AI447" s="165"/>
      <c r="AJ447" s="165"/>
      <c r="AK447" s="166">
        <v>77.5</v>
      </c>
      <c r="AL447" s="166" t="s">
        <v>81</v>
      </c>
      <c r="AM447" s="171" t="s">
        <v>118</v>
      </c>
      <c r="AN447" s="166">
        <v>16.5</v>
      </c>
      <c r="AO447" s="166" t="s">
        <v>81</v>
      </c>
      <c r="AP447" s="173" t="s">
        <v>117</v>
      </c>
      <c r="AQ447" s="166"/>
      <c r="AR447" s="166"/>
      <c r="AS447" s="165"/>
      <c r="AT447" s="165"/>
      <c r="AU447" s="165"/>
      <c r="AV447" s="165"/>
      <c r="AW447" s="165"/>
      <c r="AX447" s="165"/>
      <c r="AY447" s="165"/>
      <c r="AZ447" s="165"/>
      <c r="BA447" s="166"/>
      <c r="BB447" s="166"/>
      <c r="BC447" s="166"/>
      <c r="BD447" s="166"/>
      <c r="BE447" s="166"/>
      <c r="BF447" s="166"/>
      <c r="BG447" s="166"/>
      <c r="BH447" s="166"/>
      <c r="BI447" s="165"/>
      <c r="BJ447" s="165"/>
      <c r="BK447" s="165"/>
      <c r="BL447" s="165"/>
      <c r="BM447" s="165"/>
      <c r="BN447" s="165"/>
      <c r="BO447" s="165"/>
      <c r="BP447" s="165"/>
      <c r="BQ447" s="171" t="s">
        <v>238</v>
      </c>
      <c r="BR447" s="165" t="s">
        <v>835</v>
      </c>
      <c r="BS447" s="124">
        <v>226</v>
      </c>
      <c r="BT447" s="124" t="s">
        <v>668</v>
      </c>
    </row>
    <row r="448" spans="1:72" s="124" customFormat="1" ht="14.25" hidden="1" customHeight="1" x14ac:dyDescent="0.2">
      <c r="A448" s="205">
        <v>227</v>
      </c>
      <c r="B448" s="235" t="s">
        <v>830</v>
      </c>
      <c r="C448" s="236" t="s">
        <v>831</v>
      </c>
      <c r="D448" s="235" t="s">
        <v>225</v>
      </c>
      <c r="E448" s="125" t="s">
        <v>466</v>
      </c>
      <c r="F448" s="181" t="s">
        <v>55</v>
      </c>
      <c r="G448" s="156" t="s">
        <v>56</v>
      </c>
      <c r="H448" s="156" t="s">
        <v>832</v>
      </c>
      <c r="I448" s="181"/>
      <c r="J448" s="178">
        <v>0.25</v>
      </c>
      <c r="K448" s="182"/>
      <c r="L448" s="182" t="s">
        <v>58</v>
      </c>
      <c r="M448" s="178" t="s">
        <v>59</v>
      </c>
      <c r="N448" s="178">
        <v>146</v>
      </c>
      <c r="O448" s="178" t="s">
        <v>60</v>
      </c>
      <c r="P448" s="209" t="s">
        <v>819</v>
      </c>
      <c r="Q448" s="179" t="s">
        <v>833</v>
      </c>
      <c r="R448" s="179" t="s">
        <v>834</v>
      </c>
      <c r="S448" s="180"/>
      <c r="T448" s="180">
        <v>240</v>
      </c>
      <c r="U448" s="179"/>
      <c r="V448" s="170" t="s">
        <v>62</v>
      </c>
      <c r="W448" s="168"/>
      <c r="X448" s="168">
        <v>4</v>
      </c>
      <c r="Y448" s="167" t="s">
        <v>817</v>
      </c>
      <c r="Z448" s="169" t="s">
        <v>63</v>
      </c>
      <c r="AA448" s="166">
        <v>18</v>
      </c>
      <c r="AB448" s="166">
        <v>9</v>
      </c>
      <c r="AC448" s="165">
        <v>30</v>
      </c>
      <c r="AD448" s="172" t="s">
        <v>80</v>
      </c>
      <c r="AE448" s="172" t="s">
        <v>116</v>
      </c>
      <c r="AF448" s="165">
        <v>5.4</v>
      </c>
      <c r="AG448" s="172" t="s">
        <v>80</v>
      </c>
      <c r="AH448" s="172" t="s">
        <v>117</v>
      </c>
      <c r="AI448" s="165"/>
      <c r="AJ448" s="165"/>
      <c r="AK448" s="166">
        <v>77.5</v>
      </c>
      <c r="AL448" s="166" t="s">
        <v>81</v>
      </c>
      <c r="AM448" s="171" t="s">
        <v>118</v>
      </c>
      <c r="AN448" s="166">
        <v>16.5</v>
      </c>
      <c r="AO448" s="166" t="s">
        <v>81</v>
      </c>
      <c r="AP448" s="173" t="s">
        <v>117</v>
      </c>
      <c r="AQ448" s="166"/>
      <c r="AR448" s="166"/>
      <c r="AS448" s="165"/>
      <c r="AT448" s="165"/>
      <c r="AU448" s="165"/>
      <c r="AV448" s="165"/>
      <c r="AW448" s="165"/>
      <c r="AX448" s="165"/>
      <c r="AY448" s="165"/>
      <c r="AZ448" s="165"/>
      <c r="BA448" s="166"/>
      <c r="BB448" s="166"/>
      <c r="BC448" s="166"/>
      <c r="BD448" s="166"/>
      <c r="BE448" s="166"/>
      <c r="BF448" s="166"/>
      <c r="BG448" s="166"/>
      <c r="BH448" s="166"/>
      <c r="BI448" s="165"/>
      <c r="BJ448" s="165"/>
      <c r="BK448" s="165"/>
      <c r="BL448" s="165"/>
      <c r="BM448" s="165"/>
      <c r="BN448" s="165"/>
      <c r="BO448" s="165"/>
      <c r="BP448" s="165"/>
      <c r="BQ448" s="171" t="s">
        <v>238</v>
      </c>
      <c r="BR448" s="165" t="s">
        <v>835</v>
      </c>
      <c r="BS448" s="124">
        <v>227</v>
      </c>
      <c r="BT448" s="124" t="s">
        <v>668</v>
      </c>
    </row>
    <row r="449" spans="1:72" s="124" customFormat="1" ht="14.25" hidden="1" customHeight="1" x14ac:dyDescent="0.2">
      <c r="A449" s="205">
        <v>228</v>
      </c>
      <c r="B449" s="235" t="s">
        <v>830</v>
      </c>
      <c r="C449" s="236" t="s">
        <v>831</v>
      </c>
      <c r="D449" s="235" t="s">
        <v>220</v>
      </c>
      <c r="E449" s="125" t="s">
        <v>466</v>
      </c>
      <c r="F449" s="181" t="s">
        <v>55</v>
      </c>
      <c r="G449" s="156" t="s">
        <v>56</v>
      </c>
      <c r="H449" s="156" t="s">
        <v>832</v>
      </c>
      <c r="I449" s="181"/>
      <c r="J449" s="178">
        <v>0.25</v>
      </c>
      <c r="K449" s="182"/>
      <c r="L449" s="182" t="s">
        <v>58</v>
      </c>
      <c r="M449" s="178" t="s">
        <v>59</v>
      </c>
      <c r="N449" s="178">
        <v>0</v>
      </c>
      <c r="O449" s="178" t="s">
        <v>60</v>
      </c>
      <c r="P449" s="178" t="s">
        <v>79</v>
      </c>
      <c r="Q449" s="179" t="s">
        <v>833</v>
      </c>
      <c r="R449" s="179" t="s">
        <v>834</v>
      </c>
      <c r="S449" s="180"/>
      <c r="T449" s="180">
        <v>240</v>
      </c>
      <c r="U449" s="179"/>
      <c r="V449" s="170" t="s">
        <v>62</v>
      </c>
      <c r="W449" s="168"/>
      <c r="X449" s="168">
        <v>4</v>
      </c>
      <c r="Y449" s="167" t="s">
        <v>817</v>
      </c>
      <c r="Z449" s="169" t="s">
        <v>63</v>
      </c>
      <c r="AA449" s="166">
        <v>18</v>
      </c>
      <c r="AB449" s="166">
        <v>9</v>
      </c>
      <c r="AC449" s="165">
        <v>30</v>
      </c>
      <c r="AD449" s="172" t="s">
        <v>80</v>
      </c>
      <c r="AE449" s="172" t="s">
        <v>116</v>
      </c>
      <c r="AF449" s="165">
        <v>5.4</v>
      </c>
      <c r="AG449" s="172" t="s">
        <v>80</v>
      </c>
      <c r="AH449" s="172" t="s">
        <v>117</v>
      </c>
      <c r="AI449" s="165"/>
      <c r="AJ449" s="165"/>
      <c r="AK449" s="166">
        <v>77.5</v>
      </c>
      <c r="AL449" s="166" t="s">
        <v>81</v>
      </c>
      <c r="AM449" s="171" t="s">
        <v>118</v>
      </c>
      <c r="AN449" s="166">
        <v>16.5</v>
      </c>
      <c r="AO449" s="166" t="s">
        <v>81</v>
      </c>
      <c r="AP449" s="173" t="s">
        <v>117</v>
      </c>
      <c r="AQ449" s="166"/>
      <c r="AR449" s="166"/>
      <c r="AS449" s="165"/>
      <c r="AT449" s="165"/>
      <c r="AU449" s="165"/>
      <c r="AV449" s="165"/>
      <c r="AW449" s="165"/>
      <c r="AX449" s="165"/>
      <c r="AY449" s="165"/>
      <c r="AZ449" s="165"/>
      <c r="BA449" s="166"/>
      <c r="BB449" s="166"/>
      <c r="BC449" s="166"/>
      <c r="BD449" s="166"/>
      <c r="BE449" s="166"/>
      <c r="BF449" s="166"/>
      <c r="BG449" s="166"/>
      <c r="BH449" s="166"/>
      <c r="BI449" s="165"/>
      <c r="BJ449" s="165"/>
      <c r="BK449" s="165"/>
      <c r="BL449" s="165"/>
      <c r="BM449" s="165"/>
      <c r="BN449" s="165"/>
      <c r="BO449" s="165"/>
      <c r="BP449" s="165"/>
      <c r="BQ449" s="171" t="s">
        <v>238</v>
      </c>
      <c r="BR449" s="165" t="s">
        <v>835</v>
      </c>
      <c r="BS449" s="124">
        <v>228</v>
      </c>
      <c r="BT449" s="124" t="s">
        <v>668</v>
      </c>
    </row>
    <row r="450" spans="1:72" s="124" customFormat="1" ht="14.25" hidden="1" customHeight="1" x14ac:dyDescent="0.2">
      <c r="A450" s="205">
        <v>229</v>
      </c>
      <c r="B450" s="235" t="s">
        <v>830</v>
      </c>
      <c r="C450" s="236" t="s">
        <v>831</v>
      </c>
      <c r="D450" s="235" t="s">
        <v>821</v>
      </c>
      <c r="E450" s="125" t="s">
        <v>466</v>
      </c>
      <c r="F450" s="181" t="s">
        <v>55</v>
      </c>
      <c r="G450" s="156" t="s">
        <v>56</v>
      </c>
      <c r="H450" s="156" t="s">
        <v>832</v>
      </c>
      <c r="I450" s="181"/>
      <c r="J450" s="178">
        <v>0.25</v>
      </c>
      <c r="K450" s="182"/>
      <c r="L450" s="182" t="s">
        <v>58</v>
      </c>
      <c r="M450" s="178" t="s">
        <v>59</v>
      </c>
      <c r="N450" s="178">
        <v>146</v>
      </c>
      <c r="O450" s="178" t="s">
        <v>60</v>
      </c>
      <c r="P450" s="209" t="s">
        <v>819</v>
      </c>
      <c r="Q450" s="179" t="s">
        <v>833</v>
      </c>
      <c r="R450" s="179" t="s">
        <v>834</v>
      </c>
      <c r="S450" s="180"/>
      <c r="T450" s="180">
        <v>240</v>
      </c>
      <c r="U450" s="179"/>
      <c r="V450" s="170" t="s">
        <v>62</v>
      </c>
      <c r="W450" s="168"/>
      <c r="X450" s="168">
        <v>4</v>
      </c>
      <c r="Y450" s="167" t="s">
        <v>817</v>
      </c>
      <c r="Z450" s="169" t="s">
        <v>63</v>
      </c>
      <c r="AA450" s="166">
        <v>18</v>
      </c>
      <c r="AB450" s="166">
        <v>9</v>
      </c>
      <c r="AC450" s="165">
        <v>30</v>
      </c>
      <c r="AD450" s="172" t="s">
        <v>80</v>
      </c>
      <c r="AE450" s="172" t="s">
        <v>116</v>
      </c>
      <c r="AF450" s="165">
        <v>5.4</v>
      </c>
      <c r="AG450" s="172" t="s">
        <v>80</v>
      </c>
      <c r="AH450" s="172" t="s">
        <v>117</v>
      </c>
      <c r="AI450" s="165"/>
      <c r="AJ450" s="165"/>
      <c r="AK450" s="166">
        <v>77.5</v>
      </c>
      <c r="AL450" s="166" t="s">
        <v>81</v>
      </c>
      <c r="AM450" s="171" t="s">
        <v>118</v>
      </c>
      <c r="AN450" s="166">
        <v>16.5</v>
      </c>
      <c r="AO450" s="166" t="s">
        <v>81</v>
      </c>
      <c r="AP450" s="173" t="s">
        <v>117</v>
      </c>
      <c r="AQ450" s="166"/>
      <c r="AR450" s="166"/>
      <c r="AS450" s="165"/>
      <c r="AT450" s="165"/>
      <c r="AU450" s="165"/>
      <c r="AV450" s="165"/>
      <c r="AW450" s="165"/>
      <c r="AX450" s="165"/>
      <c r="AY450" s="165"/>
      <c r="AZ450" s="165"/>
      <c r="BA450" s="166"/>
      <c r="BB450" s="166"/>
      <c r="BC450" s="166"/>
      <c r="BD450" s="166"/>
      <c r="BE450" s="166"/>
      <c r="BF450" s="166"/>
      <c r="BG450" s="166"/>
      <c r="BH450" s="166"/>
      <c r="BI450" s="165"/>
      <c r="BJ450" s="165"/>
      <c r="BK450" s="165"/>
      <c r="BL450" s="165"/>
      <c r="BM450" s="165"/>
      <c r="BN450" s="165"/>
      <c r="BO450" s="165"/>
      <c r="BP450" s="165"/>
      <c r="BQ450" s="171" t="s">
        <v>238</v>
      </c>
      <c r="BR450" s="165" t="s">
        <v>835</v>
      </c>
      <c r="BS450" s="124">
        <v>229</v>
      </c>
      <c r="BT450" s="124" t="s">
        <v>668</v>
      </c>
    </row>
    <row r="451" spans="1:72" s="124" customFormat="1" ht="14.25" hidden="1" customHeight="1" x14ac:dyDescent="0.2">
      <c r="A451" s="205">
        <v>261</v>
      </c>
      <c r="B451" s="233" t="s">
        <v>836</v>
      </c>
      <c r="C451" s="236" t="s">
        <v>837</v>
      </c>
      <c r="D451" s="233" t="s">
        <v>1500</v>
      </c>
      <c r="E451" s="125" t="s">
        <v>102</v>
      </c>
      <c r="F451" s="181" t="s">
        <v>103</v>
      </c>
      <c r="G451" s="181" t="s">
        <v>56</v>
      </c>
      <c r="H451" s="156" t="s">
        <v>838</v>
      </c>
      <c r="I451" s="181"/>
      <c r="J451" s="209">
        <v>1E-3</v>
      </c>
      <c r="K451" s="251"/>
      <c r="L451" s="210" t="s">
        <v>58</v>
      </c>
      <c r="M451" s="209" t="s">
        <v>78</v>
      </c>
      <c r="N451" s="209">
        <v>0</v>
      </c>
      <c r="O451" s="209" t="s">
        <v>60</v>
      </c>
      <c r="P451" s="209" t="s">
        <v>79</v>
      </c>
      <c r="Q451" s="211"/>
      <c r="R451" s="211"/>
      <c r="S451" s="212">
        <v>5</v>
      </c>
      <c r="T451" s="211"/>
      <c r="U451" s="211" t="s">
        <v>839</v>
      </c>
      <c r="V451" s="170" t="s">
        <v>62</v>
      </c>
      <c r="W451" s="129"/>
      <c r="X451" s="129"/>
      <c r="Y451" s="170" t="s">
        <v>817</v>
      </c>
      <c r="Z451" s="169" t="s">
        <v>63</v>
      </c>
      <c r="AA451" s="171">
        <v>16</v>
      </c>
      <c r="AB451" s="171">
        <v>4</v>
      </c>
      <c r="AC451" s="172"/>
      <c r="AD451" s="172" t="s">
        <v>80</v>
      </c>
      <c r="AE451" s="172"/>
      <c r="AF451" s="172"/>
      <c r="AG451" s="172"/>
      <c r="AH451" s="172"/>
      <c r="AI451" s="172">
        <v>18</v>
      </c>
      <c r="AJ451" s="172">
        <v>60</v>
      </c>
      <c r="AK451" s="171"/>
      <c r="AL451" s="171"/>
      <c r="AM451" s="171"/>
      <c r="AN451" s="171"/>
      <c r="AO451" s="171"/>
      <c r="AP451" s="171"/>
      <c r="AQ451" s="171"/>
      <c r="AR451" s="171"/>
      <c r="AS451" s="172"/>
      <c r="AT451" s="172"/>
      <c r="AU451" s="172"/>
      <c r="AV451" s="172"/>
      <c r="AW451" s="172"/>
      <c r="AX451" s="172"/>
      <c r="AY451" s="172"/>
      <c r="AZ451" s="172"/>
      <c r="BA451" s="171"/>
      <c r="BB451" s="171"/>
      <c r="BC451" s="171"/>
      <c r="BD451" s="171"/>
      <c r="BE451" s="171"/>
      <c r="BF451" s="171"/>
      <c r="BG451" s="171"/>
      <c r="BH451" s="171"/>
      <c r="BI451" s="172"/>
      <c r="BJ451" s="172"/>
      <c r="BK451" s="172"/>
      <c r="BL451" s="172"/>
      <c r="BM451" s="172"/>
      <c r="BN451" s="172"/>
      <c r="BO451" s="172"/>
      <c r="BP451" s="172"/>
      <c r="BQ451" s="171" t="s">
        <v>840</v>
      </c>
      <c r="BR451" s="172" t="s">
        <v>841</v>
      </c>
      <c r="BS451" s="124">
        <v>261</v>
      </c>
      <c r="BT451" s="124" t="s">
        <v>668</v>
      </c>
    </row>
    <row r="452" spans="1:72" s="124" customFormat="1" ht="14.25" hidden="1" customHeight="1" x14ac:dyDescent="0.2">
      <c r="A452" s="205">
        <v>262</v>
      </c>
      <c r="B452" s="233" t="s">
        <v>836</v>
      </c>
      <c r="C452" s="236" t="s">
        <v>837</v>
      </c>
      <c r="D452" s="233" t="s">
        <v>842</v>
      </c>
      <c r="E452" s="125" t="s">
        <v>102</v>
      </c>
      <c r="F452" s="181" t="s">
        <v>103</v>
      </c>
      <c r="G452" s="181" t="s">
        <v>56</v>
      </c>
      <c r="H452" s="156" t="s">
        <v>838</v>
      </c>
      <c r="I452" s="181"/>
      <c r="J452" s="209">
        <v>1</v>
      </c>
      <c r="K452" s="210"/>
      <c r="L452" s="210" t="s">
        <v>58</v>
      </c>
      <c r="M452" s="209" t="s">
        <v>78</v>
      </c>
      <c r="N452" s="209">
        <v>0</v>
      </c>
      <c r="O452" s="209" t="s">
        <v>60</v>
      </c>
      <c r="P452" s="209" t="s">
        <v>79</v>
      </c>
      <c r="Q452" s="211"/>
      <c r="R452" s="211"/>
      <c r="S452" s="212">
        <v>5</v>
      </c>
      <c r="T452" s="211"/>
      <c r="U452" s="211" t="s">
        <v>843</v>
      </c>
      <c r="V452" s="170" t="s">
        <v>62</v>
      </c>
      <c r="W452" s="129"/>
      <c r="X452" s="129"/>
      <c r="Y452" s="170" t="s">
        <v>817</v>
      </c>
      <c r="Z452" s="169" t="s">
        <v>63</v>
      </c>
      <c r="AA452" s="171">
        <v>16</v>
      </c>
      <c r="AB452" s="171">
        <v>4</v>
      </c>
      <c r="AC452" s="172"/>
      <c r="AD452" s="172" t="s">
        <v>80</v>
      </c>
      <c r="AE452" s="172"/>
      <c r="AF452" s="172"/>
      <c r="AG452" s="172"/>
      <c r="AH452" s="172"/>
      <c r="AI452" s="172">
        <v>18</v>
      </c>
      <c r="AJ452" s="172">
        <v>60</v>
      </c>
      <c r="AK452" s="171"/>
      <c r="AL452" s="171"/>
      <c r="AM452" s="171"/>
      <c r="AN452" s="171"/>
      <c r="AO452" s="171"/>
      <c r="AP452" s="171"/>
      <c r="AQ452" s="171"/>
      <c r="AR452" s="171"/>
      <c r="AS452" s="172"/>
      <c r="AT452" s="172"/>
      <c r="AU452" s="172"/>
      <c r="AV452" s="172"/>
      <c r="AW452" s="172"/>
      <c r="AX452" s="172"/>
      <c r="AY452" s="172"/>
      <c r="AZ452" s="172"/>
      <c r="BA452" s="171"/>
      <c r="BB452" s="171"/>
      <c r="BC452" s="171"/>
      <c r="BD452" s="171"/>
      <c r="BE452" s="171"/>
      <c r="BF452" s="171"/>
      <c r="BG452" s="171"/>
      <c r="BH452" s="171"/>
      <c r="BI452" s="172"/>
      <c r="BJ452" s="172"/>
      <c r="BK452" s="172"/>
      <c r="BL452" s="172"/>
      <c r="BM452" s="172"/>
      <c r="BN452" s="172"/>
      <c r="BO452" s="172"/>
      <c r="BP452" s="172"/>
      <c r="BQ452" s="171" t="s">
        <v>840</v>
      </c>
      <c r="BR452" s="172" t="s">
        <v>841</v>
      </c>
      <c r="BS452" s="124">
        <v>262</v>
      </c>
      <c r="BT452" s="124" t="s">
        <v>668</v>
      </c>
    </row>
    <row r="453" spans="1:72" s="124" customFormat="1" ht="14.25" hidden="1" customHeight="1" x14ac:dyDescent="0.2">
      <c r="A453" s="205">
        <v>263</v>
      </c>
      <c r="B453" s="233" t="s">
        <v>836</v>
      </c>
      <c r="C453" s="236" t="s">
        <v>837</v>
      </c>
      <c r="D453" s="233" t="s">
        <v>1501</v>
      </c>
      <c r="E453" s="125" t="s">
        <v>102</v>
      </c>
      <c r="F453" s="181" t="s">
        <v>103</v>
      </c>
      <c r="G453" s="181" t="s">
        <v>56</v>
      </c>
      <c r="H453" s="156" t="s">
        <v>838</v>
      </c>
      <c r="I453" s="181"/>
      <c r="J453" s="209">
        <v>3.0000000000000001E-3</v>
      </c>
      <c r="K453" s="251"/>
      <c r="L453" s="210" t="s">
        <v>58</v>
      </c>
      <c r="M453" s="209" t="s">
        <v>59</v>
      </c>
      <c r="N453" s="209">
        <v>0</v>
      </c>
      <c r="O453" s="209" t="s">
        <v>60</v>
      </c>
      <c r="P453" s="209" t="s">
        <v>79</v>
      </c>
      <c r="Q453" s="211"/>
      <c r="R453" s="211" t="s">
        <v>844</v>
      </c>
      <c r="S453" s="212"/>
      <c r="T453" s="211"/>
      <c r="U453" s="211" t="s">
        <v>845</v>
      </c>
      <c r="V453" s="170" t="s">
        <v>62</v>
      </c>
      <c r="W453" s="129"/>
      <c r="X453" s="129"/>
      <c r="Y453" s="170" t="s">
        <v>817</v>
      </c>
      <c r="Z453" s="169" t="s">
        <v>63</v>
      </c>
      <c r="AA453" s="171">
        <v>16</v>
      </c>
      <c r="AB453" s="171">
        <v>4</v>
      </c>
      <c r="AC453" s="172"/>
      <c r="AD453" s="172" t="s">
        <v>80</v>
      </c>
      <c r="AE453" s="172"/>
      <c r="AF453" s="172"/>
      <c r="AG453" s="172"/>
      <c r="AH453" s="172"/>
      <c r="AI453" s="172">
        <v>18</v>
      </c>
      <c r="AJ453" s="172">
        <v>60</v>
      </c>
      <c r="AK453" s="171"/>
      <c r="AL453" s="171"/>
      <c r="AM453" s="171"/>
      <c r="AN453" s="171"/>
      <c r="AO453" s="171"/>
      <c r="AP453" s="171"/>
      <c r="AQ453" s="171"/>
      <c r="AR453" s="171"/>
      <c r="AS453" s="172"/>
      <c r="AT453" s="172"/>
      <c r="AU453" s="172"/>
      <c r="AV453" s="172"/>
      <c r="AW453" s="172"/>
      <c r="AX453" s="172"/>
      <c r="AY453" s="172"/>
      <c r="AZ453" s="172"/>
      <c r="BA453" s="171"/>
      <c r="BB453" s="171"/>
      <c r="BC453" s="171"/>
      <c r="BD453" s="171"/>
      <c r="BE453" s="171"/>
      <c r="BF453" s="171"/>
      <c r="BG453" s="171"/>
      <c r="BH453" s="171"/>
      <c r="BI453" s="172"/>
      <c r="BJ453" s="172"/>
      <c r="BK453" s="172"/>
      <c r="BL453" s="172"/>
      <c r="BM453" s="172"/>
      <c r="BN453" s="172"/>
      <c r="BO453" s="172"/>
      <c r="BP453" s="172"/>
      <c r="BQ453" s="171" t="s">
        <v>840</v>
      </c>
      <c r="BR453" s="172" t="s">
        <v>841</v>
      </c>
      <c r="BS453" s="124">
        <v>263</v>
      </c>
      <c r="BT453" s="124" t="s">
        <v>668</v>
      </c>
    </row>
    <row r="454" spans="1:72" s="124" customFormat="1" ht="14.25" hidden="1" customHeight="1" x14ac:dyDescent="0.2">
      <c r="A454" s="205">
        <v>264</v>
      </c>
      <c r="B454" s="233" t="s">
        <v>836</v>
      </c>
      <c r="C454" s="236" t="s">
        <v>837</v>
      </c>
      <c r="D454" s="233" t="s">
        <v>846</v>
      </c>
      <c r="E454" s="125" t="s">
        <v>102</v>
      </c>
      <c r="F454" s="181" t="s">
        <v>103</v>
      </c>
      <c r="G454" s="181" t="s">
        <v>56</v>
      </c>
      <c r="H454" s="156" t="s">
        <v>838</v>
      </c>
      <c r="I454" s="181"/>
      <c r="J454" s="209">
        <v>3</v>
      </c>
      <c r="K454" s="210"/>
      <c r="L454" s="210" t="s">
        <v>58</v>
      </c>
      <c r="M454" s="209" t="s">
        <v>59</v>
      </c>
      <c r="N454" s="209">
        <v>0</v>
      </c>
      <c r="O454" s="209" t="s">
        <v>60</v>
      </c>
      <c r="P454" s="209" t="s">
        <v>79</v>
      </c>
      <c r="Q454" s="211"/>
      <c r="R454" s="211" t="s">
        <v>844</v>
      </c>
      <c r="S454" s="212"/>
      <c r="T454" s="211"/>
      <c r="U454" s="211" t="s">
        <v>847</v>
      </c>
      <c r="V454" s="170" t="s">
        <v>62</v>
      </c>
      <c r="W454" s="129"/>
      <c r="X454" s="129"/>
      <c r="Y454" s="170" t="s">
        <v>817</v>
      </c>
      <c r="Z454" s="169" t="s">
        <v>63</v>
      </c>
      <c r="AA454" s="171">
        <v>16</v>
      </c>
      <c r="AB454" s="171">
        <v>4</v>
      </c>
      <c r="AC454" s="172"/>
      <c r="AD454" s="172" t="s">
        <v>80</v>
      </c>
      <c r="AE454" s="172"/>
      <c r="AF454" s="172"/>
      <c r="AG454" s="172"/>
      <c r="AH454" s="172"/>
      <c r="AI454" s="172">
        <v>18</v>
      </c>
      <c r="AJ454" s="172">
        <v>60</v>
      </c>
      <c r="AK454" s="171"/>
      <c r="AL454" s="171"/>
      <c r="AM454" s="171"/>
      <c r="AN454" s="171"/>
      <c r="AO454" s="171"/>
      <c r="AP454" s="171"/>
      <c r="AQ454" s="171"/>
      <c r="AR454" s="171"/>
      <c r="AS454" s="172"/>
      <c r="AT454" s="172"/>
      <c r="AU454" s="172"/>
      <c r="AV454" s="172"/>
      <c r="AW454" s="172"/>
      <c r="AX454" s="172"/>
      <c r="AY454" s="172"/>
      <c r="AZ454" s="172"/>
      <c r="BA454" s="171"/>
      <c r="BB454" s="171"/>
      <c r="BC454" s="171"/>
      <c r="BD454" s="171"/>
      <c r="BE454" s="171"/>
      <c r="BF454" s="171"/>
      <c r="BG454" s="171"/>
      <c r="BH454" s="171"/>
      <c r="BI454" s="172"/>
      <c r="BJ454" s="172"/>
      <c r="BK454" s="172"/>
      <c r="BL454" s="172"/>
      <c r="BM454" s="172"/>
      <c r="BN454" s="172"/>
      <c r="BO454" s="172"/>
      <c r="BP454" s="172"/>
      <c r="BQ454" s="171" t="s">
        <v>840</v>
      </c>
      <c r="BR454" s="172" t="s">
        <v>841</v>
      </c>
      <c r="BS454" s="124">
        <v>264</v>
      </c>
      <c r="BT454" s="124" t="s">
        <v>668</v>
      </c>
    </row>
    <row r="455" spans="1:72" s="124" customFormat="1" ht="14.25" hidden="1" customHeight="1" x14ac:dyDescent="0.2">
      <c r="A455" s="205">
        <v>270</v>
      </c>
      <c r="B455" s="233" t="s">
        <v>848</v>
      </c>
      <c r="C455" s="237" t="s">
        <v>849</v>
      </c>
      <c r="D455" s="235" t="s">
        <v>768</v>
      </c>
      <c r="E455" s="125" t="s">
        <v>466</v>
      </c>
      <c r="F455" s="181" t="s">
        <v>55</v>
      </c>
      <c r="G455" s="181" t="s">
        <v>56</v>
      </c>
      <c r="H455" s="181" t="s">
        <v>619</v>
      </c>
      <c r="I455" s="181"/>
      <c r="J455" s="178">
        <v>0.5</v>
      </c>
      <c r="K455" s="182"/>
      <c r="L455" s="182" t="s">
        <v>58</v>
      </c>
      <c r="M455" s="178" t="s">
        <v>59</v>
      </c>
      <c r="N455" s="178">
        <v>0</v>
      </c>
      <c r="O455" s="178"/>
      <c r="P455" s="178"/>
      <c r="Q455" s="179"/>
      <c r="R455" s="179" t="s">
        <v>1504</v>
      </c>
      <c r="S455" s="180"/>
      <c r="T455" s="179">
        <v>150</v>
      </c>
      <c r="U455" s="179"/>
      <c r="V455" s="167"/>
      <c r="W455" s="168"/>
      <c r="X455" s="168">
        <v>4</v>
      </c>
      <c r="Y455" s="167"/>
      <c r="Z455" s="169" t="s">
        <v>1505</v>
      </c>
      <c r="AA455" s="166">
        <v>10</v>
      </c>
      <c r="AB455" s="166">
        <v>9</v>
      </c>
      <c r="AC455" s="165">
        <f>AVERAGE(19,25,23,23,23,24,22,20,21,20)</f>
        <v>22</v>
      </c>
      <c r="AD455" s="165" t="s">
        <v>1506</v>
      </c>
      <c r="AE455" s="165" t="s">
        <v>389</v>
      </c>
      <c r="AF455" s="165">
        <f>_xlfn.STDEV.S(19,25,23,23,23,24,22,20,21,20)</f>
        <v>1.9436506316151001</v>
      </c>
      <c r="AG455" s="165" t="s">
        <v>80</v>
      </c>
      <c r="AH455" s="165" t="s">
        <v>117</v>
      </c>
      <c r="AI455" s="165">
        <v>19</v>
      </c>
      <c r="AJ455" s="165">
        <v>25</v>
      </c>
      <c r="AK455" s="166">
        <f>AVERAGE(56,62,54,60,60,80,62,57,53,58)</f>
        <v>60.2</v>
      </c>
      <c r="AL455" s="166" t="s">
        <v>81</v>
      </c>
      <c r="AM455" s="166" t="s">
        <v>389</v>
      </c>
      <c r="AN455" s="166">
        <f>_xlfn.STDEV.S(56,62,54,60,60,80,62,57,53,58)</f>
        <v>7.612854625930761</v>
      </c>
      <c r="AO455" s="166" t="s">
        <v>81</v>
      </c>
      <c r="AP455" s="166" t="s">
        <v>117</v>
      </c>
      <c r="AQ455" s="166">
        <v>53</v>
      </c>
      <c r="AR455" s="166">
        <v>80</v>
      </c>
      <c r="AS455" s="165"/>
      <c r="AT455" s="165"/>
      <c r="AU455" s="165"/>
      <c r="AV455" s="165"/>
      <c r="AW455" s="165"/>
      <c r="AX455" s="165"/>
      <c r="AY455" s="165"/>
      <c r="AZ455" s="165"/>
      <c r="BA455" s="166"/>
      <c r="BB455" s="166"/>
      <c r="BC455" s="166"/>
      <c r="BD455" s="166"/>
      <c r="BE455" s="166"/>
      <c r="BF455" s="166"/>
      <c r="BG455" s="166"/>
      <c r="BH455" s="166"/>
      <c r="BI455" s="165"/>
      <c r="BJ455" s="165"/>
      <c r="BK455" s="165"/>
      <c r="BL455" s="165"/>
      <c r="BM455" s="165"/>
      <c r="BN455" s="165"/>
      <c r="BO455" s="165"/>
      <c r="BP455" s="165"/>
      <c r="BQ455" s="166" t="s">
        <v>408</v>
      </c>
      <c r="BR455" s="165"/>
      <c r="BS455" s="124">
        <v>270</v>
      </c>
    </row>
    <row r="456" spans="1:72" s="124" customFormat="1" ht="14.25" hidden="1" customHeight="1" x14ac:dyDescent="0.2">
      <c r="A456" s="205">
        <v>271</v>
      </c>
      <c r="B456" s="233" t="s">
        <v>848</v>
      </c>
      <c r="C456" s="237" t="s">
        <v>849</v>
      </c>
      <c r="D456" s="235" t="s">
        <v>850</v>
      </c>
      <c r="E456" s="125" t="s">
        <v>466</v>
      </c>
      <c r="F456" s="181" t="s">
        <v>55</v>
      </c>
      <c r="G456" s="181" t="s">
        <v>56</v>
      </c>
      <c r="H456" s="181" t="s">
        <v>619</v>
      </c>
      <c r="I456" s="181"/>
      <c r="J456" s="178">
        <v>0.5</v>
      </c>
      <c r="K456" s="182"/>
      <c r="L456" s="182" t="s">
        <v>58</v>
      </c>
      <c r="M456" s="178" t="s">
        <v>59</v>
      </c>
      <c r="N456" s="178">
        <v>49</v>
      </c>
      <c r="O456" s="178"/>
      <c r="P456" s="178"/>
      <c r="Q456" s="179"/>
      <c r="R456" s="179" t="s">
        <v>1504</v>
      </c>
      <c r="S456" s="180"/>
      <c r="T456" s="179">
        <v>150</v>
      </c>
      <c r="U456" s="179"/>
      <c r="V456" s="167"/>
      <c r="W456" s="168"/>
      <c r="X456" s="168">
        <v>4</v>
      </c>
      <c r="Y456" s="167"/>
      <c r="Z456" s="169" t="s">
        <v>1505</v>
      </c>
      <c r="AA456" s="166">
        <v>10</v>
      </c>
      <c r="AB456" s="166">
        <v>9</v>
      </c>
      <c r="AC456" s="165">
        <f t="shared" ref="AC456:AC459" si="4">AVERAGE(19,25,23,23,23,24,22,20,21,20)</f>
        <v>22</v>
      </c>
      <c r="AD456" s="165" t="s">
        <v>1506</v>
      </c>
      <c r="AE456" s="165" t="s">
        <v>389</v>
      </c>
      <c r="AF456" s="165">
        <f t="shared" ref="AF456:AF459" si="5">_xlfn.STDEV.S(19,25,23,23,23,24,22,20,21,20)</f>
        <v>1.9436506316151001</v>
      </c>
      <c r="AG456" s="165" t="s">
        <v>80</v>
      </c>
      <c r="AH456" s="165" t="s">
        <v>117</v>
      </c>
      <c r="AI456" s="165">
        <v>19</v>
      </c>
      <c r="AJ456" s="165">
        <v>25</v>
      </c>
      <c r="AK456" s="166">
        <f t="shared" ref="AK456:AK459" si="6">AVERAGE(56,62,54,60,60,80,62,57,53,58)</f>
        <v>60.2</v>
      </c>
      <c r="AL456" s="166" t="s">
        <v>81</v>
      </c>
      <c r="AM456" s="166" t="s">
        <v>389</v>
      </c>
      <c r="AN456" s="166">
        <f t="shared" ref="AN456:AN459" si="7">_xlfn.STDEV.S(56,62,54,60,60,80,62,57,53,58)</f>
        <v>7.612854625930761</v>
      </c>
      <c r="AO456" s="166" t="s">
        <v>81</v>
      </c>
      <c r="AP456" s="166" t="s">
        <v>117</v>
      </c>
      <c r="AQ456" s="166">
        <v>53</v>
      </c>
      <c r="AR456" s="166">
        <v>80</v>
      </c>
      <c r="AS456" s="165"/>
      <c r="AT456" s="165"/>
      <c r="AU456" s="165"/>
      <c r="AV456" s="165"/>
      <c r="AW456" s="165"/>
      <c r="AX456" s="165"/>
      <c r="AY456" s="165"/>
      <c r="AZ456" s="165"/>
      <c r="BA456" s="166"/>
      <c r="BB456" s="166"/>
      <c r="BC456" s="166"/>
      <c r="BD456" s="166"/>
      <c r="BE456" s="166"/>
      <c r="BF456" s="166"/>
      <c r="BG456" s="166"/>
      <c r="BH456" s="166"/>
      <c r="BI456" s="165"/>
      <c r="BJ456" s="165"/>
      <c r="BK456" s="165"/>
      <c r="BL456" s="165"/>
      <c r="BM456" s="165"/>
      <c r="BN456" s="165"/>
      <c r="BO456" s="165"/>
      <c r="BP456" s="165"/>
      <c r="BQ456" s="166" t="s">
        <v>408</v>
      </c>
      <c r="BR456" s="165"/>
      <c r="BS456" s="124">
        <v>271</v>
      </c>
    </row>
    <row r="457" spans="1:72" s="124" customFormat="1" ht="12.75" hidden="1" customHeight="1" x14ac:dyDescent="0.2">
      <c r="A457" s="205">
        <v>272</v>
      </c>
      <c r="B457" s="233" t="s">
        <v>848</v>
      </c>
      <c r="C457" s="237" t="s">
        <v>849</v>
      </c>
      <c r="D457" s="235" t="s">
        <v>850</v>
      </c>
      <c r="E457" s="125" t="s">
        <v>149</v>
      </c>
      <c r="F457" s="181" t="s">
        <v>103</v>
      </c>
      <c r="G457" s="181" t="s">
        <v>56</v>
      </c>
      <c r="H457" s="181" t="s">
        <v>624</v>
      </c>
      <c r="I457" s="181"/>
      <c r="J457" s="178">
        <v>200</v>
      </c>
      <c r="K457" s="182"/>
      <c r="L457" s="182" t="s">
        <v>58</v>
      </c>
      <c r="M457" s="178" t="s">
        <v>59</v>
      </c>
      <c r="N457" s="178" t="s">
        <v>186</v>
      </c>
      <c r="O457" s="178"/>
      <c r="P457" s="178"/>
      <c r="Q457" s="179"/>
      <c r="R457" s="179" t="s">
        <v>1507</v>
      </c>
      <c r="S457" s="180"/>
      <c r="T457" s="179"/>
      <c r="U457" s="179"/>
      <c r="V457" s="167"/>
      <c r="W457" s="168"/>
      <c r="X457" s="168"/>
      <c r="Y457" s="167"/>
      <c r="Z457" s="169" t="s">
        <v>1505</v>
      </c>
      <c r="AA457" s="166">
        <v>10</v>
      </c>
      <c r="AB457" s="166">
        <v>9</v>
      </c>
      <c r="AC457" s="165">
        <f t="shared" si="4"/>
        <v>22</v>
      </c>
      <c r="AD457" s="165" t="s">
        <v>1506</v>
      </c>
      <c r="AE457" s="165" t="s">
        <v>389</v>
      </c>
      <c r="AF457" s="165">
        <f t="shared" si="5"/>
        <v>1.9436506316151001</v>
      </c>
      <c r="AG457" s="165" t="s">
        <v>80</v>
      </c>
      <c r="AH457" s="165" t="s">
        <v>117</v>
      </c>
      <c r="AI457" s="165">
        <v>19</v>
      </c>
      <c r="AJ457" s="165">
        <v>25</v>
      </c>
      <c r="AK457" s="166">
        <f t="shared" si="6"/>
        <v>60.2</v>
      </c>
      <c r="AL457" s="166" t="s">
        <v>81</v>
      </c>
      <c r="AM457" s="166" t="s">
        <v>389</v>
      </c>
      <c r="AN457" s="166">
        <f t="shared" si="7"/>
        <v>7.612854625930761</v>
      </c>
      <c r="AO457" s="166" t="s">
        <v>81</v>
      </c>
      <c r="AP457" s="166" t="s">
        <v>117</v>
      </c>
      <c r="AQ457" s="166">
        <v>53</v>
      </c>
      <c r="AR457" s="166">
        <v>80</v>
      </c>
      <c r="AS457" s="165"/>
      <c r="AT457" s="165"/>
      <c r="AU457" s="165"/>
      <c r="AV457" s="165"/>
      <c r="AW457" s="165"/>
      <c r="AX457" s="165"/>
      <c r="AY457" s="165"/>
      <c r="AZ457" s="165"/>
      <c r="BA457" s="166"/>
      <c r="BB457" s="166"/>
      <c r="BC457" s="166"/>
      <c r="BD457" s="166"/>
      <c r="BE457" s="166"/>
      <c r="BF457" s="166"/>
      <c r="BG457" s="166"/>
      <c r="BH457" s="166"/>
      <c r="BI457" s="165"/>
      <c r="BJ457" s="165"/>
      <c r="BK457" s="165"/>
      <c r="BL457" s="165"/>
      <c r="BM457" s="165"/>
      <c r="BN457" s="165"/>
      <c r="BO457" s="165"/>
      <c r="BP457" s="165"/>
      <c r="BQ457" s="166" t="s">
        <v>408</v>
      </c>
      <c r="BR457" s="165"/>
      <c r="BS457" s="124">
        <v>272</v>
      </c>
    </row>
    <row r="458" spans="1:72" s="124" customFormat="1" ht="14.25" hidden="1" customHeight="1" x14ac:dyDescent="0.2">
      <c r="A458" s="205">
        <v>273</v>
      </c>
      <c r="B458" s="233" t="s">
        <v>848</v>
      </c>
      <c r="C458" s="237" t="s">
        <v>849</v>
      </c>
      <c r="D458" s="235" t="s">
        <v>768</v>
      </c>
      <c r="E458" s="125" t="s">
        <v>466</v>
      </c>
      <c r="F458" s="181" t="s">
        <v>71</v>
      </c>
      <c r="G458" s="181" t="s">
        <v>56</v>
      </c>
      <c r="H458" s="181" t="s">
        <v>263</v>
      </c>
      <c r="I458" s="181"/>
      <c r="J458" s="178">
        <v>0.5</v>
      </c>
      <c r="K458" s="182"/>
      <c r="L458" s="182" t="s">
        <v>58</v>
      </c>
      <c r="M458" s="178" t="s">
        <v>59</v>
      </c>
      <c r="N458" s="178">
        <v>0</v>
      </c>
      <c r="O458" s="178"/>
      <c r="P458" s="178"/>
      <c r="Q458" s="179"/>
      <c r="R458" s="179" t="s">
        <v>1504</v>
      </c>
      <c r="S458" s="180"/>
      <c r="T458" s="179">
        <v>150</v>
      </c>
      <c r="U458" s="179"/>
      <c r="V458" s="167"/>
      <c r="W458" s="168"/>
      <c r="X458" s="168">
        <v>4</v>
      </c>
      <c r="Y458" s="167"/>
      <c r="Z458" s="169" t="s">
        <v>1505</v>
      </c>
      <c r="AA458" s="166">
        <v>10</v>
      </c>
      <c r="AB458" s="166">
        <v>9</v>
      </c>
      <c r="AC458" s="165">
        <f t="shared" si="4"/>
        <v>22</v>
      </c>
      <c r="AD458" s="165" t="s">
        <v>1506</v>
      </c>
      <c r="AE458" s="165" t="s">
        <v>389</v>
      </c>
      <c r="AF458" s="165">
        <f t="shared" si="5"/>
        <v>1.9436506316151001</v>
      </c>
      <c r="AG458" s="165" t="s">
        <v>80</v>
      </c>
      <c r="AH458" s="165" t="s">
        <v>117</v>
      </c>
      <c r="AI458" s="165">
        <v>19</v>
      </c>
      <c r="AJ458" s="165">
        <v>25</v>
      </c>
      <c r="AK458" s="166">
        <f t="shared" si="6"/>
        <v>60.2</v>
      </c>
      <c r="AL458" s="166" t="s">
        <v>81</v>
      </c>
      <c r="AM458" s="166" t="s">
        <v>389</v>
      </c>
      <c r="AN458" s="166">
        <f t="shared" si="7"/>
        <v>7.612854625930761</v>
      </c>
      <c r="AO458" s="166" t="s">
        <v>81</v>
      </c>
      <c r="AP458" s="166" t="s">
        <v>117</v>
      </c>
      <c r="AQ458" s="166">
        <v>53</v>
      </c>
      <c r="AR458" s="166">
        <v>80</v>
      </c>
      <c r="AS458" s="165"/>
      <c r="AT458" s="165"/>
      <c r="AU458" s="165"/>
      <c r="AV458" s="165"/>
      <c r="AW458" s="165"/>
      <c r="AX458" s="165"/>
      <c r="AY458" s="165"/>
      <c r="AZ458" s="165"/>
      <c r="BA458" s="166"/>
      <c r="BB458" s="166"/>
      <c r="BC458" s="166"/>
      <c r="BD458" s="166"/>
      <c r="BE458" s="166"/>
      <c r="BF458" s="166"/>
      <c r="BG458" s="166"/>
      <c r="BH458" s="166"/>
      <c r="BI458" s="165"/>
      <c r="BJ458" s="165"/>
      <c r="BK458" s="165"/>
      <c r="BL458" s="165"/>
      <c r="BM458" s="165"/>
      <c r="BN458" s="165"/>
      <c r="BO458" s="165"/>
      <c r="BP458" s="165"/>
      <c r="BQ458" s="166" t="s">
        <v>408</v>
      </c>
      <c r="BR458" s="165"/>
      <c r="BS458" s="124">
        <v>273</v>
      </c>
    </row>
    <row r="459" spans="1:72" s="124" customFormat="1" ht="14.25" hidden="1" customHeight="1" x14ac:dyDescent="0.2">
      <c r="A459" s="205">
        <v>274</v>
      </c>
      <c r="B459" s="233" t="s">
        <v>848</v>
      </c>
      <c r="C459" s="237" t="s">
        <v>849</v>
      </c>
      <c r="D459" s="235" t="s">
        <v>850</v>
      </c>
      <c r="E459" s="125" t="s">
        <v>466</v>
      </c>
      <c r="F459" s="181" t="s">
        <v>71</v>
      </c>
      <c r="G459" s="181" t="s">
        <v>56</v>
      </c>
      <c r="H459" s="181" t="s">
        <v>263</v>
      </c>
      <c r="I459" s="181"/>
      <c r="J459" s="178">
        <v>0.5</v>
      </c>
      <c r="K459" s="182"/>
      <c r="L459" s="182" t="s">
        <v>58</v>
      </c>
      <c r="M459" s="178" t="s">
        <v>59</v>
      </c>
      <c r="N459" s="178">
        <v>49</v>
      </c>
      <c r="O459" s="178"/>
      <c r="P459" s="178"/>
      <c r="Q459" s="179"/>
      <c r="R459" s="179" t="s">
        <v>1504</v>
      </c>
      <c r="S459" s="180"/>
      <c r="T459" s="179">
        <v>150</v>
      </c>
      <c r="U459" s="179"/>
      <c r="V459" s="167"/>
      <c r="W459" s="168"/>
      <c r="X459" s="168">
        <v>4</v>
      </c>
      <c r="Y459" s="167"/>
      <c r="Z459" s="169" t="s">
        <v>1505</v>
      </c>
      <c r="AA459" s="166">
        <v>10</v>
      </c>
      <c r="AB459" s="166">
        <v>9</v>
      </c>
      <c r="AC459" s="165">
        <f t="shared" si="4"/>
        <v>22</v>
      </c>
      <c r="AD459" s="165" t="s">
        <v>1506</v>
      </c>
      <c r="AE459" s="165" t="s">
        <v>389</v>
      </c>
      <c r="AF459" s="165">
        <f t="shared" si="5"/>
        <v>1.9436506316151001</v>
      </c>
      <c r="AG459" s="165" t="s">
        <v>80</v>
      </c>
      <c r="AH459" s="165" t="s">
        <v>117</v>
      </c>
      <c r="AI459" s="165">
        <v>19</v>
      </c>
      <c r="AJ459" s="165">
        <v>25</v>
      </c>
      <c r="AK459" s="166">
        <f t="shared" si="6"/>
        <v>60.2</v>
      </c>
      <c r="AL459" s="166" t="s">
        <v>81</v>
      </c>
      <c r="AM459" s="166" t="s">
        <v>389</v>
      </c>
      <c r="AN459" s="166">
        <f t="shared" si="7"/>
        <v>7.612854625930761</v>
      </c>
      <c r="AO459" s="166" t="s">
        <v>81</v>
      </c>
      <c r="AP459" s="166" t="s">
        <v>117</v>
      </c>
      <c r="AQ459" s="166">
        <v>53</v>
      </c>
      <c r="AR459" s="166">
        <v>80</v>
      </c>
      <c r="AS459" s="165"/>
      <c r="AT459" s="165"/>
      <c r="AU459" s="165"/>
      <c r="AV459" s="165"/>
      <c r="AW459" s="165"/>
      <c r="AX459" s="165"/>
      <c r="AY459" s="165"/>
      <c r="AZ459" s="165"/>
      <c r="BA459" s="166"/>
      <c r="BB459" s="166"/>
      <c r="BC459" s="166"/>
      <c r="BD459" s="166"/>
      <c r="BE459" s="166"/>
      <c r="BF459" s="166"/>
      <c r="BG459" s="166"/>
      <c r="BH459" s="166"/>
      <c r="BI459" s="165"/>
      <c r="BJ459" s="165"/>
      <c r="BK459" s="165"/>
      <c r="BL459" s="165"/>
      <c r="BM459" s="165"/>
      <c r="BN459" s="165"/>
      <c r="BO459" s="165"/>
      <c r="BP459" s="165"/>
      <c r="BQ459" s="166" t="s">
        <v>408</v>
      </c>
      <c r="BR459" s="165"/>
      <c r="BS459" s="124">
        <v>274</v>
      </c>
    </row>
    <row r="460" spans="1:72" s="124" customFormat="1" ht="14.25" hidden="1" customHeight="1" x14ac:dyDescent="0.2">
      <c r="A460" s="205">
        <v>275</v>
      </c>
      <c r="B460" s="233" t="s">
        <v>851</v>
      </c>
      <c r="C460" s="236" t="s">
        <v>852</v>
      </c>
      <c r="D460" s="235" t="s">
        <v>220</v>
      </c>
      <c r="E460" s="125" t="s">
        <v>102</v>
      </c>
      <c r="F460" s="181" t="s">
        <v>103</v>
      </c>
      <c r="G460" s="181" t="s">
        <v>790</v>
      </c>
      <c r="H460" s="181" t="s">
        <v>57</v>
      </c>
      <c r="I460" s="181"/>
      <c r="J460" s="178">
        <v>1</v>
      </c>
      <c r="K460" s="182"/>
      <c r="L460" s="182" t="s">
        <v>58</v>
      </c>
      <c r="M460" s="178" t="s">
        <v>78</v>
      </c>
      <c r="N460" s="209">
        <v>0</v>
      </c>
      <c r="O460" s="209" t="s">
        <v>60</v>
      </c>
      <c r="P460" s="209" t="s">
        <v>79</v>
      </c>
      <c r="Q460" s="179" t="s">
        <v>853</v>
      </c>
      <c r="R460" s="179"/>
      <c r="S460" s="180"/>
      <c r="T460" s="179"/>
      <c r="U460" s="179"/>
      <c r="V460" s="167"/>
      <c r="W460" s="168"/>
      <c r="X460" s="168"/>
      <c r="Y460" s="167" t="s">
        <v>854</v>
      </c>
      <c r="Z460" s="135" t="s">
        <v>63</v>
      </c>
      <c r="AA460" s="166">
        <v>9</v>
      </c>
      <c r="AB460" s="166">
        <v>0</v>
      </c>
      <c r="AC460" s="165">
        <v>29</v>
      </c>
      <c r="AD460" s="172" t="s">
        <v>80</v>
      </c>
      <c r="AE460" s="172" t="s">
        <v>116</v>
      </c>
      <c r="AF460" s="165">
        <v>7</v>
      </c>
      <c r="AG460" s="172" t="s">
        <v>80</v>
      </c>
      <c r="AH460" s="172" t="s">
        <v>117</v>
      </c>
      <c r="AI460" s="165">
        <v>20</v>
      </c>
      <c r="AJ460" s="165">
        <v>43</v>
      </c>
      <c r="AK460" s="166">
        <v>74</v>
      </c>
      <c r="AL460" s="171" t="s">
        <v>81</v>
      </c>
      <c r="AM460" s="171" t="s">
        <v>118</v>
      </c>
      <c r="AN460" s="166">
        <v>5</v>
      </c>
      <c r="AO460" s="171" t="s">
        <v>81</v>
      </c>
      <c r="AP460" s="171" t="s">
        <v>117</v>
      </c>
      <c r="AQ460" s="166">
        <v>67</v>
      </c>
      <c r="AR460" s="166">
        <v>80</v>
      </c>
      <c r="AS460" s="165"/>
      <c r="AT460" s="165"/>
      <c r="AU460" s="165"/>
      <c r="AV460" s="165"/>
      <c r="AW460" s="165"/>
      <c r="AX460" s="165"/>
      <c r="AY460" s="165"/>
      <c r="AZ460" s="165"/>
      <c r="BA460" s="166"/>
      <c r="BB460" s="166"/>
      <c r="BC460" s="166"/>
      <c r="BD460" s="166"/>
      <c r="BE460" s="166"/>
      <c r="BF460" s="166"/>
      <c r="BG460" s="166"/>
      <c r="BH460" s="166"/>
      <c r="BI460" s="165"/>
      <c r="BJ460" s="165"/>
      <c r="BK460" s="165"/>
      <c r="BL460" s="165"/>
      <c r="BM460" s="165"/>
      <c r="BN460" s="165"/>
      <c r="BO460" s="165"/>
      <c r="BP460" s="165"/>
      <c r="BQ460" s="166" t="s">
        <v>238</v>
      </c>
      <c r="BR460" s="165"/>
      <c r="BS460" s="124">
        <v>275</v>
      </c>
      <c r="BT460" s="124" t="s">
        <v>668</v>
      </c>
    </row>
    <row r="461" spans="1:72" s="124" customFormat="1" ht="14.25" hidden="1" customHeight="1" x14ac:dyDescent="0.2">
      <c r="A461" s="205">
        <v>276</v>
      </c>
      <c r="B461" s="233" t="s">
        <v>851</v>
      </c>
      <c r="C461" s="236" t="s">
        <v>852</v>
      </c>
      <c r="D461" s="235" t="s">
        <v>225</v>
      </c>
      <c r="E461" s="125" t="s">
        <v>102</v>
      </c>
      <c r="F461" s="181" t="s">
        <v>103</v>
      </c>
      <c r="G461" s="181" t="s">
        <v>790</v>
      </c>
      <c r="H461" s="181" t="s">
        <v>57</v>
      </c>
      <c r="I461" s="156" t="s">
        <v>855</v>
      </c>
      <c r="J461" s="178">
        <v>1</v>
      </c>
      <c r="K461" s="182"/>
      <c r="L461" s="182" t="s">
        <v>58</v>
      </c>
      <c r="M461" s="178" t="s">
        <v>78</v>
      </c>
      <c r="N461" s="178">
        <v>120</v>
      </c>
      <c r="O461" s="209" t="s">
        <v>60</v>
      </c>
      <c r="P461" s="209" t="s">
        <v>79</v>
      </c>
      <c r="Q461" s="179" t="s">
        <v>853</v>
      </c>
      <c r="R461" s="179"/>
      <c r="S461" s="180"/>
      <c r="T461" s="179"/>
      <c r="U461" s="179"/>
      <c r="V461" s="167"/>
      <c r="W461" s="168"/>
      <c r="X461" s="168"/>
      <c r="Y461" s="167" t="s">
        <v>854</v>
      </c>
      <c r="Z461" s="135" t="s">
        <v>63</v>
      </c>
      <c r="AA461" s="166">
        <v>9</v>
      </c>
      <c r="AB461" s="166">
        <v>0</v>
      </c>
      <c r="AC461" s="165">
        <v>29</v>
      </c>
      <c r="AD461" s="172" t="s">
        <v>80</v>
      </c>
      <c r="AE461" s="172" t="s">
        <v>116</v>
      </c>
      <c r="AF461" s="165">
        <v>7</v>
      </c>
      <c r="AG461" s="172" t="s">
        <v>80</v>
      </c>
      <c r="AH461" s="172" t="s">
        <v>117</v>
      </c>
      <c r="AI461" s="165">
        <v>20</v>
      </c>
      <c r="AJ461" s="165">
        <v>43</v>
      </c>
      <c r="AK461" s="166">
        <v>74</v>
      </c>
      <c r="AL461" s="171" t="s">
        <v>81</v>
      </c>
      <c r="AM461" s="171" t="s">
        <v>118</v>
      </c>
      <c r="AN461" s="166">
        <v>5</v>
      </c>
      <c r="AO461" s="171" t="s">
        <v>81</v>
      </c>
      <c r="AP461" s="171" t="s">
        <v>117</v>
      </c>
      <c r="AQ461" s="166">
        <v>67</v>
      </c>
      <c r="AR461" s="166">
        <v>80</v>
      </c>
      <c r="AS461" s="165"/>
      <c r="AT461" s="165"/>
      <c r="AU461" s="165"/>
      <c r="AV461" s="165"/>
      <c r="AW461" s="165"/>
      <c r="AX461" s="165"/>
      <c r="AY461" s="165"/>
      <c r="AZ461" s="165"/>
      <c r="BA461" s="166"/>
      <c r="BB461" s="166"/>
      <c r="BC461" s="166"/>
      <c r="BD461" s="166"/>
      <c r="BE461" s="166"/>
      <c r="BF461" s="166"/>
      <c r="BG461" s="166"/>
      <c r="BH461" s="166"/>
      <c r="BI461" s="165"/>
      <c r="BJ461" s="165"/>
      <c r="BK461" s="165"/>
      <c r="BL461" s="165"/>
      <c r="BM461" s="165"/>
      <c r="BN461" s="165"/>
      <c r="BO461" s="165"/>
      <c r="BP461" s="165"/>
      <c r="BQ461" s="166" t="s">
        <v>238</v>
      </c>
      <c r="BR461" s="165"/>
      <c r="BS461" s="124">
        <v>276</v>
      </c>
      <c r="BT461" s="124" t="s">
        <v>668</v>
      </c>
    </row>
    <row r="462" spans="1:72" s="124" customFormat="1" ht="14.25" hidden="1" customHeight="1" x14ac:dyDescent="0.2">
      <c r="A462" s="205">
        <v>277</v>
      </c>
      <c r="B462" s="233" t="s">
        <v>851</v>
      </c>
      <c r="C462" s="236" t="s">
        <v>852</v>
      </c>
      <c r="D462" s="235" t="s">
        <v>220</v>
      </c>
      <c r="E462" s="125" t="s">
        <v>393</v>
      </c>
      <c r="F462" s="181" t="s">
        <v>103</v>
      </c>
      <c r="G462" s="181" t="s">
        <v>56</v>
      </c>
      <c r="H462" s="181" t="s">
        <v>66</v>
      </c>
      <c r="I462" s="181"/>
      <c r="J462" s="178">
        <v>20</v>
      </c>
      <c r="K462" s="251"/>
      <c r="L462" s="182" t="s">
        <v>236</v>
      </c>
      <c r="M462" s="178" t="s">
        <v>78</v>
      </c>
      <c r="N462" s="209">
        <v>0</v>
      </c>
      <c r="O462" s="209" t="s">
        <v>60</v>
      </c>
      <c r="P462" s="209" t="s">
        <v>79</v>
      </c>
      <c r="Q462" s="179" t="s">
        <v>856</v>
      </c>
      <c r="R462" s="179"/>
      <c r="S462" s="180"/>
      <c r="T462" s="179"/>
      <c r="U462" s="179"/>
      <c r="V462" s="167"/>
      <c r="W462" s="168"/>
      <c r="X462" s="168"/>
      <c r="Y462" s="167" t="s">
        <v>854</v>
      </c>
      <c r="Z462" s="135" t="s">
        <v>63</v>
      </c>
      <c r="AA462" s="166">
        <v>9</v>
      </c>
      <c r="AB462" s="166">
        <v>0</v>
      </c>
      <c r="AC462" s="165">
        <v>29</v>
      </c>
      <c r="AD462" s="172" t="s">
        <v>80</v>
      </c>
      <c r="AE462" s="172" t="s">
        <v>116</v>
      </c>
      <c r="AF462" s="165">
        <v>7</v>
      </c>
      <c r="AG462" s="172" t="s">
        <v>80</v>
      </c>
      <c r="AH462" s="172" t="s">
        <v>117</v>
      </c>
      <c r="AI462" s="165">
        <v>20</v>
      </c>
      <c r="AJ462" s="165">
        <v>43</v>
      </c>
      <c r="AK462" s="166">
        <v>74</v>
      </c>
      <c r="AL462" s="171" t="s">
        <v>81</v>
      </c>
      <c r="AM462" s="171" t="s">
        <v>118</v>
      </c>
      <c r="AN462" s="166">
        <v>5</v>
      </c>
      <c r="AO462" s="171" t="s">
        <v>81</v>
      </c>
      <c r="AP462" s="171" t="s">
        <v>117</v>
      </c>
      <c r="AQ462" s="166">
        <v>67</v>
      </c>
      <c r="AR462" s="166">
        <v>80</v>
      </c>
      <c r="AS462" s="165"/>
      <c r="AT462" s="165"/>
      <c r="AU462" s="165"/>
      <c r="AV462" s="165"/>
      <c r="AW462" s="165"/>
      <c r="AX462" s="165"/>
      <c r="AY462" s="165"/>
      <c r="AZ462" s="165"/>
      <c r="BA462" s="166"/>
      <c r="BB462" s="166"/>
      <c r="BC462" s="166"/>
      <c r="BD462" s="166"/>
      <c r="BE462" s="166"/>
      <c r="BF462" s="166"/>
      <c r="BG462" s="166"/>
      <c r="BH462" s="166"/>
      <c r="BI462" s="165"/>
      <c r="BJ462" s="165"/>
      <c r="BK462" s="165"/>
      <c r="BL462" s="165"/>
      <c r="BM462" s="165"/>
      <c r="BN462" s="165"/>
      <c r="BO462" s="165"/>
      <c r="BP462" s="165"/>
      <c r="BQ462" s="166" t="s">
        <v>238</v>
      </c>
      <c r="BR462" s="165"/>
      <c r="BS462" s="124">
        <v>277</v>
      </c>
      <c r="BT462" s="124" t="s">
        <v>668</v>
      </c>
    </row>
    <row r="463" spans="1:72" s="124" customFormat="1" ht="14.25" hidden="1" customHeight="1" x14ac:dyDescent="0.2">
      <c r="A463" s="205">
        <v>278</v>
      </c>
      <c r="B463" s="233" t="s">
        <v>851</v>
      </c>
      <c r="C463" s="236" t="s">
        <v>852</v>
      </c>
      <c r="D463" s="235" t="s">
        <v>225</v>
      </c>
      <c r="E463" s="125" t="s">
        <v>393</v>
      </c>
      <c r="F463" s="181" t="s">
        <v>103</v>
      </c>
      <c r="G463" s="181" t="s">
        <v>56</v>
      </c>
      <c r="H463" s="181" t="s">
        <v>66</v>
      </c>
      <c r="I463" s="156" t="s">
        <v>855</v>
      </c>
      <c r="J463" s="178">
        <v>20</v>
      </c>
      <c r="K463" s="251"/>
      <c r="L463" s="182" t="s">
        <v>236</v>
      </c>
      <c r="M463" s="178" t="s">
        <v>78</v>
      </c>
      <c r="N463" s="178">
        <v>120.5</v>
      </c>
      <c r="O463" s="209" t="s">
        <v>60</v>
      </c>
      <c r="P463" s="209" t="s">
        <v>79</v>
      </c>
      <c r="Q463" s="179" t="s">
        <v>856</v>
      </c>
      <c r="R463" s="179"/>
      <c r="S463" s="180"/>
      <c r="T463" s="179"/>
      <c r="U463" s="179"/>
      <c r="V463" s="167"/>
      <c r="W463" s="168"/>
      <c r="X463" s="168"/>
      <c r="Y463" s="167" t="s">
        <v>854</v>
      </c>
      <c r="Z463" s="135" t="s">
        <v>63</v>
      </c>
      <c r="AA463" s="166">
        <v>9</v>
      </c>
      <c r="AB463" s="166">
        <v>0</v>
      </c>
      <c r="AC463" s="165">
        <v>29</v>
      </c>
      <c r="AD463" s="172" t="s">
        <v>80</v>
      </c>
      <c r="AE463" s="172" t="s">
        <v>116</v>
      </c>
      <c r="AF463" s="165">
        <v>7</v>
      </c>
      <c r="AG463" s="172" t="s">
        <v>80</v>
      </c>
      <c r="AH463" s="172" t="s">
        <v>117</v>
      </c>
      <c r="AI463" s="165">
        <v>20</v>
      </c>
      <c r="AJ463" s="165">
        <v>43</v>
      </c>
      <c r="AK463" s="166">
        <v>74</v>
      </c>
      <c r="AL463" s="171" t="s">
        <v>81</v>
      </c>
      <c r="AM463" s="171" t="s">
        <v>118</v>
      </c>
      <c r="AN463" s="166">
        <v>5</v>
      </c>
      <c r="AO463" s="171" t="s">
        <v>81</v>
      </c>
      <c r="AP463" s="171" t="s">
        <v>117</v>
      </c>
      <c r="AQ463" s="166">
        <v>67</v>
      </c>
      <c r="AR463" s="166">
        <v>80</v>
      </c>
      <c r="AS463" s="165"/>
      <c r="AT463" s="165"/>
      <c r="AU463" s="165"/>
      <c r="AV463" s="165"/>
      <c r="AW463" s="165"/>
      <c r="AX463" s="165"/>
      <c r="AY463" s="165"/>
      <c r="AZ463" s="165"/>
      <c r="BA463" s="166"/>
      <c r="BB463" s="166"/>
      <c r="BC463" s="166"/>
      <c r="BD463" s="166"/>
      <c r="BE463" s="166"/>
      <c r="BF463" s="166"/>
      <c r="BG463" s="166"/>
      <c r="BH463" s="166"/>
      <c r="BI463" s="165"/>
      <c r="BJ463" s="165"/>
      <c r="BK463" s="165"/>
      <c r="BL463" s="165"/>
      <c r="BM463" s="165"/>
      <c r="BN463" s="165"/>
      <c r="BO463" s="165"/>
      <c r="BP463" s="165"/>
      <c r="BQ463" s="166" t="s">
        <v>238</v>
      </c>
      <c r="BR463" s="165"/>
      <c r="BS463" s="124">
        <v>278</v>
      </c>
      <c r="BT463" s="124" t="s">
        <v>668</v>
      </c>
    </row>
    <row r="464" spans="1:72" s="124" customFormat="1" ht="14.25" hidden="1" customHeight="1" x14ac:dyDescent="0.2">
      <c r="A464" s="205">
        <v>293</v>
      </c>
      <c r="B464" s="235" t="s">
        <v>857</v>
      </c>
      <c r="C464" s="236" t="s">
        <v>858</v>
      </c>
      <c r="D464" s="235" t="s">
        <v>387</v>
      </c>
      <c r="E464" s="125" t="s">
        <v>102</v>
      </c>
      <c r="F464" s="181" t="s">
        <v>103</v>
      </c>
      <c r="G464" s="156" t="s">
        <v>56</v>
      </c>
      <c r="H464" s="156" t="s">
        <v>619</v>
      </c>
      <c r="I464" s="156" t="s">
        <v>855</v>
      </c>
      <c r="J464" s="209">
        <v>1</v>
      </c>
      <c r="K464" s="210"/>
      <c r="L464" s="210" t="s">
        <v>58</v>
      </c>
      <c r="M464" s="209" t="s">
        <v>78</v>
      </c>
      <c r="N464" s="209">
        <v>0</v>
      </c>
      <c r="O464" s="209" t="s">
        <v>60</v>
      </c>
      <c r="P464" s="209" t="s">
        <v>79</v>
      </c>
      <c r="Q464" s="211"/>
      <c r="R464" s="211"/>
      <c r="S464" s="212"/>
      <c r="T464" s="211"/>
      <c r="U464" s="211"/>
      <c r="V464" s="170"/>
      <c r="W464" s="129"/>
      <c r="X464" s="129">
        <v>3</v>
      </c>
      <c r="Y464" s="170"/>
      <c r="Z464" s="169" t="s">
        <v>63</v>
      </c>
      <c r="AA464" s="171">
        <v>12</v>
      </c>
      <c r="AB464" s="171">
        <v>4</v>
      </c>
      <c r="AC464" s="172">
        <v>25</v>
      </c>
      <c r="AD464" s="172" t="s">
        <v>80</v>
      </c>
      <c r="AE464" s="172" t="s">
        <v>116</v>
      </c>
      <c r="AF464" s="172">
        <v>6</v>
      </c>
      <c r="AG464" s="172" t="s">
        <v>80</v>
      </c>
      <c r="AH464" s="172" t="s">
        <v>117</v>
      </c>
      <c r="AI464" s="172">
        <v>18</v>
      </c>
      <c r="AJ464" s="172">
        <v>38</v>
      </c>
      <c r="AK464" s="171">
        <v>74</v>
      </c>
      <c r="AL464" s="171" t="s">
        <v>81</v>
      </c>
      <c r="AM464" s="171" t="s">
        <v>118</v>
      </c>
      <c r="AN464" s="171">
        <v>16</v>
      </c>
      <c r="AO464" s="171" t="s">
        <v>81</v>
      </c>
      <c r="AP464" s="173" t="s">
        <v>117</v>
      </c>
      <c r="AQ464" s="171">
        <v>55</v>
      </c>
      <c r="AR464" s="171">
        <v>108</v>
      </c>
      <c r="AS464" s="172"/>
      <c r="AT464" s="172"/>
      <c r="AU464" s="172"/>
      <c r="AV464" s="172"/>
      <c r="AW464" s="172"/>
      <c r="AX464" s="172"/>
      <c r="AY464" s="172"/>
      <c r="AZ464" s="172"/>
      <c r="BA464" s="171"/>
      <c r="BB464" s="171"/>
      <c r="BC464" s="171"/>
      <c r="BD464" s="171"/>
      <c r="BE464" s="171"/>
      <c r="BF464" s="171"/>
      <c r="BG464" s="171"/>
      <c r="BH464" s="171"/>
      <c r="BI464" s="172"/>
      <c r="BJ464" s="172"/>
      <c r="BK464" s="172"/>
      <c r="BL464" s="172"/>
      <c r="BM464" s="172"/>
      <c r="BN464" s="172"/>
      <c r="BO464" s="172"/>
      <c r="BP464" s="172"/>
      <c r="BQ464" s="171" t="s">
        <v>238</v>
      </c>
      <c r="BR464" s="172" t="s">
        <v>859</v>
      </c>
      <c r="BS464" s="124">
        <v>293</v>
      </c>
      <c r="BT464" s="124" t="s">
        <v>668</v>
      </c>
    </row>
    <row r="465" spans="1:72" s="124" customFormat="1" ht="14.25" hidden="1" customHeight="1" x14ac:dyDescent="0.2">
      <c r="A465" s="205">
        <v>294</v>
      </c>
      <c r="B465" s="235" t="s">
        <v>857</v>
      </c>
      <c r="C465" s="236" t="s">
        <v>858</v>
      </c>
      <c r="D465" s="235" t="s">
        <v>860</v>
      </c>
      <c r="E465" s="125" t="s">
        <v>102</v>
      </c>
      <c r="F465" s="181" t="s">
        <v>103</v>
      </c>
      <c r="G465" s="156" t="s">
        <v>56</v>
      </c>
      <c r="H465" s="156" t="s">
        <v>619</v>
      </c>
      <c r="I465" s="156" t="s">
        <v>855</v>
      </c>
      <c r="J465" s="209">
        <v>1</v>
      </c>
      <c r="K465" s="210"/>
      <c r="L465" s="210" t="s">
        <v>58</v>
      </c>
      <c r="M465" s="209" t="s">
        <v>78</v>
      </c>
      <c r="N465" s="209">
        <v>108</v>
      </c>
      <c r="O465" s="209" t="s">
        <v>60</v>
      </c>
      <c r="P465" s="209" t="s">
        <v>79</v>
      </c>
      <c r="Q465" s="211"/>
      <c r="R465" s="211"/>
      <c r="S465" s="212"/>
      <c r="T465" s="211"/>
      <c r="U465" s="211"/>
      <c r="V465" s="170"/>
      <c r="W465" s="129"/>
      <c r="X465" s="129">
        <v>3</v>
      </c>
      <c r="Y465" s="170"/>
      <c r="Z465" s="169" t="s">
        <v>63</v>
      </c>
      <c r="AA465" s="171">
        <v>12</v>
      </c>
      <c r="AB465" s="171">
        <v>4</v>
      </c>
      <c r="AC465" s="172">
        <v>25</v>
      </c>
      <c r="AD465" s="172" t="s">
        <v>80</v>
      </c>
      <c r="AE465" s="172" t="s">
        <v>116</v>
      </c>
      <c r="AF465" s="172">
        <v>6</v>
      </c>
      <c r="AG465" s="172" t="s">
        <v>80</v>
      </c>
      <c r="AH465" s="172" t="s">
        <v>117</v>
      </c>
      <c r="AI465" s="172">
        <v>18</v>
      </c>
      <c r="AJ465" s="172">
        <v>38</v>
      </c>
      <c r="AK465" s="171">
        <v>74</v>
      </c>
      <c r="AL465" s="171" t="s">
        <v>81</v>
      </c>
      <c r="AM465" s="171" t="s">
        <v>118</v>
      </c>
      <c r="AN465" s="171">
        <v>16</v>
      </c>
      <c r="AO465" s="171" t="s">
        <v>81</v>
      </c>
      <c r="AP465" s="173" t="s">
        <v>117</v>
      </c>
      <c r="AQ465" s="171">
        <v>55</v>
      </c>
      <c r="AR465" s="171">
        <v>108</v>
      </c>
      <c r="AS465" s="172"/>
      <c r="AT465" s="172"/>
      <c r="AU465" s="172"/>
      <c r="AV465" s="172"/>
      <c r="AW465" s="172"/>
      <c r="AX465" s="172"/>
      <c r="AY465" s="172"/>
      <c r="AZ465" s="172"/>
      <c r="BA465" s="171"/>
      <c r="BB465" s="171"/>
      <c r="BC465" s="171"/>
      <c r="BD465" s="171"/>
      <c r="BE465" s="171"/>
      <c r="BF465" s="171"/>
      <c r="BG465" s="171"/>
      <c r="BH465" s="171"/>
      <c r="BI465" s="172"/>
      <c r="BJ465" s="172"/>
      <c r="BK465" s="172"/>
      <c r="BL465" s="172"/>
      <c r="BM465" s="172"/>
      <c r="BN465" s="172"/>
      <c r="BO465" s="172"/>
      <c r="BP465" s="172"/>
      <c r="BQ465" s="171" t="s">
        <v>238</v>
      </c>
      <c r="BR465" s="172" t="s">
        <v>859</v>
      </c>
      <c r="BS465" s="124">
        <v>294</v>
      </c>
      <c r="BT465" s="124" t="s">
        <v>668</v>
      </c>
    </row>
    <row r="466" spans="1:72" s="124" customFormat="1" ht="14.25" hidden="1" customHeight="1" x14ac:dyDescent="0.2">
      <c r="A466" s="205">
        <v>295</v>
      </c>
      <c r="B466" s="235" t="s">
        <v>857</v>
      </c>
      <c r="C466" s="236" t="s">
        <v>858</v>
      </c>
      <c r="D466" s="235" t="s">
        <v>861</v>
      </c>
      <c r="E466" s="125" t="s">
        <v>102</v>
      </c>
      <c r="F466" s="181" t="s">
        <v>103</v>
      </c>
      <c r="G466" s="156" t="s">
        <v>56</v>
      </c>
      <c r="H466" s="156" t="s">
        <v>619</v>
      </c>
      <c r="I466" s="156" t="s">
        <v>855</v>
      </c>
      <c r="J466" s="209">
        <v>1</v>
      </c>
      <c r="K466" s="210"/>
      <c r="L466" s="210" t="s">
        <v>58</v>
      </c>
      <c r="M466" s="209" t="s">
        <v>78</v>
      </c>
      <c r="N466" s="209">
        <v>108</v>
      </c>
      <c r="O466" s="209" t="s">
        <v>60</v>
      </c>
      <c r="P466" s="209" t="s">
        <v>79</v>
      </c>
      <c r="Q466" s="211"/>
      <c r="R466" s="211"/>
      <c r="S466" s="212"/>
      <c r="T466" s="211"/>
      <c r="U466" s="211"/>
      <c r="V466" s="170"/>
      <c r="W466" s="129"/>
      <c r="X466" s="129">
        <v>3</v>
      </c>
      <c r="Y466" s="170"/>
      <c r="Z466" s="169" t="s">
        <v>63</v>
      </c>
      <c r="AA466" s="171">
        <v>12</v>
      </c>
      <c r="AB466" s="171">
        <v>4</v>
      </c>
      <c r="AC466" s="172">
        <v>25</v>
      </c>
      <c r="AD466" s="172" t="s">
        <v>80</v>
      </c>
      <c r="AE466" s="172" t="s">
        <v>116</v>
      </c>
      <c r="AF466" s="172">
        <v>6</v>
      </c>
      <c r="AG466" s="172" t="s">
        <v>80</v>
      </c>
      <c r="AH466" s="172" t="s">
        <v>117</v>
      </c>
      <c r="AI466" s="172">
        <v>18</v>
      </c>
      <c r="AJ466" s="172">
        <v>38</v>
      </c>
      <c r="AK466" s="171">
        <v>74</v>
      </c>
      <c r="AL466" s="171" t="s">
        <v>81</v>
      </c>
      <c r="AM466" s="171" t="s">
        <v>118</v>
      </c>
      <c r="AN466" s="171">
        <v>16</v>
      </c>
      <c r="AO466" s="171" t="s">
        <v>81</v>
      </c>
      <c r="AP466" s="173" t="s">
        <v>117</v>
      </c>
      <c r="AQ466" s="171">
        <v>55</v>
      </c>
      <c r="AR466" s="171">
        <v>108</v>
      </c>
      <c r="AS466" s="172"/>
      <c r="AT466" s="172"/>
      <c r="AU466" s="172"/>
      <c r="AV466" s="172"/>
      <c r="AW466" s="172"/>
      <c r="AX466" s="172"/>
      <c r="AY466" s="172"/>
      <c r="AZ466" s="172"/>
      <c r="BA466" s="171"/>
      <c r="BB466" s="171"/>
      <c r="BC466" s="171"/>
      <c r="BD466" s="171"/>
      <c r="BE466" s="171"/>
      <c r="BF466" s="171"/>
      <c r="BG466" s="171"/>
      <c r="BH466" s="171"/>
      <c r="BI466" s="172"/>
      <c r="BJ466" s="172"/>
      <c r="BK466" s="172"/>
      <c r="BL466" s="172"/>
      <c r="BM466" s="172"/>
      <c r="BN466" s="172"/>
      <c r="BO466" s="172"/>
      <c r="BP466" s="172"/>
      <c r="BQ466" s="171" t="s">
        <v>238</v>
      </c>
      <c r="BR466" s="172" t="s">
        <v>859</v>
      </c>
      <c r="BS466" s="124">
        <v>295</v>
      </c>
      <c r="BT466" s="124" t="s">
        <v>668</v>
      </c>
    </row>
    <row r="467" spans="1:72" s="124" customFormat="1" ht="14.25" hidden="1" customHeight="1" x14ac:dyDescent="0.2">
      <c r="A467" s="205">
        <v>296</v>
      </c>
      <c r="B467" s="235" t="s">
        <v>857</v>
      </c>
      <c r="C467" s="236" t="s">
        <v>858</v>
      </c>
      <c r="D467" s="235" t="s">
        <v>862</v>
      </c>
      <c r="E467" s="125" t="s">
        <v>102</v>
      </c>
      <c r="F467" s="181" t="s">
        <v>103</v>
      </c>
      <c r="G467" s="156" t="s">
        <v>56</v>
      </c>
      <c r="H467" s="156" t="s">
        <v>619</v>
      </c>
      <c r="I467" s="156" t="s">
        <v>855</v>
      </c>
      <c r="J467" s="209">
        <v>1</v>
      </c>
      <c r="K467" s="210"/>
      <c r="L467" s="210" t="s">
        <v>58</v>
      </c>
      <c r="M467" s="209" t="s">
        <v>78</v>
      </c>
      <c r="N467" s="209">
        <v>108</v>
      </c>
      <c r="O467" s="209" t="s">
        <v>60</v>
      </c>
      <c r="P467" s="209" t="s">
        <v>79</v>
      </c>
      <c r="Q467" s="211"/>
      <c r="R467" s="211"/>
      <c r="S467" s="212"/>
      <c r="T467" s="211"/>
      <c r="U467" s="211"/>
      <c r="V467" s="170"/>
      <c r="W467" s="129"/>
      <c r="X467" s="129">
        <v>3</v>
      </c>
      <c r="Y467" s="170"/>
      <c r="Z467" s="169" t="s">
        <v>63</v>
      </c>
      <c r="AA467" s="171">
        <v>12</v>
      </c>
      <c r="AB467" s="171">
        <v>4</v>
      </c>
      <c r="AC467" s="172">
        <v>25</v>
      </c>
      <c r="AD467" s="172" t="s">
        <v>80</v>
      </c>
      <c r="AE467" s="172" t="s">
        <v>116</v>
      </c>
      <c r="AF467" s="172">
        <v>6</v>
      </c>
      <c r="AG467" s="172" t="s">
        <v>80</v>
      </c>
      <c r="AH467" s="172" t="s">
        <v>117</v>
      </c>
      <c r="AI467" s="172">
        <v>18</v>
      </c>
      <c r="AJ467" s="172">
        <v>38</v>
      </c>
      <c r="AK467" s="171">
        <v>74</v>
      </c>
      <c r="AL467" s="171" t="s">
        <v>81</v>
      </c>
      <c r="AM467" s="171" t="s">
        <v>118</v>
      </c>
      <c r="AN467" s="171">
        <v>16</v>
      </c>
      <c r="AO467" s="171" t="s">
        <v>81</v>
      </c>
      <c r="AP467" s="173" t="s">
        <v>117</v>
      </c>
      <c r="AQ467" s="171">
        <v>55</v>
      </c>
      <c r="AR467" s="171">
        <v>108</v>
      </c>
      <c r="AS467" s="172"/>
      <c r="AT467" s="172"/>
      <c r="AU467" s="172"/>
      <c r="AV467" s="172"/>
      <c r="AW467" s="172"/>
      <c r="AX467" s="172"/>
      <c r="AY467" s="172"/>
      <c r="AZ467" s="172"/>
      <c r="BA467" s="171"/>
      <c r="BB467" s="171"/>
      <c r="BC467" s="171"/>
      <c r="BD467" s="171"/>
      <c r="BE467" s="171"/>
      <c r="BF467" s="171"/>
      <c r="BG467" s="171"/>
      <c r="BH467" s="171"/>
      <c r="BI467" s="172"/>
      <c r="BJ467" s="172"/>
      <c r="BK467" s="172"/>
      <c r="BL467" s="172"/>
      <c r="BM467" s="172"/>
      <c r="BN467" s="172"/>
      <c r="BO467" s="172"/>
      <c r="BP467" s="172"/>
      <c r="BQ467" s="171" t="s">
        <v>238</v>
      </c>
      <c r="BR467" s="172" t="s">
        <v>859</v>
      </c>
      <c r="BS467" s="124">
        <v>296</v>
      </c>
      <c r="BT467" s="124" t="s">
        <v>668</v>
      </c>
    </row>
    <row r="468" spans="1:72" s="124" customFormat="1" ht="14.25" hidden="1" customHeight="1" x14ac:dyDescent="0.2">
      <c r="A468" s="205">
        <v>297</v>
      </c>
      <c r="B468" s="235" t="s">
        <v>857</v>
      </c>
      <c r="C468" s="236" t="s">
        <v>858</v>
      </c>
      <c r="D468" s="235" t="s">
        <v>863</v>
      </c>
      <c r="E468" s="125" t="s">
        <v>102</v>
      </c>
      <c r="F468" s="181" t="s">
        <v>103</v>
      </c>
      <c r="G468" s="156" t="s">
        <v>56</v>
      </c>
      <c r="H468" s="156" t="s">
        <v>619</v>
      </c>
      <c r="I468" s="156" t="s">
        <v>855</v>
      </c>
      <c r="J468" s="209">
        <v>1</v>
      </c>
      <c r="K468" s="210"/>
      <c r="L468" s="210" t="s">
        <v>58</v>
      </c>
      <c r="M468" s="209" t="s">
        <v>78</v>
      </c>
      <c r="N468" s="209">
        <v>108</v>
      </c>
      <c r="O468" s="209" t="s">
        <v>60</v>
      </c>
      <c r="P468" s="209" t="s">
        <v>79</v>
      </c>
      <c r="Q468" s="211"/>
      <c r="R468" s="211"/>
      <c r="S468" s="212"/>
      <c r="T468" s="211"/>
      <c r="U468" s="211"/>
      <c r="V468" s="170"/>
      <c r="W468" s="129"/>
      <c r="X468" s="129">
        <v>3</v>
      </c>
      <c r="Y468" s="170"/>
      <c r="Z468" s="169" t="s">
        <v>63</v>
      </c>
      <c r="AA468" s="171">
        <v>12</v>
      </c>
      <c r="AB468" s="171">
        <v>4</v>
      </c>
      <c r="AC468" s="172">
        <v>25</v>
      </c>
      <c r="AD468" s="172" t="s">
        <v>80</v>
      </c>
      <c r="AE468" s="172" t="s">
        <v>116</v>
      </c>
      <c r="AF468" s="172">
        <v>6</v>
      </c>
      <c r="AG468" s="172" t="s">
        <v>80</v>
      </c>
      <c r="AH468" s="172" t="s">
        <v>117</v>
      </c>
      <c r="AI468" s="172">
        <v>18</v>
      </c>
      <c r="AJ468" s="172">
        <v>38</v>
      </c>
      <c r="AK468" s="171">
        <v>74</v>
      </c>
      <c r="AL468" s="171" t="s">
        <v>81</v>
      </c>
      <c r="AM468" s="171" t="s">
        <v>118</v>
      </c>
      <c r="AN468" s="171">
        <v>16</v>
      </c>
      <c r="AO468" s="171" t="s">
        <v>81</v>
      </c>
      <c r="AP468" s="173" t="s">
        <v>117</v>
      </c>
      <c r="AQ468" s="171">
        <v>55</v>
      </c>
      <c r="AR468" s="171">
        <v>108</v>
      </c>
      <c r="AS468" s="172"/>
      <c r="AT468" s="172"/>
      <c r="AU468" s="172"/>
      <c r="AV468" s="172"/>
      <c r="AW468" s="172"/>
      <c r="AX468" s="172"/>
      <c r="AY468" s="172"/>
      <c r="AZ468" s="172"/>
      <c r="BA468" s="171"/>
      <c r="BB468" s="171"/>
      <c r="BC468" s="171"/>
      <c r="BD468" s="171"/>
      <c r="BE468" s="171"/>
      <c r="BF468" s="171"/>
      <c r="BG468" s="171"/>
      <c r="BH468" s="171"/>
      <c r="BI468" s="172"/>
      <c r="BJ468" s="172"/>
      <c r="BK468" s="172"/>
      <c r="BL468" s="172"/>
      <c r="BM468" s="172"/>
      <c r="BN468" s="172"/>
      <c r="BO468" s="172"/>
      <c r="BP468" s="172"/>
      <c r="BQ468" s="171" t="s">
        <v>238</v>
      </c>
      <c r="BR468" s="172" t="s">
        <v>859</v>
      </c>
      <c r="BS468" s="124">
        <v>297</v>
      </c>
      <c r="BT468" s="124" t="s">
        <v>668</v>
      </c>
    </row>
    <row r="469" spans="1:72" s="124" customFormat="1" ht="14.25" hidden="1" customHeight="1" x14ac:dyDescent="0.2">
      <c r="A469" s="205">
        <v>298</v>
      </c>
      <c r="B469" s="235" t="s">
        <v>857</v>
      </c>
      <c r="C469" s="236" t="s">
        <v>858</v>
      </c>
      <c r="D469" s="235" t="s">
        <v>387</v>
      </c>
      <c r="E469" s="125" t="s">
        <v>393</v>
      </c>
      <c r="F469" s="181" t="s">
        <v>103</v>
      </c>
      <c r="G469" s="156" t="s">
        <v>56</v>
      </c>
      <c r="H469" s="156" t="s">
        <v>624</v>
      </c>
      <c r="I469" s="156" t="s">
        <v>855</v>
      </c>
      <c r="J469" s="209">
        <v>15</v>
      </c>
      <c r="K469" s="251"/>
      <c r="L469" s="210" t="s">
        <v>236</v>
      </c>
      <c r="M469" s="209" t="s">
        <v>78</v>
      </c>
      <c r="N469" s="209">
        <v>0</v>
      </c>
      <c r="O469" s="209" t="s">
        <v>60</v>
      </c>
      <c r="P469" s="209" t="s">
        <v>79</v>
      </c>
      <c r="Q469" s="211"/>
      <c r="R469" s="211"/>
      <c r="S469" s="212"/>
      <c r="T469" s="211"/>
      <c r="U469" s="211"/>
      <c r="V469" s="170"/>
      <c r="W469" s="129"/>
      <c r="X469" s="129">
        <v>2</v>
      </c>
      <c r="Y469" s="170"/>
      <c r="Z469" s="169" t="s">
        <v>63</v>
      </c>
      <c r="AA469" s="171">
        <v>12</v>
      </c>
      <c r="AB469" s="171">
        <v>4</v>
      </c>
      <c r="AC469" s="172">
        <v>25</v>
      </c>
      <c r="AD469" s="172" t="s">
        <v>80</v>
      </c>
      <c r="AE469" s="172" t="s">
        <v>116</v>
      </c>
      <c r="AF469" s="172">
        <v>6</v>
      </c>
      <c r="AG469" s="172" t="s">
        <v>80</v>
      </c>
      <c r="AH469" s="172" t="s">
        <v>117</v>
      </c>
      <c r="AI469" s="172">
        <v>18</v>
      </c>
      <c r="AJ469" s="172">
        <v>38</v>
      </c>
      <c r="AK469" s="171">
        <v>74</v>
      </c>
      <c r="AL469" s="171" t="s">
        <v>81</v>
      </c>
      <c r="AM469" s="171" t="s">
        <v>118</v>
      </c>
      <c r="AN469" s="171">
        <v>16</v>
      </c>
      <c r="AO469" s="171" t="s">
        <v>81</v>
      </c>
      <c r="AP469" s="173" t="s">
        <v>117</v>
      </c>
      <c r="AQ469" s="171">
        <v>55</v>
      </c>
      <c r="AR469" s="171">
        <v>108</v>
      </c>
      <c r="AS469" s="172"/>
      <c r="AT469" s="172"/>
      <c r="AU469" s="172"/>
      <c r="AV469" s="172"/>
      <c r="AW469" s="172"/>
      <c r="AX469" s="172"/>
      <c r="AY469" s="172"/>
      <c r="AZ469" s="172"/>
      <c r="BA469" s="171"/>
      <c r="BB469" s="171"/>
      <c r="BC469" s="171"/>
      <c r="BD469" s="171"/>
      <c r="BE469" s="171"/>
      <c r="BF469" s="171"/>
      <c r="BG469" s="171"/>
      <c r="BH469" s="171"/>
      <c r="BI469" s="172"/>
      <c r="BJ469" s="172"/>
      <c r="BK469" s="172"/>
      <c r="BL469" s="172"/>
      <c r="BM469" s="172"/>
      <c r="BN469" s="172"/>
      <c r="BO469" s="172"/>
      <c r="BP469" s="172"/>
      <c r="BQ469" s="171" t="s">
        <v>238</v>
      </c>
      <c r="BR469" s="172" t="s">
        <v>859</v>
      </c>
      <c r="BS469" s="124">
        <v>298</v>
      </c>
      <c r="BT469" s="124" t="s">
        <v>668</v>
      </c>
    </row>
    <row r="470" spans="1:72" s="124" customFormat="1" ht="14.25" hidden="1" customHeight="1" x14ac:dyDescent="0.2">
      <c r="A470" s="205">
        <v>299</v>
      </c>
      <c r="B470" s="235" t="s">
        <v>857</v>
      </c>
      <c r="C470" s="236" t="s">
        <v>858</v>
      </c>
      <c r="D470" s="235" t="s">
        <v>860</v>
      </c>
      <c r="E470" s="125" t="s">
        <v>393</v>
      </c>
      <c r="F470" s="181" t="s">
        <v>103</v>
      </c>
      <c r="G470" s="156" t="s">
        <v>56</v>
      </c>
      <c r="H470" s="156" t="s">
        <v>624</v>
      </c>
      <c r="I470" s="156" t="s">
        <v>855</v>
      </c>
      <c r="J470" s="209">
        <v>15</v>
      </c>
      <c r="K470" s="251"/>
      <c r="L470" s="210" t="s">
        <v>236</v>
      </c>
      <c r="M470" s="209" t="s">
        <v>78</v>
      </c>
      <c r="N470" s="209">
        <v>109</v>
      </c>
      <c r="O470" s="209" t="s">
        <v>60</v>
      </c>
      <c r="P470" s="209" t="s">
        <v>79</v>
      </c>
      <c r="Q470" s="211"/>
      <c r="R470" s="211"/>
      <c r="S470" s="212"/>
      <c r="T470" s="211"/>
      <c r="U470" s="211"/>
      <c r="V470" s="170"/>
      <c r="W470" s="129"/>
      <c r="X470" s="129">
        <v>2</v>
      </c>
      <c r="Y470" s="170"/>
      <c r="Z470" s="169" t="s">
        <v>63</v>
      </c>
      <c r="AA470" s="171">
        <v>12</v>
      </c>
      <c r="AB470" s="171">
        <v>4</v>
      </c>
      <c r="AC470" s="172">
        <v>25</v>
      </c>
      <c r="AD470" s="172" t="s">
        <v>80</v>
      </c>
      <c r="AE470" s="172" t="s">
        <v>116</v>
      </c>
      <c r="AF470" s="172">
        <v>6</v>
      </c>
      <c r="AG470" s="172" t="s">
        <v>80</v>
      </c>
      <c r="AH470" s="172" t="s">
        <v>117</v>
      </c>
      <c r="AI470" s="172">
        <v>18</v>
      </c>
      <c r="AJ470" s="172">
        <v>38</v>
      </c>
      <c r="AK470" s="171">
        <v>74</v>
      </c>
      <c r="AL470" s="171" t="s">
        <v>81</v>
      </c>
      <c r="AM470" s="171" t="s">
        <v>118</v>
      </c>
      <c r="AN470" s="171">
        <v>16</v>
      </c>
      <c r="AO470" s="171" t="s">
        <v>81</v>
      </c>
      <c r="AP470" s="173" t="s">
        <v>117</v>
      </c>
      <c r="AQ470" s="171">
        <v>55</v>
      </c>
      <c r="AR470" s="171">
        <v>108</v>
      </c>
      <c r="AS470" s="172"/>
      <c r="AT470" s="172"/>
      <c r="AU470" s="172"/>
      <c r="AV470" s="172"/>
      <c r="AW470" s="172"/>
      <c r="AX470" s="172"/>
      <c r="AY470" s="172"/>
      <c r="AZ470" s="172"/>
      <c r="BA470" s="171"/>
      <c r="BB470" s="171"/>
      <c r="BC470" s="171"/>
      <c r="BD470" s="171"/>
      <c r="BE470" s="171"/>
      <c r="BF470" s="171"/>
      <c r="BG470" s="171"/>
      <c r="BH470" s="171"/>
      <c r="BI470" s="172"/>
      <c r="BJ470" s="172"/>
      <c r="BK470" s="172"/>
      <c r="BL470" s="172"/>
      <c r="BM470" s="172"/>
      <c r="BN470" s="172"/>
      <c r="BO470" s="172"/>
      <c r="BP470" s="172"/>
      <c r="BQ470" s="171" t="s">
        <v>238</v>
      </c>
      <c r="BR470" s="172" t="s">
        <v>859</v>
      </c>
      <c r="BS470" s="124">
        <v>299</v>
      </c>
      <c r="BT470" s="124" t="s">
        <v>668</v>
      </c>
    </row>
    <row r="471" spans="1:72" s="124" customFormat="1" ht="14.25" hidden="1" customHeight="1" x14ac:dyDescent="0.2">
      <c r="A471" s="205">
        <v>300</v>
      </c>
      <c r="B471" s="235" t="s">
        <v>857</v>
      </c>
      <c r="C471" s="236" t="s">
        <v>858</v>
      </c>
      <c r="D471" s="235" t="s">
        <v>861</v>
      </c>
      <c r="E471" s="125" t="s">
        <v>393</v>
      </c>
      <c r="F471" s="181" t="s">
        <v>103</v>
      </c>
      <c r="G471" s="156" t="s">
        <v>56</v>
      </c>
      <c r="H471" s="156" t="s">
        <v>624</v>
      </c>
      <c r="I471" s="156" t="s">
        <v>855</v>
      </c>
      <c r="J471" s="209">
        <v>15</v>
      </c>
      <c r="K471" s="251"/>
      <c r="L471" s="210" t="s">
        <v>236</v>
      </c>
      <c r="M471" s="209" t="s">
        <v>78</v>
      </c>
      <c r="N471" s="209">
        <v>109</v>
      </c>
      <c r="O471" s="209" t="s">
        <v>60</v>
      </c>
      <c r="P471" s="209" t="s">
        <v>79</v>
      </c>
      <c r="Q471" s="211"/>
      <c r="R471" s="211"/>
      <c r="S471" s="212"/>
      <c r="T471" s="211"/>
      <c r="U471" s="211"/>
      <c r="V471" s="170"/>
      <c r="W471" s="129"/>
      <c r="X471" s="129">
        <v>2</v>
      </c>
      <c r="Y471" s="170"/>
      <c r="Z471" s="169" t="s">
        <v>63</v>
      </c>
      <c r="AA471" s="171">
        <v>12</v>
      </c>
      <c r="AB471" s="171">
        <v>4</v>
      </c>
      <c r="AC471" s="172">
        <v>25</v>
      </c>
      <c r="AD471" s="172" t="s">
        <v>80</v>
      </c>
      <c r="AE471" s="172" t="s">
        <v>116</v>
      </c>
      <c r="AF471" s="172">
        <v>6</v>
      </c>
      <c r="AG471" s="172" t="s">
        <v>80</v>
      </c>
      <c r="AH471" s="172" t="s">
        <v>117</v>
      </c>
      <c r="AI471" s="172">
        <v>18</v>
      </c>
      <c r="AJ471" s="172">
        <v>38</v>
      </c>
      <c r="AK471" s="171">
        <v>74</v>
      </c>
      <c r="AL471" s="171" t="s">
        <v>81</v>
      </c>
      <c r="AM471" s="171" t="s">
        <v>118</v>
      </c>
      <c r="AN471" s="171">
        <v>16</v>
      </c>
      <c r="AO471" s="171" t="s">
        <v>81</v>
      </c>
      <c r="AP471" s="173" t="s">
        <v>117</v>
      </c>
      <c r="AQ471" s="171">
        <v>55</v>
      </c>
      <c r="AR471" s="171">
        <v>108</v>
      </c>
      <c r="AS471" s="172"/>
      <c r="AT471" s="172"/>
      <c r="AU471" s="172"/>
      <c r="AV471" s="172"/>
      <c r="AW471" s="172"/>
      <c r="AX471" s="172"/>
      <c r="AY471" s="172"/>
      <c r="AZ471" s="172"/>
      <c r="BA471" s="171"/>
      <c r="BB471" s="171"/>
      <c r="BC471" s="171"/>
      <c r="BD471" s="171"/>
      <c r="BE471" s="171"/>
      <c r="BF471" s="171"/>
      <c r="BG471" s="171"/>
      <c r="BH471" s="171"/>
      <c r="BI471" s="172"/>
      <c r="BJ471" s="172"/>
      <c r="BK471" s="172"/>
      <c r="BL471" s="172"/>
      <c r="BM471" s="172"/>
      <c r="BN471" s="172"/>
      <c r="BO471" s="172"/>
      <c r="BP471" s="172"/>
      <c r="BQ471" s="171" t="s">
        <v>238</v>
      </c>
      <c r="BR471" s="172" t="s">
        <v>859</v>
      </c>
      <c r="BS471" s="124">
        <v>300</v>
      </c>
      <c r="BT471" s="124" t="s">
        <v>668</v>
      </c>
    </row>
    <row r="472" spans="1:72" s="124" customFormat="1" ht="14.25" hidden="1" customHeight="1" x14ac:dyDescent="0.2">
      <c r="A472" s="205">
        <v>301</v>
      </c>
      <c r="B472" s="235" t="s">
        <v>857</v>
      </c>
      <c r="C472" s="236" t="s">
        <v>858</v>
      </c>
      <c r="D472" s="235" t="s">
        <v>862</v>
      </c>
      <c r="E472" s="125" t="s">
        <v>393</v>
      </c>
      <c r="F472" s="181" t="s">
        <v>103</v>
      </c>
      <c r="G472" s="156" t="s">
        <v>56</v>
      </c>
      <c r="H472" s="156" t="s">
        <v>624</v>
      </c>
      <c r="I472" s="156" t="s">
        <v>855</v>
      </c>
      <c r="J472" s="209">
        <v>15</v>
      </c>
      <c r="K472" s="251"/>
      <c r="L472" s="210" t="s">
        <v>236</v>
      </c>
      <c r="M472" s="209" t="s">
        <v>78</v>
      </c>
      <c r="N472" s="209">
        <v>109</v>
      </c>
      <c r="O472" s="209" t="s">
        <v>60</v>
      </c>
      <c r="P472" s="209" t="s">
        <v>79</v>
      </c>
      <c r="Q472" s="211"/>
      <c r="R472" s="211"/>
      <c r="S472" s="212"/>
      <c r="T472" s="211"/>
      <c r="U472" s="211"/>
      <c r="V472" s="170"/>
      <c r="W472" s="129"/>
      <c r="X472" s="129">
        <v>2</v>
      </c>
      <c r="Y472" s="170"/>
      <c r="Z472" s="169" t="s">
        <v>63</v>
      </c>
      <c r="AA472" s="171">
        <v>12</v>
      </c>
      <c r="AB472" s="171">
        <v>4</v>
      </c>
      <c r="AC472" s="172">
        <v>25</v>
      </c>
      <c r="AD472" s="172" t="s">
        <v>80</v>
      </c>
      <c r="AE472" s="172" t="s">
        <v>116</v>
      </c>
      <c r="AF472" s="172">
        <v>6</v>
      </c>
      <c r="AG472" s="172" t="s">
        <v>80</v>
      </c>
      <c r="AH472" s="172" t="s">
        <v>117</v>
      </c>
      <c r="AI472" s="172">
        <v>18</v>
      </c>
      <c r="AJ472" s="172">
        <v>38</v>
      </c>
      <c r="AK472" s="171">
        <v>74</v>
      </c>
      <c r="AL472" s="171" t="s">
        <v>81</v>
      </c>
      <c r="AM472" s="171" t="s">
        <v>118</v>
      </c>
      <c r="AN472" s="171">
        <v>16</v>
      </c>
      <c r="AO472" s="171" t="s">
        <v>81</v>
      </c>
      <c r="AP472" s="173" t="s">
        <v>117</v>
      </c>
      <c r="AQ472" s="171">
        <v>55</v>
      </c>
      <c r="AR472" s="171">
        <v>108</v>
      </c>
      <c r="AS472" s="172"/>
      <c r="AT472" s="172"/>
      <c r="AU472" s="172"/>
      <c r="AV472" s="172"/>
      <c r="AW472" s="172"/>
      <c r="AX472" s="172"/>
      <c r="AY472" s="172"/>
      <c r="AZ472" s="172"/>
      <c r="BA472" s="171"/>
      <c r="BB472" s="171"/>
      <c r="BC472" s="171"/>
      <c r="BD472" s="171"/>
      <c r="BE472" s="171"/>
      <c r="BF472" s="171"/>
      <c r="BG472" s="171"/>
      <c r="BH472" s="171"/>
      <c r="BI472" s="172"/>
      <c r="BJ472" s="172"/>
      <c r="BK472" s="172"/>
      <c r="BL472" s="172"/>
      <c r="BM472" s="172"/>
      <c r="BN472" s="172"/>
      <c r="BO472" s="172"/>
      <c r="BP472" s="172"/>
      <c r="BQ472" s="171" t="s">
        <v>238</v>
      </c>
      <c r="BR472" s="172" t="s">
        <v>859</v>
      </c>
      <c r="BS472" s="124">
        <v>301</v>
      </c>
      <c r="BT472" s="124" t="s">
        <v>668</v>
      </c>
    </row>
    <row r="473" spans="1:72" s="124" customFormat="1" ht="14.25" hidden="1" customHeight="1" x14ac:dyDescent="0.2">
      <c r="A473" s="205">
        <v>302</v>
      </c>
      <c r="B473" s="235" t="s">
        <v>857</v>
      </c>
      <c r="C473" s="236" t="s">
        <v>858</v>
      </c>
      <c r="D473" s="235" t="s">
        <v>863</v>
      </c>
      <c r="E473" s="125" t="s">
        <v>393</v>
      </c>
      <c r="F473" s="181" t="s">
        <v>103</v>
      </c>
      <c r="G473" s="156" t="s">
        <v>56</v>
      </c>
      <c r="H473" s="156" t="s">
        <v>624</v>
      </c>
      <c r="I473" s="156" t="s">
        <v>855</v>
      </c>
      <c r="J473" s="209">
        <v>15</v>
      </c>
      <c r="K473" s="251"/>
      <c r="L473" s="210" t="s">
        <v>236</v>
      </c>
      <c r="M473" s="209" t="s">
        <v>78</v>
      </c>
      <c r="N473" s="209">
        <v>109</v>
      </c>
      <c r="O473" s="209" t="s">
        <v>60</v>
      </c>
      <c r="P473" s="209" t="s">
        <v>79</v>
      </c>
      <c r="Q473" s="211"/>
      <c r="R473" s="211"/>
      <c r="S473" s="212"/>
      <c r="T473" s="211"/>
      <c r="U473" s="211"/>
      <c r="V473" s="170"/>
      <c r="W473" s="129"/>
      <c r="X473" s="129">
        <v>2</v>
      </c>
      <c r="Y473" s="170"/>
      <c r="Z473" s="169" t="s">
        <v>63</v>
      </c>
      <c r="AA473" s="171">
        <v>12</v>
      </c>
      <c r="AB473" s="171">
        <v>4</v>
      </c>
      <c r="AC473" s="172">
        <v>25</v>
      </c>
      <c r="AD473" s="172" t="s">
        <v>80</v>
      </c>
      <c r="AE473" s="172" t="s">
        <v>116</v>
      </c>
      <c r="AF473" s="172">
        <v>6</v>
      </c>
      <c r="AG473" s="172" t="s">
        <v>80</v>
      </c>
      <c r="AH473" s="172" t="s">
        <v>117</v>
      </c>
      <c r="AI473" s="172">
        <v>18</v>
      </c>
      <c r="AJ473" s="172">
        <v>38</v>
      </c>
      <c r="AK473" s="171">
        <v>74</v>
      </c>
      <c r="AL473" s="171" t="s">
        <v>81</v>
      </c>
      <c r="AM473" s="171" t="s">
        <v>118</v>
      </c>
      <c r="AN473" s="171">
        <v>16</v>
      </c>
      <c r="AO473" s="171" t="s">
        <v>81</v>
      </c>
      <c r="AP473" s="173" t="s">
        <v>117</v>
      </c>
      <c r="AQ473" s="171">
        <v>55</v>
      </c>
      <c r="AR473" s="171">
        <v>108</v>
      </c>
      <c r="AS473" s="172"/>
      <c r="AT473" s="172"/>
      <c r="AU473" s="172"/>
      <c r="AV473" s="172"/>
      <c r="AW473" s="172"/>
      <c r="AX473" s="172"/>
      <c r="AY473" s="172"/>
      <c r="AZ473" s="172"/>
      <c r="BA473" s="171"/>
      <c r="BB473" s="171"/>
      <c r="BC473" s="171"/>
      <c r="BD473" s="171"/>
      <c r="BE473" s="171"/>
      <c r="BF473" s="171"/>
      <c r="BG473" s="171"/>
      <c r="BH473" s="171"/>
      <c r="BI473" s="172"/>
      <c r="BJ473" s="172"/>
      <c r="BK473" s="172"/>
      <c r="BL473" s="172"/>
      <c r="BM473" s="172"/>
      <c r="BN473" s="172"/>
      <c r="BO473" s="172"/>
      <c r="BP473" s="172"/>
      <c r="BQ473" s="171" t="s">
        <v>238</v>
      </c>
      <c r="BR473" s="172" t="s">
        <v>859</v>
      </c>
      <c r="BS473" s="124">
        <v>302</v>
      </c>
      <c r="BT473" s="124" t="s">
        <v>668</v>
      </c>
    </row>
    <row r="474" spans="1:72" s="124" customFormat="1" ht="14.25" hidden="1" customHeight="1" x14ac:dyDescent="0.2">
      <c r="A474" s="205">
        <v>303</v>
      </c>
      <c r="B474" s="235" t="s">
        <v>857</v>
      </c>
      <c r="C474" s="236" t="s">
        <v>858</v>
      </c>
      <c r="D474" s="235" t="s">
        <v>768</v>
      </c>
      <c r="E474" s="125" t="s">
        <v>102</v>
      </c>
      <c r="F474" s="181" t="s">
        <v>103</v>
      </c>
      <c r="G474" s="156" t="s">
        <v>56</v>
      </c>
      <c r="H474" s="156" t="s">
        <v>1449</v>
      </c>
      <c r="I474" s="156" t="s">
        <v>855</v>
      </c>
      <c r="J474" s="209">
        <v>3</v>
      </c>
      <c r="K474" s="210"/>
      <c r="L474" s="210" t="s">
        <v>58</v>
      </c>
      <c r="M474" s="209" t="s">
        <v>59</v>
      </c>
      <c r="N474" s="209">
        <v>0</v>
      </c>
      <c r="O474" s="209" t="s">
        <v>60</v>
      </c>
      <c r="P474" s="209" t="s">
        <v>79</v>
      </c>
      <c r="Q474" s="211" t="s">
        <v>864</v>
      </c>
      <c r="R474" s="211"/>
      <c r="S474" s="212"/>
      <c r="T474" s="212">
        <v>100</v>
      </c>
      <c r="U474" s="211"/>
      <c r="V474" s="170"/>
      <c r="W474" s="129"/>
      <c r="X474" s="129">
        <v>3</v>
      </c>
      <c r="Y474" s="170"/>
      <c r="Z474" s="169" t="s">
        <v>63</v>
      </c>
      <c r="AA474" s="171">
        <v>12</v>
      </c>
      <c r="AB474" s="171">
        <v>4</v>
      </c>
      <c r="AC474" s="172">
        <v>25</v>
      </c>
      <c r="AD474" s="172" t="s">
        <v>80</v>
      </c>
      <c r="AE474" s="172" t="s">
        <v>116</v>
      </c>
      <c r="AF474" s="172">
        <v>6</v>
      </c>
      <c r="AG474" s="172" t="s">
        <v>80</v>
      </c>
      <c r="AH474" s="172" t="s">
        <v>117</v>
      </c>
      <c r="AI474" s="172">
        <v>18</v>
      </c>
      <c r="AJ474" s="172">
        <v>38</v>
      </c>
      <c r="AK474" s="171">
        <v>74</v>
      </c>
      <c r="AL474" s="171" t="s">
        <v>81</v>
      </c>
      <c r="AM474" s="171" t="s">
        <v>118</v>
      </c>
      <c r="AN474" s="171">
        <v>16</v>
      </c>
      <c r="AO474" s="171" t="s">
        <v>81</v>
      </c>
      <c r="AP474" s="173" t="s">
        <v>117</v>
      </c>
      <c r="AQ474" s="171">
        <v>55</v>
      </c>
      <c r="AR474" s="171">
        <v>108</v>
      </c>
      <c r="AS474" s="172"/>
      <c r="AT474" s="172"/>
      <c r="AU474" s="172"/>
      <c r="AV474" s="172"/>
      <c r="AW474" s="172"/>
      <c r="AX474" s="172"/>
      <c r="AY474" s="172"/>
      <c r="AZ474" s="172"/>
      <c r="BA474" s="171"/>
      <c r="BB474" s="171"/>
      <c r="BC474" s="171"/>
      <c r="BD474" s="171"/>
      <c r="BE474" s="171"/>
      <c r="BF474" s="171"/>
      <c r="BG474" s="171"/>
      <c r="BH474" s="171"/>
      <c r="BI474" s="172"/>
      <c r="BJ474" s="172"/>
      <c r="BK474" s="172"/>
      <c r="BL474" s="172"/>
      <c r="BM474" s="172"/>
      <c r="BN474" s="172"/>
      <c r="BO474" s="172"/>
      <c r="BP474" s="172"/>
      <c r="BQ474" s="171" t="s">
        <v>238</v>
      </c>
      <c r="BR474" s="172" t="s">
        <v>859</v>
      </c>
      <c r="BS474" s="124">
        <v>303</v>
      </c>
      <c r="BT474" s="124" t="s">
        <v>668</v>
      </c>
    </row>
    <row r="475" spans="1:72" s="124" customFormat="1" ht="14.25" hidden="1" customHeight="1" x14ac:dyDescent="0.2">
      <c r="A475" s="205">
        <v>304</v>
      </c>
      <c r="B475" s="235" t="s">
        <v>857</v>
      </c>
      <c r="C475" s="236" t="s">
        <v>858</v>
      </c>
      <c r="D475" s="235" t="s">
        <v>865</v>
      </c>
      <c r="E475" s="125" t="s">
        <v>102</v>
      </c>
      <c r="F475" s="181" t="s">
        <v>103</v>
      </c>
      <c r="G475" s="156" t="s">
        <v>56</v>
      </c>
      <c r="H475" s="156" t="s">
        <v>1449</v>
      </c>
      <c r="I475" s="156" t="s">
        <v>855</v>
      </c>
      <c r="J475" s="209">
        <v>3</v>
      </c>
      <c r="K475" s="210"/>
      <c r="L475" s="210" t="s">
        <v>58</v>
      </c>
      <c r="M475" s="209" t="s">
        <v>59</v>
      </c>
      <c r="N475" s="209">
        <v>132</v>
      </c>
      <c r="O475" s="209" t="s">
        <v>60</v>
      </c>
      <c r="P475" s="209" t="s">
        <v>79</v>
      </c>
      <c r="Q475" s="211" t="s">
        <v>864</v>
      </c>
      <c r="R475" s="211"/>
      <c r="S475" s="212"/>
      <c r="T475" s="212">
        <v>100</v>
      </c>
      <c r="U475" s="211"/>
      <c r="V475" s="170"/>
      <c r="W475" s="129"/>
      <c r="X475" s="129">
        <v>3</v>
      </c>
      <c r="Y475" s="170"/>
      <c r="Z475" s="169" t="s">
        <v>63</v>
      </c>
      <c r="AA475" s="171">
        <v>12</v>
      </c>
      <c r="AB475" s="171">
        <v>4</v>
      </c>
      <c r="AC475" s="172">
        <v>25</v>
      </c>
      <c r="AD475" s="172" t="s">
        <v>80</v>
      </c>
      <c r="AE475" s="172" t="s">
        <v>116</v>
      </c>
      <c r="AF475" s="172">
        <v>6</v>
      </c>
      <c r="AG475" s="172" t="s">
        <v>80</v>
      </c>
      <c r="AH475" s="172" t="s">
        <v>117</v>
      </c>
      <c r="AI475" s="172">
        <v>18</v>
      </c>
      <c r="AJ475" s="172">
        <v>38</v>
      </c>
      <c r="AK475" s="171">
        <v>74</v>
      </c>
      <c r="AL475" s="171" t="s">
        <v>81</v>
      </c>
      <c r="AM475" s="171" t="s">
        <v>118</v>
      </c>
      <c r="AN475" s="171">
        <v>16</v>
      </c>
      <c r="AO475" s="171" t="s">
        <v>81</v>
      </c>
      <c r="AP475" s="173" t="s">
        <v>117</v>
      </c>
      <c r="AQ475" s="171">
        <v>55</v>
      </c>
      <c r="AR475" s="171">
        <v>108</v>
      </c>
      <c r="AS475" s="172"/>
      <c r="AT475" s="172"/>
      <c r="AU475" s="172"/>
      <c r="AV475" s="172"/>
      <c r="AW475" s="172"/>
      <c r="AX475" s="172"/>
      <c r="AY475" s="172"/>
      <c r="AZ475" s="172"/>
      <c r="BA475" s="171"/>
      <c r="BB475" s="171"/>
      <c r="BC475" s="171"/>
      <c r="BD475" s="171"/>
      <c r="BE475" s="171"/>
      <c r="BF475" s="171"/>
      <c r="BG475" s="171"/>
      <c r="BH475" s="171"/>
      <c r="BI475" s="172"/>
      <c r="BJ475" s="172"/>
      <c r="BK475" s="172"/>
      <c r="BL475" s="172"/>
      <c r="BM475" s="172"/>
      <c r="BN475" s="172"/>
      <c r="BO475" s="172"/>
      <c r="BP475" s="172"/>
      <c r="BQ475" s="171" t="s">
        <v>238</v>
      </c>
      <c r="BR475" s="172" t="s">
        <v>859</v>
      </c>
      <c r="BS475" s="124">
        <v>304</v>
      </c>
      <c r="BT475" s="124" t="s">
        <v>668</v>
      </c>
    </row>
    <row r="476" spans="1:72" s="124" customFormat="1" ht="14.25" hidden="1" customHeight="1" x14ac:dyDescent="0.2">
      <c r="A476" s="205">
        <v>305</v>
      </c>
      <c r="B476" s="235" t="s">
        <v>857</v>
      </c>
      <c r="C476" s="236" t="s">
        <v>858</v>
      </c>
      <c r="D476" s="235" t="s">
        <v>866</v>
      </c>
      <c r="E476" s="125" t="s">
        <v>102</v>
      </c>
      <c r="F476" s="181" t="s">
        <v>103</v>
      </c>
      <c r="G476" s="156" t="s">
        <v>56</v>
      </c>
      <c r="H476" s="156" t="s">
        <v>1449</v>
      </c>
      <c r="I476" s="156" t="s">
        <v>855</v>
      </c>
      <c r="J476" s="209">
        <v>3</v>
      </c>
      <c r="K476" s="210"/>
      <c r="L476" s="210" t="s">
        <v>58</v>
      </c>
      <c r="M476" s="209" t="s">
        <v>59</v>
      </c>
      <c r="N476" s="209">
        <v>132</v>
      </c>
      <c r="O476" s="209" t="s">
        <v>60</v>
      </c>
      <c r="P476" s="209" t="s">
        <v>79</v>
      </c>
      <c r="Q476" s="211" t="s">
        <v>864</v>
      </c>
      <c r="R476" s="211"/>
      <c r="S476" s="212"/>
      <c r="T476" s="212">
        <v>100</v>
      </c>
      <c r="U476" s="211"/>
      <c r="V476" s="170"/>
      <c r="W476" s="129"/>
      <c r="X476" s="129">
        <v>3</v>
      </c>
      <c r="Y476" s="170"/>
      <c r="Z476" s="169" t="s">
        <v>63</v>
      </c>
      <c r="AA476" s="171">
        <v>12</v>
      </c>
      <c r="AB476" s="171">
        <v>4</v>
      </c>
      <c r="AC476" s="172">
        <v>25</v>
      </c>
      <c r="AD476" s="172" t="s">
        <v>80</v>
      </c>
      <c r="AE476" s="172" t="s">
        <v>116</v>
      </c>
      <c r="AF476" s="172">
        <v>6</v>
      </c>
      <c r="AG476" s="172" t="s">
        <v>80</v>
      </c>
      <c r="AH476" s="172" t="s">
        <v>117</v>
      </c>
      <c r="AI476" s="172">
        <v>18</v>
      </c>
      <c r="AJ476" s="172">
        <v>38</v>
      </c>
      <c r="AK476" s="171">
        <v>74</v>
      </c>
      <c r="AL476" s="171" t="s">
        <v>81</v>
      </c>
      <c r="AM476" s="171" t="s">
        <v>118</v>
      </c>
      <c r="AN476" s="171">
        <v>16</v>
      </c>
      <c r="AO476" s="171" t="s">
        <v>81</v>
      </c>
      <c r="AP476" s="173" t="s">
        <v>117</v>
      </c>
      <c r="AQ476" s="171">
        <v>55</v>
      </c>
      <c r="AR476" s="171">
        <v>108</v>
      </c>
      <c r="AS476" s="172"/>
      <c r="AT476" s="172"/>
      <c r="AU476" s="172"/>
      <c r="AV476" s="172"/>
      <c r="AW476" s="172"/>
      <c r="AX476" s="172"/>
      <c r="AY476" s="172"/>
      <c r="AZ476" s="172"/>
      <c r="BA476" s="171"/>
      <c r="BB476" s="171"/>
      <c r="BC476" s="171"/>
      <c r="BD476" s="171"/>
      <c r="BE476" s="171"/>
      <c r="BF476" s="171"/>
      <c r="BG476" s="171"/>
      <c r="BH476" s="171"/>
      <c r="BI476" s="172"/>
      <c r="BJ476" s="172"/>
      <c r="BK476" s="172"/>
      <c r="BL476" s="172"/>
      <c r="BM476" s="172"/>
      <c r="BN476" s="172"/>
      <c r="BO476" s="172"/>
      <c r="BP476" s="172"/>
      <c r="BQ476" s="171" t="s">
        <v>238</v>
      </c>
      <c r="BR476" s="172" t="s">
        <v>859</v>
      </c>
      <c r="BS476" s="124">
        <v>305</v>
      </c>
      <c r="BT476" s="124" t="s">
        <v>668</v>
      </c>
    </row>
    <row r="477" spans="1:72" s="124" customFormat="1" ht="14.25" hidden="1" customHeight="1" x14ac:dyDescent="0.2">
      <c r="A477" s="205">
        <v>306</v>
      </c>
      <c r="B477" s="235" t="s">
        <v>857</v>
      </c>
      <c r="C477" s="236" t="s">
        <v>858</v>
      </c>
      <c r="D477" s="235" t="s">
        <v>867</v>
      </c>
      <c r="E477" s="125" t="s">
        <v>102</v>
      </c>
      <c r="F477" s="181" t="s">
        <v>103</v>
      </c>
      <c r="G477" s="156" t="s">
        <v>56</v>
      </c>
      <c r="H477" s="156" t="s">
        <v>1449</v>
      </c>
      <c r="I477" s="156" t="s">
        <v>855</v>
      </c>
      <c r="J477" s="209">
        <v>3</v>
      </c>
      <c r="K477" s="210"/>
      <c r="L477" s="210" t="s">
        <v>58</v>
      </c>
      <c r="M477" s="209" t="s">
        <v>59</v>
      </c>
      <c r="N477" s="209">
        <v>132</v>
      </c>
      <c r="O477" s="209" t="s">
        <v>60</v>
      </c>
      <c r="P477" s="209" t="s">
        <v>79</v>
      </c>
      <c r="Q477" s="211" t="s">
        <v>864</v>
      </c>
      <c r="R477" s="211"/>
      <c r="S477" s="212"/>
      <c r="T477" s="212">
        <v>100</v>
      </c>
      <c r="U477" s="211"/>
      <c r="V477" s="170"/>
      <c r="W477" s="129"/>
      <c r="X477" s="129">
        <v>3</v>
      </c>
      <c r="Y477" s="170"/>
      <c r="Z477" s="169" t="s">
        <v>63</v>
      </c>
      <c r="AA477" s="171">
        <v>12</v>
      </c>
      <c r="AB477" s="171">
        <v>4</v>
      </c>
      <c r="AC477" s="172">
        <v>25</v>
      </c>
      <c r="AD477" s="172" t="s">
        <v>80</v>
      </c>
      <c r="AE477" s="172" t="s">
        <v>116</v>
      </c>
      <c r="AF477" s="172">
        <v>6</v>
      </c>
      <c r="AG477" s="172" t="s">
        <v>80</v>
      </c>
      <c r="AH477" s="172" t="s">
        <v>117</v>
      </c>
      <c r="AI477" s="172">
        <v>18</v>
      </c>
      <c r="AJ477" s="172">
        <v>38</v>
      </c>
      <c r="AK477" s="171">
        <v>74</v>
      </c>
      <c r="AL477" s="171" t="s">
        <v>81</v>
      </c>
      <c r="AM477" s="171" t="s">
        <v>118</v>
      </c>
      <c r="AN477" s="171">
        <v>16</v>
      </c>
      <c r="AO477" s="171" t="s">
        <v>81</v>
      </c>
      <c r="AP477" s="173" t="s">
        <v>117</v>
      </c>
      <c r="AQ477" s="171">
        <v>55</v>
      </c>
      <c r="AR477" s="171">
        <v>108</v>
      </c>
      <c r="AS477" s="172"/>
      <c r="AT477" s="172"/>
      <c r="AU477" s="172"/>
      <c r="AV477" s="172"/>
      <c r="AW477" s="172"/>
      <c r="AX477" s="172"/>
      <c r="AY477" s="172"/>
      <c r="AZ477" s="172"/>
      <c r="BA477" s="171"/>
      <c r="BB477" s="171"/>
      <c r="BC477" s="171"/>
      <c r="BD477" s="171"/>
      <c r="BE477" s="171"/>
      <c r="BF477" s="171"/>
      <c r="BG477" s="171"/>
      <c r="BH477" s="171"/>
      <c r="BI477" s="172"/>
      <c r="BJ477" s="172"/>
      <c r="BK477" s="172"/>
      <c r="BL477" s="172"/>
      <c r="BM477" s="172"/>
      <c r="BN477" s="172"/>
      <c r="BO477" s="172"/>
      <c r="BP477" s="172"/>
      <c r="BQ477" s="171" t="s">
        <v>238</v>
      </c>
      <c r="BR477" s="172" t="s">
        <v>859</v>
      </c>
      <c r="BS477" s="124">
        <v>306</v>
      </c>
      <c r="BT477" s="124" t="s">
        <v>668</v>
      </c>
    </row>
    <row r="478" spans="1:72" s="124" customFormat="1" ht="14.25" hidden="1" customHeight="1" x14ac:dyDescent="0.2">
      <c r="A478" s="205">
        <v>307</v>
      </c>
      <c r="B478" s="235" t="s">
        <v>857</v>
      </c>
      <c r="C478" s="236" t="s">
        <v>858</v>
      </c>
      <c r="D478" s="235" t="s">
        <v>868</v>
      </c>
      <c r="E478" s="125" t="s">
        <v>102</v>
      </c>
      <c r="F478" s="181" t="s">
        <v>103</v>
      </c>
      <c r="G478" s="156" t="s">
        <v>56</v>
      </c>
      <c r="H478" s="156" t="s">
        <v>1449</v>
      </c>
      <c r="I478" s="156" t="s">
        <v>855</v>
      </c>
      <c r="J478" s="209">
        <v>3</v>
      </c>
      <c r="K478" s="210"/>
      <c r="L478" s="210" t="s">
        <v>58</v>
      </c>
      <c r="M478" s="209" t="s">
        <v>59</v>
      </c>
      <c r="N478" s="209">
        <v>132</v>
      </c>
      <c r="O478" s="209" t="s">
        <v>60</v>
      </c>
      <c r="P478" s="209" t="s">
        <v>79</v>
      </c>
      <c r="Q478" s="211" t="s">
        <v>864</v>
      </c>
      <c r="R478" s="211"/>
      <c r="S478" s="212"/>
      <c r="T478" s="212">
        <v>100</v>
      </c>
      <c r="U478" s="211"/>
      <c r="V478" s="170"/>
      <c r="W478" s="129"/>
      <c r="X478" s="129">
        <v>3</v>
      </c>
      <c r="Y478" s="170"/>
      <c r="Z478" s="169" t="s">
        <v>63</v>
      </c>
      <c r="AA478" s="171">
        <v>12</v>
      </c>
      <c r="AB478" s="171">
        <v>4</v>
      </c>
      <c r="AC478" s="172">
        <v>25</v>
      </c>
      <c r="AD478" s="172" t="s">
        <v>80</v>
      </c>
      <c r="AE478" s="172" t="s">
        <v>116</v>
      </c>
      <c r="AF478" s="172">
        <v>6</v>
      </c>
      <c r="AG478" s="172" t="s">
        <v>80</v>
      </c>
      <c r="AH478" s="172" t="s">
        <v>117</v>
      </c>
      <c r="AI478" s="172">
        <v>18</v>
      </c>
      <c r="AJ478" s="172">
        <v>38</v>
      </c>
      <c r="AK478" s="171">
        <v>74</v>
      </c>
      <c r="AL478" s="171" t="s">
        <v>81</v>
      </c>
      <c r="AM478" s="171" t="s">
        <v>118</v>
      </c>
      <c r="AN478" s="171">
        <v>16</v>
      </c>
      <c r="AO478" s="171" t="s">
        <v>81</v>
      </c>
      <c r="AP478" s="173" t="s">
        <v>117</v>
      </c>
      <c r="AQ478" s="171">
        <v>55</v>
      </c>
      <c r="AR478" s="171">
        <v>108</v>
      </c>
      <c r="AS478" s="172"/>
      <c r="AT478" s="172"/>
      <c r="AU478" s="172"/>
      <c r="AV478" s="172"/>
      <c r="AW478" s="172"/>
      <c r="AX478" s="172"/>
      <c r="AY478" s="172"/>
      <c r="AZ478" s="172"/>
      <c r="BA478" s="171"/>
      <c r="BB478" s="171"/>
      <c r="BC478" s="171"/>
      <c r="BD478" s="171"/>
      <c r="BE478" s="171"/>
      <c r="BF478" s="171"/>
      <c r="BG478" s="171"/>
      <c r="BH478" s="171"/>
      <c r="BI478" s="172"/>
      <c r="BJ478" s="172"/>
      <c r="BK478" s="172"/>
      <c r="BL478" s="172"/>
      <c r="BM478" s="172"/>
      <c r="BN478" s="172"/>
      <c r="BO478" s="172"/>
      <c r="BP478" s="172"/>
      <c r="BQ478" s="171" t="s">
        <v>238</v>
      </c>
      <c r="BR478" s="172" t="s">
        <v>859</v>
      </c>
      <c r="BS478" s="124">
        <v>307</v>
      </c>
      <c r="BT478" s="124" t="s">
        <v>668</v>
      </c>
    </row>
    <row r="479" spans="1:72" s="124" customFormat="1" ht="14.25" hidden="1" customHeight="1" x14ac:dyDescent="0.2">
      <c r="A479" s="205">
        <v>308</v>
      </c>
      <c r="B479" s="235" t="s">
        <v>857</v>
      </c>
      <c r="C479" s="236" t="s">
        <v>858</v>
      </c>
      <c r="D479" s="235" t="s">
        <v>768</v>
      </c>
      <c r="E479" s="125" t="s">
        <v>393</v>
      </c>
      <c r="F479" s="181" t="s">
        <v>103</v>
      </c>
      <c r="G479" s="156" t="s">
        <v>56</v>
      </c>
      <c r="H479" s="156" t="s">
        <v>1450</v>
      </c>
      <c r="I479" s="156" t="s">
        <v>855</v>
      </c>
      <c r="J479" s="209">
        <v>75</v>
      </c>
      <c r="K479" s="251"/>
      <c r="L479" s="210" t="s">
        <v>236</v>
      </c>
      <c r="M479" s="209" t="s">
        <v>59</v>
      </c>
      <c r="N479" s="209">
        <v>0</v>
      </c>
      <c r="O479" s="209" t="s">
        <v>60</v>
      </c>
      <c r="P479" s="209" t="s">
        <v>79</v>
      </c>
      <c r="Q479" s="211" t="s">
        <v>864</v>
      </c>
      <c r="R479" s="211"/>
      <c r="S479" s="212"/>
      <c r="T479" s="212">
        <v>100</v>
      </c>
      <c r="U479" s="211"/>
      <c r="V479" s="170"/>
      <c r="W479" s="129"/>
      <c r="X479" s="129">
        <v>2</v>
      </c>
      <c r="Y479" s="170"/>
      <c r="Z479" s="169" t="s">
        <v>63</v>
      </c>
      <c r="AA479" s="171">
        <v>12</v>
      </c>
      <c r="AB479" s="171">
        <v>4</v>
      </c>
      <c r="AC479" s="172">
        <v>25</v>
      </c>
      <c r="AD479" s="172" t="s">
        <v>80</v>
      </c>
      <c r="AE479" s="172" t="s">
        <v>116</v>
      </c>
      <c r="AF479" s="172">
        <v>6</v>
      </c>
      <c r="AG479" s="172" t="s">
        <v>80</v>
      </c>
      <c r="AH479" s="172" t="s">
        <v>117</v>
      </c>
      <c r="AI479" s="172">
        <v>18</v>
      </c>
      <c r="AJ479" s="172">
        <v>38</v>
      </c>
      <c r="AK479" s="171">
        <v>74</v>
      </c>
      <c r="AL479" s="171" t="s">
        <v>81</v>
      </c>
      <c r="AM479" s="171" t="s">
        <v>118</v>
      </c>
      <c r="AN479" s="171">
        <v>16</v>
      </c>
      <c r="AO479" s="171" t="s">
        <v>81</v>
      </c>
      <c r="AP479" s="173" t="s">
        <v>117</v>
      </c>
      <c r="AQ479" s="171">
        <v>55</v>
      </c>
      <c r="AR479" s="171">
        <v>108</v>
      </c>
      <c r="AS479" s="172"/>
      <c r="AT479" s="172"/>
      <c r="AU479" s="172"/>
      <c r="AV479" s="172"/>
      <c r="AW479" s="172"/>
      <c r="AX479" s="172"/>
      <c r="AY479" s="172"/>
      <c r="AZ479" s="172"/>
      <c r="BA479" s="171"/>
      <c r="BB479" s="171"/>
      <c r="BC479" s="171"/>
      <c r="BD479" s="171"/>
      <c r="BE479" s="171"/>
      <c r="BF479" s="171"/>
      <c r="BG479" s="171"/>
      <c r="BH479" s="171"/>
      <c r="BI479" s="172"/>
      <c r="BJ479" s="172"/>
      <c r="BK479" s="172"/>
      <c r="BL479" s="172"/>
      <c r="BM479" s="172"/>
      <c r="BN479" s="172"/>
      <c r="BO479" s="172"/>
      <c r="BP479" s="172"/>
      <c r="BQ479" s="171" t="s">
        <v>238</v>
      </c>
      <c r="BR479" s="172" t="s">
        <v>859</v>
      </c>
      <c r="BS479" s="124">
        <v>308</v>
      </c>
      <c r="BT479" s="124" t="s">
        <v>668</v>
      </c>
    </row>
    <row r="480" spans="1:72" s="124" customFormat="1" ht="14.25" hidden="1" customHeight="1" x14ac:dyDescent="0.2">
      <c r="A480" s="205">
        <v>309</v>
      </c>
      <c r="B480" s="235" t="s">
        <v>857</v>
      </c>
      <c r="C480" s="236" t="s">
        <v>858</v>
      </c>
      <c r="D480" s="235" t="s">
        <v>865</v>
      </c>
      <c r="E480" s="125" t="s">
        <v>393</v>
      </c>
      <c r="F480" s="181" t="s">
        <v>103</v>
      </c>
      <c r="G480" s="156" t="s">
        <v>56</v>
      </c>
      <c r="H480" s="156" t="s">
        <v>1450</v>
      </c>
      <c r="I480" s="156" t="s">
        <v>855</v>
      </c>
      <c r="J480" s="209">
        <v>75</v>
      </c>
      <c r="K480" s="251"/>
      <c r="L480" s="210" t="s">
        <v>236</v>
      </c>
      <c r="M480" s="209" t="s">
        <v>59</v>
      </c>
      <c r="N480" s="209">
        <v>133</v>
      </c>
      <c r="O480" s="209" t="s">
        <v>60</v>
      </c>
      <c r="P480" s="209" t="s">
        <v>79</v>
      </c>
      <c r="Q480" s="211" t="s">
        <v>864</v>
      </c>
      <c r="R480" s="211"/>
      <c r="S480" s="212"/>
      <c r="T480" s="212">
        <v>100</v>
      </c>
      <c r="U480" s="211"/>
      <c r="V480" s="170"/>
      <c r="W480" s="129"/>
      <c r="X480" s="129">
        <v>2</v>
      </c>
      <c r="Y480" s="170"/>
      <c r="Z480" s="169" t="s">
        <v>63</v>
      </c>
      <c r="AA480" s="171">
        <v>12</v>
      </c>
      <c r="AB480" s="171">
        <v>4</v>
      </c>
      <c r="AC480" s="172">
        <v>25</v>
      </c>
      <c r="AD480" s="172" t="s">
        <v>80</v>
      </c>
      <c r="AE480" s="172" t="s">
        <v>116</v>
      </c>
      <c r="AF480" s="172">
        <v>6</v>
      </c>
      <c r="AG480" s="172" t="s">
        <v>80</v>
      </c>
      <c r="AH480" s="172" t="s">
        <v>117</v>
      </c>
      <c r="AI480" s="172">
        <v>18</v>
      </c>
      <c r="AJ480" s="172">
        <v>38</v>
      </c>
      <c r="AK480" s="171">
        <v>74</v>
      </c>
      <c r="AL480" s="171" t="s">
        <v>81</v>
      </c>
      <c r="AM480" s="171" t="s">
        <v>118</v>
      </c>
      <c r="AN480" s="171">
        <v>16</v>
      </c>
      <c r="AO480" s="171" t="s">
        <v>81</v>
      </c>
      <c r="AP480" s="173" t="s">
        <v>117</v>
      </c>
      <c r="AQ480" s="171">
        <v>55</v>
      </c>
      <c r="AR480" s="171">
        <v>108</v>
      </c>
      <c r="AS480" s="172"/>
      <c r="AT480" s="172"/>
      <c r="AU480" s="172"/>
      <c r="AV480" s="172"/>
      <c r="AW480" s="172"/>
      <c r="AX480" s="172"/>
      <c r="AY480" s="172"/>
      <c r="AZ480" s="172"/>
      <c r="BA480" s="171"/>
      <c r="BB480" s="171"/>
      <c r="BC480" s="171"/>
      <c r="BD480" s="171"/>
      <c r="BE480" s="171"/>
      <c r="BF480" s="171"/>
      <c r="BG480" s="171"/>
      <c r="BH480" s="171"/>
      <c r="BI480" s="172"/>
      <c r="BJ480" s="172"/>
      <c r="BK480" s="172"/>
      <c r="BL480" s="172"/>
      <c r="BM480" s="172"/>
      <c r="BN480" s="172"/>
      <c r="BO480" s="172"/>
      <c r="BP480" s="172"/>
      <c r="BQ480" s="171" t="s">
        <v>238</v>
      </c>
      <c r="BR480" s="172" t="s">
        <v>859</v>
      </c>
      <c r="BS480" s="124">
        <v>309</v>
      </c>
      <c r="BT480" s="124" t="s">
        <v>668</v>
      </c>
    </row>
    <row r="481" spans="1:72" s="124" customFormat="1" ht="14.25" hidden="1" customHeight="1" x14ac:dyDescent="0.2">
      <c r="A481" s="205">
        <v>310</v>
      </c>
      <c r="B481" s="235" t="s">
        <v>857</v>
      </c>
      <c r="C481" s="236" t="s">
        <v>858</v>
      </c>
      <c r="D481" s="235" t="s">
        <v>866</v>
      </c>
      <c r="E481" s="125" t="s">
        <v>393</v>
      </c>
      <c r="F481" s="181" t="s">
        <v>103</v>
      </c>
      <c r="G481" s="156" t="s">
        <v>56</v>
      </c>
      <c r="H481" s="156" t="s">
        <v>1450</v>
      </c>
      <c r="I481" s="156" t="s">
        <v>855</v>
      </c>
      <c r="J481" s="209">
        <v>75</v>
      </c>
      <c r="K481" s="251"/>
      <c r="L481" s="210" t="s">
        <v>236</v>
      </c>
      <c r="M481" s="209" t="s">
        <v>59</v>
      </c>
      <c r="N481" s="209">
        <v>133</v>
      </c>
      <c r="O481" s="209" t="s">
        <v>60</v>
      </c>
      <c r="P481" s="209" t="s">
        <v>79</v>
      </c>
      <c r="Q481" s="211" t="s">
        <v>864</v>
      </c>
      <c r="R481" s="211"/>
      <c r="S481" s="212"/>
      <c r="T481" s="212">
        <v>100</v>
      </c>
      <c r="U481" s="211"/>
      <c r="V481" s="170"/>
      <c r="W481" s="129"/>
      <c r="X481" s="129">
        <v>2</v>
      </c>
      <c r="Y481" s="170"/>
      <c r="Z481" s="169" t="s">
        <v>63</v>
      </c>
      <c r="AA481" s="171">
        <v>12</v>
      </c>
      <c r="AB481" s="171">
        <v>4</v>
      </c>
      <c r="AC481" s="172">
        <v>25</v>
      </c>
      <c r="AD481" s="172" t="s">
        <v>80</v>
      </c>
      <c r="AE481" s="172" t="s">
        <v>116</v>
      </c>
      <c r="AF481" s="172">
        <v>6</v>
      </c>
      <c r="AG481" s="172" t="s">
        <v>80</v>
      </c>
      <c r="AH481" s="172" t="s">
        <v>117</v>
      </c>
      <c r="AI481" s="172">
        <v>18</v>
      </c>
      <c r="AJ481" s="172">
        <v>38</v>
      </c>
      <c r="AK481" s="171">
        <v>74</v>
      </c>
      <c r="AL481" s="171" t="s">
        <v>81</v>
      </c>
      <c r="AM481" s="171" t="s">
        <v>118</v>
      </c>
      <c r="AN481" s="171">
        <v>16</v>
      </c>
      <c r="AO481" s="171" t="s">
        <v>81</v>
      </c>
      <c r="AP481" s="173" t="s">
        <v>117</v>
      </c>
      <c r="AQ481" s="171">
        <v>55</v>
      </c>
      <c r="AR481" s="171">
        <v>108</v>
      </c>
      <c r="AS481" s="172"/>
      <c r="AT481" s="172"/>
      <c r="AU481" s="172"/>
      <c r="AV481" s="172"/>
      <c r="AW481" s="172"/>
      <c r="AX481" s="172"/>
      <c r="AY481" s="172"/>
      <c r="AZ481" s="172"/>
      <c r="BA481" s="171"/>
      <c r="BB481" s="171"/>
      <c r="BC481" s="171"/>
      <c r="BD481" s="171"/>
      <c r="BE481" s="171"/>
      <c r="BF481" s="171"/>
      <c r="BG481" s="171"/>
      <c r="BH481" s="171"/>
      <c r="BI481" s="172"/>
      <c r="BJ481" s="172"/>
      <c r="BK481" s="172"/>
      <c r="BL481" s="172"/>
      <c r="BM481" s="172"/>
      <c r="BN481" s="172"/>
      <c r="BO481" s="172"/>
      <c r="BP481" s="172"/>
      <c r="BQ481" s="171" t="s">
        <v>238</v>
      </c>
      <c r="BR481" s="172" t="s">
        <v>859</v>
      </c>
      <c r="BS481" s="124">
        <v>310</v>
      </c>
      <c r="BT481" s="124" t="s">
        <v>668</v>
      </c>
    </row>
    <row r="482" spans="1:72" s="124" customFormat="1" ht="14.25" hidden="1" customHeight="1" x14ac:dyDescent="0.2">
      <c r="A482" s="205">
        <v>311</v>
      </c>
      <c r="B482" s="235" t="s">
        <v>857</v>
      </c>
      <c r="C482" s="236" t="s">
        <v>858</v>
      </c>
      <c r="D482" s="235" t="s">
        <v>867</v>
      </c>
      <c r="E482" s="125" t="s">
        <v>393</v>
      </c>
      <c r="F482" s="181" t="s">
        <v>103</v>
      </c>
      <c r="G482" s="156" t="s">
        <v>56</v>
      </c>
      <c r="H482" s="156" t="s">
        <v>1450</v>
      </c>
      <c r="I482" s="156" t="s">
        <v>855</v>
      </c>
      <c r="J482" s="209">
        <v>75</v>
      </c>
      <c r="K482" s="251"/>
      <c r="L482" s="210" t="s">
        <v>236</v>
      </c>
      <c r="M482" s="209" t="s">
        <v>59</v>
      </c>
      <c r="N482" s="209">
        <v>133</v>
      </c>
      <c r="O482" s="209" t="s">
        <v>60</v>
      </c>
      <c r="P482" s="209" t="s">
        <v>79</v>
      </c>
      <c r="Q482" s="211" t="s">
        <v>864</v>
      </c>
      <c r="R482" s="211"/>
      <c r="S482" s="212"/>
      <c r="T482" s="212">
        <v>100</v>
      </c>
      <c r="U482" s="211"/>
      <c r="V482" s="170"/>
      <c r="W482" s="129"/>
      <c r="X482" s="129">
        <v>2</v>
      </c>
      <c r="Y482" s="170"/>
      <c r="Z482" s="169" t="s">
        <v>63</v>
      </c>
      <c r="AA482" s="171">
        <v>12</v>
      </c>
      <c r="AB482" s="171">
        <v>4</v>
      </c>
      <c r="AC482" s="172">
        <v>25</v>
      </c>
      <c r="AD482" s="172" t="s">
        <v>80</v>
      </c>
      <c r="AE482" s="172" t="s">
        <v>116</v>
      </c>
      <c r="AF482" s="172">
        <v>6</v>
      </c>
      <c r="AG482" s="172" t="s">
        <v>80</v>
      </c>
      <c r="AH482" s="172" t="s">
        <v>117</v>
      </c>
      <c r="AI482" s="172">
        <v>18</v>
      </c>
      <c r="AJ482" s="172">
        <v>38</v>
      </c>
      <c r="AK482" s="171">
        <v>74</v>
      </c>
      <c r="AL482" s="171" t="s">
        <v>81</v>
      </c>
      <c r="AM482" s="171" t="s">
        <v>118</v>
      </c>
      <c r="AN482" s="171">
        <v>16</v>
      </c>
      <c r="AO482" s="171" t="s">
        <v>81</v>
      </c>
      <c r="AP482" s="173" t="s">
        <v>117</v>
      </c>
      <c r="AQ482" s="171">
        <v>55</v>
      </c>
      <c r="AR482" s="171">
        <v>108</v>
      </c>
      <c r="AS482" s="172"/>
      <c r="AT482" s="172"/>
      <c r="AU482" s="172"/>
      <c r="AV482" s="172"/>
      <c r="AW482" s="172"/>
      <c r="AX482" s="172"/>
      <c r="AY482" s="172"/>
      <c r="AZ482" s="172"/>
      <c r="BA482" s="171"/>
      <c r="BB482" s="171"/>
      <c r="BC482" s="171"/>
      <c r="BD482" s="171"/>
      <c r="BE482" s="171"/>
      <c r="BF482" s="171"/>
      <c r="BG482" s="171"/>
      <c r="BH482" s="171"/>
      <c r="BI482" s="172"/>
      <c r="BJ482" s="172"/>
      <c r="BK482" s="172"/>
      <c r="BL482" s="172"/>
      <c r="BM482" s="172"/>
      <c r="BN482" s="172"/>
      <c r="BO482" s="172"/>
      <c r="BP482" s="172"/>
      <c r="BQ482" s="171" t="s">
        <v>238</v>
      </c>
      <c r="BR482" s="172" t="s">
        <v>859</v>
      </c>
      <c r="BS482" s="124">
        <v>311</v>
      </c>
      <c r="BT482" s="124" t="s">
        <v>668</v>
      </c>
    </row>
    <row r="483" spans="1:72" s="124" customFormat="1" ht="14.25" hidden="1" customHeight="1" x14ac:dyDescent="0.2">
      <c r="A483" s="205">
        <v>312</v>
      </c>
      <c r="B483" s="235" t="s">
        <v>857</v>
      </c>
      <c r="C483" s="236" t="s">
        <v>858</v>
      </c>
      <c r="D483" s="235" t="s">
        <v>868</v>
      </c>
      <c r="E483" s="125" t="s">
        <v>393</v>
      </c>
      <c r="F483" s="181" t="s">
        <v>103</v>
      </c>
      <c r="G483" s="156" t="s">
        <v>56</v>
      </c>
      <c r="H483" s="156" t="s">
        <v>1450</v>
      </c>
      <c r="I483" s="156" t="s">
        <v>855</v>
      </c>
      <c r="J483" s="209">
        <v>75</v>
      </c>
      <c r="K483" s="251"/>
      <c r="L483" s="210" t="s">
        <v>236</v>
      </c>
      <c r="M483" s="209" t="s">
        <v>59</v>
      </c>
      <c r="N483" s="209">
        <v>133</v>
      </c>
      <c r="O483" s="209" t="s">
        <v>60</v>
      </c>
      <c r="P483" s="209" t="s">
        <v>79</v>
      </c>
      <c r="Q483" s="211" t="s">
        <v>864</v>
      </c>
      <c r="R483" s="211"/>
      <c r="S483" s="212"/>
      <c r="T483" s="212">
        <v>100</v>
      </c>
      <c r="U483" s="211"/>
      <c r="V483" s="170"/>
      <c r="W483" s="129"/>
      <c r="X483" s="129">
        <v>2</v>
      </c>
      <c r="Y483" s="170"/>
      <c r="Z483" s="169" t="s">
        <v>63</v>
      </c>
      <c r="AA483" s="171">
        <v>12</v>
      </c>
      <c r="AB483" s="171">
        <v>4</v>
      </c>
      <c r="AC483" s="172">
        <v>25</v>
      </c>
      <c r="AD483" s="172" t="s">
        <v>80</v>
      </c>
      <c r="AE483" s="172" t="s">
        <v>116</v>
      </c>
      <c r="AF483" s="172">
        <v>6</v>
      </c>
      <c r="AG483" s="172" t="s">
        <v>80</v>
      </c>
      <c r="AH483" s="172" t="s">
        <v>117</v>
      </c>
      <c r="AI483" s="172">
        <v>18</v>
      </c>
      <c r="AJ483" s="172">
        <v>38</v>
      </c>
      <c r="AK483" s="171">
        <v>74</v>
      </c>
      <c r="AL483" s="171" t="s">
        <v>81</v>
      </c>
      <c r="AM483" s="171" t="s">
        <v>118</v>
      </c>
      <c r="AN483" s="171">
        <v>16</v>
      </c>
      <c r="AO483" s="171" t="s">
        <v>81</v>
      </c>
      <c r="AP483" s="171" t="s">
        <v>117</v>
      </c>
      <c r="AQ483" s="171">
        <v>55</v>
      </c>
      <c r="AR483" s="171">
        <v>108</v>
      </c>
      <c r="AS483" s="172"/>
      <c r="AT483" s="172"/>
      <c r="AU483" s="172"/>
      <c r="AV483" s="172"/>
      <c r="AW483" s="172"/>
      <c r="AX483" s="172"/>
      <c r="AY483" s="172"/>
      <c r="AZ483" s="172"/>
      <c r="BA483" s="171"/>
      <c r="BB483" s="171"/>
      <c r="BC483" s="171"/>
      <c r="BD483" s="171"/>
      <c r="BE483" s="171"/>
      <c r="BF483" s="171"/>
      <c r="BG483" s="171"/>
      <c r="BH483" s="171"/>
      <c r="BI483" s="172"/>
      <c r="BJ483" s="172"/>
      <c r="BK483" s="172"/>
      <c r="BL483" s="172"/>
      <c r="BM483" s="172"/>
      <c r="BN483" s="172"/>
      <c r="BO483" s="172"/>
      <c r="BP483" s="172"/>
      <c r="BQ483" s="171" t="s">
        <v>238</v>
      </c>
      <c r="BR483" s="172" t="s">
        <v>859</v>
      </c>
      <c r="BS483" s="124">
        <v>312</v>
      </c>
      <c r="BT483" s="124" t="s">
        <v>668</v>
      </c>
    </row>
    <row r="484" spans="1:72" s="124" customFormat="1" ht="14.25" hidden="1" customHeight="1" x14ac:dyDescent="0.2">
      <c r="A484" s="205">
        <v>313</v>
      </c>
      <c r="B484" s="233" t="s">
        <v>869</v>
      </c>
      <c r="C484" s="237" t="s">
        <v>870</v>
      </c>
      <c r="D484" s="233" t="s">
        <v>871</v>
      </c>
      <c r="E484" s="125" t="s">
        <v>466</v>
      </c>
      <c r="F484" s="181" t="s">
        <v>103</v>
      </c>
      <c r="G484" s="181" t="s">
        <v>56</v>
      </c>
      <c r="H484" s="181" t="s">
        <v>66</v>
      </c>
      <c r="I484" s="181"/>
      <c r="J484" s="178">
        <v>0.5</v>
      </c>
      <c r="K484" s="182"/>
      <c r="L484" s="182" t="s">
        <v>58</v>
      </c>
      <c r="M484" s="178" t="s">
        <v>59</v>
      </c>
      <c r="N484" s="178">
        <v>0</v>
      </c>
      <c r="O484" s="178" t="s">
        <v>60</v>
      </c>
      <c r="P484" s="178" t="s">
        <v>79</v>
      </c>
      <c r="Q484" s="179" t="s">
        <v>1461</v>
      </c>
      <c r="R484" s="179" t="s">
        <v>1462</v>
      </c>
      <c r="S484" s="180"/>
      <c r="T484" s="179"/>
      <c r="U484" s="179"/>
      <c r="V484" s="167"/>
      <c r="W484" s="168"/>
      <c r="X484" s="168"/>
      <c r="Y484" s="167"/>
      <c r="Z484" s="169" t="s">
        <v>63</v>
      </c>
      <c r="AA484" s="166">
        <v>16</v>
      </c>
      <c r="AB484" s="166">
        <v>11</v>
      </c>
      <c r="AC484" s="165">
        <v>33</v>
      </c>
      <c r="AD484" s="165" t="s">
        <v>80</v>
      </c>
      <c r="AE484" s="165" t="s">
        <v>116</v>
      </c>
      <c r="AF484" s="165">
        <v>9</v>
      </c>
      <c r="AG484" s="165" t="s">
        <v>80</v>
      </c>
      <c r="AH484" s="165" t="s">
        <v>117</v>
      </c>
      <c r="AI484" s="165"/>
      <c r="AJ484" s="165"/>
      <c r="AK484" s="166">
        <v>78</v>
      </c>
      <c r="AL484" s="166" t="s">
        <v>81</v>
      </c>
      <c r="AM484" s="166" t="s">
        <v>118</v>
      </c>
      <c r="AN484" s="166">
        <v>14</v>
      </c>
      <c r="AO484" s="166" t="s">
        <v>81</v>
      </c>
      <c r="AP484" s="166" t="s">
        <v>117</v>
      </c>
      <c r="AQ484" s="166"/>
      <c r="AR484" s="166"/>
      <c r="AS484" s="165"/>
      <c r="AT484" s="165"/>
      <c r="AU484" s="165"/>
      <c r="AV484" s="165"/>
      <c r="AW484" s="165"/>
      <c r="AX484" s="165"/>
      <c r="AY484" s="165"/>
      <c r="AZ484" s="165"/>
      <c r="BA484" s="166"/>
      <c r="BB484" s="166"/>
      <c r="BC484" s="166"/>
      <c r="BD484" s="166"/>
      <c r="BE484" s="166"/>
      <c r="BF484" s="166"/>
      <c r="BG484" s="166"/>
      <c r="BH484" s="166"/>
      <c r="BI484" s="165"/>
      <c r="BJ484" s="165"/>
      <c r="BK484" s="165"/>
      <c r="BL484" s="165"/>
      <c r="BM484" s="165"/>
      <c r="BN484" s="165"/>
      <c r="BO484" s="165"/>
      <c r="BP484" s="165"/>
      <c r="BQ484" s="166" t="s">
        <v>238</v>
      </c>
      <c r="BR484" s="165"/>
      <c r="BS484" s="124">
        <v>313</v>
      </c>
    </row>
    <row r="485" spans="1:72" s="124" customFormat="1" ht="14.25" hidden="1" customHeight="1" x14ac:dyDescent="0.2">
      <c r="A485" s="205">
        <v>314</v>
      </c>
      <c r="B485" s="233" t="s">
        <v>869</v>
      </c>
      <c r="C485" s="237" t="s">
        <v>870</v>
      </c>
      <c r="D485" s="233" t="s">
        <v>872</v>
      </c>
      <c r="E485" s="125" t="s">
        <v>466</v>
      </c>
      <c r="F485" s="181" t="s">
        <v>103</v>
      </c>
      <c r="G485" s="181" t="s">
        <v>56</v>
      </c>
      <c r="H485" s="181" t="s">
        <v>66</v>
      </c>
      <c r="I485" s="181"/>
      <c r="J485" s="178">
        <v>0.5</v>
      </c>
      <c r="K485" s="182"/>
      <c r="L485" s="182" t="s">
        <v>58</v>
      </c>
      <c r="M485" s="178" t="s">
        <v>59</v>
      </c>
      <c r="N485" s="178">
        <v>324</v>
      </c>
      <c r="O485" s="178" t="s">
        <v>60</v>
      </c>
      <c r="P485" s="178" t="s">
        <v>79</v>
      </c>
      <c r="Q485" s="179" t="s">
        <v>1461</v>
      </c>
      <c r="R485" s="179" t="s">
        <v>1462</v>
      </c>
      <c r="S485" s="180"/>
      <c r="T485" s="179"/>
      <c r="U485" s="179"/>
      <c r="V485" s="167"/>
      <c r="W485" s="168"/>
      <c r="X485" s="168"/>
      <c r="Y485" s="167"/>
      <c r="Z485" s="169" t="s">
        <v>63</v>
      </c>
      <c r="AA485" s="166">
        <v>16</v>
      </c>
      <c r="AB485" s="166">
        <v>11</v>
      </c>
      <c r="AC485" s="165">
        <v>33</v>
      </c>
      <c r="AD485" s="165" t="s">
        <v>80</v>
      </c>
      <c r="AE485" s="165" t="s">
        <v>116</v>
      </c>
      <c r="AF485" s="165">
        <v>9</v>
      </c>
      <c r="AG485" s="165" t="s">
        <v>80</v>
      </c>
      <c r="AH485" s="165" t="s">
        <v>117</v>
      </c>
      <c r="AI485" s="165"/>
      <c r="AJ485" s="165"/>
      <c r="AK485" s="166">
        <v>78</v>
      </c>
      <c r="AL485" s="166" t="s">
        <v>81</v>
      </c>
      <c r="AM485" s="166" t="s">
        <v>118</v>
      </c>
      <c r="AN485" s="166">
        <v>14</v>
      </c>
      <c r="AO485" s="166" t="s">
        <v>81</v>
      </c>
      <c r="AP485" s="166" t="s">
        <v>117</v>
      </c>
      <c r="AQ485" s="166"/>
      <c r="AR485" s="166"/>
      <c r="AS485" s="165"/>
      <c r="AT485" s="165"/>
      <c r="AU485" s="165"/>
      <c r="AV485" s="165"/>
      <c r="AW485" s="165"/>
      <c r="AX485" s="165"/>
      <c r="AY485" s="165"/>
      <c r="AZ485" s="165"/>
      <c r="BA485" s="166"/>
      <c r="BB485" s="166"/>
      <c r="BC485" s="166"/>
      <c r="BD485" s="166"/>
      <c r="BE485" s="166"/>
      <c r="BF485" s="166"/>
      <c r="BG485" s="166"/>
      <c r="BH485" s="166"/>
      <c r="BI485" s="165"/>
      <c r="BJ485" s="165"/>
      <c r="BK485" s="165"/>
      <c r="BL485" s="165"/>
      <c r="BM485" s="165"/>
      <c r="BN485" s="165"/>
      <c r="BO485" s="165"/>
      <c r="BP485" s="165"/>
      <c r="BQ485" s="166" t="s">
        <v>238</v>
      </c>
      <c r="BR485" s="165"/>
      <c r="BS485" s="124">
        <v>314</v>
      </c>
    </row>
    <row r="486" spans="1:72" s="124" customFormat="1" ht="14.25" hidden="1" customHeight="1" x14ac:dyDescent="0.2">
      <c r="A486" s="205">
        <v>315</v>
      </c>
      <c r="B486" s="233" t="s">
        <v>869</v>
      </c>
      <c r="C486" s="237" t="s">
        <v>870</v>
      </c>
      <c r="D486" s="233" t="s">
        <v>873</v>
      </c>
      <c r="E486" s="125" t="s">
        <v>466</v>
      </c>
      <c r="F486" s="181" t="s">
        <v>103</v>
      </c>
      <c r="G486" s="181" t="s">
        <v>56</v>
      </c>
      <c r="H486" s="181" t="s">
        <v>66</v>
      </c>
      <c r="I486" s="181" t="s">
        <v>1463</v>
      </c>
      <c r="J486" s="178">
        <v>0.5</v>
      </c>
      <c r="K486" s="182"/>
      <c r="L486" s="182" t="s">
        <v>58</v>
      </c>
      <c r="M486" s="178" t="s">
        <v>59</v>
      </c>
      <c r="N486" s="178">
        <v>0</v>
      </c>
      <c r="O486" s="178" t="s">
        <v>60</v>
      </c>
      <c r="P486" s="178" t="s">
        <v>79</v>
      </c>
      <c r="Q486" s="179" t="s">
        <v>1461</v>
      </c>
      <c r="R486" s="179" t="s">
        <v>1462</v>
      </c>
      <c r="S486" s="180"/>
      <c r="T486" s="179"/>
      <c r="U486" s="179"/>
      <c r="V486" s="167"/>
      <c r="W486" s="168"/>
      <c r="X486" s="168"/>
      <c r="Y486" s="167"/>
      <c r="Z486" s="169" t="s">
        <v>63</v>
      </c>
      <c r="AA486" s="166">
        <v>9</v>
      </c>
      <c r="AB486" s="166">
        <v>6</v>
      </c>
      <c r="AC486" s="165">
        <v>29</v>
      </c>
      <c r="AD486" s="165" t="s">
        <v>80</v>
      </c>
      <c r="AE486" s="165" t="s">
        <v>116</v>
      </c>
      <c r="AF486" s="165">
        <v>9</v>
      </c>
      <c r="AG486" s="165" t="s">
        <v>80</v>
      </c>
      <c r="AH486" s="165" t="s">
        <v>117</v>
      </c>
      <c r="AI486" s="165"/>
      <c r="AJ486" s="165"/>
      <c r="AK486" s="166">
        <v>79</v>
      </c>
      <c r="AL486" s="166" t="s">
        <v>81</v>
      </c>
      <c r="AM486" s="166" t="s">
        <v>118</v>
      </c>
      <c r="AN486" s="166">
        <v>14</v>
      </c>
      <c r="AO486" s="166" t="s">
        <v>81</v>
      </c>
      <c r="AP486" s="166" t="s">
        <v>117</v>
      </c>
      <c r="AQ486" s="166"/>
      <c r="AR486" s="166"/>
      <c r="AS486" s="165"/>
      <c r="AT486" s="165"/>
      <c r="AU486" s="165"/>
      <c r="AV486" s="165"/>
      <c r="AW486" s="165"/>
      <c r="AX486" s="165"/>
      <c r="AY486" s="165"/>
      <c r="AZ486" s="165"/>
      <c r="BA486" s="166"/>
      <c r="BB486" s="166"/>
      <c r="BC486" s="166"/>
      <c r="BD486" s="166"/>
      <c r="BE486" s="166"/>
      <c r="BF486" s="166"/>
      <c r="BG486" s="166"/>
      <c r="BH486" s="166"/>
      <c r="BI486" s="165"/>
      <c r="BJ486" s="165"/>
      <c r="BK486" s="165"/>
      <c r="BL486" s="165"/>
      <c r="BM486" s="165"/>
      <c r="BN486" s="165"/>
      <c r="BO486" s="165"/>
      <c r="BP486" s="165"/>
      <c r="BQ486" s="166" t="s">
        <v>238</v>
      </c>
      <c r="BR486" s="165"/>
      <c r="BS486" s="124">
        <v>315</v>
      </c>
    </row>
    <row r="487" spans="1:72" s="124" customFormat="1" ht="14.25" hidden="1" customHeight="1" x14ac:dyDescent="0.2">
      <c r="A487" s="205">
        <v>316</v>
      </c>
      <c r="B487" s="233" t="s">
        <v>869</v>
      </c>
      <c r="C487" s="237" t="s">
        <v>870</v>
      </c>
      <c r="D487" s="233" t="s">
        <v>874</v>
      </c>
      <c r="E487" s="125" t="s">
        <v>466</v>
      </c>
      <c r="F487" s="181" t="s">
        <v>103</v>
      </c>
      <c r="G487" s="181" t="s">
        <v>56</v>
      </c>
      <c r="H487" s="181" t="s">
        <v>66</v>
      </c>
      <c r="I487" s="181" t="s">
        <v>1463</v>
      </c>
      <c r="J487" s="178">
        <v>0.5</v>
      </c>
      <c r="K487" s="182"/>
      <c r="L487" s="182" t="s">
        <v>58</v>
      </c>
      <c r="M487" s="178" t="s">
        <v>59</v>
      </c>
      <c r="N487" s="178">
        <v>360</v>
      </c>
      <c r="O487" s="178" t="s">
        <v>60</v>
      </c>
      <c r="P487" s="178" t="s">
        <v>79</v>
      </c>
      <c r="Q487" s="179" t="s">
        <v>1461</v>
      </c>
      <c r="R487" s="179" t="s">
        <v>1462</v>
      </c>
      <c r="S487" s="180"/>
      <c r="T487" s="179"/>
      <c r="U487" s="179"/>
      <c r="V487" s="167"/>
      <c r="W487" s="168"/>
      <c r="X487" s="168"/>
      <c r="Y487" s="167"/>
      <c r="Z487" s="169" t="s">
        <v>63</v>
      </c>
      <c r="AA487" s="166">
        <v>9</v>
      </c>
      <c r="AB487" s="166">
        <v>6</v>
      </c>
      <c r="AC487" s="165">
        <v>29</v>
      </c>
      <c r="AD487" s="165" t="s">
        <v>80</v>
      </c>
      <c r="AE487" s="165" t="s">
        <v>116</v>
      </c>
      <c r="AF487" s="165">
        <v>9</v>
      </c>
      <c r="AG487" s="165" t="s">
        <v>80</v>
      </c>
      <c r="AH487" s="165" t="s">
        <v>117</v>
      </c>
      <c r="AI487" s="165"/>
      <c r="AJ487" s="165"/>
      <c r="AK487" s="166">
        <v>79</v>
      </c>
      <c r="AL487" s="166" t="s">
        <v>81</v>
      </c>
      <c r="AM487" s="166" t="s">
        <v>118</v>
      </c>
      <c r="AN487" s="166">
        <v>14</v>
      </c>
      <c r="AO487" s="166" t="s">
        <v>81</v>
      </c>
      <c r="AP487" s="166" t="s">
        <v>117</v>
      </c>
      <c r="AQ487" s="166"/>
      <c r="AR487" s="166"/>
      <c r="AS487" s="165"/>
      <c r="AT487" s="165"/>
      <c r="AU487" s="165"/>
      <c r="AV487" s="165"/>
      <c r="AW487" s="165"/>
      <c r="AX487" s="165"/>
      <c r="AY487" s="165"/>
      <c r="AZ487" s="165"/>
      <c r="BA487" s="166"/>
      <c r="BB487" s="166"/>
      <c r="BC487" s="166"/>
      <c r="BD487" s="166"/>
      <c r="BE487" s="166"/>
      <c r="BF487" s="166"/>
      <c r="BG487" s="166"/>
      <c r="BH487" s="166"/>
      <c r="BI487" s="165"/>
      <c r="BJ487" s="165"/>
      <c r="BK487" s="165"/>
      <c r="BL487" s="165"/>
      <c r="BM487" s="165"/>
      <c r="BN487" s="165"/>
      <c r="BO487" s="165"/>
      <c r="BP487" s="165"/>
      <c r="BQ487" s="166" t="s">
        <v>238</v>
      </c>
      <c r="BR487" s="165"/>
      <c r="BS487" s="124">
        <v>316</v>
      </c>
    </row>
    <row r="488" spans="1:72" s="124" customFormat="1" ht="14.25" hidden="1" customHeight="1" x14ac:dyDescent="0.2">
      <c r="A488" s="205">
        <v>336</v>
      </c>
      <c r="B488" s="235" t="s">
        <v>875</v>
      </c>
      <c r="C488" s="236" t="s">
        <v>876</v>
      </c>
      <c r="D488" s="235" t="s">
        <v>220</v>
      </c>
      <c r="E488" s="125" t="s">
        <v>466</v>
      </c>
      <c r="F488" s="181" t="s">
        <v>55</v>
      </c>
      <c r="G488" s="181" t="s">
        <v>790</v>
      </c>
      <c r="H488" s="181" t="s">
        <v>66</v>
      </c>
      <c r="I488" s="181"/>
      <c r="J488" s="178">
        <v>0.5</v>
      </c>
      <c r="K488" s="182"/>
      <c r="L488" s="182" t="s">
        <v>58</v>
      </c>
      <c r="M488" s="178" t="s">
        <v>59</v>
      </c>
      <c r="N488" s="178">
        <v>0</v>
      </c>
      <c r="O488" s="178" t="s">
        <v>60</v>
      </c>
      <c r="P488" s="178" t="s">
        <v>79</v>
      </c>
      <c r="Q488" s="179" t="s">
        <v>1464</v>
      </c>
      <c r="R488" s="179" t="s">
        <v>1489</v>
      </c>
      <c r="S488" s="180"/>
      <c r="T488" s="179">
        <v>400</v>
      </c>
      <c r="U488" s="179" t="s">
        <v>1465</v>
      </c>
      <c r="V488" s="167" t="s">
        <v>62</v>
      </c>
      <c r="W488" s="168">
        <v>8</v>
      </c>
      <c r="X488" s="168"/>
      <c r="Y488" s="167"/>
      <c r="Z488" s="169" t="s">
        <v>63</v>
      </c>
      <c r="AA488" s="166">
        <v>10</v>
      </c>
      <c r="AB488" s="166">
        <v>5</v>
      </c>
      <c r="AC488" s="165"/>
      <c r="AD488" s="165" t="s">
        <v>80</v>
      </c>
      <c r="AE488" s="165"/>
      <c r="AF488" s="165"/>
      <c r="AG488" s="165"/>
      <c r="AH488" s="165"/>
      <c r="AI488" s="165">
        <v>24</v>
      </c>
      <c r="AJ488" s="165">
        <v>34</v>
      </c>
      <c r="AK488" s="166"/>
      <c r="AL488" s="166" t="s">
        <v>81</v>
      </c>
      <c r="AM488" s="166"/>
      <c r="AN488" s="166"/>
      <c r="AO488" s="166"/>
      <c r="AP488" s="166"/>
      <c r="AQ488" s="166">
        <v>53</v>
      </c>
      <c r="AR488" s="166">
        <v>115</v>
      </c>
      <c r="AS488" s="165"/>
      <c r="AT488" s="165"/>
      <c r="AU488" s="165"/>
      <c r="AV488" s="165"/>
      <c r="AW488" s="165"/>
      <c r="AX488" s="165"/>
      <c r="AY488" s="165"/>
      <c r="AZ488" s="165"/>
      <c r="BA488" s="166"/>
      <c r="BB488" s="166"/>
      <c r="BC488" s="166"/>
      <c r="BD488" s="166"/>
      <c r="BE488" s="166"/>
      <c r="BF488" s="166"/>
      <c r="BG488" s="166"/>
      <c r="BH488" s="166"/>
      <c r="BI488" s="165"/>
      <c r="BJ488" s="165"/>
      <c r="BK488" s="165"/>
      <c r="BL488" s="165"/>
      <c r="BM488" s="165"/>
      <c r="BN488" s="165"/>
      <c r="BO488" s="165"/>
      <c r="BP488" s="165"/>
      <c r="BQ488" s="166" t="s">
        <v>1466</v>
      </c>
      <c r="BR488" s="165" t="s">
        <v>1467</v>
      </c>
      <c r="BS488" s="124">
        <v>336</v>
      </c>
    </row>
    <row r="489" spans="1:72" s="124" customFormat="1" ht="14.25" hidden="1" customHeight="1" x14ac:dyDescent="0.2">
      <c r="A489" s="205">
        <v>337</v>
      </c>
      <c r="B489" s="235" t="s">
        <v>875</v>
      </c>
      <c r="C489" s="236" t="s">
        <v>876</v>
      </c>
      <c r="D489" s="235" t="s">
        <v>225</v>
      </c>
      <c r="E489" s="125" t="s">
        <v>466</v>
      </c>
      <c r="F489" s="181" t="s">
        <v>55</v>
      </c>
      <c r="G489" s="181" t="s">
        <v>790</v>
      </c>
      <c r="H489" s="181" t="s">
        <v>66</v>
      </c>
      <c r="I489" s="181"/>
      <c r="J489" s="178">
        <v>0.5</v>
      </c>
      <c r="K489" s="182"/>
      <c r="L489" s="182" t="s">
        <v>58</v>
      </c>
      <c r="M489" s="178" t="s">
        <v>59</v>
      </c>
      <c r="N489" s="178">
        <v>144</v>
      </c>
      <c r="O489" s="178" t="s">
        <v>60</v>
      </c>
      <c r="P489" s="178" t="s">
        <v>79</v>
      </c>
      <c r="Q489" s="179" t="s">
        <v>1464</v>
      </c>
      <c r="R489" s="179" t="s">
        <v>1489</v>
      </c>
      <c r="S489" s="180"/>
      <c r="T489" s="179">
        <v>400</v>
      </c>
      <c r="U489" s="179" t="s">
        <v>1465</v>
      </c>
      <c r="V489" s="167" t="s">
        <v>62</v>
      </c>
      <c r="W489" s="168">
        <v>8</v>
      </c>
      <c r="X489" s="168"/>
      <c r="Y489" s="167"/>
      <c r="Z489" s="169" t="s">
        <v>63</v>
      </c>
      <c r="AA489" s="166">
        <v>10</v>
      </c>
      <c r="AB489" s="166">
        <v>5</v>
      </c>
      <c r="AC489" s="165"/>
      <c r="AD489" s="165" t="s">
        <v>80</v>
      </c>
      <c r="AE489" s="165"/>
      <c r="AF489" s="165"/>
      <c r="AG489" s="165"/>
      <c r="AH489" s="165"/>
      <c r="AI489" s="165">
        <v>24</v>
      </c>
      <c r="AJ489" s="165">
        <v>34</v>
      </c>
      <c r="AK489" s="166"/>
      <c r="AL489" s="166" t="s">
        <v>81</v>
      </c>
      <c r="AM489" s="166"/>
      <c r="AN489" s="166"/>
      <c r="AO489" s="166"/>
      <c r="AP489" s="166"/>
      <c r="AQ489" s="166">
        <v>53</v>
      </c>
      <c r="AR489" s="166">
        <v>115</v>
      </c>
      <c r="AS489" s="165"/>
      <c r="AT489" s="165"/>
      <c r="AU489" s="165"/>
      <c r="AV489" s="165"/>
      <c r="AW489" s="165"/>
      <c r="AX489" s="165"/>
      <c r="AY489" s="165"/>
      <c r="AZ489" s="165"/>
      <c r="BA489" s="166"/>
      <c r="BB489" s="166"/>
      <c r="BC489" s="166"/>
      <c r="BD489" s="166"/>
      <c r="BE489" s="166"/>
      <c r="BF489" s="166"/>
      <c r="BG489" s="166"/>
      <c r="BH489" s="166"/>
      <c r="BI489" s="165"/>
      <c r="BJ489" s="165"/>
      <c r="BK489" s="165"/>
      <c r="BL489" s="165"/>
      <c r="BM489" s="165"/>
      <c r="BN489" s="165"/>
      <c r="BO489" s="165"/>
      <c r="BP489" s="165"/>
      <c r="BQ489" s="166" t="s">
        <v>1466</v>
      </c>
      <c r="BR489" s="165" t="s">
        <v>1467</v>
      </c>
      <c r="BS489" s="124">
        <v>337</v>
      </c>
    </row>
    <row r="490" spans="1:72" s="124" customFormat="1" ht="14.25" hidden="1" customHeight="1" x14ac:dyDescent="0.2">
      <c r="A490" s="205">
        <v>338</v>
      </c>
      <c r="B490" s="235" t="s">
        <v>875</v>
      </c>
      <c r="C490" s="236" t="s">
        <v>876</v>
      </c>
      <c r="D490" s="235" t="s">
        <v>227</v>
      </c>
      <c r="E490" s="125" t="s">
        <v>466</v>
      </c>
      <c r="F490" s="181" t="s">
        <v>55</v>
      </c>
      <c r="G490" s="181" t="s">
        <v>790</v>
      </c>
      <c r="H490" s="181" t="s">
        <v>66</v>
      </c>
      <c r="I490" s="181"/>
      <c r="J490" s="178">
        <v>0.5</v>
      </c>
      <c r="K490" s="182"/>
      <c r="L490" s="182" t="s">
        <v>58</v>
      </c>
      <c r="M490" s="178" t="s">
        <v>59</v>
      </c>
      <c r="N490" s="178">
        <v>96</v>
      </c>
      <c r="O490" s="178" t="s">
        <v>60</v>
      </c>
      <c r="P490" s="178" t="s">
        <v>79</v>
      </c>
      <c r="Q490" s="179" t="s">
        <v>1464</v>
      </c>
      <c r="R490" s="179" t="s">
        <v>1489</v>
      </c>
      <c r="S490" s="180"/>
      <c r="T490" s="179">
        <v>400</v>
      </c>
      <c r="U490" s="179" t="s">
        <v>1465</v>
      </c>
      <c r="V490" s="167" t="s">
        <v>62</v>
      </c>
      <c r="W490" s="168">
        <v>8</v>
      </c>
      <c r="X490" s="168"/>
      <c r="Y490" s="167"/>
      <c r="Z490" s="169" t="s">
        <v>63</v>
      </c>
      <c r="AA490" s="166">
        <v>10</v>
      </c>
      <c r="AB490" s="166">
        <v>5</v>
      </c>
      <c r="AC490" s="165"/>
      <c r="AD490" s="165" t="s">
        <v>80</v>
      </c>
      <c r="AE490" s="165"/>
      <c r="AF490" s="165"/>
      <c r="AG490" s="165"/>
      <c r="AH490" s="165"/>
      <c r="AI490" s="165">
        <v>24</v>
      </c>
      <c r="AJ490" s="165">
        <v>34</v>
      </c>
      <c r="AK490" s="166"/>
      <c r="AL490" s="166" t="s">
        <v>81</v>
      </c>
      <c r="AM490" s="166"/>
      <c r="AN490" s="166"/>
      <c r="AO490" s="166"/>
      <c r="AP490" s="166"/>
      <c r="AQ490" s="166">
        <v>53</v>
      </c>
      <c r="AR490" s="166">
        <v>115</v>
      </c>
      <c r="AS490" s="165"/>
      <c r="AT490" s="165"/>
      <c r="AU490" s="165"/>
      <c r="AV490" s="165"/>
      <c r="AW490" s="165"/>
      <c r="AX490" s="165"/>
      <c r="AY490" s="165"/>
      <c r="AZ490" s="165"/>
      <c r="BA490" s="166"/>
      <c r="BB490" s="166"/>
      <c r="BC490" s="166"/>
      <c r="BD490" s="166"/>
      <c r="BE490" s="166"/>
      <c r="BF490" s="166"/>
      <c r="BG490" s="166"/>
      <c r="BH490" s="166"/>
      <c r="BI490" s="165"/>
      <c r="BJ490" s="165"/>
      <c r="BK490" s="165"/>
      <c r="BL490" s="165"/>
      <c r="BM490" s="165"/>
      <c r="BN490" s="165"/>
      <c r="BO490" s="165"/>
      <c r="BP490" s="165"/>
      <c r="BQ490" s="166" t="s">
        <v>1466</v>
      </c>
      <c r="BR490" s="165" t="s">
        <v>1467</v>
      </c>
      <c r="BS490" s="124">
        <v>338</v>
      </c>
    </row>
    <row r="491" spans="1:72" s="124" customFormat="1" ht="14.25" hidden="1" customHeight="1" x14ac:dyDescent="0.2">
      <c r="A491" s="205">
        <v>341</v>
      </c>
      <c r="B491" s="235" t="s">
        <v>877</v>
      </c>
      <c r="C491" s="236" t="s">
        <v>878</v>
      </c>
      <c r="D491" s="235" t="s">
        <v>387</v>
      </c>
      <c r="E491" s="125" t="s">
        <v>102</v>
      </c>
      <c r="F491" s="181" t="s">
        <v>103</v>
      </c>
      <c r="G491" s="156" t="s">
        <v>56</v>
      </c>
      <c r="H491" s="156" t="s">
        <v>879</v>
      </c>
      <c r="I491" s="156"/>
      <c r="J491" s="209">
        <v>2</v>
      </c>
      <c r="K491" s="210"/>
      <c r="L491" s="210" t="s">
        <v>58</v>
      </c>
      <c r="M491" s="209" t="s">
        <v>78</v>
      </c>
      <c r="N491" s="209">
        <v>0</v>
      </c>
      <c r="O491" s="209" t="s">
        <v>60</v>
      </c>
      <c r="P491" s="209" t="s">
        <v>79</v>
      </c>
      <c r="Q491" s="211" t="s">
        <v>706</v>
      </c>
      <c r="R491" s="180"/>
      <c r="S491" s="212"/>
      <c r="T491" s="211"/>
      <c r="U491" s="211"/>
      <c r="V491" s="132" t="s">
        <v>62</v>
      </c>
      <c r="W491" s="129"/>
      <c r="X491" s="129">
        <v>4</v>
      </c>
      <c r="Y491" s="170" t="s">
        <v>817</v>
      </c>
      <c r="Z491" s="169" t="s">
        <v>63</v>
      </c>
      <c r="AA491" s="171">
        <v>8</v>
      </c>
      <c r="AB491" s="171">
        <v>0</v>
      </c>
      <c r="AC491" s="172">
        <v>27.7</v>
      </c>
      <c r="AD491" s="133" t="s">
        <v>80</v>
      </c>
      <c r="AE491" s="131" t="s">
        <v>116</v>
      </c>
      <c r="AF491" s="172">
        <v>9.6</v>
      </c>
      <c r="AG491" s="131" t="s">
        <v>80</v>
      </c>
      <c r="AH491" s="131" t="s">
        <v>117</v>
      </c>
      <c r="AI491" s="172">
        <v>21</v>
      </c>
      <c r="AJ491" s="172">
        <v>46</v>
      </c>
      <c r="AK491" s="171">
        <v>70</v>
      </c>
      <c r="AL491" s="173" t="s">
        <v>81</v>
      </c>
      <c r="AM491" s="173" t="s">
        <v>116</v>
      </c>
      <c r="AN491" s="171">
        <v>6</v>
      </c>
      <c r="AO491" s="173" t="s">
        <v>81</v>
      </c>
      <c r="AP491" s="173" t="s">
        <v>117</v>
      </c>
      <c r="AQ491" s="171">
        <v>60</v>
      </c>
      <c r="AR491" s="171">
        <v>78</v>
      </c>
      <c r="AS491" s="172"/>
      <c r="AT491" s="172"/>
      <c r="AU491" s="172"/>
      <c r="AV491" s="172"/>
      <c r="AW491" s="172"/>
      <c r="AX491" s="172"/>
      <c r="AY491" s="172"/>
      <c r="AZ491" s="172"/>
      <c r="BA491" s="171"/>
      <c r="BB491" s="171"/>
      <c r="BC491" s="171"/>
      <c r="BD491" s="171"/>
      <c r="BE491" s="171"/>
      <c r="BF491" s="171"/>
      <c r="BG491" s="171"/>
      <c r="BH491" s="171"/>
      <c r="BI491" s="172"/>
      <c r="BJ491" s="172"/>
      <c r="BK491" s="172"/>
      <c r="BL491" s="172"/>
      <c r="BM491" s="172"/>
      <c r="BN491" s="172"/>
      <c r="BO491" s="172"/>
      <c r="BP491" s="172"/>
      <c r="BQ491" s="171" t="s">
        <v>880</v>
      </c>
      <c r="BR491" s="172" t="s">
        <v>881</v>
      </c>
      <c r="BS491" s="124">
        <v>341</v>
      </c>
      <c r="BT491" s="124" t="s">
        <v>668</v>
      </c>
    </row>
    <row r="492" spans="1:72" s="124" customFormat="1" ht="14.25" hidden="1" customHeight="1" x14ac:dyDescent="0.2">
      <c r="A492" s="205">
        <v>342</v>
      </c>
      <c r="B492" s="235" t="s">
        <v>877</v>
      </c>
      <c r="C492" s="236" t="s">
        <v>878</v>
      </c>
      <c r="D492" s="235" t="s">
        <v>390</v>
      </c>
      <c r="E492" s="125" t="s">
        <v>102</v>
      </c>
      <c r="F492" s="181" t="s">
        <v>103</v>
      </c>
      <c r="G492" s="156" t="s">
        <v>56</v>
      </c>
      <c r="H492" s="156" t="s">
        <v>879</v>
      </c>
      <c r="I492" s="156"/>
      <c r="J492" s="209">
        <v>2</v>
      </c>
      <c r="K492" s="210"/>
      <c r="L492" s="210" t="s">
        <v>58</v>
      </c>
      <c r="M492" s="209" t="s">
        <v>78</v>
      </c>
      <c r="N492" s="209">
        <v>144</v>
      </c>
      <c r="O492" s="209" t="s">
        <v>60</v>
      </c>
      <c r="P492" s="209" t="s">
        <v>79</v>
      </c>
      <c r="Q492" s="211" t="s">
        <v>706</v>
      </c>
      <c r="R492" s="180"/>
      <c r="S492" s="212"/>
      <c r="T492" s="211"/>
      <c r="U492" s="211"/>
      <c r="V492" s="132" t="s">
        <v>62</v>
      </c>
      <c r="W492" s="129"/>
      <c r="X492" s="129">
        <v>4</v>
      </c>
      <c r="Y492" s="170" t="s">
        <v>817</v>
      </c>
      <c r="Z492" s="169" t="s">
        <v>63</v>
      </c>
      <c r="AA492" s="171">
        <v>8</v>
      </c>
      <c r="AB492" s="171">
        <v>0</v>
      </c>
      <c r="AC492" s="172">
        <v>27.7</v>
      </c>
      <c r="AD492" s="133" t="s">
        <v>80</v>
      </c>
      <c r="AE492" s="131" t="s">
        <v>116</v>
      </c>
      <c r="AF492" s="172">
        <v>9.6</v>
      </c>
      <c r="AG492" s="131" t="s">
        <v>80</v>
      </c>
      <c r="AH492" s="131" t="s">
        <v>117</v>
      </c>
      <c r="AI492" s="172">
        <v>21</v>
      </c>
      <c r="AJ492" s="172">
        <v>46</v>
      </c>
      <c r="AK492" s="171">
        <v>70</v>
      </c>
      <c r="AL492" s="173" t="s">
        <v>81</v>
      </c>
      <c r="AM492" s="173" t="s">
        <v>116</v>
      </c>
      <c r="AN492" s="171">
        <v>6</v>
      </c>
      <c r="AO492" s="173" t="s">
        <v>81</v>
      </c>
      <c r="AP492" s="173" t="s">
        <v>117</v>
      </c>
      <c r="AQ492" s="171">
        <v>60</v>
      </c>
      <c r="AR492" s="171">
        <v>78</v>
      </c>
      <c r="AS492" s="172"/>
      <c r="AT492" s="172"/>
      <c r="AU492" s="172"/>
      <c r="AV492" s="172"/>
      <c r="AW492" s="172"/>
      <c r="AX492" s="172"/>
      <c r="AY492" s="172"/>
      <c r="AZ492" s="172"/>
      <c r="BA492" s="171"/>
      <c r="BB492" s="171"/>
      <c r="BC492" s="171"/>
      <c r="BD492" s="171"/>
      <c r="BE492" s="171"/>
      <c r="BF492" s="171"/>
      <c r="BG492" s="171"/>
      <c r="BH492" s="171"/>
      <c r="BI492" s="172"/>
      <c r="BJ492" s="172"/>
      <c r="BK492" s="172"/>
      <c r="BL492" s="172"/>
      <c r="BM492" s="172"/>
      <c r="BN492" s="172"/>
      <c r="BO492" s="172"/>
      <c r="BP492" s="172"/>
      <c r="BQ492" s="171" t="s">
        <v>880</v>
      </c>
      <c r="BR492" s="172" t="s">
        <v>881</v>
      </c>
      <c r="BS492" s="124">
        <v>342</v>
      </c>
      <c r="BT492" s="124" t="s">
        <v>668</v>
      </c>
    </row>
    <row r="493" spans="1:72" s="124" customFormat="1" ht="14.25" hidden="1" customHeight="1" x14ac:dyDescent="0.2">
      <c r="A493" s="205">
        <v>343</v>
      </c>
      <c r="B493" s="235" t="s">
        <v>877</v>
      </c>
      <c r="C493" s="236" t="s">
        <v>878</v>
      </c>
      <c r="D493" s="235" t="s">
        <v>768</v>
      </c>
      <c r="E493" s="125" t="s">
        <v>102</v>
      </c>
      <c r="F493" s="181" t="s">
        <v>103</v>
      </c>
      <c r="G493" s="156" t="s">
        <v>56</v>
      </c>
      <c r="H493" s="156" t="s">
        <v>882</v>
      </c>
      <c r="I493" s="156"/>
      <c r="J493" s="209">
        <v>7.5</v>
      </c>
      <c r="K493" s="210"/>
      <c r="L493" s="210" t="s">
        <v>58</v>
      </c>
      <c r="M493" s="209" t="s">
        <v>59</v>
      </c>
      <c r="N493" s="209">
        <v>0</v>
      </c>
      <c r="O493" s="209" t="s">
        <v>60</v>
      </c>
      <c r="P493" s="209" t="s">
        <v>79</v>
      </c>
      <c r="Q493" s="211" t="s">
        <v>706</v>
      </c>
      <c r="R493" s="180" t="s">
        <v>883</v>
      </c>
      <c r="S493" s="212"/>
      <c r="T493" s="212">
        <v>200</v>
      </c>
      <c r="U493" s="211"/>
      <c r="V493" s="132" t="s">
        <v>62</v>
      </c>
      <c r="W493" s="129"/>
      <c r="X493" s="129">
        <v>4</v>
      </c>
      <c r="Y493" s="170" t="s">
        <v>817</v>
      </c>
      <c r="Z493" s="169" t="s">
        <v>63</v>
      </c>
      <c r="AA493" s="171">
        <v>8</v>
      </c>
      <c r="AB493" s="171">
        <v>0</v>
      </c>
      <c r="AC493" s="172">
        <v>27.7</v>
      </c>
      <c r="AD493" s="133" t="s">
        <v>80</v>
      </c>
      <c r="AE493" s="131" t="s">
        <v>116</v>
      </c>
      <c r="AF493" s="172">
        <v>9.6</v>
      </c>
      <c r="AG493" s="131" t="s">
        <v>80</v>
      </c>
      <c r="AH493" s="131" t="s">
        <v>117</v>
      </c>
      <c r="AI493" s="172">
        <v>21</v>
      </c>
      <c r="AJ493" s="172">
        <v>46</v>
      </c>
      <c r="AK493" s="171">
        <v>70</v>
      </c>
      <c r="AL493" s="173" t="s">
        <v>81</v>
      </c>
      <c r="AM493" s="173" t="s">
        <v>116</v>
      </c>
      <c r="AN493" s="171">
        <v>6</v>
      </c>
      <c r="AO493" s="173" t="s">
        <v>81</v>
      </c>
      <c r="AP493" s="173" t="s">
        <v>117</v>
      </c>
      <c r="AQ493" s="171">
        <v>60</v>
      </c>
      <c r="AR493" s="171">
        <v>78</v>
      </c>
      <c r="AS493" s="172"/>
      <c r="AT493" s="172"/>
      <c r="AU493" s="172"/>
      <c r="AV493" s="172"/>
      <c r="AW493" s="172"/>
      <c r="AX493" s="172"/>
      <c r="AY493" s="172"/>
      <c r="AZ493" s="172"/>
      <c r="BA493" s="171"/>
      <c r="BB493" s="171"/>
      <c r="BC493" s="171"/>
      <c r="BD493" s="171"/>
      <c r="BE493" s="171"/>
      <c r="BF493" s="171"/>
      <c r="BG493" s="171"/>
      <c r="BH493" s="171"/>
      <c r="BI493" s="172"/>
      <c r="BJ493" s="172"/>
      <c r="BK493" s="172"/>
      <c r="BL493" s="172"/>
      <c r="BM493" s="172"/>
      <c r="BN493" s="172"/>
      <c r="BO493" s="172"/>
      <c r="BP493" s="172"/>
      <c r="BQ493" s="171" t="s">
        <v>880</v>
      </c>
      <c r="BR493" s="172" t="s">
        <v>881</v>
      </c>
      <c r="BS493" s="124">
        <v>343</v>
      </c>
      <c r="BT493" s="124" t="s">
        <v>668</v>
      </c>
    </row>
    <row r="494" spans="1:72" s="124" customFormat="1" ht="14.25" hidden="1" customHeight="1" x14ac:dyDescent="0.2">
      <c r="A494" s="205">
        <v>344</v>
      </c>
      <c r="B494" s="235" t="s">
        <v>877</v>
      </c>
      <c r="C494" s="236" t="s">
        <v>878</v>
      </c>
      <c r="D494" s="235" t="s">
        <v>786</v>
      </c>
      <c r="E494" s="125" t="s">
        <v>102</v>
      </c>
      <c r="F494" s="181" t="s">
        <v>103</v>
      </c>
      <c r="G494" s="156" t="s">
        <v>56</v>
      </c>
      <c r="H494" s="156" t="s">
        <v>882</v>
      </c>
      <c r="I494" s="156"/>
      <c r="J494" s="209">
        <v>7.5</v>
      </c>
      <c r="K494" s="210"/>
      <c r="L494" s="210" t="s">
        <v>58</v>
      </c>
      <c r="M494" s="209" t="s">
        <v>59</v>
      </c>
      <c r="N494" s="209">
        <v>144</v>
      </c>
      <c r="O494" s="209" t="s">
        <v>60</v>
      </c>
      <c r="P494" s="209" t="s">
        <v>79</v>
      </c>
      <c r="Q494" s="211" t="s">
        <v>706</v>
      </c>
      <c r="R494" s="180" t="s">
        <v>883</v>
      </c>
      <c r="S494" s="212"/>
      <c r="T494" s="212">
        <v>200</v>
      </c>
      <c r="U494" s="211"/>
      <c r="V494" s="132" t="s">
        <v>62</v>
      </c>
      <c r="W494" s="129"/>
      <c r="X494" s="129">
        <v>4</v>
      </c>
      <c r="Y494" s="170" t="s">
        <v>817</v>
      </c>
      <c r="Z494" s="169" t="s">
        <v>63</v>
      </c>
      <c r="AA494" s="171">
        <v>8</v>
      </c>
      <c r="AB494" s="171">
        <v>0</v>
      </c>
      <c r="AC494" s="172">
        <v>27.7</v>
      </c>
      <c r="AD494" s="133" t="s">
        <v>80</v>
      </c>
      <c r="AE494" s="131" t="s">
        <v>116</v>
      </c>
      <c r="AF494" s="172">
        <v>9.6</v>
      </c>
      <c r="AG494" s="131" t="s">
        <v>80</v>
      </c>
      <c r="AH494" s="131" t="s">
        <v>117</v>
      </c>
      <c r="AI494" s="172">
        <v>21</v>
      </c>
      <c r="AJ494" s="172">
        <v>46</v>
      </c>
      <c r="AK494" s="171">
        <v>70</v>
      </c>
      <c r="AL494" s="173" t="s">
        <v>81</v>
      </c>
      <c r="AM494" s="173" t="s">
        <v>116</v>
      </c>
      <c r="AN494" s="171">
        <v>6</v>
      </c>
      <c r="AO494" s="173" t="s">
        <v>81</v>
      </c>
      <c r="AP494" s="173" t="s">
        <v>117</v>
      </c>
      <c r="AQ494" s="171">
        <v>60</v>
      </c>
      <c r="AR494" s="171">
        <v>78</v>
      </c>
      <c r="AS494" s="172"/>
      <c r="AT494" s="172"/>
      <c r="AU494" s="172"/>
      <c r="AV494" s="172"/>
      <c r="AW494" s="172"/>
      <c r="AX494" s="172"/>
      <c r="AY494" s="172"/>
      <c r="AZ494" s="172"/>
      <c r="BA494" s="171"/>
      <c r="BB494" s="171"/>
      <c r="BC494" s="171"/>
      <c r="BD494" s="171"/>
      <c r="BE494" s="171"/>
      <c r="BF494" s="171"/>
      <c r="BG494" s="171"/>
      <c r="BH494" s="171"/>
      <c r="BI494" s="172"/>
      <c r="BJ494" s="172"/>
      <c r="BK494" s="172"/>
      <c r="BL494" s="172"/>
      <c r="BM494" s="172"/>
      <c r="BN494" s="172"/>
      <c r="BO494" s="172"/>
      <c r="BP494" s="172"/>
      <c r="BQ494" s="171" t="s">
        <v>880</v>
      </c>
      <c r="BR494" s="172" t="s">
        <v>881</v>
      </c>
      <c r="BS494" s="124">
        <v>344</v>
      </c>
      <c r="BT494" s="124" t="s">
        <v>668</v>
      </c>
    </row>
    <row r="495" spans="1:72" s="124" customFormat="1" ht="14.25" hidden="1" customHeight="1" x14ac:dyDescent="0.2">
      <c r="A495" s="205">
        <v>345</v>
      </c>
      <c r="B495" s="235" t="s">
        <v>884</v>
      </c>
      <c r="C495" s="236" t="s">
        <v>885</v>
      </c>
      <c r="D495" s="235" t="s">
        <v>886</v>
      </c>
      <c r="E495" s="125" t="s">
        <v>54</v>
      </c>
      <c r="F495" s="181" t="s">
        <v>55</v>
      </c>
      <c r="G495" s="181" t="s">
        <v>76</v>
      </c>
      <c r="H495" s="181" t="s">
        <v>1468</v>
      </c>
      <c r="I495" s="181"/>
      <c r="J495" s="178">
        <v>600</v>
      </c>
      <c r="K495" s="182"/>
      <c r="L495" s="182" t="s">
        <v>58</v>
      </c>
      <c r="M495" s="178" t="s">
        <v>1469</v>
      </c>
      <c r="N495" s="178" t="s">
        <v>1470</v>
      </c>
      <c r="O495" s="178" t="s">
        <v>60</v>
      </c>
      <c r="P495" s="178" t="s">
        <v>1471</v>
      </c>
      <c r="Q495" s="179" t="s">
        <v>1472</v>
      </c>
      <c r="R495" s="179"/>
      <c r="S495" s="180"/>
      <c r="T495" s="179"/>
      <c r="U495" s="179"/>
      <c r="V495" s="167" t="s">
        <v>62</v>
      </c>
      <c r="W495" s="168"/>
      <c r="X495" s="168">
        <v>2</v>
      </c>
      <c r="Y495" s="167" t="s">
        <v>740</v>
      </c>
      <c r="Z495" s="169" t="s">
        <v>63</v>
      </c>
      <c r="AA495" s="166">
        <v>6</v>
      </c>
      <c r="AB495" s="166">
        <v>1</v>
      </c>
      <c r="AC495" s="165">
        <v>52</v>
      </c>
      <c r="AD495" s="165"/>
      <c r="AE495" s="165"/>
      <c r="AF495" s="165"/>
      <c r="AG495" s="165"/>
      <c r="AH495" s="165"/>
      <c r="AI495" s="165">
        <v>19</v>
      </c>
      <c r="AJ495" s="165">
        <v>73</v>
      </c>
      <c r="AK495" s="166">
        <v>67</v>
      </c>
      <c r="AL495" s="166"/>
      <c r="AM495" s="166"/>
      <c r="AN495" s="166"/>
      <c r="AO495" s="166"/>
      <c r="AP495" s="166"/>
      <c r="AQ495" s="166">
        <v>50</v>
      </c>
      <c r="AR495" s="166">
        <v>82</v>
      </c>
      <c r="AS495" s="165">
        <v>172</v>
      </c>
      <c r="AT495" s="165"/>
      <c r="AU495" s="165"/>
      <c r="AV495" s="165"/>
      <c r="AW495" s="165"/>
      <c r="AX495" s="165"/>
      <c r="AY495" s="165">
        <v>162</v>
      </c>
      <c r="AZ495" s="165">
        <v>180</v>
      </c>
      <c r="BA495" s="166"/>
      <c r="BB495" s="166"/>
      <c r="BC495" s="166"/>
      <c r="BD495" s="166"/>
      <c r="BE495" s="166"/>
      <c r="BF495" s="166"/>
      <c r="BG495" s="166"/>
      <c r="BH495" s="166"/>
      <c r="BI495" s="165"/>
      <c r="BJ495" s="165"/>
      <c r="BK495" s="165"/>
      <c r="BL495" s="165"/>
      <c r="BM495" s="165"/>
      <c r="BN495" s="165"/>
      <c r="BO495" s="165"/>
      <c r="BP495" s="165"/>
      <c r="BQ495" s="166" t="s">
        <v>208</v>
      </c>
      <c r="BR495" s="165" t="s">
        <v>1474</v>
      </c>
      <c r="BS495" s="124">
        <v>345</v>
      </c>
    </row>
    <row r="496" spans="1:72" s="124" customFormat="1" ht="14.25" hidden="1" customHeight="1" x14ac:dyDescent="0.2">
      <c r="A496" s="205">
        <v>346</v>
      </c>
      <c r="B496" s="235" t="s">
        <v>884</v>
      </c>
      <c r="C496" s="236" t="s">
        <v>885</v>
      </c>
      <c r="D496" s="235" t="s">
        <v>887</v>
      </c>
      <c r="E496" s="125" t="s">
        <v>54</v>
      </c>
      <c r="F496" s="181" t="s">
        <v>55</v>
      </c>
      <c r="G496" s="181" t="s">
        <v>76</v>
      </c>
      <c r="H496" s="181" t="s">
        <v>1468</v>
      </c>
      <c r="I496" s="181"/>
      <c r="J496" s="178">
        <v>600</v>
      </c>
      <c r="K496" s="182"/>
      <c r="L496" s="182" t="s">
        <v>58</v>
      </c>
      <c r="M496" s="178" t="s">
        <v>1469</v>
      </c>
      <c r="N496" s="178" t="s">
        <v>1475</v>
      </c>
      <c r="O496" s="178" t="s">
        <v>60</v>
      </c>
      <c r="P496" s="178" t="s">
        <v>1476</v>
      </c>
      <c r="Q496" s="179" t="s">
        <v>1472</v>
      </c>
      <c r="R496" s="179"/>
      <c r="S496" s="180"/>
      <c r="T496" s="179"/>
      <c r="U496" s="179"/>
      <c r="V496" s="167" t="s">
        <v>62</v>
      </c>
      <c r="W496" s="168"/>
      <c r="X496" s="168">
        <v>2</v>
      </c>
      <c r="Y496" s="167" t="s">
        <v>740</v>
      </c>
      <c r="Z496" s="169" t="s">
        <v>63</v>
      </c>
      <c r="AA496" s="166">
        <v>6</v>
      </c>
      <c r="AB496" s="166">
        <v>1</v>
      </c>
      <c r="AC496" s="165">
        <v>52</v>
      </c>
      <c r="AD496" s="165"/>
      <c r="AE496" s="165"/>
      <c r="AF496" s="165"/>
      <c r="AG496" s="165"/>
      <c r="AH496" s="165"/>
      <c r="AI496" s="165">
        <v>19</v>
      </c>
      <c r="AJ496" s="165">
        <v>73</v>
      </c>
      <c r="AK496" s="166">
        <v>67</v>
      </c>
      <c r="AL496" s="166"/>
      <c r="AM496" s="166"/>
      <c r="AN496" s="166"/>
      <c r="AO496" s="166"/>
      <c r="AP496" s="166"/>
      <c r="AQ496" s="166">
        <v>50</v>
      </c>
      <c r="AR496" s="166">
        <v>82</v>
      </c>
      <c r="AS496" s="165">
        <v>172</v>
      </c>
      <c r="AT496" s="165"/>
      <c r="AU496" s="165"/>
      <c r="AV496" s="165"/>
      <c r="AW496" s="165"/>
      <c r="AX496" s="165"/>
      <c r="AY496" s="165">
        <v>162</v>
      </c>
      <c r="AZ496" s="165">
        <v>180</v>
      </c>
      <c r="BA496" s="166"/>
      <c r="BB496" s="166"/>
      <c r="BC496" s="166"/>
      <c r="BD496" s="166"/>
      <c r="BE496" s="166"/>
      <c r="BF496" s="166"/>
      <c r="BG496" s="166"/>
      <c r="BH496" s="166"/>
      <c r="BI496" s="165"/>
      <c r="BJ496" s="165"/>
      <c r="BK496" s="165"/>
      <c r="BL496" s="165"/>
      <c r="BM496" s="165"/>
      <c r="BN496" s="165"/>
      <c r="BO496" s="165"/>
      <c r="BP496" s="165"/>
      <c r="BQ496" s="166" t="s">
        <v>208</v>
      </c>
      <c r="BR496" s="165" t="s">
        <v>1474</v>
      </c>
      <c r="BS496" s="124">
        <v>346</v>
      </c>
    </row>
    <row r="497" spans="1:72" s="124" customFormat="1" ht="14.25" hidden="1" customHeight="1" x14ac:dyDescent="0.2">
      <c r="A497" s="205">
        <v>347</v>
      </c>
      <c r="B497" s="235" t="s">
        <v>884</v>
      </c>
      <c r="C497" s="236" t="s">
        <v>885</v>
      </c>
      <c r="D497" s="235" t="s">
        <v>888</v>
      </c>
      <c r="E497" s="125" t="s">
        <v>54</v>
      </c>
      <c r="F497" s="181" t="s">
        <v>55</v>
      </c>
      <c r="G497" s="181" t="s">
        <v>76</v>
      </c>
      <c r="H497" s="181" t="s">
        <v>1468</v>
      </c>
      <c r="I497" s="181"/>
      <c r="J497" s="178">
        <v>600</v>
      </c>
      <c r="K497" s="182"/>
      <c r="L497" s="182" t="s">
        <v>58</v>
      </c>
      <c r="M497" s="178" t="s">
        <v>1469</v>
      </c>
      <c r="N497" s="178" t="s">
        <v>1477</v>
      </c>
      <c r="O497" s="178" t="s">
        <v>60</v>
      </c>
      <c r="P497" s="178" t="s">
        <v>1478</v>
      </c>
      <c r="Q497" s="179" t="s">
        <v>1472</v>
      </c>
      <c r="R497" s="179"/>
      <c r="S497" s="180"/>
      <c r="T497" s="179"/>
      <c r="U497" s="179"/>
      <c r="V497" s="167" t="s">
        <v>62</v>
      </c>
      <c r="W497" s="168"/>
      <c r="X497" s="168">
        <v>2</v>
      </c>
      <c r="Y497" s="167" t="s">
        <v>740</v>
      </c>
      <c r="Z497" s="169" t="s">
        <v>63</v>
      </c>
      <c r="AA497" s="166">
        <v>6</v>
      </c>
      <c r="AB497" s="166">
        <v>1</v>
      </c>
      <c r="AC497" s="165">
        <v>52</v>
      </c>
      <c r="AD497" s="165"/>
      <c r="AE497" s="165"/>
      <c r="AF497" s="165"/>
      <c r="AG497" s="165"/>
      <c r="AH497" s="165"/>
      <c r="AI497" s="165">
        <v>19</v>
      </c>
      <c r="AJ497" s="165">
        <v>73</v>
      </c>
      <c r="AK497" s="166">
        <v>67</v>
      </c>
      <c r="AL497" s="166"/>
      <c r="AM497" s="166"/>
      <c r="AN497" s="166"/>
      <c r="AO497" s="166"/>
      <c r="AP497" s="166"/>
      <c r="AQ497" s="166">
        <v>50</v>
      </c>
      <c r="AR497" s="166">
        <v>82</v>
      </c>
      <c r="AS497" s="165">
        <v>172</v>
      </c>
      <c r="AT497" s="165"/>
      <c r="AU497" s="165"/>
      <c r="AV497" s="165"/>
      <c r="AW497" s="165"/>
      <c r="AX497" s="165"/>
      <c r="AY497" s="165">
        <v>162</v>
      </c>
      <c r="AZ497" s="165">
        <v>180</v>
      </c>
      <c r="BA497" s="166"/>
      <c r="BB497" s="166"/>
      <c r="BC497" s="166"/>
      <c r="BD497" s="166"/>
      <c r="BE497" s="166"/>
      <c r="BF497" s="166"/>
      <c r="BG497" s="166"/>
      <c r="BH497" s="166"/>
      <c r="BI497" s="165"/>
      <c r="BJ497" s="165"/>
      <c r="BK497" s="165"/>
      <c r="BL497" s="165"/>
      <c r="BM497" s="165"/>
      <c r="BN497" s="165"/>
      <c r="BO497" s="165"/>
      <c r="BP497" s="165"/>
      <c r="BQ497" s="166" t="s">
        <v>208</v>
      </c>
      <c r="BR497" s="165" t="s">
        <v>1474</v>
      </c>
      <c r="BS497" s="124">
        <v>347</v>
      </c>
    </row>
    <row r="498" spans="1:72" s="124" customFormat="1" ht="14.25" hidden="1" customHeight="1" x14ac:dyDescent="0.2">
      <c r="A498" s="205">
        <v>348</v>
      </c>
      <c r="B498" s="235" t="s">
        <v>884</v>
      </c>
      <c r="C498" s="236" t="s">
        <v>885</v>
      </c>
      <c r="D498" s="235" t="s">
        <v>889</v>
      </c>
      <c r="E498" s="125" t="s">
        <v>54</v>
      </c>
      <c r="F498" s="181" t="s">
        <v>55</v>
      </c>
      <c r="G498" s="181" t="s">
        <v>76</v>
      </c>
      <c r="H498" s="181" t="s">
        <v>1468</v>
      </c>
      <c r="I498" s="181"/>
      <c r="J498" s="178">
        <v>600</v>
      </c>
      <c r="K498" s="182"/>
      <c r="L498" s="182" t="s">
        <v>58</v>
      </c>
      <c r="M498" s="178" t="s">
        <v>78</v>
      </c>
      <c r="N498" s="178">
        <v>0</v>
      </c>
      <c r="O498" s="178" t="s">
        <v>60</v>
      </c>
      <c r="P498" s="178" t="s">
        <v>79</v>
      </c>
      <c r="Q498" s="179" t="s">
        <v>1244</v>
      </c>
      <c r="R498" s="179"/>
      <c r="S498" s="180">
        <v>60</v>
      </c>
      <c r="T498" s="179"/>
      <c r="U498" s="179" t="s">
        <v>1473</v>
      </c>
      <c r="V498" s="167"/>
      <c r="W498" s="168"/>
      <c r="X498" s="168"/>
      <c r="Y498" s="167"/>
      <c r="Z498" s="169" t="s">
        <v>63</v>
      </c>
      <c r="AA498" s="166">
        <v>6</v>
      </c>
      <c r="AB498" s="166">
        <v>1</v>
      </c>
      <c r="AC498" s="165">
        <v>43</v>
      </c>
      <c r="AD498" s="165"/>
      <c r="AE498" s="165"/>
      <c r="AF498" s="165"/>
      <c r="AG498" s="165"/>
      <c r="AH498" s="165"/>
      <c r="AI498" s="165">
        <v>18</v>
      </c>
      <c r="AJ498" s="165">
        <v>62</v>
      </c>
      <c r="AK498" s="166">
        <v>66</v>
      </c>
      <c r="AL498" s="166"/>
      <c r="AM498" s="166"/>
      <c r="AN498" s="166"/>
      <c r="AO498" s="166"/>
      <c r="AP498" s="166"/>
      <c r="AQ498" s="166">
        <v>51</v>
      </c>
      <c r="AR498" s="166">
        <v>96</v>
      </c>
      <c r="AS498" s="165">
        <v>173</v>
      </c>
      <c r="AT498" s="165"/>
      <c r="AU498" s="165"/>
      <c r="AV498" s="165"/>
      <c r="AW498" s="165"/>
      <c r="AX498" s="165"/>
      <c r="AY498" s="165">
        <v>158</v>
      </c>
      <c r="AZ498" s="165">
        <v>181</v>
      </c>
      <c r="BA498" s="166"/>
      <c r="BB498" s="166"/>
      <c r="BC498" s="166"/>
      <c r="BD498" s="166"/>
      <c r="BE498" s="166"/>
      <c r="BF498" s="166"/>
      <c r="BG498" s="166"/>
      <c r="BH498" s="166"/>
      <c r="BI498" s="165"/>
      <c r="BJ498" s="165"/>
      <c r="BK498" s="165"/>
      <c r="BL498" s="165"/>
      <c r="BM498" s="165"/>
      <c r="BN498" s="165"/>
      <c r="BO498" s="165"/>
      <c r="BP498" s="165"/>
      <c r="BQ498" s="166" t="s">
        <v>208</v>
      </c>
      <c r="BR498" s="165" t="s">
        <v>1474</v>
      </c>
      <c r="BS498" s="124">
        <v>348</v>
      </c>
    </row>
    <row r="499" spans="1:72" s="124" customFormat="1" ht="14.25" hidden="1" customHeight="1" x14ac:dyDescent="0.2">
      <c r="A499" s="205">
        <v>349</v>
      </c>
      <c r="B499" s="235" t="s">
        <v>884</v>
      </c>
      <c r="C499" s="236" t="s">
        <v>885</v>
      </c>
      <c r="D499" s="235" t="s">
        <v>890</v>
      </c>
      <c r="E499" s="125" t="s">
        <v>54</v>
      </c>
      <c r="F499" s="181" t="s">
        <v>55</v>
      </c>
      <c r="G499" s="181" t="s">
        <v>76</v>
      </c>
      <c r="H499" s="181" t="s">
        <v>1468</v>
      </c>
      <c r="I499" s="181"/>
      <c r="J499" s="178">
        <v>600</v>
      </c>
      <c r="K499" s="182"/>
      <c r="L499" s="182" t="s">
        <v>58</v>
      </c>
      <c r="M499" s="178" t="s">
        <v>1469</v>
      </c>
      <c r="N499" s="178" t="s">
        <v>1479</v>
      </c>
      <c r="O499" s="178" t="s">
        <v>60</v>
      </c>
      <c r="P499" s="178" t="s">
        <v>1480</v>
      </c>
      <c r="Q499" s="179" t="s">
        <v>1244</v>
      </c>
      <c r="R499" s="179"/>
      <c r="S499" s="180">
        <v>60</v>
      </c>
      <c r="T499" s="179"/>
      <c r="U499" s="179" t="s">
        <v>1473</v>
      </c>
      <c r="V499" s="167"/>
      <c r="W499" s="168"/>
      <c r="X499" s="168"/>
      <c r="Y499" s="167"/>
      <c r="Z499" s="169" t="s">
        <v>63</v>
      </c>
      <c r="AA499" s="166">
        <v>6</v>
      </c>
      <c r="AB499" s="166">
        <v>1</v>
      </c>
      <c r="AC499" s="165">
        <v>43</v>
      </c>
      <c r="AD499" s="165"/>
      <c r="AE499" s="165"/>
      <c r="AF499" s="165"/>
      <c r="AG499" s="165"/>
      <c r="AH499" s="165"/>
      <c r="AI499" s="165">
        <v>18</v>
      </c>
      <c r="AJ499" s="165">
        <v>62</v>
      </c>
      <c r="AK499" s="166">
        <v>66</v>
      </c>
      <c r="AL499" s="166"/>
      <c r="AM499" s="166"/>
      <c r="AN499" s="166"/>
      <c r="AO499" s="166"/>
      <c r="AP499" s="166"/>
      <c r="AQ499" s="166">
        <v>51</v>
      </c>
      <c r="AR499" s="166">
        <v>96</v>
      </c>
      <c r="AS499" s="165">
        <v>173</v>
      </c>
      <c r="AT499" s="165"/>
      <c r="AU499" s="165"/>
      <c r="AV499" s="165"/>
      <c r="AW499" s="165"/>
      <c r="AX499" s="165"/>
      <c r="AY499" s="165">
        <v>158</v>
      </c>
      <c r="AZ499" s="165">
        <v>181</v>
      </c>
      <c r="BA499" s="166"/>
      <c r="BB499" s="166"/>
      <c r="BC499" s="166"/>
      <c r="BD499" s="166"/>
      <c r="BE499" s="166"/>
      <c r="BF499" s="166"/>
      <c r="BG499" s="166"/>
      <c r="BH499" s="166"/>
      <c r="BI499" s="165"/>
      <c r="BJ499" s="165"/>
      <c r="BK499" s="165"/>
      <c r="BL499" s="165"/>
      <c r="BM499" s="165"/>
      <c r="BN499" s="165"/>
      <c r="BO499" s="165"/>
      <c r="BP499" s="165"/>
      <c r="BQ499" s="166" t="s">
        <v>208</v>
      </c>
      <c r="BR499" s="165" t="s">
        <v>1474</v>
      </c>
      <c r="BS499" s="124">
        <v>349</v>
      </c>
    </row>
    <row r="500" spans="1:72" s="124" customFormat="1" ht="14.25" hidden="1" customHeight="1" x14ac:dyDescent="0.2">
      <c r="A500" s="205">
        <v>350</v>
      </c>
      <c r="B500" s="235" t="s">
        <v>884</v>
      </c>
      <c r="C500" s="236" t="s">
        <v>885</v>
      </c>
      <c r="D500" s="235" t="s">
        <v>891</v>
      </c>
      <c r="E500" s="125" t="s">
        <v>54</v>
      </c>
      <c r="F500" s="181" t="s">
        <v>55</v>
      </c>
      <c r="G500" s="181" t="s">
        <v>76</v>
      </c>
      <c r="H500" s="181" t="s">
        <v>1468</v>
      </c>
      <c r="I500" s="181"/>
      <c r="J500" s="178">
        <v>600</v>
      </c>
      <c r="K500" s="182"/>
      <c r="L500" s="182" t="s">
        <v>58</v>
      </c>
      <c r="M500" s="178" t="s">
        <v>1469</v>
      </c>
      <c r="N500" s="178" t="s">
        <v>1481</v>
      </c>
      <c r="O500" s="178" t="s">
        <v>60</v>
      </c>
      <c r="P500" s="178" t="s">
        <v>1482</v>
      </c>
      <c r="Q500" s="179" t="s">
        <v>1244</v>
      </c>
      <c r="R500" s="179"/>
      <c r="S500" s="180">
        <v>60</v>
      </c>
      <c r="T500" s="179"/>
      <c r="U500" s="179" t="s">
        <v>1473</v>
      </c>
      <c r="V500" s="167"/>
      <c r="W500" s="168"/>
      <c r="X500" s="168"/>
      <c r="Y500" s="167"/>
      <c r="Z500" s="169" t="s">
        <v>63</v>
      </c>
      <c r="AA500" s="166">
        <v>6</v>
      </c>
      <c r="AB500" s="166">
        <v>1</v>
      </c>
      <c r="AC500" s="165">
        <v>43</v>
      </c>
      <c r="AD500" s="165"/>
      <c r="AE500" s="165"/>
      <c r="AF500" s="165"/>
      <c r="AG500" s="165"/>
      <c r="AH500" s="165"/>
      <c r="AI500" s="165">
        <v>18</v>
      </c>
      <c r="AJ500" s="165">
        <v>62</v>
      </c>
      <c r="AK500" s="166">
        <v>66</v>
      </c>
      <c r="AL500" s="166"/>
      <c r="AM500" s="166"/>
      <c r="AN500" s="166"/>
      <c r="AO500" s="166"/>
      <c r="AP500" s="166"/>
      <c r="AQ500" s="166">
        <v>51</v>
      </c>
      <c r="AR500" s="166">
        <v>96</v>
      </c>
      <c r="AS500" s="165">
        <v>173</v>
      </c>
      <c r="AT500" s="165"/>
      <c r="AU500" s="165"/>
      <c r="AV500" s="165"/>
      <c r="AW500" s="165"/>
      <c r="AX500" s="165"/>
      <c r="AY500" s="165">
        <v>158</v>
      </c>
      <c r="AZ500" s="165">
        <v>181</v>
      </c>
      <c r="BA500" s="166"/>
      <c r="BB500" s="166"/>
      <c r="BC500" s="166"/>
      <c r="BD500" s="166"/>
      <c r="BE500" s="166"/>
      <c r="BF500" s="166"/>
      <c r="BG500" s="166"/>
      <c r="BH500" s="166"/>
      <c r="BI500" s="165"/>
      <c r="BJ500" s="165"/>
      <c r="BK500" s="165"/>
      <c r="BL500" s="165"/>
      <c r="BM500" s="165"/>
      <c r="BN500" s="165"/>
      <c r="BO500" s="165"/>
      <c r="BP500" s="165"/>
      <c r="BQ500" s="166" t="s">
        <v>208</v>
      </c>
      <c r="BR500" s="165" t="s">
        <v>1474</v>
      </c>
      <c r="BS500" s="124">
        <v>350</v>
      </c>
    </row>
    <row r="501" spans="1:72" s="124" customFormat="1" ht="14.25" hidden="1" customHeight="1" x14ac:dyDescent="0.2">
      <c r="A501" s="205">
        <v>351</v>
      </c>
      <c r="B501" s="233" t="s">
        <v>892</v>
      </c>
      <c r="C501" s="236" t="s">
        <v>893</v>
      </c>
      <c r="D501" s="235" t="s">
        <v>768</v>
      </c>
      <c r="E501" s="125" t="s">
        <v>102</v>
      </c>
      <c r="F501" s="181" t="s">
        <v>103</v>
      </c>
      <c r="G501" s="181" t="s">
        <v>56</v>
      </c>
      <c r="H501" s="181" t="s">
        <v>57</v>
      </c>
      <c r="I501" s="181"/>
      <c r="J501" s="178">
        <v>2</v>
      </c>
      <c r="K501" s="182"/>
      <c r="L501" s="182" t="s">
        <v>58</v>
      </c>
      <c r="M501" s="178" t="s">
        <v>78</v>
      </c>
      <c r="N501" s="178">
        <v>0</v>
      </c>
      <c r="O501" s="178" t="s">
        <v>60</v>
      </c>
      <c r="P501" s="178" t="s">
        <v>79</v>
      </c>
      <c r="Q501" s="179"/>
      <c r="R501" s="179"/>
      <c r="S501" s="180">
        <v>2</v>
      </c>
      <c r="T501" s="179"/>
      <c r="U501" s="179"/>
      <c r="V501" s="167" t="s">
        <v>62</v>
      </c>
      <c r="W501" s="168"/>
      <c r="X501" s="168"/>
      <c r="Y501" s="167" t="s">
        <v>740</v>
      </c>
      <c r="Z501" s="169" t="s">
        <v>63</v>
      </c>
      <c r="AA501" s="166">
        <v>12</v>
      </c>
      <c r="AB501" s="166">
        <v>9</v>
      </c>
      <c r="AC501" s="165"/>
      <c r="AD501" s="165" t="s">
        <v>80</v>
      </c>
      <c r="AE501" s="165"/>
      <c r="AF501" s="165"/>
      <c r="AG501" s="165"/>
      <c r="AH501" s="165"/>
      <c r="AI501" s="165">
        <v>20</v>
      </c>
      <c r="AJ501" s="165">
        <v>36</v>
      </c>
      <c r="AK501" s="166"/>
      <c r="AL501" s="166"/>
      <c r="AM501" s="166"/>
      <c r="AN501" s="166"/>
      <c r="AO501" s="166"/>
      <c r="AP501" s="166"/>
      <c r="AQ501" s="166"/>
      <c r="AR501" s="166"/>
      <c r="AS501" s="165"/>
      <c r="AT501" s="165"/>
      <c r="AU501" s="165"/>
      <c r="AV501" s="165"/>
      <c r="AW501" s="165"/>
      <c r="AX501" s="165"/>
      <c r="AY501" s="165"/>
      <c r="AZ501" s="165"/>
      <c r="BA501" s="166"/>
      <c r="BB501" s="166"/>
      <c r="BC501" s="166"/>
      <c r="BD501" s="166"/>
      <c r="BE501" s="166"/>
      <c r="BF501" s="166"/>
      <c r="BG501" s="166"/>
      <c r="BH501" s="166"/>
      <c r="BI501" s="165"/>
      <c r="BJ501" s="165"/>
      <c r="BK501" s="165"/>
      <c r="BL501" s="165"/>
      <c r="BM501" s="165"/>
      <c r="BN501" s="165"/>
      <c r="BO501" s="165"/>
      <c r="BP501" s="165"/>
      <c r="BQ501" s="166" t="s">
        <v>238</v>
      </c>
      <c r="BR501" s="165" t="s">
        <v>894</v>
      </c>
      <c r="BS501" s="124">
        <v>351</v>
      </c>
      <c r="BT501" s="124" t="s">
        <v>668</v>
      </c>
    </row>
    <row r="502" spans="1:72" s="124" customFormat="1" ht="14.25" hidden="1" customHeight="1" x14ac:dyDescent="0.2">
      <c r="A502" s="205">
        <v>352</v>
      </c>
      <c r="B502" s="233" t="s">
        <v>892</v>
      </c>
      <c r="C502" s="236" t="s">
        <v>893</v>
      </c>
      <c r="D502" s="235" t="s">
        <v>895</v>
      </c>
      <c r="E502" s="125" t="s">
        <v>102</v>
      </c>
      <c r="F502" s="181" t="s">
        <v>103</v>
      </c>
      <c r="G502" s="181" t="s">
        <v>56</v>
      </c>
      <c r="H502" s="181" t="s">
        <v>57</v>
      </c>
      <c r="I502" s="181"/>
      <c r="J502" s="178">
        <v>2</v>
      </c>
      <c r="K502" s="182"/>
      <c r="L502" s="182" t="s">
        <v>58</v>
      </c>
      <c r="M502" s="178" t="s">
        <v>78</v>
      </c>
      <c r="N502" s="178">
        <v>1</v>
      </c>
      <c r="O502" s="178" t="s">
        <v>60</v>
      </c>
      <c r="P502" s="178" t="s">
        <v>79</v>
      </c>
      <c r="Q502" s="179"/>
      <c r="R502" s="179"/>
      <c r="S502" s="180">
        <v>2</v>
      </c>
      <c r="T502" s="179"/>
      <c r="U502" s="179"/>
      <c r="V502" s="167" t="s">
        <v>62</v>
      </c>
      <c r="W502" s="168"/>
      <c r="X502" s="168"/>
      <c r="Y502" s="167" t="s">
        <v>740</v>
      </c>
      <c r="Z502" s="169" t="s">
        <v>63</v>
      </c>
      <c r="AA502" s="166">
        <v>12</v>
      </c>
      <c r="AB502" s="166">
        <v>9</v>
      </c>
      <c r="AC502" s="165"/>
      <c r="AD502" s="165" t="s">
        <v>80</v>
      </c>
      <c r="AE502" s="165"/>
      <c r="AF502" s="165"/>
      <c r="AG502" s="165"/>
      <c r="AH502" s="165"/>
      <c r="AI502" s="165">
        <v>20</v>
      </c>
      <c r="AJ502" s="165">
        <v>36</v>
      </c>
      <c r="AK502" s="166"/>
      <c r="AL502" s="166"/>
      <c r="AM502" s="166"/>
      <c r="AN502" s="166"/>
      <c r="AO502" s="166"/>
      <c r="AP502" s="166"/>
      <c r="AQ502" s="166"/>
      <c r="AR502" s="166"/>
      <c r="AS502" s="165"/>
      <c r="AT502" s="165"/>
      <c r="AU502" s="165"/>
      <c r="AV502" s="165"/>
      <c r="AW502" s="165"/>
      <c r="AX502" s="165"/>
      <c r="AY502" s="165"/>
      <c r="AZ502" s="165"/>
      <c r="BA502" s="166"/>
      <c r="BB502" s="166"/>
      <c r="BC502" s="166"/>
      <c r="BD502" s="166"/>
      <c r="BE502" s="166"/>
      <c r="BF502" s="166"/>
      <c r="BG502" s="166"/>
      <c r="BH502" s="166"/>
      <c r="BI502" s="165"/>
      <c r="BJ502" s="165"/>
      <c r="BK502" s="165"/>
      <c r="BL502" s="165"/>
      <c r="BM502" s="165"/>
      <c r="BN502" s="165"/>
      <c r="BO502" s="165"/>
      <c r="BP502" s="165"/>
      <c r="BQ502" s="166" t="s">
        <v>238</v>
      </c>
      <c r="BR502" s="165" t="s">
        <v>894</v>
      </c>
      <c r="BS502" s="124">
        <v>352</v>
      </c>
      <c r="BT502" s="124" t="s">
        <v>668</v>
      </c>
    </row>
    <row r="503" spans="1:72" s="124" customFormat="1" ht="14.25" hidden="1" customHeight="1" x14ac:dyDescent="0.2">
      <c r="A503" s="205">
        <v>361</v>
      </c>
      <c r="B503" s="233" t="s">
        <v>896</v>
      </c>
      <c r="C503" s="236" t="s">
        <v>897</v>
      </c>
      <c r="D503" s="235" t="s">
        <v>898</v>
      </c>
      <c r="E503" s="125" t="s">
        <v>102</v>
      </c>
      <c r="F503" s="181" t="s">
        <v>103</v>
      </c>
      <c r="G503" s="181" t="s">
        <v>56</v>
      </c>
      <c r="H503" s="181" t="s">
        <v>57</v>
      </c>
      <c r="I503" s="181" t="s">
        <v>713</v>
      </c>
      <c r="J503" s="178" t="s">
        <v>899</v>
      </c>
      <c r="K503" s="182"/>
      <c r="L503" s="182" t="s">
        <v>58</v>
      </c>
      <c r="M503" s="178" t="s">
        <v>59</v>
      </c>
      <c r="N503" s="178">
        <v>0</v>
      </c>
      <c r="O503" s="178" t="s">
        <v>60</v>
      </c>
      <c r="P503" s="178" t="s">
        <v>79</v>
      </c>
      <c r="Q503" s="179" t="s">
        <v>706</v>
      </c>
      <c r="R503" s="179" t="s">
        <v>900</v>
      </c>
      <c r="S503" s="180"/>
      <c r="T503" s="179"/>
      <c r="U503" s="179"/>
      <c r="V503" s="167" t="s">
        <v>502</v>
      </c>
      <c r="W503" s="168"/>
      <c r="X503" s="168"/>
      <c r="Y503" s="167" t="s">
        <v>901</v>
      </c>
      <c r="Z503" s="169" t="s">
        <v>63</v>
      </c>
      <c r="AA503" s="166">
        <v>12</v>
      </c>
      <c r="AB503" s="166">
        <v>0</v>
      </c>
      <c r="AC503" s="165"/>
      <c r="AD503" s="165" t="s">
        <v>80</v>
      </c>
      <c r="AE503" s="165"/>
      <c r="AF503" s="165"/>
      <c r="AG503" s="165"/>
      <c r="AH503" s="165"/>
      <c r="AI503" s="165">
        <v>21</v>
      </c>
      <c r="AJ503" s="165">
        <v>28</v>
      </c>
      <c r="AK503" s="166"/>
      <c r="AL503" s="166" t="s">
        <v>81</v>
      </c>
      <c r="AM503" s="166"/>
      <c r="AN503" s="166"/>
      <c r="AO503" s="166"/>
      <c r="AP503" s="166"/>
      <c r="AQ503" s="166">
        <v>54.3</v>
      </c>
      <c r="AR503" s="166">
        <v>73.400000000000006</v>
      </c>
      <c r="AS503" s="165"/>
      <c r="AT503" s="165"/>
      <c r="AU503" s="165"/>
      <c r="AV503" s="165"/>
      <c r="AW503" s="165"/>
      <c r="AX503" s="165"/>
      <c r="AY503" s="165"/>
      <c r="AZ503" s="165"/>
      <c r="BA503" s="166"/>
      <c r="BB503" s="166" t="s">
        <v>421</v>
      </c>
      <c r="BC503" s="166"/>
      <c r="BD503" s="166"/>
      <c r="BE503" s="166"/>
      <c r="BF503" s="166"/>
      <c r="BG503" s="166">
        <v>18.3</v>
      </c>
      <c r="BH503" s="166">
        <v>25.9</v>
      </c>
      <c r="BI503" s="165"/>
      <c r="BJ503" s="165"/>
      <c r="BK503" s="165"/>
      <c r="BL503" s="165"/>
      <c r="BM503" s="165"/>
      <c r="BN503" s="165"/>
      <c r="BO503" s="165"/>
      <c r="BP503" s="165"/>
      <c r="BQ503" s="166" t="s">
        <v>902</v>
      </c>
      <c r="BR503" s="165" t="s">
        <v>903</v>
      </c>
      <c r="BS503" s="124">
        <v>361</v>
      </c>
      <c r="BT503" s="124" t="s">
        <v>668</v>
      </c>
    </row>
    <row r="504" spans="1:72" s="124" customFormat="1" ht="14.25" hidden="1" customHeight="1" x14ac:dyDescent="0.2">
      <c r="A504" s="205">
        <v>362</v>
      </c>
      <c r="B504" s="233" t="s">
        <v>896</v>
      </c>
      <c r="C504" s="236" t="s">
        <v>897</v>
      </c>
      <c r="D504" s="235" t="s">
        <v>904</v>
      </c>
      <c r="E504" s="125" t="s">
        <v>102</v>
      </c>
      <c r="F504" s="181" t="s">
        <v>103</v>
      </c>
      <c r="G504" s="181" t="s">
        <v>56</v>
      </c>
      <c r="H504" s="181" t="s">
        <v>57</v>
      </c>
      <c r="I504" s="181"/>
      <c r="J504" s="178">
        <v>2.5</v>
      </c>
      <c r="K504" s="182"/>
      <c r="L504" s="182" t="s">
        <v>58</v>
      </c>
      <c r="M504" s="178" t="s">
        <v>59</v>
      </c>
      <c r="N504" s="178">
        <v>25</v>
      </c>
      <c r="O504" s="178" t="s">
        <v>60</v>
      </c>
      <c r="P504" s="178" t="s">
        <v>79</v>
      </c>
      <c r="Q504" s="179" t="s">
        <v>706</v>
      </c>
      <c r="R504" s="179" t="s">
        <v>900</v>
      </c>
      <c r="S504" s="180"/>
      <c r="T504" s="179"/>
      <c r="U504" s="179"/>
      <c r="V504" s="167" t="s">
        <v>502</v>
      </c>
      <c r="W504" s="168"/>
      <c r="X504" s="168"/>
      <c r="Y504" s="167" t="s">
        <v>901</v>
      </c>
      <c r="Z504" s="169" t="s">
        <v>63</v>
      </c>
      <c r="AA504" s="166">
        <v>12</v>
      </c>
      <c r="AB504" s="166">
        <v>0</v>
      </c>
      <c r="AC504" s="165"/>
      <c r="AD504" s="165" t="s">
        <v>80</v>
      </c>
      <c r="AE504" s="165"/>
      <c r="AF504" s="165"/>
      <c r="AG504" s="165"/>
      <c r="AH504" s="165"/>
      <c r="AI504" s="165">
        <v>21</v>
      </c>
      <c r="AJ504" s="165">
        <v>28</v>
      </c>
      <c r="AK504" s="166"/>
      <c r="AL504" s="166" t="s">
        <v>81</v>
      </c>
      <c r="AM504" s="166"/>
      <c r="AN504" s="166"/>
      <c r="AO504" s="166"/>
      <c r="AP504" s="166"/>
      <c r="AQ504" s="166">
        <v>54.3</v>
      </c>
      <c r="AR504" s="166">
        <v>73.400000000000006</v>
      </c>
      <c r="AS504" s="165"/>
      <c r="AT504" s="165"/>
      <c r="AU504" s="165"/>
      <c r="AV504" s="165"/>
      <c r="AW504" s="165"/>
      <c r="AX504" s="165"/>
      <c r="AY504" s="165"/>
      <c r="AZ504" s="165"/>
      <c r="BA504" s="166"/>
      <c r="BB504" s="166" t="s">
        <v>421</v>
      </c>
      <c r="BC504" s="166"/>
      <c r="BD504" s="166"/>
      <c r="BE504" s="166"/>
      <c r="BF504" s="166"/>
      <c r="BG504" s="166">
        <v>18.3</v>
      </c>
      <c r="BH504" s="166">
        <v>25.9</v>
      </c>
      <c r="BI504" s="165"/>
      <c r="BJ504" s="165"/>
      <c r="BK504" s="165"/>
      <c r="BL504" s="165"/>
      <c r="BM504" s="165"/>
      <c r="BN504" s="165"/>
      <c r="BO504" s="165"/>
      <c r="BP504" s="165"/>
      <c r="BQ504" s="166" t="s">
        <v>902</v>
      </c>
      <c r="BR504" s="165" t="s">
        <v>903</v>
      </c>
      <c r="BS504" s="124">
        <v>362</v>
      </c>
      <c r="BT504" s="124" t="s">
        <v>668</v>
      </c>
    </row>
    <row r="505" spans="1:72" s="124" customFormat="1" ht="14.25" hidden="1" customHeight="1" x14ac:dyDescent="0.2">
      <c r="A505" s="205">
        <v>363</v>
      </c>
      <c r="B505" s="233" t="s">
        <v>896</v>
      </c>
      <c r="C505" s="236" t="s">
        <v>897</v>
      </c>
      <c r="D505" s="235" t="s">
        <v>905</v>
      </c>
      <c r="E505" s="125" t="s">
        <v>102</v>
      </c>
      <c r="F505" s="181" t="s">
        <v>103</v>
      </c>
      <c r="G505" s="181" t="s">
        <v>56</v>
      </c>
      <c r="H505" s="181" t="s">
        <v>57</v>
      </c>
      <c r="I505" s="181"/>
      <c r="J505" s="178">
        <v>2.5</v>
      </c>
      <c r="K505" s="182"/>
      <c r="L505" s="182" t="s">
        <v>58</v>
      </c>
      <c r="M505" s="178" t="s">
        <v>59</v>
      </c>
      <c r="N505" s="178">
        <v>73</v>
      </c>
      <c r="O505" s="178" t="s">
        <v>60</v>
      </c>
      <c r="P505" s="178" t="s">
        <v>79</v>
      </c>
      <c r="Q505" s="179" t="s">
        <v>706</v>
      </c>
      <c r="R505" s="179" t="s">
        <v>900</v>
      </c>
      <c r="S505" s="180"/>
      <c r="T505" s="179"/>
      <c r="U505" s="179"/>
      <c r="V505" s="167" t="s">
        <v>502</v>
      </c>
      <c r="W505" s="168"/>
      <c r="X505" s="168"/>
      <c r="Y505" s="167" t="s">
        <v>901</v>
      </c>
      <c r="Z505" s="169" t="s">
        <v>63</v>
      </c>
      <c r="AA505" s="166">
        <v>12</v>
      </c>
      <c r="AB505" s="166">
        <v>0</v>
      </c>
      <c r="AC505" s="165"/>
      <c r="AD505" s="165" t="s">
        <v>80</v>
      </c>
      <c r="AE505" s="165"/>
      <c r="AF505" s="165"/>
      <c r="AG505" s="165"/>
      <c r="AH505" s="165"/>
      <c r="AI505" s="165">
        <v>21</v>
      </c>
      <c r="AJ505" s="165">
        <v>28</v>
      </c>
      <c r="AK505" s="166"/>
      <c r="AL505" s="166" t="s">
        <v>81</v>
      </c>
      <c r="AM505" s="166"/>
      <c r="AN505" s="166"/>
      <c r="AO505" s="166"/>
      <c r="AP505" s="166"/>
      <c r="AQ505" s="166">
        <v>54.3</v>
      </c>
      <c r="AR505" s="166">
        <v>73.400000000000006</v>
      </c>
      <c r="AS505" s="165"/>
      <c r="AT505" s="165"/>
      <c r="AU505" s="165"/>
      <c r="AV505" s="165"/>
      <c r="AW505" s="165"/>
      <c r="AX505" s="165"/>
      <c r="AY505" s="165"/>
      <c r="AZ505" s="165"/>
      <c r="BA505" s="166"/>
      <c r="BB505" s="166" t="s">
        <v>421</v>
      </c>
      <c r="BC505" s="166"/>
      <c r="BD505" s="166"/>
      <c r="BE505" s="166"/>
      <c r="BF505" s="166"/>
      <c r="BG505" s="166">
        <v>18.3</v>
      </c>
      <c r="BH505" s="166">
        <v>25.9</v>
      </c>
      <c r="BI505" s="165"/>
      <c r="BJ505" s="165"/>
      <c r="BK505" s="165"/>
      <c r="BL505" s="165"/>
      <c r="BM505" s="165"/>
      <c r="BN505" s="165"/>
      <c r="BO505" s="165"/>
      <c r="BP505" s="165"/>
      <c r="BQ505" s="166" t="s">
        <v>902</v>
      </c>
      <c r="BR505" s="165" t="s">
        <v>903</v>
      </c>
      <c r="BS505" s="124">
        <v>363</v>
      </c>
      <c r="BT505" s="124" t="s">
        <v>668</v>
      </c>
    </row>
    <row r="506" spans="1:72" s="124" customFormat="1" ht="14.25" hidden="1" customHeight="1" x14ac:dyDescent="0.2">
      <c r="A506" s="205">
        <v>364</v>
      </c>
      <c r="B506" s="233" t="s">
        <v>896</v>
      </c>
      <c r="C506" s="236" t="s">
        <v>897</v>
      </c>
      <c r="D506" s="235" t="s">
        <v>906</v>
      </c>
      <c r="E506" s="125" t="s">
        <v>102</v>
      </c>
      <c r="F506" s="181" t="s">
        <v>103</v>
      </c>
      <c r="G506" s="181" t="s">
        <v>56</v>
      </c>
      <c r="H506" s="181" t="s">
        <v>57</v>
      </c>
      <c r="I506" s="181"/>
      <c r="J506" s="178">
        <v>2.5</v>
      </c>
      <c r="K506" s="182"/>
      <c r="L506" s="182" t="s">
        <v>58</v>
      </c>
      <c r="M506" s="178" t="s">
        <v>59</v>
      </c>
      <c r="N506" s="178">
        <v>145</v>
      </c>
      <c r="O506" s="178" t="s">
        <v>60</v>
      </c>
      <c r="P506" s="178" t="s">
        <v>79</v>
      </c>
      <c r="Q506" s="179" t="s">
        <v>706</v>
      </c>
      <c r="R506" s="179" t="s">
        <v>900</v>
      </c>
      <c r="S506" s="180"/>
      <c r="T506" s="179"/>
      <c r="U506" s="179"/>
      <c r="V506" s="167" t="s">
        <v>502</v>
      </c>
      <c r="W506" s="168"/>
      <c r="X506" s="168"/>
      <c r="Y506" s="167" t="s">
        <v>901</v>
      </c>
      <c r="Z506" s="169" t="s">
        <v>63</v>
      </c>
      <c r="AA506" s="166">
        <v>12</v>
      </c>
      <c r="AB506" s="166">
        <v>0</v>
      </c>
      <c r="AC506" s="165"/>
      <c r="AD506" s="165" t="s">
        <v>80</v>
      </c>
      <c r="AE506" s="165"/>
      <c r="AF506" s="165"/>
      <c r="AG506" s="165"/>
      <c r="AH506" s="165"/>
      <c r="AI506" s="165">
        <v>21</v>
      </c>
      <c r="AJ506" s="165">
        <v>28</v>
      </c>
      <c r="AK506" s="166"/>
      <c r="AL506" s="166" t="s">
        <v>81</v>
      </c>
      <c r="AM506" s="166"/>
      <c r="AN506" s="166"/>
      <c r="AO506" s="166"/>
      <c r="AP506" s="166"/>
      <c r="AQ506" s="166">
        <v>54.3</v>
      </c>
      <c r="AR506" s="166">
        <v>73.400000000000006</v>
      </c>
      <c r="AS506" s="165"/>
      <c r="AT506" s="165"/>
      <c r="AU506" s="165"/>
      <c r="AV506" s="165"/>
      <c r="AW506" s="165"/>
      <c r="AX506" s="165"/>
      <c r="AY506" s="165"/>
      <c r="AZ506" s="165"/>
      <c r="BA506" s="166"/>
      <c r="BB506" s="166" t="s">
        <v>421</v>
      </c>
      <c r="BC506" s="166"/>
      <c r="BD506" s="166"/>
      <c r="BE506" s="166"/>
      <c r="BF506" s="166"/>
      <c r="BG506" s="166">
        <v>18.3</v>
      </c>
      <c r="BH506" s="166">
        <v>25.9</v>
      </c>
      <c r="BI506" s="165"/>
      <c r="BJ506" s="165"/>
      <c r="BK506" s="165"/>
      <c r="BL506" s="165"/>
      <c r="BM506" s="165"/>
      <c r="BN506" s="165"/>
      <c r="BO506" s="165"/>
      <c r="BP506" s="165"/>
      <c r="BQ506" s="166" t="s">
        <v>902</v>
      </c>
      <c r="BR506" s="165" t="s">
        <v>903</v>
      </c>
      <c r="BS506" s="124">
        <v>364</v>
      </c>
      <c r="BT506" s="124" t="s">
        <v>668</v>
      </c>
    </row>
    <row r="507" spans="1:72" s="124" customFormat="1" ht="14.25" hidden="1" customHeight="1" x14ac:dyDescent="0.2">
      <c r="A507" s="205">
        <v>365</v>
      </c>
      <c r="B507" s="233" t="s">
        <v>907</v>
      </c>
      <c r="C507" s="236" t="s">
        <v>908</v>
      </c>
      <c r="D507" s="235" t="s">
        <v>768</v>
      </c>
      <c r="E507" s="125" t="s">
        <v>102</v>
      </c>
      <c r="F507" s="181" t="s">
        <v>103</v>
      </c>
      <c r="G507" s="181" t="s">
        <v>56</v>
      </c>
      <c r="H507" s="181" t="s">
        <v>57</v>
      </c>
      <c r="I507" s="181"/>
      <c r="J507" s="178">
        <v>15</v>
      </c>
      <c r="K507" s="182"/>
      <c r="L507" s="182" t="s">
        <v>58</v>
      </c>
      <c r="M507" s="178" t="s">
        <v>59</v>
      </c>
      <c r="N507" s="178">
        <v>0</v>
      </c>
      <c r="O507" s="178" t="s">
        <v>60</v>
      </c>
      <c r="P507" s="178" t="s">
        <v>79</v>
      </c>
      <c r="Q507" s="179" t="s">
        <v>706</v>
      </c>
      <c r="R507" s="179" t="s">
        <v>909</v>
      </c>
      <c r="S507" s="180"/>
      <c r="T507" s="179">
        <v>150</v>
      </c>
      <c r="U507" s="179"/>
      <c r="V507" s="167" t="s">
        <v>62</v>
      </c>
      <c r="W507" s="168">
        <v>3</v>
      </c>
      <c r="X507" s="168">
        <v>4</v>
      </c>
      <c r="Y507" s="167"/>
      <c r="Z507" s="169" t="s">
        <v>63</v>
      </c>
      <c r="AA507" s="166">
        <v>12</v>
      </c>
      <c r="AB507" s="166">
        <v>9</v>
      </c>
      <c r="AC507" s="165"/>
      <c r="AD507" s="165"/>
      <c r="AE507" s="165"/>
      <c r="AF507" s="165"/>
      <c r="AG507" s="165"/>
      <c r="AH507" s="165"/>
      <c r="AI507" s="165">
        <v>18</v>
      </c>
      <c r="AJ507" s="165">
        <v>29</v>
      </c>
      <c r="AK507" s="166"/>
      <c r="AL507" s="166"/>
      <c r="AM507" s="166"/>
      <c r="AN507" s="166"/>
      <c r="AO507" s="166"/>
      <c r="AP507" s="166"/>
      <c r="AQ507" s="166">
        <v>50</v>
      </c>
      <c r="AR507" s="166">
        <v>73</v>
      </c>
      <c r="AS507" s="165"/>
      <c r="AT507" s="165"/>
      <c r="AU507" s="165"/>
      <c r="AV507" s="165"/>
      <c r="AW507" s="165"/>
      <c r="AX507" s="165"/>
      <c r="AY507" s="165"/>
      <c r="AZ507" s="165"/>
      <c r="BA507" s="166"/>
      <c r="BB507" s="166"/>
      <c r="BC507" s="166"/>
      <c r="BD507" s="166"/>
      <c r="BE507" s="166"/>
      <c r="BF507" s="166"/>
      <c r="BG507" s="166"/>
      <c r="BH507" s="166"/>
      <c r="BI507" s="165"/>
      <c r="BJ507" s="165"/>
      <c r="BK507" s="165"/>
      <c r="BL507" s="165"/>
      <c r="BM507" s="165"/>
      <c r="BN507" s="165"/>
      <c r="BO507" s="165"/>
      <c r="BP507" s="165"/>
      <c r="BQ507" s="166" t="s">
        <v>408</v>
      </c>
      <c r="BR507" s="165" t="s">
        <v>910</v>
      </c>
      <c r="BS507" s="124">
        <v>365</v>
      </c>
      <c r="BT507" s="124" t="s">
        <v>668</v>
      </c>
    </row>
    <row r="508" spans="1:72" s="124" customFormat="1" ht="14.25" hidden="1" customHeight="1" x14ac:dyDescent="0.2">
      <c r="A508" s="205">
        <v>366</v>
      </c>
      <c r="B508" s="233" t="s">
        <v>907</v>
      </c>
      <c r="C508" s="236" t="s">
        <v>908</v>
      </c>
      <c r="D508" s="235" t="s">
        <v>911</v>
      </c>
      <c r="E508" s="125" t="s">
        <v>102</v>
      </c>
      <c r="F508" s="181" t="s">
        <v>103</v>
      </c>
      <c r="G508" s="181" t="s">
        <v>56</v>
      </c>
      <c r="H508" s="181" t="s">
        <v>57</v>
      </c>
      <c r="I508" s="181"/>
      <c r="J508" s="178">
        <v>15</v>
      </c>
      <c r="K508" s="182"/>
      <c r="L508" s="182" t="s">
        <v>58</v>
      </c>
      <c r="M508" s="178" t="s">
        <v>59</v>
      </c>
      <c r="N508" s="178">
        <v>128</v>
      </c>
      <c r="O508" s="178" t="s">
        <v>60</v>
      </c>
      <c r="P508" s="178" t="s">
        <v>79</v>
      </c>
      <c r="Q508" s="179" t="s">
        <v>706</v>
      </c>
      <c r="R508" s="179" t="s">
        <v>909</v>
      </c>
      <c r="S508" s="180"/>
      <c r="T508" s="179">
        <v>150</v>
      </c>
      <c r="U508" s="179"/>
      <c r="V508" s="167" t="s">
        <v>62</v>
      </c>
      <c r="W508" s="168">
        <v>3</v>
      </c>
      <c r="X508" s="168">
        <v>4</v>
      </c>
      <c r="Y508" s="167"/>
      <c r="Z508" s="169" t="s">
        <v>63</v>
      </c>
      <c r="AA508" s="166">
        <v>12</v>
      </c>
      <c r="AB508" s="166">
        <v>9</v>
      </c>
      <c r="AC508" s="165"/>
      <c r="AD508" s="165"/>
      <c r="AE508" s="165"/>
      <c r="AF508" s="165"/>
      <c r="AG508" s="165"/>
      <c r="AH508" s="165"/>
      <c r="AI508" s="165">
        <v>18</v>
      </c>
      <c r="AJ508" s="165">
        <v>29</v>
      </c>
      <c r="AK508" s="166"/>
      <c r="AL508" s="166"/>
      <c r="AM508" s="166"/>
      <c r="AN508" s="166"/>
      <c r="AO508" s="166"/>
      <c r="AP508" s="166"/>
      <c r="AQ508" s="166">
        <v>50</v>
      </c>
      <c r="AR508" s="166">
        <v>73</v>
      </c>
      <c r="AS508" s="165"/>
      <c r="AT508" s="165"/>
      <c r="AU508" s="165"/>
      <c r="AV508" s="165"/>
      <c r="AW508" s="165"/>
      <c r="AX508" s="165"/>
      <c r="AY508" s="165"/>
      <c r="AZ508" s="165"/>
      <c r="BA508" s="166"/>
      <c r="BB508" s="166"/>
      <c r="BC508" s="166"/>
      <c r="BD508" s="166"/>
      <c r="BE508" s="166"/>
      <c r="BF508" s="166"/>
      <c r="BG508" s="166"/>
      <c r="BH508" s="166"/>
      <c r="BI508" s="165"/>
      <c r="BJ508" s="165"/>
      <c r="BK508" s="165"/>
      <c r="BL508" s="165"/>
      <c r="BM508" s="165"/>
      <c r="BN508" s="165"/>
      <c r="BO508" s="165"/>
      <c r="BP508" s="165"/>
      <c r="BQ508" s="166" t="s">
        <v>408</v>
      </c>
      <c r="BR508" s="165" t="s">
        <v>910</v>
      </c>
      <c r="BS508" s="124">
        <v>366</v>
      </c>
      <c r="BT508" s="124" t="s">
        <v>668</v>
      </c>
    </row>
    <row r="509" spans="1:72" s="124" customFormat="1" ht="14.25" hidden="1" customHeight="1" x14ac:dyDescent="0.2">
      <c r="A509" s="205">
        <v>367</v>
      </c>
      <c r="B509" s="233" t="s">
        <v>907</v>
      </c>
      <c r="C509" s="236" t="s">
        <v>908</v>
      </c>
      <c r="D509" s="235" t="s">
        <v>387</v>
      </c>
      <c r="E509" s="125" t="s">
        <v>102</v>
      </c>
      <c r="F509" s="181" t="s">
        <v>103</v>
      </c>
      <c r="G509" s="181" t="s">
        <v>56</v>
      </c>
      <c r="H509" s="181" t="s">
        <v>157</v>
      </c>
      <c r="I509" s="181"/>
      <c r="J509" s="178">
        <v>0.05</v>
      </c>
      <c r="K509" s="182"/>
      <c r="L509" s="182" t="s">
        <v>107</v>
      </c>
      <c r="M509" s="178" t="s">
        <v>78</v>
      </c>
      <c r="N509" s="178">
        <v>0</v>
      </c>
      <c r="O509" s="178" t="s">
        <v>60</v>
      </c>
      <c r="P509" s="178" t="s">
        <v>79</v>
      </c>
      <c r="Q509" s="179" t="s">
        <v>706</v>
      </c>
      <c r="R509" s="179" t="s">
        <v>912</v>
      </c>
      <c r="S509" s="180">
        <v>2</v>
      </c>
      <c r="T509" s="179"/>
      <c r="U509" s="179"/>
      <c r="V509" s="167" t="s">
        <v>62</v>
      </c>
      <c r="W509" s="168">
        <v>3</v>
      </c>
      <c r="X509" s="168">
        <v>4</v>
      </c>
      <c r="Y509" s="167"/>
      <c r="Z509" s="169" t="s">
        <v>63</v>
      </c>
      <c r="AA509" s="166">
        <v>6</v>
      </c>
      <c r="AB509" s="166">
        <v>4</v>
      </c>
      <c r="AC509" s="165"/>
      <c r="AD509" s="165"/>
      <c r="AE509" s="165"/>
      <c r="AF509" s="165"/>
      <c r="AG509" s="165"/>
      <c r="AH509" s="165"/>
      <c r="AI509" s="165">
        <v>20</v>
      </c>
      <c r="AJ509" s="165">
        <v>22</v>
      </c>
      <c r="AK509" s="166"/>
      <c r="AL509" s="166"/>
      <c r="AM509" s="166"/>
      <c r="AN509" s="166"/>
      <c r="AO509" s="166"/>
      <c r="AP509" s="166"/>
      <c r="AQ509" s="166">
        <v>56</v>
      </c>
      <c r="AR509" s="166">
        <v>70</v>
      </c>
      <c r="AS509" s="165"/>
      <c r="AT509" s="165"/>
      <c r="AU509" s="165"/>
      <c r="AV509" s="165"/>
      <c r="AW509" s="165"/>
      <c r="AX509" s="165"/>
      <c r="AY509" s="165"/>
      <c r="AZ509" s="165"/>
      <c r="BA509" s="166"/>
      <c r="BB509" s="166"/>
      <c r="BC509" s="166"/>
      <c r="BD509" s="166"/>
      <c r="BE509" s="166"/>
      <c r="BF509" s="166"/>
      <c r="BG509" s="166"/>
      <c r="BH509" s="166"/>
      <c r="BI509" s="165"/>
      <c r="BJ509" s="165"/>
      <c r="BK509" s="165"/>
      <c r="BL509" s="165"/>
      <c r="BM509" s="165"/>
      <c r="BN509" s="165"/>
      <c r="BO509" s="165"/>
      <c r="BP509" s="165"/>
      <c r="BQ509" s="166" t="s">
        <v>408</v>
      </c>
      <c r="BR509" s="165" t="s">
        <v>910</v>
      </c>
      <c r="BS509" s="124">
        <v>367</v>
      </c>
      <c r="BT509" s="124" t="s">
        <v>668</v>
      </c>
    </row>
    <row r="510" spans="1:72" s="124" customFormat="1" ht="14.25" hidden="1" customHeight="1" x14ac:dyDescent="0.2">
      <c r="A510" s="205">
        <v>368</v>
      </c>
      <c r="B510" s="233" t="s">
        <v>907</v>
      </c>
      <c r="C510" s="236" t="s">
        <v>908</v>
      </c>
      <c r="D510" s="235" t="s">
        <v>913</v>
      </c>
      <c r="E510" s="125" t="s">
        <v>102</v>
      </c>
      <c r="F510" s="181" t="s">
        <v>103</v>
      </c>
      <c r="G510" s="181" t="s">
        <v>56</v>
      </c>
      <c r="H510" s="181" t="s">
        <v>157</v>
      </c>
      <c r="I510" s="181"/>
      <c r="J510" s="178">
        <v>0.05</v>
      </c>
      <c r="K510" s="182"/>
      <c r="L510" s="182" t="s">
        <v>107</v>
      </c>
      <c r="M510" s="178" t="s">
        <v>78</v>
      </c>
      <c r="N510" s="178">
        <v>128</v>
      </c>
      <c r="O510" s="178" t="s">
        <v>60</v>
      </c>
      <c r="P510" s="178" t="s">
        <v>79</v>
      </c>
      <c r="Q510" s="179" t="s">
        <v>706</v>
      </c>
      <c r="R510" s="179" t="s">
        <v>912</v>
      </c>
      <c r="S510" s="180">
        <v>2</v>
      </c>
      <c r="T510" s="179"/>
      <c r="U510" s="179"/>
      <c r="V510" s="167" t="s">
        <v>62</v>
      </c>
      <c r="W510" s="168">
        <v>3</v>
      </c>
      <c r="X510" s="168">
        <v>4</v>
      </c>
      <c r="Y510" s="167"/>
      <c r="Z510" s="169" t="s">
        <v>63</v>
      </c>
      <c r="AA510" s="166">
        <v>6</v>
      </c>
      <c r="AB510" s="166">
        <v>4</v>
      </c>
      <c r="AC510" s="165"/>
      <c r="AD510" s="165"/>
      <c r="AE510" s="165"/>
      <c r="AF510" s="165"/>
      <c r="AG510" s="165"/>
      <c r="AH510" s="165"/>
      <c r="AI510" s="165">
        <v>20</v>
      </c>
      <c r="AJ510" s="165">
        <v>22</v>
      </c>
      <c r="AK510" s="166"/>
      <c r="AL510" s="166"/>
      <c r="AM510" s="166"/>
      <c r="AN510" s="166"/>
      <c r="AO510" s="166"/>
      <c r="AP510" s="166"/>
      <c r="AQ510" s="166">
        <v>56</v>
      </c>
      <c r="AR510" s="166">
        <v>70</v>
      </c>
      <c r="AS510" s="165"/>
      <c r="AT510" s="165"/>
      <c r="AU510" s="165"/>
      <c r="AV510" s="165"/>
      <c r="AW510" s="165"/>
      <c r="AX510" s="165"/>
      <c r="AY510" s="165"/>
      <c r="AZ510" s="165"/>
      <c r="BA510" s="166"/>
      <c r="BB510" s="166"/>
      <c r="BC510" s="166"/>
      <c r="BD510" s="166"/>
      <c r="BE510" s="166"/>
      <c r="BF510" s="166"/>
      <c r="BG510" s="166"/>
      <c r="BH510" s="166"/>
      <c r="BI510" s="165"/>
      <c r="BJ510" s="165"/>
      <c r="BK510" s="165"/>
      <c r="BL510" s="165"/>
      <c r="BM510" s="165"/>
      <c r="BN510" s="165"/>
      <c r="BO510" s="165"/>
      <c r="BP510" s="165"/>
      <c r="BQ510" s="166" t="s">
        <v>408</v>
      </c>
      <c r="BR510" s="165" t="s">
        <v>910</v>
      </c>
      <c r="BS510" s="124">
        <v>368</v>
      </c>
      <c r="BT510" s="124" t="s">
        <v>668</v>
      </c>
    </row>
    <row r="511" spans="1:72" s="124" customFormat="1" ht="14.25" hidden="1" customHeight="1" x14ac:dyDescent="0.2">
      <c r="A511" s="205">
        <v>369</v>
      </c>
      <c r="B511" s="233" t="s">
        <v>914</v>
      </c>
      <c r="C511" s="236" t="s">
        <v>915</v>
      </c>
      <c r="D511" s="235" t="s">
        <v>768</v>
      </c>
      <c r="E511" s="125" t="s">
        <v>102</v>
      </c>
      <c r="F511" s="181" t="s">
        <v>103</v>
      </c>
      <c r="G511" s="181" t="s">
        <v>56</v>
      </c>
      <c r="H511" s="181" t="s">
        <v>57</v>
      </c>
      <c r="I511" s="181"/>
      <c r="J511" s="178">
        <v>7.5</v>
      </c>
      <c r="K511" s="182"/>
      <c r="L511" s="182" t="s">
        <v>58</v>
      </c>
      <c r="M511" s="178" t="s">
        <v>59</v>
      </c>
      <c r="N511" s="178">
        <v>0</v>
      </c>
      <c r="O511" s="178" t="s">
        <v>60</v>
      </c>
      <c r="P511" s="178" t="s">
        <v>79</v>
      </c>
      <c r="Q511" s="179" t="s">
        <v>706</v>
      </c>
      <c r="R511" s="179" t="s">
        <v>916</v>
      </c>
      <c r="S511" s="180"/>
      <c r="T511" s="179">
        <v>150</v>
      </c>
      <c r="U511" s="179"/>
      <c r="V511" s="167" t="s">
        <v>62</v>
      </c>
      <c r="W511" s="168">
        <v>3</v>
      </c>
      <c r="X511" s="168">
        <v>4</v>
      </c>
      <c r="Y511" s="167"/>
      <c r="Z511" s="169" t="s">
        <v>63</v>
      </c>
      <c r="AA511" s="166">
        <v>9</v>
      </c>
      <c r="AB511" s="166">
        <v>7</v>
      </c>
      <c r="AC511" s="165"/>
      <c r="AD511" s="165" t="s">
        <v>80</v>
      </c>
      <c r="AE511" s="165"/>
      <c r="AF511" s="165"/>
      <c r="AG511" s="165"/>
      <c r="AH511" s="165"/>
      <c r="AI511" s="165">
        <v>19</v>
      </c>
      <c r="AJ511" s="165">
        <v>26</v>
      </c>
      <c r="AK511" s="166"/>
      <c r="AL511" s="166" t="s">
        <v>81</v>
      </c>
      <c r="AM511" s="166"/>
      <c r="AN511" s="166"/>
      <c r="AO511" s="166"/>
      <c r="AP511" s="166"/>
      <c r="AQ511" s="166">
        <v>52</v>
      </c>
      <c r="AR511" s="166">
        <v>85</v>
      </c>
      <c r="AS511" s="165"/>
      <c r="AT511" s="165"/>
      <c r="AU511" s="165"/>
      <c r="AV511" s="165"/>
      <c r="AW511" s="165"/>
      <c r="AX511" s="165"/>
      <c r="AY511" s="165"/>
      <c r="AZ511" s="165"/>
      <c r="BA511" s="166"/>
      <c r="BB511" s="166"/>
      <c r="BC511" s="166"/>
      <c r="BD511" s="166"/>
      <c r="BE511" s="166"/>
      <c r="BF511" s="166"/>
      <c r="BG511" s="166"/>
      <c r="BH511" s="166"/>
      <c r="BI511" s="165"/>
      <c r="BJ511" s="165"/>
      <c r="BK511" s="165"/>
      <c r="BL511" s="165"/>
      <c r="BM511" s="165"/>
      <c r="BN511" s="165"/>
      <c r="BO511" s="165"/>
      <c r="BP511" s="165"/>
      <c r="BQ511" s="166" t="s">
        <v>408</v>
      </c>
      <c r="BR511" s="165"/>
      <c r="BS511" s="124">
        <v>369</v>
      </c>
      <c r="BT511" s="124" t="s">
        <v>668</v>
      </c>
    </row>
    <row r="512" spans="1:72" s="124" customFormat="1" ht="14.25" hidden="1" customHeight="1" x14ac:dyDescent="0.2">
      <c r="A512" s="205">
        <v>370</v>
      </c>
      <c r="B512" s="233" t="s">
        <v>914</v>
      </c>
      <c r="C512" s="236" t="s">
        <v>915</v>
      </c>
      <c r="D512" s="235" t="s">
        <v>850</v>
      </c>
      <c r="E512" s="125" t="s">
        <v>102</v>
      </c>
      <c r="F512" s="181" t="s">
        <v>103</v>
      </c>
      <c r="G512" s="181" t="s">
        <v>56</v>
      </c>
      <c r="H512" s="181" t="s">
        <v>57</v>
      </c>
      <c r="I512" s="181"/>
      <c r="J512" s="178">
        <v>7.5</v>
      </c>
      <c r="K512" s="182"/>
      <c r="L512" s="182" t="s">
        <v>58</v>
      </c>
      <c r="M512" s="178" t="s">
        <v>59</v>
      </c>
      <c r="N512" s="178">
        <v>73</v>
      </c>
      <c r="O512" s="178" t="s">
        <v>60</v>
      </c>
      <c r="P512" s="178" t="s">
        <v>79</v>
      </c>
      <c r="Q512" s="179" t="s">
        <v>706</v>
      </c>
      <c r="R512" s="179" t="s">
        <v>916</v>
      </c>
      <c r="S512" s="180"/>
      <c r="T512" s="179">
        <v>150</v>
      </c>
      <c r="U512" s="179"/>
      <c r="V512" s="167" t="s">
        <v>62</v>
      </c>
      <c r="W512" s="168">
        <v>3</v>
      </c>
      <c r="X512" s="168">
        <v>4</v>
      </c>
      <c r="Y512" s="167"/>
      <c r="Z512" s="169" t="s">
        <v>63</v>
      </c>
      <c r="AA512" s="166">
        <v>9</v>
      </c>
      <c r="AB512" s="166">
        <v>7</v>
      </c>
      <c r="AC512" s="165"/>
      <c r="AD512" s="165" t="s">
        <v>80</v>
      </c>
      <c r="AE512" s="165"/>
      <c r="AF512" s="165"/>
      <c r="AG512" s="165"/>
      <c r="AH512" s="165"/>
      <c r="AI512" s="165">
        <v>19</v>
      </c>
      <c r="AJ512" s="165">
        <v>26</v>
      </c>
      <c r="AK512" s="166"/>
      <c r="AL512" s="166" t="s">
        <v>81</v>
      </c>
      <c r="AM512" s="166"/>
      <c r="AN512" s="166"/>
      <c r="AO512" s="166"/>
      <c r="AP512" s="166"/>
      <c r="AQ512" s="166">
        <v>52</v>
      </c>
      <c r="AR512" s="166">
        <v>85</v>
      </c>
      <c r="AS512" s="165"/>
      <c r="AT512" s="165"/>
      <c r="AU512" s="165"/>
      <c r="AV512" s="165"/>
      <c r="AW512" s="165"/>
      <c r="AX512" s="165"/>
      <c r="AY512" s="165"/>
      <c r="AZ512" s="165"/>
      <c r="BA512" s="166"/>
      <c r="BB512" s="166"/>
      <c r="BC512" s="166"/>
      <c r="BD512" s="166"/>
      <c r="BE512" s="166"/>
      <c r="BF512" s="166"/>
      <c r="BG512" s="166"/>
      <c r="BH512" s="166"/>
      <c r="BI512" s="165"/>
      <c r="BJ512" s="165"/>
      <c r="BK512" s="165"/>
      <c r="BL512" s="165"/>
      <c r="BM512" s="165"/>
      <c r="BN512" s="165"/>
      <c r="BO512" s="165"/>
      <c r="BP512" s="165"/>
      <c r="BQ512" s="166" t="s">
        <v>408</v>
      </c>
      <c r="BR512" s="165"/>
      <c r="BS512" s="124">
        <v>370</v>
      </c>
      <c r="BT512" s="124" t="s">
        <v>668</v>
      </c>
    </row>
    <row r="513" spans="1:72" s="124" customFormat="1" ht="14.25" hidden="1" customHeight="1" x14ac:dyDescent="0.2">
      <c r="A513" s="205">
        <v>371</v>
      </c>
      <c r="B513" s="233" t="s">
        <v>914</v>
      </c>
      <c r="C513" s="236" t="s">
        <v>915</v>
      </c>
      <c r="D513" s="235" t="s">
        <v>917</v>
      </c>
      <c r="E513" s="125" t="s">
        <v>102</v>
      </c>
      <c r="F513" s="181" t="s">
        <v>103</v>
      </c>
      <c r="G513" s="181" t="s">
        <v>56</v>
      </c>
      <c r="H513" s="181" t="s">
        <v>57</v>
      </c>
      <c r="I513" s="181"/>
      <c r="J513" s="178">
        <v>7.5</v>
      </c>
      <c r="K513" s="182"/>
      <c r="L513" s="182" t="s">
        <v>58</v>
      </c>
      <c r="M513" s="178" t="s">
        <v>59</v>
      </c>
      <c r="N513" s="178">
        <v>73</v>
      </c>
      <c r="O513" s="178" t="s">
        <v>60</v>
      </c>
      <c r="P513" s="178" t="s">
        <v>79</v>
      </c>
      <c r="Q513" s="179" t="s">
        <v>706</v>
      </c>
      <c r="R513" s="179" t="s">
        <v>916</v>
      </c>
      <c r="S513" s="180"/>
      <c r="T513" s="179">
        <v>150</v>
      </c>
      <c r="U513" s="179"/>
      <c r="V513" s="167" t="s">
        <v>62</v>
      </c>
      <c r="W513" s="168">
        <v>3</v>
      </c>
      <c r="X513" s="168">
        <v>4</v>
      </c>
      <c r="Y513" s="167"/>
      <c r="Z513" s="169" t="s">
        <v>63</v>
      </c>
      <c r="AA513" s="166">
        <v>9</v>
      </c>
      <c r="AB513" s="166">
        <v>7</v>
      </c>
      <c r="AC513" s="165"/>
      <c r="AD513" s="165" t="s">
        <v>80</v>
      </c>
      <c r="AE513" s="165"/>
      <c r="AF513" s="165"/>
      <c r="AG513" s="165"/>
      <c r="AH513" s="165"/>
      <c r="AI513" s="165">
        <v>19</v>
      </c>
      <c r="AJ513" s="165">
        <v>26</v>
      </c>
      <c r="AK513" s="166"/>
      <c r="AL513" s="166" t="s">
        <v>81</v>
      </c>
      <c r="AM513" s="166"/>
      <c r="AN513" s="166"/>
      <c r="AO513" s="166"/>
      <c r="AP513" s="166"/>
      <c r="AQ513" s="166">
        <v>52</v>
      </c>
      <c r="AR513" s="166">
        <v>85</v>
      </c>
      <c r="AS513" s="165"/>
      <c r="AT513" s="165"/>
      <c r="AU513" s="165"/>
      <c r="AV513" s="165"/>
      <c r="AW513" s="165"/>
      <c r="AX513" s="165"/>
      <c r="AY513" s="165"/>
      <c r="AZ513" s="165"/>
      <c r="BA513" s="166"/>
      <c r="BB513" s="166"/>
      <c r="BC513" s="166"/>
      <c r="BD513" s="166"/>
      <c r="BE513" s="166"/>
      <c r="BF513" s="166"/>
      <c r="BG513" s="166"/>
      <c r="BH513" s="166"/>
      <c r="BI513" s="165"/>
      <c r="BJ513" s="165"/>
      <c r="BK513" s="165"/>
      <c r="BL513" s="165"/>
      <c r="BM513" s="165"/>
      <c r="BN513" s="165"/>
      <c r="BO513" s="165"/>
      <c r="BP513" s="165"/>
      <c r="BQ513" s="166" t="s">
        <v>408</v>
      </c>
      <c r="BR513" s="165"/>
      <c r="BS513" s="124">
        <v>371</v>
      </c>
      <c r="BT513" s="124" t="s">
        <v>668</v>
      </c>
    </row>
    <row r="514" spans="1:72" s="124" customFormat="1" ht="12.75" hidden="1" customHeight="1" x14ac:dyDescent="0.2">
      <c r="A514" s="205">
        <v>372</v>
      </c>
      <c r="B514" s="233" t="s">
        <v>914</v>
      </c>
      <c r="C514" s="236" t="s">
        <v>915</v>
      </c>
      <c r="D514" s="235" t="s">
        <v>850</v>
      </c>
      <c r="E514" s="125" t="s">
        <v>149</v>
      </c>
      <c r="F514" s="181" t="s">
        <v>103</v>
      </c>
      <c r="G514" s="181" t="s">
        <v>56</v>
      </c>
      <c r="H514" s="181" t="s">
        <v>66</v>
      </c>
      <c r="I514" s="181"/>
      <c r="J514" s="178">
        <v>200</v>
      </c>
      <c r="K514" s="182"/>
      <c r="L514" s="182" t="s">
        <v>58</v>
      </c>
      <c r="M514" s="178" t="s">
        <v>59</v>
      </c>
      <c r="N514" s="178" t="s">
        <v>918</v>
      </c>
      <c r="O514" s="178" t="s">
        <v>60</v>
      </c>
      <c r="P514" s="178" t="s">
        <v>92</v>
      </c>
      <c r="Q514" s="179" t="s">
        <v>919</v>
      </c>
      <c r="R514" s="179" t="s">
        <v>920</v>
      </c>
      <c r="S514" s="180"/>
      <c r="T514" s="179"/>
      <c r="U514" s="179"/>
      <c r="V514" s="167" t="s">
        <v>62</v>
      </c>
      <c r="W514" s="168">
        <v>2</v>
      </c>
      <c r="X514" s="168">
        <v>5</v>
      </c>
      <c r="Y514" s="167"/>
      <c r="Z514" s="169" t="s">
        <v>63</v>
      </c>
      <c r="AA514" s="166">
        <v>9</v>
      </c>
      <c r="AB514" s="166">
        <v>7</v>
      </c>
      <c r="AC514" s="165"/>
      <c r="AD514" s="165" t="s">
        <v>80</v>
      </c>
      <c r="AE514" s="165"/>
      <c r="AF514" s="165"/>
      <c r="AG514" s="165"/>
      <c r="AH514" s="165"/>
      <c r="AI514" s="165">
        <v>19</v>
      </c>
      <c r="AJ514" s="165">
        <v>26</v>
      </c>
      <c r="AK514" s="166"/>
      <c r="AL514" s="166" t="s">
        <v>81</v>
      </c>
      <c r="AM514" s="166"/>
      <c r="AN514" s="166"/>
      <c r="AO514" s="166"/>
      <c r="AP514" s="166"/>
      <c r="AQ514" s="166">
        <v>52</v>
      </c>
      <c r="AR514" s="166">
        <v>85</v>
      </c>
      <c r="AS514" s="165"/>
      <c r="AT514" s="165"/>
      <c r="AU514" s="165"/>
      <c r="AV514" s="165"/>
      <c r="AW514" s="165"/>
      <c r="AX514" s="165"/>
      <c r="AY514" s="165"/>
      <c r="AZ514" s="165"/>
      <c r="BA514" s="166"/>
      <c r="BB514" s="166"/>
      <c r="BC514" s="166"/>
      <c r="BD514" s="166"/>
      <c r="BE514" s="166"/>
      <c r="BF514" s="166"/>
      <c r="BG514" s="166"/>
      <c r="BH514" s="166"/>
      <c r="BI514" s="165"/>
      <c r="BJ514" s="165"/>
      <c r="BK514" s="165"/>
      <c r="BL514" s="165"/>
      <c r="BM514" s="165"/>
      <c r="BN514" s="165"/>
      <c r="BO514" s="165"/>
      <c r="BP514" s="165"/>
      <c r="BQ514" s="166" t="s">
        <v>408</v>
      </c>
      <c r="BR514" s="165"/>
      <c r="BS514" s="124">
        <v>372</v>
      </c>
      <c r="BT514" s="124" t="s">
        <v>668</v>
      </c>
    </row>
    <row r="515" spans="1:72" s="124" customFormat="1" ht="12.75" hidden="1" customHeight="1" x14ac:dyDescent="0.2">
      <c r="A515" s="205">
        <v>373</v>
      </c>
      <c r="B515" s="233" t="s">
        <v>914</v>
      </c>
      <c r="C515" s="236" t="s">
        <v>915</v>
      </c>
      <c r="D515" s="235" t="s">
        <v>917</v>
      </c>
      <c r="E515" s="125" t="s">
        <v>921</v>
      </c>
      <c r="F515" s="181" t="s">
        <v>103</v>
      </c>
      <c r="G515" s="181" t="s">
        <v>56</v>
      </c>
      <c r="H515" s="181" t="s">
        <v>66</v>
      </c>
      <c r="I515" s="181"/>
      <c r="J515" s="178">
        <v>400</v>
      </c>
      <c r="K515" s="182"/>
      <c r="L515" s="182" t="s">
        <v>58</v>
      </c>
      <c r="M515" s="178" t="s">
        <v>59</v>
      </c>
      <c r="N515" s="178" t="s">
        <v>918</v>
      </c>
      <c r="O515" s="178" t="s">
        <v>60</v>
      </c>
      <c r="P515" s="178" t="s">
        <v>92</v>
      </c>
      <c r="Q515" s="179" t="s">
        <v>922</v>
      </c>
      <c r="R515" s="179" t="s">
        <v>923</v>
      </c>
      <c r="S515" s="180"/>
      <c r="T515" s="179"/>
      <c r="U515" s="179"/>
      <c r="V515" s="167" t="s">
        <v>62</v>
      </c>
      <c r="W515" s="168">
        <v>2</v>
      </c>
      <c r="X515" s="168">
        <v>5</v>
      </c>
      <c r="Y515" s="167"/>
      <c r="Z515" s="169" t="s">
        <v>63</v>
      </c>
      <c r="AA515" s="166">
        <v>9</v>
      </c>
      <c r="AB515" s="166">
        <v>7</v>
      </c>
      <c r="AC515" s="165"/>
      <c r="AD515" s="165" t="s">
        <v>80</v>
      </c>
      <c r="AE515" s="165"/>
      <c r="AF515" s="165"/>
      <c r="AG515" s="165"/>
      <c r="AH515" s="165"/>
      <c r="AI515" s="165">
        <v>19</v>
      </c>
      <c r="AJ515" s="165">
        <v>26</v>
      </c>
      <c r="AK515" s="166"/>
      <c r="AL515" s="166" t="s">
        <v>81</v>
      </c>
      <c r="AM515" s="166"/>
      <c r="AN515" s="166"/>
      <c r="AO515" s="166"/>
      <c r="AP515" s="166"/>
      <c r="AQ515" s="166">
        <v>52</v>
      </c>
      <c r="AR515" s="166">
        <v>85</v>
      </c>
      <c r="AS515" s="165"/>
      <c r="AT515" s="165"/>
      <c r="AU515" s="165"/>
      <c r="AV515" s="165"/>
      <c r="AW515" s="165"/>
      <c r="AX515" s="165"/>
      <c r="AY515" s="165"/>
      <c r="AZ515" s="165"/>
      <c r="BA515" s="166"/>
      <c r="BB515" s="166"/>
      <c r="BC515" s="166"/>
      <c r="BD515" s="166"/>
      <c r="BE515" s="166"/>
      <c r="BF515" s="166"/>
      <c r="BG515" s="166"/>
      <c r="BH515" s="166"/>
      <c r="BI515" s="165"/>
      <c r="BJ515" s="165"/>
      <c r="BK515" s="165"/>
      <c r="BL515" s="165"/>
      <c r="BM515" s="165"/>
      <c r="BN515" s="165"/>
      <c r="BO515" s="165"/>
      <c r="BP515" s="165"/>
      <c r="BQ515" s="166" t="s">
        <v>408</v>
      </c>
      <c r="BR515" s="165"/>
      <c r="BS515" s="124">
        <v>373</v>
      </c>
      <c r="BT515" s="124" t="s">
        <v>668</v>
      </c>
    </row>
    <row r="516" spans="1:72" s="124" customFormat="1" ht="14.25" hidden="1" customHeight="1" x14ac:dyDescent="0.2">
      <c r="A516" s="205">
        <v>374</v>
      </c>
      <c r="B516" s="233" t="s">
        <v>924</v>
      </c>
      <c r="C516" s="236" t="s">
        <v>925</v>
      </c>
      <c r="D516" s="233" t="s">
        <v>926</v>
      </c>
      <c r="E516" s="125" t="s">
        <v>102</v>
      </c>
      <c r="F516" s="181" t="s">
        <v>103</v>
      </c>
      <c r="G516" s="181" t="s">
        <v>56</v>
      </c>
      <c r="H516" s="181" t="s">
        <v>57</v>
      </c>
      <c r="I516" s="181"/>
      <c r="J516" s="178">
        <v>7.5</v>
      </c>
      <c r="K516" s="182"/>
      <c r="L516" s="182" t="s">
        <v>58</v>
      </c>
      <c r="M516" s="178" t="s">
        <v>59</v>
      </c>
      <c r="N516" s="178">
        <v>0</v>
      </c>
      <c r="O516" s="178" t="s">
        <v>60</v>
      </c>
      <c r="P516" s="178" t="s">
        <v>79</v>
      </c>
      <c r="Q516" s="179"/>
      <c r="R516" s="179"/>
      <c r="S516" s="180"/>
      <c r="T516" s="179">
        <v>150</v>
      </c>
      <c r="U516" s="179"/>
      <c r="V516" s="167" t="s">
        <v>62</v>
      </c>
      <c r="W516" s="168">
        <v>3</v>
      </c>
      <c r="X516" s="168">
        <v>4</v>
      </c>
      <c r="Y516" s="167"/>
      <c r="Z516" s="169" t="s">
        <v>63</v>
      </c>
      <c r="AA516" s="166">
        <v>12</v>
      </c>
      <c r="AB516" s="166">
        <v>5</v>
      </c>
      <c r="AC516" s="165"/>
      <c r="AD516" s="165" t="s">
        <v>80</v>
      </c>
      <c r="AE516" s="165"/>
      <c r="AF516" s="165"/>
      <c r="AG516" s="165"/>
      <c r="AH516" s="165"/>
      <c r="AI516" s="165">
        <v>19</v>
      </c>
      <c r="AJ516" s="165">
        <v>25</v>
      </c>
      <c r="AK516" s="166"/>
      <c r="AL516" s="166" t="s">
        <v>81</v>
      </c>
      <c r="AM516" s="166"/>
      <c r="AN516" s="166"/>
      <c r="AO516" s="166"/>
      <c r="AP516" s="166"/>
      <c r="AQ516" s="166">
        <v>57</v>
      </c>
      <c r="AR516" s="166">
        <v>95</v>
      </c>
      <c r="AS516" s="165"/>
      <c r="AT516" s="165"/>
      <c r="AU516" s="165"/>
      <c r="AV516" s="165"/>
      <c r="AW516" s="165"/>
      <c r="AX516" s="165"/>
      <c r="AY516" s="165"/>
      <c r="AZ516" s="165"/>
      <c r="BA516" s="166"/>
      <c r="BB516" s="166"/>
      <c r="BC516" s="166"/>
      <c r="BD516" s="166"/>
      <c r="BE516" s="166"/>
      <c r="BF516" s="166"/>
      <c r="BG516" s="166"/>
      <c r="BH516" s="166"/>
      <c r="BI516" s="165"/>
      <c r="BJ516" s="165"/>
      <c r="BK516" s="165"/>
      <c r="BL516" s="165"/>
      <c r="BM516" s="165"/>
      <c r="BN516" s="165"/>
      <c r="BO516" s="165"/>
      <c r="BP516" s="165"/>
      <c r="BQ516" s="166" t="s">
        <v>408</v>
      </c>
      <c r="BR516" s="165" t="s">
        <v>927</v>
      </c>
      <c r="BS516" s="124">
        <v>374</v>
      </c>
      <c r="BT516" s="124" t="s">
        <v>668</v>
      </c>
    </row>
    <row r="517" spans="1:72" s="124" customFormat="1" ht="14.25" hidden="1" customHeight="1" x14ac:dyDescent="0.2">
      <c r="A517" s="205">
        <v>375</v>
      </c>
      <c r="B517" s="233" t="s">
        <v>924</v>
      </c>
      <c r="C517" s="236" t="s">
        <v>925</v>
      </c>
      <c r="D517" s="233" t="s">
        <v>928</v>
      </c>
      <c r="E517" s="125" t="s">
        <v>102</v>
      </c>
      <c r="F517" s="181" t="s">
        <v>103</v>
      </c>
      <c r="G517" s="181" t="s">
        <v>56</v>
      </c>
      <c r="H517" s="181" t="s">
        <v>57</v>
      </c>
      <c r="I517" s="181"/>
      <c r="J517" s="178">
        <v>0.05</v>
      </c>
      <c r="K517" s="182"/>
      <c r="L517" s="182" t="s">
        <v>107</v>
      </c>
      <c r="M517" s="178" t="s">
        <v>78</v>
      </c>
      <c r="N517" s="178">
        <v>0</v>
      </c>
      <c r="O517" s="178" t="s">
        <v>60</v>
      </c>
      <c r="P517" s="178" t="s">
        <v>79</v>
      </c>
      <c r="Q517" s="179"/>
      <c r="R517" s="179"/>
      <c r="S517" s="180">
        <v>2</v>
      </c>
      <c r="T517" s="179"/>
      <c r="U517" s="179"/>
      <c r="V517" s="167" t="s">
        <v>62</v>
      </c>
      <c r="W517" s="168">
        <v>3</v>
      </c>
      <c r="X517" s="168">
        <v>4</v>
      </c>
      <c r="Y517" s="167"/>
      <c r="Z517" s="169" t="s">
        <v>63</v>
      </c>
      <c r="AA517" s="166">
        <v>12</v>
      </c>
      <c r="AB517" s="166">
        <v>5</v>
      </c>
      <c r="AC517" s="165"/>
      <c r="AD517" s="165" t="s">
        <v>80</v>
      </c>
      <c r="AE517" s="165"/>
      <c r="AF517" s="165"/>
      <c r="AG517" s="165"/>
      <c r="AH517" s="165"/>
      <c r="AI517" s="165">
        <v>19</v>
      </c>
      <c r="AJ517" s="165">
        <v>25</v>
      </c>
      <c r="AK517" s="166"/>
      <c r="AL517" s="166" t="s">
        <v>81</v>
      </c>
      <c r="AM517" s="166"/>
      <c r="AN517" s="166"/>
      <c r="AO517" s="166"/>
      <c r="AP517" s="166"/>
      <c r="AQ517" s="166">
        <v>57</v>
      </c>
      <c r="AR517" s="166">
        <v>95</v>
      </c>
      <c r="AS517" s="165"/>
      <c r="AT517" s="165"/>
      <c r="AU517" s="165"/>
      <c r="AV517" s="165"/>
      <c r="AW517" s="165"/>
      <c r="AX517" s="165"/>
      <c r="AY517" s="165"/>
      <c r="AZ517" s="165"/>
      <c r="BA517" s="166"/>
      <c r="BB517" s="166"/>
      <c r="BC517" s="166"/>
      <c r="BD517" s="166"/>
      <c r="BE517" s="166"/>
      <c r="BF517" s="166"/>
      <c r="BG517" s="166"/>
      <c r="BH517" s="166"/>
      <c r="BI517" s="165"/>
      <c r="BJ517" s="165"/>
      <c r="BK517" s="165"/>
      <c r="BL517" s="165"/>
      <c r="BM517" s="165"/>
      <c r="BN517" s="165"/>
      <c r="BO517" s="165"/>
      <c r="BP517" s="165"/>
      <c r="BQ517" s="166" t="s">
        <v>408</v>
      </c>
      <c r="BR517" s="165" t="s">
        <v>927</v>
      </c>
      <c r="BS517" s="124">
        <v>375</v>
      </c>
      <c r="BT517" s="124" t="s">
        <v>668</v>
      </c>
    </row>
    <row r="518" spans="1:72" s="124" customFormat="1" ht="14.25" hidden="1" customHeight="1" x14ac:dyDescent="0.2">
      <c r="A518" s="205">
        <v>376</v>
      </c>
      <c r="B518" s="233" t="s">
        <v>924</v>
      </c>
      <c r="C518" s="236" t="s">
        <v>925</v>
      </c>
      <c r="D518" s="233" t="s">
        <v>929</v>
      </c>
      <c r="E518" s="125" t="s">
        <v>102</v>
      </c>
      <c r="F518" s="181" t="s">
        <v>103</v>
      </c>
      <c r="G518" s="181" t="s">
        <v>56</v>
      </c>
      <c r="H518" s="181" t="s">
        <v>57</v>
      </c>
      <c r="I518" s="181"/>
      <c r="J518" s="178">
        <v>7.5</v>
      </c>
      <c r="K518" s="182"/>
      <c r="L518" s="182" t="s">
        <v>58</v>
      </c>
      <c r="M518" s="178" t="s">
        <v>59</v>
      </c>
      <c r="N518" s="178">
        <v>0</v>
      </c>
      <c r="O518" s="178" t="s">
        <v>60</v>
      </c>
      <c r="P518" s="178" t="s">
        <v>79</v>
      </c>
      <c r="Q518" s="179"/>
      <c r="R518" s="179"/>
      <c r="S518" s="180"/>
      <c r="T518" s="179"/>
      <c r="U518" s="179"/>
      <c r="V518" s="167" t="s">
        <v>62</v>
      </c>
      <c r="W518" s="168">
        <v>3</v>
      </c>
      <c r="X518" s="168">
        <v>4</v>
      </c>
      <c r="Y518" s="167"/>
      <c r="Z518" s="169" t="s">
        <v>63</v>
      </c>
      <c r="AA518" s="166">
        <v>12</v>
      </c>
      <c r="AB518" s="166">
        <v>5</v>
      </c>
      <c r="AC518" s="165"/>
      <c r="AD518" s="165" t="s">
        <v>80</v>
      </c>
      <c r="AE518" s="165"/>
      <c r="AF518" s="165"/>
      <c r="AG518" s="165"/>
      <c r="AH518" s="165"/>
      <c r="AI518" s="165">
        <v>19</v>
      </c>
      <c r="AJ518" s="165">
        <v>25</v>
      </c>
      <c r="AK518" s="166"/>
      <c r="AL518" s="166" t="s">
        <v>81</v>
      </c>
      <c r="AM518" s="166"/>
      <c r="AN518" s="166"/>
      <c r="AO518" s="166"/>
      <c r="AP518" s="166"/>
      <c r="AQ518" s="166">
        <v>57</v>
      </c>
      <c r="AR518" s="166">
        <v>95</v>
      </c>
      <c r="AS518" s="165"/>
      <c r="AT518" s="165"/>
      <c r="AU518" s="165"/>
      <c r="AV518" s="165"/>
      <c r="AW518" s="165"/>
      <c r="AX518" s="165"/>
      <c r="AY518" s="165"/>
      <c r="AZ518" s="165"/>
      <c r="BA518" s="166"/>
      <c r="BB518" s="166"/>
      <c r="BC518" s="166"/>
      <c r="BD518" s="166"/>
      <c r="BE518" s="166"/>
      <c r="BF518" s="166"/>
      <c r="BG518" s="166"/>
      <c r="BH518" s="166"/>
      <c r="BI518" s="165"/>
      <c r="BJ518" s="165"/>
      <c r="BK518" s="165"/>
      <c r="BL518" s="165"/>
      <c r="BM518" s="165"/>
      <c r="BN518" s="165"/>
      <c r="BO518" s="165"/>
      <c r="BP518" s="165"/>
      <c r="BQ518" s="166" t="s">
        <v>408</v>
      </c>
      <c r="BR518" s="165" t="s">
        <v>927</v>
      </c>
      <c r="BS518" s="124">
        <v>376</v>
      </c>
      <c r="BT518" s="124" t="s">
        <v>668</v>
      </c>
    </row>
    <row r="519" spans="1:72" s="124" customFormat="1" ht="14.25" hidden="1" customHeight="1" x14ac:dyDescent="0.2">
      <c r="A519" s="205">
        <v>377</v>
      </c>
      <c r="B519" s="233" t="s">
        <v>924</v>
      </c>
      <c r="C519" s="236" t="s">
        <v>925</v>
      </c>
      <c r="D519" s="233" t="s">
        <v>930</v>
      </c>
      <c r="E519" s="125" t="s">
        <v>102</v>
      </c>
      <c r="F519" s="181" t="s">
        <v>103</v>
      </c>
      <c r="G519" s="181" t="s">
        <v>56</v>
      </c>
      <c r="H519" s="181" t="s">
        <v>57</v>
      </c>
      <c r="I519" s="181"/>
      <c r="J519" s="178">
        <v>7.5</v>
      </c>
      <c r="K519" s="182"/>
      <c r="L519" s="182" t="s">
        <v>58</v>
      </c>
      <c r="M519" s="178" t="s">
        <v>59</v>
      </c>
      <c r="N519" s="178">
        <v>2</v>
      </c>
      <c r="O519" s="178" t="s">
        <v>60</v>
      </c>
      <c r="P519" s="178" t="s">
        <v>79</v>
      </c>
      <c r="Q519" s="179"/>
      <c r="R519" s="179"/>
      <c r="S519" s="180"/>
      <c r="T519" s="179"/>
      <c r="U519" s="179"/>
      <c r="V519" s="167" t="s">
        <v>62</v>
      </c>
      <c r="W519" s="168">
        <v>3</v>
      </c>
      <c r="X519" s="168">
        <v>4</v>
      </c>
      <c r="Y519" s="167"/>
      <c r="Z519" s="169" t="s">
        <v>63</v>
      </c>
      <c r="AA519" s="166">
        <v>12</v>
      </c>
      <c r="AB519" s="166">
        <v>5</v>
      </c>
      <c r="AC519" s="165"/>
      <c r="AD519" s="165" t="s">
        <v>80</v>
      </c>
      <c r="AE519" s="165"/>
      <c r="AF519" s="165"/>
      <c r="AG519" s="165"/>
      <c r="AH519" s="165"/>
      <c r="AI519" s="165">
        <v>19</v>
      </c>
      <c r="AJ519" s="165">
        <v>25</v>
      </c>
      <c r="AK519" s="166"/>
      <c r="AL519" s="166" t="s">
        <v>81</v>
      </c>
      <c r="AM519" s="166"/>
      <c r="AN519" s="166"/>
      <c r="AO519" s="166"/>
      <c r="AP519" s="166"/>
      <c r="AQ519" s="166">
        <v>57</v>
      </c>
      <c r="AR519" s="166">
        <v>95</v>
      </c>
      <c r="AS519" s="165"/>
      <c r="AT519" s="165"/>
      <c r="AU519" s="165"/>
      <c r="AV519" s="165"/>
      <c r="AW519" s="165"/>
      <c r="AX519" s="165"/>
      <c r="AY519" s="165"/>
      <c r="AZ519" s="165"/>
      <c r="BA519" s="166"/>
      <c r="BB519" s="166"/>
      <c r="BC519" s="166"/>
      <c r="BD519" s="166"/>
      <c r="BE519" s="166"/>
      <c r="BF519" s="166"/>
      <c r="BG519" s="166"/>
      <c r="BH519" s="166"/>
      <c r="BI519" s="165"/>
      <c r="BJ519" s="165"/>
      <c r="BK519" s="165"/>
      <c r="BL519" s="165"/>
      <c r="BM519" s="165"/>
      <c r="BN519" s="165"/>
      <c r="BO519" s="165"/>
      <c r="BP519" s="165"/>
      <c r="BQ519" s="166" t="s">
        <v>408</v>
      </c>
      <c r="BR519" s="165" t="s">
        <v>927</v>
      </c>
      <c r="BS519" s="124">
        <v>377</v>
      </c>
      <c r="BT519" s="124" t="s">
        <v>668</v>
      </c>
    </row>
    <row r="520" spans="1:72" s="124" customFormat="1" ht="14.25" hidden="1" customHeight="1" x14ac:dyDescent="0.2">
      <c r="A520" s="205">
        <v>378</v>
      </c>
      <c r="B520" s="233" t="s">
        <v>924</v>
      </c>
      <c r="C520" s="236" t="s">
        <v>925</v>
      </c>
      <c r="D520" s="233" t="s">
        <v>931</v>
      </c>
      <c r="E520" s="125" t="s">
        <v>102</v>
      </c>
      <c r="F520" s="181" t="s">
        <v>103</v>
      </c>
      <c r="G520" s="181" t="s">
        <v>56</v>
      </c>
      <c r="H520" s="181" t="s">
        <v>57</v>
      </c>
      <c r="I520" s="181"/>
      <c r="J520" s="178">
        <v>0.05</v>
      </c>
      <c r="K520" s="182"/>
      <c r="L520" s="182" t="s">
        <v>107</v>
      </c>
      <c r="M520" s="178" t="s">
        <v>78</v>
      </c>
      <c r="N520" s="178">
        <v>74</v>
      </c>
      <c r="O520" s="178" t="s">
        <v>60</v>
      </c>
      <c r="P520" s="178" t="s">
        <v>79</v>
      </c>
      <c r="Q520" s="179"/>
      <c r="R520" s="179"/>
      <c r="S520" s="180">
        <v>2</v>
      </c>
      <c r="T520" s="179"/>
      <c r="U520" s="179"/>
      <c r="V520" s="167" t="s">
        <v>62</v>
      </c>
      <c r="W520" s="168">
        <v>3</v>
      </c>
      <c r="X520" s="168">
        <v>4</v>
      </c>
      <c r="Y520" s="167"/>
      <c r="Z520" s="169" t="s">
        <v>63</v>
      </c>
      <c r="AA520" s="166">
        <v>12</v>
      </c>
      <c r="AB520" s="166">
        <v>5</v>
      </c>
      <c r="AC520" s="165"/>
      <c r="AD520" s="165" t="s">
        <v>80</v>
      </c>
      <c r="AE520" s="165"/>
      <c r="AF520" s="165"/>
      <c r="AG520" s="165"/>
      <c r="AH520" s="165"/>
      <c r="AI520" s="165">
        <v>19</v>
      </c>
      <c r="AJ520" s="165">
        <v>25</v>
      </c>
      <c r="AK520" s="166"/>
      <c r="AL520" s="166" t="s">
        <v>81</v>
      </c>
      <c r="AM520" s="166"/>
      <c r="AN520" s="166"/>
      <c r="AO520" s="166"/>
      <c r="AP520" s="166"/>
      <c r="AQ520" s="166">
        <v>57</v>
      </c>
      <c r="AR520" s="166">
        <v>95</v>
      </c>
      <c r="AS520" s="165"/>
      <c r="AT520" s="165"/>
      <c r="AU520" s="165"/>
      <c r="AV520" s="165"/>
      <c r="AW520" s="165"/>
      <c r="AX520" s="165"/>
      <c r="AY520" s="165"/>
      <c r="AZ520" s="165"/>
      <c r="BA520" s="166"/>
      <c r="BB520" s="166"/>
      <c r="BC520" s="166"/>
      <c r="BD520" s="166"/>
      <c r="BE520" s="166"/>
      <c r="BF520" s="166"/>
      <c r="BG520" s="166"/>
      <c r="BH520" s="166"/>
      <c r="BI520" s="165"/>
      <c r="BJ520" s="165"/>
      <c r="BK520" s="165"/>
      <c r="BL520" s="165"/>
      <c r="BM520" s="165"/>
      <c r="BN520" s="165"/>
      <c r="BO520" s="165"/>
      <c r="BP520" s="165"/>
      <c r="BQ520" s="166" t="s">
        <v>408</v>
      </c>
      <c r="BR520" s="165" t="s">
        <v>927</v>
      </c>
      <c r="BS520" s="124">
        <v>378</v>
      </c>
      <c r="BT520" s="124" t="s">
        <v>668</v>
      </c>
    </row>
    <row r="521" spans="1:72" s="124" customFormat="1" ht="14.25" hidden="1" customHeight="1" x14ac:dyDescent="0.2">
      <c r="A521" s="205">
        <v>379</v>
      </c>
      <c r="B521" s="233" t="s">
        <v>924</v>
      </c>
      <c r="C521" s="236" t="s">
        <v>925</v>
      </c>
      <c r="D521" s="233" t="s">
        <v>932</v>
      </c>
      <c r="E521" s="125" t="s">
        <v>102</v>
      </c>
      <c r="F521" s="181" t="s">
        <v>103</v>
      </c>
      <c r="G521" s="181" t="s">
        <v>56</v>
      </c>
      <c r="H521" s="181" t="s">
        <v>57</v>
      </c>
      <c r="I521" s="181"/>
      <c r="J521" s="178">
        <v>7.5</v>
      </c>
      <c r="K521" s="182"/>
      <c r="L521" s="182" t="s">
        <v>58</v>
      </c>
      <c r="M521" s="178" t="s">
        <v>59</v>
      </c>
      <c r="N521" s="178">
        <v>122</v>
      </c>
      <c r="O521" s="178" t="s">
        <v>60</v>
      </c>
      <c r="P521" s="178" t="s">
        <v>79</v>
      </c>
      <c r="Q521" s="179"/>
      <c r="R521" s="179"/>
      <c r="S521" s="180"/>
      <c r="T521" s="179"/>
      <c r="U521" s="179"/>
      <c r="V521" s="167" t="s">
        <v>62</v>
      </c>
      <c r="W521" s="168">
        <v>3</v>
      </c>
      <c r="X521" s="168">
        <v>4</v>
      </c>
      <c r="Y521" s="167"/>
      <c r="Z521" s="169" t="s">
        <v>63</v>
      </c>
      <c r="AA521" s="166">
        <v>12</v>
      </c>
      <c r="AB521" s="166">
        <v>5</v>
      </c>
      <c r="AC521" s="165"/>
      <c r="AD521" s="165" t="s">
        <v>80</v>
      </c>
      <c r="AE521" s="165"/>
      <c r="AF521" s="165"/>
      <c r="AG521" s="165"/>
      <c r="AH521" s="165"/>
      <c r="AI521" s="165">
        <v>19</v>
      </c>
      <c r="AJ521" s="165">
        <v>25</v>
      </c>
      <c r="AK521" s="166"/>
      <c r="AL521" s="166" t="s">
        <v>81</v>
      </c>
      <c r="AM521" s="166"/>
      <c r="AN521" s="166"/>
      <c r="AO521" s="166"/>
      <c r="AP521" s="166"/>
      <c r="AQ521" s="166">
        <v>57</v>
      </c>
      <c r="AR521" s="166">
        <v>95</v>
      </c>
      <c r="AS521" s="165"/>
      <c r="AT521" s="165"/>
      <c r="AU521" s="165"/>
      <c r="AV521" s="165"/>
      <c r="AW521" s="165"/>
      <c r="AX521" s="165"/>
      <c r="AY521" s="165"/>
      <c r="AZ521" s="165"/>
      <c r="BA521" s="166"/>
      <c r="BB521" s="166"/>
      <c r="BC521" s="166"/>
      <c r="BD521" s="166"/>
      <c r="BE521" s="166"/>
      <c r="BF521" s="166"/>
      <c r="BG521" s="166"/>
      <c r="BH521" s="166"/>
      <c r="BI521" s="165"/>
      <c r="BJ521" s="165"/>
      <c r="BK521" s="165"/>
      <c r="BL521" s="165"/>
      <c r="BM521" s="165"/>
      <c r="BN521" s="165"/>
      <c r="BO521" s="165"/>
      <c r="BP521" s="165"/>
      <c r="BQ521" s="166" t="s">
        <v>408</v>
      </c>
      <c r="BR521" s="165" t="s">
        <v>927</v>
      </c>
      <c r="BS521" s="124">
        <v>379</v>
      </c>
      <c r="BT521" s="124" t="s">
        <v>668</v>
      </c>
    </row>
    <row r="522" spans="1:72" s="124" customFormat="1" ht="14.25" hidden="1" customHeight="1" x14ac:dyDescent="0.2">
      <c r="A522" s="205">
        <v>380</v>
      </c>
      <c r="B522" s="233" t="s">
        <v>924</v>
      </c>
      <c r="C522" s="236" t="s">
        <v>925</v>
      </c>
      <c r="D522" s="233" t="s">
        <v>933</v>
      </c>
      <c r="E522" s="125" t="s">
        <v>102</v>
      </c>
      <c r="F522" s="181" t="s">
        <v>103</v>
      </c>
      <c r="G522" s="181" t="s">
        <v>56</v>
      </c>
      <c r="H522" s="181" t="s">
        <v>57</v>
      </c>
      <c r="I522" s="181"/>
      <c r="J522" s="178">
        <v>7.5</v>
      </c>
      <c r="K522" s="182"/>
      <c r="L522" s="182" t="s">
        <v>58</v>
      </c>
      <c r="M522" s="178" t="s">
        <v>59</v>
      </c>
      <c r="N522" s="178">
        <v>2</v>
      </c>
      <c r="O522" s="178" t="s">
        <v>60</v>
      </c>
      <c r="P522" s="178" t="s">
        <v>79</v>
      </c>
      <c r="Q522" s="179"/>
      <c r="R522" s="179"/>
      <c r="S522" s="180"/>
      <c r="T522" s="179"/>
      <c r="U522" s="179"/>
      <c r="V522" s="167" t="s">
        <v>62</v>
      </c>
      <c r="W522" s="168">
        <v>3</v>
      </c>
      <c r="X522" s="168">
        <v>4</v>
      </c>
      <c r="Y522" s="167"/>
      <c r="Z522" s="169" t="s">
        <v>63</v>
      </c>
      <c r="AA522" s="166">
        <v>12</v>
      </c>
      <c r="AB522" s="166">
        <v>5</v>
      </c>
      <c r="AC522" s="165"/>
      <c r="AD522" s="165" t="s">
        <v>80</v>
      </c>
      <c r="AE522" s="165"/>
      <c r="AF522" s="165"/>
      <c r="AG522" s="165"/>
      <c r="AH522" s="165"/>
      <c r="AI522" s="165">
        <v>19</v>
      </c>
      <c r="AJ522" s="165">
        <v>25</v>
      </c>
      <c r="AK522" s="166"/>
      <c r="AL522" s="166" t="s">
        <v>81</v>
      </c>
      <c r="AM522" s="166"/>
      <c r="AN522" s="166"/>
      <c r="AO522" s="166"/>
      <c r="AP522" s="166"/>
      <c r="AQ522" s="166">
        <v>57</v>
      </c>
      <c r="AR522" s="166">
        <v>95</v>
      </c>
      <c r="AS522" s="165"/>
      <c r="AT522" s="165"/>
      <c r="AU522" s="165"/>
      <c r="AV522" s="165"/>
      <c r="AW522" s="165"/>
      <c r="AX522" s="165"/>
      <c r="AY522" s="165"/>
      <c r="AZ522" s="165"/>
      <c r="BA522" s="166"/>
      <c r="BB522" s="166"/>
      <c r="BC522" s="166"/>
      <c r="BD522" s="166"/>
      <c r="BE522" s="166"/>
      <c r="BF522" s="166"/>
      <c r="BG522" s="166"/>
      <c r="BH522" s="166"/>
      <c r="BI522" s="165"/>
      <c r="BJ522" s="165"/>
      <c r="BK522" s="165"/>
      <c r="BL522" s="165"/>
      <c r="BM522" s="165"/>
      <c r="BN522" s="165"/>
      <c r="BO522" s="165"/>
      <c r="BP522" s="165"/>
      <c r="BQ522" s="166" t="s">
        <v>408</v>
      </c>
      <c r="BR522" s="165" t="s">
        <v>927</v>
      </c>
      <c r="BS522" s="124">
        <v>380</v>
      </c>
      <c r="BT522" s="124" t="s">
        <v>668</v>
      </c>
    </row>
    <row r="523" spans="1:72" s="124" customFormat="1" ht="14.25" hidden="1" customHeight="1" x14ac:dyDescent="0.2">
      <c r="A523" s="205">
        <v>381</v>
      </c>
      <c r="B523" s="233" t="s">
        <v>924</v>
      </c>
      <c r="C523" s="236" t="s">
        <v>925</v>
      </c>
      <c r="D523" s="233" t="s">
        <v>934</v>
      </c>
      <c r="E523" s="125" t="s">
        <v>102</v>
      </c>
      <c r="F523" s="181" t="s">
        <v>103</v>
      </c>
      <c r="G523" s="181" t="s">
        <v>56</v>
      </c>
      <c r="H523" s="181" t="s">
        <v>57</v>
      </c>
      <c r="I523" s="181"/>
      <c r="J523" s="178">
        <v>0.05</v>
      </c>
      <c r="K523" s="182"/>
      <c r="L523" s="182" t="s">
        <v>107</v>
      </c>
      <c r="M523" s="178" t="s">
        <v>78</v>
      </c>
      <c r="N523" s="178">
        <v>74</v>
      </c>
      <c r="O523" s="178" t="s">
        <v>60</v>
      </c>
      <c r="P523" s="178" t="s">
        <v>79</v>
      </c>
      <c r="Q523" s="179"/>
      <c r="R523" s="179"/>
      <c r="S523" s="180">
        <v>2</v>
      </c>
      <c r="T523" s="179"/>
      <c r="U523" s="179"/>
      <c r="V523" s="167" t="s">
        <v>62</v>
      </c>
      <c r="W523" s="168">
        <v>3</v>
      </c>
      <c r="X523" s="168">
        <v>4</v>
      </c>
      <c r="Y523" s="167"/>
      <c r="Z523" s="169" t="s">
        <v>63</v>
      </c>
      <c r="AA523" s="166">
        <v>12</v>
      </c>
      <c r="AB523" s="166">
        <v>5</v>
      </c>
      <c r="AC523" s="165"/>
      <c r="AD523" s="165" t="s">
        <v>80</v>
      </c>
      <c r="AE523" s="165"/>
      <c r="AF523" s="165"/>
      <c r="AG523" s="165"/>
      <c r="AH523" s="165"/>
      <c r="AI523" s="165">
        <v>19</v>
      </c>
      <c r="AJ523" s="165">
        <v>25</v>
      </c>
      <c r="AK523" s="166"/>
      <c r="AL523" s="166" t="s">
        <v>81</v>
      </c>
      <c r="AM523" s="166"/>
      <c r="AN523" s="166"/>
      <c r="AO523" s="166"/>
      <c r="AP523" s="166"/>
      <c r="AQ523" s="166">
        <v>57</v>
      </c>
      <c r="AR523" s="166">
        <v>95</v>
      </c>
      <c r="AS523" s="165"/>
      <c r="AT523" s="165"/>
      <c r="AU523" s="165"/>
      <c r="AV523" s="165"/>
      <c r="AW523" s="165"/>
      <c r="AX523" s="165"/>
      <c r="AY523" s="165"/>
      <c r="AZ523" s="165"/>
      <c r="BA523" s="166"/>
      <c r="BB523" s="166"/>
      <c r="BC523" s="166"/>
      <c r="BD523" s="166"/>
      <c r="BE523" s="166"/>
      <c r="BF523" s="166"/>
      <c r="BG523" s="166"/>
      <c r="BH523" s="166"/>
      <c r="BI523" s="165"/>
      <c r="BJ523" s="165"/>
      <c r="BK523" s="165"/>
      <c r="BL523" s="165"/>
      <c r="BM523" s="165"/>
      <c r="BN523" s="165"/>
      <c r="BO523" s="165"/>
      <c r="BP523" s="165"/>
      <c r="BQ523" s="166" t="s">
        <v>408</v>
      </c>
      <c r="BR523" s="165" t="s">
        <v>927</v>
      </c>
      <c r="BS523" s="124">
        <v>381</v>
      </c>
      <c r="BT523" s="124" t="s">
        <v>668</v>
      </c>
    </row>
    <row r="524" spans="1:72" s="124" customFormat="1" ht="14.25" hidden="1" customHeight="1" x14ac:dyDescent="0.2">
      <c r="A524" s="205">
        <v>382</v>
      </c>
      <c r="B524" s="233" t="s">
        <v>924</v>
      </c>
      <c r="C524" s="236" t="s">
        <v>925</v>
      </c>
      <c r="D524" s="233" t="s">
        <v>935</v>
      </c>
      <c r="E524" s="125" t="s">
        <v>102</v>
      </c>
      <c r="F524" s="181" t="s">
        <v>103</v>
      </c>
      <c r="G524" s="181" t="s">
        <v>56</v>
      </c>
      <c r="H524" s="181" t="s">
        <v>57</v>
      </c>
      <c r="I524" s="181"/>
      <c r="J524" s="178">
        <v>7.5</v>
      </c>
      <c r="K524" s="182"/>
      <c r="L524" s="182" t="s">
        <v>58</v>
      </c>
      <c r="M524" s="178" t="s">
        <v>59</v>
      </c>
      <c r="N524" s="178">
        <v>122</v>
      </c>
      <c r="O524" s="178" t="s">
        <v>60</v>
      </c>
      <c r="P524" s="178" t="s">
        <v>79</v>
      </c>
      <c r="Q524" s="179"/>
      <c r="R524" s="179"/>
      <c r="S524" s="180"/>
      <c r="T524" s="179"/>
      <c r="U524" s="179"/>
      <c r="V524" s="167" t="s">
        <v>62</v>
      </c>
      <c r="W524" s="168">
        <v>3</v>
      </c>
      <c r="X524" s="168">
        <v>4</v>
      </c>
      <c r="Y524" s="167"/>
      <c r="Z524" s="169" t="s">
        <v>63</v>
      </c>
      <c r="AA524" s="166">
        <v>12</v>
      </c>
      <c r="AB524" s="166">
        <v>5</v>
      </c>
      <c r="AC524" s="165"/>
      <c r="AD524" s="165" t="s">
        <v>80</v>
      </c>
      <c r="AE524" s="165"/>
      <c r="AF524" s="165"/>
      <c r="AG524" s="165"/>
      <c r="AH524" s="165"/>
      <c r="AI524" s="165">
        <v>19</v>
      </c>
      <c r="AJ524" s="165">
        <v>25</v>
      </c>
      <c r="AK524" s="166"/>
      <c r="AL524" s="166" t="s">
        <v>81</v>
      </c>
      <c r="AM524" s="166"/>
      <c r="AN524" s="166"/>
      <c r="AO524" s="166"/>
      <c r="AP524" s="166"/>
      <c r="AQ524" s="166">
        <v>57</v>
      </c>
      <c r="AR524" s="166">
        <v>95</v>
      </c>
      <c r="AS524" s="165"/>
      <c r="AT524" s="165"/>
      <c r="AU524" s="165"/>
      <c r="AV524" s="165"/>
      <c r="AW524" s="165"/>
      <c r="AX524" s="165"/>
      <c r="AY524" s="165"/>
      <c r="AZ524" s="165"/>
      <c r="BA524" s="166"/>
      <c r="BB524" s="166"/>
      <c r="BC524" s="166"/>
      <c r="BD524" s="166"/>
      <c r="BE524" s="166"/>
      <c r="BF524" s="166"/>
      <c r="BG524" s="166"/>
      <c r="BH524" s="166"/>
      <c r="BI524" s="165"/>
      <c r="BJ524" s="165"/>
      <c r="BK524" s="165"/>
      <c r="BL524" s="165"/>
      <c r="BM524" s="165"/>
      <c r="BN524" s="165"/>
      <c r="BO524" s="165"/>
      <c r="BP524" s="165"/>
      <c r="BQ524" s="166" t="s">
        <v>408</v>
      </c>
      <c r="BR524" s="165" t="s">
        <v>927</v>
      </c>
      <c r="BS524" s="124">
        <v>382</v>
      </c>
      <c r="BT524" s="124" t="s">
        <v>668</v>
      </c>
    </row>
    <row r="525" spans="1:72" s="124" customFormat="1" ht="14.25" hidden="1" customHeight="1" x14ac:dyDescent="0.2">
      <c r="A525" s="205">
        <v>383</v>
      </c>
      <c r="B525" s="235" t="s">
        <v>936</v>
      </c>
      <c r="C525" s="236" t="s">
        <v>937</v>
      </c>
      <c r="D525" s="235" t="s">
        <v>456</v>
      </c>
      <c r="E525" s="125" t="s">
        <v>54</v>
      </c>
      <c r="F525" s="181" t="s">
        <v>103</v>
      </c>
      <c r="G525" s="181" t="s">
        <v>56</v>
      </c>
      <c r="H525" s="181" t="s">
        <v>157</v>
      </c>
      <c r="I525" s="181"/>
      <c r="J525" s="178">
        <v>600</v>
      </c>
      <c r="K525" s="182"/>
      <c r="L525" s="182" t="s">
        <v>58</v>
      </c>
      <c r="M525" s="178" t="s">
        <v>59</v>
      </c>
      <c r="N525" s="178">
        <v>0</v>
      </c>
      <c r="O525" s="178" t="s">
        <v>60</v>
      </c>
      <c r="P525" s="209" t="s">
        <v>79</v>
      </c>
      <c r="Q525" s="179"/>
      <c r="R525" s="179" t="s">
        <v>938</v>
      </c>
      <c r="S525" s="180"/>
      <c r="T525" s="179"/>
      <c r="U525" s="179"/>
      <c r="V525" s="170" t="s">
        <v>62</v>
      </c>
      <c r="W525" s="168"/>
      <c r="X525" s="168">
        <v>4</v>
      </c>
      <c r="Y525" s="167" t="s">
        <v>939</v>
      </c>
      <c r="Z525" s="169" t="s">
        <v>63</v>
      </c>
      <c r="AA525" s="166">
        <v>24</v>
      </c>
      <c r="AB525" s="166">
        <v>0</v>
      </c>
      <c r="AC525" s="165">
        <v>27.5</v>
      </c>
      <c r="AD525" s="172" t="s">
        <v>80</v>
      </c>
      <c r="AE525" s="172" t="s">
        <v>116</v>
      </c>
      <c r="AF525" s="165">
        <v>7.1</v>
      </c>
      <c r="AG525" s="172" t="s">
        <v>80</v>
      </c>
      <c r="AH525" s="172" t="s">
        <v>117</v>
      </c>
      <c r="AI525" s="165">
        <v>19</v>
      </c>
      <c r="AJ525" s="165">
        <v>45</v>
      </c>
      <c r="AK525" s="166">
        <v>76.900000000000006</v>
      </c>
      <c r="AL525" s="166" t="s">
        <v>81</v>
      </c>
      <c r="AM525" s="171" t="s">
        <v>118</v>
      </c>
      <c r="AN525" s="166">
        <v>11</v>
      </c>
      <c r="AO525" s="166" t="s">
        <v>81</v>
      </c>
      <c r="AP525" s="173" t="s">
        <v>117</v>
      </c>
      <c r="AQ525" s="166">
        <v>60</v>
      </c>
      <c r="AR525" s="166">
        <v>101.4</v>
      </c>
      <c r="AS525" s="165"/>
      <c r="AT525" s="165"/>
      <c r="AU525" s="165"/>
      <c r="AV525" s="165"/>
      <c r="AW525" s="165"/>
      <c r="AX525" s="165"/>
      <c r="AY525" s="165"/>
      <c r="AZ525" s="165"/>
      <c r="BA525" s="166"/>
      <c r="BB525" s="166"/>
      <c r="BC525" s="166"/>
      <c r="BD525" s="166"/>
      <c r="BE525" s="166"/>
      <c r="BF525" s="166"/>
      <c r="BG525" s="166"/>
      <c r="BH525" s="166"/>
      <c r="BI525" s="165"/>
      <c r="BJ525" s="165"/>
      <c r="BK525" s="165"/>
      <c r="BL525" s="165"/>
      <c r="BM525" s="165"/>
      <c r="BN525" s="165"/>
      <c r="BO525" s="165"/>
      <c r="BP525" s="165"/>
      <c r="BQ525" s="166" t="s">
        <v>940</v>
      </c>
      <c r="BR525" s="165" t="s">
        <v>941</v>
      </c>
      <c r="BS525" s="124">
        <v>383</v>
      </c>
      <c r="BT525" s="124" t="s">
        <v>668</v>
      </c>
    </row>
    <row r="526" spans="1:72" s="124" customFormat="1" ht="14.25" hidden="1" customHeight="1" x14ac:dyDescent="0.2">
      <c r="A526" s="205">
        <v>384</v>
      </c>
      <c r="B526" s="233" t="s">
        <v>942</v>
      </c>
      <c r="C526" s="236" t="s">
        <v>943</v>
      </c>
      <c r="D526" s="233" t="s">
        <v>944</v>
      </c>
      <c r="E526" s="125" t="s">
        <v>54</v>
      </c>
      <c r="F526" s="181" t="s">
        <v>55</v>
      </c>
      <c r="G526" s="181" t="s">
        <v>56</v>
      </c>
      <c r="H526" s="181" t="s">
        <v>57</v>
      </c>
      <c r="I526" s="181"/>
      <c r="J526" s="209">
        <v>600</v>
      </c>
      <c r="K526" s="210"/>
      <c r="L526" s="210" t="s">
        <v>58</v>
      </c>
      <c r="M526" s="209" t="s">
        <v>59</v>
      </c>
      <c r="N526" s="209">
        <v>0</v>
      </c>
      <c r="O526" s="209" t="s">
        <v>60</v>
      </c>
      <c r="P526" s="209" t="s">
        <v>79</v>
      </c>
      <c r="Q526" s="211"/>
      <c r="R526" s="211"/>
      <c r="S526" s="212"/>
      <c r="T526" s="211"/>
      <c r="U526" s="211" t="s">
        <v>945</v>
      </c>
      <c r="V526" s="170" t="s">
        <v>62</v>
      </c>
      <c r="W526" s="129"/>
      <c r="X526" s="129">
        <v>4</v>
      </c>
      <c r="Y526" s="170" t="s">
        <v>946</v>
      </c>
      <c r="Z526" s="169" t="s">
        <v>63</v>
      </c>
      <c r="AA526" s="171">
        <v>14</v>
      </c>
      <c r="AB526" s="171">
        <v>6</v>
      </c>
      <c r="AC526" s="172">
        <v>39.1</v>
      </c>
      <c r="AD526" s="172" t="s">
        <v>80</v>
      </c>
      <c r="AE526" s="172" t="s">
        <v>116</v>
      </c>
      <c r="AF526" s="172">
        <v>7.4</v>
      </c>
      <c r="AG526" s="172" t="s">
        <v>80</v>
      </c>
      <c r="AH526" s="172" t="s">
        <v>117</v>
      </c>
      <c r="AI526" s="172"/>
      <c r="AJ526" s="172"/>
      <c r="AK526" s="171">
        <v>79.3</v>
      </c>
      <c r="AL526" s="171" t="s">
        <v>81</v>
      </c>
      <c r="AM526" s="171" t="s">
        <v>118</v>
      </c>
      <c r="AN526" s="171">
        <v>13.2</v>
      </c>
      <c r="AO526" s="171" t="s">
        <v>81</v>
      </c>
      <c r="AP526" s="173" t="s">
        <v>117</v>
      </c>
      <c r="AQ526" s="171"/>
      <c r="AR526" s="171"/>
      <c r="AS526" s="172"/>
      <c r="AT526" s="172"/>
      <c r="AU526" s="172"/>
      <c r="AV526" s="172"/>
      <c r="AW526" s="172"/>
      <c r="AX526" s="172"/>
      <c r="AY526" s="172"/>
      <c r="AZ526" s="172"/>
      <c r="BA526" s="171"/>
      <c r="BB526" s="171"/>
      <c r="BC526" s="171"/>
      <c r="BD526" s="171"/>
      <c r="BE526" s="171"/>
      <c r="BF526" s="171"/>
      <c r="BG526" s="171"/>
      <c r="BH526" s="171"/>
      <c r="BI526" s="172"/>
      <c r="BJ526" s="172"/>
      <c r="BK526" s="172"/>
      <c r="BL526" s="172"/>
      <c r="BM526" s="172"/>
      <c r="BN526" s="172"/>
      <c r="BO526" s="172"/>
      <c r="BP526" s="172"/>
      <c r="BQ526" s="171" t="s">
        <v>238</v>
      </c>
      <c r="BR526" s="172" t="s">
        <v>947</v>
      </c>
      <c r="BS526" s="124">
        <v>384</v>
      </c>
      <c r="BT526" s="124" t="s">
        <v>668</v>
      </c>
    </row>
    <row r="527" spans="1:72" s="124" customFormat="1" ht="14.25" hidden="1" customHeight="1" x14ac:dyDescent="0.2">
      <c r="A527" s="205">
        <v>385</v>
      </c>
      <c r="B527" s="233" t="s">
        <v>942</v>
      </c>
      <c r="C527" s="236" t="s">
        <v>943</v>
      </c>
      <c r="D527" s="233" t="s">
        <v>948</v>
      </c>
      <c r="E527" s="125" t="s">
        <v>54</v>
      </c>
      <c r="F527" s="181" t="s">
        <v>55</v>
      </c>
      <c r="G527" s="181" t="s">
        <v>56</v>
      </c>
      <c r="H527" s="181" t="s">
        <v>57</v>
      </c>
      <c r="I527" s="181"/>
      <c r="J527" s="209">
        <v>600</v>
      </c>
      <c r="K527" s="210"/>
      <c r="L527" s="210" t="s">
        <v>58</v>
      </c>
      <c r="M527" s="209" t="s">
        <v>59</v>
      </c>
      <c r="N527" s="209">
        <v>0</v>
      </c>
      <c r="O527" s="209" t="s">
        <v>60</v>
      </c>
      <c r="P527" s="209" t="s">
        <v>79</v>
      </c>
      <c r="Q527" s="211"/>
      <c r="R527" s="211"/>
      <c r="S527" s="212"/>
      <c r="T527" s="211"/>
      <c r="U527" s="211" t="s">
        <v>945</v>
      </c>
      <c r="V527" s="170" t="s">
        <v>62</v>
      </c>
      <c r="W527" s="129"/>
      <c r="X527" s="129">
        <v>4</v>
      </c>
      <c r="Y527" s="170" t="s">
        <v>946</v>
      </c>
      <c r="Z527" s="169" t="s">
        <v>63</v>
      </c>
      <c r="AA527" s="171">
        <v>14</v>
      </c>
      <c r="AB527" s="171">
        <v>6</v>
      </c>
      <c r="AC527" s="172">
        <v>39.1</v>
      </c>
      <c r="AD527" s="172" t="s">
        <v>80</v>
      </c>
      <c r="AE527" s="172" t="s">
        <v>116</v>
      </c>
      <c r="AF527" s="172">
        <v>7.4</v>
      </c>
      <c r="AG527" s="172" t="s">
        <v>80</v>
      </c>
      <c r="AH527" s="172" t="s">
        <v>117</v>
      </c>
      <c r="AI527" s="172"/>
      <c r="AJ527" s="172"/>
      <c r="AK527" s="171">
        <v>79.3</v>
      </c>
      <c r="AL527" s="171" t="s">
        <v>81</v>
      </c>
      <c r="AM527" s="171" t="s">
        <v>118</v>
      </c>
      <c r="AN527" s="171">
        <v>13.2</v>
      </c>
      <c r="AO527" s="171" t="s">
        <v>81</v>
      </c>
      <c r="AP527" s="173" t="s">
        <v>117</v>
      </c>
      <c r="AQ527" s="171"/>
      <c r="AR527" s="171"/>
      <c r="AS527" s="172"/>
      <c r="AT527" s="172"/>
      <c r="AU527" s="172"/>
      <c r="AV527" s="172"/>
      <c r="AW527" s="172"/>
      <c r="AX527" s="172"/>
      <c r="AY527" s="172"/>
      <c r="AZ527" s="172"/>
      <c r="BA527" s="171"/>
      <c r="BB527" s="171"/>
      <c r="BC527" s="171"/>
      <c r="BD527" s="171"/>
      <c r="BE527" s="171"/>
      <c r="BF527" s="171"/>
      <c r="BG527" s="171"/>
      <c r="BH527" s="171"/>
      <c r="BI527" s="172"/>
      <c r="BJ527" s="172"/>
      <c r="BK527" s="172"/>
      <c r="BL527" s="172"/>
      <c r="BM527" s="172"/>
      <c r="BN527" s="172"/>
      <c r="BO527" s="172"/>
      <c r="BP527" s="172"/>
      <c r="BQ527" s="171" t="s">
        <v>238</v>
      </c>
      <c r="BR527" s="172" t="s">
        <v>947</v>
      </c>
      <c r="BS527" s="124">
        <v>385</v>
      </c>
      <c r="BT527" s="124" t="s">
        <v>668</v>
      </c>
    </row>
    <row r="528" spans="1:72" s="124" customFormat="1" ht="14.25" hidden="1" customHeight="1" x14ac:dyDescent="0.2">
      <c r="A528" s="205">
        <v>386</v>
      </c>
      <c r="B528" s="233" t="s">
        <v>942</v>
      </c>
      <c r="C528" s="236" t="s">
        <v>943</v>
      </c>
      <c r="D528" s="233" t="s">
        <v>949</v>
      </c>
      <c r="E528" s="125" t="s">
        <v>54</v>
      </c>
      <c r="F528" s="181" t="s">
        <v>55</v>
      </c>
      <c r="G528" s="181" t="s">
        <v>56</v>
      </c>
      <c r="H528" s="181" t="s">
        <v>57</v>
      </c>
      <c r="I528" s="181"/>
      <c r="J528" s="209">
        <v>600</v>
      </c>
      <c r="K528" s="210"/>
      <c r="L528" s="210" t="s">
        <v>58</v>
      </c>
      <c r="M528" s="209" t="s">
        <v>59</v>
      </c>
      <c r="N528" s="209">
        <v>0</v>
      </c>
      <c r="O528" s="209" t="s">
        <v>60</v>
      </c>
      <c r="P528" s="209" t="s">
        <v>79</v>
      </c>
      <c r="Q528" s="211"/>
      <c r="R528" s="211"/>
      <c r="S528" s="212"/>
      <c r="T528" s="211"/>
      <c r="U528" s="211" t="s">
        <v>945</v>
      </c>
      <c r="V528" s="170" t="s">
        <v>62</v>
      </c>
      <c r="W528" s="129"/>
      <c r="X528" s="129">
        <v>4</v>
      </c>
      <c r="Y528" s="170" t="s">
        <v>946</v>
      </c>
      <c r="Z528" s="169" t="s">
        <v>63</v>
      </c>
      <c r="AA528" s="171">
        <v>14</v>
      </c>
      <c r="AB528" s="171">
        <v>6</v>
      </c>
      <c r="AC528" s="172">
        <v>39.1</v>
      </c>
      <c r="AD528" s="172" t="s">
        <v>80</v>
      </c>
      <c r="AE528" s="172" t="s">
        <v>116</v>
      </c>
      <c r="AF528" s="172">
        <v>7.4</v>
      </c>
      <c r="AG528" s="172" t="s">
        <v>80</v>
      </c>
      <c r="AH528" s="172" t="s">
        <v>117</v>
      </c>
      <c r="AI528" s="172"/>
      <c r="AJ528" s="172"/>
      <c r="AK528" s="171">
        <v>79.3</v>
      </c>
      <c r="AL528" s="171" t="s">
        <v>81</v>
      </c>
      <c r="AM528" s="171" t="s">
        <v>118</v>
      </c>
      <c r="AN528" s="171">
        <v>13.2</v>
      </c>
      <c r="AO528" s="171" t="s">
        <v>81</v>
      </c>
      <c r="AP528" s="173" t="s">
        <v>117</v>
      </c>
      <c r="AQ528" s="171"/>
      <c r="AR528" s="171"/>
      <c r="AS528" s="172"/>
      <c r="AT528" s="172"/>
      <c r="AU528" s="172"/>
      <c r="AV528" s="172"/>
      <c r="AW528" s="172"/>
      <c r="AX528" s="172"/>
      <c r="AY528" s="172"/>
      <c r="AZ528" s="172"/>
      <c r="BA528" s="171"/>
      <c r="BB528" s="171"/>
      <c r="BC528" s="171"/>
      <c r="BD528" s="171"/>
      <c r="BE528" s="171"/>
      <c r="BF528" s="171"/>
      <c r="BG528" s="171"/>
      <c r="BH528" s="171"/>
      <c r="BI528" s="172"/>
      <c r="BJ528" s="172"/>
      <c r="BK528" s="172"/>
      <c r="BL528" s="172"/>
      <c r="BM528" s="172"/>
      <c r="BN528" s="172"/>
      <c r="BO528" s="172"/>
      <c r="BP528" s="172"/>
      <c r="BQ528" s="171" t="s">
        <v>238</v>
      </c>
      <c r="BR528" s="172" t="s">
        <v>947</v>
      </c>
      <c r="BS528" s="124">
        <v>386</v>
      </c>
      <c r="BT528" s="124" t="s">
        <v>668</v>
      </c>
    </row>
    <row r="529" spans="1:72" s="124" customFormat="1" ht="14.25" hidden="1" customHeight="1" x14ac:dyDescent="0.2">
      <c r="A529" s="205">
        <v>387</v>
      </c>
      <c r="B529" s="233" t="s">
        <v>942</v>
      </c>
      <c r="C529" s="236" t="s">
        <v>943</v>
      </c>
      <c r="D529" s="233" t="s">
        <v>729</v>
      </c>
      <c r="E529" s="125" t="s">
        <v>54</v>
      </c>
      <c r="F529" s="181" t="s">
        <v>55</v>
      </c>
      <c r="G529" s="181" t="s">
        <v>56</v>
      </c>
      <c r="H529" s="181" t="s">
        <v>57</v>
      </c>
      <c r="I529" s="181"/>
      <c r="J529" s="209">
        <v>600</v>
      </c>
      <c r="K529" s="210"/>
      <c r="L529" s="210" t="s">
        <v>58</v>
      </c>
      <c r="M529" s="209" t="s">
        <v>59</v>
      </c>
      <c r="N529" s="209">
        <v>0</v>
      </c>
      <c r="O529" s="209" t="s">
        <v>60</v>
      </c>
      <c r="P529" s="209" t="s">
        <v>79</v>
      </c>
      <c r="Q529" s="211"/>
      <c r="R529" s="211"/>
      <c r="S529" s="212"/>
      <c r="T529" s="211"/>
      <c r="U529" s="211" t="s">
        <v>945</v>
      </c>
      <c r="V529" s="170" t="s">
        <v>502</v>
      </c>
      <c r="W529" s="129"/>
      <c r="X529" s="129"/>
      <c r="Y529" s="170"/>
      <c r="Z529" s="169" t="s">
        <v>63</v>
      </c>
      <c r="AA529" s="171">
        <v>14</v>
      </c>
      <c r="AB529" s="171">
        <v>6</v>
      </c>
      <c r="AC529" s="172">
        <v>39.1</v>
      </c>
      <c r="AD529" s="172" t="s">
        <v>80</v>
      </c>
      <c r="AE529" s="172" t="s">
        <v>116</v>
      </c>
      <c r="AF529" s="172">
        <v>7.4</v>
      </c>
      <c r="AG529" s="172" t="s">
        <v>80</v>
      </c>
      <c r="AH529" s="172" t="s">
        <v>117</v>
      </c>
      <c r="AI529" s="172"/>
      <c r="AJ529" s="172"/>
      <c r="AK529" s="171">
        <v>79.3</v>
      </c>
      <c r="AL529" s="171" t="s">
        <v>81</v>
      </c>
      <c r="AM529" s="171" t="s">
        <v>118</v>
      </c>
      <c r="AN529" s="171">
        <v>13.2</v>
      </c>
      <c r="AO529" s="171" t="s">
        <v>81</v>
      </c>
      <c r="AP529" s="173" t="s">
        <v>117</v>
      </c>
      <c r="AQ529" s="171"/>
      <c r="AR529" s="171"/>
      <c r="AS529" s="172"/>
      <c r="AT529" s="172"/>
      <c r="AU529" s="172"/>
      <c r="AV529" s="172"/>
      <c r="AW529" s="172"/>
      <c r="AX529" s="172"/>
      <c r="AY529" s="172"/>
      <c r="AZ529" s="172"/>
      <c r="BA529" s="171"/>
      <c r="BB529" s="171"/>
      <c r="BC529" s="171"/>
      <c r="BD529" s="171"/>
      <c r="BE529" s="171"/>
      <c r="BF529" s="171"/>
      <c r="BG529" s="171"/>
      <c r="BH529" s="171"/>
      <c r="BI529" s="172"/>
      <c r="BJ529" s="172"/>
      <c r="BK529" s="172"/>
      <c r="BL529" s="172"/>
      <c r="BM529" s="172"/>
      <c r="BN529" s="172"/>
      <c r="BO529" s="172"/>
      <c r="BP529" s="172"/>
      <c r="BQ529" s="171" t="s">
        <v>238</v>
      </c>
      <c r="BR529" s="172" t="s">
        <v>947</v>
      </c>
      <c r="BS529" s="124">
        <v>387</v>
      </c>
      <c r="BT529" s="124" t="s">
        <v>668</v>
      </c>
    </row>
    <row r="530" spans="1:72" s="124" customFormat="1" ht="14.25" hidden="1" customHeight="1" x14ac:dyDescent="0.2">
      <c r="A530" s="205">
        <v>388</v>
      </c>
      <c r="B530" s="235" t="s">
        <v>950</v>
      </c>
      <c r="C530" s="236" t="s">
        <v>951</v>
      </c>
      <c r="D530" s="235" t="s">
        <v>220</v>
      </c>
      <c r="E530" s="125" t="s">
        <v>102</v>
      </c>
      <c r="F530" s="181" t="s">
        <v>103</v>
      </c>
      <c r="G530" s="156" t="s">
        <v>56</v>
      </c>
      <c r="H530" s="156" t="s">
        <v>952</v>
      </c>
      <c r="I530" s="156"/>
      <c r="J530" s="209">
        <v>1</v>
      </c>
      <c r="K530" s="210"/>
      <c r="L530" s="210" t="s">
        <v>58</v>
      </c>
      <c r="M530" s="209" t="s">
        <v>78</v>
      </c>
      <c r="N530" s="209">
        <v>0</v>
      </c>
      <c r="O530" s="209" t="s">
        <v>60</v>
      </c>
      <c r="P530" s="209" t="s">
        <v>79</v>
      </c>
      <c r="Q530" s="211"/>
      <c r="R530" s="211" t="s">
        <v>953</v>
      </c>
      <c r="S530" s="212"/>
      <c r="T530" s="211"/>
      <c r="U530" s="211"/>
      <c r="V530" s="170"/>
      <c r="W530" s="129"/>
      <c r="X530" s="129">
        <v>3</v>
      </c>
      <c r="Y530" s="170"/>
      <c r="Z530" s="169" t="s">
        <v>63</v>
      </c>
      <c r="AA530" s="171">
        <v>6</v>
      </c>
      <c r="AB530" s="171">
        <v>3</v>
      </c>
      <c r="AC530" s="172"/>
      <c r="AD530" s="172"/>
      <c r="AE530" s="172"/>
      <c r="AF530" s="172"/>
      <c r="AG530" s="172"/>
      <c r="AH530" s="172"/>
      <c r="AI530" s="172">
        <v>19</v>
      </c>
      <c r="AJ530" s="172">
        <v>26</v>
      </c>
      <c r="AK530" s="171">
        <v>77</v>
      </c>
      <c r="AL530" s="171" t="s">
        <v>81</v>
      </c>
      <c r="AM530" s="171" t="s">
        <v>118</v>
      </c>
      <c r="AN530" s="171">
        <v>6</v>
      </c>
      <c r="AO530" s="171" t="s">
        <v>81</v>
      </c>
      <c r="AP530" s="173" t="s">
        <v>117</v>
      </c>
      <c r="AQ530" s="171">
        <v>70</v>
      </c>
      <c r="AR530" s="171">
        <v>85</v>
      </c>
      <c r="AS530" s="172"/>
      <c r="AT530" s="172"/>
      <c r="AU530" s="172"/>
      <c r="AV530" s="172"/>
      <c r="AW530" s="172"/>
      <c r="AX530" s="172"/>
      <c r="AY530" s="172"/>
      <c r="AZ530" s="172"/>
      <c r="BA530" s="171"/>
      <c r="BB530" s="171"/>
      <c r="BC530" s="171"/>
      <c r="BD530" s="171"/>
      <c r="BE530" s="171"/>
      <c r="BF530" s="171"/>
      <c r="BG530" s="171"/>
      <c r="BH530" s="171"/>
      <c r="BI530" s="172"/>
      <c r="BJ530" s="172"/>
      <c r="BK530" s="172"/>
      <c r="BL530" s="172"/>
      <c r="BM530" s="172"/>
      <c r="BN530" s="172"/>
      <c r="BO530" s="172"/>
      <c r="BP530" s="172"/>
      <c r="BQ530" s="171" t="s">
        <v>238</v>
      </c>
      <c r="BR530" s="131" t="s">
        <v>954</v>
      </c>
      <c r="BS530" s="124">
        <v>388</v>
      </c>
      <c r="BT530" s="124" t="s">
        <v>668</v>
      </c>
    </row>
    <row r="531" spans="1:72" s="124" customFormat="1" ht="14.25" hidden="1" customHeight="1" x14ac:dyDescent="0.2">
      <c r="A531" s="205">
        <v>389</v>
      </c>
      <c r="B531" s="235" t="s">
        <v>950</v>
      </c>
      <c r="C531" s="236" t="s">
        <v>951</v>
      </c>
      <c r="D531" s="235" t="s">
        <v>225</v>
      </c>
      <c r="E531" s="125" t="s">
        <v>102</v>
      </c>
      <c r="F531" s="181" t="s">
        <v>103</v>
      </c>
      <c r="G531" s="156" t="s">
        <v>56</v>
      </c>
      <c r="H531" s="156" t="s">
        <v>952</v>
      </c>
      <c r="I531" s="156" t="s">
        <v>955</v>
      </c>
      <c r="J531" s="209">
        <v>1</v>
      </c>
      <c r="K531" s="210"/>
      <c r="L531" s="210" t="s">
        <v>58</v>
      </c>
      <c r="M531" s="209" t="s">
        <v>78</v>
      </c>
      <c r="N531" s="209">
        <v>106</v>
      </c>
      <c r="O531" s="209" t="s">
        <v>60</v>
      </c>
      <c r="P531" s="209" t="s">
        <v>79</v>
      </c>
      <c r="Q531" s="211"/>
      <c r="R531" s="211" t="s">
        <v>953</v>
      </c>
      <c r="S531" s="212"/>
      <c r="T531" s="211"/>
      <c r="U531" s="211"/>
      <c r="V531" s="170"/>
      <c r="W531" s="129"/>
      <c r="X531" s="129">
        <v>3</v>
      </c>
      <c r="Y531" s="170"/>
      <c r="Z531" s="169" t="s">
        <v>63</v>
      </c>
      <c r="AA531" s="171">
        <v>6</v>
      </c>
      <c r="AB531" s="171">
        <v>3</v>
      </c>
      <c r="AC531" s="172"/>
      <c r="AD531" s="172"/>
      <c r="AE531" s="172"/>
      <c r="AF531" s="172"/>
      <c r="AG531" s="172"/>
      <c r="AH531" s="172"/>
      <c r="AI531" s="172">
        <v>19</v>
      </c>
      <c r="AJ531" s="172">
        <v>26</v>
      </c>
      <c r="AK531" s="171">
        <v>77</v>
      </c>
      <c r="AL531" s="171" t="s">
        <v>81</v>
      </c>
      <c r="AM531" s="171" t="s">
        <v>118</v>
      </c>
      <c r="AN531" s="171">
        <v>6</v>
      </c>
      <c r="AO531" s="171" t="s">
        <v>81</v>
      </c>
      <c r="AP531" s="173" t="s">
        <v>117</v>
      </c>
      <c r="AQ531" s="171">
        <v>70</v>
      </c>
      <c r="AR531" s="171">
        <v>85</v>
      </c>
      <c r="AS531" s="172"/>
      <c r="AT531" s="172"/>
      <c r="AU531" s="172"/>
      <c r="AV531" s="172"/>
      <c r="AW531" s="172"/>
      <c r="AX531" s="172"/>
      <c r="AY531" s="172"/>
      <c r="AZ531" s="172"/>
      <c r="BA531" s="171"/>
      <c r="BB531" s="171"/>
      <c r="BC531" s="171"/>
      <c r="BD531" s="171"/>
      <c r="BE531" s="171"/>
      <c r="BF531" s="171"/>
      <c r="BG531" s="171"/>
      <c r="BH531" s="171"/>
      <c r="BI531" s="172"/>
      <c r="BJ531" s="172"/>
      <c r="BK531" s="172"/>
      <c r="BL531" s="172"/>
      <c r="BM531" s="172"/>
      <c r="BN531" s="172"/>
      <c r="BO531" s="172"/>
      <c r="BP531" s="172"/>
      <c r="BQ531" s="171" t="s">
        <v>238</v>
      </c>
      <c r="BR531" s="131" t="s">
        <v>954</v>
      </c>
      <c r="BS531" s="124">
        <v>389</v>
      </c>
      <c r="BT531" s="124" t="s">
        <v>668</v>
      </c>
    </row>
    <row r="532" spans="1:72" s="124" customFormat="1" ht="14.25" hidden="1" customHeight="1" x14ac:dyDescent="0.2">
      <c r="A532" s="205">
        <v>390</v>
      </c>
      <c r="B532" s="235" t="s">
        <v>950</v>
      </c>
      <c r="C532" s="236" t="s">
        <v>951</v>
      </c>
      <c r="D532" s="235" t="s">
        <v>220</v>
      </c>
      <c r="E532" s="125" t="s">
        <v>393</v>
      </c>
      <c r="F532" s="181" t="s">
        <v>103</v>
      </c>
      <c r="G532" s="156" t="s">
        <v>56</v>
      </c>
      <c r="H532" s="156" t="s">
        <v>952</v>
      </c>
      <c r="I532" s="156"/>
      <c r="J532" s="209">
        <v>15</v>
      </c>
      <c r="K532" s="251"/>
      <c r="L532" s="210" t="s">
        <v>236</v>
      </c>
      <c r="M532" s="209" t="s">
        <v>78</v>
      </c>
      <c r="N532" s="209">
        <v>0</v>
      </c>
      <c r="O532" s="209" t="s">
        <v>60</v>
      </c>
      <c r="P532" s="209" t="s">
        <v>79</v>
      </c>
      <c r="Q532" s="211"/>
      <c r="R532" s="211" t="s">
        <v>953</v>
      </c>
      <c r="S532" s="212"/>
      <c r="T532" s="211"/>
      <c r="U532" s="211"/>
      <c r="V532" s="170"/>
      <c r="W532" s="129"/>
      <c r="X532" s="129">
        <v>2</v>
      </c>
      <c r="Y532" s="170"/>
      <c r="Z532" s="169" t="s">
        <v>63</v>
      </c>
      <c r="AA532" s="171">
        <v>6</v>
      </c>
      <c r="AB532" s="171">
        <v>3</v>
      </c>
      <c r="AC532" s="172"/>
      <c r="AD532" s="172"/>
      <c r="AE532" s="172"/>
      <c r="AF532" s="172"/>
      <c r="AG532" s="172"/>
      <c r="AH532" s="172"/>
      <c r="AI532" s="172">
        <v>19</v>
      </c>
      <c r="AJ532" s="172">
        <v>26</v>
      </c>
      <c r="AK532" s="171">
        <v>77</v>
      </c>
      <c r="AL532" s="171" t="s">
        <v>81</v>
      </c>
      <c r="AM532" s="171" t="s">
        <v>118</v>
      </c>
      <c r="AN532" s="171">
        <v>6</v>
      </c>
      <c r="AO532" s="171" t="s">
        <v>81</v>
      </c>
      <c r="AP532" s="173" t="s">
        <v>117</v>
      </c>
      <c r="AQ532" s="171">
        <v>70</v>
      </c>
      <c r="AR532" s="171">
        <v>85</v>
      </c>
      <c r="AS532" s="172"/>
      <c r="AT532" s="172"/>
      <c r="AU532" s="172"/>
      <c r="AV532" s="172"/>
      <c r="AW532" s="172"/>
      <c r="AX532" s="172"/>
      <c r="AY532" s="172"/>
      <c r="AZ532" s="172"/>
      <c r="BA532" s="171"/>
      <c r="BB532" s="171"/>
      <c r="BC532" s="171"/>
      <c r="BD532" s="171"/>
      <c r="BE532" s="171"/>
      <c r="BF532" s="171"/>
      <c r="BG532" s="171"/>
      <c r="BH532" s="171"/>
      <c r="BI532" s="172"/>
      <c r="BJ532" s="172"/>
      <c r="BK532" s="172"/>
      <c r="BL532" s="172"/>
      <c r="BM532" s="172"/>
      <c r="BN532" s="172"/>
      <c r="BO532" s="172"/>
      <c r="BP532" s="172"/>
      <c r="BQ532" s="171" t="s">
        <v>238</v>
      </c>
      <c r="BR532" s="131" t="s">
        <v>954</v>
      </c>
      <c r="BS532" s="124">
        <v>390</v>
      </c>
      <c r="BT532" s="124" t="s">
        <v>668</v>
      </c>
    </row>
    <row r="533" spans="1:72" s="124" customFormat="1" ht="14.25" hidden="1" customHeight="1" x14ac:dyDescent="0.2">
      <c r="A533" s="205">
        <v>391</v>
      </c>
      <c r="B533" s="235" t="s">
        <v>950</v>
      </c>
      <c r="C533" s="236" t="s">
        <v>951</v>
      </c>
      <c r="D533" s="235" t="s">
        <v>225</v>
      </c>
      <c r="E533" s="125" t="s">
        <v>393</v>
      </c>
      <c r="F533" s="181" t="s">
        <v>103</v>
      </c>
      <c r="G533" s="156" t="s">
        <v>56</v>
      </c>
      <c r="H533" s="156" t="s">
        <v>952</v>
      </c>
      <c r="I533" s="156" t="s">
        <v>955</v>
      </c>
      <c r="J533" s="209">
        <v>15</v>
      </c>
      <c r="K533" s="251"/>
      <c r="L533" s="210" t="s">
        <v>236</v>
      </c>
      <c r="M533" s="209" t="s">
        <v>78</v>
      </c>
      <c r="N533" s="209">
        <v>107</v>
      </c>
      <c r="O533" s="209" t="s">
        <v>60</v>
      </c>
      <c r="P533" s="209" t="s">
        <v>79</v>
      </c>
      <c r="Q533" s="211"/>
      <c r="R533" s="211" t="s">
        <v>953</v>
      </c>
      <c r="S533" s="212"/>
      <c r="T533" s="211"/>
      <c r="U533" s="211"/>
      <c r="V533" s="170"/>
      <c r="W533" s="129"/>
      <c r="X533" s="129">
        <v>2</v>
      </c>
      <c r="Y533" s="170"/>
      <c r="Z533" s="169" t="s">
        <v>63</v>
      </c>
      <c r="AA533" s="171">
        <v>6</v>
      </c>
      <c r="AB533" s="171">
        <v>3</v>
      </c>
      <c r="AC533" s="172"/>
      <c r="AD533" s="172"/>
      <c r="AE533" s="172"/>
      <c r="AF533" s="172"/>
      <c r="AG533" s="172"/>
      <c r="AH533" s="172"/>
      <c r="AI533" s="172">
        <v>19</v>
      </c>
      <c r="AJ533" s="172">
        <v>26</v>
      </c>
      <c r="AK533" s="171">
        <v>77</v>
      </c>
      <c r="AL533" s="171" t="s">
        <v>81</v>
      </c>
      <c r="AM533" s="171" t="s">
        <v>118</v>
      </c>
      <c r="AN533" s="171">
        <v>6</v>
      </c>
      <c r="AO533" s="171" t="s">
        <v>81</v>
      </c>
      <c r="AP533" s="173" t="s">
        <v>117</v>
      </c>
      <c r="AQ533" s="171">
        <v>70</v>
      </c>
      <c r="AR533" s="171">
        <v>85</v>
      </c>
      <c r="AS533" s="172"/>
      <c r="AT533" s="172"/>
      <c r="AU533" s="172"/>
      <c r="AV533" s="172"/>
      <c r="AW533" s="172"/>
      <c r="AX533" s="172"/>
      <c r="AY533" s="172"/>
      <c r="AZ533" s="172"/>
      <c r="BA533" s="171"/>
      <c r="BB533" s="171"/>
      <c r="BC533" s="171"/>
      <c r="BD533" s="171"/>
      <c r="BE533" s="171"/>
      <c r="BF533" s="171"/>
      <c r="BG533" s="171"/>
      <c r="BH533" s="171"/>
      <c r="BI533" s="172"/>
      <c r="BJ533" s="172"/>
      <c r="BK533" s="172"/>
      <c r="BL533" s="172"/>
      <c r="BM533" s="172"/>
      <c r="BN533" s="172"/>
      <c r="BO533" s="172"/>
      <c r="BP533" s="172"/>
      <c r="BQ533" s="171" t="s">
        <v>238</v>
      </c>
      <c r="BR533" s="131" t="s">
        <v>954</v>
      </c>
      <c r="BS533" s="124">
        <v>391</v>
      </c>
      <c r="BT533" s="124" t="s">
        <v>668</v>
      </c>
    </row>
    <row r="534" spans="1:72" s="124" customFormat="1" ht="14.25" hidden="1" customHeight="1" x14ac:dyDescent="0.2">
      <c r="A534" s="205">
        <v>400</v>
      </c>
      <c r="B534" s="233" t="s">
        <v>956</v>
      </c>
      <c r="C534" s="236" t="s">
        <v>957</v>
      </c>
      <c r="D534" s="235" t="s">
        <v>768</v>
      </c>
      <c r="E534" s="125" t="s">
        <v>102</v>
      </c>
      <c r="F534" s="181" t="s">
        <v>103</v>
      </c>
      <c r="G534" s="181" t="s">
        <v>56</v>
      </c>
      <c r="H534" s="181" t="s">
        <v>157</v>
      </c>
      <c r="I534" s="181"/>
      <c r="J534" s="178">
        <v>7.5</v>
      </c>
      <c r="K534" s="182"/>
      <c r="L534" s="182" t="s">
        <v>58</v>
      </c>
      <c r="M534" s="178" t="s">
        <v>59</v>
      </c>
      <c r="N534" s="178">
        <v>0</v>
      </c>
      <c r="O534" s="178" t="s">
        <v>60</v>
      </c>
      <c r="P534" s="178" t="s">
        <v>79</v>
      </c>
      <c r="Q534" s="179" t="s">
        <v>706</v>
      </c>
      <c r="R534" s="179" t="s">
        <v>958</v>
      </c>
      <c r="S534" s="180"/>
      <c r="T534" s="179">
        <v>150</v>
      </c>
      <c r="U534" s="179"/>
      <c r="V534" s="167" t="s">
        <v>62</v>
      </c>
      <c r="W534" s="168">
        <v>12</v>
      </c>
      <c r="X534" s="168">
        <v>4</v>
      </c>
      <c r="Y534" s="167"/>
      <c r="Z534" s="169" t="s">
        <v>63</v>
      </c>
      <c r="AA534" s="166">
        <v>10</v>
      </c>
      <c r="AB534" s="166">
        <v>0</v>
      </c>
      <c r="AC534" s="165"/>
      <c r="AD534" s="165"/>
      <c r="AE534" s="165"/>
      <c r="AF534" s="165"/>
      <c r="AG534" s="165"/>
      <c r="AH534" s="165"/>
      <c r="AI534" s="165">
        <v>23</v>
      </c>
      <c r="AJ534" s="165">
        <v>29</v>
      </c>
      <c r="AK534" s="166"/>
      <c r="AL534" s="166"/>
      <c r="AM534" s="171"/>
      <c r="AN534" s="166"/>
      <c r="AO534" s="166"/>
      <c r="AP534" s="166"/>
      <c r="AQ534" s="166">
        <v>65</v>
      </c>
      <c r="AR534" s="166">
        <v>100</v>
      </c>
      <c r="AS534" s="165"/>
      <c r="AT534" s="165"/>
      <c r="AU534" s="165"/>
      <c r="AV534" s="165"/>
      <c r="AW534" s="165"/>
      <c r="AX534" s="165"/>
      <c r="AY534" s="165"/>
      <c r="AZ534" s="165"/>
      <c r="BA534" s="166"/>
      <c r="BB534" s="166"/>
      <c r="BC534" s="166"/>
      <c r="BD534" s="166"/>
      <c r="BE534" s="166"/>
      <c r="BF534" s="166"/>
      <c r="BG534" s="166"/>
      <c r="BH534" s="166"/>
      <c r="BI534" s="165"/>
      <c r="BJ534" s="165"/>
      <c r="BK534" s="165"/>
      <c r="BL534" s="165"/>
      <c r="BM534" s="165"/>
      <c r="BN534" s="165"/>
      <c r="BO534" s="165"/>
      <c r="BP534" s="165"/>
      <c r="BQ534" s="166" t="s">
        <v>408</v>
      </c>
      <c r="BR534" s="165"/>
      <c r="BS534" s="124">
        <v>400</v>
      </c>
      <c r="BT534" s="124" t="s">
        <v>668</v>
      </c>
    </row>
    <row r="535" spans="1:72" s="124" customFormat="1" ht="14.25" hidden="1" customHeight="1" x14ac:dyDescent="0.2">
      <c r="A535" s="205">
        <v>401</v>
      </c>
      <c r="B535" s="233" t="s">
        <v>956</v>
      </c>
      <c r="C535" s="236" t="s">
        <v>957</v>
      </c>
      <c r="D535" s="235" t="s">
        <v>959</v>
      </c>
      <c r="E535" s="125" t="s">
        <v>102</v>
      </c>
      <c r="F535" s="181" t="s">
        <v>103</v>
      </c>
      <c r="G535" s="181" t="s">
        <v>56</v>
      </c>
      <c r="H535" s="181" t="s">
        <v>157</v>
      </c>
      <c r="I535" s="181"/>
      <c r="J535" s="178">
        <v>7.5</v>
      </c>
      <c r="K535" s="182"/>
      <c r="L535" s="182" t="s">
        <v>58</v>
      </c>
      <c r="M535" s="178" t="s">
        <v>59</v>
      </c>
      <c r="N535" s="178">
        <v>37</v>
      </c>
      <c r="O535" s="178" t="s">
        <v>60</v>
      </c>
      <c r="P535" s="178" t="s">
        <v>79</v>
      </c>
      <c r="Q535" s="179" t="s">
        <v>706</v>
      </c>
      <c r="R535" s="179" t="s">
        <v>958</v>
      </c>
      <c r="S535" s="180"/>
      <c r="T535" s="179">
        <v>150</v>
      </c>
      <c r="U535" s="179"/>
      <c r="V535" s="167" t="s">
        <v>62</v>
      </c>
      <c r="W535" s="168">
        <v>12</v>
      </c>
      <c r="X535" s="168">
        <v>4</v>
      </c>
      <c r="Y535" s="167"/>
      <c r="Z535" s="169" t="s">
        <v>63</v>
      </c>
      <c r="AA535" s="166">
        <v>10</v>
      </c>
      <c r="AB535" s="166">
        <v>0</v>
      </c>
      <c r="AC535" s="165"/>
      <c r="AD535" s="165"/>
      <c r="AE535" s="165"/>
      <c r="AF535" s="165"/>
      <c r="AG535" s="165"/>
      <c r="AH535" s="165"/>
      <c r="AI535" s="165">
        <v>23</v>
      </c>
      <c r="AJ535" s="165">
        <v>29</v>
      </c>
      <c r="AK535" s="166"/>
      <c r="AL535" s="166"/>
      <c r="AM535" s="171"/>
      <c r="AN535" s="166"/>
      <c r="AO535" s="166"/>
      <c r="AP535" s="166"/>
      <c r="AQ535" s="166">
        <v>65</v>
      </c>
      <c r="AR535" s="166">
        <v>100</v>
      </c>
      <c r="AS535" s="165"/>
      <c r="AT535" s="165"/>
      <c r="AU535" s="165"/>
      <c r="AV535" s="165"/>
      <c r="AW535" s="165"/>
      <c r="AX535" s="165"/>
      <c r="AY535" s="165"/>
      <c r="AZ535" s="165"/>
      <c r="BA535" s="166"/>
      <c r="BB535" s="166"/>
      <c r="BC535" s="166"/>
      <c r="BD535" s="166"/>
      <c r="BE535" s="166"/>
      <c r="BF535" s="166"/>
      <c r="BG535" s="166"/>
      <c r="BH535" s="166"/>
      <c r="BI535" s="165"/>
      <c r="BJ535" s="165"/>
      <c r="BK535" s="165"/>
      <c r="BL535" s="165"/>
      <c r="BM535" s="165"/>
      <c r="BN535" s="165"/>
      <c r="BO535" s="165"/>
      <c r="BP535" s="165"/>
      <c r="BQ535" s="166" t="s">
        <v>408</v>
      </c>
      <c r="BR535" s="165"/>
      <c r="BS535" s="124">
        <v>401</v>
      </c>
      <c r="BT535" s="124" t="s">
        <v>668</v>
      </c>
    </row>
    <row r="536" spans="1:72" s="124" customFormat="1" ht="12.75" hidden="1" customHeight="1" x14ac:dyDescent="0.2">
      <c r="A536" s="205">
        <v>402</v>
      </c>
      <c r="B536" s="233" t="s">
        <v>956</v>
      </c>
      <c r="C536" s="236" t="s">
        <v>957</v>
      </c>
      <c r="D536" s="235" t="s">
        <v>959</v>
      </c>
      <c r="E536" s="125" t="s">
        <v>960</v>
      </c>
      <c r="F536" s="181" t="s">
        <v>103</v>
      </c>
      <c r="G536" s="181" t="s">
        <v>56</v>
      </c>
      <c r="H536" s="181" t="s">
        <v>496</v>
      </c>
      <c r="I536" s="181"/>
      <c r="J536" s="178" t="s">
        <v>961</v>
      </c>
      <c r="K536" s="178"/>
      <c r="L536" s="178" t="s">
        <v>58</v>
      </c>
      <c r="M536" s="178" t="s">
        <v>59</v>
      </c>
      <c r="N536" s="178" t="s">
        <v>962</v>
      </c>
      <c r="O536" s="178" t="s">
        <v>60</v>
      </c>
      <c r="P536" s="178" t="s">
        <v>92</v>
      </c>
      <c r="Q536" s="179" t="s">
        <v>963</v>
      </c>
      <c r="R536" s="179" t="s">
        <v>964</v>
      </c>
      <c r="S536" s="180"/>
      <c r="T536" s="179">
        <v>150</v>
      </c>
      <c r="U536" s="179" t="s">
        <v>965</v>
      </c>
      <c r="V536" s="167" t="s">
        <v>62</v>
      </c>
      <c r="W536" s="168">
        <v>11</v>
      </c>
      <c r="X536" s="168">
        <v>5</v>
      </c>
      <c r="Y536" s="167"/>
      <c r="Z536" s="169" t="s">
        <v>63</v>
      </c>
      <c r="AA536" s="166">
        <v>10</v>
      </c>
      <c r="AB536" s="166">
        <v>0</v>
      </c>
      <c r="AC536" s="165"/>
      <c r="AD536" s="165"/>
      <c r="AE536" s="165"/>
      <c r="AF536" s="165"/>
      <c r="AG536" s="165"/>
      <c r="AH536" s="165"/>
      <c r="AI536" s="165">
        <v>23</v>
      </c>
      <c r="AJ536" s="165">
        <v>29</v>
      </c>
      <c r="AK536" s="166"/>
      <c r="AL536" s="166"/>
      <c r="AM536" s="171"/>
      <c r="AN536" s="166"/>
      <c r="AO536" s="166"/>
      <c r="AP536" s="166"/>
      <c r="AQ536" s="166">
        <v>65</v>
      </c>
      <c r="AR536" s="166">
        <v>100</v>
      </c>
      <c r="AS536" s="165"/>
      <c r="AT536" s="165"/>
      <c r="AU536" s="165"/>
      <c r="AV536" s="165"/>
      <c r="AW536" s="165"/>
      <c r="AX536" s="165"/>
      <c r="AY536" s="165"/>
      <c r="AZ536" s="165"/>
      <c r="BA536" s="166"/>
      <c r="BB536" s="166"/>
      <c r="BC536" s="166"/>
      <c r="BD536" s="166"/>
      <c r="BE536" s="166"/>
      <c r="BF536" s="166"/>
      <c r="BG536" s="166"/>
      <c r="BH536" s="166"/>
      <c r="BI536" s="165"/>
      <c r="BJ536" s="165"/>
      <c r="BK536" s="165"/>
      <c r="BL536" s="165"/>
      <c r="BM536" s="165"/>
      <c r="BN536" s="165"/>
      <c r="BO536" s="165"/>
      <c r="BP536" s="165"/>
      <c r="BQ536" s="166" t="s">
        <v>408</v>
      </c>
      <c r="BR536" s="165"/>
      <c r="BS536" s="124">
        <v>402</v>
      </c>
      <c r="BT536" s="124" t="s">
        <v>668</v>
      </c>
    </row>
    <row r="537" spans="1:72" s="124" customFormat="1" ht="14.25" hidden="1" customHeight="1" x14ac:dyDescent="0.2">
      <c r="A537" s="205">
        <v>403</v>
      </c>
      <c r="B537" s="233" t="s">
        <v>956</v>
      </c>
      <c r="C537" s="236" t="s">
        <v>957</v>
      </c>
      <c r="D537" s="235" t="s">
        <v>387</v>
      </c>
      <c r="E537" s="125" t="s">
        <v>102</v>
      </c>
      <c r="F537" s="181" t="s">
        <v>103</v>
      </c>
      <c r="G537" s="181" t="s">
        <v>56</v>
      </c>
      <c r="H537" s="181" t="s">
        <v>66</v>
      </c>
      <c r="I537" s="181"/>
      <c r="J537" s="178">
        <v>0.05</v>
      </c>
      <c r="K537" s="178"/>
      <c r="L537" s="178" t="s">
        <v>107</v>
      </c>
      <c r="M537" s="178" t="s">
        <v>78</v>
      </c>
      <c r="N537" s="178">
        <v>0</v>
      </c>
      <c r="O537" s="178" t="s">
        <v>60</v>
      </c>
      <c r="P537" s="178" t="s">
        <v>79</v>
      </c>
      <c r="Q537" s="179" t="s">
        <v>706</v>
      </c>
      <c r="R537" s="179" t="s">
        <v>966</v>
      </c>
      <c r="S537" s="180">
        <v>2</v>
      </c>
      <c r="T537" s="179">
        <v>150</v>
      </c>
      <c r="U537" s="179"/>
      <c r="V537" s="167" t="s">
        <v>62</v>
      </c>
      <c r="W537" s="168">
        <v>12</v>
      </c>
      <c r="X537" s="168">
        <v>4</v>
      </c>
      <c r="Y537" s="167"/>
      <c r="Z537" s="169" t="s">
        <v>63</v>
      </c>
      <c r="AA537" s="166">
        <v>10</v>
      </c>
      <c r="AB537" s="166">
        <v>0</v>
      </c>
      <c r="AC537" s="165"/>
      <c r="AD537" s="165"/>
      <c r="AE537" s="165"/>
      <c r="AF537" s="165"/>
      <c r="AG537" s="165"/>
      <c r="AH537" s="165"/>
      <c r="AI537" s="165">
        <v>23</v>
      </c>
      <c r="AJ537" s="165">
        <v>29</v>
      </c>
      <c r="AK537" s="166"/>
      <c r="AL537" s="166"/>
      <c r="AM537" s="171"/>
      <c r="AN537" s="166"/>
      <c r="AO537" s="166"/>
      <c r="AP537" s="166"/>
      <c r="AQ537" s="166">
        <v>65</v>
      </c>
      <c r="AR537" s="166">
        <v>100</v>
      </c>
      <c r="AS537" s="165"/>
      <c r="AT537" s="165"/>
      <c r="AU537" s="165"/>
      <c r="AV537" s="165"/>
      <c r="AW537" s="165"/>
      <c r="AX537" s="165"/>
      <c r="AY537" s="165"/>
      <c r="AZ537" s="165"/>
      <c r="BA537" s="166"/>
      <c r="BB537" s="166"/>
      <c r="BC537" s="166"/>
      <c r="BD537" s="166"/>
      <c r="BE537" s="166"/>
      <c r="BF537" s="166"/>
      <c r="BG537" s="166"/>
      <c r="BH537" s="166"/>
      <c r="BI537" s="165"/>
      <c r="BJ537" s="165"/>
      <c r="BK537" s="165"/>
      <c r="BL537" s="165"/>
      <c r="BM537" s="165"/>
      <c r="BN537" s="165"/>
      <c r="BO537" s="165"/>
      <c r="BP537" s="165"/>
      <c r="BQ537" s="166" t="s">
        <v>408</v>
      </c>
      <c r="BR537" s="165"/>
      <c r="BS537" s="124">
        <v>403</v>
      </c>
      <c r="BT537" s="124" t="s">
        <v>668</v>
      </c>
    </row>
    <row r="538" spans="1:72" s="124" customFormat="1" ht="14.25" hidden="1" customHeight="1" x14ac:dyDescent="0.2">
      <c r="A538" s="205">
        <v>404</v>
      </c>
      <c r="B538" s="233" t="s">
        <v>956</v>
      </c>
      <c r="C538" s="236" t="s">
        <v>957</v>
      </c>
      <c r="D538" s="235" t="s">
        <v>967</v>
      </c>
      <c r="E538" s="125" t="s">
        <v>102</v>
      </c>
      <c r="F538" s="181" t="s">
        <v>103</v>
      </c>
      <c r="G538" s="181" t="s">
        <v>56</v>
      </c>
      <c r="H538" s="181" t="s">
        <v>66</v>
      </c>
      <c r="I538" s="181"/>
      <c r="J538" s="178">
        <v>0.05</v>
      </c>
      <c r="K538" s="178"/>
      <c r="L538" s="178" t="s">
        <v>107</v>
      </c>
      <c r="M538" s="178" t="s">
        <v>78</v>
      </c>
      <c r="N538" s="178">
        <v>37</v>
      </c>
      <c r="O538" s="178" t="s">
        <v>60</v>
      </c>
      <c r="P538" s="178" t="s">
        <v>79</v>
      </c>
      <c r="Q538" s="179" t="s">
        <v>706</v>
      </c>
      <c r="R538" s="179" t="s">
        <v>966</v>
      </c>
      <c r="S538" s="180">
        <v>2</v>
      </c>
      <c r="T538" s="179">
        <v>150</v>
      </c>
      <c r="U538" s="179"/>
      <c r="V538" s="167" t="s">
        <v>62</v>
      </c>
      <c r="W538" s="168">
        <v>12</v>
      </c>
      <c r="X538" s="168">
        <v>4</v>
      </c>
      <c r="Y538" s="167"/>
      <c r="Z538" s="169" t="s">
        <v>63</v>
      </c>
      <c r="AA538" s="166">
        <v>10</v>
      </c>
      <c r="AB538" s="166">
        <v>0</v>
      </c>
      <c r="AC538" s="165"/>
      <c r="AD538" s="165"/>
      <c r="AE538" s="165"/>
      <c r="AF538" s="165"/>
      <c r="AG538" s="165"/>
      <c r="AH538" s="165"/>
      <c r="AI538" s="165">
        <v>23</v>
      </c>
      <c r="AJ538" s="165">
        <v>29</v>
      </c>
      <c r="AK538" s="166"/>
      <c r="AL538" s="166"/>
      <c r="AM538" s="171"/>
      <c r="AN538" s="166"/>
      <c r="AO538" s="166"/>
      <c r="AP538" s="166"/>
      <c r="AQ538" s="166">
        <v>65</v>
      </c>
      <c r="AR538" s="166">
        <v>100</v>
      </c>
      <c r="AS538" s="165"/>
      <c r="AT538" s="165"/>
      <c r="AU538" s="165"/>
      <c r="AV538" s="165"/>
      <c r="AW538" s="165"/>
      <c r="AX538" s="165"/>
      <c r="AY538" s="165"/>
      <c r="AZ538" s="165"/>
      <c r="BA538" s="166"/>
      <c r="BB538" s="166"/>
      <c r="BC538" s="166"/>
      <c r="BD538" s="166"/>
      <c r="BE538" s="166"/>
      <c r="BF538" s="166"/>
      <c r="BG538" s="166"/>
      <c r="BH538" s="166"/>
      <c r="BI538" s="165"/>
      <c r="BJ538" s="165"/>
      <c r="BK538" s="165"/>
      <c r="BL538" s="165"/>
      <c r="BM538" s="165"/>
      <c r="BN538" s="165"/>
      <c r="BO538" s="165"/>
      <c r="BP538" s="165"/>
      <c r="BQ538" s="166" t="s">
        <v>408</v>
      </c>
      <c r="BR538" s="165"/>
      <c r="BS538" s="124">
        <v>404</v>
      </c>
      <c r="BT538" s="124" t="s">
        <v>668</v>
      </c>
    </row>
    <row r="539" spans="1:72" s="124" customFormat="1" ht="12.75" hidden="1" customHeight="1" x14ac:dyDescent="0.2">
      <c r="A539" s="205">
        <v>405</v>
      </c>
      <c r="B539" s="233" t="s">
        <v>956</v>
      </c>
      <c r="C539" s="236" t="s">
        <v>957</v>
      </c>
      <c r="D539" s="235" t="s">
        <v>967</v>
      </c>
      <c r="E539" s="125" t="s">
        <v>960</v>
      </c>
      <c r="F539" s="181" t="s">
        <v>103</v>
      </c>
      <c r="G539" s="181" t="s">
        <v>56</v>
      </c>
      <c r="H539" s="181" t="s">
        <v>496</v>
      </c>
      <c r="I539" s="181"/>
      <c r="J539" s="178" t="s">
        <v>961</v>
      </c>
      <c r="K539" s="178"/>
      <c r="L539" s="178" t="s">
        <v>58</v>
      </c>
      <c r="M539" s="178" t="s">
        <v>59</v>
      </c>
      <c r="N539" s="178" t="s">
        <v>962</v>
      </c>
      <c r="O539" s="178" t="s">
        <v>60</v>
      </c>
      <c r="P539" s="178" t="s">
        <v>92</v>
      </c>
      <c r="Q539" s="179" t="s">
        <v>963</v>
      </c>
      <c r="R539" s="179" t="s">
        <v>964</v>
      </c>
      <c r="S539" s="180"/>
      <c r="T539" s="179">
        <v>150</v>
      </c>
      <c r="U539" s="179" t="s">
        <v>965</v>
      </c>
      <c r="V539" s="167" t="s">
        <v>62</v>
      </c>
      <c r="W539" s="168">
        <v>11</v>
      </c>
      <c r="X539" s="168">
        <v>5</v>
      </c>
      <c r="Y539" s="167"/>
      <c r="Z539" s="169" t="s">
        <v>63</v>
      </c>
      <c r="AA539" s="166">
        <v>10</v>
      </c>
      <c r="AB539" s="166">
        <v>0</v>
      </c>
      <c r="AC539" s="165"/>
      <c r="AD539" s="165"/>
      <c r="AE539" s="165"/>
      <c r="AF539" s="165"/>
      <c r="AG539" s="165"/>
      <c r="AH539" s="165"/>
      <c r="AI539" s="165">
        <v>23</v>
      </c>
      <c r="AJ539" s="165">
        <v>29</v>
      </c>
      <c r="AK539" s="166"/>
      <c r="AL539" s="166"/>
      <c r="AM539" s="171"/>
      <c r="AN539" s="166"/>
      <c r="AO539" s="166"/>
      <c r="AP539" s="166"/>
      <c r="AQ539" s="166">
        <v>65</v>
      </c>
      <c r="AR539" s="166">
        <v>100</v>
      </c>
      <c r="AS539" s="165"/>
      <c r="AT539" s="165"/>
      <c r="AU539" s="165"/>
      <c r="AV539" s="165"/>
      <c r="AW539" s="165"/>
      <c r="AX539" s="165"/>
      <c r="AY539" s="165"/>
      <c r="AZ539" s="165"/>
      <c r="BA539" s="166"/>
      <c r="BB539" s="166"/>
      <c r="BC539" s="166"/>
      <c r="BD539" s="166"/>
      <c r="BE539" s="166"/>
      <c r="BF539" s="166"/>
      <c r="BG539" s="166"/>
      <c r="BH539" s="166"/>
      <c r="BI539" s="165"/>
      <c r="BJ539" s="165"/>
      <c r="BK539" s="165"/>
      <c r="BL539" s="165"/>
      <c r="BM539" s="165"/>
      <c r="BN539" s="165"/>
      <c r="BO539" s="165"/>
      <c r="BP539" s="165"/>
      <c r="BQ539" s="166" t="s">
        <v>408</v>
      </c>
      <c r="BR539" s="165"/>
      <c r="BS539" s="124">
        <v>405</v>
      </c>
      <c r="BT539" s="124" t="s">
        <v>668</v>
      </c>
    </row>
    <row r="540" spans="1:72" s="124" customFormat="1" ht="14.25" hidden="1" customHeight="1" x14ac:dyDescent="0.2">
      <c r="A540" s="205">
        <v>414</v>
      </c>
      <c r="B540" s="233" t="s">
        <v>968</v>
      </c>
      <c r="C540" s="236" t="s">
        <v>969</v>
      </c>
      <c r="D540" s="233" t="s">
        <v>970</v>
      </c>
      <c r="E540" s="125" t="s">
        <v>102</v>
      </c>
      <c r="F540" s="181" t="s">
        <v>103</v>
      </c>
      <c r="G540" s="181" t="s">
        <v>56</v>
      </c>
      <c r="H540" s="181" t="s">
        <v>66</v>
      </c>
      <c r="I540" s="181"/>
      <c r="J540" s="178">
        <v>5</v>
      </c>
      <c r="K540" s="182"/>
      <c r="L540" s="182" t="s">
        <v>58</v>
      </c>
      <c r="M540" s="178" t="s">
        <v>78</v>
      </c>
      <c r="N540" s="178">
        <v>0</v>
      </c>
      <c r="O540" s="178" t="s">
        <v>60</v>
      </c>
      <c r="P540" s="178" t="s">
        <v>79</v>
      </c>
      <c r="Q540" s="179"/>
      <c r="R540" s="179"/>
      <c r="S540" s="180">
        <v>0.5</v>
      </c>
      <c r="T540" s="179"/>
      <c r="U540" s="179" t="s">
        <v>971</v>
      </c>
      <c r="V540" s="167"/>
      <c r="W540" s="168"/>
      <c r="X540" s="168"/>
      <c r="Y540" s="167"/>
      <c r="Z540" s="169" t="s">
        <v>63</v>
      </c>
      <c r="AA540" s="166">
        <v>8</v>
      </c>
      <c r="AB540" s="166">
        <v>4</v>
      </c>
      <c r="AC540" s="165">
        <v>25.9</v>
      </c>
      <c r="AD540" s="172" t="s">
        <v>80</v>
      </c>
      <c r="AE540" s="172" t="s">
        <v>116</v>
      </c>
      <c r="AF540" s="165"/>
      <c r="AG540" s="165"/>
      <c r="AH540" s="165"/>
      <c r="AI540" s="165">
        <v>22</v>
      </c>
      <c r="AJ540" s="165">
        <v>30</v>
      </c>
      <c r="AK540" s="166">
        <v>68.3</v>
      </c>
      <c r="AL540" s="166" t="s">
        <v>81</v>
      </c>
      <c r="AM540" s="171" t="s">
        <v>118</v>
      </c>
      <c r="AN540" s="166"/>
      <c r="AO540" s="166"/>
      <c r="AP540" s="166"/>
      <c r="AQ540" s="166">
        <v>48</v>
      </c>
      <c r="AR540" s="166">
        <v>87</v>
      </c>
      <c r="AS540" s="165">
        <v>179</v>
      </c>
      <c r="AT540" s="165" t="s">
        <v>119</v>
      </c>
      <c r="AU540" s="172" t="s">
        <v>116</v>
      </c>
      <c r="AV540" s="165"/>
      <c r="AW540" s="165"/>
      <c r="AX540" s="165"/>
      <c r="AY540" s="165">
        <v>165</v>
      </c>
      <c r="AZ540" s="165">
        <v>194</v>
      </c>
      <c r="BA540" s="166"/>
      <c r="BB540" s="166"/>
      <c r="BC540" s="166"/>
      <c r="BD540" s="166"/>
      <c r="BE540" s="166"/>
      <c r="BF540" s="166"/>
      <c r="BG540" s="166"/>
      <c r="BH540" s="166"/>
      <c r="BI540" s="165"/>
      <c r="BJ540" s="165"/>
      <c r="BK540" s="165"/>
      <c r="BL540" s="165"/>
      <c r="BM540" s="165"/>
      <c r="BN540" s="165"/>
      <c r="BO540" s="165"/>
      <c r="BP540" s="165"/>
      <c r="BQ540" s="166" t="s">
        <v>208</v>
      </c>
      <c r="BR540" s="165" t="s">
        <v>972</v>
      </c>
      <c r="BS540" s="124">
        <v>414</v>
      </c>
      <c r="BT540" s="124" t="s">
        <v>668</v>
      </c>
    </row>
    <row r="541" spans="1:72" s="124" customFormat="1" ht="14.25" hidden="1" customHeight="1" x14ac:dyDescent="0.2">
      <c r="A541" s="205">
        <v>419</v>
      </c>
      <c r="B541" s="233" t="s">
        <v>973</v>
      </c>
      <c r="C541" s="237" t="s">
        <v>974</v>
      </c>
      <c r="D541" s="233" t="s">
        <v>975</v>
      </c>
      <c r="E541" s="125" t="s">
        <v>102</v>
      </c>
      <c r="F541" s="181" t="s">
        <v>103</v>
      </c>
      <c r="G541" s="181" t="s">
        <v>56</v>
      </c>
      <c r="H541" s="181" t="s">
        <v>66</v>
      </c>
      <c r="I541" s="181" t="s">
        <v>1483</v>
      </c>
      <c r="J541" s="178">
        <v>7.4999999999999997E-2</v>
      </c>
      <c r="K541" s="182"/>
      <c r="L541" s="182" t="s">
        <v>107</v>
      </c>
      <c r="M541" s="178" t="s">
        <v>78</v>
      </c>
      <c r="N541" s="178">
        <v>0</v>
      </c>
      <c r="O541" s="178" t="s">
        <v>60</v>
      </c>
      <c r="P541" s="178"/>
      <c r="Q541" s="179"/>
      <c r="R541" s="179" t="s">
        <v>1484</v>
      </c>
      <c r="S541" s="180">
        <v>1</v>
      </c>
      <c r="T541" s="179"/>
      <c r="U541" s="179"/>
      <c r="V541" s="167"/>
      <c r="W541" s="168"/>
      <c r="X541" s="168"/>
      <c r="Y541" s="167"/>
      <c r="Z541" s="169" t="s">
        <v>63</v>
      </c>
      <c r="AA541" s="166">
        <v>8</v>
      </c>
      <c r="AB541" s="166">
        <v>4</v>
      </c>
      <c r="AC541" s="165"/>
      <c r="AD541" s="165" t="s">
        <v>80</v>
      </c>
      <c r="AE541" s="165" t="s">
        <v>1485</v>
      </c>
      <c r="AF541" s="165"/>
      <c r="AG541" s="165"/>
      <c r="AH541" s="165"/>
      <c r="AI541" s="165">
        <v>21</v>
      </c>
      <c r="AJ541" s="165">
        <v>26</v>
      </c>
      <c r="AK541" s="166"/>
      <c r="AL541" s="166" t="s">
        <v>81</v>
      </c>
      <c r="AM541" s="166" t="s">
        <v>1485</v>
      </c>
      <c r="AN541" s="166"/>
      <c r="AO541" s="166"/>
      <c r="AP541" s="166"/>
      <c r="AQ541" s="166">
        <v>58</v>
      </c>
      <c r="AR541" s="166">
        <v>90</v>
      </c>
      <c r="AS541" s="165"/>
      <c r="AT541" s="165"/>
      <c r="AU541" s="165"/>
      <c r="AV541" s="165"/>
      <c r="AW541" s="165"/>
      <c r="AX541" s="165"/>
      <c r="AY541" s="165"/>
      <c r="AZ541" s="165"/>
      <c r="BA541" s="166"/>
      <c r="BB541" s="166"/>
      <c r="BC541" s="166"/>
      <c r="BD541" s="166"/>
      <c r="BE541" s="166"/>
      <c r="BF541" s="166"/>
      <c r="BG541" s="166"/>
      <c r="BH541" s="166"/>
      <c r="BI541" s="165"/>
      <c r="BJ541" s="165"/>
      <c r="BK541" s="165"/>
      <c r="BL541" s="165"/>
      <c r="BM541" s="165"/>
      <c r="BN541" s="165"/>
      <c r="BO541" s="165"/>
      <c r="BP541" s="165"/>
      <c r="BQ541" s="166" t="s">
        <v>216</v>
      </c>
      <c r="BR541" s="165" t="s">
        <v>1486</v>
      </c>
      <c r="BS541" s="124">
        <v>419</v>
      </c>
    </row>
    <row r="542" spans="1:72" s="124" customFormat="1" ht="14.25" hidden="1" customHeight="1" x14ac:dyDescent="0.2">
      <c r="A542" s="205">
        <v>420</v>
      </c>
      <c r="B542" s="233" t="s">
        <v>973</v>
      </c>
      <c r="C542" s="237" t="s">
        <v>974</v>
      </c>
      <c r="D542" s="233" t="s">
        <v>1459</v>
      </c>
      <c r="E542" s="125" t="s">
        <v>102</v>
      </c>
      <c r="F542" s="181" t="s">
        <v>103</v>
      </c>
      <c r="G542" s="181" t="s">
        <v>56</v>
      </c>
      <c r="H542" s="181" t="s">
        <v>66</v>
      </c>
      <c r="I542" s="181" t="s">
        <v>1487</v>
      </c>
      <c r="J542" s="178">
        <v>7.4999999999999997E-2</v>
      </c>
      <c r="K542" s="182"/>
      <c r="L542" s="182" t="s">
        <v>107</v>
      </c>
      <c r="M542" s="178" t="s">
        <v>78</v>
      </c>
      <c r="N542" s="178">
        <v>96</v>
      </c>
      <c r="O542" s="178" t="s">
        <v>60</v>
      </c>
      <c r="P542" s="178" t="s">
        <v>1488</v>
      </c>
      <c r="Q542" s="179"/>
      <c r="R542" s="179" t="s">
        <v>1484</v>
      </c>
      <c r="S542" s="180">
        <v>1</v>
      </c>
      <c r="T542" s="179"/>
      <c r="U542" s="179"/>
      <c r="V542" s="167"/>
      <c r="W542" s="168"/>
      <c r="X542" s="168"/>
      <c r="Y542" s="167"/>
      <c r="Z542" s="169" t="s">
        <v>63</v>
      </c>
      <c r="AA542" s="166">
        <v>8</v>
      </c>
      <c r="AB542" s="166">
        <v>4</v>
      </c>
      <c r="AC542" s="165"/>
      <c r="AD542" s="165"/>
      <c r="AE542" s="165"/>
      <c r="AF542" s="165"/>
      <c r="AG542" s="165"/>
      <c r="AH542" s="165"/>
      <c r="AI542" s="165"/>
      <c r="AJ542" s="165"/>
      <c r="AK542" s="166"/>
      <c r="AL542" s="166"/>
      <c r="AM542" s="166"/>
      <c r="AN542" s="166"/>
      <c r="AO542" s="166"/>
      <c r="AP542" s="166"/>
      <c r="AQ542" s="166"/>
      <c r="AR542" s="166"/>
      <c r="AS542" s="165"/>
      <c r="AT542" s="165"/>
      <c r="AU542" s="165"/>
      <c r="AV542" s="165"/>
      <c r="AW542" s="165"/>
      <c r="AX542" s="165"/>
      <c r="AY542" s="165"/>
      <c r="AZ542" s="165"/>
      <c r="BA542" s="166"/>
      <c r="BB542" s="166"/>
      <c r="BC542" s="166"/>
      <c r="BD542" s="166"/>
      <c r="BE542" s="166"/>
      <c r="BF542" s="166"/>
      <c r="BG542" s="166"/>
      <c r="BH542" s="166"/>
      <c r="BI542" s="165"/>
      <c r="BJ542" s="165"/>
      <c r="BK542" s="165"/>
      <c r="BL542" s="165"/>
      <c r="BM542" s="165"/>
      <c r="BN542" s="165"/>
      <c r="BO542" s="165"/>
      <c r="BP542" s="165"/>
      <c r="BQ542" s="166" t="s">
        <v>216</v>
      </c>
      <c r="BR542" s="165" t="s">
        <v>1486</v>
      </c>
      <c r="BS542" s="124">
        <v>420</v>
      </c>
    </row>
    <row r="543" spans="1:72" s="124" customFormat="1" ht="14.25" hidden="1" customHeight="1" x14ac:dyDescent="0.2">
      <c r="A543" s="205">
        <v>421</v>
      </c>
      <c r="B543" s="235" t="s">
        <v>976</v>
      </c>
      <c r="C543" s="236" t="s">
        <v>977</v>
      </c>
      <c r="D543" s="235" t="s">
        <v>220</v>
      </c>
      <c r="E543" s="125" t="s">
        <v>102</v>
      </c>
      <c r="F543" s="181" t="s">
        <v>103</v>
      </c>
      <c r="G543" s="181" t="s">
        <v>56</v>
      </c>
      <c r="H543" s="181" t="s">
        <v>66</v>
      </c>
      <c r="I543" s="181"/>
      <c r="J543" s="178">
        <v>0.05</v>
      </c>
      <c r="K543" s="182"/>
      <c r="L543" s="182" t="s">
        <v>107</v>
      </c>
      <c r="M543" s="178" t="s">
        <v>78</v>
      </c>
      <c r="N543" s="178">
        <v>0</v>
      </c>
      <c r="O543" s="178" t="s">
        <v>60</v>
      </c>
      <c r="P543" s="178" t="s">
        <v>79</v>
      </c>
      <c r="Q543" s="179"/>
      <c r="R543" s="179" t="s">
        <v>978</v>
      </c>
      <c r="S543" s="180">
        <v>2</v>
      </c>
      <c r="T543" s="179"/>
      <c r="U543" s="179"/>
      <c r="V543" s="167"/>
      <c r="W543" s="168"/>
      <c r="X543" s="168"/>
      <c r="Y543" s="167"/>
      <c r="Z543" s="169" t="s">
        <v>63</v>
      </c>
      <c r="AA543" s="166">
        <v>3</v>
      </c>
      <c r="AB543" s="166">
        <v>0</v>
      </c>
      <c r="AC543" s="165">
        <v>28.3</v>
      </c>
      <c r="AD543" s="165" t="s">
        <v>80</v>
      </c>
      <c r="AE543" s="165" t="s">
        <v>389</v>
      </c>
      <c r="AF543" s="165"/>
      <c r="AG543" s="165"/>
      <c r="AH543" s="165"/>
      <c r="AI543" s="165">
        <v>24</v>
      </c>
      <c r="AJ543" s="165">
        <v>36</v>
      </c>
      <c r="AK543" s="166"/>
      <c r="AL543" s="166"/>
      <c r="AM543" s="166"/>
      <c r="AN543" s="166"/>
      <c r="AO543" s="166"/>
      <c r="AP543" s="166"/>
      <c r="AQ543" s="166"/>
      <c r="AR543" s="166"/>
      <c r="AS543" s="165"/>
      <c r="AT543" s="165"/>
      <c r="AU543" s="165"/>
      <c r="AV543" s="165"/>
      <c r="AW543" s="165"/>
      <c r="AX543" s="165"/>
      <c r="AY543" s="165"/>
      <c r="AZ543" s="165"/>
      <c r="BA543" s="166"/>
      <c r="BB543" s="166"/>
      <c r="BC543" s="166"/>
      <c r="BD543" s="166"/>
      <c r="BE543" s="166"/>
      <c r="BF543" s="166"/>
      <c r="BG543" s="166"/>
      <c r="BH543" s="166"/>
      <c r="BI543" s="165"/>
      <c r="BJ543" s="165"/>
      <c r="BK543" s="165"/>
      <c r="BL543" s="165"/>
      <c r="BM543" s="165"/>
      <c r="BN543" s="165"/>
      <c r="BO543" s="165"/>
      <c r="BP543" s="165"/>
      <c r="BQ543" s="166" t="s">
        <v>979</v>
      </c>
      <c r="BR543" s="165" t="s">
        <v>980</v>
      </c>
      <c r="BS543" s="124">
        <v>421</v>
      </c>
      <c r="BT543" s="124" t="s">
        <v>668</v>
      </c>
    </row>
    <row r="544" spans="1:72" s="124" customFormat="1" ht="14.25" hidden="1" customHeight="1" x14ac:dyDescent="0.2">
      <c r="A544" s="205">
        <v>422</v>
      </c>
      <c r="B544" s="235" t="s">
        <v>976</v>
      </c>
      <c r="C544" s="236" t="s">
        <v>977</v>
      </c>
      <c r="D544" s="235" t="s">
        <v>225</v>
      </c>
      <c r="E544" s="125" t="s">
        <v>102</v>
      </c>
      <c r="F544" s="181" t="s">
        <v>103</v>
      </c>
      <c r="G544" s="181" t="s">
        <v>56</v>
      </c>
      <c r="H544" s="181" t="s">
        <v>66</v>
      </c>
      <c r="I544" s="181" t="s">
        <v>981</v>
      </c>
      <c r="J544" s="178">
        <v>0.05</v>
      </c>
      <c r="K544" s="182"/>
      <c r="L544" s="182" t="s">
        <v>107</v>
      </c>
      <c r="M544" s="178" t="s">
        <v>78</v>
      </c>
      <c r="N544" s="178">
        <v>132</v>
      </c>
      <c r="O544" s="178" t="s">
        <v>60</v>
      </c>
      <c r="P544" s="178" t="s">
        <v>79</v>
      </c>
      <c r="Q544" s="179"/>
      <c r="R544" s="179" t="s">
        <v>978</v>
      </c>
      <c r="S544" s="180">
        <v>2</v>
      </c>
      <c r="T544" s="179"/>
      <c r="U544" s="179"/>
      <c r="V544" s="167"/>
      <c r="W544" s="168"/>
      <c r="X544" s="168"/>
      <c r="Y544" s="167"/>
      <c r="Z544" s="169" t="s">
        <v>63</v>
      </c>
      <c r="AA544" s="166">
        <v>3</v>
      </c>
      <c r="AB544" s="166">
        <v>0</v>
      </c>
      <c r="AC544" s="165">
        <v>28.3</v>
      </c>
      <c r="AD544" s="165" t="s">
        <v>80</v>
      </c>
      <c r="AE544" s="165" t="s">
        <v>389</v>
      </c>
      <c r="AF544" s="165"/>
      <c r="AG544" s="165"/>
      <c r="AH544" s="165"/>
      <c r="AI544" s="165">
        <v>24</v>
      </c>
      <c r="AJ544" s="165">
        <v>36</v>
      </c>
      <c r="AK544" s="166"/>
      <c r="AL544" s="166"/>
      <c r="AM544" s="166"/>
      <c r="AN544" s="166"/>
      <c r="AO544" s="166"/>
      <c r="AP544" s="166"/>
      <c r="AQ544" s="166"/>
      <c r="AR544" s="166"/>
      <c r="AS544" s="165"/>
      <c r="AT544" s="165"/>
      <c r="AU544" s="165"/>
      <c r="AV544" s="165"/>
      <c r="AW544" s="165"/>
      <c r="AX544" s="165"/>
      <c r="AY544" s="165"/>
      <c r="AZ544" s="165"/>
      <c r="BA544" s="166"/>
      <c r="BB544" s="166"/>
      <c r="BC544" s="166"/>
      <c r="BD544" s="166"/>
      <c r="BE544" s="166"/>
      <c r="BF544" s="166"/>
      <c r="BG544" s="166"/>
      <c r="BH544" s="166"/>
      <c r="BI544" s="165"/>
      <c r="BJ544" s="165"/>
      <c r="BK544" s="165"/>
      <c r="BL544" s="165"/>
      <c r="BM544" s="165"/>
      <c r="BN544" s="165"/>
      <c r="BO544" s="165"/>
      <c r="BP544" s="165"/>
      <c r="BQ544" s="166" t="s">
        <v>979</v>
      </c>
      <c r="BR544" s="165" t="s">
        <v>980</v>
      </c>
      <c r="BS544" s="124">
        <v>422</v>
      </c>
      <c r="BT544" s="124" t="s">
        <v>668</v>
      </c>
    </row>
    <row r="545" spans="1:72" s="124" customFormat="1" ht="14.25" hidden="1" customHeight="1" x14ac:dyDescent="0.2">
      <c r="A545" s="205">
        <v>423</v>
      </c>
      <c r="B545" s="233" t="s">
        <v>982</v>
      </c>
      <c r="C545" s="237" t="s">
        <v>983</v>
      </c>
      <c r="D545" s="235" t="s">
        <v>220</v>
      </c>
      <c r="E545" s="125" t="s">
        <v>102</v>
      </c>
      <c r="F545" s="181" t="s">
        <v>103</v>
      </c>
      <c r="G545" s="181" t="s">
        <v>56</v>
      </c>
      <c r="H545" s="181" t="s">
        <v>57</v>
      </c>
      <c r="I545" s="181"/>
      <c r="J545" s="178">
        <v>2</v>
      </c>
      <c r="K545" s="182"/>
      <c r="L545" s="182" t="s">
        <v>58</v>
      </c>
      <c r="M545" s="178" t="s">
        <v>59</v>
      </c>
      <c r="N545" s="178">
        <v>0</v>
      </c>
      <c r="O545" s="178" t="s">
        <v>60</v>
      </c>
      <c r="P545" s="178" t="s">
        <v>79</v>
      </c>
      <c r="Q545" s="179"/>
      <c r="R545" s="179" t="s">
        <v>804</v>
      </c>
      <c r="S545" s="180"/>
      <c r="T545" s="179"/>
      <c r="U545" s="179"/>
      <c r="V545" s="167"/>
      <c r="W545" s="168"/>
      <c r="X545" s="168">
        <v>0.5</v>
      </c>
      <c r="Y545" s="167"/>
      <c r="Z545" s="169" t="s">
        <v>63</v>
      </c>
      <c r="AA545" s="166">
        <v>6</v>
      </c>
      <c r="AB545" s="166">
        <v>1</v>
      </c>
      <c r="AC545" s="165">
        <v>34</v>
      </c>
      <c r="AD545" s="165" t="s">
        <v>80</v>
      </c>
      <c r="AE545" s="165" t="s">
        <v>389</v>
      </c>
      <c r="AF545" s="165"/>
      <c r="AG545" s="165"/>
      <c r="AH545" s="165"/>
      <c r="AI545" s="165">
        <v>22</v>
      </c>
      <c r="AJ545" s="165">
        <v>42</v>
      </c>
      <c r="AK545" s="166"/>
      <c r="AL545" s="166"/>
      <c r="AM545" s="166"/>
      <c r="AN545" s="166"/>
      <c r="AO545" s="166"/>
      <c r="AP545" s="166"/>
      <c r="AQ545" s="166"/>
      <c r="AR545" s="166"/>
      <c r="AS545" s="165"/>
      <c r="AT545" s="165"/>
      <c r="AU545" s="165"/>
      <c r="AV545" s="165"/>
      <c r="AW545" s="165"/>
      <c r="AX545" s="165"/>
      <c r="AY545" s="165"/>
      <c r="AZ545" s="165"/>
      <c r="BA545" s="166"/>
      <c r="BB545" s="166"/>
      <c r="BC545" s="166"/>
      <c r="BD545" s="166"/>
      <c r="BE545" s="166"/>
      <c r="BF545" s="166"/>
      <c r="BG545" s="166"/>
      <c r="BH545" s="166"/>
      <c r="BI545" s="165"/>
      <c r="BJ545" s="165"/>
      <c r="BK545" s="165"/>
      <c r="BL545" s="165"/>
      <c r="BM545" s="165"/>
      <c r="BN545" s="165"/>
      <c r="BO545" s="165"/>
      <c r="BP545" s="165"/>
      <c r="BQ545" s="166" t="s">
        <v>238</v>
      </c>
      <c r="BR545" s="165" t="s">
        <v>984</v>
      </c>
      <c r="BS545" s="124">
        <v>423</v>
      </c>
      <c r="BT545" s="124" t="s">
        <v>668</v>
      </c>
    </row>
    <row r="546" spans="1:72" s="124" customFormat="1" ht="14.25" hidden="1" customHeight="1" x14ac:dyDescent="0.2">
      <c r="A546" s="205">
        <v>424</v>
      </c>
      <c r="B546" s="233" t="s">
        <v>982</v>
      </c>
      <c r="C546" s="237" t="s">
        <v>983</v>
      </c>
      <c r="D546" s="235" t="s">
        <v>985</v>
      </c>
      <c r="E546" s="125" t="s">
        <v>102</v>
      </c>
      <c r="F546" s="181" t="s">
        <v>103</v>
      </c>
      <c r="G546" s="181" t="s">
        <v>56</v>
      </c>
      <c r="H546" s="181" t="s">
        <v>57</v>
      </c>
      <c r="I546" s="181"/>
      <c r="J546" s="178">
        <v>2</v>
      </c>
      <c r="K546" s="182"/>
      <c r="L546" s="182" t="s">
        <v>58</v>
      </c>
      <c r="M546" s="178" t="s">
        <v>59</v>
      </c>
      <c r="N546" s="178">
        <v>4</v>
      </c>
      <c r="O546" s="178" t="s">
        <v>60</v>
      </c>
      <c r="P546" s="178" t="s">
        <v>79</v>
      </c>
      <c r="Q546" s="179"/>
      <c r="R546" s="179" t="s">
        <v>804</v>
      </c>
      <c r="S546" s="180"/>
      <c r="T546" s="179"/>
      <c r="U546" s="179"/>
      <c r="V546" s="167"/>
      <c r="W546" s="168"/>
      <c r="X546" s="168">
        <v>0.5</v>
      </c>
      <c r="Y546" s="167"/>
      <c r="Z546" s="169" t="s">
        <v>63</v>
      </c>
      <c r="AA546" s="166">
        <v>6</v>
      </c>
      <c r="AB546" s="166">
        <v>1</v>
      </c>
      <c r="AC546" s="165">
        <v>34</v>
      </c>
      <c r="AD546" s="165" t="s">
        <v>80</v>
      </c>
      <c r="AE546" s="165" t="s">
        <v>389</v>
      </c>
      <c r="AF546" s="165"/>
      <c r="AG546" s="165"/>
      <c r="AH546" s="165"/>
      <c r="AI546" s="165">
        <v>22</v>
      </c>
      <c r="AJ546" s="165">
        <v>42</v>
      </c>
      <c r="AK546" s="166"/>
      <c r="AL546" s="166"/>
      <c r="AM546" s="166"/>
      <c r="AN546" s="166"/>
      <c r="AO546" s="166"/>
      <c r="AP546" s="166"/>
      <c r="AQ546" s="166"/>
      <c r="AR546" s="166"/>
      <c r="AS546" s="165"/>
      <c r="AT546" s="165"/>
      <c r="AU546" s="165"/>
      <c r="AV546" s="165"/>
      <c r="AW546" s="165"/>
      <c r="AX546" s="165"/>
      <c r="AY546" s="165"/>
      <c r="AZ546" s="165"/>
      <c r="BA546" s="166"/>
      <c r="BB546" s="166"/>
      <c r="BC546" s="166"/>
      <c r="BD546" s="166"/>
      <c r="BE546" s="166"/>
      <c r="BF546" s="166"/>
      <c r="BG546" s="166"/>
      <c r="BH546" s="166"/>
      <c r="BI546" s="165"/>
      <c r="BJ546" s="165"/>
      <c r="BK546" s="165"/>
      <c r="BL546" s="165"/>
      <c r="BM546" s="165"/>
      <c r="BN546" s="165"/>
      <c r="BO546" s="165"/>
      <c r="BP546" s="165"/>
      <c r="BQ546" s="166" t="s">
        <v>238</v>
      </c>
      <c r="BR546" s="165" t="s">
        <v>984</v>
      </c>
      <c r="BS546" s="124">
        <v>424</v>
      </c>
      <c r="BT546" s="124" t="s">
        <v>668</v>
      </c>
    </row>
    <row r="547" spans="1:72" s="124" customFormat="1" ht="14.25" hidden="1" customHeight="1" x14ac:dyDescent="0.2">
      <c r="A547" s="205">
        <v>425</v>
      </c>
      <c r="B547" s="233" t="s">
        <v>982</v>
      </c>
      <c r="C547" s="237" t="s">
        <v>983</v>
      </c>
      <c r="D547" s="235" t="s">
        <v>986</v>
      </c>
      <c r="E547" s="125" t="s">
        <v>102</v>
      </c>
      <c r="F547" s="181" t="s">
        <v>103</v>
      </c>
      <c r="G547" s="181" t="s">
        <v>56</v>
      </c>
      <c r="H547" s="181" t="s">
        <v>57</v>
      </c>
      <c r="I547" s="181"/>
      <c r="J547" s="178">
        <v>2</v>
      </c>
      <c r="K547" s="182"/>
      <c r="L547" s="182" t="s">
        <v>58</v>
      </c>
      <c r="M547" s="178" t="s">
        <v>59</v>
      </c>
      <c r="N547" s="178">
        <v>4</v>
      </c>
      <c r="O547" s="178" t="s">
        <v>60</v>
      </c>
      <c r="P547" s="178" t="s">
        <v>79</v>
      </c>
      <c r="Q547" s="179"/>
      <c r="R547" s="179" t="s">
        <v>804</v>
      </c>
      <c r="S547" s="180"/>
      <c r="T547" s="179"/>
      <c r="U547" s="179"/>
      <c r="V547" s="167"/>
      <c r="W547" s="168"/>
      <c r="X547" s="168">
        <v>0.5</v>
      </c>
      <c r="Y547" s="167"/>
      <c r="Z547" s="169" t="s">
        <v>63</v>
      </c>
      <c r="AA547" s="166">
        <v>6</v>
      </c>
      <c r="AB547" s="166">
        <v>1</v>
      </c>
      <c r="AC547" s="165">
        <v>34</v>
      </c>
      <c r="AD547" s="165" t="s">
        <v>80</v>
      </c>
      <c r="AE547" s="165" t="s">
        <v>389</v>
      </c>
      <c r="AF547" s="165"/>
      <c r="AG547" s="165"/>
      <c r="AH547" s="165"/>
      <c r="AI547" s="165">
        <v>22</v>
      </c>
      <c r="AJ547" s="165">
        <v>42</v>
      </c>
      <c r="AK547" s="166"/>
      <c r="AL547" s="166"/>
      <c r="AM547" s="166"/>
      <c r="AN547" s="166"/>
      <c r="AO547" s="166"/>
      <c r="AP547" s="166"/>
      <c r="AQ547" s="166"/>
      <c r="AR547" s="166"/>
      <c r="AS547" s="165"/>
      <c r="AT547" s="165"/>
      <c r="AU547" s="165"/>
      <c r="AV547" s="165"/>
      <c r="AW547" s="165"/>
      <c r="AX547" s="165"/>
      <c r="AY547" s="165"/>
      <c r="AZ547" s="165"/>
      <c r="BA547" s="166"/>
      <c r="BB547" s="166"/>
      <c r="BC547" s="166"/>
      <c r="BD547" s="166"/>
      <c r="BE547" s="166"/>
      <c r="BF547" s="166"/>
      <c r="BG547" s="166"/>
      <c r="BH547" s="166"/>
      <c r="BI547" s="165"/>
      <c r="BJ547" s="165"/>
      <c r="BK547" s="165"/>
      <c r="BL547" s="165"/>
      <c r="BM547" s="165"/>
      <c r="BN547" s="165"/>
      <c r="BO547" s="165"/>
      <c r="BP547" s="165"/>
      <c r="BQ547" s="166" t="s">
        <v>238</v>
      </c>
      <c r="BR547" s="165" t="s">
        <v>984</v>
      </c>
      <c r="BS547" s="124">
        <v>425</v>
      </c>
      <c r="BT547" s="124" t="s">
        <v>668</v>
      </c>
    </row>
    <row r="548" spans="1:72" s="124" customFormat="1" ht="14.25" hidden="1" customHeight="1" x14ac:dyDescent="0.2">
      <c r="A548" s="205">
        <v>426</v>
      </c>
      <c r="B548" s="233" t="s">
        <v>982</v>
      </c>
      <c r="C548" s="237" t="s">
        <v>983</v>
      </c>
      <c r="D548" s="235" t="s">
        <v>987</v>
      </c>
      <c r="E548" s="125" t="s">
        <v>102</v>
      </c>
      <c r="F548" s="181" t="s">
        <v>103</v>
      </c>
      <c r="G548" s="181" t="s">
        <v>56</v>
      </c>
      <c r="H548" s="181" t="s">
        <v>57</v>
      </c>
      <c r="I548" s="181"/>
      <c r="J548" s="178">
        <v>2</v>
      </c>
      <c r="K548" s="182"/>
      <c r="L548" s="182" t="s">
        <v>58</v>
      </c>
      <c r="M548" s="178" t="s">
        <v>59</v>
      </c>
      <c r="N548" s="178">
        <v>4</v>
      </c>
      <c r="O548" s="178" t="s">
        <v>60</v>
      </c>
      <c r="P548" s="178" t="s">
        <v>79</v>
      </c>
      <c r="Q548" s="179"/>
      <c r="R548" s="179" t="s">
        <v>804</v>
      </c>
      <c r="S548" s="180"/>
      <c r="T548" s="179"/>
      <c r="U548" s="179"/>
      <c r="V548" s="167"/>
      <c r="W548" s="168"/>
      <c r="X548" s="168">
        <v>0.5</v>
      </c>
      <c r="Y548" s="167"/>
      <c r="Z548" s="169" t="s">
        <v>63</v>
      </c>
      <c r="AA548" s="166">
        <v>6</v>
      </c>
      <c r="AB548" s="166">
        <v>1</v>
      </c>
      <c r="AC548" s="165">
        <v>34</v>
      </c>
      <c r="AD548" s="165" t="s">
        <v>80</v>
      </c>
      <c r="AE548" s="165" t="s">
        <v>389</v>
      </c>
      <c r="AF548" s="165"/>
      <c r="AG548" s="165"/>
      <c r="AH548" s="165"/>
      <c r="AI548" s="165">
        <v>22</v>
      </c>
      <c r="AJ548" s="165">
        <v>42</v>
      </c>
      <c r="AK548" s="166"/>
      <c r="AL548" s="166"/>
      <c r="AM548" s="166"/>
      <c r="AN548" s="166"/>
      <c r="AO548" s="166"/>
      <c r="AP548" s="166"/>
      <c r="AQ548" s="166"/>
      <c r="AR548" s="166"/>
      <c r="AS548" s="165"/>
      <c r="AT548" s="165"/>
      <c r="AU548" s="165"/>
      <c r="AV548" s="165"/>
      <c r="AW548" s="165"/>
      <c r="AX548" s="165"/>
      <c r="AY548" s="165"/>
      <c r="AZ548" s="165"/>
      <c r="BA548" s="166"/>
      <c r="BB548" s="166"/>
      <c r="BC548" s="166"/>
      <c r="BD548" s="166"/>
      <c r="BE548" s="166"/>
      <c r="BF548" s="166"/>
      <c r="BG548" s="166"/>
      <c r="BH548" s="166"/>
      <c r="BI548" s="165"/>
      <c r="BJ548" s="165"/>
      <c r="BK548" s="165"/>
      <c r="BL548" s="165"/>
      <c r="BM548" s="165"/>
      <c r="BN548" s="165"/>
      <c r="BO548" s="165"/>
      <c r="BP548" s="165"/>
      <c r="BQ548" s="166" t="s">
        <v>238</v>
      </c>
      <c r="BR548" s="165" t="s">
        <v>984</v>
      </c>
      <c r="BS548" s="124">
        <v>426</v>
      </c>
      <c r="BT548" s="124" t="s">
        <v>668</v>
      </c>
    </row>
    <row r="549" spans="1:72" s="124" customFormat="1" ht="14.25" hidden="1" customHeight="1" x14ac:dyDescent="0.2">
      <c r="A549" s="205">
        <v>427</v>
      </c>
      <c r="B549" s="233" t="s">
        <v>988</v>
      </c>
      <c r="C549" s="237" t="s">
        <v>989</v>
      </c>
      <c r="D549" s="235" t="s">
        <v>220</v>
      </c>
      <c r="E549" s="125" t="s">
        <v>102</v>
      </c>
      <c r="F549" s="181" t="s">
        <v>103</v>
      </c>
      <c r="G549" s="181" t="s">
        <v>56</v>
      </c>
      <c r="H549" s="181" t="s">
        <v>57</v>
      </c>
      <c r="I549" s="181"/>
      <c r="J549" s="178">
        <v>1</v>
      </c>
      <c r="K549" s="182"/>
      <c r="L549" s="182" t="s">
        <v>58</v>
      </c>
      <c r="M549" s="178" t="s">
        <v>78</v>
      </c>
      <c r="N549" s="178">
        <v>0</v>
      </c>
      <c r="O549" s="178" t="s">
        <v>60</v>
      </c>
      <c r="P549" s="178" t="s">
        <v>79</v>
      </c>
      <c r="Q549" s="179" t="s">
        <v>990</v>
      </c>
      <c r="R549" s="180"/>
      <c r="S549" s="180">
        <v>0.5</v>
      </c>
      <c r="T549" s="179"/>
      <c r="U549" s="179" t="s">
        <v>991</v>
      </c>
      <c r="V549" s="167"/>
      <c r="W549" s="168"/>
      <c r="X549" s="168"/>
      <c r="Y549" s="167"/>
      <c r="Z549" s="169" t="s">
        <v>63</v>
      </c>
      <c r="AA549" s="166">
        <v>28</v>
      </c>
      <c r="AB549" s="166">
        <v>14</v>
      </c>
      <c r="AC549" s="165">
        <v>55.7</v>
      </c>
      <c r="AD549" s="172" t="s">
        <v>80</v>
      </c>
      <c r="AE549" s="172" t="s">
        <v>116</v>
      </c>
      <c r="AF549" s="165">
        <v>8.1</v>
      </c>
      <c r="AG549" s="172" t="s">
        <v>80</v>
      </c>
      <c r="AH549" s="172" t="s">
        <v>117</v>
      </c>
      <c r="AI549" s="165"/>
      <c r="AJ549" s="165"/>
      <c r="AK549" s="166"/>
      <c r="AL549" s="166"/>
      <c r="AM549" s="166"/>
      <c r="AN549" s="166"/>
      <c r="AO549" s="166"/>
      <c r="AP549" s="166"/>
      <c r="AQ549" s="166"/>
      <c r="AR549" s="166"/>
      <c r="AS549" s="165"/>
      <c r="AT549" s="165"/>
      <c r="AU549" s="165"/>
      <c r="AV549" s="165"/>
      <c r="AW549" s="165"/>
      <c r="AX549" s="165"/>
      <c r="AY549" s="165"/>
      <c r="AZ549" s="165"/>
      <c r="BA549" s="166"/>
      <c r="BB549" s="166"/>
      <c r="BC549" s="166"/>
      <c r="BD549" s="166"/>
      <c r="BE549" s="166"/>
      <c r="BF549" s="166"/>
      <c r="BG549" s="166"/>
      <c r="BH549" s="166"/>
      <c r="BI549" s="165">
        <v>1.6</v>
      </c>
      <c r="BJ549" s="165" t="s">
        <v>120</v>
      </c>
      <c r="BK549" s="165" t="s">
        <v>389</v>
      </c>
      <c r="BL549" s="165">
        <v>0.2</v>
      </c>
      <c r="BM549" s="165" t="s">
        <v>120</v>
      </c>
      <c r="BN549" s="165" t="s">
        <v>117</v>
      </c>
      <c r="BO549" s="165"/>
      <c r="BP549" s="165"/>
      <c r="BQ549" s="166" t="s">
        <v>992</v>
      </c>
      <c r="BR549" s="126" t="s">
        <v>993</v>
      </c>
      <c r="BS549" s="124">
        <v>427</v>
      </c>
      <c r="BT549" s="124" t="s">
        <v>668</v>
      </c>
    </row>
    <row r="550" spans="1:72" s="124" customFormat="1" ht="14.25" hidden="1" customHeight="1" x14ac:dyDescent="0.2">
      <c r="A550" s="205">
        <v>428</v>
      </c>
      <c r="B550" s="233" t="s">
        <v>988</v>
      </c>
      <c r="C550" s="237" t="s">
        <v>989</v>
      </c>
      <c r="D550" s="235" t="s">
        <v>994</v>
      </c>
      <c r="E550" s="125" t="s">
        <v>102</v>
      </c>
      <c r="F550" s="181" t="s">
        <v>103</v>
      </c>
      <c r="G550" s="181" t="s">
        <v>56</v>
      </c>
      <c r="H550" s="181" t="s">
        <v>57</v>
      </c>
      <c r="I550" s="181" t="s">
        <v>995</v>
      </c>
      <c r="J550" s="178">
        <v>1</v>
      </c>
      <c r="K550" s="182"/>
      <c r="L550" s="182" t="s">
        <v>58</v>
      </c>
      <c r="M550" s="178" t="s">
        <v>78</v>
      </c>
      <c r="N550" s="178">
        <v>47</v>
      </c>
      <c r="O550" s="178" t="s">
        <v>60</v>
      </c>
      <c r="P550" s="178" t="s">
        <v>79</v>
      </c>
      <c r="Q550" s="179" t="s">
        <v>990</v>
      </c>
      <c r="R550" s="180"/>
      <c r="S550" s="180">
        <v>0.5</v>
      </c>
      <c r="T550" s="179"/>
      <c r="U550" s="179" t="s">
        <v>991</v>
      </c>
      <c r="V550" s="167"/>
      <c r="W550" s="168"/>
      <c r="X550" s="168"/>
      <c r="Y550" s="167"/>
      <c r="Z550" s="169" t="s">
        <v>63</v>
      </c>
      <c r="AA550" s="166">
        <v>29</v>
      </c>
      <c r="AB550" s="166">
        <v>11</v>
      </c>
      <c r="AC550" s="165">
        <v>59.1</v>
      </c>
      <c r="AD550" s="172" t="s">
        <v>80</v>
      </c>
      <c r="AE550" s="172" t="s">
        <v>116</v>
      </c>
      <c r="AF550" s="165">
        <v>11.1</v>
      </c>
      <c r="AG550" s="172" t="s">
        <v>80</v>
      </c>
      <c r="AH550" s="172" t="s">
        <v>117</v>
      </c>
      <c r="AI550" s="165"/>
      <c r="AJ550" s="165"/>
      <c r="AK550" s="166"/>
      <c r="AL550" s="166"/>
      <c r="AM550" s="166"/>
      <c r="AN550" s="166"/>
      <c r="AO550" s="166"/>
      <c r="AP550" s="166"/>
      <c r="AQ550" s="166"/>
      <c r="AR550" s="166"/>
      <c r="AS550" s="165"/>
      <c r="AT550" s="165"/>
      <c r="AU550" s="165"/>
      <c r="AV550" s="165"/>
      <c r="AW550" s="165"/>
      <c r="AX550" s="165"/>
      <c r="AY550" s="165"/>
      <c r="AZ550" s="165"/>
      <c r="BA550" s="166"/>
      <c r="BB550" s="166"/>
      <c r="BC550" s="166"/>
      <c r="BD550" s="166"/>
      <c r="BE550" s="166"/>
      <c r="BF550" s="166"/>
      <c r="BG550" s="166"/>
      <c r="BH550" s="166"/>
      <c r="BI550" s="165">
        <v>1.6</v>
      </c>
      <c r="BJ550" s="165" t="s">
        <v>120</v>
      </c>
      <c r="BK550" s="165" t="s">
        <v>389</v>
      </c>
      <c r="BL550" s="165">
        <v>0.2</v>
      </c>
      <c r="BM550" s="165" t="s">
        <v>120</v>
      </c>
      <c r="BN550" s="165" t="s">
        <v>117</v>
      </c>
      <c r="BO550" s="165"/>
      <c r="BP550" s="165"/>
      <c r="BQ550" s="166" t="s">
        <v>996</v>
      </c>
      <c r="BR550" s="126" t="s">
        <v>993</v>
      </c>
      <c r="BS550" s="124">
        <v>428</v>
      </c>
      <c r="BT550" s="124" t="s">
        <v>668</v>
      </c>
    </row>
    <row r="551" spans="1:72" s="124" customFormat="1" ht="12.75" hidden="1" customHeight="1" x14ac:dyDescent="0.2">
      <c r="A551" s="183">
        <v>5197</v>
      </c>
      <c r="B551" s="124" t="s">
        <v>1415</v>
      </c>
      <c r="C551" s="243" t="s">
        <v>1416</v>
      </c>
      <c r="D551" s="124" t="s">
        <v>1417</v>
      </c>
      <c r="E551" s="125" t="s">
        <v>149</v>
      </c>
      <c r="F551" s="181" t="s">
        <v>103</v>
      </c>
      <c r="G551" s="181" t="s">
        <v>56</v>
      </c>
      <c r="H551" s="181" t="s">
        <v>185</v>
      </c>
      <c r="I551" s="181"/>
      <c r="J551" s="178">
        <v>2.5</v>
      </c>
      <c r="K551" s="182"/>
      <c r="L551" s="182" t="s">
        <v>107</v>
      </c>
      <c r="M551" s="178" t="s">
        <v>78</v>
      </c>
      <c r="N551" s="178">
        <v>0</v>
      </c>
      <c r="O551" s="178" t="s">
        <v>60</v>
      </c>
      <c r="P551" s="178" t="s">
        <v>1418</v>
      </c>
      <c r="Q551" s="179"/>
      <c r="R551" s="179" t="s">
        <v>1419</v>
      </c>
      <c r="S551" s="180">
        <v>60</v>
      </c>
      <c r="T551" s="179"/>
      <c r="U551" s="179"/>
      <c r="V551" s="167"/>
      <c r="W551" s="167"/>
      <c r="X551" s="167"/>
      <c r="Y551" s="167"/>
      <c r="Z551" s="82" t="s">
        <v>63</v>
      </c>
      <c r="AA551" s="166">
        <v>6</v>
      </c>
      <c r="AB551" s="166">
        <v>2</v>
      </c>
      <c r="AC551" s="165">
        <v>1.4</v>
      </c>
      <c r="AD551" s="165" t="s">
        <v>80</v>
      </c>
      <c r="AE551" s="165" t="s">
        <v>116</v>
      </c>
      <c r="AF551" s="165"/>
      <c r="AG551" s="165"/>
      <c r="AH551" s="165"/>
      <c r="AI551" s="165">
        <v>0.7</v>
      </c>
      <c r="AJ551" s="165">
        <v>2</v>
      </c>
      <c r="AK551" s="166">
        <v>9.1</v>
      </c>
      <c r="AL551" s="166" t="s">
        <v>81</v>
      </c>
      <c r="AM551" s="166" t="s">
        <v>116</v>
      </c>
      <c r="AN551" s="166"/>
      <c r="AO551" s="166"/>
      <c r="AP551" s="166"/>
      <c r="AQ551" s="166">
        <v>6.5</v>
      </c>
      <c r="AR551" s="166">
        <v>11.9</v>
      </c>
      <c r="AS551" s="165">
        <v>67.8</v>
      </c>
      <c r="AT551" s="165" t="s">
        <v>119</v>
      </c>
      <c r="AU551" s="165" t="s">
        <v>118</v>
      </c>
      <c r="AV551" s="165"/>
      <c r="AW551" s="165"/>
      <c r="AX551" s="165"/>
      <c r="AY551" s="165">
        <v>29.2</v>
      </c>
      <c r="AZ551" s="165">
        <v>86.5</v>
      </c>
      <c r="BA551" s="166"/>
      <c r="BB551" s="166"/>
      <c r="BC551" s="166"/>
      <c r="BD551" s="166"/>
      <c r="BE551" s="166"/>
      <c r="BF551" s="166"/>
      <c r="BG551" s="166"/>
      <c r="BH551" s="166"/>
      <c r="BI551" s="165"/>
      <c r="BJ551" s="165"/>
      <c r="BK551" s="165"/>
      <c r="BL551" s="165"/>
      <c r="BM551" s="165"/>
      <c r="BN551" s="165"/>
      <c r="BO551" s="165"/>
      <c r="BP551" s="165"/>
      <c r="BQ551" s="166" t="s">
        <v>238</v>
      </c>
      <c r="BR551" s="165" t="s">
        <v>1420</v>
      </c>
    </row>
    <row r="552" spans="1:72" s="124" customFormat="1" ht="12.75" hidden="1" customHeight="1" x14ac:dyDescent="0.2">
      <c r="A552" s="183">
        <v>5198</v>
      </c>
      <c r="B552" s="124" t="s">
        <v>1415</v>
      </c>
      <c r="C552" s="243" t="s">
        <v>1416</v>
      </c>
      <c r="D552" s="124" t="s">
        <v>1421</v>
      </c>
      <c r="E552" s="125" t="s">
        <v>149</v>
      </c>
      <c r="F552" s="181" t="s">
        <v>103</v>
      </c>
      <c r="G552" s="181" t="s">
        <v>56</v>
      </c>
      <c r="H552" s="181" t="s">
        <v>478</v>
      </c>
      <c r="I552" s="181"/>
      <c r="J552" s="178">
        <v>2.5</v>
      </c>
      <c r="K552" s="182"/>
      <c r="L552" s="182" t="s">
        <v>107</v>
      </c>
      <c r="M552" s="178" t="s">
        <v>78</v>
      </c>
      <c r="N552" s="178">
        <v>0</v>
      </c>
      <c r="O552" s="178" t="s">
        <v>60</v>
      </c>
      <c r="P552" s="178" t="s">
        <v>1418</v>
      </c>
      <c r="Q552" s="179"/>
      <c r="R552" s="179" t="s">
        <v>1419</v>
      </c>
      <c r="S552" s="180">
        <v>60</v>
      </c>
      <c r="T552" s="179"/>
      <c r="U552" s="179"/>
      <c r="V552" s="167"/>
      <c r="W552" s="167"/>
      <c r="X552" s="167"/>
      <c r="Y552" s="167"/>
      <c r="Z552" s="82" t="s">
        <v>63</v>
      </c>
      <c r="AA552" s="166">
        <v>9</v>
      </c>
      <c r="AB552" s="166">
        <v>3</v>
      </c>
      <c r="AC552" s="165">
        <v>4.2</v>
      </c>
      <c r="AD552" s="165" t="s">
        <v>80</v>
      </c>
      <c r="AE552" s="165" t="s">
        <v>116</v>
      </c>
      <c r="AF552" s="165"/>
      <c r="AG552" s="165"/>
      <c r="AH552" s="165"/>
      <c r="AI552" s="165">
        <v>2.2000000000000002</v>
      </c>
      <c r="AJ552" s="165">
        <v>5.6</v>
      </c>
      <c r="AK552" s="166">
        <v>18.2</v>
      </c>
      <c r="AL552" s="166" t="s">
        <v>81</v>
      </c>
      <c r="AM552" s="166" t="s">
        <v>116</v>
      </c>
      <c r="AN552" s="166"/>
      <c r="AO552" s="166"/>
      <c r="AP552" s="166"/>
      <c r="AQ552" s="166">
        <v>13.8</v>
      </c>
      <c r="AR552" s="166">
        <v>25.8</v>
      </c>
      <c r="AS552" s="165">
        <v>102.2</v>
      </c>
      <c r="AT552" s="165" t="s">
        <v>119</v>
      </c>
      <c r="AU552" s="165" t="s">
        <v>118</v>
      </c>
      <c r="AV552" s="165"/>
      <c r="AW552" s="165"/>
      <c r="AX552" s="165"/>
      <c r="AY552" s="165">
        <v>84</v>
      </c>
      <c r="AZ552" s="165">
        <v>131</v>
      </c>
      <c r="BA552" s="166"/>
      <c r="BB552" s="166"/>
      <c r="BC552" s="166"/>
      <c r="BD552" s="166"/>
      <c r="BE552" s="166"/>
      <c r="BF552" s="166"/>
      <c r="BG552" s="166"/>
      <c r="BH552" s="166"/>
      <c r="BI552" s="165"/>
      <c r="BJ552" s="165"/>
      <c r="BK552" s="165"/>
      <c r="BL552" s="165"/>
      <c r="BM552" s="165"/>
      <c r="BN552" s="165"/>
      <c r="BO552" s="165"/>
      <c r="BP552" s="165"/>
      <c r="BQ552" s="166" t="s">
        <v>238</v>
      </c>
      <c r="BR552" s="165" t="s">
        <v>1422</v>
      </c>
    </row>
    <row r="553" spans="1:72" s="124" customFormat="1" ht="12.75" hidden="1" customHeight="1" x14ac:dyDescent="0.2">
      <c r="A553" s="183">
        <v>5199</v>
      </c>
      <c r="B553" s="124" t="s">
        <v>1415</v>
      </c>
      <c r="C553" s="243" t="s">
        <v>1416</v>
      </c>
      <c r="D553" s="124" t="s">
        <v>1423</v>
      </c>
      <c r="E553" s="125" t="s">
        <v>149</v>
      </c>
      <c r="F553" s="181" t="s">
        <v>103</v>
      </c>
      <c r="G553" s="181" t="s">
        <v>56</v>
      </c>
      <c r="H553" s="181" t="s">
        <v>234</v>
      </c>
      <c r="I553" s="181"/>
      <c r="J553" s="178">
        <v>2.5</v>
      </c>
      <c r="K553" s="182"/>
      <c r="L553" s="182" t="s">
        <v>107</v>
      </c>
      <c r="M553" s="178" t="s">
        <v>78</v>
      </c>
      <c r="N553" s="178">
        <v>0</v>
      </c>
      <c r="O553" s="178" t="s">
        <v>60</v>
      </c>
      <c r="P553" s="178" t="s">
        <v>1418</v>
      </c>
      <c r="Q553" s="179"/>
      <c r="R553" s="179" t="s">
        <v>1419</v>
      </c>
      <c r="S553" s="180">
        <v>60</v>
      </c>
      <c r="T553" s="179"/>
      <c r="U553" s="179"/>
      <c r="V553" s="167"/>
      <c r="W553" s="167"/>
      <c r="X553" s="167"/>
      <c r="Y553" s="167"/>
      <c r="Z553" s="82" t="s">
        <v>63</v>
      </c>
      <c r="AA553" s="166">
        <v>7</v>
      </c>
      <c r="AB553" s="166">
        <v>4</v>
      </c>
      <c r="AC553" s="165">
        <v>9.5</v>
      </c>
      <c r="AD553" s="165" t="s">
        <v>80</v>
      </c>
      <c r="AE553" s="165" t="s">
        <v>116</v>
      </c>
      <c r="AF553" s="165"/>
      <c r="AG553" s="165"/>
      <c r="AH553" s="165"/>
      <c r="AI553" s="165">
        <v>8</v>
      </c>
      <c r="AJ553" s="165">
        <v>11.1</v>
      </c>
      <c r="AK553" s="166">
        <v>28.8</v>
      </c>
      <c r="AL553" s="166" t="s">
        <v>81</v>
      </c>
      <c r="AM553" s="166" t="s">
        <v>116</v>
      </c>
      <c r="AN553" s="166"/>
      <c r="AO553" s="166"/>
      <c r="AP553" s="166"/>
      <c r="AQ553" s="166">
        <v>22.4</v>
      </c>
      <c r="AR553" s="166">
        <v>48.5</v>
      </c>
      <c r="AS553" s="165">
        <v>130.4</v>
      </c>
      <c r="AT553" s="165" t="s">
        <v>119</v>
      </c>
      <c r="AU553" s="165" t="s">
        <v>118</v>
      </c>
      <c r="AV553" s="165"/>
      <c r="AW553" s="165"/>
      <c r="AX553" s="165"/>
      <c r="AY553" s="165">
        <v>120</v>
      </c>
      <c r="AZ553" s="165">
        <v>160</v>
      </c>
      <c r="BA553" s="166"/>
      <c r="BB553" s="166"/>
      <c r="BC553" s="166"/>
      <c r="BD553" s="166"/>
      <c r="BE553" s="166"/>
      <c r="BF553" s="166"/>
      <c r="BG553" s="166"/>
      <c r="BH553" s="166"/>
      <c r="BI553" s="165"/>
      <c r="BJ553" s="165"/>
      <c r="BK553" s="165"/>
      <c r="BL553" s="165"/>
      <c r="BM553" s="165"/>
      <c r="BN553" s="165"/>
      <c r="BO553" s="165"/>
      <c r="BP553" s="165"/>
      <c r="BQ553" s="166" t="s">
        <v>238</v>
      </c>
      <c r="BR553" s="165" t="s">
        <v>1424</v>
      </c>
    </row>
    <row r="554" spans="1:72" s="124" customFormat="1" ht="12.75" hidden="1" customHeight="1" x14ac:dyDescent="0.2">
      <c r="A554" s="183">
        <v>5200</v>
      </c>
      <c r="B554" s="124" t="s">
        <v>1415</v>
      </c>
      <c r="C554" s="243" t="s">
        <v>1416</v>
      </c>
      <c r="D554" s="244" t="s">
        <v>1425</v>
      </c>
      <c r="E554" s="125" t="s">
        <v>149</v>
      </c>
      <c r="F554" s="181" t="s">
        <v>103</v>
      </c>
      <c r="G554" s="181" t="s">
        <v>56</v>
      </c>
      <c r="H554" s="181" t="s">
        <v>234</v>
      </c>
      <c r="I554" s="181"/>
      <c r="J554" s="178">
        <v>2.5</v>
      </c>
      <c r="K554" s="182"/>
      <c r="L554" s="182" t="s">
        <v>107</v>
      </c>
      <c r="M554" s="178" t="s">
        <v>78</v>
      </c>
      <c r="N554" s="178">
        <v>0</v>
      </c>
      <c r="O554" s="178" t="s">
        <v>60</v>
      </c>
      <c r="P554" s="178" t="s">
        <v>1418</v>
      </c>
      <c r="Q554" s="179"/>
      <c r="R554" s="179" t="s">
        <v>1419</v>
      </c>
      <c r="S554" s="180">
        <v>60</v>
      </c>
      <c r="T554" s="179"/>
      <c r="U554" s="179"/>
      <c r="V554" s="167"/>
      <c r="W554" s="167"/>
      <c r="X554" s="167"/>
      <c r="Y554" s="167"/>
      <c r="Z554" s="82" t="s">
        <v>63</v>
      </c>
      <c r="AA554" s="166">
        <v>11</v>
      </c>
      <c r="AB554" s="166">
        <v>5</v>
      </c>
      <c r="AC554" s="165">
        <v>14</v>
      </c>
      <c r="AD554" s="165" t="s">
        <v>80</v>
      </c>
      <c r="AE554" s="165" t="s">
        <v>116</v>
      </c>
      <c r="AF554" s="165"/>
      <c r="AG554" s="165"/>
      <c r="AH554" s="165"/>
      <c r="AI554" s="165">
        <v>12.3</v>
      </c>
      <c r="AJ554" s="165">
        <v>16.899999999999999</v>
      </c>
      <c r="AK554" s="166">
        <v>55.1</v>
      </c>
      <c r="AL554" s="166" t="s">
        <v>81</v>
      </c>
      <c r="AM554" s="166" t="s">
        <v>116</v>
      </c>
      <c r="AN554" s="166"/>
      <c r="AO554" s="166"/>
      <c r="AP554" s="166"/>
      <c r="AQ554" s="166">
        <v>29.8</v>
      </c>
      <c r="AR554" s="166">
        <v>87.8</v>
      </c>
      <c r="AS554" s="165">
        <v>151.1</v>
      </c>
      <c r="AT554" s="165" t="s">
        <v>119</v>
      </c>
      <c r="AU554" s="165" t="s">
        <v>118</v>
      </c>
      <c r="AV554" s="165"/>
      <c r="AW554" s="165"/>
      <c r="AX554" s="165"/>
      <c r="AY554" s="165">
        <v>135</v>
      </c>
      <c r="AZ554" s="165">
        <v>167</v>
      </c>
      <c r="BA554" s="166"/>
      <c r="BB554" s="166"/>
      <c r="BC554" s="166"/>
      <c r="BD554" s="166"/>
      <c r="BE554" s="166"/>
      <c r="BF554" s="166"/>
      <c r="BG554" s="166"/>
      <c r="BH554" s="166"/>
      <c r="BI554" s="165"/>
      <c r="BJ554" s="165"/>
      <c r="BK554" s="165"/>
      <c r="BL554" s="165"/>
      <c r="BM554" s="165"/>
      <c r="BN554" s="165"/>
      <c r="BO554" s="165"/>
      <c r="BP554" s="165"/>
      <c r="BQ554" s="166" t="s">
        <v>238</v>
      </c>
      <c r="BR554" s="165" t="s">
        <v>1424</v>
      </c>
    </row>
  </sheetData>
  <autoFilter ref="A2:BT554">
    <filterColumn colId="12">
      <filters blank="1"/>
    </filterColumn>
  </autoFilter>
  <sortState ref="A3:BS475">
    <sortCondition ref="B3:B475"/>
  </sortState>
  <mergeCells count="9">
    <mergeCell ref="F1:I1"/>
    <mergeCell ref="J1:P1"/>
    <mergeCell ref="Q1:T1"/>
    <mergeCell ref="V1:Y1"/>
    <mergeCell ref="BI1:BP1"/>
    <mergeCell ref="AC1:AJ1"/>
    <mergeCell ref="AK1:AR1"/>
    <mergeCell ref="AS1:AZ1"/>
    <mergeCell ref="BA1:BH1"/>
  </mergeCells>
  <hyperlinks>
    <hyperlink ref="C30" r:id="rId1"/>
    <hyperlink ref="C31" r:id="rId2"/>
    <hyperlink ref="C3" r:id="rId3"/>
    <hyperlink ref="C4" r:id="rId4"/>
    <hyperlink ref="C5" r:id="rId5"/>
    <hyperlink ref="C6" r:id="rId6"/>
    <hyperlink ref="C222" r:id="rId7"/>
    <hyperlink ref="C223" r:id="rId8"/>
    <hyperlink ref="C32" r:id="rId9"/>
    <hyperlink ref="C33" r:id="rId10"/>
    <hyperlink ref="C34" r:id="rId11"/>
    <hyperlink ref="C36" r:id="rId12"/>
    <hyperlink ref="C38" r:id="rId13"/>
    <hyperlink ref="C40" r:id="rId14"/>
    <hyperlink ref="C35" r:id="rId15"/>
    <hyperlink ref="C37" r:id="rId16"/>
    <hyperlink ref="C39" r:id="rId17"/>
    <hyperlink ref="C41" r:id="rId18"/>
    <hyperlink ref="C42" r:id="rId19"/>
    <hyperlink ref="C43" r:id="rId20"/>
    <hyperlink ref="C44" r:id="rId21"/>
    <hyperlink ref="C45" r:id="rId22"/>
    <hyperlink ref="C46" r:id="rId23"/>
    <hyperlink ref="C47" r:id="rId24"/>
    <hyperlink ref="C82" r:id="rId25"/>
    <hyperlink ref="C83" r:id="rId26"/>
    <hyperlink ref="C84" r:id="rId27"/>
    <hyperlink ref="C85" r:id="rId28"/>
    <hyperlink ref="C86" r:id="rId29"/>
    <hyperlink ref="C87" r:id="rId30"/>
    <hyperlink ref="C111" r:id="rId31"/>
    <hyperlink ref="C112" r:id="rId32"/>
    <hyperlink ref="C113" r:id="rId33"/>
    <hyperlink ref="C114" r:id="rId34"/>
    <hyperlink ref="C108" r:id="rId35"/>
    <hyperlink ref="C109" r:id="rId36"/>
    <hyperlink ref="C110" r:id="rId37"/>
    <hyperlink ref="C136" r:id="rId38"/>
    <hyperlink ref="C135" r:id="rId39"/>
    <hyperlink ref="C185" r:id="rId40"/>
    <hyperlink ref="C186" r:id="rId41"/>
    <hyperlink ref="C187" r:id="rId42"/>
    <hyperlink ref="C188" r:id="rId43"/>
    <hyperlink ref="C189" r:id="rId44"/>
    <hyperlink ref="C190" r:id="rId45"/>
    <hyperlink ref="C191" r:id="rId46"/>
    <hyperlink ref="C192" r:id="rId47"/>
    <hyperlink ref="C193" r:id="rId48"/>
    <hyperlink ref="C194" r:id="rId49"/>
    <hyperlink ref="C195" r:id="rId50"/>
    <hyperlink ref="C196" r:id="rId51"/>
    <hyperlink ref="C197" r:id="rId52"/>
    <hyperlink ref="C198" r:id="rId53"/>
    <hyperlink ref="C199" r:id="rId54"/>
    <hyperlink ref="C200" r:id="rId55"/>
    <hyperlink ref="C201" r:id="rId56"/>
    <hyperlink ref="C202" r:id="rId57"/>
    <hyperlink ref="C203" r:id="rId58"/>
    <hyperlink ref="C204" r:id="rId59"/>
    <hyperlink ref="C205" r:id="rId60"/>
    <hyperlink ref="C170" r:id="rId61"/>
    <hyperlink ref="C88" r:id="rId62"/>
    <hyperlink ref="C89" r:id="rId63"/>
    <hyperlink ref="C90" r:id="rId64"/>
    <hyperlink ref="C91" r:id="rId65"/>
    <hyperlink ref="C92" r:id="rId66"/>
    <hyperlink ref="C93" r:id="rId67"/>
    <hyperlink ref="C94" r:id="rId68"/>
    <hyperlink ref="C95" r:id="rId69"/>
    <hyperlink ref="C96" r:id="rId70"/>
    <hyperlink ref="C97" r:id="rId71"/>
    <hyperlink ref="C98" r:id="rId72"/>
    <hyperlink ref="C100" r:id="rId73"/>
    <hyperlink ref="C101" r:id="rId74"/>
    <hyperlink ref="C102" r:id="rId75"/>
    <hyperlink ref="C104" r:id="rId76"/>
    <hyperlink ref="C105" r:id="rId77"/>
    <hyperlink ref="C99" r:id="rId78"/>
    <hyperlink ref="C103" r:id="rId79"/>
    <hyperlink ref="C106" r:id="rId80"/>
    <hyperlink ref="C107" r:id="rId81"/>
    <hyperlink ref="C238" r:id="rId82"/>
    <hyperlink ref="C239" r:id="rId83"/>
    <hyperlink ref="C240" r:id="rId84"/>
    <hyperlink ref="C241" r:id="rId85"/>
    <hyperlink ref="C242" r:id="rId86"/>
    <hyperlink ref="C243" r:id="rId87"/>
    <hyperlink ref="C244" r:id="rId88"/>
    <hyperlink ref="C246" r:id="rId89"/>
    <hyperlink ref="C245" r:id="rId90"/>
    <hyperlink ref="C247" r:id="rId91"/>
    <hyperlink ref="C248" r:id="rId92"/>
    <hyperlink ref="C249" r:id="rId93"/>
    <hyperlink ref="C250" r:id="rId94"/>
    <hyperlink ref="C251" r:id="rId95"/>
    <hyperlink ref="C252" r:id="rId96"/>
    <hyperlink ref="C254" r:id="rId97"/>
    <hyperlink ref="C253" r:id="rId98"/>
    <hyperlink ref="C255" r:id="rId99"/>
    <hyperlink ref="C256" r:id="rId100"/>
    <hyperlink ref="C257" r:id="rId101"/>
    <hyperlink ref="C258" r:id="rId102"/>
    <hyperlink ref="C259" r:id="rId103"/>
    <hyperlink ref="C260" r:id="rId104"/>
    <hyperlink ref="C261" r:id="rId105"/>
    <hyperlink ref="C262" r:id="rId106"/>
    <hyperlink ref="C263" r:id="rId107"/>
    <hyperlink ref="C264" r:id="rId108"/>
    <hyperlink ref="C265" r:id="rId109"/>
    <hyperlink ref="C266" r:id="rId110"/>
    <hyperlink ref="C267" r:id="rId111"/>
    <hyperlink ref="C268" r:id="rId112"/>
    <hyperlink ref="C269" r:id="rId113"/>
    <hyperlink ref="C270" r:id="rId114"/>
    <hyperlink ref="C271" r:id="rId115"/>
    <hyperlink ref="C68" r:id="rId116"/>
    <hyperlink ref="C71" r:id="rId117"/>
    <hyperlink ref="C72" r:id="rId118"/>
    <hyperlink ref="C147" r:id="rId119"/>
    <hyperlink ref="C146" r:id="rId120"/>
    <hyperlink ref="C224" r:id="rId121"/>
    <hyperlink ref="C225" r:id="rId122"/>
    <hyperlink ref="C226" r:id="rId123"/>
    <hyperlink ref="C227" r:id="rId124"/>
    <hyperlink ref="C228" r:id="rId125"/>
    <hyperlink ref="C229" r:id="rId126"/>
    <hyperlink ref="C73" r:id="rId127"/>
    <hyperlink ref="C272" r:id="rId128"/>
    <hyperlink ref="C80" r:id="rId129"/>
    <hyperlink ref="C81" r:id="rId130"/>
    <hyperlink ref="C115" r:id="rId131"/>
    <hyperlink ref="C116" r:id="rId132"/>
    <hyperlink ref="C117" r:id="rId133"/>
    <hyperlink ref="C118" r:id="rId134"/>
    <hyperlink ref="C119" r:id="rId135"/>
    <hyperlink ref="C120" r:id="rId136"/>
    <hyperlink ref="C121" r:id="rId137"/>
    <hyperlink ref="C122" r:id="rId138"/>
    <hyperlink ref="C123" r:id="rId139"/>
    <hyperlink ref="C124" r:id="rId140"/>
    <hyperlink ref="C125" r:id="rId141"/>
    <hyperlink ref="C126" r:id="rId142"/>
    <hyperlink ref="C127" r:id="rId143"/>
    <hyperlink ref="C128" r:id="rId144"/>
    <hyperlink ref="C129" r:id="rId145"/>
    <hyperlink ref="C130" r:id="rId146"/>
    <hyperlink ref="C131" r:id="rId147"/>
    <hyperlink ref="C132" r:id="rId148"/>
    <hyperlink ref="C133" r:id="rId149"/>
    <hyperlink ref="C134" r:id="rId150"/>
    <hyperlink ref="C48" r:id="rId151"/>
    <hyperlink ref="C49" r:id="rId152"/>
    <hyperlink ref="C51" r:id="rId153"/>
    <hyperlink ref="C52" r:id="rId154"/>
    <hyperlink ref="C53" r:id="rId155"/>
    <hyperlink ref="C50" r:id="rId156"/>
    <hyperlink ref="C54" r:id="rId157"/>
    <hyperlink ref="C55" r:id="rId158"/>
    <hyperlink ref="C56" r:id="rId159"/>
    <hyperlink ref="C57" r:id="rId160"/>
    <hyperlink ref="C58" r:id="rId161"/>
    <hyperlink ref="C59" r:id="rId162"/>
    <hyperlink ref="C60" r:id="rId163"/>
    <hyperlink ref="C61" r:id="rId164"/>
    <hyperlink ref="C74" r:id="rId165"/>
    <hyperlink ref="C75" r:id="rId166"/>
    <hyperlink ref="C76" r:id="rId167"/>
    <hyperlink ref="C77" r:id="rId168"/>
    <hyperlink ref="C78" r:id="rId169"/>
    <hyperlink ref="C79" r:id="rId170"/>
    <hyperlink ref="C171" r:id="rId171"/>
    <hyperlink ref="C172" r:id="rId172"/>
    <hyperlink ref="C173" r:id="rId173"/>
    <hyperlink ref="C174" r:id="rId174"/>
    <hyperlink ref="C175" r:id="rId175"/>
    <hyperlink ref="C176" r:id="rId176"/>
    <hyperlink ref="C177" r:id="rId177"/>
    <hyperlink ref="C178" r:id="rId178"/>
    <hyperlink ref="C179" r:id="rId179"/>
    <hyperlink ref="C180" r:id="rId180"/>
    <hyperlink ref="C181" r:id="rId181"/>
    <hyperlink ref="C182" r:id="rId182"/>
    <hyperlink ref="C183" r:id="rId183"/>
    <hyperlink ref="C184" r:id="rId184"/>
    <hyperlink ref="C214" r:id="rId185"/>
    <hyperlink ref="C215" r:id="rId186"/>
    <hyperlink ref="C216" r:id="rId187"/>
    <hyperlink ref="C217" r:id="rId188"/>
    <hyperlink ref="C218" r:id="rId189"/>
    <hyperlink ref="C219" r:id="rId190"/>
    <hyperlink ref="C220" r:id="rId191"/>
    <hyperlink ref="C221" r:id="rId192"/>
    <hyperlink ref="C208" r:id="rId193"/>
    <hyperlink ref="C209" r:id="rId194"/>
    <hyperlink ref="C211" r:id="rId195"/>
    <hyperlink ref="C213" r:id="rId196"/>
    <hyperlink ref="C7" r:id="rId197"/>
    <hyperlink ref="C8" r:id="rId198"/>
    <hyperlink ref="C9" r:id="rId199"/>
    <hyperlink ref="C10" r:id="rId200"/>
    <hyperlink ref="C11" r:id="rId201"/>
    <hyperlink ref="C12" r:id="rId202"/>
    <hyperlink ref="C13" r:id="rId203"/>
    <hyperlink ref="C14" r:id="rId204"/>
    <hyperlink ref="C16" r:id="rId205"/>
    <hyperlink ref="C17" r:id="rId206"/>
    <hyperlink ref="C18" r:id="rId207"/>
    <hyperlink ref="C19" r:id="rId208"/>
    <hyperlink ref="C20" r:id="rId209"/>
    <hyperlink ref="C21" r:id="rId210"/>
    <hyperlink ref="C22" r:id="rId211"/>
    <hyperlink ref="C23" r:id="rId212"/>
    <hyperlink ref="C24" r:id="rId213"/>
    <hyperlink ref="C25" r:id="rId214"/>
    <hyperlink ref="C26" r:id="rId215"/>
    <hyperlink ref="C27" r:id="rId216"/>
    <hyperlink ref="C15" r:id="rId217"/>
    <hyperlink ref="C212" r:id="rId218"/>
    <hyperlink ref="C210" r:id="rId219"/>
    <hyperlink ref="C233" r:id="rId220"/>
    <hyperlink ref="C69" r:id="rId221"/>
    <hyperlink ref="C70" r:id="rId222"/>
    <hyperlink ref="C148" r:id="rId223"/>
    <hyperlink ref="C149" r:id="rId224"/>
    <hyperlink ref="C150" r:id="rId225"/>
    <hyperlink ref="C152" r:id="rId226"/>
    <hyperlink ref="C151" r:id="rId227"/>
    <hyperlink ref="C153" r:id="rId228"/>
    <hyperlink ref="C28" r:id="rId229"/>
    <hyperlink ref="C29" r:id="rId230"/>
    <hyperlink ref="C230" r:id="rId231"/>
    <hyperlink ref="C231" r:id="rId232"/>
    <hyperlink ref="C232" r:id="rId233"/>
    <hyperlink ref="C206" r:id="rId234"/>
    <hyperlink ref="C207" r:id="rId235"/>
    <hyperlink ref="C154" r:id="rId236"/>
    <hyperlink ref="C155" r:id="rId237"/>
    <hyperlink ref="C156" r:id="rId238"/>
    <hyperlink ref="C157" r:id="rId239"/>
    <hyperlink ref="C158" r:id="rId240"/>
    <hyperlink ref="C159" r:id="rId241"/>
    <hyperlink ref="C160" r:id="rId242"/>
    <hyperlink ref="C161" r:id="rId243"/>
    <hyperlink ref="C162" r:id="rId244"/>
    <hyperlink ref="C163" r:id="rId245"/>
    <hyperlink ref="C164" r:id="rId246"/>
    <hyperlink ref="C273" r:id="rId247"/>
    <hyperlink ref="C274" r:id="rId248"/>
    <hyperlink ref="C275" r:id="rId249"/>
    <hyperlink ref="C276" r:id="rId250"/>
    <hyperlink ref="C165" r:id="rId251"/>
    <hyperlink ref="C166" r:id="rId252"/>
    <hyperlink ref="C167" r:id="rId253"/>
    <hyperlink ref="C234" r:id="rId254"/>
    <hyperlink ref="C235" r:id="rId255"/>
    <hyperlink ref="C168" r:id="rId256"/>
    <hyperlink ref="C169" r:id="rId257"/>
    <hyperlink ref="C62" r:id="rId258"/>
    <hyperlink ref="C63" r:id="rId259"/>
    <hyperlink ref="C64" r:id="rId260"/>
    <hyperlink ref="C65" r:id="rId261"/>
    <hyperlink ref="C66" r:id="rId262"/>
    <hyperlink ref="C67" r:id="rId263"/>
    <hyperlink ref="C285" r:id="rId264"/>
    <hyperlink ref="C286" r:id="rId265"/>
    <hyperlink ref="C287" r:id="rId266"/>
    <hyperlink ref="C288" r:id="rId267"/>
    <hyperlink ref="C289:C290" r:id="rId268" display="https://www.ncbi.nlm.nih.gov/pubmed/8726601"/>
    <hyperlink ref="C289" r:id="rId269"/>
    <hyperlink ref="C290" r:id="rId270"/>
    <hyperlink ref="C291" r:id="rId271"/>
    <hyperlink ref="C292" r:id="rId272"/>
    <hyperlink ref="C293" r:id="rId273"/>
    <hyperlink ref="C294" r:id="rId274"/>
    <hyperlink ref="C295" r:id="rId275"/>
    <hyperlink ref="C296" r:id="rId276"/>
    <hyperlink ref="C297" r:id="rId277"/>
    <hyperlink ref="C298" r:id="rId278"/>
    <hyperlink ref="C299" r:id="rId279"/>
    <hyperlink ref="C300" r:id="rId280"/>
    <hyperlink ref="C301" r:id="rId281"/>
    <hyperlink ref="C302" r:id="rId282"/>
    <hyperlink ref="C303" r:id="rId283"/>
    <hyperlink ref="C307" r:id="rId284"/>
    <hyperlink ref="C304" r:id="rId285"/>
    <hyperlink ref="C305" r:id="rId286"/>
    <hyperlink ref="C306" r:id="rId287"/>
    <hyperlink ref="C308" r:id="rId288"/>
    <hyperlink ref="C309" r:id="rId289"/>
    <hyperlink ref="C310" r:id="rId290"/>
    <hyperlink ref="C311" r:id="rId291"/>
    <hyperlink ref="C312" r:id="rId292"/>
    <hyperlink ref="C313" r:id="rId293"/>
    <hyperlink ref="C314" r:id="rId294"/>
    <hyperlink ref="C315" r:id="rId295"/>
    <hyperlink ref="C316" r:id="rId296"/>
    <hyperlink ref="C317" r:id="rId297"/>
    <hyperlink ref="C318" r:id="rId298"/>
    <hyperlink ref="C319" r:id="rId299"/>
    <hyperlink ref="C320" r:id="rId300"/>
    <hyperlink ref="C321" r:id="rId301"/>
    <hyperlink ref="C322" r:id="rId302"/>
    <hyperlink ref="C323" r:id="rId303"/>
    <hyperlink ref="C324" r:id="rId304"/>
    <hyperlink ref="C325" r:id="rId305"/>
    <hyperlink ref="C326" r:id="rId306"/>
    <hyperlink ref="C327" r:id="rId307"/>
    <hyperlink ref="C329" r:id="rId308"/>
    <hyperlink ref="C331" r:id="rId309"/>
    <hyperlink ref="C328" r:id="rId310"/>
    <hyperlink ref="C330" r:id="rId311"/>
    <hyperlink ref="C332" r:id="rId312"/>
    <hyperlink ref="C333" r:id="rId313"/>
    <hyperlink ref="C334" r:id="rId314"/>
    <hyperlink ref="C335" r:id="rId315"/>
    <hyperlink ref="C336" r:id="rId316"/>
    <hyperlink ref="C337" r:id="rId317"/>
    <hyperlink ref="C339" r:id="rId318"/>
    <hyperlink ref="C338" r:id="rId319"/>
    <hyperlink ref="C340" r:id="rId320"/>
    <hyperlink ref="C341" r:id="rId321"/>
    <hyperlink ref="C343" r:id="rId322"/>
    <hyperlink ref="C342" r:id="rId323"/>
    <hyperlink ref="C344" r:id="rId324"/>
    <hyperlink ref="C346" r:id="rId325"/>
    <hyperlink ref="C345" r:id="rId326"/>
    <hyperlink ref="C347" r:id="rId327"/>
    <hyperlink ref="C349" r:id="rId328"/>
    <hyperlink ref="C348" r:id="rId329"/>
    <hyperlink ref="C350" r:id="rId330"/>
    <hyperlink ref="C351" r:id="rId331"/>
    <hyperlink ref="C352" r:id="rId332"/>
    <hyperlink ref="C353" r:id="rId333"/>
    <hyperlink ref="C354" r:id="rId334"/>
    <hyperlink ref="C355" r:id="rId335"/>
    <hyperlink ref="C356" r:id="rId336"/>
    <hyperlink ref="C357" r:id="rId337"/>
    <hyperlink ref="C358" r:id="rId338"/>
    <hyperlink ref="C359" r:id="rId339"/>
    <hyperlink ref="C360" r:id="rId340"/>
    <hyperlink ref="C361" r:id="rId341"/>
    <hyperlink ref="C362" r:id="rId342"/>
    <hyperlink ref="C363" r:id="rId343"/>
    <hyperlink ref="C364" r:id="rId344"/>
    <hyperlink ref="C365" r:id="rId345"/>
    <hyperlink ref="C366" r:id="rId346"/>
    <hyperlink ref="C367" r:id="rId347"/>
    <hyperlink ref="C369" r:id="rId348"/>
    <hyperlink ref="C371" r:id="rId349"/>
    <hyperlink ref="C373" r:id="rId350"/>
    <hyperlink ref="C375" r:id="rId351"/>
    <hyperlink ref="C368" r:id="rId352"/>
    <hyperlink ref="C370" r:id="rId353"/>
    <hyperlink ref="C372" r:id="rId354"/>
    <hyperlink ref="C374" r:id="rId355"/>
    <hyperlink ref="C376" r:id="rId356"/>
    <hyperlink ref="C377" r:id="rId357" display="http://www.ncbi.nlm.nih.gov/pubmed/6138080"/>
    <hyperlink ref="C378" r:id="rId358" display="http://www.ncbi.nlm.nih.gov/pubmed/6138080"/>
    <hyperlink ref="C379" r:id="rId359"/>
    <hyperlink ref="C380" r:id="rId360"/>
    <hyperlink ref="C381" r:id="rId361"/>
    <hyperlink ref="C382" r:id="rId362"/>
    <hyperlink ref="C383" r:id="rId363"/>
    <hyperlink ref="C384" r:id="rId364"/>
    <hyperlink ref="C385" r:id="rId365"/>
    <hyperlink ref="C386" r:id="rId366"/>
    <hyperlink ref="C388" r:id="rId367"/>
    <hyperlink ref="C389" r:id="rId368"/>
    <hyperlink ref="C390" r:id="rId369"/>
    <hyperlink ref="C391" r:id="rId370"/>
    <hyperlink ref="C393" r:id="rId371"/>
    <hyperlink ref="C394" r:id="rId372"/>
    <hyperlink ref="C392" r:id="rId373"/>
    <hyperlink ref="C395" r:id="rId374"/>
    <hyperlink ref="C396" r:id="rId375"/>
    <hyperlink ref="C397" r:id="rId376"/>
    <hyperlink ref="C398" r:id="rId377"/>
    <hyperlink ref="C399" r:id="rId378"/>
    <hyperlink ref="C400" r:id="rId379"/>
    <hyperlink ref="C401" r:id="rId380"/>
    <hyperlink ref="C402" r:id="rId381"/>
    <hyperlink ref="C403" r:id="rId382"/>
    <hyperlink ref="C404" r:id="rId383"/>
    <hyperlink ref="C405" r:id="rId384"/>
    <hyperlink ref="C406" r:id="rId385"/>
    <hyperlink ref="C407" r:id="rId386"/>
    <hyperlink ref="C409" r:id="rId387"/>
    <hyperlink ref="C411" r:id="rId388"/>
    <hyperlink ref="C408" r:id="rId389"/>
    <hyperlink ref="C410" r:id="rId390"/>
    <hyperlink ref="C412" r:id="rId391"/>
    <hyperlink ref="C417" r:id="rId392"/>
    <hyperlink ref="C418" r:id="rId393"/>
    <hyperlink ref="C419" r:id="rId394"/>
    <hyperlink ref="C420" r:id="rId395"/>
    <hyperlink ref="C431" r:id="rId396"/>
    <hyperlink ref="C432" r:id="rId397"/>
    <hyperlink ref="C433" r:id="rId398"/>
    <hyperlink ref="C434" r:id="rId399"/>
    <hyperlink ref="C413" r:id="rId400"/>
    <hyperlink ref="C414" r:id="rId401"/>
    <hyperlink ref="C415" r:id="rId402"/>
    <hyperlink ref="C416" r:id="rId403"/>
    <hyperlink ref="C421" r:id="rId404"/>
    <hyperlink ref="C422" r:id="rId405"/>
    <hyperlink ref="C423" r:id="rId406"/>
    <hyperlink ref="C424" r:id="rId407"/>
    <hyperlink ref="C425" r:id="rId408"/>
    <hyperlink ref="C426" r:id="rId409"/>
    <hyperlink ref="C427" r:id="rId410"/>
    <hyperlink ref="C428" r:id="rId411"/>
    <hyperlink ref="C429" r:id="rId412"/>
    <hyperlink ref="C430" r:id="rId413" display="https://www.ncbi.nlm.nih.gov/pubmed/12891222"/>
    <hyperlink ref="C435" r:id="rId414"/>
    <hyperlink ref="C436" r:id="rId415"/>
    <hyperlink ref="C437" r:id="rId416"/>
    <hyperlink ref="C438" r:id="rId417"/>
    <hyperlink ref="C441" r:id="rId418"/>
    <hyperlink ref="C442" r:id="rId419"/>
    <hyperlink ref="C443" r:id="rId420"/>
    <hyperlink ref="C444" r:id="rId421"/>
    <hyperlink ref="C447" r:id="rId422"/>
    <hyperlink ref="C448" r:id="rId423"/>
    <hyperlink ref="C449" r:id="rId424"/>
    <hyperlink ref="C450" r:id="rId425"/>
    <hyperlink ref="C439" r:id="rId426"/>
    <hyperlink ref="C440" r:id="rId427"/>
    <hyperlink ref="C445" r:id="rId428"/>
    <hyperlink ref="C446" r:id="rId429"/>
    <hyperlink ref="C451" r:id="rId430"/>
    <hyperlink ref="C452" r:id="rId431"/>
    <hyperlink ref="C453" r:id="rId432"/>
    <hyperlink ref="C454" r:id="rId433"/>
    <hyperlink ref="C455" r:id="rId434"/>
    <hyperlink ref="C456" r:id="rId435"/>
    <hyperlink ref="C457" r:id="rId436"/>
    <hyperlink ref="C458" r:id="rId437"/>
    <hyperlink ref="C459" r:id="rId438"/>
    <hyperlink ref="C460" r:id="rId439"/>
    <hyperlink ref="C461" r:id="rId440"/>
    <hyperlink ref="C462" r:id="rId441"/>
    <hyperlink ref="C463" r:id="rId442"/>
    <hyperlink ref="C464" r:id="rId443"/>
    <hyperlink ref="C465" r:id="rId444"/>
    <hyperlink ref="C466" r:id="rId445"/>
    <hyperlink ref="C467" r:id="rId446"/>
    <hyperlink ref="C468" r:id="rId447"/>
    <hyperlink ref="C469" r:id="rId448"/>
    <hyperlink ref="C470" r:id="rId449"/>
    <hyperlink ref="C471" r:id="rId450"/>
    <hyperlink ref="C472" r:id="rId451"/>
    <hyperlink ref="C473" r:id="rId452"/>
    <hyperlink ref="C474" r:id="rId453"/>
    <hyperlink ref="C475" r:id="rId454"/>
    <hyperlink ref="C476" r:id="rId455"/>
    <hyperlink ref="C477" r:id="rId456"/>
    <hyperlink ref="C478" r:id="rId457"/>
    <hyperlink ref="C479" r:id="rId458"/>
    <hyperlink ref="C480" r:id="rId459"/>
    <hyperlink ref="C481" r:id="rId460"/>
    <hyperlink ref="C482" r:id="rId461"/>
    <hyperlink ref="C483" r:id="rId462"/>
    <hyperlink ref="C484" r:id="rId463"/>
    <hyperlink ref="C485" r:id="rId464"/>
    <hyperlink ref="C486" r:id="rId465"/>
    <hyperlink ref="C487" r:id="rId466"/>
    <hyperlink ref="C488" r:id="rId467"/>
    <hyperlink ref="C489" r:id="rId468"/>
    <hyperlink ref="C490" r:id="rId469"/>
    <hyperlink ref="C491" r:id="rId470"/>
    <hyperlink ref="C492" r:id="rId471"/>
    <hyperlink ref="C494" r:id="rId472"/>
    <hyperlink ref="C493" r:id="rId473"/>
    <hyperlink ref="C495" r:id="rId474"/>
    <hyperlink ref="C499" r:id="rId475"/>
    <hyperlink ref="C496" r:id="rId476"/>
    <hyperlink ref="C497" r:id="rId477"/>
    <hyperlink ref="C498" r:id="rId478"/>
    <hyperlink ref="C500" r:id="rId479"/>
    <hyperlink ref="C501" r:id="rId480"/>
    <hyperlink ref="C502" r:id="rId481"/>
    <hyperlink ref="C530" r:id="rId482"/>
    <hyperlink ref="C531" r:id="rId483"/>
    <hyperlink ref="C532" r:id="rId484"/>
    <hyperlink ref="C533" r:id="rId485"/>
    <hyperlink ref="C525" r:id="rId486"/>
    <hyperlink ref="C526" r:id="rId487"/>
    <hyperlink ref="C527" r:id="rId488"/>
    <hyperlink ref="C528" r:id="rId489"/>
    <hyperlink ref="C529" r:id="rId490"/>
    <hyperlink ref="C516" r:id="rId491"/>
    <hyperlink ref="C517" r:id="rId492"/>
    <hyperlink ref="C518" r:id="rId493"/>
    <hyperlink ref="C519" r:id="rId494"/>
    <hyperlink ref="C520" r:id="rId495"/>
    <hyperlink ref="C521" r:id="rId496"/>
    <hyperlink ref="C522" r:id="rId497"/>
    <hyperlink ref="C523" r:id="rId498"/>
    <hyperlink ref="C524" r:id="rId499"/>
    <hyperlink ref="C540" r:id="rId500"/>
    <hyperlink ref="C543" r:id="rId501"/>
    <hyperlink ref="C544" r:id="rId502"/>
    <hyperlink ref="C541" r:id="rId503"/>
    <hyperlink ref="C542" r:id="rId504"/>
    <hyperlink ref="C545" r:id="rId505"/>
    <hyperlink ref="C546" r:id="rId506"/>
    <hyperlink ref="C547" r:id="rId507"/>
    <hyperlink ref="C548" r:id="rId508"/>
    <hyperlink ref="C549" r:id="rId509"/>
    <hyperlink ref="C550" r:id="rId510"/>
    <hyperlink ref="C387" r:id="rId511"/>
  </hyperlinks>
  <pageMargins left="0.7" right="0.7" top="0.75" bottom="0.75" header="0.3" footer="0.3"/>
  <pageSetup paperSize="9" orientation="portrait" r:id="rId512"/>
  <legacyDrawing r:id="rId51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Lists!$P$3:$P$6</xm:f>
          </x14:formula1>
          <xm:sqref>G295:G318 G1:G261 G354:G386 G388:G550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52"/>
  <sheetViews>
    <sheetView zoomScale="90" zoomScaleNormal="90" workbookViewId="0">
      <pane xSplit="5" ySplit="1" topLeftCell="F409" activePane="bottomRight" state="frozen"/>
      <selection pane="topRight" activeCell="F1" sqref="F1"/>
      <selection pane="bottomLeft" activeCell="A2" sqref="A2"/>
      <selection pane="bottomRight" activeCell="I452" sqref="I452"/>
    </sheetView>
  </sheetViews>
  <sheetFormatPr baseColWidth="10" defaultColWidth="11" defaultRowHeight="14.25" x14ac:dyDescent="0.2"/>
  <cols>
    <col min="1" max="1" width="4.875" bestFit="1" customWidth="1"/>
    <col min="2" max="2" width="16.375" style="242" customWidth="1"/>
    <col min="3" max="3" width="40.25" style="242" customWidth="1"/>
    <col min="4" max="4" width="38" style="242" customWidth="1"/>
    <col min="5" max="5" width="18.875" style="101" customWidth="1"/>
    <col min="6" max="6" width="5.375" style="58" bestFit="1" customWidth="1"/>
    <col min="7" max="7" width="6.5" style="58" bestFit="1" customWidth="1"/>
    <col min="8" max="8" width="7.125" style="58" bestFit="1" customWidth="1"/>
    <col min="9" max="9" width="9.75" style="46" bestFit="1" customWidth="1"/>
    <col min="10" max="10" width="12.75" style="46" bestFit="1" customWidth="1"/>
    <col min="11" max="11" width="13.5" style="46" bestFit="1" customWidth="1"/>
    <col min="12" max="12" width="9.625" style="47" bestFit="1" customWidth="1"/>
    <col min="13" max="13" width="12.625" style="47" bestFit="1" customWidth="1"/>
    <col min="14" max="14" width="13.375" style="47" bestFit="1" customWidth="1"/>
    <col min="15" max="15" width="12.625" style="46" bestFit="1" customWidth="1"/>
    <col min="16" max="16" width="11" style="48" bestFit="1" customWidth="1"/>
    <col min="17" max="17" width="14" style="48" bestFit="1" customWidth="1"/>
    <col min="18" max="18" width="14.875" style="48" bestFit="1" customWidth="1"/>
    <col min="19" max="19" width="10.875" style="49" bestFit="1" customWidth="1"/>
    <col min="20" max="20" width="13.875" style="49" bestFit="1" customWidth="1"/>
    <col min="21" max="21" width="14.625" style="49" bestFit="1" customWidth="1"/>
    <col min="22" max="22" width="11.75" style="62" bestFit="1" customWidth="1"/>
    <col min="23" max="23" width="8.5" style="54" bestFit="1" customWidth="1"/>
    <col min="24" max="24" width="13.125" style="54" bestFit="1" customWidth="1"/>
    <col min="25" max="25" width="12.25" style="54" bestFit="1" customWidth="1"/>
    <col min="26" max="26" width="8.375" style="56" bestFit="1" customWidth="1"/>
    <col min="27" max="27" width="13.125" style="56" bestFit="1" customWidth="1"/>
    <col min="28" max="28" width="12.125" style="56" bestFit="1" customWidth="1"/>
    <col min="29" max="29" width="7.375" style="61" bestFit="1" customWidth="1"/>
    <col min="30" max="30" width="39.5" style="70" bestFit="1" customWidth="1"/>
  </cols>
  <sheetData>
    <row r="1" spans="1:31" x14ac:dyDescent="0.2">
      <c r="A1" s="7" t="s">
        <v>11</v>
      </c>
      <c r="B1" s="241" t="s">
        <v>12</v>
      </c>
      <c r="C1" s="241" t="s">
        <v>13</v>
      </c>
      <c r="D1" s="241" t="s">
        <v>14</v>
      </c>
      <c r="E1" s="100" t="s">
        <v>997</v>
      </c>
      <c r="F1" s="57" t="s">
        <v>998</v>
      </c>
      <c r="G1" s="57" t="s">
        <v>999</v>
      </c>
      <c r="H1" s="57" t="s">
        <v>1000</v>
      </c>
      <c r="I1" s="12" t="s">
        <v>1001</v>
      </c>
      <c r="J1" s="12" t="s">
        <v>1002</v>
      </c>
      <c r="K1" s="12" t="s">
        <v>1003</v>
      </c>
      <c r="L1" s="14" t="s">
        <v>1004</v>
      </c>
      <c r="M1" s="14" t="s">
        <v>1005</v>
      </c>
      <c r="N1" s="14" t="s">
        <v>1006</v>
      </c>
      <c r="O1" s="12" t="s">
        <v>1007</v>
      </c>
      <c r="P1" s="44" t="s">
        <v>1008</v>
      </c>
      <c r="Q1" s="44" t="s">
        <v>1009</v>
      </c>
      <c r="R1" s="44" t="s">
        <v>1010</v>
      </c>
      <c r="S1" s="45" t="s">
        <v>1011</v>
      </c>
      <c r="T1" s="45" t="s">
        <v>1012</v>
      </c>
      <c r="U1" s="45" t="s">
        <v>1013</v>
      </c>
      <c r="V1" s="44" t="s">
        <v>1014</v>
      </c>
      <c r="W1" s="53" t="s">
        <v>1015</v>
      </c>
      <c r="X1" s="53" t="s">
        <v>1016</v>
      </c>
      <c r="Y1" s="53" t="s">
        <v>1017</v>
      </c>
      <c r="Z1" s="55" t="s">
        <v>1018</v>
      </c>
      <c r="AA1" s="55" t="s">
        <v>1019</v>
      </c>
      <c r="AB1" s="55" t="s">
        <v>1020</v>
      </c>
      <c r="AC1" s="60" t="s">
        <v>1021</v>
      </c>
      <c r="AD1" s="57" t="s">
        <v>1022</v>
      </c>
      <c r="AE1" s="119" t="s">
        <v>50</v>
      </c>
    </row>
    <row r="2" spans="1:31" x14ac:dyDescent="0.2">
      <c r="A2" s="174">
        <v>61</v>
      </c>
      <c r="B2" s="232" t="str">
        <f>IF(AND(A2&lt;&gt;"",ISNUMBER(A2)),VLOOKUP(A2,Studies!A:BR,2,FALSE),"")</f>
        <v>Barbhaiya 1993</v>
      </c>
      <c r="C2" s="232" t="str">
        <f>IF(AND(A2&lt;&gt;"",ISNUMBER(A2)),VLOOKUP(A2,Studies!A:BR,3,FALSE),"")</f>
        <v>https://www.ncbi.nlm.nih.gov/pubmed/7911763</v>
      </c>
      <c r="D2" s="232" t="str">
        <f>IF(AND(A2&lt;&gt;"",ISNUMBER(A2)),VLOOKUP(A2,Studies!A:BR,4,FALSE),"")</f>
        <v>Day 1 Normal</v>
      </c>
      <c r="E2" s="206" t="str">
        <f>IF(AND(A2&lt;&gt;"",ISNUMBER(A2)),VLOOKUP(A2,Studies!A:BR,5,FALSE),"")</f>
        <v>Buspirone</v>
      </c>
      <c r="F2" s="198">
        <v>0</v>
      </c>
      <c r="G2" s="198" t="s">
        <v>1023</v>
      </c>
      <c r="H2" s="198" t="s">
        <v>60</v>
      </c>
      <c r="I2" s="190">
        <v>2.89</v>
      </c>
      <c r="J2" s="190" t="s">
        <v>1024</v>
      </c>
      <c r="K2" s="190" t="s">
        <v>116</v>
      </c>
      <c r="L2" s="191">
        <v>3.4</v>
      </c>
      <c r="M2" s="191" t="s">
        <v>1024</v>
      </c>
      <c r="N2" s="191" t="s">
        <v>117</v>
      </c>
      <c r="O2" s="190" t="s">
        <v>1025</v>
      </c>
      <c r="P2" s="192">
        <v>1.01</v>
      </c>
      <c r="Q2" s="192" t="s">
        <v>1026</v>
      </c>
      <c r="R2" s="192" t="s">
        <v>116</v>
      </c>
      <c r="S2" s="193">
        <v>0.87</v>
      </c>
      <c r="T2" s="193" t="s">
        <v>1026</v>
      </c>
      <c r="U2" s="193" t="s">
        <v>117</v>
      </c>
      <c r="V2" s="192" t="s">
        <v>1027</v>
      </c>
      <c r="W2" s="196"/>
      <c r="X2" s="196"/>
      <c r="Y2" s="196"/>
      <c r="Z2" s="197"/>
      <c r="AA2" s="197"/>
      <c r="AB2" s="197"/>
      <c r="AC2" s="200"/>
      <c r="AD2" s="202"/>
      <c r="AE2" s="174">
        <f>IF(ISNUMBER(VLOOKUP(A2,NotghiID!A:A,1,FALSE)),1,0)</f>
        <v>0</v>
      </c>
    </row>
    <row r="3" spans="1:31" x14ac:dyDescent="0.2">
      <c r="A3" s="174">
        <v>62</v>
      </c>
      <c r="B3" s="232" t="str">
        <f>IF(AND(A3&lt;&gt;"",ISNUMBER(A3)),VLOOKUP(A3,Studies!A:BR,2,FALSE),"")</f>
        <v>Barbhaiya 1993</v>
      </c>
      <c r="C3" s="232" t="str">
        <f>IF(AND(A3&lt;&gt;"",ISNUMBER(A3)),VLOOKUP(A3,Studies!A:BR,3,FALSE),"")</f>
        <v>https://www.ncbi.nlm.nih.gov/pubmed/7911763</v>
      </c>
      <c r="D3" s="232" t="str">
        <f>IF(AND(A3&lt;&gt;"",ISNUMBER(A3)),VLOOKUP(A3,Studies!A:BR,4,FALSE),"")</f>
        <v>Day 1 Renal mild</v>
      </c>
      <c r="E3" s="206" t="str">
        <f>IF(AND(A3&lt;&gt;"",ISNUMBER(A3)),VLOOKUP(A3,Studies!A:BR,5,FALSE),"")</f>
        <v>Buspirone</v>
      </c>
      <c r="F3" s="198">
        <v>0</v>
      </c>
      <c r="G3" s="198" t="s">
        <v>1023</v>
      </c>
      <c r="H3" s="198" t="s">
        <v>60</v>
      </c>
      <c r="I3" s="190">
        <v>6.63</v>
      </c>
      <c r="J3" s="190" t="s">
        <v>1024</v>
      </c>
      <c r="K3" s="190" t="s">
        <v>116</v>
      </c>
      <c r="L3" s="191">
        <v>4.59</v>
      </c>
      <c r="M3" s="191" t="s">
        <v>1024</v>
      </c>
      <c r="N3" s="191" t="s">
        <v>117</v>
      </c>
      <c r="O3" s="190" t="s">
        <v>1025</v>
      </c>
      <c r="P3" s="192">
        <v>2.48</v>
      </c>
      <c r="Q3" s="192" t="s">
        <v>1026</v>
      </c>
      <c r="R3" s="192" t="s">
        <v>116</v>
      </c>
      <c r="S3" s="193">
        <v>2.12</v>
      </c>
      <c r="T3" s="193" t="s">
        <v>1026</v>
      </c>
      <c r="U3" s="193" t="s">
        <v>117</v>
      </c>
      <c r="V3" s="192" t="s">
        <v>1027</v>
      </c>
      <c r="W3" s="196"/>
      <c r="X3" s="196"/>
      <c r="Y3" s="196"/>
      <c r="Z3" s="197"/>
      <c r="AA3" s="197"/>
      <c r="AB3" s="197"/>
      <c r="AC3" s="200"/>
      <c r="AD3" s="202"/>
      <c r="AE3" s="174">
        <f>IF(ISNUMBER(VLOOKUP(A3,NotghiID!A:A,1,FALSE)),1,0)</f>
        <v>0</v>
      </c>
    </row>
    <row r="4" spans="1:31" x14ac:dyDescent="0.2">
      <c r="A4" s="174">
        <v>63</v>
      </c>
      <c r="B4" s="232" t="str">
        <f>IF(AND(A4&lt;&gt;"",ISNUMBER(A4)),VLOOKUP(A4,Studies!A:BR,2,FALSE),"")</f>
        <v>Barbhaiya 1993</v>
      </c>
      <c r="C4" s="232" t="str">
        <f>IF(AND(A4&lt;&gt;"",ISNUMBER(A4)),VLOOKUP(A4,Studies!A:BR,3,FALSE),"")</f>
        <v>https://www.ncbi.nlm.nih.gov/pubmed/7911763</v>
      </c>
      <c r="D4" s="232" t="str">
        <f>IF(AND(A4&lt;&gt;"",ISNUMBER(A4)),VLOOKUP(A4,Studies!A:BR,4,FALSE),"")</f>
        <v>Day 1 Renal moderate</v>
      </c>
      <c r="E4" s="206" t="str">
        <f>IF(AND(A4&lt;&gt;"",ISNUMBER(A4)),VLOOKUP(A4,Studies!A:BR,5,FALSE),"")</f>
        <v>Buspirone</v>
      </c>
      <c r="F4" s="198">
        <v>0</v>
      </c>
      <c r="G4" s="198" t="s">
        <v>1023</v>
      </c>
      <c r="H4" s="198" t="s">
        <v>60</v>
      </c>
      <c r="I4" s="190">
        <v>4.6399999999999997</v>
      </c>
      <c r="J4" s="190" t="s">
        <v>1024</v>
      </c>
      <c r="K4" s="190" t="s">
        <v>116</v>
      </c>
      <c r="L4" s="191">
        <v>3.7</v>
      </c>
      <c r="M4" s="191" t="s">
        <v>1024</v>
      </c>
      <c r="N4" s="191" t="s">
        <v>117</v>
      </c>
      <c r="O4" s="190" t="s">
        <v>1025</v>
      </c>
      <c r="P4" s="192">
        <v>1.81</v>
      </c>
      <c r="Q4" s="192" t="s">
        <v>1026</v>
      </c>
      <c r="R4" s="192" t="s">
        <v>116</v>
      </c>
      <c r="S4" s="193">
        <v>1.17</v>
      </c>
      <c r="T4" s="193" t="s">
        <v>1026</v>
      </c>
      <c r="U4" s="193" t="s">
        <v>117</v>
      </c>
      <c r="V4" s="192" t="s">
        <v>1027</v>
      </c>
      <c r="W4" s="196"/>
      <c r="X4" s="196"/>
      <c r="Y4" s="196"/>
      <c r="Z4" s="197"/>
      <c r="AA4" s="197"/>
      <c r="AB4" s="197"/>
      <c r="AC4" s="200"/>
      <c r="AD4" s="202"/>
      <c r="AE4" s="174">
        <f>IF(ISNUMBER(VLOOKUP(A4,NotghiID!A:A,1,FALSE)),1,0)</f>
        <v>0</v>
      </c>
    </row>
    <row r="5" spans="1:31" s="72" customFormat="1" x14ac:dyDescent="0.2">
      <c r="A5" s="174">
        <v>64</v>
      </c>
      <c r="B5" s="232" t="str">
        <f>IF(AND(A5&lt;&gt;"",ISNUMBER(A5)),VLOOKUP(A5,Studies!A:BR,2,FALSE),"")</f>
        <v>Barbhaiya 1993</v>
      </c>
      <c r="C5" s="232" t="str">
        <f>IF(AND(A5&lt;&gt;"",ISNUMBER(A5)),VLOOKUP(A5,Studies!A:BR,3,FALSE),"")</f>
        <v>https://www.ncbi.nlm.nih.gov/pubmed/7911763</v>
      </c>
      <c r="D5" s="232" t="str">
        <f>IF(AND(A5&lt;&gt;"",ISNUMBER(A5)),VLOOKUP(A5,Studies!A:BR,4,FALSE),"")</f>
        <v>Day 1 Renal severe</v>
      </c>
      <c r="E5" s="206" t="str">
        <f>IF(AND(A5&lt;&gt;"",ISNUMBER(A5)),VLOOKUP(A5,Studies!A:BR,5,FALSE),"")</f>
        <v>Buspirone</v>
      </c>
      <c r="F5" s="198">
        <v>0</v>
      </c>
      <c r="G5" s="198" t="s">
        <v>1023</v>
      </c>
      <c r="H5" s="198" t="s">
        <v>60</v>
      </c>
      <c r="I5" s="190">
        <v>4.09</v>
      </c>
      <c r="J5" s="190" t="s">
        <v>1024</v>
      </c>
      <c r="K5" s="190" t="s">
        <v>116</v>
      </c>
      <c r="L5" s="191">
        <v>3.35</v>
      </c>
      <c r="M5" s="191" t="s">
        <v>1024</v>
      </c>
      <c r="N5" s="191" t="s">
        <v>117</v>
      </c>
      <c r="O5" s="190" t="s">
        <v>1025</v>
      </c>
      <c r="P5" s="192">
        <v>1.83</v>
      </c>
      <c r="Q5" s="192" t="s">
        <v>1026</v>
      </c>
      <c r="R5" s="192" t="s">
        <v>116</v>
      </c>
      <c r="S5" s="193">
        <v>1.26</v>
      </c>
      <c r="T5" s="193" t="s">
        <v>1026</v>
      </c>
      <c r="U5" s="193" t="s">
        <v>117</v>
      </c>
      <c r="V5" s="192" t="s">
        <v>1027</v>
      </c>
      <c r="W5" s="196"/>
      <c r="X5" s="196"/>
      <c r="Y5" s="196"/>
      <c r="Z5" s="197"/>
      <c r="AA5" s="197"/>
      <c r="AB5" s="197"/>
      <c r="AC5" s="200"/>
      <c r="AD5" s="202"/>
      <c r="AE5" s="174">
        <f>IF(ISNUMBER(VLOOKUP(A5,NotghiID!A:A,1,FALSE)),1,0)</f>
        <v>0</v>
      </c>
    </row>
    <row r="6" spans="1:31" s="72" customFormat="1" x14ac:dyDescent="0.2">
      <c r="A6" s="174">
        <v>65</v>
      </c>
      <c r="B6" s="232" t="str">
        <f>IF(AND(A6&lt;&gt;"",ISNUMBER(A6)),VLOOKUP(A6,Studies!A:BR,2,FALSE),"")</f>
        <v>Barbhaiya 1993</v>
      </c>
      <c r="C6" s="232" t="str">
        <f>IF(AND(A6&lt;&gt;"",ISNUMBER(A6)),VLOOKUP(A6,Studies!A:BR,3,FALSE),"")</f>
        <v>https://www.ncbi.nlm.nih.gov/pubmed/7911763</v>
      </c>
      <c r="D6" s="232" t="str">
        <f>IF(AND(A6&lt;&gt;"",ISNUMBER(A6)),VLOOKUP(A6,Studies!A:BR,4,FALSE),"")</f>
        <v>Day 1 Hepatic compensated</v>
      </c>
      <c r="E6" s="206" t="str">
        <f>IF(AND(A6&lt;&gt;"",ISNUMBER(A6)),VLOOKUP(A6,Studies!A:BR,5,FALSE),"")</f>
        <v>Buspirone</v>
      </c>
      <c r="F6" s="198">
        <v>0</v>
      </c>
      <c r="G6" s="198" t="s">
        <v>1023</v>
      </c>
      <c r="H6" s="198" t="s">
        <v>60</v>
      </c>
      <c r="I6" s="190">
        <v>15.4</v>
      </c>
      <c r="J6" s="190" t="s">
        <v>1024</v>
      </c>
      <c r="K6" s="190" t="s">
        <v>116</v>
      </c>
      <c r="L6" s="191">
        <v>12.5</v>
      </c>
      <c r="M6" s="191" t="s">
        <v>1024</v>
      </c>
      <c r="N6" s="191" t="s">
        <v>117</v>
      </c>
      <c r="O6" s="190" t="s">
        <v>1025</v>
      </c>
      <c r="P6" s="192">
        <v>4.6100000000000003</v>
      </c>
      <c r="Q6" s="192" t="s">
        <v>1026</v>
      </c>
      <c r="R6" s="192" t="s">
        <v>116</v>
      </c>
      <c r="S6" s="193">
        <v>3.64</v>
      </c>
      <c r="T6" s="193" t="s">
        <v>1026</v>
      </c>
      <c r="U6" s="193" t="s">
        <v>117</v>
      </c>
      <c r="V6" s="192" t="s">
        <v>1027</v>
      </c>
      <c r="W6" s="196"/>
      <c r="X6" s="196"/>
      <c r="Y6" s="196"/>
      <c r="Z6" s="197"/>
      <c r="AA6" s="197"/>
      <c r="AB6" s="197"/>
      <c r="AC6" s="200"/>
      <c r="AD6" s="202"/>
      <c r="AE6" s="174">
        <f>IF(ISNUMBER(VLOOKUP(A6,NotghiID!A:A,1,FALSE)),1,0)</f>
        <v>0</v>
      </c>
    </row>
    <row r="7" spans="1:31" s="72" customFormat="1" x14ac:dyDescent="0.2">
      <c r="A7" s="174">
        <v>66</v>
      </c>
      <c r="B7" s="232" t="str">
        <f>IF(AND(A7&lt;&gt;"",ISNUMBER(A7)),VLOOKUP(A7,Studies!A:BR,2,FALSE),"")</f>
        <v>Barbhaiya 1993</v>
      </c>
      <c r="C7" s="232" t="str">
        <f>IF(AND(A7&lt;&gt;"",ISNUMBER(A7)),VLOOKUP(A7,Studies!A:BR,3,FALSE),"")</f>
        <v>https://www.ncbi.nlm.nih.gov/pubmed/7911763</v>
      </c>
      <c r="D7" s="232" t="str">
        <f>IF(AND(A7&lt;&gt;"",ISNUMBER(A7)),VLOOKUP(A7,Studies!A:BR,4,FALSE),"")</f>
        <v>Day 1 Hepatic decompensated</v>
      </c>
      <c r="E7" s="206" t="str">
        <f>IF(AND(A7&lt;&gt;"",ISNUMBER(A7)),VLOOKUP(A7,Studies!A:BR,5,FALSE),"")</f>
        <v>Buspirone</v>
      </c>
      <c r="F7" s="198">
        <v>0</v>
      </c>
      <c r="G7" s="198" t="s">
        <v>1023</v>
      </c>
      <c r="H7" s="198" t="s">
        <v>60</v>
      </c>
      <c r="I7" s="190">
        <v>70.2</v>
      </c>
      <c r="J7" s="190" t="s">
        <v>1024</v>
      </c>
      <c r="K7" s="190" t="s">
        <v>116</v>
      </c>
      <c r="L7" s="191">
        <v>65.3</v>
      </c>
      <c r="M7" s="191" t="s">
        <v>1024</v>
      </c>
      <c r="N7" s="191" t="s">
        <v>117</v>
      </c>
      <c r="O7" s="190" t="s">
        <v>1025</v>
      </c>
      <c r="P7" s="192">
        <v>11.7</v>
      </c>
      <c r="Q7" s="192" t="s">
        <v>1026</v>
      </c>
      <c r="R7" s="192" t="s">
        <v>116</v>
      </c>
      <c r="S7" s="193">
        <v>8.66</v>
      </c>
      <c r="T7" s="193" t="s">
        <v>1026</v>
      </c>
      <c r="U7" s="193" t="s">
        <v>117</v>
      </c>
      <c r="V7" s="192" t="s">
        <v>1027</v>
      </c>
      <c r="W7" s="196"/>
      <c r="X7" s="196"/>
      <c r="Y7" s="196"/>
      <c r="Z7" s="197"/>
      <c r="AA7" s="197"/>
      <c r="AB7" s="197"/>
      <c r="AC7" s="200"/>
      <c r="AD7" s="202"/>
      <c r="AE7" s="174">
        <f>IF(ISNUMBER(VLOOKUP(A7,NotghiID!A:A,1,FALSE)),1,0)</f>
        <v>0</v>
      </c>
    </row>
    <row r="8" spans="1:31" s="72" customFormat="1" x14ac:dyDescent="0.2">
      <c r="A8" s="174">
        <v>67</v>
      </c>
      <c r="B8" s="232" t="str">
        <f>IF(AND(A8&lt;&gt;"",ISNUMBER(A8)),VLOOKUP(A8,Studies!A:BR,2,FALSE),"")</f>
        <v>Barbhaiya 1993</v>
      </c>
      <c r="C8" s="232" t="str">
        <f>IF(AND(A8&lt;&gt;"",ISNUMBER(A8)),VLOOKUP(A8,Studies!A:BR,3,FALSE),"")</f>
        <v>https://www.ncbi.nlm.nih.gov/pubmed/7911763</v>
      </c>
      <c r="D8" s="232" t="str">
        <f>IF(AND(A8&lt;&gt;"",ISNUMBER(A8)),VLOOKUP(A8,Studies!A:BR,4,FALSE),"")</f>
        <v>Day 5 Normal</v>
      </c>
      <c r="E8" s="206" t="str">
        <f>IF(AND(A8&lt;&gt;"",ISNUMBER(A8)),VLOOKUP(A8,Studies!A:BR,5,FALSE),"")</f>
        <v>Buspirone</v>
      </c>
      <c r="F8" s="198">
        <f>36+5*12</f>
        <v>96</v>
      </c>
      <c r="G8" s="198">
        <f>F8+12</f>
        <v>108</v>
      </c>
      <c r="H8" s="198" t="s">
        <v>60</v>
      </c>
      <c r="I8" s="190">
        <v>1.9</v>
      </c>
      <c r="J8" s="190" t="s">
        <v>1024</v>
      </c>
      <c r="K8" s="190" t="s">
        <v>116</v>
      </c>
      <c r="L8" s="191">
        <v>2.63</v>
      </c>
      <c r="M8" s="191" t="s">
        <v>1024</v>
      </c>
      <c r="N8" s="191" t="s">
        <v>117</v>
      </c>
      <c r="O8" s="190" t="s">
        <v>1028</v>
      </c>
      <c r="P8" s="192">
        <v>0.96</v>
      </c>
      <c r="Q8" s="192" t="s">
        <v>1026</v>
      </c>
      <c r="R8" s="192" t="s">
        <v>116</v>
      </c>
      <c r="S8" s="193">
        <v>1.1299999999999999</v>
      </c>
      <c r="T8" s="193" t="s">
        <v>1026</v>
      </c>
      <c r="U8" s="193" t="s">
        <v>117</v>
      </c>
      <c r="V8" s="192" t="s">
        <v>1027</v>
      </c>
      <c r="W8" s="196"/>
      <c r="X8" s="196"/>
      <c r="Y8" s="196"/>
      <c r="Z8" s="197"/>
      <c r="AA8" s="197"/>
      <c r="AB8" s="197"/>
      <c r="AC8" s="200"/>
      <c r="AD8" s="202"/>
      <c r="AE8" s="174">
        <f>IF(ISNUMBER(VLOOKUP(A8,NotghiID!A:A,1,FALSE)),1,0)</f>
        <v>0</v>
      </c>
    </row>
    <row r="9" spans="1:31" s="72" customFormat="1" x14ac:dyDescent="0.2">
      <c r="A9" s="174">
        <v>68</v>
      </c>
      <c r="B9" s="232" t="str">
        <f>IF(AND(A9&lt;&gt;"",ISNUMBER(A9)),VLOOKUP(A9,Studies!A:BR,2,FALSE),"")</f>
        <v>Barbhaiya 1993</v>
      </c>
      <c r="C9" s="232" t="str">
        <f>IF(AND(A9&lt;&gt;"",ISNUMBER(A9)),VLOOKUP(A9,Studies!A:BR,3,FALSE),"")</f>
        <v>https://www.ncbi.nlm.nih.gov/pubmed/7911763</v>
      </c>
      <c r="D9" s="232" t="str">
        <f>IF(AND(A9&lt;&gt;"",ISNUMBER(A9)),VLOOKUP(A9,Studies!A:BR,4,FALSE),"")</f>
        <v>Day 5 Renal mild</v>
      </c>
      <c r="E9" s="206" t="str">
        <f>IF(AND(A9&lt;&gt;"",ISNUMBER(A9)),VLOOKUP(A9,Studies!A:BR,5,FALSE),"")</f>
        <v>Buspirone</v>
      </c>
      <c r="F9" s="198">
        <f t="shared" ref="F9:F14" si="0">36+5*12</f>
        <v>96</v>
      </c>
      <c r="G9" s="198">
        <f t="shared" ref="G9:G24" si="1">F9+12</f>
        <v>108</v>
      </c>
      <c r="H9" s="198" t="s">
        <v>60</v>
      </c>
      <c r="I9" s="190">
        <v>9.18</v>
      </c>
      <c r="J9" s="190" t="s">
        <v>1024</v>
      </c>
      <c r="K9" s="190" t="s">
        <v>116</v>
      </c>
      <c r="L9" s="191">
        <v>6.22</v>
      </c>
      <c r="M9" s="191" t="s">
        <v>1024</v>
      </c>
      <c r="N9" s="191" t="s">
        <v>117</v>
      </c>
      <c r="O9" s="190" t="s">
        <v>1028</v>
      </c>
      <c r="P9" s="192">
        <v>3.42</v>
      </c>
      <c r="Q9" s="192" t="s">
        <v>1026</v>
      </c>
      <c r="R9" s="192" t="s">
        <v>116</v>
      </c>
      <c r="S9" s="193">
        <v>2.09</v>
      </c>
      <c r="T9" s="193" t="s">
        <v>1026</v>
      </c>
      <c r="U9" s="193" t="s">
        <v>117</v>
      </c>
      <c r="V9" s="192" t="s">
        <v>1027</v>
      </c>
      <c r="W9" s="196"/>
      <c r="X9" s="196"/>
      <c r="Y9" s="196"/>
      <c r="Z9" s="197"/>
      <c r="AA9" s="197"/>
      <c r="AB9" s="197"/>
      <c r="AC9" s="200"/>
      <c r="AD9" s="202"/>
      <c r="AE9" s="174">
        <f>IF(ISNUMBER(VLOOKUP(A9,NotghiID!A:A,1,FALSE)),1,0)</f>
        <v>0</v>
      </c>
    </row>
    <row r="10" spans="1:31" s="72" customFormat="1" x14ac:dyDescent="0.2">
      <c r="A10" s="174">
        <v>69</v>
      </c>
      <c r="B10" s="232" t="str">
        <f>IF(AND(A10&lt;&gt;"",ISNUMBER(A10)),VLOOKUP(A10,Studies!A:BR,2,FALSE),"")</f>
        <v>Barbhaiya 1993</v>
      </c>
      <c r="C10" s="232" t="str">
        <f>IF(AND(A10&lt;&gt;"",ISNUMBER(A10)),VLOOKUP(A10,Studies!A:BR,3,FALSE),"")</f>
        <v>https://www.ncbi.nlm.nih.gov/pubmed/7911763</v>
      </c>
      <c r="D10" s="232" t="str">
        <f>IF(AND(A10&lt;&gt;"",ISNUMBER(A10)),VLOOKUP(A10,Studies!A:BR,4,FALSE),"")</f>
        <v>Day 5 Renal moderate</v>
      </c>
      <c r="E10" s="206" t="str">
        <f>IF(AND(A10&lt;&gt;"",ISNUMBER(A10)),VLOOKUP(A10,Studies!A:BR,5,FALSE),"")</f>
        <v>Buspirone</v>
      </c>
      <c r="F10" s="198">
        <f t="shared" si="0"/>
        <v>96</v>
      </c>
      <c r="G10" s="198">
        <f t="shared" si="1"/>
        <v>108</v>
      </c>
      <c r="H10" s="198" t="s">
        <v>60</v>
      </c>
      <c r="I10" s="190">
        <v>6.58</v>
      </c>
      <c r="J10" s="190" t="s">
        <v>1024</v>
      </c>
      <c r="K10" s="190" t="s">
        <v>116</v>
      </c>
      <c r="L10" s="191">
        <v>6.53</v>
      </c>
      <c r="M10" s="191" t="s">
        <v>1024</v>
      </c>
      <c r="N10" s="191" t="s">
        <v>117</v>
      </c>
      <c r="O10" s="190" t="s">
        <v>1028</v>
      </c>
      <c r="P10" s="192">
        <v>4.26</v>
      </c>
      <c r="Q10" s="192" t="s">
        <v>1026</v>
      </c>
      <c r="R10" s="192" t="s">
        <v>116</v>
      </c>
      <c r="S10" s="193">
        <v>4.6399999999999997</v>
      </c>
      <c r="T10" s="193" t="s">
        <v>1026</v>
      </c>
      <c r="U10" s="193" t="s">
        <v>117</v>
      </c>
      <c r="V10" s="192" t="s">
        <v>1027</v>
      </c>
      <c r="W10" s="196"/>
      <c r="X10" s="196"/>
      <c r="Y10" s="196"/>
      <c r="Z10" s="197"/>
      <c r="AA10" s="197"/>
      <c r="AB10" s="197"/>
      <c r="AC10" s="200"/>
      <c r="AD10" s="202"/>
      <c r="AE10" s="174">
        <f>IF(ISNUMBER(VLOOKUP(A10,NotghiID!A:A,1,FALSE)),1,0)</f>
        <v>0</v>
      </c>
    </row>
    <row r="11" spans="1:31" s="72" customFormat="1" x14ac:dyDescent="0.2">
      <c r="A11" s="174">
        <v>70</v>
      </c>
      <c r="B11" s="232" t="str">
        <f>IF(AND(A11&lt;&gt;"",ISNUMBER(A11)),VLOOKUP(A11,Studies!A:BR,2,FALSE),"")</f>
        <v>Barbhaiya 1993</v>
      </c>
      <c r="C11" s="232" t="str">
        <f>IF(AND(A11&lt;&gt;"",ISNUMBER(A11)),VLOOKUP(A11,Studies!A:BR,3,FALSE),"")</f>
        <v>https://www.ncbi.nlm.nih.gov/pubmed/7911763</v>
      </c>
      <c r="D11" s="232" t="str">
        <f>IF(AND(A11&lt;&gt;"",ISNUMBER(A11)),VLOOKUP(A11,Studies!A:BR,4,FALSE),"")</f>
        <v>Day 5 Renal severe</v>
      </c>
      <c r="E11" s="206" t="str">
        <f>IF(AND(A11&lt;&gt;"",ISNUMBER(A11)),VLOOKUP(A11,Studies!A:BR,5,FALSE),"")</f>
        <v>Buspirone</v>
      </c>
      <c r="F11" s="198">
        <f t="shared" si="0"/>
        <v>96</v>
      </c>
      <c r="G11" s="198">
        <f t="shared" si="1"/>
        <v>108</v>
      </c>
      <c r="H11" s="198" t="s">
        <v>60</v>
      </c>
      <c r="I11" s="190">
        <v>10</v>
      </c>
      <c r="J11" s="190" t="s">
        <v>1024</v>
      </c>
      <c r="K11" s="190" t="s">
        <v>116</v>
      </c>
      <c r="L11" s="191">
        <v>10.8</v>
      </c>
      <c r="M11" s="191" t="s">
        <v>1024</v>
      </c>
      <c r="N11" s="191" t="s">
        <v>117</v>
      </c>
      <c r="O11" s="190" t="s">
        <v>1028</v>
      </c>
      <c r="P11" s="192">
        <v>4.74</v>
      </c>
      <c r="Q11" s="192" t="s">
        <v>1026</v>
      </c>
      <c r="R11" s="192" t="s">
        <v>116</v>
      </c>
      <c r="S11" s="193">
        <v>5.72</v>
      </c>
      <c r="T11" s="193" t="s">
        <v>1026</v>
      </c>
      <c r="U11" s="193" t="s">
        <v>117</v>
      </c>
      <c r="V11" s="192" t="s">
        <v>1027</v>
      </c>
      <c r="W11" s="196"/>
      <c r="X11" s="196"/>
      <c r="Y11" s="196"/>
      <c r="Z11" s="197"/>
      <c r="AA11" s="197"/>
      <c r="AB11" s="197"/>
      <c r="AC11" s="200"/>
      <c r="AD11" s="202"/>
      <c r="AE11" s="174">
        <f>IF(ISNUMBER(VLOOKUP(A11,NotghiID!A:A,1,FALSE)),1,0)</f>
        <v>0</v>
      </c>
    </row>
    <row r="12" spans="1:31" s="72" customFormat="1" x14ac:dyDescent="0.2">
      <c r="A12" s="174">
        <v>71</v>
      </c>
      <c r="B12" s="232" t="str">
        <f>IF(AND(A12&lt;&gt;"",ISNUMBER(A12)),VLOOKUP(A12,Studies!A:BR,2,FALSE),"")</f>
        <v>Barbhaiya 1993</v>
      </c>
      <c r="C12" s="232" t="str">
        <f>IF(AND(A12&lt;&gt;"",ISNUMBER(A12)),VLOOKUP(A12,Studies!A:BR,3,FALSE),"")</f>
        <v>https://www.ncbi.nlm.nih.gov/pubmed/7911763</v>
      </c>
      <c r="D12" s="232" t="str">
        <f>IF(AND(A12&lt;&gt;"",ISNUMBER(A12)),VLOOKUP(A12,Studies!A:BR,4,FALSE),"")</f>
        <v>Day 5 Hepatic compensated</v>
      </c>
      <c r="E12" s="206" t="str">
        <f>IF(AND(A12&lt;&gt;"",ISNUMBER(A12)),VLOOKUP(A12,Studies!A:BR,5,FALSE),"")</f>
        <v>Buspirone</v>
      </c>
      <c r="F12" s="198">
        <f t="shared" si="0"/>
        <v>96</v>
      </c>
      <c r="G12" s="198">
        <f t="shared" si="1"/>
        <v>108</v>
      </c>
      <c r="H12" s="198" t="s">
        <v>60</v>
      </c>
      <c r="I12" s="190">
        <v>27.6</v>
      </c>
      <c r="J12" s="190" t="s">
        <v>1024</v>
      </c>
      <c r="K12" s="190" t="s">
        <v>116</v>
      </c>
      <c r="L12" s="191">
        <v>44.7</v>
      </c>
      <c r="M12" s="191" t="s">
        <v>1024</v>
      </c>
      <c r="N12" s="191" t="s">
        <v>117</v>
      </c>
      <c r="O12" s="190" t="s">
        <v>1028</v>
      </c>
      <c r="P12" s="192">
        <v>13.46</v>
      </c>
      <c r="Q12" s="192" t="s">
        <v>1026</v>
      </c>
      <c r="R12" s="192" t="s">
        <v>116</v>
      </c>
      <c r="S12" s="193">
        <v>23.89</v>
      </c>
      <c r="T12" s="193" t="s">
        <v>1026</v>
      </c>
      <c r="U12" s="193" t="s">
        <v>117</v>
      </c>
      <c r="V12" s="192" t="s">
        <v>1027</v>
      </c>
      <c r="W12" s="196"/>
      <c r="X12" s="196"/>
      <c r="Y12" s="196"/>
      <c r="Z12" s="197"/>
      <c r="AA12" s="197"/>
      <c r="AB12" s="197"/>
      <c r="AC12" s="200"/>
      <c r="AD12" s="202"/>
      <c r="AE12" s="174">
        <f>IF(ISNUMBER(VLOOKUP(A12,NotghiID!A:A,1,FALSE)),1,0)</f>
        <v>0</v>
      </c>
    </row>
    <row r="13" spans="1:31" s="72" customFormat="1" x14ac:dyDescent="0.2">
      <c r="A13" s="174">
        <v>72</v>
      </c>
      <c r="B13" s="232" t="str">
        <f>IF(AND(A13&lt;&gt;"",ISNUMBER(A13)),VLOOKUP(A13,Studies!A:BR,2,FALSE),"")</f>
        <v>Barbhaiya 1993</v>
      </c>
      <c r="C13" s="232" t="str">
        <f>IF(AND(A13&lt;&gt;"",ISNUMBER(A13)),VLOOKUP(A13,Studies!A:BR,3,FALSE),"")</f>
        <v>https://www.ncbi.nlm.nih.gov/pubmed/7911763</v>
      </c>
      <c r="D13" s="232" t="str">
        <f>IF(AND(A13&lt;&gt;"",ISNUMBER(A13)),VLOOKUP(A13,Studies!A:BR,4,FALSE),"")</f>
        <v>Day 5 Hepatic decompensated</v>
      </c>
      <c r="E13" s="206" t="str">
        <f>IF(AND(A13&lt;&gt;"",ISNUMBER(A13)),VLOOKUP(A13,Studies!A:BR,5,FALSE),"")</f>
        <v>Buspirone</v>
      </c>
      <c r="F13" s="198">
        <f t="shared" si="0"/>
        <v>96</v>
      </c>
      <c r="G13" s="198">
        <f t="shared" si="1"/>
        <v>108</v>
      </c>
      <c r="H13" s="198" t="s">
        <v>60</v>
      </c>
      <c r="I13" s="190">
        <v>54</v>
      </c>
      <c r="J13" s="190" t="s">
        <v>1024</v>
      </c>
      <c r="K13" s="190" t="s">
        <v>116</v>
      </c>
      <c r="L13" s="191">
        <v>33.5</v>
      </c>
      <c r="M13" s="191" t="s">
        <v>1024</v>
      </c>
      <c r="N13" s="191" t="s">
        <v>117</v>
      </c>
      <c r="O13" s="190" t="s">
        <v>1028</v>
      </c>
      <c r="P13" s="192">
        <v>13.1</v>
      </c>
      <c r="Q13" s="192" t="s">
        <v>1026</v>
      </c>
      <c r="R13" s="192" t="s">
        <v>116</v>
      </c>
      <c r="S13" s="193">
        <v>9.8000000000000007</v>
      </c>
      <c r="T13" s="193" t="s">
        <v>1026</v>
      </c>
      <c r="U13" s="193" t="s">
        <v>117</v>
      </c>
      <c r="V13" s="192" t="s">
        <v>1027</v>
      </c>
      <c r="W13" s="196"/>
      <c r="X13" s="196"/>
      <c r="Y13" s="196"/>
      <c r="Z13" s="197"/>
      <c r="AA13" s="197"/>
      <c r="AB13" s="197"/>
      <c r="AC13" s="200"/>
      <c r="AD13" s="202"/>
      <c r="AE13" s="174">
        <f>IF(ISNUMBER(VLOOKUP(A13,NotghiID!A:A,1,FALSE)),1,0)</f>
        <v>0</v>
      </c>
    </row>
    <row r="14" spans="1:31" s="72" customFormat="1" x14ac:dyDescent="0.2">
      <c r="A14" s="174">
        <v>73</v>
      </c>
      <c r="B14" s="232" t="str">
        <f>IF(AND(A14&lt;&gt;"",ISNUMBER(A14)),VLOOKUP(A14,Studies!A:BR,2,FALSE),"")</f>
        <v>Barbhaiya 1993</v>
      </c>
      <c r="C14" s="232" t="str">
        <f>IF(AND(A14&lt;&gt;"",ISNUMBER(A14)),VLOOKUP(A14,Studies!A:BR,3,FALSE),"")</f>
        <v>https://www.ncbi.nlm.nih.gov/pubmed/7911763</v>
      </c>
      <c r="D14" s="232" t="str">
        <f>IF(AND(A14&lt;&gt;"",ISNUMBER(A14)),VLOOKUP(A14,Studies!A:BR,4,FALSE),"")</f>
        <v>Day 10 Normal</v>
      </c>
      <c r="E14" s="206" t="str">
        <f>IF(AND(A14&lt;&gt;"",ISNUMBER(A14)),VLOOKUP(A14,Studies!A:BR,5,FALSE),"")</f>
        <v>Buspirone</v>
      </c>
      <c r="F14" s="198">
        <f t="shared" si="0"/>
        <v>96</v>
      </c>
      <c r="G14" s="198">
        <f t="shared" si="1"/>
        <v>108</v>
      </c>
      <c r="H14" s="198" t="s">
        <v>60</v>
      </c>
      <c r="I14" s="190">
        <v>2.91</v>
      </c>
      <c r="J14" s="190" t="s">
        <v>1024</v>
      </c>
      <c r="K14" s="190" t="s">
        <v>116</v>
      </c>
      <c r="L14" s="191">
        <v>3.37</v>
      </c>
      <c r="M14" s="191" t="s">
        <v>1024</v>
      </c>
      <c r="N14" s="191" t="s">
        <v>117</v>
      </c>
      <c r="O14" s="190" t="s">
        <v>1028</v>
      </c>
      <c r="P14" s="192">
        <v>1.08</v>
      </c>
      <c r="Q14" s="192" t="s">
        <v>1026</v>
      </c>
      <c r="R14" s="192" t="s">
        <v>116</v>
      </c>
      <c r="S14" s="193">
        <v>0.8</v>
      </c>
      <c r="T14" s="193" t="s">
        <v>1026</v>
      </c>
      <c r="U14" s="193" t="s">
        <v>117</v>
      </c>
      <c r="V14" s="192" t="s">
        <v>1027</v>
      </c>
      <c r="W14" s="196"/>
      <c r="X14" s="196"/>
      <c r="Y14" s="196"/>
      <c r="Z14" s="197"/>
      <c r="AA14" s="197"/>
      <c r="AB14" s="197"/>
      <c r="AC14" s="200"/>
      <c r="AD14" s="202"/>
      <c r="AE14" s="174">
        <f>IF(ISNUMBER(VLOOKUP(A14,NotghiID!A:A,1,FALSE)),1,0)</f>
        <v>0</v>
      </c>
    </row>
    <row r="15" spans="1:31" s="72" customFormat="1" x14ac:dyDescent="0.2">
      <c r="A15" s="174">
        <v>74</v>
      </c>
      <c r="B15" s="232" t="str">
        <f>IF(AND(A15&lt;&gt;"",ISNUMBER(A15)),VLOOKUP(A15,Studies!A:BR,2,FALSE),"")</f>
        <v>Barbhaiya 1993</v>
      </c>
      <c r="C15" s="232" t="str">
        <f>IF(AND(A15&lt;&gt;"",ISNUMBER(A15)),VLOOKUP(A15,Studies!A:BR,3,FALSE),"")</f>
        <v>https://www.ncbi.nlm.nih.gov/pubmed/7911763</v>
      </c>
      <c r="D15" s="232" t="str">
        <f>IF(AND(A15&lt;&gt;"",ISNUMBER(A15)),VLOOKUP(A15,Studies!A:BR,4,FALSE),"")</f>
        <v>Day 10 Renal mild</v>
      </c>
      <c r="E15" s="206" t="str">
        <f>IF(AND(A15&lt;&gt;"",ISNUMBER(A15)),VLOOKUP(A15,Studies!A:BR,5,FALSE),"")</f>
        <v>Buspirone</v>
      </c>
      <c r="F15" s="198">
        <f>36+15*12</f>
        <v>216</v>
      </c>
      <c r="G15" s="198">
        <f t="shared" si="1"/>
        <v>228</v>
      </c>
      <c r="H15" s="198" t="s">
        <v>60</v>
      </c>
      <c r="I15" s="190">
        <v>13.6</v>
      </c>
      <c r="J15" s="190" t="s">
        <v>1024</v>
      </c>
      <c r="K15" s="190" t="s">
        <v>116</v>
      </c>
      <c r="L15" s="191">
        <v>15.1</v>
      </c>
      <c r="M15" s="191" t="s">
        <v>1024</v>
      </c>
      <c r="N15" s="191" t="s">
        <v>117</v>
      </c>
      <c r="O15" s="190" t="s">
        <v>1028</v>
      </c>
      <c r="P15" s="192">
        <v>5.38</v>
      </c>
      <c r="Q15" s="192" t="s">
        <v>1026</v>
      </c>
      <c r="R15" s="192" t="s">
        <v>116</v>
      </c>
      <c r="S15" s="193">
        <v>5.4</v>
      </c>
      <c r="T15" s="193" t="s">
        <v>1026</v>
      </c>
      <c r="U15" s="193" t="s">
        <v>117</v>
      </c>
      <c r="V15" s="192" t="s">
        <v>1027</v>
      </c>
      <c r="W15" s="196"/>
      <c r="X15" s="196"/>
      <c r="Y15" s="196"/>
      <c r="Z15" s="197"/>
      <c r="AA15" s="197"/>
      <c r="AB15" s="197"/>
      <c r="AC15" s="200"/>
      <c r="AD15" s="202"/>
      <c r="AE15" s="174">
        <f>IF(ISNUMBER(VLOOKUP(A15,NotghiID!A:A,1,FALSE)),1,0)</f>
        <v>0</v>
      </c>
    </row>
    <row r="16" spans="1:31" s="72" customFormat="1" x14ac:dyDescent="0.2">
      <c r="A16" s="174">
        <v>75</v>
      </c>
      <c r="B16" s="232" t="str">
        <f>IF(AND(A16&lt;&gt;"",ISNUMBER(A16)),VLOOKUP(A16,Studies!A:BR,2,FALSE),"")</f>
        <v>Barbhaiya 1993</v>
      </c>
      <c r="C16" s="232" t="str">
        <f>IF(AND(A16&lt;&gt;"",ISNUMBER(A16)),VLOOKUP(A16,Studies!A:BR,3,FALSE),"")</f>
        <v>https://www.ncbi.nlm.nih.gov/pubmed/7911763</v>
      </c>
      <c r="D16" s="232" t="str">
        <f>IF(AND(A16&lt;&gt;"",ISNUMBER(A16)),VLOOKUP(A16,Studies!A:BR,4,FALSE),"")</f>
        <v>Day 10 Renal moderate</v>
      </c>
      <c r="E16" s="206" t="str">
        <f>IF(AND(A16&lt;&gt;"",ISNUMBER(A16)),VLOOKUP(A16,Studies!A:BR,5,FALSE),"")</f>
        <v>Buspirone</v>
      </c>
      <c r="F16" s="198">
        <f t="shared" ref="F16:F19" si="2">36+15*12</f>
        <v>216</v>
      </c>
      <c r="G16" s="198">
        <f t="shared" si="1"/>
        <v>228</v>
      </c>
      <c r="H16" s="198" t="s">
        <v>60</v>
      </c>
      <c r="I16" s="190">
        <v>9.58</v>
      </c>
      <c r="J16" s="190" t="s">
        <v>1024</v>
      </c>
      <c r="K16" s="190" t="s">
        <v>116</v>
      </c>
      <c r="L16" s="191">
        <v>11.6</v>
      </c>
      <c r="M16" s="191" t="s">
        <v>1024</v>
      </c>
      <c r="N16" s="191" t="s">
        <v>117</v>
      </c>
      <c r="O16" s="190" t="s">
        <v>1028</v>
      </c>
      <c r="P16" s="192">
        <v>4.03</v>
      </c>
      <c r="Q16" s="192" t="s">
        <v>1026</v>
      </c>
      <c r="R16" s="192" t="s">
        <v>116</v>
      </c>
      <c r="S16" s="193">
        <v>3.97</v>
      </c>
      <c r="T16" s="193" t="s">
        <v>1026</v>
      </c>
      <c r="U16" s="193" t="s">
        <v>117</v>
      </c>
      <c r="V16" s="192" t="s">
        <v>1027</v>
      </c>
      <c r="W16" s="196"/>
      <c r="X16" s="196"/>
      <c r="Y16" s="196"/>
      <c r="Z16" s="197"/>
      <c r="AA16" s="197"/>
      <c r="AB16" s="197"/>
      <c r="AC16" s="200"/>
      <c r="AD16" s="202"/>
      <c r="AE16" s="174">
        <f>IF(ISNUMBER(VLOOKUP(A16,NotghiID!A:A,1,FALSE)),1,0)</f>
        <v>0</v>
      </c>
    </row>
    <row r="17" spans="1:31" s="72" customFormat="1" x14ac:dyDescent="0.2">
      <c r="A17" s="174">
        <v>76</v>
      </c>
      <c r="B17" s="232" t="str">
        <f>IF(AND(A17&lt;&gt;"",ISNUMBER(A17)),VLOOKUP(A17,Studies!A:BR,2,FALSE),"")</f>
        <v>Barbhaiya 1993</v>
      </c>
      <c r="C17" s="232" t="str">
        <f>IF(AND(A17&lt;&gt;"",ISNUMBER(A17)),VLOOKUP(A17,Studies!A:BR,3,FALSE),"")</f>
        <v>https://www.ncbi.nlm.nih.gov/pubmed/7911763</v>
      </c>
      <c r="D17" s="232" t="str">
        <f>IF(AND(A17&lt;&gt;"",ISNUMBER(A17)),VLOOKUP(A17,Studies!A:BR,4,FALSE),"")</f>
        <v>Day 10 Renal severe</v>
      </c>
      <c r="E17" s="206" t="str">
        <f>IF(AND(A17&lt;&gt;"",ISNUMBER(A17)),VLOOKUP(A17,Studies!A:BR,5,FALSE),"")</f>
        <v>Buspirone</v>
      </c>
      <c r="F17" s="198">
        <f t="shared" si="2"/>
        <v>216</v>
      </c>
      <c r="G17" s="198">
        <f t="shared" si="1"/>
        <v>228</v>
      </c>
      <c r="H17" s="198" t="s">
        <v>60</v>
      </c>
      <c r="I17" s="190">
        <v>11.1</v>
      </c>
      <c r="J17" s="190" t="s">
        <v>1024</v>
      </c>
      <c r="K17" s="190" t="s">
        <v>116</v>
      </c>
      <c r="L17" s="191">
        <v>10.1</v>
      </c>
      <c r="M17" s="191" t="s">
        <v>1024</v>
      </c>
      <c r="N17" s="191" t="s">
        <v>117</v>
      </c>
      <c r="O17" s="190" t="s">
        <v>1028</v>
      </c>
      <c r="P17" s="192">
        <v>4.6100000000000003</v>
      </c>
      <c r="Q17" s="192" t="s">
        <v>1026</v>
      </c>
      <c r="R17" s="192" t="s">
        <v>116</v>
      </c>
      <c r="S17" s="193">
        <v>3.52</v>
      </c>
      <c r="T17" s="193" t="s">
        <v>1026</v>
      </c>
      <c r="U17" s="193" t="s">
        <v>117</v>
      </c>
      <c r="V17" s="192" t="s">
        <v>1027</v>
      </c>
      <c r="W17" s="196"/>
      <c r="X17" s="196"/>
      <c r="Y17" s="196"/>
      <c r="Z17" s="197"/>
      <c r="AA17" s="197"/>
      <c r="AB17" s="197"/>
      <c r="AC17" s="200"/>
      <c r="AD17" s="202"/>
      <c r="AE17" s="174">
        <f>IF(ISNUMBER(VLOOKUP(A17,NotghiID!A:A,1,FALSE)),1,0)</f>
        <v>0</v>
      </c>
    </row>
    <row r="18" spans="1:31" s="72" customFormat="1" x14ac:dyDescent="0.2">
      <c r="A18" s="174">
        <v>77</v>
      </c>
      <c r="B18" s="232" t="str">
        <f>IF(AND(A18&lt;&gt;"",ISNUMBER(A18)),VLOOKUP(A18,Studies!A:BR,2,FALSE),"")</f>
        <v>Barbhaiya 1993</v>
      </c>
      <c r="C18" s="232" t="str">
        <f>IF(AND(A18&lt;&gt;"",ISNUMBER(A18)),VLOOKUP(A18,Studies!A:BR,3,FALSE),"")</f>
        <v>https://www.ncbi.nlm.nih.gov/pubmed/7911763</v>
      </c>
      <c r="D18" s="232" t="str">
        <f>IF(AND(A18&lt;&gt;"",ISNUMBER(A18)),VLOOKUP(A18,Studies!A:BR,4,FALSE),"")</f>
        <v>Day 10 Hepatic compensated</v>
      </c>
      <c r="E18" s="206" t="str">
        <f>IF(AND(A18&lt;&gt;"",ISNUMBER(A18)),VLOOKUP(A18,Studies!A:BR,5,FALSE),"")</f>
        <v>Buspirone</v>
      </c>
      <c r="F18" s="198">
        <f t="shared" si="2"/>
        <v>216</v>
      </c>
      <c r="G18" s="198">
        <f t="shared" si="1"/>
        <v>228</v>
      </c>
      <c r="H18" s="198" t="s">
        <v>60</v>
      </c>
      <c r="I18" s="190">
        <v>24.8</v>
      </c>
      <c r="J18" s="190" t="s">
        <v>1024</v>
      </c>
      <c r="K18" s="190" t="s">
        <v>116</v>
      </c>
      <c r="L18" s="191">
        <v>33.5</v>
      </c>
      <c r="M18" s="191" t="s">
        <v>1024</v>
      </c>
      <c r="N18" s="191" t="s">
        <v>117</v>
      </c>
      <c r="O18" s="190" t="s">
        <v>1028</v>
      </c>
      <c r="P18" s="192">
        <v>9.7799999999999994</v>
      </c>
      <c r="Q18" s="192" t="s">
        <v>1026</v>
      </c>
      <c r="R18" s="192" t="s">
        <v>116</v>
      </c>
      <c r="S18" s="193">
        <v>15.7</v>
      </c>
      <c r="T18" s="193" t="s">
        <v>1026</v>
      </c>
      <c r="U18" s="193" t="s">
        <v>117</v>
      </c>
      <c r="V18" s="192" t="s">
        <v>1027</v>
      </c>
      <c r="W18" s="196"/>
      <c r="X18" s="196"/>
      <c r="Y18" s="196"/>
      <c r="Z18" s="197"/>
      <c r="AA18" s="197"/>
      <c r="AB18" s="197"/>
      <c r="AC18" s="200"/>
      <c r="AD18" s="202"/>
      <c r="AE18" s="174">
        <f>IF(ISNUMBER(VLOOKUP(A18,NotghiID!A:A,1,FALSE)),1,0)</f>
        <v>0</v>
      </c>
    </row>
    <row r="19" spans="1:31" s="72" customFormat="1" x14ac:dyDescent="0.2">
      <c r="A19" s="174">
        <v>78</v>
      </c>
      <c r="B19" s="232" t="str">
        <f>IF(AND(A19&lt;&gt;"",ISNUMBER(A19)),VLOOKUP(A19,Studies!A:BR,2,FALSE),"")</f>
        <v>Barbhaiya 1993</v>
      </c>
      <c r="C19" s="232" t="str">
        <f>IF(AND(A19&lt;&gt;"",ISNUMBER(A19)),VLOOKUP(A19,Studies!A:BR,3,FALSE),"")</f>
        <v>https://www.ncbi.nlm.nih.gov/pubmed/7911763</v>
      </c>
      <c r="D19" s="232" t="str">
        <f>IF(AND(A19&lt;&gt;"",ISNUMBER(A19)),VLOOKUP(A19,Studies!A:BR,4,FALSE),"")</f>
        <v>Day 10 Hepatic decompensated</v>
      </c>
      <c r="E19" s="206" t="str">
        <f>IF(AND(A19&lt;&gt;"",ISNUMBER(A19)),VLOOKUP(A19,Studies!A:BR,5,FALSE),"")</f>
        <v>Buspirone</v>
      </c>
      <c r="F19" s="198">
        <f t="shared" si="2"/>
        <v>216</v>
      </c>
      <c r="G19" s="198">
        <f t="shared" si="1"/>
        <v>228</v>
      </c>
      <c r="H19" s="198" t="s">
        <v>60</v>
      </c>
      <c r="I19" s="190">
        <v>54.5</v>
      </c>
      <c r="J19" s="190" t="s">
        <v>1024</v>
      </c>
      <c r="K19" s="190" t="s">
        <v>116</v>
      </c>
      <c r="L19" s="191">
        <v>36.200000000000003</v>
      </c>
      <c r="M19" s="191" t="s">
        <v>1024</v>
      </c>
      <c r="N19" s="191" t="s">
        <v>117</v>
      </c>
      <c r="O19" s="190" t="s">
        <v>1028</v>
      </c>
      <c r="P19" s="192">
        <v>13</v>
      </c>
      <c r="Q19" s="192" t="s">
        <v>1026</v>
      </c>
      <c r="R19" s="192" t="s">
        <v>116</v>
      </c>
      <c r="S19" s="193">
        <v>8.51</v>
      </c>
      <c r="T19" s="193" t="s">
        <v>1026</v>
      </c>
      <c r="U19" s="193" t="s">
        <v>117</v>
      </c>
      <c r="V19" s="192" t="s">
        <v>1027</v>
      </c>
      <c r="W19" s="196"/>
      <c r="X19" s="196"/>
      <c r="Y19" s="196"/>
      <c r="Z19" s="197"/>
      <c r="AA19" s="197"/>
      <c r="AB19" s="197"/>
      <c r="AC19" s="200"/>
      <c r="AD19" s="202"/>
      <c r="AE19" s="174">
        <f>IF(ISNUMBER(VLOOKUP(A19,NotghiID!A:A,1,FALSE)),1,0)</f>
        <v>0</v>
      </c>
    </row>
    <row r="20" spans="1:31" x14ac:dyDescent="0.2">
      <c r="A20" s="174">
        <v>123</v>
      </c>
      <c r="B20" s="232" t="str">
        <f>IF(AND(A20&lt;&gt;"",ISNUMBER(A20)),VLOOKUP(A20,Studies!A:BR,2,FALSE),"")</f>
        <v>Dockens 2006</v>
      </c>
      <c r="C20" s="232" t="str">
        <f>IF(AND(A20&lt;&gt;"",ISNUMBER(A20)),VLOOKUP(A20,Studies!A:BR,3,FALSE),"")</f>
        <v>https://www.ncbi.nlm.nih.gov/pubmed/17050795</v>
      </c>
      <c r="D20" s="232" t="str">
        <f>IF(AND(A20&lt;&gt;"",ISNUMBER(A20)),VLOOKUP(A20,Studies!A:BR,4,FALSE),"")</f>
        <v>Day 5</v>
      </c>
      <c r="E20" s="206" t="str">
        <f>IF(AND(A20&lt;&gt;"",ISNUMBER(A20)),VLOOKUP(A20,Studies!A:BR,5,FALSE),"")</f>
        <v>Buspirone</v>
      </c>
      <c r="F20" s="198">
        <f>36+9*12</f>
        <v>144</v>
      </c>
      <c r="G20" s="198">
        <f t="shared" si="1"/>
        <v>156</v>
      </c>
      <c r="H20" s="198" t="s">
        <v>60</v>
      </c>
      <c r="I20" s="190">
        <v>0.69</v>
      </c>
      <c r="J20" s="190" t="s">
        <v>1024</v>
      </c>
      <c r="K20" s="190" t="s">
        <v>1029</v>
      </c>
      <c r="L20" s="191">
        <v>80</v>
      </c>
      <c r="M20" s="191" t="s">
        <v>517</v>
      </c>
      <c r="N20" s="191" t="s">
        <v>1030</v>
      </c>
      <c r="O20" s="190" t="s">
        <v>1028</v>
      </c>
      <c r="P20" s="192">
        <v>0.25</v>
      </c>
      <c r="Q20" s="192" t="s">
        <v>1026</v>
      </c>
      <c r="R20" s="192" t="s">
        <v>1029</v>
      </c>
      <c r="S20" s="193">
        <v>93</v>
      </c>
      <c r="T20" s="193" t="s">
        <v>517</v>
      </c>
      <c r="U20" s="193" t="s">
        <v>1030</v>
      </c>
      <c r="V20" s="192" t="s">
        <v>1027</v>
      </c>
      <c r="W20" s="196"/>
      <c r="X20" s="196"/>
      <c r="Y20" s="196"/>
      <c r="Z20" s="197"/>
      <c r="AA20" s="197"/>
      <c r="AB20" s="197"/>
      <c r="AC20" s="200"/>
      <c r="AD20" s="202"/>
      <c r="AE20" s="174">
        <f>IF(ISNUMBER(VLOOKUP(A20,NotghiID!A:A,1,FALSE)),1,0)</f>
        <v>0</v>
      </c>
    </row>
    <row r="21" spans="1:31" x14ac:dyDescent="0.2">
      <c r="A21" s="174">
        <v>124</v>
      </c>
      <c r="B21" s="232" t="str">
        <f>IF(AND(A21&lt;&gt;"",ISNUMBER(A21)),VLOOKUP(A21,Studies!A:BR,2,FALSE),"")</f>
        <v>Dockens 2006</v>
      </c>
      <c r="C21" s="232" t="str">
        <f>IF(AND(A21&lt;&gt;"",ISNUMBER(A21)),VLOOKUP(A21,Studies!A:BR,3,FALSE),"")</f>
        <v>https://www.ncbi.nlm.nih.gov/pubmed/17050795</v>
      </c>
      <c r="D21" s="232" t="str">
        <f>IF(AND(A21&lt;&gt;"",ISNUMBER(A21)),VLOOKUP(A21,Studies!A:BR,4,FALSE),"")</f>
        <v>Day 10</v>
      </c>
      <c r="E21" s="206" t="str">
        <f>IF(AND(A21&lt;&gt;"",ISNUMBER(A21)),VLOOKUP(A21,Studies!A:BR,5,FALSE),"")</f>
        <v>Buspirone</v>
      </c>
      <c r="F21" s="198">
        <f>36+19*12</f>
        <v>264</v>
      </c>
      <c r="G21" s="198">
        <f t="shared" si="1"/>
        <v>276</v>
      </c>
      <c r="H21" s="198" t="s">
        <v>60</v>
      </c>
      <c r="I21" s="190">
        <v>1</v>
      </c>
      <c r="J21" s="190" t="s">
        <v>1024</v>
      </c>
      <c r="K21" s="190" t="s">
        <v>1029</v>
      </c>
      <c r="L21" s="191">
        <v>73</v>
      </c>
      <c r="M21" s="191" t="s">
        <v>517</v>
      </c>
      <c r="N21" s="191" t="s">
        <v>1030</v>
      </c>
      <c r="O21" s="190" t="s">
        <v>1028</v>
      </c>
      <c r="P21" s="192">
        <v>0.44</v>
      </c>
      <c r="Q21" s="192" t="s">
        <v>1026</v>
      </c>
      <c r="R21" s="192" t="s">
        <v>1029</v>
      </c>
      <c r="S21" s="193">
        <v>83</v>
      </c>
      <c r="T21" s="193" t="s">
        <v>517</v>
      </c>
      <c r="U21" s="193" t="s">
        <v>1030</v>
      </c>
      <c r="V21" s="192" t="s">
        <v>1027</v>
      </c>
      <c r="W21" s="196"/>
      <c r="X21" s="196"/>
      <c r="Y21" s="196"/>
      <c r="Z21" s="197"/>
      <c r="AA21" s="197"/>
      <c r="AB21" s="197"/>
      <c r="AC21" s="200"/>
      <c r="AD21" s="202"/>
      <c r="AE21" s="174">
        <f>IF(ISNUMBER(VLOOKUP(A21,NotghiID!A:A,1,FALSE)),1,0)</f>
        <v>0</v>
      </c>
    </row>
    <row r="22" spans="1:31" x14ac:dyDescent="0.2">
      <c r="A22" s="174">
        <v>125</v>
      </c>
      <c r="B22" s="232" t="str">
        <f>IF(AND(A22&lt;&gt;"",ISNUMBER(A22)),VLOOKUP(A22,Studies!A:BR,2,FALSE),"")</f>
        <v>Dockens 2006</v>
      </c>
      <c r="C22" s="232" t="str">
        <f>IF(AND(A22&lt;&gt;"",ISNUMBER(A22)),VLOOKUP(A22,Studies!A:BR,3,FALSE),"")</f>
        <v>https://www.ncbi.nlm.nih.gov/pubmed/17050795</v>
      </c>
      <c r="D22" s="232" t="str">
        <f>IF(AND(A22&lt;&gt;"",ISNUMBER(A22)),VLOOKUP(A22,Studies!A:BR,4,FALSE),"")</f>
        <v>Day 15</v>
      </c>
      <c r="E22" s="206" t="str">
        <f>IF(AND(A22&lt;&gt;"",ISNUMBER(A22)),VLOOKUP(A22,Studies!A:BR,5,FALSE),"")</f>
        <v>Buspirone</v>
      </c>
      <c r="F22" s="198">
        <f>36+29*12</f>
        <v>384</v>
      </c>
      <c r="G22" s="198">
        <f t="shared" si="1"/>
        <v>396</v>
      </c>
      <c r="H22" s="198" t="s">
        <v>60</v>
      </c>
      <c r="I22" s="190">
        <v>2.2999999999999998</v>
      </c>
      <c r="J22" s="190" t="s">
        <v>1024</v>
      </c>
      <c r="K22" s="190" t="s">
        <v>1029</v>
      </c>
      <c r="L22" s="191">
        <v>73</v>
      </c>
      <c r="M22" s="191" t="s">
        <v>517</v>
      </c>
      <c r="N22" s="191" t="s">
        <v>1030</v>
      </c>
      <c r="O22" s="190" t="s">
        <v>1028</v>
      </c>
      <c r="P22" s="192">
        <v>1.1000000000000001</v>
      </c>
      <c r="Q22" s="192" t="s">
        <v>1026</v>
      </c>
      <c r="R22" s="192" t="s">
        <v>1029</v>
      </c>
      <c r="S22" s="193">
        <v>79</v>
      </c>
      <c r="T22" s="193" t="s">
        <v>517</v>
      </c>
      <c r="U22" s="193" t="s">
        <v>1030</v>
      </c>
      <c r="V22" s="192" t="s">
        <v>1027</v>
      </c>
      <c r="W22" s="196"/>
      <c r="X22" s="196"/>
      <c r="Y22" s="196"/>
      <c r="Z22" s="197"/>
      <c r="AA22" s="197"/>
      <c r="AB22" s="197"/>
      <c r="AC22" s="200"/>
      <c r="AD22" s="202"/>
      <c r="AE22" s="174">
        <f>IF(ISNUMBER(VLOOKUP(A22,NotghiID!A:A,1,FALSE)),1,0)</f>
        <v>0</v>
      </c>
    </row>
    <row r="23" spans="1:31" x14ac:dyDescent="0.2">
      <c r="A23" s="174">
        <v>126</v>
      </c>
      <c r="B23" s="232" t="str">
        <f>IF(AND(A23&lt;&gt;"",ISNUMBER(A23)),VLOOKUP(A23,Studies!A:BR,2,FALSE),"")</f>
        <v>Dockens 2006</v>
      </c>
      <c r="C23" s="232" t="str">
        <f>IF(AND(A23&lt;&gt;"",ISNUMBER(A23)),VLOOKUP(A23,Studies!A:BR,3,FALSE),"")</f>
        <v>https://www.ncbi.nlm.nih.gov/pubmed/17050795</v>
      </c>
      <c r="D23" s="232" t="str">
        <f>IF(AND(A23&lt;&gt;"",ISNUMBER(A23)),VLOOKUP(A23,Studies!A:BR,4,FALSE),"")</f>
        <v>Day 20</v>
      </c>
      <c r="E23" s="206" t="str">
        <f>IF(AND(A23&lt;&gt;"",ISNUMBER(A23)),VLOOKUP(A23,Studies!A:BR,5,FALSE),"")</f>
        <v>Buspirone</v>
      </c>
      <c r="F23" s="198">
        <f>36+39*12</f>
        <v>504</v>
      </c>
      <c r="G23" s="198">
        <f t="shared" si="1"/>
        <v>516</v>
      </c>
      <c r="H23" s="198" t="s">
        <v>60</v>
      </c>
      <c r="I23" s="190">
        <v>3.4</v>
      </c>
      <c r="J23" s="190" t="s">
        <v>1024</v>
      </c>
      <c r="K23" s="190" t="s">
        <v>1029</v>
      </c>
      <c r="L23" s="191">
        <v>64</v>
      </c>
      <c r="M23" s="191" t="s">
        <v>517</v>
      </c>
      <c r="N23" s="191" t="s">
        <v>1030</v>
      </c>
      <c r="O23" s="190" t="s">
        <v>1028</v>
      </c>
      <c r="P23" s="192">
        <v>1.3</v>
      </c>
      <c r="Q23" s="192" t="s">
        <v>1026</v>
      </c>
      <c r="R23" s="192" t="s">
        <v>1029</v>
      </c>
      <c r="S23" s="193">
        <v>63</v>
      </c>
      <c r="T23" s="193" t="s">
        <v>517</v>
      </c>
      <c r="U23" s="193" t="s">
        <v>1030</v>
      </c>
      <c r="V23" s="192" t="s">
        <v>1027</v>
      </c>
      <c r="W23" s="196"/>
      <c r="X23" s="196"/>
      <c r="Y23" s="196"/>
      <c r="Z23" s="197"/>
      <c r="AA23" s="197"/>
      <c r="AB23" s="197"/>
      <c r="AC23" s="200"/>
      <c r="AD23" s="202"/>
      <c r="AE23" s="174">
        <f>IF(ISNUMBER(VLOOKUP(A23,NotghiID!A:A,1,FALSE)),1,0)</f>
        <v>0</v>
      </c>
    </row>
    <row r="24" spans="1:31" x14ac:dyDescent="0.2">
      <c r="A24" s="174">
        <v>127</v>
      </c>
      <c r="B24" s="232" t="str">
        <f>IF(AND(A24&lt;&gt;"",ISNUMBER(A24)),VLOOKUP(A24,Studies!A:BR,2,FALSE),"")</f>
        <v>Dockens 2006</v>
      </c>
      <c r="C24" s="232" t="str">
        <f>IF(AND(A24&lt;&gt;"",ISNUMBER(A24)),VLOOKUP(A24,Studies!A:BR,3,FALSE),"")</f>
        <v>https://www.ncbi.nlm.nih.gov/pubmed/17050795</v>
      </c>
      <c r="D24" s="232" t="str">
        <f>IF(AND(A24&lt;&gt;"",ISNUMBER(A24)),VLOOKUP(A24,Studies!A:BR,4,FALSE),"")</f>
        <v>Day 25</v>
      </c>
      <c r="E24" s="206" t="str">
        <f>IF(AND(A24&lt;&gt;"",ISNUMBER(A24)),VLOOKUP(A24,Studies!A:BR,5,FALSE),"")</f>
        <v>Buspirone</v>
      </c>
      <c r="F24" s="198">
        <f>36+49*12</f>
        <v>624</v>
      </c>
      <c r="G24" s="198">
        <f t="shared" si="1"/>
        <v>636</v>
      </c>
      <c r="H24" s="198" t="s">
        <v>60</v>
      </c>
      <c r="I24" s="190">
        <v>4.7</v>
      </c>
      <c r="J24" s="190" t="s">
        <v>1024</v>
      </c>
      <c r="K24" s="190" t="s">
        <v>1029</v>
      </c>
      <c r="L24" s="191">
        <v>82</v>
      </c>
      <c r="M24" s="191" t="s">
        <v>517</v>
      </c>
      <c r="N24" s="191" t="s">
        <v>1030</v>
      </c>
      <c r="O24" s="190" t="s">
        <v>1028</v>
      </c>
      <c r="P24" s="192">
        <v>2</v>
      </c>
      <c r="Q24" s="192" t="s">
        <v>1026</v>
      </c>
      <c r="R24" s="192" t="s">
        <v>1029</v>
      </c>
      <c r="S24" s="193">
        <v>101</v>
      </c>
      <c r="T24" s="193" t="s">
        <v>517</v>
      </c>
      <c r="U24" s="193" t="s">
        <v>1030</v>
      </c>
      <c r="V24" s="192" t="s">
        <v>1027</v>
      </c>
      <c r="W24" s="196"/>
      <c r="X24" s="196"/>
      <c r="Y24" s="196"/>
      <c r="Z24" s="197"/>
      <c r="AA24" s="197"/>
      <c r="AB24" s="197"/>
      <c r="AC24" s="200"/>
      <c r="AD24" s="202"/>
      <c r="AE24" s="174">
        <f>IF(ISNUMBER(VLOOKUP(A24,NotghiID!A:A,1,FALSE)),1,0)</f>
        <v>0</v>
      </c>
    </row>
    <row r="25" spans="1:31" x14ac:dyDescent="0.2">
      <c r="A25" s="174">
        <v>134</v>
      </c>
      <c r="B25" s="232" t="str">
        <f>IF(AND(A25&lt;&gt;"",ISNUMBER(A25)),VLOOKUP(A25,Studies!A:BR,2,FALSE),"")</f>
        <v>Edwards 2006</v>
      </c>
      <c r="C25" s="232" t="str">
        <f>IF(AND(A25&lt;&gt;"",ISNUMBER(A25)),VLOOKUP(A25,Studies!A:BR,3,FALSE),"")</f>
        <v>https://www.ncbi.nlm.nih.gov/pubmed/16638734</v>
      </c>
      <c r="D25" s="232" t="str">
        <f>IF(AND(A25&lt;&gt;"",ISNUMBER(A25)),VLOOKUP(A25,Studies!A:BR,4,FALSE),"")</f>
        <v>Autistic children</v>
      </c>
      <c r="E25" s="206" t="str">
        <f>IF(AND(A25&lt;&gt;"",ISNUMBER(A25)),VLOOKUP(A25,Studies!A:BR,5,FALSE),"")</f>
        <v>Buspirone</v>
      </c>
      <c r="F25" s="198">
        <v>0</v>
      </c>
      <c r="G25" s="198" t="s">
        <v>1023</v>
      </c>
      <c r="H25" s="198" t="s">
        <v>60</v>
      </c>
      <c r="I25" s="190"/>
      <c r="J25" s="190"/>
      <c r="K25" s="190"/>
      <c r="L25" s="191"/>
      <c r="M25" s="191"/>
      <c r="N25" s="191"/>
      <c r="O25" s="190"/>
      <c r="P25" s="192">
        <v>1141.3</v>
      </c>
      <c r="Q25" s="192" t="s">
        <v>1031</v>
      </c>
      <c r="R25" s="192" t="s">
        <v>116</v>
      </c>
      <c r="S25" s="193">
        <v>748</v>
      </c>
      <c r="T25" s="193" t="s">
        <v>1031</v>
      </c>
      <c r="U25" s="193" t="s">
        <v>117</v>
      </c>
      <c r="V25" s="192" t="s">
        <v>1027</v>
      </c>
      <c r="W25" s="196">
        <v>87.8</v>
      </c>
      <c r="X25" s="196" t="s">
        <v>1032</v>
      </c>
      <c r="Y25" s="196" t="s">
        <v>116</v>
      </c>
      <c r="Z25" s="197">
        <v>44.8</v>
      </c>
      <c r="AA25" s="197" t="s">
        <v>1032</v>
      </c>
      <c r="AB25" s="197" t="s">
        <v>117</v>
      </c>
      <c r="AC25" s="200" t="s">
        <v>1033</v>
      </c>
      <c r="AD25" s="202"/>
      <c r="AE25" s="174">
        <f>IF(ISNUMBER(VLOOKUP(A25,NotghiID!A:A,1,FALSE)),1,0)</f>
        <v>0</v>
      </c>
    </row>
    <row r="26" spans="1:31" x14ac:dyDescent="0.2">
      <c r="A26" s="174">
        <v>168</v>
      </c>
      <c r="B26" s="232" t="str">
        <f>IF(AND(A26&lt;&gt;"",ISNUMBER(A26)),VLOOKUP(A26,Studies!A:BR,2,FALSE),"")</f>
        <v>Gammans 1986</v>
      </c>
      <c r="C26" s="232" t="str">
        <f>IF(AND(A26&lt;&gt;"",ISNUMBER(A26)),VLOOKUP(A26,Studies!A:BR,3,FALSE),"")</f>
        <v>https://www.ncbi.nlm.nih.gov/pubmed/16638734</v>
      </c>
      <c r="D26" s="232" t="str">
        <f>IF(AND(A26&lt;&gt;"",ISNUMBER(A26)),VLOOKUP(A26,Studies!A:BR,4,FALSE),"")</f>
        <v>Intravenous 1mg (n=8)</v>
      </c>
      <c r="E26" s="206" t="str">
        <f>IF(AND(A26&lt;&gt;"",ISNUMBER(A26)),VLOOKUP(A26,Studies!A:BR,5,FALSE),"")</f>
        <v>Buspirone</v>
      </c>
      <c r="F26" s="198">
        <v>0</v>
      </c>
      <c r="G26" s="198" t="s">
        <v>1023</v>
      </c>
      <c r="H26" s="198" t="s">
        <v>60</v>
      </c>
      <c r="I26" s="190">
        <v>9.25</v>
      </c>
      <c r="J26" s="190" t="s">
        <v>1024</v>
      </c>
      <c r="K26" s="190" t="s">
        <v>116</v>
      </c>
      <c r="L26" s="191">
        <v>5.42</v>
      </c>
      <c r="M26" s="191" t="s">
        <v>1024</v>
      </c>
      <c r="N26" s="191" t="s">
        <v>1034</v>
      </c>
      <c r="O26" s="190" t="s">
        <v>1025</v>
      </c>
      <c r="P26" s="192"/>
      <c r="Q26" s="192"/>
      <c r="R26" s="192"/>
      <c r="S26" s="193"/>
      <c r="T26" s="193"/>
      <c r="U26" s="193"/>
      <c r="V26" s="201"/>
      <c r="W26" s="196"/>
      <c r="X26" s="196"/>
      <c r="Y26" s="196"/>
      <c r="Z26" s="197"/>
      <c r="AA26" s="197"/>
      <c r="AB26" s="197"/>
      <c r="AC26" s="200"/>
      <c r="AD26" s="202"/>
      <c r="AE26" s="174">
        <f>IF(ISNUMBER(VLOOKUP(A26,NotghiID!A:A,1,FALSE)),1,0)</f>
        <v>0</v>
      </c>
    </row>
    <row r="27" spans="1:31" x14ac:dyDescent="0.2">
      <c r="A27" s="174">
        <v>169</v>
      </c>
      <c r="B27" s="232" t="str">
        <f>IF(AND(A27&lt;&gt;"",ISNUMBER(A27)),VLOOKUP(A27,Studies!A:BR,2,FALSE),"")</f>
        <v>Gammans 1986</v>
      </c>
      <c r="C27" s="232" t="str">
        <f>IF(AND(A27&lt;&gt;"",ISNUMBER(A27)),VLOOKUP(A27,Studies!A:BR,3,FALSE),"")</f>
        <v>https://www.ncbi.nlm.nih.gov/pubmed/16638734</v>
      </c>
      <c r="D27" s="232" t="str">
        <f>IF(AND(A27&lt;&gt;"",ISNUMBER(A27)),VLOOKUP(A27,Studies!A:BR,4,FALSE),"")</f>
        <v>Oral 20 mg (n=8)</v>
      </c>
      <c r="E27" s="206" t="str">
        <f>IF(AND(A27&lt;&gt;"",ISNUMBER(A27)),VLOOKUP(A27,Studies!A:BR,5,FALSE),"")</f>
        <v>Buspirone</v>
      </c>
      <c r="F27" s="198">
        <v>0</v>
      </c>
      <c r="G27" s="198" t="s">
        <v>1023</v>
      </c>
      <c r="H27" s="198" t="s">
        <v>60</v>
      </c>
      <c r="I27" s="190">
        <v>6.31</v>
      </c>
      <c r="J27" s="190" t="s">
        <v>1024</v>
      </c>
      <c r="K27" s="190" t="s">
        <v>116</v>
      </c>
      <c r="L27" s="191">
        <v>6.31</v>
      </c>
      <c r="M27" s="191" t="s">
        <v>1024</v>
      </c>
      <c r="N27" s="191" t="s">
        <v>1034</v>
      </c>
      <c r="O27" s="190" t="s">
        <v>1025</v>
      </c>
      <c r="P27" s="192">
        <v>2.4700000000000002</v>
      </c>
      <c r="Q27" s="192" t="s">
        <v>1026</v>
      </c>
      <c r="R27" s="192" t="s">
        <v>116</v>
      </c>
      <c r="S27" s="193">
        <v>2.11</v>
      </c>
      <c r="T27" s="193" t="s">
        <v>1026</v>
      </c>
      <c r="U27" s="193" t="s">
        <v>1034</v>
      </c>
      <c r="V27" s="201" t="s">
        <v>1027</v>
      </c>
      <c r="W27" s="196"/>
      <c r="X27" s="196"/>
      <c r="Y27" s="196"/>
      <c r="Z27" s="197"/>
      <c r="AA27" s="197"/>
      <c r="AB27" s="197"/>
      <c r="AC27" s="200"/>
      <c r="AD27" s="202"/>
      <c r="AE27" s="174">
        <f>IF(ISNUMBER(VLOOKUP(A27,NotghiID!A:A,1,FALSE)),1,0)</f>
        <v>0</v>
      </c>
    </row>
    <row r="28" spans="1:31" x14ac:dyDescent="0.2">
      <c r="A28" s="174">
        <v>165</v>
      </c>
      <c r="B28" s="232" t="str">
        <f>IF(AND(A28&lt;&gt;"",ISNUMBER(A28)),VLOOKUP(A28,Studies!A:BR,2,FALSE),"")</f>
        <v>Gammans 1985</v>
      </c>
      <c r="C28" s="232" t="str">
        <f>IF(AND(A28&lt;&gt;"",ISNUMBER(A28)),VLOOKUP(A28,Studies!A:BR,3,FALSE),"")</f>
        <v>https://www.ncbi.nlm.nih.gov/pubmed/2860931</v>
      </c>
      <c r="D28" s="232" t="str">
        <f>IF(AND(A28&lt;&gt;"",ISNUMBER(A28)),VLOOKUP(A28,Studies!A:BR,4,FALSE),"")</f>
        <v>10 mg</v>
      </c>
      <c r="E28" s="206" t="str">
        <f>IF(AND(A28&lt;&gt;"",ISNUMBER(A28)),VLOOKUP(A28,Studies!A:BR,5,FALSE),"")</f>
        <v>Buspirone</v>
      </c>
      <c r="F28" s="198">
        <v>0</v>
      </c>
      <c r="G28" s="198" t="s">
        <v>1023</v>
      </c>
      <c r="H28" s="198" t="s">
        <v>60</v>
      </c>
      <c r="I28" s="190">
        <v>2.7</v>
      </c>
      <c r="J28" s="190" t="s">
        <v>1024</v>
      </c>
      <c r="K28" s="190" t="s">
        <v>116</v>
      </c>
      <c r="L28" s="191">
        <v>1.4</v>
      </c>
      <c r="M28" s="191" t="s">
        <v>1024</v>
      </c>
      <c r="N28" s="191" t="s">
        <v>117</v>
      </c>
      <c r="O28" s="190" t="s">
        <v>1025</v>
      </c>
      <c r="P28" s="192">
        <v>0.88</v>
      </c>
      <c r="Q28" s="192" t="s">
        <v>1026</v>
      </c>
      <c r="R28" s="192" t="s">
        <v>116</v>
      </c>
      <c r="S28" s="193">
        <v>0.4</v>
      </c>
      <c r="T28" s="193" t="s">
        <v>1026</v>
      </c>
      <c r="U28" s="193" t="s">
        <v>1034</v>
      </c>
      <c r="V28" s="192" t="s">
        <v>1027</v>
      </c>
      <c r="W28" s="196"/>
      <c r="X28" s="196"/>
      <c r="Y28" s="196"/>
      <c r="Z28" s="197"/>
      <c r="AA28" s="197"/>
      <c r="AB28" s="197"/>
      <c r="AC28" s="200"/>
      <c r="AD28" s="202" t="s">
        <v>1035</v>
      </c>
      <c r="AE28" s="174">
        <f>IF(ISNUMBER(VLOOKUP(A28,NotghiID!A:A,1,FALSE)),1,0)</f>
        <v>0</v>
      </c>
    </row>
    <row r="29" spans="1:31" x14ac:dyDescent="0.2">
      <c r="A29" s="174">
        <v>166</v>
      </c>
      <c r="B29" s="232" t="str">
        <f>IF(AND(A29&lt;&gt;"",ISNUMBER(A29)),VLOOKUP(A29,Studies!A:BR,2,FALSE),"")</f>
        <v>Gammans 1985</v>
      </c>
      <c r="C29" s="232" t="str">
        <f>IF(AND(A29&lt;&gt;"",ISNUMBER(A29)),VLOOKUP(A29,Studies!A:BR,3,FALSE),"")</f>
        <v>https://www.ncbi.nlm.nih.gov/pubmed/2860931</v>
      </c>
      <c r="D29" s="232" t="str">
        <f>IF(AND(A29&lt;&gt;"",ISNUMBER(A29)),VLOOKUP(A29,Studies!A:BR,4,FALSE),"")</f>
        <v>20 mg</v>
      </c>
      <c r="E29" s="206" t="str">
        <f>IF(AND(A29&lt;&gt;"",ISNUMBER(A29)),VLOOKUP(A29,Studies!A:BR,5,FALSE),"")</f>
        <v>Buspirone</v>
      </c>
      <c r="F29" s="198">
        <v>0</v>
      </c>
      <c r="G29" s="198" t="s">
        <v>1023</v>
      </c>
      <c r="H29" s="198" t="s">
        <v>60</v>
      </c>
      <c r="I29" s="190">
        <v>4.6900000000000004</v>
      </c>
      <c r="J29" s="190" t="s">
        <v>1024</v>
      </c>
      <c r="K29" s="190" t="s">
        <v>116</v>
      </c>
      <c r="L29" s="191">
        <v>2.4</v>
      </c>
      <c r="M29" s="191" t="s">
        <v>1024</v>
      </c>
      <c r="N29" s="191" t="s">
        <v>117</v>
      </c>
      <c r="O29" s="190" t="s">
        <v>1025</v>
      </c>
      <c r="P29" s="192">
        <v>1.66</v>
      </c>
      <c r="Q29" s="192" t="s">
        <v>1026</v>
      </c>
      <c r="R29" s="192" t="s">
        <v>116</v>
      </c>
      <c r="S29" s="193">
        <v>1</v>
      </c>
      <c r="T29" s="193" t="s">
        <v>1026</v>
      </c>
      <c r="U29" s="193" t="s">
        <v>1034</v>
      </c>
      <c r="V29" s="192" t="s">
        <v>1027</v>
      </c>
      <c r="W29" s="196"/>
      <c r="X29" s="196"/>
      <c r="Y29" s="196"/>
      <c r="Z29" s="197"/>
      <c r="AA29" s="197"/>
      <c r="AB29" s="197"/>
      <c r="AC29" s="200"/>
      <c r="AD29" s="202" t="s">
        <v>1035</v>
      </c>
      <c r="AE29" s="174">
        <f>IF(ISNUMBER(VLOOKUP(A29,NotghiID!A:A,1,FALSE)),1,0)</f>
        <v>0</v>
      </c>
    </row>
    <row r="30" spans="1:31" x14ac:dyDescent="0.2">
      <c r="A30" s="174">
        <v>167</v>
      </c>
      <c r="B30" s="232" t="str">
        <f>IF(AND(A30&lt;&gt;"",ISNUMBER(A30)),VLOOKUP(A30,Studies!A:BR,2,FALSE),"")</f>
        <v>Gammans 1985</v>
      </c>
      <c r="C30" s="232" t="str">
        <f>IF(AND(A30&lt;&gt;"",ISNUMBER(A30)),VLOOKUP(A30,Studies!A:BR,3,FALSE),"")</f>
        <v>https://www.ncbi.nlm.nih.gov/pubmed/2860931</v>
      </c>
      <c r="D30" s="232" t="str">
        <f>IF(AND(A30&lt;&gt;"",ISNUMBER(A30)),VLOOKUP(A30,Studies!A:BR,4,FALSE),"")</f>
        <v>40 mg</v>
      </c>
      <c r="E30" s="206" t="str">
        <f>IF(AND(A30&lt;&gt;"",ISNUMBER(A30)),VLOOKUP(A30,Studies!A:BR,5,FALSE),"")</f>
        <v>Buspirone</v>
      </c>
      <c r="F30" s="198">
        <v>0</v>
      </c>
      <c r="G30" s="198" t="s">
        <v>1023</v>
      </c>
      <c r="H30" s="198" t="s">
        <v>60</v>
      </c>
      <c r="I30" s="190">
        <v>9.43</v>
      </c>
      <c r="J30" s="190" t="s">
        <v>1024</v>
      </c>
      <c r="K30" s="190" t="s">
        <v>116</v>
      </c>
      <c r="L30" s="191">
        <v>4.9000000000000004</v>
      </c>
      <c r="M30" s="191" t="s">
        <v>1024</v>
      </c>
      <c r="N30" s="191" t="s">
        <v>117</v>
      </c>
      <c r="O30" s="190" t="s">
        <v>1025</v>
      </c>
      <c r="P30" s="192">
        <v>3.22</v>
      </c>
      <c r="Q30" s="192" t="s">
        <v>1026</v>
      </c>
      <c r="R30" s="192" t="s">
        <v>116</v>
      </c>
      <c r="S30" s="193">
        <v>2</v>
      </c>
      <c r="T30" s="193" t="s">
        <v>1026</v>
      </c>
      <c r="U30" s="193" t="s">
        <v>1034</v>
      </c>
      <c r="V30" s="192" t="s">
        <v>1027</v>
      </c>
      <c r="W30" s="196"/>
      <c r="X30" s="196"/>
      <c r="Y30" s="196"/>
      <c r="Z30" s="197"/>
      <c r="AA30" s="197"/>
      <c r="AB30" s="197"/>
      <c r="AC30" s="200"/>
      <c r="AD30" s="202" t="s">
        <v>1035</v>
      </c>
      <c r="AE30" s="174">
        <f>IF(ISNUMBER(VLOOKUP(A30,NotghiID!A:A,1,FALSE)),1,0)</f>
        <v>0</v>
      </c>
    </row>
    <row r="31" spans="1:31" x14ac:dyDescent="0.2">
      <c r="A31" s="174">
        <v>230</v>
      </c>
      <c r="B31" s="232" t="str">
        <f>IF(AND(A31&lt;&gt;"",ISNUMBER(A31)),VLOOKUP(A31,Studies!A:BR,2,FALSE),"")</f>
        <v>Hanley 2013</v>
      </c>
      <c r="C31" s="232" t="str">
        <f>IF(AND(A31&lt;&gt;"",ISNUMBER(A31)),VLOOKUP(A31,Studies!A:BR,3,FALSE),"")</f>
        <v>https://www.ncbi.nlm.nih.gov/pubmed/22943633</v>
      </c>
      <c r="D31" s="232" t="str">
        <f>IF(AND(A31&lt;&gt;"",ISNUMBER(A31)),VLOOKUP(A31,Studies!A:BR,4,FALSE),"")</f>
        <v>Control (Perpetrator Placebo)</v>
      </c>
      <c r="E31" s="206" t="str">
        <f>IF(AND(A31&lt;&gt;"",ISNUMBER(A31)),VLOOKUP(A31,Studies!A:BR,5,FALSE),"")</f>
        <v>Buspirone</v>
      </c>
      <c r="F31" s="198">
        <v>0</v>
      </c>
      <c r="G31" s="198" t="s">
        <v>1023</v>
      </c>
      <c r="H31" s="198" t="s">
        <v>60</v>
      </c>
      <c r="I31" s="190">
        <v>3.11</v>
      </c>
      <c r="J31" s="190" t="s">
        <v>1024</v>
      </c>
      <c r="K31" s="190" t="s">
        <v>116</v>
      </c>
      <c r="L31" s="191">
        <v>0.52</v>
      </c>
      <c r="M31" s="191" t="s">
        <v>1024</v>
      </c>
      <c r="N31" s="191" t="s">
        <v>1034</v>
      </c>
      <c r="O31" s="190" t="s">
        <v>1025</v>
      </c>
      <c r="P31" s="192">
        <v>1.1399999999999999</v>
      </c>
      <c r="Q31" s="192" t="s">
        <v>1026</v>
      </c>
      <c r="R31" s="192" t="s">
        <v>116</v>
      </c>
      <c r="S31" s="193">
        <v>0.24</v>
      </c>
      <c r="T31" s="193" t="s">
        <v>1026</v>
      </c>
      <c r="U31" s="193" t="s">
        <v>1034</v>
      </c>
      <c r="V31" s="192" t="s">
        <v>1027</v>
      </c>
      <c r="W31" s="196">
        <v>78</v>
      </c>
      <c r="X31" s="196" t="s">
        <v>1036</v>
      </c>
      <c r="Y31" s="196" t="s">
        <v>116</v>
      </c>
      <c r="Z31" s="197">
        <v>20</v>
      </c>
      <c r="AA31" s="197" t="s">
        <v>1036</v>
      </c>
      <c r="AB31" s="197" t="s">
        <v>1034</v>
      </c>
      <c r="AC31" s="200" t="s">
        <v>1033</v>
      </c>
      <c r="AD31" s="202"/>
      <c r="AE31" s="174">
        <f>IF(ISNUMBER(VLOOKUP(A31,NotghiID!A:A,1,FALSE)),1,0)</f>
        <v>0</v>
      </c>
    </row>
    <row r="32" spans="1:31" x14ac:dyDescent="0.2">
      <c r="A32" s="174">
        <v>231</v>
      </c>
      <c r="B32" s="232" t="str">
        <f>IF(AND(A32&lt;&gt;"",ISNUMBER(A32)),VLOOKUP(A32,Studies!A:BR,2,FALSE),"")</f>
        <v>Hanley 2013</v>
      </c>
      <c r="C32" s="232" t="str">
        <f>IF(AND(A32&lt;&gt;"",ISNUMBER(A32)),VLOOKUP(A32,Studies!A:BR,3,FALSE),"")</f>
        <v>https://www.ncbi.nlm.nih.gov/pubmed/22943633</v>
      </c>
      <c r="D32" s="232" t="str">
        <f>IF(AND(A32&lt;&gt;"",ISNUMBER(A32)),VLOOKUP(A32,Studies!A:BR,4,FALSE),"")</f>
        <v>with Perpetrator (GFJ)</v>
      </c>
      <c r="E32" s="206" t="str">
        <f>IF(AND(A32&lt;&gt;"",ISNUMBER(A32)),VLOOKUP(A32,Studies!A:BR,5,FALSE),"")</f>
        <v>Buspirone</v>
      </c>
      <c r="F32" s="198">
        <v>15</v>
      </c>
      <c r="G32" s="198" t="s">
        <v>1023</v>
      </c>
      <c r="H32" s="198" t="s">
        <v>60</v>
      </c>
      <c r="I32" s="190">
        <v>6.15</v>
      </c>
      <c r="J32" s="190" t="s">
        <v>1024</v>
      </c>
      <c r="K32" s="190" t="s">
        <v>116</v>
      </c>
      <c r="L32" s="191">
        <v>0.92</v>
      </c>
      <c r="M32" s="191" t="s">
        <v>1024</v>
      </c>
      <c r="N32" s="191" t="s">
        <v>1034</v>
      </c>
      <c r="O32" s="190" t="s">
        <v>1025</v>
      </c>
      <c r="P32" s="192">
        <v>1.53</v>
      </c>
      <c r="Q32" s="192" t="s">
        <v>1026</v>
      </c>
      <c r="R32" s="192" t="s">
        <v>116</v>
      </c>
      <c r="S32" s="193">
        <v>0.2</v>
      </c>
      <c r="T32" s="193" t="s">
        <v>1026</v>
      </c>
      <c r="U32" s="193" t="s">
        <v>1034</v>
      </c>
      <c r="V32" s="192" t="s">
        <v>1027</v>
      </c>
      <c r="W32" s="196">
        <v>33</v>
      </c>
      <c r="X32" s="196" t="s">
        <v>1036</v>
      </c>
      <c r="Y32" s="196" t="s">
        <v>116</v>
      </c>
      <c r="Z32" s="197">
        <v>7</v>
      </c>
      <c r="AA32" s="197" t="s">
        <v>1036</v>
      </c>
      <c r="AB32" s="197" t="s">
        <v>1034</v>
      </c>
      <c r="AC32" s="200" t="s">
        <v>1033</v>
      </c>
      <c r="AD32" s="202"/>
      <c r="AE32" s="174">
        <f>IF(ISNUMBER(VLOOKUP(A32,NotghiID!A:A,1,FALSE)),1,0)</f>
        <v>0</v>
      </c>
    </row>
    <row r="33" spans="1:31" x14ac:dyDescent="0.2">
      <c r="A33" s="174">
        <v>317</v>
      </c>
      <c r="B33" s="232" t="str">
        <f>IF(AND(A33&lt;&gt;"",ISNUMBER(A33)),VLOOKUP(A33,Studies!A:BR,2,FALSE),"")</f>
        <v>Kivistö 1997</v>
      </c>
      <c r="C33" s="232" t="str">
        <f>IF(AND(A33&lt;&gt;"",ISNUMBER(A33)),VLOOKUP(A33,Studies!A:BR,3,FALSE),"")</f>
        <v>https://www.ncbi.nlm.nih.gov/pubmed/9333111</v>
      </c>
      <c r="D33" s="232" t="str">
        <f>IF(AND(A33&lt;&gt;"",ISNUMBER(A33)),VLOOKUP(A33,Studies!A:BR,4,FALSE),"")</f>
        <v>Control (Perpetrator Placebo)</v>
      </c>
      <c r="E33" s="206" t="str">
        <f>IF(AND(A33&lt;&gt;"",ISNUMBER(A33)),VLOOKUP(A33,Studies!A:BR,5,FALSE),"")</f>
        <v>Buspirone</v>
      </c>
      <c r="F33" s="198">
        <v>0</v>
      </c>
      <c r="G33" s="198" t="s">
        <v>1023</v>
      </c>
      <c r="H33" s="198" t="s">
        <v>60</v>
      </c>
      <c r="I33" s="190">
        <v>3.3</v>
      </c>
      <c r="J33" s="190" t="s">
        <v>1024</v>
      </c>
      <c r="K33" s="190" t="s">
        <v>116</v>
      </c>
      <c r="L33" s="191">
        <v>3.9</v>
      </c>
      <c r="M33" s="191" t="s">
        <v>1024</v>
      </c>
      <c r="N33" s="191" t="s">
        <v>117</v>
      </c>
      <c r="O33" s="190" t="s">
        <v>1025</v>
      </c>
      <c r="P33" s="192">
        <v>1</v>
      </c>
      <c r="Q33" s="192" t="s">
        <v>1026</v>
      </c>
      <c r="R33" s="192" t="s">
        <v>116</v>
      </c>
      <c r="S33" s="193">
        <v>0.99</v>
      </c>
      <c r="T33" s="193" t="s">
        <v>1026</v>
      </c>
      <c r="U33" s="193" t="s">
        <v>117</v>
      </c>
      <c r="V33" s="192" t="s">
        <v>1027</v>
      </c>
      <c r="W33" s="196"/>
      <c r="X33" s="196"/>
      <c r="Y33" s="196"/>
      <c r="Z33" s="197"/>
      <c r="AA33" s="197"/>
      <c r="AB33" s="197"/>
      <c r="AC33" s="200"/>
      <c r="AD33" s="202"/>
      <c r="AE33" s="174">
        <f>IF(ISNUMBER(VLOOKUP(A33,NotghiID!A:A,1,FALSE)),1,0)</f>
        <v>0</v>
      </c>
    </row>
    <row r="34" spans="1:31" x14ac:dyDescent="0.2">
      <c r="A34" s="174">
        <v>318</v>
      </c>
      <c r="B34" s="232" t="str">
        <f>IF(AND(A34&lt;&gt;"",ISNUMBER(A34)),VLOOKUP(A34,Studies!A:BR,2,FALSE),"")</f>
        <v>Kivistö 1997</v>
      </c>
      <c r="C34" s="232" t="str">
        <f>IF(AND(A34&lt;&gt;"",ISNUMBER(A34)),VLOOKUP(A34,Studies!A:BR,3,FALSE),"")</f>
        <v>https://www.ncbi.nlm.nih.gov/pubmed/9333111</v>
      </c>
      <c r="D34" s="232" t="str">
        <f>IF(AND(A34&lt;&gt;"",ISNUMBER(A34)),VLOOKUP(A34,Studies!A:BR,4,FALSE),"")</f>
        <v>with Perpetrator (Erythromycin)</v>
      </c>
      <c r="E34" s="206" t="str">
        <f>IF(AND(A34&lt;&gt;"",ISNUMBER(A34)),VLOOKUP(A34,Studies!A:BR,5,FALSE),"")</f>
        <v>Buspirone</v>
      </c>
      <c r="F34" s="198">
        <v>79</v>
      </c>
      <c r="G34" s="198" t="s">
        <v>1023</v>
      </c>
      <c r="H34" s="198" t="s">
        <v>60</v>
      </c>
      <c r="I34" s="190">
        <v>19.5</v>
      </c>
      <c r="J34" s="190" t="s">
        <v>1024</v>
      </c>
      <c r="K34" s="190" t="s">
        <v>116</v>
      </c>
      <c r="L34" s="191">
        <v>13.6</v>
      </c>
      <c r="M34" s="191" t="s">
        <v>1024</v>
      </c>
      <c r="N34" s="191" t="s">
        <v>117</v>
      </c>
      <c r="O34" s="190" t="s">
        <v>1025</v>
      </c>
      <c r="P34" s="192">
        <v>5</v>
      </c>
      <c r="Q34" s="192" t="s">
        <v>1026</v>
      </c>
      <c r="R34" s="192" t="s">
        <v>116</v>
      </c>
      <c r="S34" s="193">
        <v>2.2999999999999998</v>
      </c>
      <c r="T34" s="193" t="s">
        <v>1026</v>
      </c>
      <c r="U34" s="193" t="s">
        <v>117</v>
      </c>
      <c r="V34" s="192" t="s">
        <v>1027</v>
      </c>
      <c r="W34" s="196"/>
      <c r="X34" s="196"/>
      <c r="Y34" s="196"/>
      <c r="Z34" s="197"/>
      <c r="AA34" s="197"/>
      <c r="AB34" s="197"/>
      <c r="AC34" s="200"/>
      <c r="AD34" s="202"/>
      <c r="AE34" s="174">
        <f>IF(ISNUMBER(VLOOKUP(A34,NotghiID!A:A,1,FALSE)),1,0)</f>
        <v>0</v>
      </c>
    </row>
    <row r="35" spans="1:31" x14ac:dyDescent="0.2">
      <c r="A35" s="174">
        <v>320</v>
      </c>
      <c r="B35" s="232" t="str">
        <f>IF(AND(A35&lt;&gt;"",ISNUMBER(A35)),VLOOKUP(A35,Studies!A:BR,2,FALSE),"")</f>
        <v>Kivistö 1997</v>
      </c>
      <c r="C35" s="232" t="str">
        <f>IF(AND(A35&lt;&gt;"",ISNUMBER(A35)),VLOOKUP(A35,Studies!A:BR,3,FALSE),"")</f>
        <v>https://www.ncbi.nlm.nih.gov/pubmed/9333111</v>
      </c>
      <c r="D35" s="232" t="str">
        <f>IF(AND(A35&lt;&gt;"",ISNUMBER(A35)),VLOOKUP(A35,Studies!A:BR,4,FALSE),"")</f>
        <v>with Perpetrator (Itraconazole)</v>
      </c>
      <c r="E35" s="206" t="str">
        <f>IF(AND(A35&lt;&gt;"",ISNUMBER(A35)),VLOOKUP(A35,Studies!A:BR,5,FALSE),"")</f>
        <v>Buspirone</v>
      </c>
      <c r="F35" s="198">
        <v>79</v>
      </c>
      <c r="G35" s="198" t="s">
        <v>1023</v>
      </c>
      <c r="H35" s="198" t="s">
        <v>60</v>
      </c>
      <c r="I35" s="190">
        <v>63.2</v>
      </c>
      <c r="J35" s="190" t="s">
        <v>1024</v>
      </c>
      <c r="K35" s="190" t="s">
        <v>116</v>
      </c>
      <c r="L35" s="191">
        <v>29.5</v>
      </c>
      <c r="M35" s="191" t="s">
        <v>1024</v>
      </c>
      <c r="N35" s="191" t="s">
        <v>117</v>
      </c>
      <c r="O35" s="190" t="s">
        <v>1025</v>
      </c>
      <c r="P35" s="192">
        <v>13.4</v>
      </c>
      <c r="Q35" s="192" t="s">
        <v>1026</v>
      </c>
      <c r="R35" s="192" t="s">
        <v>116</v>
      </c>
      <c r="S35" s="193">
        <v>3.9</v>
      </c>
      <c r="T35" s="193" t="s">
        <v>1026</v>
      </c>
      <c r="U35" s="193" t="s">
        <v>117</v>
      </c>
      <c r="V35" s="192" t="s">
        <v>1027</v>
      </c>
      <c r="W35" s="196"/>
      <c r="X35" s="196"/>
      <c r="Y35" s="196"/>
      <c r="Z35" s="197"/>
      <c r="AA35" s="197"/>
      <c r="AB35" s="197"/>
      <c r="AC35" s="200"/>
      <c r="AD35" s="202"/>
      <c r="AE35" s="174">
        <f>IF(ISNUMBER(VLOOKUP(A35,NotghiID!A:A,1,FALSE)),1,0)</f>
        <v>0</v>
      </c>
    </row>
    <row r="36" spans="1:31" x14ac:dyDescent="0.2">
      <c r="A36" s="174">
        <v>326</v>
      </c>
      <c r="B36" s="232" t="str">
        <f>IF(AND(A36&lt;&gt;"",ISNUMBER(A36)),VLOOKUP(A36,Studies!A:BR,2,FALSE),"")</f>
        <v>Lamberg 1998a</v>
      </c>
      <c r="C36" s="232" t="str">
        <f>IF(AND(A36&lt;&gt;"",ISNUMBER(A36)),VLOOKUP(A36,Studies!A:BR,3,FALSE),"")</f>
        <v>https://www.ncbi.nlm.nih.gov/pubmed/9923581</v>
      </c>
      <c r="D36" s="232" t="str">
        <f>IF(AND(A36&lt;&gt;"",ISNUMBER(A36)),VLOOKUP(A36,Studies!A:BR,4,FALSE),"")</f>
        <v>Control (Perpetrator Placebo)</v>
      </c>
      <c r="E36" s="206" t="str">
        <f>IF(AND(A36&lt;&gt;"",ISNUMBER(A36)),VLOOKUP(A36,Studies!A:BR,5,FALSE),"")</f>
        <v>Buspirone</v>
      </c>
      <c r="F36" s="198">
        <v>0</v>
      </c>
      <c r="G36" s="198" t="s">
        <v>1023</v>
      </c>
      <c r="H36" s="198" t="s">
        <v>60</v>
      </c>
      <c r="I36" s="190">
        <v>4.8099999999999996</v>
      </c>
      <c r="J36" s="190" t="s">
        <v>1024</v>
      </c>
      <c r="K36" s="190" t="s">
        <v>116</v>
      </c>
      <c r="L36" s="191">
        <v>2.75</v>
      </c>
      <c r="M36" s="191" t="s">
        <v>1024</v>
      </c>
      <c r="N36" s="191" t="s">
        <v>117</v>
      </c>
      <c r="O36" s="190" t="s">
        <v>1025</v>
      </c>
      <c r="P36" s="192">
        <v>1.87</v>
      </c>
      <c r="Q36" s="192" t="s">
        <v>1026</v>
      </c>
      <c r="R36" s="192" t="s">
        <v>116</v>
      </c>
      <c r="S36" s="193">
        <v>1.17</v>
      </c>
      <c r="T36" s="193" t="s">
        <v>1026</v>
      </c>
      <c r="U36" s="193" t="s">
        <v>117</v>
      </c>
      <c r="V36" s="192" t="s">
        <v>1027</v>
      </c>
      <c r="W36" s="196"/>
      <c r="X36" s="196"/>
      <c r="Y36" s="196"/>
      <c r="Z36" s="197"/>
      <c r="AA36" s="197"/>
      <c r="AB36" s="197"/>
      <c r="AC36" s="200"/>
      <c r="AD36" s="202"/>
      <c r="AE36" s="174">
        <f>IF(ISNUMBER(VLOOKUP(A36,NotghiID!A:A,1,FALSE)),1,0)</f>
        <v>0</v>
      </c>
    </row>
    <row r="37" spans="1:31" x14ac:dyDescent="0.2">
      <c r="A37" s="174">
        <v>327</v>
      </c>
      <c r="B37" s="232" t="str">
        <f>IF(AND(A37&lt;&gt;"",ISNUMBER(A37)),VLOOKUP(A37,Studies!A:BR,2,FALSE),"")</f>
        <v>Lamberg 1998a</v>
      </c>
      <c r="C37" s="232" t="str">
        <f>IF(AND(A37&lt;&gt;"",ISNUMBER(A37)),VLOOKUP(A37,Studies!A:BR,3,FALSE),"")</f>
        <v>https://www.ncbi.nlm.nih.gov/pubmed/9923581</v>
      </c>
      <c r="D37" s="232" t="str">
        <f>IF(AND(A37&lt;&gt;"",ISNUMBER(A37)),VLOOKUP(A37,Studies!A:BR,4,FALSE),"")</f>
        <v>with Perpetrator (Fluvoxamine)</v>
      </c>
      <c r="E37" s="206" t="str">
        <f>IF(AND(A37&lt;&gt;"",ISNUMBER(A37)),VLOOKUP(A37,Studies!A:BR,5,FALSE),"")</f>
        <v>Buspirone</v>
      </c>
      <c r="F37" s="198">
        <v>114</v>
      </c>
      <c r="G37" s="198" t="s">
        <v>1023</v>
      </c>
      <c r="H37" s="198" t="s">
        <v>60</v>
      </c>
      <c r="I37" s="190">
        <v>11.3</v>
      </c>
      <c r="J37" s="190" t="s">
        <v>1024</v>
      </c>
      <c r="K37" s="190" t="s">
        <v>116</v>
      </c>
      <c r="L37" s="191">
        <v>8.5399999999999991</v>
      </c>
      <c r="M37" s="191" t="s">
        <v>1024</v>
      </c>
      <c r="N37" s="191" t="s">
        <v>117</v>
      </c>
      <c r="O37" s="190" t="s">
        <v>1025</v>
      </c>
      <c r="P37" s="192">
        <v>3.76</v>
      </c>
      <c r="Q37" s="192" t="s">
        <v>1026</v>
      </c>
      <c r="R37" s="192" t="s">
        <v>116</v>
      </c>
      <c r="S37" s="193">
        <v>2.5099999999999998</v>
      </c>
      <c r="T37" s="193" t="s">
        <v>1026</v>
      </c>
      <c r="U37" s="193" t="s">
        <v>117</v>
      </c>
      <c r="V37" s="192" t="s">
        <v>1027</v>
      </c>
      <c r="W37" s="196"/>
      <c r="X37" s="196"/>
      <c r="Y37" s="196"/>
      <c r="Z37" s="197"/>
      <c r="AA37" s="197"/>
      <c r="AB37" s="197"/>
      <c r="AC37" s="200"/>
      <c r="AD37" s="202"/>
      <c r="AE37" s="174">
        <f>IF(ISNUMBER(VLOOKUP(A37,NotghiID!A:A,1,FALSE)),1,0)</f>
        <v>0</v>
      </c>
    </row>
    <row r="38" spans="1:31" x14ac:dyDescent="0.2">
      <c r="A38" s="174">
        <v>328</v>
      </c>
      <c r="B38" s="232" t="str">
        <f>IF(AND(A38&lt;&gt;"",ISNUMBER(A38)),VLOOKUP(A38,Studies!A:BR,2,FALSE),"")</f>
        <v>Lamberg 1998b</v>
      </c>
      <c r="C38" s="232" t="str">
        <f>IF(AND(A38&lt;&gt;"",ISNUMBER(A38)),VLOOKUP(A38,Studies!A:BR,3,FALSE),"")</f>
        <v>https://www.ncbi.nlm.nih.gov/pubmed/9578186</v>
      </c>
      <c r="D38" s="232" t="str">
        <f>IF(AND(A38&lt;&gt;"",ISNUMBER(A38)),VLOOKUP(A38,Studies!A:BR,4,FALSE),"")</f>
        <v>Control (Perpetrator Placebo)</v>
      </c>
      <c r="E38" s="206" t="str">
        <f>IF(AND(A38&lt;&gt;"",ISNUMBER(A38)),VLOOKUP(A38,Studies!A:BR,5,FALSE),"")</f>
        <v>Buspirone</v>
      </c>
      <c r="F38" s="198">
        <v>0</v>
      </c>
      <c r="G38" s="198" t="s">
        <v>1023</v>
      </c>
      <c r="H38" s="198" t="s">
        <v>60</v>
      </c>
      <c r="I38" s="190">
        <v>22</v>
      </c>
      <c r="J38" s="190" t="s">
        <v>1024</v>
      </c>
      <c r="K38" s="190" t="s">
        <v>116</v>
      </c>
      <c r="L38" s="191">
        <v>15.1</v>
      </c>
      <c r="M38" s="191" t="s">
        <v>1024</v>
      </c>
      <c r="N38" s="191" t="s">
        <v>117</v>
      </c>
      <c r="O38" s="190" t="s">
        <v>1025</v>
      </c>
      <c r="P38" s="192">
        <v>6.6</v>
      </c>
      <c r="Q38" s="192" t="s">
        <v>1026</v>
      </c>
      <c r="R38" s="192" t="s">
        <v>116</v>
      </c>
      <c r="S38" s="193">
        <v>3.7</v>
      </c>
      <c r="T38" s="193" t="s">
        <v>1026</v>
      </c>
      <c r="U38" s="193" t="s">
        <v>117</v>
      </c>
      <c r="V38" s="192" t="s">
        <v>1027</v>
      </c>
      <c r="W38" s="196"/>
      <c r="X38" s="196"/>
      <c r="Y38" s="196"/>
      <c r="Z38" s="197"/>
      <c r="AA38" s="197"/>
      <c r="AB38" s="197"/>
      <c r="AC38" s="200"/>
      <c r="AD38" s="202"/>
      <c r="AE38" s="174">
        <f>IF(ISNUMBER(VLOOKUP(A38,NotghiID!A:A,1,FALSE)),1,0)</f>
        <v>0</v>
      </c>
    </row>
    <row r="39" spans="1:31" x14ac:dyDescent="0.2">
      <c r="A39" s="174">
        <v>329</v>
      </c>
      <c r="B39" s="232" t="str">
        <f>IF(AND(A39&lt;&gt;"",ISNUMBER(A39)),VLOOKUP(A39,Studies!A:BR,2,FALSE),"")</f>
        <v>Lamberg 1998b</v>
      </c>
      <c r="C39" s="232" t="str">
        <f>IF(AND(A39&lt;&gt;"",ISNUMBER(A39)),VLOOKUP(A39,Studies!A:BR,3,FALSE),"")</f>
        <v>https://www.ncbi.nlm.nih.gov/pubmed/9578186</v>
      </c>
      <c r="D39" s="232" t="str">
        <f>IF(AND(A39&lt;&gt;"",ISNUMBER(A39)),VLOOKUP(A39,Studies!A:BR,4,FALSE),"")</f>
        <v>with Perpetrator (Rifampicin)</v>
      </c>
      <c r="E39" s="206" t="str">
        <f>IF(AND(A39&lt;&gt;"",ISNUMBER(A39)),VLOOKUP(A39,Studies!A:BR,5,FALSE),"")</f>
        <v>Buspirone</v>
      </c>
      <c r="F39" s="198">
        <v>113</v>
      </c>
      <c r="G39" s="198" t="s">
        <v>1023</v>
      </c>
      <c r="H39" s="198" t="s">
        <v>60</v>
      </c>
      <c r="I39" s="190">
        <v>1.64</v>
      </c>
      <c r="J39" s="190" t="s">
        <v>1024</v>
      </c>
      <c r="K39" s="190" t="s">
        <v>116</v>
      </c>
      <c r="L39" s="191">
        <v>1.64</v>
      </c>
      <c r="M39" s="191" t="s">
        <v>1024</v>
      </c>
      <c r="N39" s="191" t="s">
        <v>117</v>
      </c>
      <c r="O39" s="190" t="s">
        <v>1025</v>
      </c>
      <c r="P39" s="192">
        <v>0.84</v>
      </c>
      <c r="Q39" s="192" t="s">
        <v>1026</v>
      </c>
      <c r="R39" s="192" t="s">
        <v>116</v>
      </c>
      <c r="S39" s="193">
        <v>0.23</v>
      </c>
      <c r="T39" s="193" t="s">
        <v>1026</v>
      </c>
      <c r="U39" s="193" t="s">
        <v>117</v>
      </c>
      <c r="V39" s="192" t="s">
        <v>1027</v>
      </c>
      <c r="W39" s="196"/>
      <c r="X39" s="196"/>
      <c r="Y39" s="196"/>
      <c r="Z39" s="197"/>
      <c r="AA39" s="197"/>
      <c r="AB39" s="197"/>
      <c r="AC39" s="200"/>
      <c r="AD39" s="202"/>
      <c r="AE39" s="174">
        <f>IF(ISNUMBER(VLOOKUP(A39,NotghiID!A:A,1,FALSE)),1,0)</f>
        <v>0</v>
      </c>
    </row>
    <row r="40" spans="1:31" x14ac:dyDescent="0.2">
      <c r="A40" s="174">
        <v>330</v>
      </c>
      <c r="B40" s="232" t="str">
        <f>IF(AND(A40&lt;&gt;"",ISNUMBER(A40)),VLOOKUP(A40,Studies!A:BR,2,FALSE),"")</f>
        <v>Lamberg 1998c</v>
      </c>
      <c r="C40" s="232" t="str">
        <f>IF(AND(A40&lt;&gt;"",ISNUMBER(A40)),VLOOKUP(A40,Studies!A:BR,3,FALSE),"")</f>
        <v>https://www.ncbi.nlm.nih.gov/pubmed/9663178</v>
      </c>
      <c r="D40" s="232" t="str">
        <f>IF(AND(A40&lt;&gt;"",ISNUMBER(A40)),VLOOKUP(A40,Studies!A:BR,4,FALSE),"")</f>
        <v>Control (Perpetrator Placebo)</v>
      </c>
      <c r="E40" s="206" t="str">
        <f>IF(AND(A40&lt;&gt;"",ISNUMBER(A40)),VLOOKUP(A40,Studies!A:BR,5,FALSE),"")</f>
        <v>Buspirone</v>
      </c>
      <c r="F40" s="198">
        <v>0</v>
      </c>
      <c r="G40" s="198" t="s">
        <v>1023</v>
      </c>
      <c r="H40" s="198" t="s">
        <v>60</v>
      </c>
      <c r="I40" s="190">
        <v>6.9</v>
      </c>
      <c r="J40" s="190" t="s">
        <v>1024</v>
      </c>
      <c r="K40" s="190" t="s">
        <v>116</v>
      </c>
      <c r="L40" s="191">
        <v>2.5</v>
      </c>
      <c r="M40" s="191" t="s">
        <v>1024</v>
      </c>
      <c r="N40" s="191" t="s">
        <v>117</v>
      </c>
      <c r="O40" s="190" t="s">
        <v>1025</v>
      </c>
      <c r="P40" s="192">
        <v>2.6</v>
      </c>
      <c r="Q40" s="192" t="s">
        <v>1026</v>
      </c>
      <c r="R40" s="192" t="s">
        <v>116</v>
      </c>
      <c r="S40" s="193">
        <v>1</v>
      </c>
      <c r="T40" s="193" t="s">
        <v>1026</v>
      </c>
      <c r="U40" s="193" t="s">
        <v>117</v>
      </c>
      <c r="V40" s="192" t="s">
        <v>1027</v>
      </c>
      <c r="W40" s="196"/>
      <c r="X40" s="196"/>
      <c r="Y40" s="196"/>
      <c r="Z40" s="197"/>
      <c r="AA40" s="197"/>
      <c r="AB40" s="197"/>
      <c r="AC40" s="200"/>
      <c r="AD40" s="202"/>
      <c r="AE40" s="174">
        <f>IF(ISNUMBER(VLOOKUP(A40,NotghiID!A:A,1,FALSE)),1,0)</f>
        <v>0</v>
      </c>
    </row>
    <row r="41" spans="1:31" x14ac:dyDescent="0.2">
      <c r="A41" s="174">
        <v>331</v>
      </c>
      <c r="B41" s="232" t="str">
        <f>IF(AND(A41&lt;&gt;"",ISNUMBER(A41)),VLOOKUP(A41,Studies!A:BR,2,FALSE),"")</f>
        <v>Lamberg 1998c</v>
      </c>
      <c r="C41" s="232" t="str">
        <f>IF(AND(A41&lt;&gt;"",ISNUMBER(A41)),VLOOKUP(A41,Studies!A:BR,3,FALSE),"")</f>
        <v>https://www.ncbi.nlm.nih.gov/pubmed/9663178</v>
      </c>
      <c r="D41" s="232" t="str">
        <f>IF(AND(A41&lt;&gt;"",ISNUMBER(A41)),VLOOKUP(A41,Studies!A:BR,4,FALSE),"")</f>
        <v>with Perpetrator (Verapamil)</v>
      </c>
      <c r="E41" s="206" t="str">
        <f>IF(AND(A41&lt;&gt;"",ISNUMBER(A41)),VLOOKUP(A41,Studies!A:BR,5,FALSE),"")</f>
        <v>Buspirone</v>
      </c>
      <c r="F41" s="198">
        <v>30</v>
      </c>
      <c r="G41" s="198" t="s">
        <v>1023</v>
      </c>
      <c r="H41" s="198" t="s">
        <v>60</v>
      </c>
      <c r="I41" s="190">
        <v>24.3</v>
      </c>
      <c r="J41" s="190" t="s">
        <v>1024</v>
      </c>
      <c r="K41" s="190" t="s">
        <v>116</v>
      </c>
      <c r="L41" s="191">
        <v>19.2</v>
      </c>
      <c r="M41" s="191" t="s">
        <v>1024</v>
      </c>
      <c r="N41" s="191" t="s">
        <v>117</v>
      </c>
      <c r="O41" s="190" t="s">
        <v>1025</v>
      </c>
      <c r="P41" s="192">
        <v>8.8000000000000007</v>
      </c>
      <c r="Q41" s="192" t="s">
        <v>1026</v>
      </c>
      <c r="R41" s="192" t="s">
        <v>116</v>
      </c>
      <c r="S41" s="193">
        <v>7.9</v>
      </c>
      <c r="T41" s="193" t="s">
        <v>1026</v>
      </c>
      <c r="U41" s="193" t="s">
        <v>117</v>
      </c>
      <c r="V41" s="192" t="s">
        <v>1027</v>
      </c>
      <c r="W41" s="196"/>
      <c r="X41" s="196"/>
      <c r="Y41" s="196"/>
      <c r="Z41" s="197"/>
      <c r="AA41" s="197"/>
      <c r="AB41" s="197"/>
      <c r="AC41" s="200"/>
      <c r="AD41" s="202"/>
      <c r="AE41" s="174">
        <f>IF(ISNUMBER(VLOOKUP(A41,NotghiID!A:A,1,FALSE)),1,0)</f>
        <v>0</v>
      </c>
    </row>
    <row r="42" spans="1:31" x14ac:dyDescent="0.2">
      <c r="A42" s="174">
        <v>333</v>
      </c>
      <c r="B42" s="232" t="str">
        <f>IF(AND(A42&lt;&gt;"",ISNUMBER(A42)),VLOOKUP(A42,Studies!A:BR,2,FALSE),"")</f>
        <v>Lamberg 1998c</v>
      </c>
      <c r="C42" s="232" t="str">
        <f>IF(AND(A42&lt;&gt;"",ISNUMBER(A42)),VLOOKUP(A42,Studies!A:BR,3,FALSE),"")</f>
        <v>https://www.ncbi.nlm.nih.gov/pubmed/9663178</v>
      </c>
      <c r="D42" s="232" t="str">
        <f>IF(AND(A42&lt;&gt;"",ISNUMBER(A42)),VLOOKUP(A42,Studies!A:BR,4,FALSE),"")</f>
        <v>with Perpetrator (Diltiazem)</v>
      </c>
      <c r="E42" s="206" t="str">
        <f>IF(AND(A42&lt;&gt;"",ISNUMBER(A42)),VLOOKUP(A42,Studies!A:BR,5,FALSE),"")</f>
        <v>Buspirone</v>
      </c>
      <c r="F42" s="198">
        <v>30</v>
      </c>
      <c r="G42" s="198" t="s">
        <v>1023</v>
      </c>
      <c r="H42" s="198" t="s">
        <v>60</v>
      </c>
      <c r="I42" s="190">
        <v>36.799999999999997</v>
      </c>
      <c r="J42" s="190" t="s">
        <v>1024</v>
      </c>
      <c r="K42" s="190" t="s">
        <v>116</v>
      </c>
      <c r="L42" s="191">
        <v>15.2</v>
      </c>
      <c r="M42" s="191" t="s">
        <v>1024</v>
      </c>
      <c r="N42" s="191" t="s">
        <v>117</v>
      </c>
      <c r="O42" s="190" t="s">
        <v>1025</v>
      </c>
      <c r="P42" s="192">
        <v>10.3</v>
      </c>
      <c r="Q42" s="192" t="s">
        <v>1026</v>
      </c>
      <c r="R42" s="192" t="s">
        <v>116</v>
      </c>
      <c r="S42" s="193">
        <v>3.5</v>
      </c>
      <c r="T42" s="193" t="s">
        <v>1026</v>
      </c>
      <c r="U42" s="193" t="s">
        <v>117</v>
      </c>
      <c r="V42" s="192" t="s">
        <v>1027</v>
      </c>
      <c r="W42" s="196"/>
      <c r="X42" s="196"/>
      <c r="Y42" s="196"/>
      <c r="Z42" s="197"/>
      <c r="AA42" s="197"/>
      <c r="AB42" s="197"/>
      <c r="AC42" s="200"/>
      <c r="AD42" s="202"/>
      <c r="AE42" s="174">
        <f>IF(ISNUMBER(VLOOKUP(A42,NotghiID!A:A,1,FALSE)),1,0)</f>
        <v>0</v>
      </c>
    </row>
    <row r="43" spans="1:31" x14ac:dyDescent="0.2">
      <c r="A43" s="174">
        <v>335</v>
      </c>
      <c r="B43" s="232" t="str">
        <f>IF(AND(A43&lt;&gt;"",ISNUMBER(A43)),VLOOKUP(A43,Studies!A:BR,2,FALSE),"")</f>
        <v>Lamberg 1999</v>
      </c>
      <c r="C43" s="232" t="str">
        <f>IF(AND(A43&lt;&gt;"",ISNUMBER(A43)),VLOOKUP(A43,Studies!A:BR,3,FALSE),"")</f>
        <v>https://www.ncbi.nlm.nih.gov/pubmed/10227067</v>
      </c>
      <c r="D43" s="232" t="str">
        <f>IF(AND(A43&lt;&gt;"",ISNUMBER(A43)),VLOOKUP(A43,Studies!A:BR,4,FALSE),"")</f>
        <v>Control (Perpetrator Placebo)</v>
      </c>
      <c r="E43" s="206" t="str">
        <f>IF(AND(A43&lt;&gt;"",ISNUMBER(A43)),VLOOKUP(A43,Studies!A:BR,5,FALSE),"")</f>
        <v>Buspirone</v>
      </c>
      <c r="F43" s="198">
        <v>0</v>
      </c>
      <c r="G43" s="198" t="s">
        <v>1023</v>
      </c>
      <c r="H43" s="198" t="s">
        <v>60</v>
      </c>
      <c r="I43" s="190">
        <v>6.7</v>
      </c>
      <c r="J43" s="190" t="s">
        <v>1024</v>
      </c>
      <c r="K43" s="190" t="s">
        <v>116</v>
      </c>
      <c r="L43" s="191">
        <v>3.2</v>
      </c>
      <c r="M43" s="191" t="s">
        <v>1024</v>
      </c>
      <c r="N43" s="191" t="s">
        <v>117</v>
      </c>
      <c r="O43" s="190" t="s">
        <v>1025</v>
      </c>
      <c r="P43" s="192">
        <v>2.4</v>
      </c>
      <c r="Q43" s="192" t="s">
        <v>1026</v>
      </c>
      <c r="R43" s="192" t="s">
        <v>116</v>
      </c>
      <c r="S43" s="193">
        <v>1.1000000000000001</v>
      </c>
      <c r="T43" s="193" t="s">
        <v>1026</v>
      </c>
      <c r="U43" s="193" t="s">
        <v>117</v>
      </c>
      <c r="V43" s="192" t="s">
        <v>1027</v>
      </c>
      <c r="W43" s="196"/>
      <c r="X43" s="196"/>
      <c r="Y43" s="196"/>
      <c r="Z43" s="197"/>
      <c r="AA43" s="197"/>
      <c r="AB43" s="197"/>
      <c r="AC43" s="200"/>
      <c r="AD43" s="202"/>
      <c r="AE43" s="174">
        <f>IF(ISNUMBER(VLOOKUP(A43,NotghiID!A:A,1,FALSE)),1,0)</f>
        <v>0</v>
      </c>
    </row>
    <row r="44" spans="1:31" x14ac:dyDescent="0.2">
      <c r="A44" s="174">
        <v>339</v>
      </c>
      <c r="B44" s="232" t="str">
        <f>IF(AND(A44&lt;&gt;"",ISNUMBER(A44)),VLOOKUP(A44,Studies!A:BR,2,FALSE),"")</f>
        <v>Lilja 1998</v>
      </c>
      <c r="C44" s="232" t="str">
        <f>IF(AND(A44&lt;&gt;"",ISNUMBER(A44)),VLOOKUP(A44,Studies!A:BR,3,FALSE),"")</f>
        <v>https://www.ncbi.nlm.nih.gov/pubmed/9871430</v>
      </c>
      <c r="D44" s="232" t="str">
        <f>IF(AND(A44&lt;&gt;"",ISNUMBER(A44)),VLOOKUP(A44,Studies!A:BR,4,FALSE),"")</f>
        <v>Control (Perpetrator Placebo)</v>
      </c>
      <c r="E44" s="206" t="str">
        <f>IF(AND(A44&lt;&gt;"",ISNUMBER(A44)),VLOOKUP(A44,Studies!A:BR,5,FALSE),"")</f>
        <v>Buspirone</v>
      </c>
      <c r="F44" s="198">
        <v>0</v>
      </c>
      <c r="G44" s="198" t="s">
        <v>1023</v>
      </c>
      <c r="H44" s="198" t="s">
        <v>60</v>
      </c>
      <c r="I44" s="190">
        <v>4.32</v>
      </c>
      <c r="J44" s="190" t="s">
        <v>1024</v>
      </c>
      <c r="K44" s="190" t="s">
        <v>116</v>
      </c>
      <c r="L44" s="191">
        <v>1.4</v>
      </c>
      <c r="M44" s="191" t="s">
        <v>1024</v>
      </c>
      <c r="N44" s="191" t="s">
        <v>1034</v>
      </c>
      <c r="O44" s="190" t="s">
        <v>1025</v>
      </c>
      <c r="P44" s="192">
        <v>1.96</v>
      </c>
      <c r="Q44" s="192" t="s">
        <v>1026</v>
      </c>
      <c r="R44" s="192" t="s">
        <v>116</v>
      </c>
      <c r="S44" s="193">
        <v>0.74</v>
      </c>
      <c r="T44" s="193" t="s">
        <v>1026</v>
      </c>
      <c r="U44" s="193" t="s">
        <v>1034</v>
      </c>
      <c r="V44" s="201" t="s">
        <v>1027</v>
      </c>
      <c r="W44" s="196"/>
      <c r="X44" s="196"/>
      <c r="Y44" s="196"/>
      <c r="Z44" s="197"/>
      <c r="AA44" s="197"/>
      <c r="AB44" s="197"/>
      <c r="AC44" s="200"/>
      <c r="AD44" s="202"/>
      <c r="AE44" s="174">
        <f>IF(ISNUMBER(VLOOKUP(A44,NotghiID!A:A,1,FALSE)),1,0)</f>
        <v>0</v>
      </c>
    </row>
    <row r="45" spans="1:31" x14ac:dyDescent="0.2">
      <c r="A45" s="174">
        <v>340</v>
      </c>
      <c r="B45" s="232" t="str">
        <f>IF(AND(A45&lt;&gt;"",ISNUMBER(A45)),VLOOKUP(A45,Studies!A:BR,2,FALSE),"")</f>
        <v>Lilja 1998</v>
      </c>
      <c r="C45" s="232" t="str">
        <f>IF(AND(A45&lt;&gt;"",ISNUMBER(A45)),VLOOKUP(A45,Studies!A:BR,3,FALSE),"")</f>
        <v>https://www.ncbi.nlm.nih.gov/pubmed/9871430</v>
      </c>
      <c r="D45" s="232" t="str">
        <f>IF(AND(A45&lt;&gt;"",ISNUMBER(A45)),VLOOKUP(A45,Studies!A:BR,4,FALSE),"")</f>
        <v>with Perpetrator (GFJ)</v>
      </c>
      <c r="E45" s="206" t="str">
        <f>IF(AND(A45&lt;&gt;"",ISNUMBER(A45)),VLOOKUP(A45,Studies!A:BR,5,FALSE),"")</f>
        <v>Buspirone</v>
      </c>
      <c r="F45" s="198">
        <v>50</v>
      </c>
      <c r="G45" s="198" t="s">
        <v>1023</v>
      </c>
      <c r="H45" s="198" t="s">
        <v>60</v>
      </c>
      <c r="I45" s="190">
        <v>39.799999999999997</v>
      </c>
      <c r="J45" s="190" t="s">
        <v>1024</v>
      </c>
      <c r="K45" s="190" t="s">
        <v>116</v>
      </c>
      <c r="L45" s="191">
        <v>9.6</v>
      </c>
      <c r="M45" s="191" t="s">
        <v>1024</v>
      </c>
      <c r="N45" s="191" t="s">
        <v>1034</v>
      </c>
      <c r="O45" s="190" t="s">
        <v>1025</v>
      </c>
      <c r="P45" s="192">
        <v>8.4</v>
      </c>
      <c r="Q45" s="192" t="s">
        <v>1026</v>
      </c>
      <c r="R45" s="192" t="s">
        <v>116</v>
      </c>
      <c r="S45" s="193">
        <v>0.74</v>
      </c>
      <c r="T45" s="193" t="s">
        <v>1026</v>
      </c>
      <c r="U45" s="193" t="s">
        <v>1034</v>
      </c>
      <c r="V45" s="201" t="s">
        <v>1027</v>
      </c>
      <c r="W45" s="196"/>
      <c r="X45" s="196"/>
      <c r="Y45" s="196"/>
      <c r="Z45" s="197"/>
      <c r="AA45" s="197"/>
      <c r="AB45" s="197"/>
      <c r="AC45" s="200"/>
      <c r="AD45" s="202"/>
      <c r="AE45" s="174">
        <f>IF(ISNUMBER(VLOOKUP(A45,NotghiID!A:A,1,FALSE)),1,0)</f>
        <v>0</v>
      </c>
    </row>
    <row r="46" spans="1:31" x14ac:dyDescent="0.2">
      <c r="A46" s="80">
        <v>135</v>
      </c>
      <c r="B46" s="232" t="str">
        <f>IF(AND(A46&lt;&gt;"",ISNUMBER(A46)),VLOOKUP(A46,Studies!A:BR,2,FALSE),"")</f>
        <v>Edwards 2006</v>
      </c>
      <c r="C46" s="232" t="str">
        <f>IF(AND(A46&lt;&gt;"",ISNUMBER(A46)),VLOOKUP(A46,Studies!A:BR,3,FALSE),"")</f>
        <v>https://www.ncbi.nlm.nih.gov/pubmed/16638734</v>
      </c>
      <c r="D46" s="232" t="str">
        <f>IF(AND(A46&lt;&gt;"",ISNUMBER(A46)),VLOOKUP(A46,Studies!A:BR,4,FALSE),"")</f>
        <v>Subject 1</v>
      </c>
      <c r="E46" s="206" t="str">
        <f>IF(AND(A46&lt;&gt;"",ISNUMBER(A46)),VLOOKUP(A46,Studies!A:BR,5,FALSE),"")</f>
        <v>Buspirone</v>
      </c>
      <c r="F46" s="198">
        <v>0</v>
      </c>
      <c r="G46" s="198" t="s">
        <v>1023</v>
      </c>
      <c r="H46" s="198" t="s">
        <v>60</v>
      </c>
      <c r="I46" s="190"/>
      <c r="J46" s="190"/>
      <c r="K46" s="190"/>
      <c r="L46" s="191"/>
      <c r="M46" s="191"/>
      <c r="N46" s="191"/>
      <c r="O46" s="190"/>
      <c r="P46" s="192">
        <v>414</v>
      </c>
      <c r="Q46" s="192" t="s">
        <v>1031</v>
      </c>
      <c r="R46" s="192" t="s">
        <v>264</v>
      </c>
      <c r="S46" s="193"/>
      <c r="T46" s="193"/>
      <c r="U46" s="193"/>
      <c r="V46" s="201" t="s">
        <v>1027</v>
      </c>
      <c r="W46" s="196">
        <v>190.1</v>
      </c>
      <c r="X46" s="196" t="s">
        <v>1032</v>
      </c>
      <c r="Y46" s="196" t="s">
        <v>264</v>
      </c>
      <c r="Z46" s="197"/>
      <c r="AA46" s="197"/>
      <c r="AB46" s="197"/>
      <c r="AC46" s="200" t="s">
        <v>1033</v>
      </c>
      <c r="AD46" s="202"/>
      <c r="AE46" s="174">
        <f>IF(ISNUMBER(VLOOKUP(A46,NotghiID!A:A,1,FALSE)),1,0)</f>
        <v>0</v>
      </c>
    </row>
    <row r="47" spans="1:31" x14ac:dyDescent="0.2">
      <c r="A47" s="80">
        <v>136</v>
      </c>
      <c r="B47" s="232" t="str">
        <f>IF(AND(A47&lt;&gt;"",ISNUMBER(A47)),VLOOKUP(A47,Studies!A:BR,2,FALSE),"")</f>
        <v>Edwards 2006</v>
      </c>
      <c r="C47" s="232" t="str">
        <f>IF(AND(A47&lt;&gt;"",ISNUMBER(A47)),VLOOKUP(A47,Studies!A:BR,3,FALSE),"")</f>
        <v>https://www.ncbi.nlm.nih.gov/pubmed/16638734</v>
      </c>
      <c r="D47" s="232" t="str">
        <f>IF(AND(A47&lt;&gt;"",ISNUMBER(A47)),VLOOKUP(A47,Studies!A:BR,4,FALSE),"")</f>
        <v>Subject 2</v>
      </c>
      <c r="E47" s="206" t="str">
        <f>IF(AND(A47&lt;&gt;"",ISNUMBER(A47)),VLOOKUP(A47,Studies!A:BR,5,FALSE),"")</f>
        <v>Buspirone</v>
      </c>
      <c r="F47" s="198">
        <v>0</v>
      </c>
      <c r="G47" s="198" t="s">
        <v>1023</v>
      </c>
      <c r="H47" s="198" t="s">
        <v>60</v>
      </c>
      <c r="I47" s="190"/>
      <c r="J47" s="190"/>
      <c r="K47" s="190"/>
      <c r="L47" s="191"/>
      <c r="M47" s="191"/>
      <c r="N47" s="191"/>
      <c r="O47" s="190"/>
      <c r="P47" s="192">
        <v>840.7</v>
      </c>
      <c r="Q47" s="192" t="s">
        <v>1031</v>
      </c>
      <c r="R47" s="192" t="s">
        <v>264</v>
      </c>
      <c r="S47" s="193"/>
      <c r="T47" s="193"/>
      <c r="U47" s="193"/>
      <c r="V47" s="201" t="s">
        <v>1027</v>
      </c>
      <c r="W47" s="196">
        <v>49.4</v>
      </c>
      <c r="X47" s="196" t="s">
        <v>1032</v>
      </c>
      <c r="Y47" s="196" t="s">
        <v>264</v>
      </c>
      <c r="Z47" s="197"/>
      <c r="AA47" s="197"/>
      <c r="AB47" s="197"/>
      <c r="AC47" s="200" t="s">
        <v>1033</v>
      </c>
      <c r="AD47" s="202"/>
      <c r="AE47" s="174">
        <f>IF(ISNUMBER(VLOOKUP(A47,NotghiID!A:A,1,FALSE)),1,0)</f>
        <v>0</v>
      </c>
    </row>
    <row r="48" spans="1:31" x14ac:dyDescent="0.2">
      <c r="A48" s="80">
        <v>137</v>
      </c>
      <c r="B48" s="232" t="str">
        <f>IF(AND(A48&lt;&gt;"",ISNUMBER(A48)),VLOOKUP(A48,Studies!A:BR,2,FALSE),"")</f>
        <v>Edwards 2006</v>
      </c>
      <c r="C48" s="232" t="str">
        <f>IF(AND(A48&lt;&gt;"",ISNUMBER(A48)),VLOOKUP(A48,Studies!A:BR,3,FALSE),"")</f>
        <v>https://www.ncbi.nlm.nih.gov/pubmed/16638734</v>
      </c>
      <c r="D48" s="232" t="str">
        <f>IF(AND(A48&lt;&gt;"",ISNUMBER(A48)),VLOOKUP(A48,Studies!A:BR,4,FALSE),"")</f>
        <v>Subject 3</v>
      </c>
      <c r="E48" s="206" t="str">
        <f>IF(AND(A48&lt;&gt;"",ISNUMBER(A48)),VLOOKUP(A48,Studies!A:BR,5,FALSE),"")</f>
        <v>Buspirone</v>
      </c>
      <c r="F48" s="198">
        <v>0</v>
      </c>
      <c r="G48" s="198" t="s">
        <v>1023</v>
      </c>
      <c r="H48" s="198" t="s">
        <v>60</v>
      </c>
      <c r="I48" s="190"/>
      <c r="J48" s="190"/>
      <c r="K48" s="190"/>
      <c r="L48" s="191"/>
      <c r="M48" s="191"/>
      <c r="N48" s="191"/>
      <c r="O48" s="190"/>
      <c r="P48" s="192">
        <v>1149.9000000000001</v>
      </c>
      <c r="Q48" s="192" t="s">
        <v>1031</v>
      </c>
      <c r="R48" s="192" t="s">
        <v>264</v>
      </c>
      <c r="S48" s="193"/>
      <c r="T48" s="193"/>
      <c r="U48" s="193"/>
      <c r="V48" s="201" t="s">
        <v>1027</v>
      </c>
      <c r="W48" s="196">
        <v>63.7</v>
      </c>
      <c r="X48" s="196" t="s">
        <v>1032</v>
      </c>
      <c r="Y48" s="196" t="s">
        <v>264</v>
      </c>
      <c r="Z48" s="197"/>
      <c r="AA48" s="197"/>
      <c r="AB48" s="197"/>
      <c r="AC48" s="200" t="s">
        <v>1033</v>
      </c>
      <c r="AD48" s="202"/>
      <c r="AE48" s="174">
        <f>IF(ISNUMBER(VLOOKUP(A48,NotghiID!A:A,1,FALSE)),1,0)</f>
        <v>0</v>
      </c>
    </row>
    <row r="49" spans="1:31" x14ac:dyDescent="0.2">
      <c r="A49" s="80">
        <v>138</v>
      </c>
      <c r="B49" s="232" t="str">
        <f>IF(AND(A49&lt;&gt;"",ISNUMBER(A49)),VLOOKUP(A49,Studies!A:BR,2,FALSE),"")</f>
        <v>Edwards 2006</v>
      </c>
      <c r="C49" s="232" t="str">
        <f>IF(AND(A49&lt;&gt;"",ISNUMBER(A49)),VLOOKUP(A49,Studies!A:BR,3,FALSE),"")</f>
        <v>https://www.ncbi.nlm.nih.gov/pubmed/16638734</v>
      </c>
      <c r="D49" s="232" t="str">
        <f>IF(AND(A49&lt;&gt;"",ISNUMBER(A49)),VLOOKUP(A49,Studies!A:BR,4,FALSE),"")</f>
        <v>Subject 5</v>
      </c>
      <c r="E49" s="206" t="str">
        <f>IF(AND(A49&lt;&gt;"",ISNUMBER(A49)),VLOOKUP(A49,Studies!A:BR,5,FALSE),"")</f>
        <v>Buspirone</v>
      </c>
      <c r="F49" s="198">
        <v>0</v>
      </c>
      <c r="G49" s="198" t="s">
        <v>1023</v>
      </c>
      <c r="H49" s="198" t="s">
        <v>60</v>
      </c>
      <c r="I49" s="190"/>
      <c r="J49" s="190"/>
      <c r="K49" s="190"/>
      <c r="L49" s="191"/>
      <c r="M49" s="191"/>
      <c r="N49" s="191"/>
      <c r="O49" s="190"/>
      <c r="P49" s="192">
        <v>926.3</v>
      </c>
      <c r="Q49" s="192" t="s">
        <v>1031</v>
      </c>
      <c r="R49" s="192" t="s">
        <v>264</v>
      </c>
      <c r="S49" s="193"/>
      <c r="T49" s="193"/>
      <c r="U49" s="193"/>
      <c r="V49" s="201" t="s">
        <v>1027</v>
      </c>
      <c r="W49" s="196">
        <v>72.900000000000006</v>
      </c>
      <c r="X49" s="196" t="s">
        <v>1032</v>
      </c>
      <c r="Y49" s="196" t="s">
        <v>264</v>
      </c>
      <c r="Z49" s="197"/>
      <c r="AA49" s="197"/>
      <c r="AB49" s="197"/>
      <c r="AC49" s="200" t="s">
        <v>1033</v>
      </c>
      <c r="AD49" s="202"/>
      <c r="AE49" s="174">
        <f>IF(ISNUMBER(VLOOKUP(A49,NotghiID!A:A,1,FALSE)),1,0)</f>
        <v>0</v>
      </c>
    </row>
    <row r="50" spans="1:31" x14ac:dyDescent="0.2">
      <c r="A50" s="80">
        <v>139</v>
      </c>
      <c r="B50" s="232" t="str">
        <f>IF(AND(A50&lt;&gt;"",ISNUMBER(A50)),VLOOKUP(A50,Studies!A:BR,2,FALSE),"")</f>
        <v>Edwards 2006</v>
      </c>
      <c r="C50" s="232" t="str">
        <f>IF(AND(A50&lt;&gt;"",ISNUMBER(A50)),VLOOKUP(A50,Studies!A:BR,3,FALSE),"")</f>
        <v>https://www.ncbi.nlm.nih.gov/pubmed/16638734</v>
      </c>
      <c r="D50" s="232" t="str">
        <f>IF(AND(A50&lt;&gt;"",ISNUMBER(A50)),VLOOKUP(A50,Studies!A:BR,4,FALSE),"")</f>
        <v>Subject 7</v>
      </c>
      <c r="E50" s="206" t="str">
        <f>IF(AND(A50&lt;&gt;"",ISNUMBER(A50)),VLOOKUP(A50,Studies!A:BR,5,FALSE),"")</f>
        <v>Buspirone</v>
      </c>
      <c r="F50" s="198">
        <v>0</v>
      </c>
      <c r="G50" s="198" t="s">
        <v>1023</v>
      </c>
      <c r="H50" s="198" t="s">
        <v>60</v>
      </c>
      <c r="I50" s="190"/>
      <c r="J50" s="190"/>
      <c r="K50" s="190"/>
      <c r="L50" s="191"/>
      <c r="M50" s="191"/>
      <c r="N50" s="191"/>
      <c r="O50" s="190"/>
      <c r="P50" s="192">
        <v>423</v>
      </c>
      <c r="Q50" s="192" t="s">
        <v>1031</v>
      </c>
      <c r="R50" s="192" t="s">
        <v>264</v>
      </c>
      <c r="S50" s="193"/>
      <c r="T50" s="193"/>
      <c r="U50" s="193"/>
      <c r="V50" s="201" t="s">
        <v>1027</v>
      </c>
      <c r="W50" s="196">
        <v>155.4</v>
      </c>
      <c r="X50" s="196" t="s">
        <v>1032</v>
      </c>
      <c r="Y50" s="196" t="s">
        <v>264</v>
      </c>
      <c r="Z50" s="197"/>
      <c r="AA50" s="197"/>
      <c r="AB50" s="197"/>
      <c r="AC50" s="200" t="s">
        <v>1033</v>
      </c>
      <c r="AD50" s="202"/>
      <c r="AE50" s="174">
        <f>IF(ISNUMBER(VLOOKUP(A50,NotghiID!A:A,1,FALSE)),1,0)</f>
        <v>0</v>
      </c>
    </row>
    <row r="51" spans="1:31" x14ac:dyDescent="0.2">
      <c r="A51" s="80">
        <v>140</v>
      </c>
      <c r="B51" s="232" t="str">
        <f>IF(AND(A51&lt;&gt;"",ISNUMBER(A51)),VLOOKUP(A51,Studies!A:BR,2,FALSE),"")</f>
        <v>Edwards 2006</v>
      </c>
      <c r="C51" s="232" t="str">
        <f>IF(AND(A51&lt;&gt;"",ISNUMBER(A51)),VLOOKUP(A51,Studies!A:BR,3,FALSE),"")</f>
        <v>https://www.ncbi.nlm.nih.gov/pubmed/16638734</v>
      </c>
      <c r="D51" s="232" t="str">
        <f>IF(AND(A51&lt;&gt;"",ISNUMBER(A51)),VLOOKUP(A51,Studies!A:BR,4,FALSE),"")</f>
        <v>Subject 8</v>
      </c>
      <c r="E51" s="206" t="str">
        <f>IF(AND(A51&lt;&gt;"",ISNUMBER(A51)),VLOOKUP(A51,Studies!A:BR,5,FALSE),"")</f>
        <v>Buspirone</v>
      </c>
      <c r="F51" s="198">
        <v>0</v>
      </c>
      <c r="G51" s="198" t="s">
        <v>1023</v>
      </c>
      <c r="H51" s="198" t="s">
        <v>60</v>
      </c>
      <c r="I51" s="190"/>
      <c r="J51" s="190"/>
      <c r="K51" s="190"/>
      <c r="L51" s="191"/>
      <c r="M51" s="191"/>
      <c r="N51" s="191"/>
      <c r="O51" s="190"/>
      <c r="P51" s="192">
        <v>1281.2</v>
      </c>
      <c r="Q51" s="192" t="s">
        <v>1031</v>
      </c>
      <c r="R51" s="192" t="s">
        <v>264</v>
      </c>
      <c r="S51" s="193"/>
      <c r="T51" s="193"/>
      <c r="U51" s="193"/>
      <c r="V51" s="201" t="s">
        <v>1027</v>
      </c>
      <c r="W51" s="196">
        <v>77.599999999999994</v>
      </c>
      <c r="X51" s="196" t="s">
        <v>1032</v>
      </c>
      <c r="Y51" s="196" t="s">
        <v>264</v>
      </c>
      <c r="Z51" s="197"/>
      <c r="AA51" s="197"/>
      <c r="AB51" s="197"/>
      <c r="AC51" s="200" t="s">
        <v>1033</v>
      </c>
      <c r="AD51" s="202"/>
      <c r="AE51" s="174">
        <f>IF(ISNUMBER(VLOOKUP(A51,NotghiID!A:A,1,FALSE)),1,0)</f>
        <v>0</v>
      </c>
    </row>
    <row r="52" spans="1:31" x14ac:dyDescent="0.2">
      <c r="A52" s="80">
        <v>141</v>
      </c>
      <c r="B52" s="232" t="str">
        <f>IF(AND(A52&lt;&gt;"",ISNUMBER(A52)),VLOOKUP(A52,Studies!A:BR,2,FALSE),"")</f>
        <v>Edwards 2006</v>
      </c>
      <c r="C52" s="232" t="str">
        <f>IF(AND(A52&lt;&gt;"",ISNUMBER(A52)),VLOOKUP(A52,Studies!A:BR,3,FALSE),"")</f>
        <v>https://www.ncbi.nlm.nih.gov/pubmed/16638734</v>
      </c>
      <c r="D52" s="232" t="str">
        <f>IF(AND(A52&lt;&gt;"",ISNUMBER(A52)),VLOOKUP(A52,Studies!A:BR,4,FALSE),"")</f>
        <v>Subject 9</v>
      </c>
      <c r="E52" s="206" t="str">
        <f>IF(AND(A52&lt;&gt;"",ISNUMBER(A52)),VLOOKUP(A52,Studies!A:BR,5,FALSE),"")</f>
        <v>Buspirone</v>
      </c>
      <c r="F52" s="198">
        <v>0</v>
      </c>
      <c r="G52" s="198" t="s">
        <v>1023</v>
      </c>
      <c r="H52" s="198" t="s">
        <v>60</v>
      </c>
      <c r="I52" s="190"/>
      <c r="J52" s="190"/>
      <c r="K52" s="190"/>
      <c r="L52" s="191"/>
      <c r="M52" s="191"/>
      <c r="N52" s="191"/>
      <c r="O52" s="190"/>
      <c r="P52" s="192">
        <v>773.9</v>
      </c>
      <c r="Q52" s="192" t="s">
        <v>1031</v>
      </c>
      <c r="R52" s="192" t="s">
        <v>264</v>
      </c>
      <c r="S52" s="193"/>
      <c r="T52" s="193"/>
      <c r="U52" s="193"/>
      <c r="V52" s="201" t="s">
        <v>1027</v>
      </c>
      <c r="W52" s="196">
        <v>75</v>
      </c>
      <c r="X52" s="196" t="s">
        <v>1032</v>
      </c>
      <c r="Y52" s="196" t="s">
        <v>264</v>
      </c>
      <c r="Z52" s="197"/>
      <c r="AA52" s="197"/>
      <c r="AB52" s="197"/>
      <c r="AC52" s="200" t="s">
        <v>1033</v>
      </c>
      <c r="AD52" s="202"/>
      <c r="AE52" s="174">
        <f>IF(ISNUMBER(VLOOKUP(A52,NotghiID!A:A,1,FALSE)),1,0)</f>
        <v>0</v>
      </c>
    </row>
    <row r="53" spans="1:31" x14ac:dyDescent="0.2">
      <c r="A53" s="80">
        <v>142</v>
      </c>
      <c r="B53" s="232" t="str">
        <f>IF(AND(A53&lt;&gt;"",ISNUMBER(A53)),VLOOKUP(A53,Studies!A:BR,2,FALSE),"")</f>
        <v>Edwards 2006</v>
      </c>
      <c r="C53" s="232" t="str">
        <f>IF(AND(A53&lt;&gt;"",ISNUMBER(A53)),VLOOKUP(A53,Studies!A:BR,3,FALSE),"")</f>
        <v>https://www.ncbi.nlm.nih.gov/pubmed/16638734</v>
      </c>
      <c r="D53" s="232" t="str">
        <f>IF(AND(A53&lt;&gt;"",ISNUMBER(A53)),VLOOKUP(A53,Studies!A:BR,4,FALSE),"")</f>
        <v>Subject 10</v>
      </c>
      <c r="E53" s="206" t="str">
        <f>IF(AND(A53&lt;&gt;"",ISNUMBER(A53)),VLOOKUP(A53,Studies!A:BR,5,FALSE),"")</f>
        <v>Buspirone</v>
      </c>
      <c r="F53" s="198">
        <v>0</v>
      </c>
      <c r="G53" s="198" t="s">
        <v>1023</v>
      </c>
      <c r="H53" s="198" t="s">
        <v>60</v>
      </c>
      <c r="I53" s="190"/>
      <c r="J53" s="190"/>
      <c r="K53" s="190"/>
      <c r="L53" s="191"/>
      <c r="M53" s="191"/>
      <c r="N53" s="191"/>
      <c r="O53" s="190"/>
      <c r="P53" s="192">
        <v>3001.3</v>
      </c>
      <c r="Q53" s="192" t="s">
        <v>1031</v>
      </c>
      <c r="R53" s="192" t="s">
        <v>264</v>
      </c>
      <c r="S53" s="193"/>
      <c r="T53" s="193"/>
      <c r="U53" s="193"/>
      <c r="V53" s="201" t="s">
        <v>1027</v>
      </c>
      <c r="W53" s="196">
        <v>48.1</v>
      </c>
      <c r="X53" s="196" t="s">
        <v>1032</v>
      </c>
      <c r="Y53" s="196" t="s">
        <v>264</v>
      </c>
      <c r="Z53" s="197"/>
      <c r="AA53" s="197"/>
      <c r="AB53" s="197"/>
      <c r="AC53" s="200" t="s">
        <v>1033</v>
      </c>
      <c r="AD53" s="202"/>
      <c r="AE53" s="174">
        <f>IF(ISNUMBER(VLOOKUP(A53,NotghiID!A:A,1,FALSE)),1,0)</f>
        <v>0</v>
      </c>
    </row>
    <row r="54" spans="1:31" x14ac:dyDescent="0.2">
      <c r="A54" s="80">
        <v>143</v>
      </c>
      <c r="B54" s="232" t="str">
        <f>IF(AND(A54&lt;&gt;"",ISNUMBER(A54)),VLOOKUP(A54,Studies!A:BR,2,FALSE),"")</f>
        <v>Edwards 2006</v>
      </c>
      <c r="C54" s="232" t="str">
        <f>IF(AND(A54&lt;&gt;"",ISNUMBER(A54)),VLOOKUP(A54,Studies!A:BR,3,FALSE),"")</f>
        <v>https://www.ncbi.nlm.nih.gov/pubmed/16638734</v>
      </c>
      <c r="D54" s="232" t="str">
        <f>IF(AND(A54&lt;&gt;"",ISNUMBER(A54)),VLOOKUP(A54,Studies!A:BR,4,FALSE),"")</f>
        <v>Subject 12</v>
      </c>
      <c r="E54" s="206" t="str">
        <f>IF(AND(A54&lt;&gt;"",ISNUMBER(A54)),VLOOKUP(A54,Studies!A:BR,5,FALSE),"")</f>
        <v>Buspirone</v>
      </c>
      <c r="F54" s="198">
        <v>0</v>
      </c>
      <c r="G54" s="198" t="s">
        <v>1023</v>
      </c>
      <c r="H54" s="198" t="s">
        <v>60</v>
      </c>
      <c r="I54" s="190"/>
      <c r="J54" s="190"/>
      <c r="K54" s="190"/>
      <c r="L54" s="191"/>
      <c r="M54" s="191"/>
      <c r="N54" s="191"/>
      <c r="O54" s="190"/>
      <c r="P54" s="192">
        <v>1461.7</v>
      </c>
      <c r="Q54" s="192" t="s">
        <v>1031</v>
      </c>
      <c r="R54" s="192" t="s">
        <v>264</v>
      </c>
      <c r="S54" s="193"/>
      <c r="T54" s="193"/>
      <c r="U54" s="193"/>
      <c r="V54" s="201" t="s">
        <v>1027</v>
      </c>
      <c r="W54" s="196">
        <v>122.8</v>
      </c>
      <c r="X54" s="196" t="s">
        <v>1032</v>
      </c>
      <c r="Y54" s="196" t="s">
        <v>264</v>
      </c>
      <c r="Z54" s="197"/>
      <c r="AA54" s="197"/>
      <c r="AB54" s="197"/>
      <c r="AC54" s="200" t="s">
        <v>1033</v>
      </c>
      <c r="AD54" s="202"/>
      <c r="AE54" s="174">
        <f>IF(ISNUMBER(VLOOKUP(A54,NotghiID!A:A,1,FALSE)),1,0)</f>
        <v>0</v>
      </c>
    </row>
    <row r="55" spans="1:31" x14ac:dyDescent="0.2">
      <c r="A55" s="80">
        <v>144</v>
      </c>
      <c r="B55" s="232" t="str">
        <f>IF(AND(A55&lt;&gt;"",ISNUMBER(A55)),VLOOKUP(A55,Studies!A:BR,2,FALSE),"")</f>
        <v>Edwards 2006</v>
      </c>
      <c r="C55" s="232" t="str">
        <f>IF(AND(A55&lt;&gt;"",ISNUMBER(A55)),VLOOKUP(A55,Studies!A:BR,3,FALSE),"")</f>
        <v>https://www.ncbi.nlm.nih.gov/pubmed/16638734</v>
      </c>
      <c r="D55" s="232" t="str">
        <f>IF(AND(A55&lt;&gt;"",ISNUMBER(A55)),VLOOKUP(A55,Studies!A:BR,4,FALSE),"")</f>
        <v>Subject 13</v>
      </c>
      <c r="E55" s="206" t="str">
        <f>IF(AND(A55&lt;&gt;"",ISNUMBER(A55)),VLOOKUP(A55,Studies!A:BR,5,FALSE),"")</f>
        <v>Buspirone</v>
      </c>
      <c r="F55" s="198">
        <v>0</v>
      </c>
      <c r="G55" s="198" t="s">
        <v>1023</v>
      </c>
      <c r="H55" s="198" t="s">
        <v>60</v>
      </c>
      <c r="I55" s="190"/>
      <c r="J55" s="190"/>
      <c r="K55" s="190"/>
      <c r="L55" s="191"/>
      <c r="M55" s="191"/>
      <c r="N55" s="191"/>
      <c r="O55" s="190"/>
      <c r="P55" s="192">
        <v>901.1</v>
      </c>
      <c r="Q55" s="192" t="s">
        <v>1031</v>
      </c>
      <c r="R55" s="192" t="s">
        <v>264</v>
      </c>
      <c r="S55" s="193"/>
      <c r="T55" s="193"/>
      <c r="U55" s="193"/>
      <c r="V55" s="201" t="s">
        <v>1027</v>
      </c>
      <c r="W55" s="196">
        <v>81.7</v>
      </c>
      <c r="X55" s="196" t="s">
        <v>1032</v>
      </c>
      <c r="Y55" s="196" t="s">
        <v>264</v>
      </c>
      <c r="Z55" s="197"/>
      <c r="AA55" s="197"/>
      <c r="AB55" s="197"/>
      <c r="AC55" s="200" t="s">
        <v>1033</v>
      </c>
      <c r="AD55" s="202"/>
      <c r="AE55" s="174">
        <f>IF(ISNUMBER(VLOOKUP(A55,NotghiID!A:A,1,FALSE)),1,0)</f>
        <v>0</v>
      </c>
    </row>
    <row r="56" spans="1:31" x14ac:dyDescent="0.2">
      <c r="A56" s="80">
        <v>145</v>
      </c>
      <c r="B56" s="232" t="str">
        <f>IF(AND(A56&lt;&gt;"",ISNUMBER(A56)),VLOOKUP(A56,Studies!A:BR,2,FALSE),"")</f>
        <v>Edwards 2006</v>
      </c>
      <c r="C56" s="232" t="str">
        <f>IF(AND(A56&lt;&gt;"",ISNUMBER(A56)),VLOOKUP(A56,Studies!A:BR,3,FALSE),"")</f>
        <v>https://www.ncbi.nlm.nih.gov/pubmed/16638734</v>
      </c>
      <c r="D56" s="232" t="str">
        <f>IF(AND(A56&lt;&gt;"",ISNUMBER(A56)),VLOOKUP(A56,Studies!A:BR,4,FALSE),"")</f>
        <v>Subject 14</v>
      </c>
      <c r="E56" s="206" t="str">
        <f>IF(AND(A56&lt;&gt;"",ISNUMBER(A56)),VLOOKUP(A56,Studies!A:BR,5,FALSE),"")</f>
        <v>Buspirone</v>
      </c>
      <c r="F56" s="198">
        <v>0</v>
      </c>
      <c r="G56" s="198" t="s">
        <v>1023</v>
      </c>
      <c r="H56" s="198" t="s">
        <v>60</v>
      </c>
      <c r="I56" s="190"/>
      <c r="J56" s="190"/>
      <c r="K56" s="190"/>
      <c r="L56" s="191"/>
      <c r="M56" s="191"/>
      <c r="N56" s="191"/>
      <c r="O56" s="190"/>
      <c r="P56" s="192">
        <v>530</v>
      </c>
      <c r="Q56" s="192" t="s">
        <v>1031</v>
      </c>
      <c r="R56" s="192" t="s">
        <v>264</v>
      </c>
      <c r="S56" s="193"/>
      <c r="T56" s="193"/>
      <c r="U56" s="193"/>
      <c r="V56" s="201" t="s">
        <v>1027</v>
      </c>
      <c r="W56" s="196">
        <v>132.30000000000001</v>
      </c>
      <c r="X56" s="196" t="s">
        <v>1032</v>
      </c>
      <c r="Y56" s="196" t="s">
        <v>264</v>
      </c>
      <c r="Z56" s="197"/>
      <c r="AA56" s="197"/>
      <c r="AB56" s="197"/>
      <c r="AC56" s="200" t="s">
        <v>1033</v>
      </c>
      <c r="AD56" s="202"/>
      <c r="AE56" s="174">
        <f>IF(ISNUMBER(VLOOKUP(A56,NotghiID!A:A,1,FALSE)),1,0)</f>
        <v>0</v>
      </c>
    </row>
    <row r="57" spans="1:31" x14ac:dyDescent="0.2">
      <c r="A57" s="80">
        <v>146</v>
      </c>
      <c r="B57" s="232" t="str">
        <f>IF(AND(A57&lt;&gt;"",ISNUMBER(A57)),VLOOKUP(A57,Studies!A:BR,2,FALSE),"")</f>
        <v>Edwards 2006</v>
      </c>
      <c r="C57" s="232" t="str">
        <f>IF(AND(A57&lt;&gt;"",ISNUMBER(A57)),VLOOKUP(A57,Studies!A:BR,3,FALSE),"")</f>
        <v>https://www.ncbi.nlm.nih.gov/pubmed/16638734</v>
      </c>
      <c r="D57" s="232" t="str">
        <f>IF(AND(A57&lt;&gt;"",ISNUMBER(A57)),VLOOKUP(A57,Studies!A:BR,4,FALSE),"")</f>
        <v>Subject 15</v>
      </c>
      <c r="E57" s="206" t="str">
        <f>IF(AND(A57&lt;&gt;"",ISNUMBER(A57)),VLOOKUP(A57,Studies!A:BR,5,FALSE),"")</f>
        <v>Buspirone</v>
      </c>
      <c r="F57" s="198">
        <v>0</v>
      </c>
      <c r="G57" s="198" t="s">
        <v>1023</v>
      </c>
      <c r="H57" s="198" t="s">
        <v>60</v>
      </c>
      <c r="I57" s="190"/>
      <c r="J57" s="190"/>
      <c r="K57" s="190"/>
      <c r="L57" s="191"/>
      <c r="M57" s="191"/>
      <c r="N57" s="191"/>
      <c r="O57" s="190"/>
      <c r="P57" s="192">
        <v>786.2</v>
      </c>
      <c r="Q57" s="192" t="s">
        <v>1031</v>
      </c>
      <c r="R57" s="192" t="s">
        <v>264</v>
      </c>
      <c r="S57" s="193"/>
      <c r="T57" s="193"/>
      <c r="U57" s="193"/>
      <c r="V57" s="201" t="s">
        <v>1027</v>
      </c>
      <c r="W57" s="196">
        <v>72.099999999999994</v>
      </c>
      <c r="X57" s="196" t="s">
        <v>1032</v>
      </c>
      <c r="Y57" s="196" t="s">
        <v>264</v>
      </c>
      <c r="Z57" s="197"/>
      <c r="AA57" s="197"/>
      <c r="AB57" s="197"/>
      <c r="AC57" s="200" t="s">
        <v>1033</v>
      </c>
      <c r="AD57" s="202"/>
      <c r="AE57" s="174">
        <f>IF(ISNUMBER(VLOOKUP(A57,NotghiID!A:A,1,FALSE)),1,0)</f>
        <v>0</v>
      </c>
    </row>
    <row r="58" spans="1:31" x14ac:dyDescent="0.2">
      <c r="A58" s="80">
        <v>147</v>
      </c>
      <c r="B58" s="232" t="str">
        <f>IF(AND(A58&lt;&gt;"",ISNUMBER(A58)),VLOOKUP(A58,Studies!A:BR,2,FALSE),"")</f>
        <v>Edwards 2006</v>
      </c>
      <c r="C58" s="232" t="str">
        <f>IF(AND(A58&lt;&gt;"",ISNUMBER(A58)),VLOOKUP(A58,Studies!A:BR,3,FALSE),"")</f>
        <v>https://www.ncbi.nlm.nih.gov/pubmed/16638734</v>
      </c>
      <c r="D58" s="232" t="str">
        <f>IF(AND(A58&lt;&gt;"",ISNUMBER(A58)),VLOOKUP(A58,Studies!A:BR,4,FALSE),"")</f>
        <v>Subject 16</v>
      </c>
      <c r="E58" s="206" t="str">
        <f>IF(AND(A58&lt;&gt;"",ISNUMBER(A58)),VLOOKUP(A58,Studies!A:BR,5,FALSE),"")</f>
        <v>Buspirone</v>
      </c>
      <c r="F58" s="198">
        <v>0</v>
      </c>
      <c r="G58" s="198" t="s">
        <v>1023</v>
      </c>
      <c r="H58" s="198" t="s">
        <v>60</v>
      </c>
      <c r="I58" s="190"/>
      <c r="J58" s="190"/>
      <c r="K58" s="190"/>
      <c r="L58" s="191"/>
      <c r="M58" s="191"/>
      <c r="N58" s="191"/>
      <c r="O58" s="190"/>
      <c r="P58" s="192">
        <v>877.2</v>
      </c>
      <c r="Q58" s="192" t="s">
        <v>1031</v>
      </c>
      <c r="R58" s="192" t="s">
        <v>264</v>
      </c>
      <c r="S58" s="193"/>
      <c r="T58" s="193"/>
      <c r="U58" s="193"/>
      <c r="V58" s="201" t="s">
        <v>1027</v>
      </c>
      <c r="W58" s="196">
        <v>144.5</v>
      </c>
      <c r="X58" s="196" t="s">
        <v>1032</v>
      </c>
      <c r="Y58" s="196" t="s">
        <v>264</v>
      </c>
      <c r="Z58" s="197"/>
      <c r="AA58" s="197"/>
      <c r="AB58" s="197"/>
      <c r="AC58" s="200" t="s">
        <v>1033</v>
      </c>
      <c r="AD58" s="202"/>
      <c r="AE58" s="174">
        <f>IF(ISNUMBER(VLOOKUP(A58,NotghiID!A:A,1,FALSE)),1,0)</f>
        <v>0</v>
      </c>
    </row>
    <row r="59" spans="1:31" x14ac:dyDescent="0.2">
      <c r="A59" s="80">
        <v>148</v>
      </c>
      <c r="B59" s="232" t="str">
        <f>IF(AND(A59&lt;&gt;"",ISNUMBER(A59)),VLOOKUP(A59,Studies!A:BR,2,FALSE),"")</f>
        <v>Edwards 2006</v>
      </c>
      <c r="C59" s="232" t="str">
        <f>IF(AND(A59&lt;&gt;"",ISNUMBER(A59)),VLOOKUP(A59,Studies!A:BR,3,FALSE),"")</f>
        <v>https://www.ncbi.nlm.nih.gov/pubmed/16638734</v>
      </c>
      <c r="D59" s="232" t="str">
        <f>IF(AND(A59&lt;&gt;"",ISNUMBER(A59)),VLOOKUP(A59,Studies!A:BR,4,FALSE),"")</f>
        <v>Subject 17</v>
      </c>
      <c r="E59" s="206" t="str">
        <f>IF(AND(A59&lt;&gt;"",ISNUMBER(A59)),VLOOKUP(A59,Studies!A:BR,5,FALSE),"")</f>
        <v>Buspirone</v>
      </c>
      <c r="F59" s="198">
        <v>0</v>
      </c>
      <c r="G59" s="198" t="s">
        <v>1023</v>
      </c>
      <c r="H59" s="198" t="s">
        <v>60</v>
      </c>
      <c r="I59" s="190"/>
      <c r="J59" s="190"/>
      <c r="K59" s="190"/>
      <c r="L59" s="191"/>
      <c r="M59" s="191"/>
      <c r="N59" s="191"/>
      <c r="O59" s="190"/>
      <c r="P59" s="192">
        <v>764.2</v>
      </c>
      <c r="Q59" s="192" t="s">
        <v>1031</v>
      </c>
      <c r="R59" s="192" t="s">
        <v>264</v>
      </c>
      <c r="S59" s="193"/>
      <c r="T59" s="193"/>
      <c r="U59" s="193"/>
      <c r="V59" s="201" t="s">
        <v>1027</v>
      </c>
      <c r="W59" s="196">
        <v>57.6</v>
      </c>
      <c r="X59" s="196" t="s">
        <v>1032</v>
      </c>
      <c r="Y59" s="196" t="s">
        <v>264</v>
      </c>
      <c r="Z59" s="197"/>
      <c r="AA59" s="197"/>
      <c r="AB59" s="197"/>
      <c r="AC59" s="200" t="s">
        <v>1033</v>
      </c>
      <c r="AD59" s="202"/>
      <c r="AE59" s="174">
        <f>IF(ISNUMBER(VLOOKUP(A59,NotghiID!A:A,1,FALSE)),1,0)</f>
        <v>0</v>
      </c>
    </row>
    <row r="60" spans="1:31" x14ac:dyDescent="0.2">
      <c r="A60" s="80">
        <v>149</v>
      </c>
      <c r="B60" s="232" t="str">
        <f>IF(AND(A60&lt;&gt;"",ISNUMBER(A60)),VLOOKUP(A60,Studies!A:BR,2,FALSE),"")</f>
        <v>Edwards 2006</v>
      </c>
      <c r="C60" s="232" t="str">
        <f>IF(AND(A60&lt;&gt;"",ISNUMBER(A60)),VLOOKUP(A60,Studies!A:BR,3,FALSE),"")</f>
        <v>https://www.ncbi.nlm.nih.gov/pubmed/16638734</v>
      </c>
      <c r="D60" s="232" t="str">
        <f>IF(AND(A60&lt;&gt;"",ISNUMBER(A60)),VLOOKUP(A60,Studies!A:BR,4,FALSE),"")</f>
        <v>Subject 18</v>
      </c>
      <c r="E60" s="206" t="str">
        <f>IF(AND(A60&lt;&gt;"",ISNUMBER(A60)),VLOOKUP(A60,Studies!A:BR,5,FALSE),"")</f>
        <v>Buspirone</v>
      </c>
      <c r="F60" s="198">
        <v>0</v>
      </c>
      <c r="G60" s="198" t="s">
        <v>1023</v>
      </c>
      <c r="H60" s="198" t="s">
        <v>60</v>
      </c>
      <c r="I60" s="190"/>
      <c r="J60" s="190"/>
      <c r="K60" s="190"/>
      <c r="L60" s="191"/>
      <c r="M60" s="191"/>
      <c r="N60" s="191"/>
      <c r="O60" s="190"/>
      <c r="P60" s="192">
        <v>1829.2</v>
      </c>
      <c r="Q60" s="192" t="s">
        <v>1031</v>
      </c>
      <c r="R60" s="192" t="s">
        <v>264</v>
      </c>
      <c r="S60" s="193"/>
      <c r="T60" s="193"/>
      <c r="U60" s="193"/>
      <c r="V60" s="201" t="s">
        <v>1027</v>
      </c>
      <c r="W60" s="196">
        <v>28.9</v>
      </c>
      <c r="X60" s="196" t="s">
        <v>1032</v>
      </c>
      <c r="Y60" s="196" t="s">
        <v>264</v>
      </c>
      <c r="Z60" s="197"/>
      <c r="AA60" s="197"/>
      <c r="AB60" s="197"/>
      <c r="AC60" s="200" t="s">
        <v>1033</v>
      </c>
      <c r="AD60" s="202"/>
      <c r="AE60" s="174">
        <f>IF(ISNUMBER(VLOOKUP(A60,NotghiID!A:A,1,FALSE)),1,0)</f>
        <v>0</v>
      </c>
    </row>
    <row r="61" spans="1:31" x14ac:dyDescent="0.2">
      <c r="A61" s="80">
        <v>150</v>
      </c>
      <c r="B61" s="232" t="str">
        <f>IF(AND(A61&lt;&gt;"",ISNUMBER(A61)),VLOOKUP(A61,Studies!A:BR,2,FALSE),"")</f>
        <v>Edwards 2006</v>
      </c>
      <c r="C61" s="232" t="str">
        <f>IF(AND(A61&lt;&gt;"",ISNUMBER(A61)),VLOOKUP(A61,Studies!A:BR,3,FALSE),"")</f>
        <v>https://www.ncbi.nlm.nih.gov/pubmed/16638734</v>
      </c>
      <c r="D61" s="232" t="str">
        <f>IF(AND(A61&lt;&gt;"",ISNUMBER(A61)),VLOOKUP(A61,Studies!A:BR,4,FALSE),"")</f>
        <v>Subject 19</v>
      </c>
      <c r="E61" s="206" t="str">
        <f>IF(AND(A61&lt;&gt;"",ISNUMBER(A61)),VLOOKUP(A61,Studies!A:BR,5,FALSE),"")</f>
        <v>Buspirone</v>
      </c>
      <c r="F61" s="198">
        <v>0</v>
      </c>
      <c r="G61" s="198" t="s">
        <v>1023</v>
      </c>
      <c r="H61" s="198" t="s">
        <v>60</v>
      </c>
      <c r="I61" s="190"/>
      <c r="J61" s="190"/>
      <c r="K61" s="190"/>
      <c r="L61" s="191"/>
      <c r="M61" s="191"/>
      <c r="N61" s="191"/>
      <c r="O61" s="190"/>
      <c r="P61" s="192">
        <v>2603.1</v>
      </c>
      <c r="Q61" s="192" t="s">
        <v>1031</v>
      </c>
      <c r="R61" s="192" t="s">
        <v>264</v>
      </c>
      <c r="S61" s="193"/>
      <c r="T61" s="193"/>
      <c r="U61" s="193"/>
      <c r="V61" s="201" t="s">
        <v>1027</v>
      </c>
      <c r="W61" s="196">
        <v>60.4</v>
      </c>
      <c r="X61" s="196" t="s">
        <v>1032</v>
      </c>
      <c r="Y61" s="196" t="s">
        <v>264</v>
      </c>
      <c r="Z61" s="197"/>
      <c r="AA61" s="197"/>
      <c r="AB61" s="197"/>
      <c r="AC61" s="200" t="s">
        <v>1033</v>
      </c>
      <c r="AD61" s="202"/>
      <c r="AE61" s="174">
        <f>IF(ISNUMBER(VLOOKUP(A61,NotghiID!A:A,1,FALSE)),1,0)</f>
        <v>0</v>
      </c>
    </row>
    <row r="62" spans="1:31" x14ac:dyDescent="0.2">
      <c r="A62" s="80">
        <v>151</v>
      </c>
      <c r="B62" s="232" t="str">
        <f>IF(AND(A62&lt;&gt;"",ISNUMBER(A62)),VLOOKUP(A62,Studies!A:BR,2,FALSE),"")</f>
        <v>Edwards 2006</v>
      </c>
      <c r="C62" s="232" t="str">
        <f>IF(AND(A62&lt;&gt;"",ISNUMBER(A62)),VLOOKUP(A62,Studies!A:BR,3,FALSE),"")</f>
        <v>https://www.ncbi.nlm.nih.gov/pubmed/16638734</v>
      </c>
      <c r="D62" s="232" t="str">
        <f>IF(AND(A62&lt;&gt;"",ISNUMBER(A62)),VLOOKUP(A62,Studies!A:BR,4,FALSE),"")</f>
        <v>Subject 20</v>
      </c>
      <c r="E62" s="206" t="str">
        <f>IF(AND(A62&lt;&gt;"",ISNUMBER(A62)),VLOOKUP(A62,Studies!A:BR,5,FALSE),"")</f>
        <v>Buspirone</v>
      </c>
      <c r="F62" s="198">
        <v>0</v>
      </c>
      <c r="G62" s="198" t="s">
        <v>1023</v>
      </c>
      <c r="H62" s="198" t="s">
        <v>60</v>
      </c>
      <c r="I62" s="190"/>
      <c r="J62" s="190"/>
      <c r="K62" s="190"/>
      <c r="L62" s="191"/>
      <c r="M62" s="191"/>
      <c r="N62" s="191"/>
      <c r="O62" s="190"/>
      <c r="P62" s="192">
        <v>1260.3</v>
      </c>
      <c r="Q62" s="192" t="s">
        <v>1031</v>
      </c>
      <c r="R62" s="192" t="s">
        <v>264</v>
      </c>
      <c r="S62" s="193"/>
      <c r="T62" s="193"/>
      <c r="U62" s="193"/>
      <c r="V62" s="201" t="s">
        <v>1027</v>
      </c>
      <c r="W62" s="196">
        <v>71.599999999999994</v>
      </c>
      <c r="X62" s="196" t="s">
        <v>1032</v>
      </c>
      <c r="Y62" s="196" t="s">
        <v>264</v>
      </c>
      <c r="Z62" s="197"/>
      <c r="AA62" s="197"/>
      <c r="AB62" s="197"/>
      <c r="AC62" s="200" t="s">
        <v>1033</v>
      </c>
      <c r="AD62" s="202"/>
      <c r="AE62" s="174">
        <f>IF(ISNUMBER(VLOOKUP(A62,NotghiID!A:A,1,FALSE)),1,0)</f>
        <v>0</v>
      </c>
    </row>
    <row r="63" spans="1:31" x14ac:dyDescent="0.2">
      <c r="A63" s="80">
        <v>152</v>
      </c>
      <c r="B63" s="232" t="str">
        <f>IF(AND(A63&lt;&gt;"",ISNUMBER(A63)),VLOOKUP(A63,Studies!A:BR,2,FALSE),"")</f>
        <v>Edwards 2006</v>
      </c>
      <c r="C63" s="232" t="str">
        <f>IF(AND(A63&lt;&gt;"",ISNUMBER(A63)),VLOOKUP(A63,Studies!A:BR,3,FALSE),"")</f>
        <v>https://www.ncbi.nlm.nih.gov/pubmed/16638734</v>
      </c>
      <c r="D63" s="232" t="str">
        <f>IF(AND(A63&lt;&gt;"",ISNUMBER(A63)),VLOOKUP(A63,Studies!A:BR,4,FALSE),"")</f>
        <v>Subject 21</v>
      </c>
      <c r="E63" s="206" t="str">
        <f>IF(AND(A63&lt;&gt;"",ISNUMBER(A63)),VLOOKUP(A63,Studies!A:BR,5,FALSE),"")</f>
        <v>Buspirone</v>
      </c>
      <c r="F63" s="198">
        <v>0</v>
      </c>
      <c r="G63" s="198" t="s">
        <v>1023</v>
      </c>
      <c r="H63" s="198" t="s">
        <v>60</v>
      </c>
      <c r="I63" s="190"/>
      <c r="J63" s="190"/>
      <c r="K63" s="190"/>
      <c r="L63" s="191"/>
      <c r="M63" s="191"/>
      <c r="N63" s="191"/>
      <c r="O63" s="190"/>
      <c r="P63" s="192">
        <v>494.9</v>
      </c>
      <c r="Q63" s="192" t="s">
        <v>1031</v>
      </c>
      <c r="R63" s="192" t="s">
        <v>264</v>
      </c>
      <c r="S63" s="193"/>
      <c r="T63" s="193"/>
      <c r="U63" s="193"/>
      <c r="V63" s="201" t="s">
        <v>1027</v>
      </c>
      <c r="W63" s="196">
        <v>88</v>
      </c>
      <c r="X63" s="196" t="s">
        <v>1032</v>
      </c>
      <c r="Y63" s="196" t="s">
        <v>264</v>
      </c>
      <c r="Z63" s="197"/>
      <c r="AA63" s="197"/>
      <c r="AB63" s="197"/>
      <c r="AC63" s="200" t="s">
        <v>1033</v>
      </c>
      <c r="AD63" s="202"/>
      <c r="AE63" s="174">
        <f>IF(ISNUMBER(VLOOKUP(A63,NotghiID!A:A,1,FALSE)),1,0)</f>
        <v>0</v>
      </c>
    </row>
    <row r="64" spans="1:31" x14ac:dyDescent="0.2">
      <c r="A64" s="80">
        <v>153</v>
      </c>
      <c r="B64" s="232" t="str">
        <f>IF(AND(A64&lt;&gt;"",ISNUMBER(A64)),VLOOKUP(A64,Studies!A:BR,2,FALSE),"")</f>
        <v>Edwards 2006</v>
      </c>
      <c r="C64" s="232" t="str">
        <f>IF(AND(A64&lt;&gt;"",ISNUMBER(A64)),VLOOKUP(A64,Studies!A:BR,3,FALSE),"")</f>
        <v>https://www.ncbi.nlm.nih.gov/pubmed/16638734</v>
      </c>
      <c r="D64" s="232" t="str">
        <f>IF(AND(A64&lt;&gt;"",ISNUMBER(A64)),VLOOKUP(A64,Studies!A:BR,4,FALSE),"")</f>
        <v>Subject 23</v>
      </c>
      <c r="E64" s="206" t="str">
        <f>IF(AND(A64&lt;&gt;"",ISNUMBER(A64)),VLOOKUP(A64,Studies!A:BR,5,FALSE),"")</f>
        <v>Buspirone</v>
      </c>
      <c r="F64" s="198">
        <v>0</v>
      </c>
      <c r="G64" s="198" t="s">
        <v>1023</v>
      </c>
      <c r="H64" s="198" t="s">
        <v>60</v>
      </c>
      <c r="I64" s="190"/>
      <c r="J64" s="190"/>
      <c r="K64" s="190"/>
      <c r="L64" s="191"/>
      <c r="M64" s="191"/>
      <c r="N64" s="191"/>
      <c r="O64" s="190"/>
      <c r="P64" s="192">
        <v>2227.1999999999998</v>
      </c>
      <c r="Q64" s="192" t="s">
        <v>1031</v>
      </c>
      <c r="R64" s="192" t="s">
        <v>264</v>
      </c>
      <c r="S64" s="193"/>
      <c r="T64" s="193"/>
      <c r="U64" s="193"/>
      <c r="V64" s="201" t="s">
        <v>1027</v>
      </c>
      <c r="W64" s="196">
        <v>23.6</v>
      </c>
      <c r="X64" s="196" t="s">
        <v>1032</v>
      </c>
      <c r="Y64" s="196" t="s">
        <v>264</v>
      </c>
      <c r="Z64" s="197"/>
      <c r="AA64" s="197"/>
      <c r="AB64" s="197"/>
      <c r="AC64" s="200" t="s">
        <v>1033</v>
      </c>
      <c r="AD64" s="202"/>
      <c r="AE64" s="174">
        <f>IF(ISNUMBER(VLOOKUP(A64,NotghiID!A:A,1,FALSE)),1,0)</f>
        <v>0</v>
      </c>
    </row>
    <row r="65" spans="1:31" x14ac:dyDescent="0.2">
      <c r="A65" s="80">
        <v>154</v>
      </c>
      <c r="B65" s="232" t="str">
        <f>IF(AND(A65&lt;&gt;"",ISNUMBER(A65)),VLOOKUP(A65,Studies!A:BR,2,FALSE),"")</f>
        <v>Edwards 2006</v>
      </c>
      <c r="C65" s="232" t="str">
        <f>IF(AND(A65&lt;&gt;"",ISNUMBER(A65)),VLOOKUP(A65,Studies!A:BR,3,FALSE),"")</f>
        <v>https://www.ncbi.nlm.nih.gov/pubmed/16638734</v>
      </c>
      <c r="D65" s="232" t="str">
        <f>IF(AND(A65&lt;&gt;"",ISNUMBER(A65)),VLOOKUP(A65,Studies!A:BR,4,FALSE),"")</f>
        <v>Subject 24</v>
      </c>
      <c r="E65" s="206" t="str">
        <f>IF(AND(A65&lt;&gt;"",ISNUMBER(A65)),VLOOKUP(A65,Studies!A:BR,5,FALSE),"")</f>
        <v>Buspirone</v>
      </c>
      <c r="F65" s="198">
        <v>0</v>
      </c>
      <c r="G65" s="198" t="s">
        <v>1023</v>
      </c>
      <c r="H65" s="198" t="s">
        <v>60</v>
      </c>
      <c r="I65" s="190"/>
      <c r="J65" s="190"/>
      <c r="K65" s="190"/>
      <c r="L65" s="191"/>
      <c r="M65" s="191"/>
      <c r="N65" s="191"/>
      <c r="O65" s="190"/>
      <c r="P65" s="192">
        <v>280.5</v>
      </c>
      <c r="Q65" s="192" t="s">
        <v>1031</v>
      </c>
      <c r="R65" s="192" t="s">
        <v>264</v>
      </c>
      <c r="S65" s="193"/>
      <c r="T65" s="193"/>
      <c r="U65" s="193"/>
      <c r="V65" s="201" t="s">
        <v>1027</v>
      </c>
      <c r="W65" s="196">
        <v>140.6</v>
      </c>
      <c r="X65" s="196" t="s">
        <v>1032</v>
      </c>
      <c r="Y65" s="196" t="s">
        <v>264</v>
      </c>
      <c r="Z65" s="197"/>
      <c r="AA65" s="197"/>
      <c r="AB65" s="197"/>
      <c r="AC65" s="200" t="s">
        <v>1033</v>
      </c>
      <c r="AD65" s="202"/>
      <c r="AE65" s="174">
        <f>IF(ISNUMBER(VLOOKUP(A65,NotghiID!A:A,1,FALSE)),1,0)</f>
        <v>0</v>
      </c>
    </row>
    <row r="66" spans="1:31" x14ac:dyDescent="0.2">
      <c r="A66" s="174">
        <v>433</v>
      </c>
      <c r="B66" s="232" t="str">
        <f>IF(AND(A66&lt;&gt;"",ISNUMBER(A66)),VLOOKUP(A66,Studies!A:BR,2,FALSE),"")</f>
        <v>Treluyer 2002</v>
      </c>
      <c r="C66" s="232" t="str">
        <f>IF(AND(A66&lt;&gt;"",ISNUMBER(A66)),VLOOKUP(A66,Studies!A:BR,3,FALSE),"")</f>
        <v>https://www.ncbi.nlm.nih.gov/pubmed/11959572</v>
      </c>
      <c r="D66" s="232" t="str">
        <f>IF(AND(A66&lt;&gt;"",ISNUMBER(A66)),VLOOKUP(A66,Studies!A:BR,4,FALSE),"")</f>
        <v>mean</v>
      </c>
      <c r="E66" s="206" t="str">
        <f>IF(AND(A66&lt;&gt;"",ISNUMBER(A66)),VLOOKUP(A66,Studies!A:BR,5,FALSE),"")</f>
        <v>Amikacin</v>
      </c>
      <c r="F66" s="198">
        <v>0</v>
      </c>
      <c r="G66" s="198">
        <v>72</v>
      </c>
      <c r="H66" s="198" t="s">
        <v>60</v>
      </c>
      <c r="I66" s="190"/>
      <c r="J66" s="190"/>
      <c r="K66" s="190"/>
      <c r="L66" s="191"/>
      <c r="M66" s="191"/>
      <c r="N66" s="191"/>
      <c r="O66" s="190"/>
      <c r="P66" s="192"/>
      <c r="Q66" s="192"/>
      <c r="R66" s="192"/>
      <c r="S66" s="193"/>
      <c r="T66" s="193"/>
      <c r="U66" s="193"/>
      <c r="V66" s="201"/>
      <c r="W66" s="196">
        <v>0.123</v>
      </c>
      <c r="X66" s="196" t="s">
        <v>1032</v>
      </c>
      <c r="Y66" s="196" t="s">
        <v>183</v>
      </c>
      <c r="Z66" s="197">
        <v>52</v>
      </c>
      <c r="AA66" s="197" t="s">
        <v>517</v>
      </c>
      <c r="AB66" s="197" t="s">
        <v>1037</v>
      </c>
      <c r="AC66" s="200" t="s">
        <v>1038</v>
      </c>
      <c r="AD66" s="202" t="s">
        <v>1039</v>
      </c>
      <c r="AE66" s="174">
        <f>IF(ISNUMBER(VLOOKUP(A66,NotghiID!A:A,1,FALSE)),1,0)</f>
        <v>0</v>
      </c>
    </row>
    <row r="67" spans="1:31" x14ac:dyDescent="0.2">
      <c r="A67" s="174">
        <v>434</v>
      </c>
      <c r="B67" s="232" t="str">
        <f>IF(AND(A67&lt;&gt;"",ISNUMBER(A67)),VLOOKUP(A67,Studies!A:BR,2,FALSE),"")</f>
        <v>Treluyer 2002</v>
      </c>
      <c r="C67" s="232" t="str">
        <f>IF(AND(A67&lt;&gt;"",ISNUMBER(A67)),VLOOKUP(A67,Studies!A:BR,3,FALSE),"")</f>
        <v>https://www.ncbi.nlm.nih.gov/pubmed/11959572</v>
      </c>
      <c r="D67" s="232" t="str">
        <f>IF(AND(A67&lt;&gt;"",ISNUMBER(A67)),VLOOKUP(A67,Studies!A:BR,4,FALSE),"")</f>
        <v>ID1</v>
      </c>
      <c r="E67" s="206" t="str">
        <f>IF(AND(A67&lt;&gt;"",ISNUMBER(A67)),VLOOKUP(A67,Studies!A:BR,5,FALSE),"")</f>
        <v>Amikacin</v>
      </c>
      <c r="F67" s="198">
        <v>0</v>
      </c>
      <c r="G67" s="198">
        <v>72</v>
      </c>
      <c r="H67" s="198" t="s">
        <v>60</v>
      </c>
      <c r="I67" s="190"/>
      <c r="J67" s="190"/>
      <c r="K67" s="190"/>
      <c r="L67" s="191"/>
      <c r="M67" s="191"/>
      <c r="N67" s="191"/>
      <c r="O67" s="190"/>
      <c r="P67" s="192"/>
      <c r="Q67" s="192"/>
      <c r="R67" s="192"/>
      <c r="S67" s="193"/>
      <c r="T67" s="193"/>
      <c r="U67" s="193"/>
      <c r="V67" s="201"/>
      <c r="W67" s="196">
        <v>5.2999999999999999E-2</v>
      </c>
      <c r="X67" s="196" t="s">
        <v>1032</v>
      </c>
      <c r="Y67" s="196" t="s">
        <v>264</v>
      </c>
      <c r="Z67" s="197"/>
      <c r="AA67" s="197"/>
      <c r="AB67" s="197"/>
      <c r="AC67" s="200"/>
      <c r="AD67" s="202" t="s">
        <v>1040</v>
      </c>
      <c r="AE67" s="174">
        <f>IF(ISNUMBER(VLOOKUP(A67,NotghiID!A:A,1,FALSE)),1,0)</f>
        <v>0</v>
      </c>
    </row>
    <row r="68" spans="1:31" x14ac:dyDescent="0.2">
      <c r="A68" s="174">
        <v>435</v>
      </c>
      <c r="B68" s="232" t="str">
        <f>IF(AND(A68&lt;&gt;"",ISNUMBER(A68)),VLOOKUP(A68,Studies!A:BR,2,FALSE),"")</f>
        <v>Treluyer 2002</v>
      </c>
      <c r="C68" s="232" t="str">
        <f>IF(AND(A68&lt;&gt;"",ISNUMBER(A68)),VLOOKUP(A68,Studies!A:BR,3,FALSE),"")</f>
        <v>https://www.ncbi.nlm.nih.gov/pubmed/11959572</v>
      </c>
      <c r="D68" s="232" t="str">
        <f>IF(AND(A68&lt;&gt;"",ISNUMBER(A68)),VLOOKUP(A68,Studies!A:BR,4,FALSE),"")</f>
        <v>ID2</v>
      </c>
      <c r="E68" s="206" t="str">
        <f>IF(AND(A68&lt;&gt;"",ISNUMBER(A68)),VLOOKUP(A68,Studies!A:BR,5,FALSE),"")</f>
        <v>Amikacin</v>
      </c>
      <c r="F68" s="198">
        <v>0</v>
      </c>
      <c r="G68" s="198">
        <v>72</v>
      </c>
      <c r="H68" s="198" t="s">
        <v>60</v>
      </c>
      <c r="I68" s="190"/>
      <c r="J68" s="190"/>
      <c r="K68" s="190"/>
      <c r="L68" s="191"/>
      <c r="M68" s="191"/>
      <c r="N68" s="191"/>
      <c r="O68" s="190"/>
      <c r="P68" s="192"/>
      <c r="Q68" s="192"/>
      <c r="R68" s="192"/>
      <c r="S68" s="193"/>
      <c r="T68" s="193"/>
      <c r="U68" s="193"/>
      <c r="V68" s="201"/>
      <c r="W68" s="196">
        <v>7.2999999999999995E-2</v>
      </c>
      <c r="X68" s="196" t="s">
        <v>1032</v>
      </c>
      <c r="Y68" s="196" t="s">
        <v>264</v>
      </c>
      <c r="Z68" s="197"/>
      <c r="AA68" s="197"/>
      <c r="AB68" s="197"/>
      <c r="AC68" s="200"/>
      <c r="AD68" s="202" t="s">
        <v>1040</v>
      </c>
      <c r="AE68" s="174">
        <f>IF(ISNUMBER(VLOOKUP(A68,NotghiID!A:A,1,FALSE)),1,0)</f>
        <v>0</v>
      </c>
    </row>
    <row r="69" spans="1:31" x14ac:dyDescent="0.2">
      <c r="A69" s="174">
        <v>436</v>
      </c>
      <c r="B69" s="232" t="str">
        <f>IF(AND(A69&lt;&gt;"",ISNUMBER(A69)),VLOOKUP(A69,Studies!A:BR,2,FALSE),"")</f>
        <v>Treluyer 2002</v>
      </c>
      <c r="C69" s="232" t="str">
        <f>IF(AND(A69&lt;&gt;"",ISNUMBER(A69)),VLOOKUP(A69,Studies!A:BR,3,FALSE),"")</f>
        <v>https://www.ncbi.nlm.nih.gov/pubmed/11959572</v>
      </c>
      <c r="D69" s="232" t="str">
        <f>IF(AND(A69&lt;&gt;"",ISNUMBER(A69)),VLOOKUP(A69,Studies!A:BR,4,FALSE),"")</f>
        <v>ID3</v>
      </c>
      <c r="E69" s="206" t="str">
        <f>IF(AND(A69&lt;&gt;"",ISNUMBER(A69)),VLOOKUP(A69,Studies!A:BR,5,FALSE),"")</f>
        <v>Amikacin</v>
      </c>
      <c r="F69" s="198">
        <v>0</v>
      </c>
      <c r="G69" s="198">
        <v>72</v>
      </c>
      <c r="H69" s="198" t="s">
        <v>60</v>
      </c>
      <c r="I69" s="190"/>
      <c r="J69" s="190"/>
      <c r="K69" s="190"/>
      <c r="L69" s="191"/>
      <c r="M69" s="191"/>
      <c r="N69" s="191"/>
      <c r="O69" s="190"/>
      <c r="P69" s="192"/>
      <c r="Q69" s="192"/>
      <c r="R69" s="192"/>
      <c r="S69" s="193"/>
      <c r="T69" s="193"/>
      <c r="U69" s="193"/>
      <c r="V69" s="201"/>
      <c r="W69" s="196">
        <v>9.5000000000000001E-2</v>
      </c>
      <c r="X69" s="196" t="s">
        <v>1032</v>
      </c>
      <c r="Y69" s="196" t="s">
        <v>264</v>
      </c>
      <c r="Z69" s="197"/>
      <c r="AA69" s="197"/>
      <c r="AB69" s="197"/>
      <c r="AC69" s="200"/>
      <c r="AD69" s="202" t="s">
        <v>1040</v>
      </c>
      <c r="AE69" s="174">
        <f>IF(ISNUMBER(VLOOKUP(A69,NotghiID!A:A,1,FALSE)),1,0)</f>
        <v>0</v>
      </c>
    </row>
    <row r="70" spans="1:31" x14ac:dyDescent="0.2">
      <c r="A70" s="174">
        <v>437</v>
      </c>
      <c r="B70" s="232" t="str">
        <f>IF(AND(A70&lt;&gt;"",ISNUMBER(A70)),VLOOKUP(A70,Studies!A:BR,2,FALSE),"")</f>
        <v>Treluyer 2002</v>
      </c>
      <c r="C70" s="232" t="str">
        <f>IF(AND(A70&lt;&gt;"",ISNUMBER(A70)),VLOOKUP(A70,Studies!A:BR,3,FALSE),"")</f>
        <v>https://www.ncbi.nlm.nih.gov/pubmed/11959572</v>
      </c>
      <c r="D70" s="232" t="str">
        <f>IF(AND(A70&lt;&gt;"",ISNUMBER(A70)),VLOOKUP(A70,Studies!A:BR,4,FALSE),"")</f>
        <v>ID4</v>
      </c>
      <c r="E70" s="206" t="str">
        <f>IF(AND(A70&lt;&gt;"",ISNUMBER(A70)),VLOOKUP(A70,Studies!A:BR,5,FALSE),"")</f>
        <v>Amikacin</v>
      </c>
      <c r="F70" s="198">
        <v>0</v>
      </c>
      <c r="G70" s="198">
        <v>72</v>
      </c>
      <c r="H70" s="198" t="s">
        <v>60</v>
      </c>
      <c r="I70" s="190"/>
      <c r="J70" s="190"/>
      <c r="K70" s="190"/>
      <c r="L70" s="191"/>
      <c r="M70" s="191"/>
      <c r="N70" s="191"/>
      <c r="O70" s="190"/>
      <c r="P70" s="192"/>
      <c r="Q70" s="192"/>
      <c r="R70" s="192"/>
      <c r="S70" s="193"/>
      <c r="T70" s="193"/>
      <c r="U70" s="193"/>
      <c r="V70" s="201"/>
      <c r="W70" s="196">
        <v>0.106</v>
      </c>
      <c r="X70" s="196" t="s">
        <v>1032</v>
      </c>
      <c r="Y70" s="196" t="s">
        <v>264</v>
      </c>
      <c r="Z70" s="197"/>
      <c r="AA70" s="197"/>
      <c r="AB70" s="197"/>
      <c r="AC70" s="200"/>
      <c r="AD70" s="202" t="s">
        <v>1040</v>
      </c>
      <c r="AE70" s="174">
        <f>IF(ISNUMBER(VLOOKUP(A70,NotghiID!A:A,1,FALSE)),1,0)</f>
        <v>0</v>
      </c>
    </row>
    <row r="71" spans="1:31" x14ac:dyDescent="0.2">
      <c r="A71" s="174">
        <v>438</v>
      </c>
      <c r="B71" s="232" t="str">
        <f>IF(AND(A71&lt;&gt;"",ISNUMBER(A71)),VLOOKUP(A71,Studies!A:BR,2,FALSE),"")</f>
        <v>Treluyer 2002</v>
      </c>
      <c r="C71" s="232" t="str">
        <f>IF(AND(A71&lt;&gt;"",ISNUMBER(A71)),VLOOKUP(A71,Studies!A:BR,3,FALSE),"")</f>
        <v>https://www.ncbi.nlm.nih.gov/pubmed/11959572</v>
      </c>
      <c r="D71" s="232" t="str">
        <f>IF(AND(A71&lt;&gt;"",ISNUMBER(A71)),VLOOKUP(A71,Studies!A:BR,4,FALSE),"")</f>
        <v>ID5</v>
      </c>
      <c r="E71" s="206" t="str">
        <f>IF(AND(A71&lt;&gt;"",ISNUMBER(A71)),VLOOKUP(A71,Studies!A:BR,5,FALSE),"")</f>
        <v>Amikacin</v>
      </c>
      <c r="F71" s="198">
        <v>0</v>
      </c>
      <c r="G71" s="198">
        <v>72</v>
      </c>
      <c r="H71" s="198" t="s">
        <v>60</v>
      </c>
      <c r="I71" s="190"/>
      <c r="J71" s="190"/>
      <c r="K71" s="190"/>
      <c r="L71" s="191"/>
      <c r="M71" s="191"/>
      <c r="N71" s="191"/>
      <c r="O71" s="190"/>
      <c r="P71" s="192"/>
      <c r="Q71" s="192"/>
      <c r="R71" s="192"/>
      <c r="S71" s="193"/>
      <c r="T71" s="193"/>
      <c r="U71" s="193"/>
      <c r="V71" s="201"/>
      <c r="W71" s="196">
        <v>0.11799999999999999</v>
      </c>
      <c r="X71" s="196" t="s">
        <v>1032</v>
      </c>
      <c r="Y71" s="196" t="s">
        <v>264</v>
      </c>
      <c r="Z71" s="197"/>
      <c r="AA71" s="197"/>
      <c r="AB71" s="197"/>
      <c r="AC71" s="200"/>
      <c r="AD71" s="202" t="s">
        <v>1040</v>
      </c>
      <c r="AE71" s="174">
        <f>IF(ISNUMBER(VLOOKUP(A71,NotghiID!A:A,1,FALSE)),1,0)</f>
        <v>0</v>
      </c>
    </row>
    <row r="72" spans="1:31" x14ac:dyDescent="0.2">
      <c r="A72" s="174">
        <v>439</v>
      </c>
      <c r="B72" s="232" t="str">
        <f>IF(AND(A72&lt;&gt;"",ISNUMBER(A72)),VLOOKUP(A72,Studies!A:BR,2,FALSE),"")</f>
        <v>Treluyer 2002</v>
      </c>
      <c r="C72" s="232" t="str">
        <f>IF(AND(A72&lt;&gt;"",ISNUMBER(A72)),VLOOKUP(A72,Studies!A:BR,3,FALSE),"")</f>
        <v>https://www.ncbi.nlm.nih.gov/pubmed/11959572</v>
      </c>
      <c r="D72" s="232" t="str">
        <f>IF(AND(A72&lt;&gt;"",ISNUMBER(A72)),VLOOKUP(A72,Studies!A:BR,4,FALSE),"")</f>
        <v>ID6</v>
      </c>
      <c r="E72" s="206" t="str">
        <f>IF(AND(A72&lt;&gt;"",ISNUMBER(A72)),VLOOKUP(A72,Studies!A:BR,5,FALSE),"")</f>
        <v>Amikacin</v>
      </c>
      <c r="F72" s="198">
        <v>0</v>
      </c>
      <c r="G72" s="198">
        <v>72</v>
      </c>
      <c r="H72" s="198" t="s">
        <v>60</v>
      </c>
      <c r="I72" s="190"/>
      <c r="J72" s="190"/>
      <c r="K72" s="190"/>
      <c r="L72" s="191"/>
      <c r="M72" s="191"/>
      <c r="N72" s="191"/>
      <c r="O72" s="190"/>
      <c r="P72" s="192"/>
      <c r="Q72" s="192"/>
      <c r="R72" s="192"/>
      <c r="S72" s="193"/>
      <c r="T72" s="193"/>
      <c r="U72" s="193"/>
      <c r="V72" s="201"/>
      <c r="W72" s="196">
        <v>0.12</v>
      </c>
      <c r="X72" s="196" t="s">
        <v>1032</v>
      </c>
      <c r="Y72" s="196" t="s">
        <v>264</v>
      </c>
      <c r="Z72" s="197"/>
      <c r="AA72" s="197"/>
      <c r="AB72" s="197"/>
      <c r="AC72" s="200"/>
      <c r="AD72" s="202" t="s">
        <v>1040</v>
      </c>
      <c r="AE72" s="174">
        <f>IF(ISNUMBER(VLOOKUP(A72,NotghiID!A:A,1,FALSE)),1,0)</f>
        <v>0</v>
      </c>
    </row>
    <row r="73" spans="1:31" x14ac:dyDescent="0.2">
      <c r="A73" s="174">
        <v>440</v>
      </c>
      <c r="B73" s="232" t="str">
        <f>IF(AND(A73&lt;&gt;"",ISNUMBER(A73)),VLOOKUP(A73,Studies!A:BR,2,FALSE),"")</f>
        <v>Treluyer 2002</v>
      </c>
      <c r="C73" s="232" t="str">
        <f>IF(AND(A73&lt;&gt;"",ISNUMBER(A73)),VLOOKUP(A73,Studies!A:BR,3,FALSE),"")</f>
        <v>https://www.ncbi.nlm.nih.gov/pubmed/11959572</v>
      </c>
      <c r="D73" s="232" t="str">
        <f>IF(AND(A73&lt;&gt;"",ISNUMBER(A73)),VLOOKUP(A73,Studies!A:BR,4,FALSE),"")</f>
        <v>ID7</v>
      </c>
      <c r="E73" s="206" t="str">
        <f>IF(AND(A73&lt;&gt;"",ISNUMBER(A73)),VLOOKUP(A73,Studies!A:BR,5,FALSE),"")</f>
        <v>Amikacin</v>
      </c>
      <c r="F73" s="198">
        <v>0</v>
      </c>
      <c r="G73" s="198">
        <v>72</v>
      </c>
      <c r="H73" s="198" t="s">
        <v>60</v>
      </c>
      <c r="I73" s="190"/>
      <c r="J73" s="190"/>
      <c r="K73" s="190"/>
      <c r="L73" s="191"/>
      <c r="M73" s="191"/>
      <c r="N73" s="191"/>
      <c r="O73" s="190"/>
      <c r="P73" s="192"/>
      <c r="Q73" s="192"/>
      <c r="R73" s="192"/>
      <c r="S73" s="193"/>
      <c r="T73" s="193"/>
      <c r="U73" s="193"/>
      <c r="V73" s="201"/>
      <c r="W73" s="196">
        <v>0.127</v>
      </c>
      <c r="X73" s="196" t="s">
        <v>1032</v>
      </c>
      <c r="Y73" s="196" t="s">
        <v>264</v>
      </c>
      <c r="Z73" s="197"/>
      <c r="AA73" s="197"/>
      <c r="AB73" s="197"/>
      <c r="AC73" s="200"/>
      <c r="AD73" s="202" t="s">
        <v>1040</v>
      </c>
      <c r="AE73" s="174">
        <f>IF(ISNUMBER(VLOOKUP(A73,NotghiID!A:A,1,FALSE)),1,0)</f>
        <v>0</v>
      </c>
    </row>
    <row r="74" spans="1:31" x14ac:dyDescent="0.2">
      <c r="A74" s="174">
        <v>441</v>
      </c>
      <c r="B74" s="232" t="str">
        <f>IF(AND(A74&lt;&gt;"",ISNUMBER(A74)),VLOOKUP(A74,Studies!A:BR,2,FALSE),"")</f>
        <v>Treluyer 2002</v>
      </c>
      <c r="C74" s="232" t="str">
        <f>IF(AND(A74&lt;&gt;"",ISNUMBER(A74)),VLOOKUP(A74,Studies!A:BR,3,FALSE),"")</f>
        <v>https://www.ncbi.nlm.nih.gov/pubmed/11959572</v>
      </c>
      <c r="D74" s="232" t="str">
        <f>IF(AND(A74&lt;&gt;"",ISNUMBER(A74)),VLOOKUP(A74,Studies!A:BR,4,FALSE),"")</f>
        <v>ID8</v>
      </c>
      <c r="E74" s="206" t="str">
        <f>IF(AND(A74&lt;&gt;"",ISNUMBER(A74)),VLOOKUP(A74,Studies!A:BR,5,FALSE),"")</f>
        <v>Amikacin</v>
      </c>
      <c r="F74" s="198">
        <v>0</v>
      </c>
      <c r="G74" s="198">
        <v>72</v>
      </c>
      <c r="H74" s="198" t="s">
        <v>60</v>
      </c>
      <c r="I74" s="190"/>
      <c r="J74" s="190"/>
      <c r="K74" s="190"/>
      <c r="L74" s="191"/>
      <c r="M74" s="191"/>
      <c r="N74" s="191"/>
      <c r="O74" s="190"/>
      <c r="P74" s="192"/>
      <c r="Q74" s="192"/>
      <c r="R74" s="192"/>
      <c r="S74" s="193"/>
      <c r="T74" s="193"/>
      <c r="U74" s="193"/>
      <c r="V74" s="201"/>
      <c r="W74" s="196">
        <v>0.15</v>
      </c>
      <c r="X74" s="196" t="s">
        <v>1032</v>
      </c>
      <c r="Y74" s="196" t="s">
        <v>264</v>
      </c>
      <c r="Z74" s="197"/>
      <c r="AA74" s="197"/>
      <c r="AB74" s="197"/>
      <c r="AC74" s="200"/>
      <c r="AD74" s="202" t="s">
        <v>1040</v>
      </c>
      <c r="AE74" s="174">
        <f>IF(ISNUMBER(VLOOKUP(A74,NotghiID!A:A,1,FALSE)),1,0)</f>
        <v>0</v>
      </c>
    </row>
    <row r="75" spans="1:31" x14ac:dyDescent="0.2">
      <c r="A75" s="174">
        <v>442</v>
      </c>
      <c r="B75" s="232" t="str">
        <f>IF(AND(A75&lt;&gt;"",ISNUMBER(A75)),VLOOKUP(A75,Studies!A:BR,2,FALSE),"")</f>
        <v>Treluyer 2002</v>
      </c>
      <c r="C75" s="232" t="str">
        <f>IF(AND(A75&lt;&gt;"",ISNUMBER(A75)),VLOOKUP(A75,Studies!A:BR,3,FALSE),"")</f>
        <v>https://www.ncbi.nlm.nih.gov/pubmed/11959572</v>
      </c>
      <c r="D75" s="232" t="str">
        <f>IF(AND(A75&lt;&gt;"",ISNUMBER(A75)),VLOOKUP(A75,Studies!A:BR,4,FALSE),"")</f>
        <v>ID9</v>
      </c>
      <c r="E75" s="206" t="str">
        <f>IF(AND(A75&lt;&gt;"",ISNUMBER(A75)),VLOOKUP(A75,Studies!A:BR,5,FALSE),"")</f>
        <v>Amikacin</v>
      </c>
      <c r="F75" s="198">
        <v>0</v>
      </c>
      <c r="G75" s="198">
        <v>72</v>
      </c>
      <c r="H75" s="198" t="s">
        <v>60</v>
      </c>
      <c r="I75" s="190"/>
      <c r="J75" s="190"/>
      <c r="K75" s="190"/>
      <c r="L75" s="191"/>
      <c r="M75" s="191"/>
      <c r="N75" s="191"/>
      <c r="O75" s="190"/>
      <c r="P75" s="192"/>
      <c r="Q75" s="192"/>
      <c r="R75" s="192"/>
      <c r="S75" s="193"/>
      <c r="T75" s="193"/>
      <c r="U75" s="193"/>
      <c r="V75" s="201"/>
      <c r="W75" s="196">
        <v>0.18099999999999999</v>
      </c>
      <c r="X75" s="196" t="s">
        <v>1032</v>
      </c>
      <c r="Y75" s="196" t="s">
        <v>264</v>
      </c>
      <c r="Z75" s="197"/>
      <c r="AA75" s="197"/>
      <c r="AB75" s="197"/>
      <c r="AC75" s="200"/>
      <c r="AD75" s="202" t="s">
        <v>1040</v>
      </c>
      <c r="AE75" s="174">
        <f>IF(ISNUMBER(VLOOKUP(A75,NotghiID!A:A,1,FALSE)),1,0)</f>
        <v>0</v>
      </c>
    </row>
    <row r="76" spans="1:31" x14ac:dyDescent="0.2">
      <c r="A76" s="174">
        <v>443</v>
      </c>
      <c r="B76" s="232" t="str">
        <f>IF(AND(A76&lt;&gt;"",ISNUMBER(A76)),VLOOKUP(A76,Studies!A:BR,2,FALSE),"")</f>
        <v>Treluyer 2002</v>
      </c>
      <c r="C76" s="232" t="str">
        <f>IF(AND(A76&lt;&gt;"",ISNUMBER(A76)),VLOOKUP(A76,Studies!A:BR,3,FALSE),"")</f>
        <v>https://www.ncbi.nlm.nih.gov/pubmed/11959572</v>
      </c>
      <c r="D76" s="232" t="str">
        <f>IF(AND(A76&lt;&gt;"",ISNUMBER(A76)),VLOOKUP(A76,Studies!A:BR,4,FALSE),"")</f>
        <v>ID7</v>
      </c>
      <c r="E76" s="206" t="str">
        <f>IF(AND(A76&lt;&gt;"",ISNUMBER(A76)),VLOOKUP(A76,Studies!A:BR,5,FALSE),"")</f>
        <v>Amikacin</v>
      </c>
      <c r="F76" s="198">
        <v>0</v>
      </c>
      <c r="G76" s="198">
        <v>72</v>
      </c>
      <c r="H76" s="198" t="s">
        <v>60</v>
      </c>
      <c r="I76" s="190"/>
      <c r="J76" s="190"/>
      <c r="K76" s="190"/>
      <c r="L76" s="191"/>
      <c r="M76" s="191"/>
      <c r="N76" s="191"/>
      <c r="O76" s="190"/>
      <c r="P76" s="192"/>
      <c r="Q76" s="192"/>
      <c r="R76" s="192"/>
      <c r="S76" s="193"/>
      <c r="T76" s="193"/>
      <c r="U76" s="193"/>
      <c r="V76" s="201"/>
      <c r="W76" s="196">
        <v>0.19</v>
      </c>
      <c r="X76" s="196" t="s">
        <v>1032</v>
      </c>
      <c r="Y76" s="196" t="s">
        <v>264</v>
      </c>
      <c r="Z76" s="197"/>
      <c r="AA76" s="197"/>
      <c r="AB76" s="197"/>
      <c r="AC76" s="200"/>
      <c r="AD76" s="202" t="s">
        <v>1040</v>
      </c>
      <c r="AE76" s="174">
        <f>IF(ISNUMBER(VLOOKUP(A76,NotghiID!A:A,1,FALSE)),1,0)</f>
        <v>0</v>
      </c>
    </row>
    <row r="77" spans="1:31" x14ac:dyDescent="0.2">
      <c r="A77" s="174">
        <v>444</v>
      </c>
      <c r="B77" s="232" t="str">
        <f>IF(AND(A77&lt;&gt;"",ISNUMBER(A77)),VLOOKUP(A77,Studies!A:BR,2,FALSE),"")</f>
        <v>Treluyer 2002</v>
      </c>
      <c r="C77" s="232" t="str">
        <f>IF(AND(A77&lt;&gt;"",ISNUMBER(A77)),VLOOKUP(A77,Studies!A:BR,3,FALSE),"")</f>
        <v>https://www.ncbi.nlm.nih.gov/pubmed/11959572</v>
      </c>
      <c r="D77" s="232" t="str">
        <f>IF(AND(A77&lt;&gt;"",ISNUMBER(A77)),VLOOKUP(A77,Studies!A:BR,4,FALSE),"")</f>
        <v>ID8</v>
      </c>
      <c r="E77" s="206" t="str">
        <f>IF(AND(A77&lt;&gt;"",ISNUMBER(A77)),VLOOKUP(A77,Studies!A:BR,5,FALSE),"")</f>
        <v>Amikacin</v>
      </c>
      <c r="F77" s="198">
        <v>0</v>
      </c>
      <c r="G77" s="198">
        <v>72</v>
      </c>
      <c r="H77" s="198" t="s">
        <v>60</v>
      </c>
      <c r="I77" s="190"/>
      <c r="J77" s="190"/>
      <c r="K77" s="190"/>
      <c r="L77" s="191"/>
      <c r="M77" s="191"/>
      <c r="N77" s="191"/>
      <c r="O77" s="190"/>
      <c r="P77" s="192"/>
      <c r="Q77" s="192"/>
      <c r="R77" s="192"/>
      <c r="S77" s="193"/>
      <c r="T77" s="193"/>
      <c r="U77" s="193"/>
      <c r="V77" s="201"/>
      <c r="W77" s="196">
        <v>0.19600000000000001</v>
      </c>
      <c r="X77" s="196" t="s">
        <v>1032</v>
      </c>
      <c r="Y77" s="196" t="s">
        <v>264</v>
      </c>
      <c r="Z77" s="197"/>
      <c r="AA77" s="197"/>
      <c r="AB77" s="197"/>
      <c r="AC77" s="200"/>
      <c r="AD77" s="202" t="s">
        <v>1040</v>
      </c>
      <c r="AE77" s="174">
        <f>IF(ISNUMBER(VLOOKUP(A77,NotghiID!A:A,1,FALSE)),1,0)</f>
        <v>0</v>
      </c>
    </row>
    <row r="78" spans="1:31" x14ac:dyDescent="0.2">
      <c r="A78" s="174">
        <v>445</v>
      </c>
      <c r="B78" s="232" t="str">
        <f>IF(AND(A78&lt;&gt;"",ISNUMBER(A78)),VLOOKUP(A78,Studies!A:BR,2,FALSE),"")</f>
        <v>Treluyer 2002</v>
      </c>
      <c r="C78" s="232" t="str">
        <f>IF(AND(A78&lt;&gt;"",ISNUMBER(A78)),VLOOKUP(A78,Studies!A:BR,3,FALSE),"")</f>
        <v>https://www.ncbi.nlm.nih.gov/pubmed/11959572</v>
      </c>
      <c r="D78" s="232" t="str">
        <f>IF(AND(A78&lt;&gt;"",ISNUMBER(A78)),VLOOKUP(A78,Studies!A:BR,4,FALSE),"")</f>
        <v>ID9</v>
      </c>
      <c r="E78" s="206" t="str">
        <f>IF(AND(A78&lt;&gt;"",ISNUMBER(A78)),VLOOKUP(A78,Studies!A:BR,5,FALSE),"")</f>
        <v>Amikacin</v>
      </c>
      <c r="F78" s="198">
        <v>0</v>
      </c>
      <c r="G78" s="198">
        <v>72</v>
      </c>
      <c r="H78" s="198" t="s">
        <v>60</v>
      </c>
      <c r="I78" s="190"/>
      <c r="J78" s="190"/>
      <c r="K78" s="190"/>
      <c r="L78" s="191"/>
      <c r="M78" s="191"/>
      <c r="N78" s="191"/>
      <c r="O78" s="190"/>
      <c r="P78" s="192"/>
      <c r="Q78" s="192"/>
      <c r="R78" s="192"/>
      <c r="S78" s="193"/>
      <c r="T78" s="193"/>
      <c r="U78" s="193"/>
      <c r="V78" s="201"/>
      <c r="W78" s="196">
        <v>0.17699999999999999</v>
      </c>
      <c r="X78" s="196" t="s">
        <v>1032</v>
      </c>
      <c r="Y78" s="196" t="s">
        <v>264</v>
      </c>
      <c r="Z78" s="197"/>
      <c r="AA78" s="197"/>
      <c r="AB78" s="197"/>
      <c r="AC78" s="200"/>
      <c r="AD78" s="202" t="s">
        <v>1040</v>
      </c>
      <c r="AE78" s="174">
        <f>IF(ISNUMBER(VLOOKUP(A78,NotghiID!A:A,1,FALSE)),1,0)</f>
        <v>0</v>
      </c>
    </row>
    <row r="79" spans="1:31" x14ac:dyDescent="0.2">
      <c r="A79" s="174">
        <v>446</v>
      </c>
      <c r="B79" s="232" t="str">
        <f>IF(AND(A79&lt;&gt;"",ISNUMBER(A79)),VLOOKUP(A79,Studies!A:BR,2,FALSE),"")</f>
        <v>Vogelstein</v>
      </c>
      <c r="C79" s="232" t="str">
        <f>IF(AND(A79&lt;&gt;"",ISNUMBER(A79)),VLOOKUP(A79,Studies!A:BR,3,FALSE),"")</f>
        <v>https://www.ncbi.nlm.nih.gov/pubmed/874697</v>
      </c>
      <c r="D79" s="232" t="str">
        <f>IF(AND(A79&lt;&gt;"",ISNUMBER(A79)),VLOOKUP(A79,Studies!A:BR,4,FALSE),"")</f>
        <v>mean</v>
      </c>
      <c r="E79" s="206" t="str">
        <f>IF(AND(A79&lt;&gt;"",ISNUMBER(A79)),VLOOKUP(A79,Studies!A:BR,5,FALSE),"")</f>
        <v>Amikacin</v>
      </c>
      <c r="F79" s="198">
        <v>0</v>
      </c>
      <c r="G79" s="198">
        <v>225</v>
      </c>
      <c r="H79" s="198" t="s">
        <v>1041</v>
      </c>
      <c r="I79" s="190"/>
      <c r="J79" s="190"/>
      <c r="K79" s="190"/>
      <c r="L79" s="191"/>
      <c r="M79" s="191"/>
      <c r="N79" s="191"/>
      <c r="O79" s="190"/>
      <c r="P79" s="192"/>
      <c r="Q79" s="192"/>
      <c r="R79" s="192"/>
      <c r="S79" s="193"/>
      <c r="T79" s="193"/>
      <c r="U79" s="193"/>
      <c r="V79" s="201"/>
      <c r="W79" s="196">
        <v>2.4900000000000002</v>
      </c>
      <c r="X79" s="196" t="s">
        <v>1042</v>
      </c>
      <c r="Y79" s="196" t="s">
        <v>389</v>
      </c>
      <c r="Z79" s="197">
        <v>0.75</v>
      </c>
      <c r="AA79" s="197" t="s">
        <v>1042</v>
      </c>
      <c r="AB79" s="197" t="s">
        <v>117</v>
      </c>
      <c r="AC79" s="200" t="s">
        <v>1038</v>
      </c>
      <c r="AD79" s="202" t="s">
        <v>77</v>
      </c>
      <c r="AE79" s="174">
        <f>IF(ISNUMBER(VLOOKUP(A79,NotghiID!A:A,1,FALSE)),1,0)</f>
        <v>0</v>
      </c>
    </row>
    <row r="80" spans="1:31" x14ac:dyDescent="0.2">
      <c r="A80" s="174">
        <v>447</v>
      </c>
      <c r="B80" s="232" t="str">
        <f>IF(AND(A80&lt;&gt;"",ISNUMBER(A80)),VLOOKUP(A80,Studies!A:BR,2,FALSE),"")</f>
        <v>Vogelstein 1977</v>
      </c>
      <c r="C80" s="232" t="str">
        <f>IF(AND(A80&lt;&gt;"",ISNUMBER(A80)),VLOOKUP(A80,Studies!A:BR,3,FALSE),"")</f>
        <v>https://www.ncbi.nlm.nih.gov/pubmed/874697</v>
      </c>
      <c r="D80" s="232" t="str">
        <f>IF(AND(A80&lt;&gt;"",ISNUMBER(A80)),VLOOKUP(A80,Studies!A:BR,4,FALSE),"")</f>
        <v>ID1</v>
      </c>
      <c r="E80" s="206" t="str">
        <f>IF(AND(A80&lt;&gt;"",ISNUMBER(A80)),VLOOKUP(A80,Studies!A:BR,5,FALSE),"")</f>
        <v>Amikacin</v>
      </c>
      <c r="F80" s="198">
        <v>0</v>
      </c>
      <c r="G80" s="198">
        <v>225</v>
      </c>
      <c r="H80" s="198" t="s">
        <v>1041</v>
      </c>
      <c r="I80" s="190"/>
      <c r="J80" s="190"/>
      <c r="K80" s="190"/>
      <c r="L80" s="191"/>
      <c r="M80" s="191"/>
      <c r="N80" s="191"/>
      <c r="O80" s="190"/>
      <c r="P80" s="192"/>
      <c r="Q80" s="192"/>
      <c r="R80" s="192"/>
      <c r="S80" s="193"/>
      <c r="T80" s="193"/>
      <c r="U80" s="193"/>
      <c r="V80" s="201"/>
      <c r="W80" s="196">
        <v>1.74</v>
      </c>
      <c r="X80" s="196" t="s">
        <v>1042</v>
      </c>
      <c r="Y80" s="196" t="s">
        <v>264</v>
      </c>
      <c r="Z80" s="197"/>
      <c r="AA80" s="197"/>
      <c r="AB80" s="197"/>
      <c r="AC80" s="200" t="s">
        <v>1038</v>
      </c>
      <c r="AD80" s="202" t="s">
        <v>77</v>
      </c>
      <c r="AE80" s="174">
        <f>IF(ISNUMBER(VLOOKUP(A80,NotghiID!A:A,1,FALSE)),1,0)</f>
        <v>0</v>
      </c>
    </row>
    <row r="81" spans="1:31" x14ac:dyDescent="0.2">
      <c r="A81" s="174">
        <v>448</v>
      </c>
      <c r="B81" s="232" t="str">
        <f>IF(AND(A81&lt;&gt;"",ISNUMBER(A81)),VLOOKUP(A81,Studies!A:BR,2,FALSE),"")</f>
        <v>Vogelstein 1977</v>
      </c>
      <c r="C81" s="232" t="str">
        <f>IF(AND(A81&lt;&gt;"",ISNUMBER(A81)),VLOOKUP(A81,Studies!A:BR,3,FALSE),"")</f>
        <v>https://www.ncbi.nlm.nih.gov/pubmed/874697</v>
      </c>
      <c r="D81" s="232" t="str">
        <f>IF(AND(A81&lt;&gt;"",ISNUMBER(A81)),VLOOKUP(A81,Studies!A:BR,4,FALSE),"")</f>
        <v>ID2</v>
      </c>
      <c r="E81" s="206" t="str">
        <f>IF(AND(A81&lt;&gt;"",ISNUMBER(A81)),VLOOKUP(A81,Studies!A:BR,5,FALSE),"")</f>
        <v>Amikacin</v>
      </c>
      <c r="F81" s="198">
        <v>0</v>
      </c>
      <c r="G81" s="198">
        <v>225</v>
      </c>
      <c r="H81" s="198" t="s">
        <v>1041</v>
      </c>
      <c r="I81" s="190"/>
      <c r="J81" s="190"/>
      <c r="K81" s="190"/>
      <c r="L81" s="191"/>
      <c r="M81" s="191"/>
      <c r="N81" s="191"/>
      <c r="O81" s="190"/>
      <c r="P81" s="192"/>
      <c r="Q81" s="192"/>
      <c r="R81" s="192"/>
      <c r="S81" s="193"/>
      <c r="T81" s="193"/>
      <c r="U81" s="193"/>
      <c r="V81" s="201"/>
      <c r="W81" s="196">
        <v>1.44</v>
      </c>
      <c r="X81" s="196" t="s">
        <v>1042</v>
      </c>
      <c r="Y81" s="196" t="s">
        <v>264</v>
      </c>
      <c r="Z81" s="197"/>
      <c r="AA81" s="197"/>
      <c r="AB81" s="197"/>
      <c r="AC81" s="200" t="s">
        <v>1038</v>
      </c>
      <c r="AD81" s="202" t="s">
        <v>77</v>
      </c>
      <c r="AE81" s="174">
        <f>IF(ISNUMBER(VLOOKUP(A81,NotghiID!A:A,1,FALSE)),1,0)</f>
        <v>0</v>
      </c>
    </row>
    <row r="82" spans="1:31" x14ac:dyDescent="0.2">
      <c r="A82" s="174">
        <v>449</v>
      </c>
      <c r="B82" s="232" t="str">
        <f>IF(AND(A82&lt;&gt;"",ISNUMBER(A82)),VLOOKUP(A82,Studies!A:BR,2,FALSE),"")</f>
        <v>Vogelstein 1977</v>
      </c>
      <c r="C82" s="232" t="str">
        <f>IF(AND(A82&lt;&gt;"",ISNUMBER(A82)),VLOOKUP(A82,Studies!A:BR,3,FALSE),"")</f>
        <v>https://www.ncbi.nlm.nih.gov/pubmed/874697</v>
      </c>
      <c r="D82" s="232" t="str">
        <f>IF(AND(A82&lt;&gt;"",ISNUMBER(A82)),VLOOKUP(A82,Studies!A:BR,4,FALSE),"")</f>
        <v>ID3</v>
      </c>
      <c r="E82" s="206" t="str">
        <f>IF(AND(A82&lt;&gt;"",ISNUMBER(A82)),VLOOKUP(A82,Studies!A:BR,5,FALSE),"")</f>
        <v>Amikacin</v>
      </c>
      <c r="F82" s="198">
        <v>0</v>
      </c>
      <c r="G82" s="198">
        <v>225</v>
      </c>
      <c r="H82" s="198" t="s">
        <v>1041</v>
      </c>
      <c r="I82" s="190"/>
      <c r="J82" s="190"/>
      <c r="K82" s="190"/>
      <c r="L82" s="191"/>
      <c r="M82" s="191"/>
      <c r="N82" s="191"/>
      <c r="O82" s="190"/>
      <c r="P82" s="192"/>
      <c r="Q82" s="192"/>
      <c r="R82" s="192"/>
      <c r="S82" s="193"/>
      <c r="T82" s="193"/>
      <c r="U82" s="193"/>
      <c r="V82" s="201"/>
      <c r="W82" s="196">
        <v>2.56</v>
      </c>
      <c r="X82" s="196" t="s">
        <v>1042</v>
      </c>
      <c r="Y82" s="196" t="s">
        <v>264</v>
      </c>
      <c r="Z82" s="197"/>
      <c r="AA82" s="197"/>
      <c r="AB82" s="197"/>
      <c r="AC82" s="200" t="s">
        <v>1038</v>
      </c>
      <c r="AD82" s="202" t="s">
        <v>77</v>
      </c>
      <c r="AE82" s="174">
        <f>IF(ISNUMBER(VLOOKUP(A82,NotghiID!A:A,1,FALSE)),1,0)</f>
        <v>0</v>
      </c>
    </row>
    <row r="83" spans="1:31" x14ac:dyDescent="0.2">
      <c r="A83" s="174">
        <v>450</v>
      </c>
      <c r="B83" s="232" t="str">
        <f>IF(AND(A83&lt;&gt;"",ISNUMBER(A83)),VLOOKUP(A83,Studies!A:BR,2,FALSE),"")</f>
        <v>Vogelstein 1977</v>
      </c>
      <c r="C83" s="232" t="str">
        <f>IF(AND(A83&lt;&gt;"",ISNUMBER(A83)),VLOOKUP(A83,Studies!A:BR,3,FALSE),"")</f>
        <v>https://www.ncbi.nlm.nih.gov/pubmed/874697</v>
      </c>
      <c r="D83" s="232" t="str">
        <f>IF(AND(A83&lt;&gt;"",ISNUMBER(A83)),VLOOKUP(A83,Studies!A:BR,4,FALSE),"")</f>
        <v>ID4</v>
      </c>
      <c r="E83" s="206" t="str">
        <f>IF(AND(A83&lt;&gt;"",ISNUMBER(A83)),VLOOKUP(A83,Studies!A:BR,5,FALSE),"")</f>
        <v>Amikacin</v>
      </c>
      <c r="F83" s="198">
        <v>0</v>
      </c>
      <c r="G83" s="198">
        <v>225</v>
      </c>
      <c r="H83" s="198" t="s">
        <v>1041</v>
      </c>
      <c r="I83" s="190"/>
      <c r="J83" s="190"/>
      <c r="K83" s="190"/>
      <c r="L83" s="191"/>
      <c r="M83" s="191"/>
      <c r="N83" s="191"/>
      <c r="O83" s="190"/>
      <c r="P83" s="192"/>
      <c r="Q83" s="192"/>
      <c r="R83" s="192"/>
      <c r="S83" s="193"/>
      <c r="T83" s="193"/>
      <c r="U83" s="193"/>
      <c r="V83" s="201"/>
      <c r="W83" s="196">
        <v>1.35</v>
      </c>
      <c r="X83" s="196" t="s">
        <v>1042</v>
      </c>
      <c r="Y83" s="196" t="s">
        <v>264</v>
      </c>
      <c r="Z83" s="197"/>
      <c r="AA83" s="197"/>
      <c r="AB83" s="197"/>
      <c r="AC83" s="200" t="s">
        <v>1038</v>
      </c>
      <c r="AD83" s="202" t="s">
        <v>77</v>
      </c>
      <c r="AE83" s="174">
        <f>IF(ISNUMBER(VLOOKUP(A83,NotghiID!A:A,1,FALSE)),1,0)</f>
        <v>0</v>
      </c>
    </row>
    <row r="84" spans="1:31" x14ac:dyDescent="0.2">
      <c r="A84" s="174">
        <v>451</v>
      </c>
      <c r="B84" s="232" t="str">
        <f>IF(AND(A84&lt;&gt;"",ISNUMBER(A84)),VLOOKUP(A84,Studies!A:BR,2,FALSE),"")</f>
        <v>Vogelstein 1977</v>
      </c>
      <c r="C84" s="232" t="str">
        <f>IF(AND(A84&lt;&gt;"",ISNUMBER(A84)),VLOOKUP(A84,Studies!A:BR,3,FALSE),"")</f>
        <v>https://www.ncbi.nlm.nih.gov/pubmed/874697</v>
      </c>
      <c r="D84" s="232" t="str">
        <f>IF(AND(A84&lt;&gt;"",ISNUMBER(A84)),VLOOKUP(A84,Studies!A:BR,4,FALSE),"")</f>
        <v>ID5</v>
      </c>
      <c r="E84" s="206" t="str">
        <f>IF(AND(A84&lt;&gt;"",ISNUMBER(A84)),VLOOKUP(A84,Studies!A:BR,5,FALSE),"")</f>
        <v>Amikacin</v>
      </c>
      <c r="F84" s="198">
        <v>0</v>
      </c>
      <c r="G84" s="198">
        <v>225</v>
      </c>
      <c r="H84" s="198" t="s">
        <v>1041</v>
      </c>
      <c r="I84" s="190"/>
      <c r="J84" s="190"/>
      <c r="K84" s="190"/>
      <c r="L84" s="191"/>
      <c r="M84" s="191"/>
      <c r="N84" s="191"/>
      <c r="O84" s="190"/>
      <c r="P84" s="192"/>
      <c r="Q84" s="192"/>
      <c r="R84" s="192"/>
      <c r="S84" s="193"/>
      <c r="T84" s="193"/>
      <c r="U84" s="193"/>
      <c r="V84" s="201"/>
      <c r="W84" s="196">
        <v>2.64</v>
      </c>
      <c r="X84" s="196" t="s">
        <v>1042</v>
      </c>
      <c r="Y84" s="196" t="s">
        <v>264</v>
      </c>
      <c r="Z84" s="197"/>
      <c r="AA84" s="197"/>
      <c r="AB84" s="197"/>
      <c r="AC84" s="200" t="s">
        <v>1038</v>
      </c>
      <c r="AD84" s="202" t="s">
        <v>77</v>
      </c>
      <c r="AE84" s="174">
        <f>IF(ISNUMBER(VLOOKUP(A84,NotghiID!A:A,1,FALSE)),1,0)</f>
        <v>0</v>
      </c>
    </row>
    <row r="85" spans="1:31" x14ac:dyDescent="0.2">
      <c r="A85" s="174">
        <v>452</v>
      </c>
      <c r="B85" s="232" t="str">
        <f>IF(AND(A85&lt;&gt;"",ISNUMBER(A85)),VLOOKUP(A85,Studies!A:BR,2,FALSE),"")</f>
        <v>Vogelstein 1977</v>
      </c>
      <c r="C85" s="232" t="str">
        <f>IF(AND(A85&lt;&gt;"",ISNUMBER(A85)),VLOOKUP(A85,Studies!A:BR,3,FALSE),"")</f>
        <v>https://www.ncbi.nlm.nih.gov/pubmed/874697</v>
      </c>
      <c r="D85" s="232" t="str">
        <f>IF(AND(A85&lt;&gt;"",ISNUMBER(A85)),VLOOKUP(A85,Studies!A:BR,4,FALSE),"")</f>
        <v>ID6</v>
      </c>
      <c r="E85" s="206" t="str">
        <f>IF(AND(A85&lt;&gt;"",ISNUMBER(A85)),VLOOKUP(A85,Studies!A:BR,5,FALSE),"")</f>
        <v>Amikacin</v>
      </c>
      <c r="F85" s="198">
        <v>0</v>
      </c>
      <c r="G85" s="198">
        <v>225</v>
      </c>
      <c r="H85" s="198" t="s">
        <v>1041</v>
      </c>
      <c r="I85" s="190"/>
      <c r="J85" s="190"/>
      <c r="K85" s="190"/>
      <c r="L85" s="191"/>
      <c r="M85" s="191"/>
      <c r="N85" s="191"/>
      <c r="O85" s="190"/>
      <c r="P85" s="192"/>
      <c r="Q85" s="192"/>
      <c r="R85" s="192"/>
      <c r="S85" s="193"/>
      <c r="T85" s="193"/>
      <c r="U85" s="193"/>
      <c r="V85" s="201"/>
      <c r="W85" s="196">
        <v>2.19</v>
      </c>
      <c r="X85" s="196" t="s">
        <v>1042</v>
      </c>
      <c r="Y85" s="196" t="s">
        <v>264</v>
      </c>
      <c r="Z85" s="197"/>
      <c r="AA85" s="197"/>
      <c r="AB85" s="197"/>
      <c r="AC85" s="200" t="s">
        <v>1038</v>
      </c>
      <c r="AD85" s="202" t="s">
        <v>77</v>
      </c>
      <c r="AE85" s="174">
        <f>IF(ISNUMBER(VLOOKUP(A85,NotghiID!A:A,1,FALSE)),1,0)</f>
        <v>0</v>
      </c>
    </row>
    <row r="86" spans="1:31" x14ac:dyDescent="0.2">
      <c r="A86" s="174">
        <v>453</v>
      </c>
      <c r="B86" s="232" t="str">
        <f>IF(AND(A86&lt;&gt;"",ISNUMBER(A86)),VLOOKUP(A86,Studies!A:BR,2,FALSE),"")</f>
        <v>Vogelstein 1977</v>
      </c>
      <c r="C86" s="232" t="str">
        <f>IF(AND(A86&lt;&gt;"",ISNUMBER(A86)),VLOOKUP(A86,Studies!A:BR,3,FALSE),"")</f>
        <v>https://www.ncbi.nlm.nih.gov/pubmed/874697</v>
      </c>
      <c r="D86" s="232" t="str">
        <f>IF(AND(A86&lt;&gt;"",ISNUMBER(A86)),VLOOKUP(A86,Studies!A:BR,4,FALSE),"")</f>
        <v>ID7</v>
      </c>
      <c r="E86" s="206" t="str">
        <f>IF(AND(A86&lt;&gt;"",ISNUMBER(A86)),VLOOKUP(A86,Studies!A:BR,5,FALSE),"")</f>
        <v>Amikacin</v>
      </c>
      <c r="F86" s="198">
        <v>0</v>
      </c>
      <c r="G86" s="198">
        <v>225</v>
      </c>
      <c r="H86" s="198" t="s">
        <v>1041</v>
      </c>
      <c r="I86" s="190"/>
      <c r="J86" s="190"/>
      <c r="K86" s="190"/>
      <c r="L86" s="191"/>
      <c r="M86" s="191"/>
      <c r="N86" s="191"/>
      <c r="O86" s="190"/>
      <c r="P86" s="192"/>
      <c r="Q86" s="192"/>
      <c r="R86" s="192"/>
      <c r="S86" s="193"/>
      <c r="T86" s="193"/>
      <c r="U86" s="193"/>
      <c r="V86" s="201"/>
      <c r="W86" s="196">
        <v>4.22</v>
      </c>
      <c r="X86" s="196" t="s">
        <v>1042</v>
      </c>
      <c r="Y86" s="196" t="s">
        <v>264</v>
      </c>
      <c r="Z86" s="197"/>
      <c r="AA86" s="197"/>
      <c r="AB86" s="197"/>
      <c r="AC86" s="200" t="s">
        <v>1038</v>
      </c>
      <c r="AD86" s="202" t="s">
        <v>77</v>
      </c>
      <c r="AE86" s="174">
        <f>IF(ISNUMBER(VLOOKUP(A86,NotghiID!A:A,1,FALSE)),1,0)</f>
        <v>0</v>
      </c>
    </row>
    <row r="87" spans="1:31" x14ac:dyDescent="0.2">
      <c r="A87" s="174">
        <v>454</v>
      </c>
      <c r="B87" s="232" t="str">
        <f>IF(AND(A87&lt;&gt;"",ISNUMBER(A87)),VLOOKUP(A87,Studies!A:BR,2,FALSE),"")</f>
        <v>Vogelstein 1977</v>
      </c>
      <c r="C87" s="232" t="str">
        <f>IF(AND(A87&lt;&gt;"",ISNUMBER(A87)),VLOOKUP(A87,Studies!A:BR,3,FALSE),"")</f>
        <v>https://www.ncbi.nlm.nih.gov/pubmed/874697</v>
      </c>
      <c r="D87" s="232" t="str">
        <f>IF(AND(A87&lt;&gt;"",ISNUMBER(A87)),VLOOKUP(A87,Studies!A:BR,4,FALSE),"")</f>
        <v>ID8</v>
      </c>
      <c r="E87" s="206" t="str">
        <f>IF(AND(A87&lt;&gt;"",ISNUMBER(A87)),VLOOKUP(A87,Studies!A:BR,5,FALSE),"")</f>
        <v>Amikacin</v>
      </c>
      <c r="F87" s="198">
        <v>0</v>
      </c>
      <c r="G87" s="198">
        <v>225</v>
      </c>
      <c r="H87" s="198" t="s">
        <v>1041</v>
      </c>
      <c r="I87" s="190"/>
      <c r="J87" s="190"/>
      <c r="K87" s="190"/>
      <c r="L87" s="191"/>
      <c r="M87" s="191"/>
      <c r="N87" s="191"/>
      <c r="O87" s="190"/>
      <c r="P87" s="192"/>
      <c r="Q87" s="192"/>
      <c r="R87" s="192"/>
      <c r="S87" s="193"/>
      <c r="T87" s="193"/>
      <c r="U87" s="193"/>
      <c r="V87" s="201"/>
      <c r="W87" s="196">
        <v>2.63</v>
      </c>
      <c r="X87" s="196" t="s">
        <v>1042</v>
      </c>
      <c r="Y87" s="196" t="s">
        <v>264</v>
      </c>
      <c r="Z87" s="197"/>
      <c r="AA87" s="197"/>
      <c r="AB87" s="197"/>
      <c r="AC87" s="200" t="s">
        <v>1038</v>
      </c>
      <c r="AD87" s="202" t="s">
        <v>77</v>
      </c>
      <c r="AE87" s="174">
        <f>IF(ISNUMBER(VLOOKUP(A87,NotghiID!A:A,1,FALSE)),1,0)</f>
        <v>0</v>
      </c>
    </row>
    <row r="88" spans="1:31" x14ac:dyDescent="0.2">
      <c r="A88" s="174">
        <v>455</v>
      </c>
      <c r="B88" s="232" t="str">
        <f>IF(AND(A88&lt;&gt;"",ISNUMBER(A88)),VLOOKUP(A88,Studies!A:BR,2,FALSE),"")</f>
        <v>Vogelstein 1977</v>
      </c>
      <c r="C88" s="232" t="str">
        <f>IF(AND(A88&lt;&gt;"",ISNUMBER(A88)),VLOOKUP(A88,Studies!A:BR,3,FALSE),"")</f>
        <v>https://www.ncbi.nlm.nih.gov/pubmed/874697</v>
      </c>
      <c r="D88" s="232" t="str">
        <f>IF(AND(A88&lt;&gt;"",ISNUMBER(A88)),VLOOKUP(A88,Studies!A:BR,4,FALSE),"")</f>
        <v>ID9</v>
      </c>
      <c r="E88" s="206" t="str">
        <f>IF(AND(A88&lt;&gt;"",ISNUMBER(A88)),VLOOKUP(A88,Studies!A:BR,5,FALSE),"")</f>
        <v>Amikacin</v>
      </c>
      <c r="F88" s="198">
        <v>0</v>
      </c>
      <c r="G88" s="198">
        <v>225</v>
      </c>
      <c r="H88" s="198" t="s">
        <v>1041</v>
      </c>
      <c r="I88" s="190"/>
      <c r="J88" s="190"/>
      <c r="K88" s="190"/>
      <c r="L88" s="191"/>
      <c r="M88" s="191"/>
      <c r="N88" s="191"/>
      <c r="O88" s="190"/>
      <c r="P88" s="192"/>
      <c r="Q88" s="192"/>
      <c r="R88" s="192"/>
      <c r="S88" s="193"/>
      <c r="T88" s="193"/>
      <c r="U88" s="193"/>
      <c r="V88" s="201"/>
      <c r="W88" s="196">
        <v>4.26</v>
      </c>
      <c r="X88" s="196" t="s">
        <v>1042</v>
      </c>
      <c r="Y88" s="196" t="s">
        <v>264</v>
      </c>
      <c r="Z88" s="197"/>
      <c r="AA88" s="197"/>
      <c r="AB88" s="197"/>
      <c r="AC88" s="200" t="s">
        <v>1038</v>
      </c>
      <c r="AD88" s="202" t="s">
        <v>77</v>
      </c>
      <c r="AE88" s="174">
        <f>IF(ISNUMBER(VLOOKUP(A88,NotghiID!A:A,1,FALSE)),1,0)</f>
        <v>0</v>
      </c>
    </row>
    <row r="89" spans="1:31" x14ac:dyDescent="0.2">
      <c r="A89" s="174">
        <v>456</v>
      </c>
      <c r="B89" s="232" t="str">
        <f>IF(AND(A89&lt;&gt;"",ISNUMBER(A89)),VLOOKUP(A89,Studies!A:BR,2,FALSE),"")</f>
        <v>Vogelstein 1977</v>
      </c>
      <c r="C89" s="232" t="str">
        <f>IF(AND(A89&lt;&gt;"",ISNUMBER(A89)),VLOOKUP(A89,Studies!A:BR,3,FALSE),"")</f>
        <v>https://www.ncbi.nlm.nih.gov/pubmed/874697</v>
      </c>
      <c r="D89" s="232" t="str">
        <f>IF(AND(A89&lt;&gt;"",ISNUMBER(A89)),VLOOKUP(A89,Studies!A:BR,4,FALSE),"")</f>
        <v>ID10</v>
      </c>
      <c r="E89" s="206" t="str">
        <f>IF(AND(A89&lt;&gt;"",ISNUMBER(A89)),VLOOKUP(A89,Studies!A:BR,5,FALSE),"")</f>
        <v>Amikacin</v>
      </c>
      <c r="F89" s="198">
        <v>0</v>
      </c>
      <c r="G89" s="198">
        <v>225</v>
      </c>
      <c r="H89" s="198" t="s">
        <v>1041</v>
      </c>
      <c r="I89" s="190"/>
      <c r="J89" s="190"/>
      <c r="K89" s="190"/>
      <c r="L89" s="191"/>
      <c r="M89" s="191"/>
      <c r="N89" s="191"/>
      <c r="O89" s="190"/>
      <c r="P89" s="192"/>
      <c r="Q89" s="192"/>
      <c r="R89" s="192"/>
      <c r="S89" s="193"/>
      <c r="T89" s="193"/>
      <c r="U89" s="193"/>
      <c r="V89" s="201"/>
      <c r="W89" s="196">
        <v>2.2999999999999998</v>
      </c>
      <c r="X89" s="196" t="s">
        <v>1042</v>
      </c>
      <c r="Y89" s="196" t="s">
        <v>264</v>
      </c>
      <c r="Z89" s="197"/>
      <c r="AA89" s="197"/>
      <c r="AB89" s="197"/>
      <c r="AC89" s="200" t="s">
        <v>1038</v>
      </c>
      <c r="AD89" s="202" t="s">
        <v>77</v>
      </c>
      <c r="AE89" s="174">
        <f>IF(ISNUMBER(VLOOKUP(A89,NotghiID!A:A,1,FALSE)),1,0)</f>
        <v>0</v>
      </c>
    </row>
    <row r="90" spans="1:31" x14ac:dyDescent="0.2">
      <c r="A90" s="174">
        <v>457</v>
      </c>
      <c r="B90" s="232" t="str">
        <f>IF(AND(A90&lt;&gt;"",ISNUMBER(A90)),VLOOKUP(A90,Studies!A:BR,2,FALSE),"")</f>
        <v>Vogelstein 1977</v>
      </c>
      <c r="C90" s="232" t="str">
        <f>IF(AND(A90&lt;&gt;"",ISNUMBER(A90)),VLOOKUP(A90,Studies!A:BR,3,FALSE),"")</f>
        <v>https://www.ncbi.nlm.nih.gov/pubmed/874697</v>
      </c>
      <c r="D90" s="232" t="str">
        <f>IF(AND(A90&lt;&gt;"",ISNUMBER(A90)),VLOOKUP(A90,Studies!A:BR,4,FALSE),"")</f>
        <v>ID11</v>
      </c>
      <c r="E90" s="206" t="str">
        <f>IF(AND(A90&lt;&gt;"",ISNUMBER(A90)),VLOOKUP(A90,Studies!A:BR,5,FALSE),"")</f>
        <v>Amikacin</v>
      </c>
      <c r="F90" s="198">
        <v>0</v>
      </c>
      <c r="G90" s="198">
        <v>225</v>
      </c>
      <c r="H90" s="198" t="s">
        <v>1041</v>
      </c>
      <c r="I90" s="190"/>
      <c r="J90" s="190"/>
      <c r="K90" s="190"/>
      <c r="L90" s="191"/>
      <c r="M90" s="191"/>
      <c r="N90" s="191"/>
      <c r="O90" s="190"/>
      <c r="P90" s="192"/>
      <c r="Q90" s="192"/>
      <c r="R90" s="192"/>
      <c r="S90" s="193"/>
      <c r="T90" s="193"/>
      <c r="U90" s="193"/>
      <c r="V90" s="201"/>
      <c r="W90" s="196">
        <v>1.91</v>
      </c>
      <c r="X90" s="196" t="s">
        <v>1042</v>
      </c>
      <c r="Y90" s="196" t="s">
        <v>264</v>
      </c>
      <c r="Z90" s="197"/>
      <c r="AA90" s="197"/>
      <c r="AB90" s="197"/>
      <c r="AC90" s="200" t="s">
        <v>1038</v>
      </c>
      <c r="AD90" s="202" t="s">
        <v>77</v>
      </c>
      <c r="AE90" s="174">
        <f>IF(ISNUMBER(VLOOKUP(A90,NotghiID!A:A,1,FALSE)),1,0)</f>
        <v>0</v>
      </c>
    </row>
    <row r="91" spans="1:31" x14ac:dyDescent="0.2">
      <c r="A91" s="174">
        <v>458</v>
      </c>
      <c r="B91" s="232" t="str">
        <f>IF(AND(A91&lt;&gt;"",ISNUMBER(A91)),VLOOKUP(A91,Studies!A:BR,2,FALSE),"")</f>
        <v>Vogelstein 1977</v>
      </c>
      <c r="C91" s="232" t="str">
        <f>IF(AND(A91&lt;&gt;"",ISNUMBER(A91)),VLOOKUP(A91,Studies!A:BR,3,FALSE),"")</f>
        <v>https://www.ncbi.nlm.nih.gov/pubmed/874697</v>
      </c>
      <c r="D91" s="232" t="str">
        <f>IF(AND(A91&lt;&gt;"",ISNUMBER(A91)),VLOOKUP(A91,Studies!A:BR,4,FALSE),"")</f>
        <v>ID12</v>
      </c>
      <c r="E91" s="206" t="str">
        <f>IF(AND(A91&lt;&gt;"",ISNUMBER(A91)),VLOOKUP(A91,Studies!A:BR,5,FALSE),"")</f>
        <v>Amikacin</v>
      </c>
      <c r="F91" s="198">
        <v>0</v>
      </c>
      <c r="G91" s="198">
        <v>225</v>
      </c>
      <c r="H91" s="198" t="s">
        <v>1041</v>
      </c>
      <c r="I91" s="190"/>
      <c r="J91" s="190"/>
      <c r="K91" s="190"/>
      <c r="L91" s="191"/>
      <c r="M91" s="191"/>
      <c r="N91" s="191"/>
      <c r="O91" s="190"/>
      <c r="P91" s="192"/>
      <c r="Q91" s="192"/>
      <c r="R91" s="192"/>
      <c r="S91" s="193"/>
      <c r="T91" s="193"/>
      <c r="U91" s="193"/>
      <c r="V91" s="201"/>
      <c r="W91" s="196">
        <v>2.2999999999999998</v>
      </c>
      <c r="X91" s="196" t="s">
        <v>1042</v>
      </c>
      <c r="Y91" s="196" t="s">
        <v>264</v>
      </c>
      <c r="Z91" s="197"/>
      <c r="AA91" s="197"/>
      <c r="AB91" s="197"/>
      <c r="AC91" s="200" t="s">
        <v>1038</v>
      </c>
      <c r="AD91" s="202" t="s">
        <v>77</v>
      </c>
      <c r="AE91" s="174">
        <f>IF(ISNUMBER(VLOOKUP(A91,NotghiID!A:A,1,FALSE)),1,0)</f>
        <v>0</v>
      </c>
    </row>
    <row r="92" spans="1:31" x14ac:dyDescent="0.2">
      <c r="A92" s="174">
        <v>459</v>
      </c>
      <c r="B92" s="232" t="str">
        <f>IF(AND(A92&lt;&gt;"",ISNUMBER(A92)),VLOOKUP(A92,Studies!A:BR,2,FALSE),"")</f>
        <v>Vogelstein 1977</v>
      </c>
      <c r="C92" s="232" t="str">
        <f>IF(AND(A92&lt;&gt;"",ISNUMBER(A92)),VLOOKUP(A92,Studies!A:BR,3,FALSE),"")</f>
        <v>https://www.ncbi.nlm.nih.gov/pubmed/874697</v>
      </c>
      <c r="D92" s="232" t="str">
        <f>IF(AND(A92&lt;&gt;"",ISNUMBER(A92)),VLOOKUP(A92,Studies!A:BR,4,FALSE),"")</f>
        <v>ID13</v>
      </c>
      <c r="E92" s="206" t="str">
        <f>IF(AND(A92&lt;&gt;"",ISNUMBER(A92)),VLOOKUP(A92,Studies!A:BR,5,FALSE),"")</f>
        <v>Amikacin</v>
      </c>
      <c r="F92" s="198">
        <v>0</v>
      </c>
      <c r="G92" s="198">
        <v>225</v>
      </c>
      <c r="H92" s="198" t="s">
        <v>1041</v>
      </c>
      <c r="I92" s="190"/>
      <c r="J92" s="190"/>
      <c r="K92" s="190"/>
      <c r="L92" s="191"/>
      <c r="M92" s="191"/>
      <c r="N92" s="191"/>
      <c r="O92" s="190"/>
      <c r="P92" s="192"/>
      <c r="Q92" s="192"/>
      <c r="R92" s="192"/>
      <c r="S92" s="193"/>
      <c r="T92" s="193"/>
      <c r="U92" s="193"/>
      <c r="V92" s="201"/>
      <c r="W92" s="196">
        <v>2.23</v>
      </c>
      <c r="X92" s="196" t="s">
        <v>1042</v>
      </c>
      <c r="Y92" s="196" t="s">
        <v>264</v>
      </c>
      <c r="Z92" s="197"/>
      <c r="AA92" s="197"/>
      <c r="AB92" s="197"/>
      <c r="AC92" s="200" t="s">
        <v>1038</v>
      </c>
      <c r="AD92" s="202" t="s">
        <v>77</v>
      </c>
      <c r="AE92" s="174">
        <f>IF(ISNUMBER(VLOOKUP(A92,NotghiID!A:A,1,FALSE)),1,0)</f>
        <v>0</v>
      </c>
    </row>
    <row r="93" spans="1:31" x14ac:dyDescent="0.2">
      <c r="A93" s="174">
        <v>460</v>
      </c>
      <c r="B93" s="232" t="str">
        <f>IF(AND(A93&lt;&gt;"",ISNUMBER(A93)),VLOOKUP(A93,Studies!A:BR,2,FALSE),"")</f>
        <v>Vogelstein 1977</v>
      </c>
      <c r="C93" s="232" t="str">
        <f>IF(AND(A93&lt;&gt;"",ISNUMBER(A93)),VLOOKUP(A93,Studies!A:BR,3,FALSE),"")</f>
        <v>https://www.ncbi.nlm.nih.gov/pubmed/874697</v>
      </c>
      <c r="D93" s="232" t="str">
        <f>IF(AND(A93&lt;&gt;"",ISNUMBER(A93)),VLOOKUP(A93,Studies!A:BR,4,FALSE),"")</f>
        <v>ID14</v>
      </c>
      <c r="E93" s="206" t="str">
        <f>IF(AND(A93&lt;&gt;"",ISNUMBER(A93)),VLOOKUP(A93,Studies!A:BR,5,FALSE),"")</f>
        <v>Amikacin</v>
      </c>
      <c r="F93" s="198">
        <v>0</v>
      </c>
      <c r="G93" s="198">
        <v>225</v>
      </c>
      <c r="H93" s="198" t="s">
        <v>1041</v>
      </c>
      <c r="I93" s="190"/>
      <c r="J93" s="190"/>
      <c r="K93" s="190"/>
      <c r="L93" s="191"/>
      <c r="M93" s="191"/>
      <c r="N93" s="191"/>
      <c r="O93" s="190"/>
      <c r="P93" s="192"/>
      <c r="Q93" s="192"/>
      <c r="R93" s="192"/>
      <c r="S93" s="193"/>
      <c r="T93" s="193"/>
      <c r="U93" s="193"/>
      <c r="V93" s="201"/>
      <c r="W93" s="196">
        <v>2.58</v>
      </c>
      <c r="X93" s="196" t="s">
        <v>1042</v>
      </c>
      <c r="Y93" s="196" t="s">
        <v>264</v>
      </c>
      <c r="Z93" s="197"/>
      <c r="AA93" s="197"/>
      <c r="AB93" s="197"/>
      <c r="AC93" s="200" t="s">
        <v>1038</v>
      </c>
      <c r="AD93" s="202" t="s">
        <v>77</v>
      </c>
      <c r="AE93" s="174">
        <f>IF(ISNUMBER(VLOOKUP(A93,NotghiID!A:A,1,FALSE)),1,0)</f>
        <v>0</v>
      </c>
    </row>
    <row r="94" spans="1:31" x14ac:dyDescent="0.2">
      <c r="A94" s="174">
        <v>461</v>
      </c>
      <c r="B94" s="232" t="str">
        <f>IF(AND(A94&lt;&gt;"",ISNUMBER(A94)),VLOOKUP(A94,Studies!A:BR,2,FALSE),"")</f>
        <v>Vogelstein 1977</v>
      </c>
      <c r="C94" s="232" t="str">
        <f>IF(AND(A94&lt;&gt;"",ISNUMBER(A94)),VLOOKUP(A94,Studies!A:BR,3,FALSE),"")</f>
        <v>https://www.ncbi.nlm.nih.gov/pubmed/874697</v>
      </c>
      <c r="D94" s="232" t="str">
        <f>IF(AND(A94&lt;&gt;"",ISNUMBER(A94)),VLOOKUP(A94,Studies!A:BR,4,FALSE),"")</f>
        <v>ID15</v>
      </c>
      <c r="E94" s="206" t="str">
        <f>IF(AND(A94&lt;&gt;"",ISNUMBER(A94)),VLOOKUP(A94,Studies!A:BR,5,FALSE),"")</f>
        <v>Amikacin</v>
      </c>
      <c r="F94" s="198">
        <v>0</v>
      </c>
      <c r="G94" s="198">
        <v>225</v>
      </c>
      <c r="H94" s="198" t="s">
        <v>1041</v>
      </c>
      <c r="I94" s="190"/>
      <c r="J94" s="190"/>
      <c r="K94" s="190"/>
      <c r="L94" s="191"/>
      <c r="M94" s="191"/>
      <c r="N94" s="191"/>
      <c r="O94" s="190"/>
      <c r="P94" s="192"/>
      <c r="Q94" s="192"/>
      <c r="R94" s="192"/>
      <c r="S94" s="193"/>
      <c r="T94" s="193"/>
      <c r="U94" s="193"/>
      <c r="V94" s="201"/>
      <c r="W94" s="196">
        <v>2.86</v>
      </c>
      <c r="X94" s="196" t="s">
        <v>1042</v>
      </c>
      <c r="Y94" s="196" t="s">
        <v>264</v>
      </c>
      <c r="Z94" s="197"/>
      <c r="AA94" s="197"/>
      <c r="AB94" s="197"/>
      <c r="AC94" s="200" t="s">
        <v>1038</v>
      </c>
      <c r="AD94" s="202" t="s">
        <v>77</v>
      </c>
      <c r="AE94" s="174">
        <f>IF(ISNUMBER(VLOOKUP(A94,NotghiID!A:A,1,FALSE)),1,0)</f>
        <v>0</v>
      </c>
    </row>
    <row r="95" spans="1:31" x14ac:dyDescent="0.2">
      <c r="A95" s="174">
        <v>462</v>
      </c>
      <c r="B95" s="232" t="str">
        <f>IF(AND(A95&lt;&gt;"",ISNUMBER(A95)),VLOOKUP(A95,Studies!A:BR,2,FALSE),"")</f>
        <v>Vogelstein 1977</v>
      </c>
      <c r="C95" s="232" t="str">
        <f>IF(AND(A95&lt;&gt;"",ISNUMBER(A95)),VLOOKUP(A95,Studies!A:BR,3,FALSE),"")</f>
        <v>https://www.ncbi.nlm.nih.gov/pubmed/874697</v>
      </c>
      <c r="D95" s="232" t="str">
        <f>IF(AND(A95&lt;&gt;"",ISNUMBER(A95)),VLOOKUP(A95,Studies!A:BR,4,FALSE),"")</f>
        <v>ID16</v>
      </c>
      <c r="E95" s="206" t="str">
        <f>IF(AND(A95&lt;&gt;"",ISNUMBER(A95)),VLOOKUP(A95,Studies!A:BR,5,FALSE),"")</f>
        <v>Amikacin</v>
      </c>
      <c r="F95" s="198">
        <v>0</v>
      </c>
      <c r="G95" s="198">
        <v>225</v>
      </c>
      <c r="H95" s="198" t="s">
        <v>1041</v>
      </c>
      <c r="I95" s="190"/>
      <c r="J95" s="190"/>
      <c r="K95" s="190"/>
      <c r="L95" s="191"/>
      <c r="M95" s="191"/>
      <c r="N95" s="191"/>
      <c r="O95" s="190"/>
      <c r="P95" s="192"/>
      <c r="Q95" s="192"/>
      <c r="R95" s="192"/>
      <c r="S95" s="193"/>
      <c r="T95" s="193"/>
      <c r="U95" s="193"/>
      <c r="V95" s="201"/>
      <c r="W95" s="196">
        <v>2.88</v>
      </c>
      <c r="X95" s="196" t="s">
        <v>1042</v>
      </c>
      <c r="Y95" s="196" t="s">
        <v>264</v>
      </c>
      <c r="Z95" s="197"/>
      <c r="AA95" s="197"/>
      <c r="AB95" s="197"/>
      <c r="AC95" s="200" t="s">
        <v>1038</v>
      </c>
      <c r="AD95" s="202" t="s">
        <v>77</v>
      </c>
      <c r="AE95" s="174">
        <f>IF(ISNUMBER(VLOOKUP(A95,NotghiID!A:A,1,FALSE)),1,0)</f>
        <v>0</v>
      </c>
    </row>
    <row r="96" spans="1:31" x14ac:dyDescent="0.2">
      <c r="A96" s="174">
        <v>463</v>
      </c>
      <c r="B96" s="232" t="str">
        <f>IF(AND(A96&lt;&gt;"",ISNUMBER(A96)),VLOOKUP(A96,Studies!A:BR,2,FALSE),"")</f>
        <v>Vogelstein 1977</v>
      </c>
      <c r="C96" s="232" t="str">
        <f>IF(AND(A96&lt;&gt;"",ISNUMBER(A96)),VLOOKUP(A96,Studies!A:BR,3,FALSE),"")</f>
        <v>https://www.ncbi.nlm.nih.gov/pubmed/874697</v>
      </c>
      <c r="D96" s="232" t="str">
        <f>IF(AND(A96&lt;&gt;"",ISNUMBER(A96)),VLOOKUP(A96,Studies!A:BR,4,FALSE),"")</f>
        <v>ID17</v>
      </c>
      <c r="E96" s="206" t="str">
        <f>IF(AND(A96&lt;&gt;"",ISNUMBER(A96)),VLOOKUP(A96,Studies!A:BR,5,FALSE),"")</f>
        <v>Amikacin</v>
      </c>
      <c r="F96" s="198">
        <v>0</v>
      </c>
      <c r="G96" s="198">
        <v>225</v>
      </c>
      <c r="H96" s="198" t="s">
        <v>1041</v>
      </c>
      <c r="I96" s="190"/>
      <c r="J96" s="190"/>
      <c r="K96" s="190"/>
      <c r="L96" s="191"/>
      <c r="M96" s="191"/>
      <c r="N96" s="191"/>
      <c r="O96" s="190"/>
      <c r="P96" s="192"/>
      <c r="Q96" s="192"/>
      <c r="R96" s="192"/>
      <c r="S96" s="193"/>
      <c r="T96" s="193"/>
      <c r="U96" s="193"/>
      <c r="V96" s="201"/>
      <c r="W96" s="196">
        <v>3.31</v>
      </c>
      <c r="X96" s="196" t="s">
        <v>1042</v>
      </c>
      <c r="Y96" s="196" t="s">
        <v>264</v>
      </c>
      <c r="Z96" s="197"/>
      <c r="AA96" s="197"/>
      <c r="AB96" s="197"/>
      <c r="AC96" s="200" t="s">
        <v>1038</v>
      </c>
      <c r="AD96" s="202" t="s">
        <v>77</v>
      </c>
      <c r="AE96" s="174">
        <f>IF(ISNUMBER(VLOOKUP(A96,NotghiID!A:A,1,FALSE)),1,0)</f>
        <v>0</v>
      </c>
    </row>
    <row r="97" spans="1:31" x14ac:dyDescent="0.2">
      <c r="A97" s="174">
        <v>464</v>
      </c>
      <c r="B97" s="232" t="str">
        <f>IF(AND(A97&lt;&gt;"",ISNUMBER(A97)),VLOOKUP(A97,Studies!A:BR,2,FALSE),"")</f>
        <v>Vogelstein 1977</v>
      </c>
      <c r="C97" s="232" t="str">
        <f>IF(AND(A97&lt;&gt;"",ISNUMBER(A97)),VLOOKUP(A97,Studies!A:BR,3,FALSE),"")</f>
        <v>https://www.ncbi.nlm.nih.gov/pubmed/874697</v>
      </c>
      <c r="D97" s="232" t="str">
        <f>IF(AND(A97&lt;&gt;"",ISNUMBER(A97)),VLOOKUP(A97,Studies!A:BR,4,FALSE),"")</f>
        <v>ID18</v>
      </c>
      <c r="E97" s="206" t="str">
        <f>IF(AND(A97&lt;&gt;"",ISNUMBER(A97)),VLOOKUP(A97,Studies!A:BR,5,FALSE),"")</f>
        <v>Amikacin</v>
      </c>
      <c r="F97" s="198">
        <v>0</v>
      </c>
      <c r="G97" s="198">
        <v>225</v>
      </c>
      <c r="H97" s="198" t="s">
        <v>1041</v>
      </c>
      <c r="I97" s="190"/>
      <c r="J97" s="190"/>
      <c r="K97" s="190"/>
      <c r="L97" s="191"/>
      <c r="M97" s="191"/>
      <c r="N97" s="191"/>
      <c r="O97" s="190"/>
      <c r="P97" s="192"/>
      <c r="Q97" s="192"/>
      <c r="R97" s="192"/>
      <c r="S97" s="193"/>
      <c r="T97" s="193"/>
      <c r="U97" s="193"/>
      <c r="V97" s="201"/>
      <c r="W97" s="196">
        <v>1.88</v>
      </c>
      <c r="X97" s="196" t="s">
        <v>1042</v>
      </c>
      <c r="Y97" s="196" t="s">
        <v>264</v>
      </c>
      <c r="Z97" s="197"/>
      <c r="AA97" s="197"/>
      <c r="AB97" s="197"/>
      <c r="AC97" s="200" t="s">
        <v>1038</v>
      </c>
      <c r="AD97" s="202" t="s">
        <v>77</v>
      </c>
      <c r="AE97" s="174">
        <f>IF(ISNUMBER(VLOOKUP(A97,NotghiID!A:A,1,FALSE)),1,0)</f>
        <v>0</v>
      </c>
    </row>
    <row r="98" spans="1:31" x14ac:dyDescent="0.2">
      <c r="A98" s="174">
        <v>465</v>
      </c>
      <c r="B98" s="232" t="str">
        <f>IF(AND(A98&lt;&gt;"",ISNUMBER(A98)),VLOOKUP(A98,Studies!A:BR,2,FALSE),"")</f>
        <v>Vogelstein 1977</v>
      </c>
      <c r="C98" s="232" t="str">
        <f>IF(AND(A98&lt;&gt;"",ISNUMBER(A98)),VLOOKUP(A98,Studies!A:BR,3,FALSE),"")</f>
        <v>https://www.ncbi.nlm.nih.gov/pubmed/874697</v>
      </c>
      <c r="D98" s="232" t="str">
        <f>IF(AND(A98&lt;&gt;"",ISNUMBER(A98)),VLOOKUP(A98,Studies!A:BR,4,FALSE),"")</f>
        <v>ID19</v>
      </c>
      <c r="E98" s="206" t="str">
        <f>IF(AND(A98&lt;&gt;"",ISNUMBER(A98)),VLOOKUP(A98,Studies!A:BR,5,FALSE),"")</f>
        <v>Amikacin</v>
      </c>
      <c r="F98" s="198">
        <v>0</v>
      </c>
      <c r="G98" s="198">
        <v>225</v>
      </c>
      <c r="H98" s="198" t="s">
        <v>1041</v>
      </c>
      <c r="I98" s="190"/>
      <c r="J98" s="190"/>
      <c r="K98" s="190"/>
      <c r="L98" s="191"/>
      <c r="M98" s="191"/>
      <c r="N98" s="191"/>
      <c r="O98" s="190"/>
      <c r="P98" s="192"/>
      <c r="Q98" s="192"/>
      <c r="R98" s="192"/>
      <c r="S98" s="193"/>
      <c r="T98" s="193"/>
      <c r="U98" s="193"/>
      <c r="V98" s="201"/>
      <c r="W98" s="196">
        <v>2.06</v>
      </c>
      <c r="X98" s="196" t="s">
        <v>1042</v>
      </c>
      <c r="Y98" s="196" t="s">
        <v>264</v>
      </c>
      <c r="Z98" s="197"/>
      <c r="AA98" s="197"/>
      <c r="AB98" s="197"/>
      <c r="AC98" s="200" t="s">
        <v>1038</v>
      </c>
      <c r="AD98" s="202" t="s">
        <v>77</v>
      </c>
      <c r="AE98" s="174">
        <f>IF(ISNUMBER(VLOOKUP(A98,NotghiID!A:A,1,FALSE)),1,0)</f>
        <v>0</v>
      </c>
    </row>
    <row r="99" spans="1:31" x14ac:dyDescent="0.2">
      <c r="A99" s="174">
        <v>466</v>
      </c>
      <c r="B99" s="232" t="str">
        <f>IF(AND(A99&lt;&gt;"",ISNUMBER(A99)),VLOOKUP(A99,Studies!A:BR,2,FALSE),"")</f>
        <v>Vogelstein 1977</v>
      </c>
      <c r="C99" s="232" t="str">
        <f>IF(AND(A99&lt;&gt;"",ISNUMBER(A99)),VLOOKUP(A99,Studies!A:BR,3,FALSE),"")</f>
        <v>https://www.ncbi.nlm.nih.gov/pubmed/874697</v>
      </c>
      <c r="D99" s="232" t="str">
        <f>IF(AND(A99&lt;&gt;"",ISNUMBER(A99)),VLOOKUP(A99,Studies!A:BR,4,FALSE),"")</f>
        <v>ID20</v>
      </c>
      <c r="E99" s="206" t="str">
        <f>IF(AND(A99&lt;&gt;"",ISNUMBER(A99)),VLOOKUP(A99,Studies!A:BR,5,FALSE),"")</f>
        <v>Amikacin</v>
      </c>
      <c r="F99" s="198">
        <v>0</v>
      </c>
      <c r="G99" s="198">
        <v>225</v>
      </c>
      <c r="H99" s="198" t="s">
        <v>1041</v>
      </c>
      <c r="I99" s="190"/>
      <c r="J99" s="190"/>
      <c r="K99" s="190"/>
      <c r="L99" s="191"/>
      <c r="M99" s="191"/>
      <c r="N99" s="191"/>
      <c r="O99" s="190"/>
      <c r="P99" s="192"/>
      <c r="Q99" s="192"/>
      <c r="R99" s="192"/>
      <c r="S99" s="193"/>
      <c r="T99" s="193"/>
      <c r="U99" s="193"/>
      <c r="V99" s="201"/>
      <c r="W99" s="196">
        <v>2.4700000000000002</v>
      </c>
      <c r="X99" s="196" t="s">
        <v>1042</v>
      </c>
      <c r="Y99" s="196" t="s">
        <v>264</v>
      </c>
      <c r="Z99" s="197"/>
      <c r="AA99" s="197"/>
      <c r="AB99" s="197"/>
      <c r="AC99" s="200" t="s">
        <v>1038</v>
      </c>
      <c r="AD99" s="202" t="s">
        <v>77</v>
      </c>
      <c r="AE99" s="174">
        <f>IF(ISNUMBER(VLOOKUP(A99,NotghiID!A:A,1,FALSE)),1,0)</f>
        <v>0</v>
      </c>
    </row>
    <row r="100" spans="1:31" x14ac:dyDescent="0.2">
      <c r="A100" s="174">
        <v>99</v>
      </c>
      <c r="B100" s="232" t="str">
        <f>IF(AND(A100&lt;&gt;"",ISNUMBER(A100)),VLOOKUP(A100,Studies!A:BR,2,FALSE),"")</f>
        <v>Belfayol 1996</v>
      </c>
      <c r="C100" s="232" t="str">
        <f>IF(AND(A100&lt;&gt;"",ISNUMBER(A100)),VLOOKUP(A100,Studies!A:BR,3,FALSE),"")</f>
        <v>https://www.ncbi.nlm.nih.gov/pubmed/11866842</v>
      </c>
      <c r="D100" s="232" t="str">
        <f>IF(AND(A100&lt;&gt;"",ISNUMBER(A100)),VLOOKUP(A100,Studies!A:BR,4,FALSE),"")</f>
        <v>mean</v>
      </c>
      <c r="E100" s="206" t="str">
        <f>IF(AND(A100&lt;&gt;"",ISNUMBER(A100)),VLOOKUP(A100,Studies!A:BR,5,FALSE),"")</f>
        <v>Amikacin</v>
      </c>
      <c r="F100" s="198">
        <v>0</v>
      </c>
      <c r="G100" s="198">
        <v>24</v>
      </c>
      <c r="H100" s="198" t="s">
        <v>60</v>
      </c>
      <c r="I100" s="190"/>
      <c r="J100" s="190"/>
      <c r="K100" s="190"/>
      <c r="L100" s="191"/>
      <c r="M100" s="191"/>
      <c r="N100" s="191"/>
      <c r="O100" s="190"/>
      <c r="P100" s="192"/>
      <c r="Q100" s="192"/>
      <c r="R100" s="192"/>
      <c r="S100" s="193"/>
      <c r="T100" s="193"/>
      <c r="U100" s="193"/>
      <c r="V100" s="201"/>
      <c r="W100" s="196">
        <v>56.3</v>
      </c>
      <c r="X100" s="196" t="s">
        <v>1043</v>
      </c>
      <c r="Y100" s="196" t="s">
        <v>389</v>
      </c>
      <c r="Z100" s="197">
        <v>33.799999999999997</v>
      </c>
      <c r="AA100" s="197" t="s">
        <v>1043</v>
      </c>
      <c r="AB100" s="197" t="s">
        <v>117</v>
      </c>
      <c r="AC100" s="200" t="s">
        <v>1038</v>
      </c>
      <c r="AD100" s="202" t="s">
        <v>77</v>
      </c>
      <c r="AE100" s="174">
        <f>IF(ISNUMBER(VLOOKUP(A100,NotghiID!A:A,1,FALSE)),1,0)</f>
        <v>0</v>
      </c>
    </row>
    <row r="101" spans="1:31" x14ac:dyDescent="0.2">
      <c r="A101" s="174">
        <v>102</v>
      </c>
      <c r="B101" s="232" t="str">
        <f>IF(AND(A101&lt;&gt;"",ISNUMBER(A101)),VLOOKUP(A101,Studies!A:BR,2,FALSE),"")</f>
        <v>Boekh 1988</v>
      </c>
      <c r="C101" s="232" t="str">
        <f>IF(AND(A101&lt;&gt;"",ISNUMBER(A101)),VLOOKUP(A101,Studies!A:BR,3,FALSE),"")</f>
        <v>https://www.ncbi.nlm.nih.gov/pubmed/3279907</v>
      </c>
      <c r="D101" s="232" t="str">
        <f>IF(AND(A101&lt;&gt;"",ISNUMBER(A101)),VLOOKUP(A101,Studies!A:BR,4,FALSE),"")</f>
        <v>mean 0.5g</v>
      </c>
      <c r="E101" s="206" t="str">
        <f>IF(AND(A101&lt;&gt;"",ISNUMBER(A101)),VLOOKUP(A101,Studies!A:BR,5,FALSE),"")</f>
        <v>vancomycin</v>
      </c>
      <c r="F101" s="198">
        <v>0</v>
      </c>
      <c r="G101" s="198">
        <v>720</v>
      </c>
      <c r="H101" s="198" t="s">
        <v>1041</v>
      </c>
      <c r="I101" s="190"/>
      <c r="J101" s="190"/>
      <c r="K101" s="190"/>
      <c r="L101" s="191"/>
      <c r="M101" s="191"/>
      <c r="N101" s="191"/>
      <c r="O101" s="190"/>
      <c r="P101" s="192"/>
      <c r="Q101" s="192"/>
      <c r="R101" s="192"/>
      <c r="S101" s="193"/>
      <c r="T101" s="193"/>
      <c r="U101" s="193"/>
      <c r="V101" s="201"/>
      <c r="W101" s="196">
        <v>94.5</v>
      </c>
      <c r="X101" s="196" t="s">
        <v>1043</v>
      </c>
      <c r="Y101" s="196" t="s">
        <v>389</v>
      </c>
      <c r="Z101" s="197">
        <v>15.9</v>
      </c>
      <c r="AA101" s="197" t="s">
        <v>1043</v>
      </c>
      <c r="AB101" s="197" t="s">
        <v>117</v>
      </c>
      <c r="AC101" s="200" t="s">
        <v>1038</v>
      </c>
      <c r="AD101" s="202" t="s">
        <v>77</v>
      </c>
      <c r="AE101" s="174">
        <f>IF(ISNUMBER(VLOOKUP(A101,NotghiID!A:A,1,FALSE)),1,0)</f>
        <v>0</v>
      </c>
    </row>
    <row r="102" spans="1:31" x14ac:dyDescent="0.2">
      <c r="A102" s="174">
        <v>103</v>
      </c>
      <c r="B102" s="232" t="str">
        <f>IF(AND(A102&lt;&gt;"",ISNUMBER(A102)),VLOOKUP(A102,Studies!A:BR,2,FALSE),"")</f>
        <v>Boekh 1988</v>
      </c>
      <c r="C102" s="232" t="str">
        <f>IF(AND(A102&lt;&gt;"",ISNUMBER(A102)),VLOOKUP(A102,Studies!A:BR,3,FALSE),"")</f>
        <v>https://www.ncbi.nlm.nih.gov/pubmed/3279907</v>
      </c>
      <c r="D102" s="232" t="str">
        <f>IF(AND(A102&lt;&gt;"",ISNUMBER(A102)),VLOOKUP(A102,Studies!A:BR,4,FALSE),"")</f>
        <v>mean 1g</v>
      </c>
      <c r="E102" s="206" t="str">
        <f>IF(AND(A102&lt;&gt;"",ISNUMBER(A102)),VLOOKUP(A102,Studies!A:BR,5,FALSE),"")</f>
        <v>vancomycin</v>
      </c>
      <c r="F102" s="198">
        <v>0</v>
      </c>
      <c r="G102" s="198">
        <v>720</v>
      </c>
      <c r="H102" s="198" t="s">
        <v>1041</v>
      </c>
      <c r="I102" s="190"/>
      <c r="J102" s="190"/>
      <c r="K102" s="190"/>
      <c r="L102" s="191"/>
      <c r="M102" s="191"/>
      <c r="N102" s="191"/>
      <c r="O102" s="190"/>
      <c r="P102" s="192"/>
      <c r="Q102" s="192"/>
      <c r="R102" s="192"/>
      <c r="S102" s="193"/>
      <c r="T102" s="193"/>
      <c r="U102" s="193"/>
      <c r="V102" s="201"/>
      <c r="W102" s="196">
        <v>96.5</v>
      </c>
      <c r="X102" s="196" t="s">
        <v>1043</v>
      </c>
      <c r="Y102" s="196" t="s">
        <v>389</v>
      </c>
      <c r="Z102" s="197">
        <v>18.100000000000001</v>
      </c>
      <c r="AA102" s="197" t="s">
        <v>1043</v>
      </c>
      <c r="AB102" s="197" t="s">
        <v>117</v>
      </c>
      <c r="AC102" s="200" t="s">
        <v>1038</v>
      </c>
      <c r="AD102" s="202" t="s">
        <v>77</v>
      </c>
      <c r="AE102" s="174">
        <f>IF(ISNUMBER(VLOOKUP(A102,NotghiID!A:A,1,FALSE)),1,0)</f>
        <v>0</v>
      </c>
    </row>
    <row r="103" spans="1:31" x14ac:dyDescent="0.2">
      <c r="A103" s="174">
        <v>241</v>
      </c>
      <c r="B103" s="232" t="str">
        <f>IF(AND(A103&lt;&gt;"",ISNUMBER(A103)),VLOOKUP(A103,Studies!A:BR,2,FALSE),"")</f>
        <v>Healy 1987</v>
      </c>
      <c r="C103" s="232" t="str">
        <f>IF(AND(A103&lt;&gt;"",ISNUMBER(A103)),VLOOKUP(A103,Studies!A:BR,3,FALSE),"")</f>
        <v>https://www.ncbi.nlm.nih.gov/pubmed/3579256</v>
      </c>
      <c r="D103" s="232" t="str">
        <f>IF(AND(A103&lt;&gt;"",ISNUMBER(A103)),VLOOKUP(A103,Studies!A:BR,4,FALSE),"")</f>
        <v>mean 0.5g</v>
      </c>
      <c r="E103" s="206" t="str">
        <f>IF(AND(A103&lt;&gt;"",ISNUMBER(A103)),VLOOKUP(A103,Studies!A:BR,5,FALSE),"")</f>
        <v>vancomycin</v>
      </c>
      <c r="F103" s="198">
        <v>0</v>
      </c>
      <c r="G103" s="198">
        <v>61.003349999999998</v>
      </c>
      <c r="H103" s="198" t="s">
        <v>60</v>
      </c>
      <c r="I103" s="190"/>
      <c r="J103" s="190"/>
      <c r="K103" s="190"/>
      <c r="L103" s="191"/>
      <c r="M103" s="191"/>
      <c r="N103" s="191"/>
      <c r="O103" s="190"/>
      <c r="P103" s="192"/>
      <c r="Q103" s="192"/>
      <c r="R103" s="192"/>
      <c r="S103" s="193"/>
      <c r="T103" s="193"/>
      <c r="U103" s="193"/>
      <c r="V103" s="201"/>
      <c r="W103" s="196">
        <v>84.8</v>
      </c>
      <c r="X103" s="196" t="s">
        <v>1044</v>
      </c>
      <c r="Y103" s="196" t="s">
        <v>389</v>
      </c>
      <c r="Z103" s="197">
        <v>11.5</v>
      </c>
      <c r="AA103" s="197" t="s">
        <v>1044</v>
      </c>
      <c r="AB103" s="197" t="s">
        <v>117</v>
      </c>
      <c r="AC103" s="200" t="s">
        <v>1038</v>
      </c>
      <c r="AD103" s="202" t="s">
        <v>1045</v>
      </c>
      <c r="AE103" s="174">
        <f>IF(ISNUMBER(VLOOKUP(A103,NotghiID!A:A,1,FALSE)),1,0)</f>
        <v>0</v>
      </c>
    </row>
    <row r="104" spans="1:31" x14ac:dyDescent="0.2">
      <c r="A104" s="174">
        <v>242</v>
      </c>
      <c r="B104" s="232" t="str">
        <f>IF(AND(A104&lt;&gt;"",ISNUMBER(A104)),VLOOKUP(A104,Studies!A:BR,2,FALSE),"")</f>
        <v>Healy 1987</v>
      </c>
      <c r="C104" s="232" t="str">
        <f>IF(AND(A104&lt;&gt;"",ISNUMBER(A104)),VLOOKUP(A104,Studies!A:BR,3,FALSE),"")</f>
        <v>https://www.ncbi.nlm.nih.gov/pubmed/3579256</v>
      </c>
      <c r="D104" s="232" t="str">
        <f>IF(AND(A104&lt;&gt;"",ISNUMBER(A104)),VLOOKUP(A104,Studies!A:BR,4,FALSE),"")</f>
        <v>mean 1g</v>
      </c>
      <c r="E104" s="206" t="str">
        <f>IF(AND(A104&lt;&gt;"",ISNUMBER(A104)),VLOOKUP(A104,Studies!A:BR,5,FALSE),"")</f>
        <v>vancomycin</v>
      </c>
      <c r="F104" s="198">
        <v>0</v>
      </c>
      <c r="G104" s="198">
        <v>61.287129999999998</v>
      </c>
      <c r="H104" s="198" t="s">
        <v>60</v>
      </c>
      <c r="I104" s="190"/>
      <c r="J104" s="190"/>
      <c r="K104" s="190"/>
      <c r="L104" s="191"/>
      <c r="M104" s="191"/>
      <c r="N104" s="191"/>
      <c r="O104" s="190"/>
      <c r="P104" s="192"/>
      <c r="Q104" s="192"/>
      <c r="R104" s="192"/>
      <c r="S104" s="193"/>
      <c r="T104" s="193"/>
      <c r="U104" s="193"/>
      <c r="V104" s="201"/>
      <c r="W104" s="196">
        <v>86.1</v>
      </c>
      <c r="X104" s="196" t="s">
        <v>1044</v>
      </c>
      <c r="Y104" s="196" t="s">
        <v>389</v>
      </c>
      <c r="Z104" s="197">
        <v>8.9</v>
      </c>
      <c r="AA104" s="197" t="s">
        <v>1044</v>
      </c>
      <c r="AB104" s="197" t="s">
        <v>117</v>
      </c>
      <c r="AC104" s="200" t="s">
        <v>1038</v>
      </c>
      <c r="AD104" s="202" t="s">
        <v>1046</v>
      </c>
      <c r="AE104" s="174">
        <f>IF(ISNUMBER(VLOOKUP(A104,NotghiID!A:A,1,FALSE)),1,0)</f>
        <v>0</v>
      </c>
    </row>
    <row r="105" spans="1:31" x14ac:dyDescent="0.2">
      <c r="A105" s="183">
        <v>408</v>
      </c>
      <c r="B105" s="232" t="str">
        <f>IF(AND(A105&lt;&gt;"",ISNUMBER(A105)),VLOOKUP(A105,Studies!A:BR,2,FALSE),"")</f>
        <v>Schaad 1980</v>
      </c>
      <c r="C105" s="232" t="str">
        <f>IF(AND(A105&lt;&gt;"",ISNUMBER(A105)),VLOOKUP(A105,Studies!A:BR,3,FALSE),"")</f>
        <v>https://www.ncbi.nlm.nih.gov/pubmed/7350291</v>
      </c>
      <c r="D105" s="232" t="str">
        <f>IF(AND(A105&lt;&gt;"",ISNUMBER(A105)),VLOOKUP(A105,Studies!A:BR,4,FALSE),"")</f>
        <v>ID 1</v>
      </c>
      <c r="E105" s="206" t="str">
        <f>IF(AND(A105&lt;&gt;"",ISNUMBER(A105)),VLOOKUP(A105,Studies!A:BR,5,FALSE),"")</f>
        <v>vancomycin</v>
      </c>
      <c r="F105" s="198">
        <v>0</v>
      </c>
      <c r="G105" s="198">
        <v>6.5</v>
      </c>
      <c r="H105" s="198" t="s">
        <v>60</v>
      </c>
      <c r="I105" s="190"/>
      <c r="J105" s="190"/>
      <c r="K105" s="190"/>
      <c r="L105" s="191"/>
      <c r="M105" s="191"/>
      <c r="N105" s="191"/>
      <c r="O105" s="190"/>
      <c r="P105" s="192"/>
      <c r="Q105" s="192"/>
      <c r="R105" s="192"/>
      <c r="S105" s="193"/>
      <c r="T105" s="193"/>
      <c r="U105" s="193"/>
      <c r="V105" s="201"/>
      <c r="W105" s="196">
        <v>30</v>
      </c>
      <c r="X105" s="196" t="s">
        <v>1044</v>
      </c>
      <c r="Y105" s="196" t="s">
        <v>389</v>
      </c>
      <c r="Z105" s="197"/>
      <c r="AA105" s="197"/>
      <c r="AB105" s="197"/>
      <c r="AC105" s="200"/>
      <c r="AD105" s="202"/>
      <c r="AE105" s="174">
        <f>IF(ISNUMBER(VLOOKUP(A105,NotghiID!A:A,1,FALSE)),1,0)</f>
        <v>0</v>
      </c>
    </row>
    <row r="106" spans="1:31" x14ac:dyDescent="0.2">
      <c r="A106" s="183">
        <v>409</v>
      </c>
      <c r="B106" s="232" t="str">
        <f>IF(AND(A106&lt;&gt;"",ISNUMBER(A106)),VLOOKUP(A106,Studies!A:BR,2,FALSE),"")</f>
        <v>Schaad 1980</v>
      </c>
      <c r="C106" s="232" t="str">
        <f>IF(AND(A106&lt;&gt;"",ISNUMBER(A106)),VLOOKUP(A106,Studies!A:BR,3,FALSE),"")</f>
        <v>https://www.ncbi.nlm.nih.gov/pubmed/7350291</v>
      </c>
      <c r="D106" s="232" t="str">
        <f>IF(AND(A106&lt;&gt;"",ISNUMBER(A106)),VLOOKUP(A106,Studies!A:BR,4,FALSE),"")</f>
        <v>ID 2</v>
      </c>
      <c r="E106" s="206" t="str">
        <f>IF(AND(A106&lt;&gt;"",ISNUMBER(A106)),VLOOKUP(A106,Studies!A:BR,5,FALSE),"")</f>
        <v>vancomycin</v>
      </c>
      <c r="F106" s="198">
        <v>0</v>
      </c>
      <c r="G106" s="198">
        <v>7</v>
      </c>
      <c r="H106" s="198" t="s">
        <v>60</v>
      </c>
      <c r="I106" s="190"/>
      <c r="J106" s="190"/>
      <c r="K106" s="190"/>
      <c r="L106" s="191"/>
      <c r="M106" s="191"/>
      <c r="N106" s="191"/>
      <c r="O106" s="190"/>
      <c r="P106" s="192"/>
      <c r="Q106" s="192"/>
      <c r="R106" s="192"/>
      <c r="S106" s="193"/>
      <c r="T106" s="193"/>
      <c r="U106" s="193"/>
      <c r="V106" s="201"/>
      <c r="W106" s="196">
        <v>50</v>
      </c>
      <c r="X106" s="196" t="s">
        <v>1044</v>
      </c>
      <c r="Y106" s="196" t="s">
        <v>389</v>
      </c>
      <c r="Z106" s="197"/>
      <c r="AA106" s="197"/>
      <c r="AB106" s="197"/>
      <c r="AC106" s="200"/>
      <c r="AD106" s="202"/>
      <c r="AE106" s="174">
        <f>IF(ISNUMBER(VLOOKUP(A106,NotghiID!A:A,1,FALSE)),1,0)</f>
        <v>0</v>
      </c>
    </row>
    <row r="107" spans="1:31" x14ac:dyDescent="0.2">
      <c r="A107" s="183">
        <v>410</v>
      </c>
      <c r="B107" s="232" t="str">
        <f>IF(AND(A107&lt;&gt;"",ISNUMBER(A107)),VLOOKUP(A107,Studies!A:BR,2,FALSE),"")</f>
        <v>Schaad 1980</v>
      </c>
      <c r="C107" s="232" t="str">
        <f>IF(AND(A107&lt;&gt;"",ISNUMBER(A107)),VLOOKUP(A107,Studies!A:BR,3,FALSE),"")</f>
        <v>https://www.ncbi.nlm.nih.gov/pubmed/7350291</v>
      </c>
      <c r="D107" s="232" t="str">
        <f>IF(AND(A107&lt;&gt;"",ISNUMBER(A107)),VLOOKUP(A107,Studies!A:BR,4,FALSE),"")</f>
        <v>ID 3</v>
      </c>
      <c r="E107" s="206" t="str">
        <f>IF(AND(A107&lt;&gt;"",ISNUMBER(A107)),VLOOKUP(A107,Studies!A:BR,5,FALSE),"")</f>
        <v>vancomycin</v>
      </c>
      <c r="F107" s="198">
        <v>0</v>
      </c>
      <c r="G107" s="198">
        <v>7</v>
      </c>
      <c r="H107" s="198" t="s">
        <v>60</v>
      </c>
      <c r="I107" s="190"/>
      <c r="J107" s="190"/>
      <c r="K107" s="190"/>
      <c r="L107" s="191"/>
      <c r="M107" s="191"/>
      <c r="N107" s="191"/>
      <c r="O107" s="190"/>
      <c r="P107" s="192"/>
      <c r="Q107" s="192"/>
      <c r="R107" s="192"/>
      <c r="S107" s="193"/>
      <c r="T107" s="193"/>
      <c r="U107" s="193"/>
      <c r="V107" s="201"/>
      <c r="W107" s="196">
        <v>81</v>
      </c>
      <c r="X107" s="196" t="s">
        <v>1044</v>
      </c>
      <c r="Y107" s="196" t="s">
        <v>389</v>
      </c>
      <c r="Z107" s="197"/>
      <c r="AA107" s="197"/>
      <c r="AB107" s="197"/>
      <c r="AC107" s="200"/>
      <c r="AD107" s="202"/>
      <c r="AE107" s="174">
        <f>IF(ISNUMBER(VLOOKUP(A107,NotghiID!A:A,1,FALSE)),1,0)</f>
        <v>0</v>
      </c>
    </row>
    <row r="108" spans="1:31" x14ac:dyDescent="0.2">
      <c r="A108" s="183">
        <v>411</v>
      </c>
      <c r="B108" s="232" t="str">
        <f>IF(AND(A108&lt;&gt;"",ISNUMBER(A108)),VLOOKUP(A108,Studies!A:BR,2,FALSE),"")</f>
        <v>Schaad 1980</v>
      </c>
      <c r="C108" s="232" t="str">
        <f>IF(AND(A108&lt;&gt;"",ISNUMBER(A108)),VLOOKUP(A108,Studies!A:BR,3,FALSE),"")</f>
        <v>https://www.ncbi.nlm.nih.gov/pubmed/7350291</v>
      </c>
      <c r="D108" s="232" t="str">
        <f>IF(AND(A108&lt;&gt;"",ISNUMBER(A108)),VLOOKUP(A108,Studies!A:BR,4,FALSE),"")</f>
        <v>ID 4</v>
      </c>
      <c r="E108" s="206" t="str">
        <f>IF(AND(A108&lt;&gt;"",ISNUMBER(A108)),VLOOKUP(A108,Studies!A:BR,5,FALSE),"")</f>
        <v>vancomycin</v>
      </c>
      <c r="F108" s="198">
        <v>0</v>
      </c>
      <c r="G108" s="198">
        <v>7</v>
      </c>
      <c r="H108" s="198" t="s">
        <v>60</v>
      </c>
      <c r="I108" s="190"/>
      <c r="J108" s="190"/>
      <c r="K108" s="190"/>
      <c r="L108" s="191"/>
      <c r="M108" s="191"/>
      <c r="N108" s="191"/>
      <c r="O108" s="190"/>
      <c r="P108" s="192"/>
      <c r="Q108" s="192"/>
      <c r="R108" s="192"/>
      <c r="S108" s="193"/>
      <c r="T108" s="193"/>
      <c r="U108" s="193"/>
      <c r="V108" s="201"/>
      <c r="W108" s="196">
        <v>163</v>
      </c>
      <c r="X108" s="196" t="s">
        <v>1044</v>
      </c>
      <c r="Y108" s="196" t="s">
        <v>389</v>
      </c>
      <c r="Z108" s="197"/>
      <c r="AA108" s="197"/>
      <c r="AB108" s="197"/>
      <c r="AC108" s="200"/>
      <c r="AD108" s="202"/>
      <c r="AE108" s="174">
        <f>IF(ISNUMBER(VLOOKUP(A108,NotghiID!A:A,1,FALSE)),1,0)</f>
        <v>0</v>
      </c>
    </row>
    <row r="109" spans="1:31" x14ac:dyDescent="0.2">
      <c r="A109" s="183">
        <v>412</v>
      </c>
      <c r="B109" s="232" t="str">
        <f>IF(AND(A109&lt;&gt;"",ISNUMBER(A109)),VLOOKUP(A109,Studies!A:BR,2,FALSE),"")</f>
        <v>Schaad 1980</v>
      </c>
      <c r="C109" s="232" t="str">
        <f>IF(AND(A109&lt;&gt;"",ISNUMBER(A109)),VLOOKUP(A109,Studies!A:BR,3,FALSE),"")</f>
        <v>https://www.ncbi.nlm.nih.gov/pubmed/7350291</v>
      </c>
      <c r="D109" s="232" t="str">
        <f>IF(AND(A109&lt;&gt;"",ISNUMBER(A109)),VLOOKUP(A109,Studies!A:BR,4,FALSE),"")</f>
        <v>ID 5</v>
      </c>
      <c r="E109" s="206" t="str">
        <f>IF(AND(A109&lt;&gt;"",ISNUMBER(A109)),VLOOKUP(A109,Studies!A:BR,5,FALSE),"")</f>
        <v>vancomycin</v>
      </c>
      <c r="F109" s="198">
        <v>0</v>
      </c>
      <c r="G109" s="198">
        <v>7</v>
      </c>
      <c r="H109" s="198" t="s">
        <v>60</v>
      </c>
      <c r="I109" s="190"/>
      <c r="J109" s="190"/>
      <c r="K109" s="190"/>
      <c r="L109" s="191"/>
      <c r="M109" s="191"/>
      <c r="N109" s="191"/>
      <c r="O109" s="190"/>
      <c r="P109" s="192"/>
      <c r="Q109" s="192"/>
      <c r="R109" s="192"/>
      <c r="S109" s="193"/>
      <c r="T109" s="193"/>
      <c r="U109" s="193"/>
      <c r="V109" s="201"/>
      <c r="W109" s="196">
        <v>131</v>
      </c>
      <c r="X109" s="196" t="s">
        <v>1044</v>
      </c>
      <c r="Y109" s="196" t="s">
        <v>389</v>
      </c>
      <c r="Z109" s="197"/>
      <c r="AA109" s="197"/>
      <c r="AB109" s="197"/>
      <c r="AC109" s="200"/>
      <c r="AD109" s="202"/>
      <c r="AE109" s="174">
        <f>IF(ISNUMBER(VLOOKUP(A109,NotghiID!A:A,1,FALSE)),1,0)</f>
        <v>0</v>
      </c>
    </row>
    <row r="110" spans="1:31" x14ac:dyDescent="0.2">
      <c r="A110" s="183">
        <v>413</v>
      </c>
      <c r="B110" s="232" t="str">
        <f>IF(AND(A110&lt;&gt;"",ISNUMBER(A110)),VLOOKUP(A110,Studies!A:BR,2,FALSE),"")</f>
        <v>Schaad 1980</v>
      </c>
      <c r="C110" s="232" t="str">
        <f>IF(AND(A110&lt;&gt;"",ISNUMBER(A110)),VLOOKUP(A110,Studies!A:BR,3,FALSE),"")</f>
        <v>https://www.ncbi.nlm.nih.gov/pubmed/7350291</v>
      </c>
      <c r="D110" s="232" t="str">
        <f>IF(AND(A110&lt;&gt;"",ISNUMBER(A110)),VLOOKUP(A110,Studies!A:BR,4,FALSE),"")</f>
        <v>ID 6</v>
      </c>
      <c r="E110" s="206" t="str">
        <f>IF(AND(A110&lt;&gt;"",ISNUMBER(A110)),VLOOKUP(A110,Studies!A:BR,5,FALSE),"")</f>
        <v>vancomycin</v>
      </c>
      <c r="F110" s="198">
        <v>0</v>
      </c>
      <c r="G110" s="198">
        <v>8</v>
      </c>
      <c r="H110" s="198" t="s">
        <v>60</v>
      </c>
      <c r="I110" s="190"/>
      <c r="J110" s="190"/>
      <c r="K110" s="190"/>
      <c r="L110" s="191"/>
      <c r="M110" s="191"/>
      <c r="N110" s="191"/>
      <c r="O110" s="190"/>
      <c r="P110" s="192"/>
      <c r="Q110" s="192"/>
      <c r="R110" s="192"/>
      <c r="S110" s="193"/>
      <c r="T110" s="193"/>
      <c r="U110" s="193"/>
      <c r="V110" s="201"/>
      <c r="W110" s="196">
        <v>134</v>
      </c>
      <c r="X110" s="196" t="s">
        <v>1044</v>
      </c>
      <c r="Y110" s="196" t="s">
        <v>389</v>
      </c>
      <c r="Z110" s="197"/>
      <c r="AA110" s="197"/>
      <c r="AB110" s="197"/>
      <c r="AC110" s="200"/>
      <c r="AD110" s="202"/>
      <c r="AE110" s="174">
        <f>IF(ISNUMBER(VLOOKUP(A110,NotghiID!A:A,1,FALSE)),1,0)</f>
        <v>0</v>
      </c>
    </row>
    <row r="111" spans="1:31" x14ac:dyDescent="0.2">
      <c r="A111" s="174">
        <v>108</v>
      </c>
      <c r="B111" s="232" t="str">
        <f>IF(AND(A111&lt;&gt;"",ISNUMBER(A111)),VLOOKUP(A111,Studies!A:BR,2,FALSE),"")</f>
        <v>Bovill 1984</v>
      </c>
      <c r="C111" s="232" t="str">
        <f>IF(AND(A111&lt;&gt;"",ISNUMBER(A111)),VLOOKUP(A111,Studies!A:BR,3,FALSE),"")</f>
        <v>https://www.ncbi.nlm.nih.gov/pubmed/6238552</v>
      </c>
      <c r="D111" s="232" t="str">
        <f>IF(AND(A111&lt;&gt;"",ISNUMBER(A111)),VLOOKUP(A111,Studies!A:BR,4,FALSE),"")</f>
        <v>mean</v>
      </c>
      <c r="E111" s="206" t="str">
        <f>IF(AND(A111&lt;&gt;"",ISNUMBER(A111)),VLOOKUP(A111,Studies!A:BR,5,FALSE),"")</f>
        <v>Sufentanil</v>
      </c>
      <c r="F111" s="198">
        <v>0</v>
      </c>
      <c r="G111" s="198">
        <v>8</v>
      </c>
      <c r="H111" s="198" t="s">
        <v>60</v>
      </c>
      <c r="I111" s="190"/>
      <c r="J111" s="190"/>
      <c r="K111" s="190"/>
      <c r="L111" s="191"/>
      <c r="M111" s="191"/>
      <c r="N111" s="191"/>
      <c r="O111" s="190"/>
      <c r="P111" s="192"/>
      <c r="Q111" s="192"/>
      <c r="R111" s="192"/>
      <c r="S111" s="193"/>
      <c r="T111" s="193"/>
      <c r="U111" s="193"/>
      <c r="V111" s="201"/>
      <c r="W111" s="196">
        <v>12.66</v>
      </c>
      <c r="X111" s="196" t="s">
        <v>1042</v>
      </c>
      <c r="Y111" s="196" t="s">
        <v>389</v>
      </c>
      <c r="Z111" s="197">
        <v>0.78</v>
      </c>
      <c r="AA111" s="197" t="s">
        <v>1042</v>
      </c>
      <c r="AB111" s="197" t="s">
        <v>1034</v>
      </c>
      <c r="AC111" s="200" t="s">
        <v>1038</v>
      </c>
      <c r="AD111" s="202" t="s">
        <v>1047</v>
      </c>
      <c r="AE111" s="174">
        <f>IF(ISNUMBER(VLOOKUP(A111,NotghiID!A:A,1,FALSE)),1,0)</f>
        <v>0</v>
      </c>
    </row>
    <row r="112" spans="1:31" x14ac:dyDescent="0.2">
      <c r="A112" s="174">
        <v>467</v>
      </c>
      <c r="B112" s="232" t="str">
        <f>IF(AND(A112&lt;&gt;"",ISNUMBER(A112)),VLOOKUP(A112,Studies!A:BR,2,FALSE),"")</f>
        <v>Willsie 2015</v>
      </c>
      <c r="C112" s="232" t="str">
        <f>IF(AND(A112&lt;&gt;"",ISNUMBER(A112)),VLOOKUP(A112,Studies!A:BR,3,FALSE),"")</f>
        <v>https://www.ncbi.nlm.nih.gov/pubmed/25544247</v>
      </c>
      <c r="D112" s="232" t="str">
        <f>IF(AND(A112&lt;&gt;"",ISNUMBER(A112)),VLOOKUP(A112,Studies!A:BR,4,FALSE),"")</f>
        <v>mean</v>
      </c>
      <c r="E112" s="206" t="str">
        <f>IF(AND(A112&lt;&gt;"",ISNUMBER(A112)),VLOOKUP(A112,Studies!A:BR,5,FALSE),"")</f>
        <v>Sufentanil</v>
      </c>
      <c r="F112" s="198">
        <v>0</v>
      </c>
      <c r="G112" s="198">
        <v>1440</v>
      </c>
      <c r="H112" s="198" t="s">
        <v>1041</v>
      </c>
      <c r="I112" s="190">
        <v>273.8</v>
      </c>
      <c r="J112" s="190" t="s">
        <v>1048</v>
      </c>
      <c r="K112" s="190" t="s">
        <v>116</v>
      </c>
      <c r="L112" s="191">
        <v>61.1</v>
      </c>
      <c r="M112" s="191" t="s">
        <v>1048</v>
      </c>
      <c r="N112" s="191" t="s">
        <v>117</v>
      </c>
      <c r="O112" s="190" t="s">
        <v>1025</v>
      </c>
      <c r="P112" s="192"/>
      <c r="Q112" s="192"/>
      <c r="R112" s="192"/>
      <c r="S112" s="193"/>
      <c r="T112" s="193"/>
      <c r="U112" s="193"/>
      <c r="V112" s="201"/>
      <c r="W112" s="196"/>
      <c r="X112" s="196"/>
      <c r="Y112" s="196"/>
      <c r="Z112" s="197"/>
      <c r="AA112" s="197"/>
      <c r="AB112" s="197"/>
      <c r="AC112" s="200"/>
      <c r="AD112" s="202"/>
      <c r="AE112" s="174">
        <f>IF(ISNUMBER(VLOOKUP(A112,NotghiID!A:A,1,FALSE)),1,0)</f>
        <v>0</v>
      </c>
    </row>
    <row r="113" spans="1:31" x14ac:dyDescent="0.2">
      <c r="A113" s="174">
        <v>121</v>
      </c>
      <c r="B113" s="232" t="str">
        <f>IF(AND(A113&lt;&gt;"",ISNUMBER(A113)),VLOOKUP(A113,Studies!A:BR,2,FALSE),"")</f>
        <v>Davis 1987</v>
      </c>
      <c r="C113" s="232" t="str">
        <f>IF(AND(A113&lt;&gt;"",ISNUMBER(A113)),VLOOKUP(A113,Studies!A:BR,3,FALSE),"")</f>
        <v>https://www.ncbi.nlm.nih.gov/pubmed/2950809</v>
      </c>
      <c r="D113" s="232" t="str">
        <f>IF(AND(A113&lt;&gt;"",ISNUMBER(A113)),VLOOKUP(A113,Studies!A:BR,4,FALSE),"")</f>
        <v>mean</v>
      </c>
      <c r="E113" s="206" t="str">
        <f>IF(AND(A113&lt;&gt;"",ISNUMBER(A113)),VLOOKUP(A113,Studies!A:BR,5,FALSE),"")</f>
        <v>Sufentanil</v>
      </c>
      <c r="F113" s="198">
        <v>0</v>
      </c>
      <c r="G113" s="198">
        <v>120</v>
      </c>
      <c r="H113" s="198" t="s">
        <v>1041</v>
      </c>
      <c r="I113" s="190"/>
      <c r="J113" s="190"/>
      <c r="K113" s="190"/>
      <c r="L113" s="191"/>
      <c r="M113" s="191"/>
      <c r="N113" s="191"/>
      <c r="O113" s="190"/>
      <c r="P113" s="192"/>
      <c r="Q113" s="192"/>
      <c r="R113" s="192"/>
      <c r="S113" s="193"/>
      <c r="T113" s="193"/>
      <c r="U113" s="193"/>
      <c r="V113" s="201"/>
      <c r="W113" s="196">
        <v>27.5</v>
      </c>
      <c r="X113" s="196" t="s">
        <v>1042</v>
      </c>
      <c r="Y113" s="196" t="s">
        <v>389</v>
      </c>
      <c r="Z113" s="197">
        <v>9.3000000000000007</v>
      </c>
      <c r="AA113" s="197" t="s">
        <v>1042</v>
      </c>
      <c r="AB113" s="197" t="s">
        <v>389</v>
      </c>
      <c r="AC113" s="200" t="s">
        <v>1038</v>
      </c>
      <c r="AD113" s="202" t="s">
        <v>1049</v>
      </c>
      <c r="AE113" s="174">
        <f>IF(ISNUMBER(VLOOKUP(A113,NotghiID!A:A,1,FALSE)),1,0)</f>
        <v>0</v>
      </c>
    </row>
    <row r="114" spans="1:31" x14ac:dyDescent="0.2">
      <c r="A114" s="174">
        <v>122</v>
      </c>
      <c r="B114" s="232" t="str">
        <f>IF(AND(A114&lt;&gt;"",ISNUMBER(A114)),VLOOKUP(A114,Studies!A:BR,2,FALSE),"")</f>
        <v>Davis 1987</v>
      </c>
      <c r="C114" s="232" t="str">
        <f>IF(AND(A114&lt;&gt;"",ISNUMBER(A114)),VLOOKUP(A114,Studies!A:BR,3,FALSE),"")</f>
        <v>https://www.ncbi.nlm.nih.gov/pubmed/2950809</v>
      </c>
      <c r="D114" s="232" t="str">
        <f>IF(AND(A114&lt;&gt;"",ISNUMBER(A114)),VLOOKUP(A114,Studies!A:BR,4,FALSE),"")</f>
        <v>mean</v>
      </c>
      <c r="E114" s="206" t="str">
        <f>IF(AND(A114&lt;&gt;"",ISNUMBER(A114)),VLOOKUP(A114,Studies!A:BR,5,FALSE),"")</f>
        <v>Sufentanil</v>
      </c>
      <c r="F114" s="198">
        <v>0</v>
      </c>
      <c r="G114" s="198">
        <v>120</v>
      </c>
      <c r="H114" s="198" t="s">
        <v>1041</v>
      </c>
      <c r="I114" s="190"/>
      <c r="J114" s="190"/>
      <c r="K114" s="190"/>
      <c r="L114" s="191"/>
      <c r="M114" s="191"/>
      <c r="N114" s="191"/>
      <c r="O114" s="190"/>
      <c r="P114" s="192"/>
      <c r="Q114" s="192"/>
      <c r="R114" s="192"/>
      <c r="S114" s="193"/>
      <c r="T114" s="193"/>
      <c r="U114" s="193"/>
      <c r="V114" s="201"/>
      <c r="W114" s="196">
        <v>18.100000000000001</v>
      </c>
      <c r="X114" s="196" t="s">
        <v>1042</v>
      </c>
      <c r="Y114" s="196" t="s">
        <v>264</v>
      </c>
      <c r="Z114" s="197">
        <v>10.7</v>
      </c>
      <c r="AA114" s="197" t="s">
        <v>1042</v>
      </c>
      <c r="AB114" s="197" t="s">
        <v>389</v>
      </c>
      <c r="AC114" s="200" t="s">
        <v>1038</v>
      </c>
      <c r="AD114" s="202" t="s">
        <v>1047</v>
      </c>
      <c r="AE114" s="174">
        <f>IF(ISNUMBER(VLOOKUP(A114,NotghiID!A:A,1,FALSE)),1,0)</f>
        <v>0</v>
      </c>
    </row>
    <row r="115" spans="1:31" x14ac:dyDescent="0.2">
      <c r="A115" s="183">
        <v>194</v>
      </c>
      <c r="B115" s="232" t="str">
        <f>IF(AND(A115&lt;&gt;"",ISNUMBER(A115)),VLOOKUP(A115,Studies!A:BR,2,FALSE),"")</f>
        <v>Guay 1991</v>
      </c>
      <c r="C115" s="232" t="str">
        <f>IF(AND(A115&lt;&gt;"",ISNUMBER(A115)),VLOOKUP(A115,Studies!A:BR,3,FALSE),"")</f>
        <v>https://www.ncbi.nlm.nih.gov/pubmed/1531117</v>
      </c>
      <c r="D115" s="232" t="str">
        <f>IF(AND(A115&lt;&gt;"",ISNUMBER(A115)),VLOOKUP(A115,Studies!A:BR,4,FALSE),"")</f>
        <v>ID1</v>
      </c>
      <c r="E115" s="206" t="str">
        <f>IF(AND(A115&lt;&gt;"",ISNUMBER(A115)),VLOOKUP(A115,Studies!A:BR,5,FALSE),"")</f>
        <v>Sufentanil</v>
      </c>
      <c r="F115" s="198">
        <v>0</v>
      </c>
      <c r="G115" s="198">
        <v>360</v>
      </c>
      <c r="H115" s="198" t="s">
        <v>1041</v>
      </c>
      <c r="I115" s="190"/>
      <c r="J115" s="190"/>
      <c r="K115" s="190"/>
      <c r="L115" s="191"/>
      <c r="M115" s="191"/>
      <c r="N115" s="191"/>
      <c r="O115" s="190"/>
      <c r="P115" s="192"/>
      <c r="Q115" s="192"/>
      <c r="R115" s="192"/>
      <c r="S115" s="193"/>
      <c r="T115" s="193"/>
      <c r="U115" s="193"/>
      <c r="V115" s="201"/>
      <c r="W115" s="196">
        <v>17.899999999999999</v>
      </c>
      <c r="X115" s="196" t="s">
        <v>1042</v>
      </c>
      <c r="Y115" s="196" t="s">
        <v>264</v>
      </c>
      <c r="Z115" s="197"/>
      <c r="AA115" s="197"/>
      <c r="AB115" s="197"/>
      <c r="AC115" s="200"/>
      <c r="AD115" s="202" t="s">
        <v>1050</v>
      </c>
      <c r="AE115" s="174">
        <f>IF(ISNUMBER(VLOOKUP(A115,NotghiID!A:A,1,FALSE)),1,0)</f>
        <v>0</v>
      </c>
    </row>
    <row r="116" spans="1:31" x14ac:dyDescent="0.2">
      <c r="A116" s="183">
        <v>195</v>
      </c>
      <c r="B116" s="232" t="str">
        <f>IF(AND(A116&lt;&gt;"",ISNUMBER(A116)),VLOOKUP(A116,Studies!A:BR,2,FALSE),"")</f>
        <v>Guay 1991</v>
      </c>
      <c r="C116" s="232" t="str">
        <f>IF(AND(A116&lt;&gt;"",ISNUMBER(A116)),VLOOKUP(A116,Studies!A:BR,3,FALSE),"")</f>
        <v>https://www.ncbi.nlm.nih.gov/pubmed/1531117</v>
      </c>
      <c r="D116" s="232" t="str">
        <f>IF(AND(A116&lt;&gt;"",ISNUMBER(A116)),VLOOKUP(A116,Studies!A:BR,4,FALSE),"")</f>
        <v>ID2</v>
      </c>
      <c r="E116" s="206" t="str">
        <f>IF(AND(A116&lt;&gt;"",ISNUMBER(A116)),VLOOKUP(A116,Studies!A:BR,5,FALSE),"")</f>
        <v>Sufentanil</v>
      </c>
      <c r="F116" s="198">
        <v>0</v>
      </c>
      <c r="G116" s="198">
        <v>60</v>
      </c>
      <c r="H116" s="198" t="s">
        <v>1041</v>
      </c>
      <c r="I116" s="190"/>
      <c r="J116" s="190"/>
      <c r="K116" s="190"/>
      <c r="L116" s="191"/>
      <c r="M116" s="191"/>
      <c r="N116" s="191"/>
      <c r="O116" s="190"/>
      <c r="P116" s="192"/>
      <c r="Q116" s="192"/>
      <c r="R116" s="192"/>
      <c r="S116" s="193"/>
      <c r="T116" s="193"/>
      <c r="U116" s="193"/>
      <c r="V116" s="201"/>
      <c r="W116" s="196">
        <v>40.6</v>
      </c>
      <c r="X116" s="196" t="s">
        <v>1042</v>
      </c>
      <c r="Y116" s="196" t="s">
        <v>264</v>
      </c>
      <c r="Z116" s="197"/>
      <c r="AA116" s="197"/>
      <c r="AB116" s="197"/>
      <c r="AC116" s="200"/>
      <c r="AD116" s="202"/>
      <c r="AE116" s="174">
        <f>IF(ISNUMBER(VLOOKUP(A116,NotghiID!A:A,1,FALSE)),1,0)</f>
        <v>0</v>
      </c>
    </row>
    <row r="117" spans="1:31" x14ac:dyDescent="0.2">
      <c r="A117" s="183">
        <v>196</v>
      </c>
      <c r="B117" s="232" t="str">
        <f>IF(AND(A117&lt;&gt;"",ISNUMBER(A117)),VLOOKUP(A117,Studies!A:BR,2,FALSE),"")</f>
        <v>Guay 1991</v>
      </c>
      <c r="C117" s="232" t="str">
        <f>IF(AND(A117&lt;&gt;"",ISNUMBER(A117)),VLOOKUP(A117,Studies!A:BR,3,FALSE),"")</f>
        <v>https://www.ncbi.nlm.nih.gov/pubmed/1531117</v>
      </c>
      <c r="D117" s="232" t="str">
        <f>IF(AND(A117&lt;&gt;"",ISNUMBER(A117)),VLOOKUP(A117,Studies!A:BR,4,FALSE),"")</f>
        <v>ID3</v>
      </c>
      <c r="E117" s="206" t="str">
        <f>IF(AND(A117&lt;&gt;"",ISNUMBER(A117)),VLOOKUP(A117,Studies!A:BR,5,FALSE),"")</f>
        <v>Sufentanil</v>
      </c>
      <c r="F117" s="198">
        <v>0</v>
      </c>
      <c r="G117" s="198">
        <v>240</v>
      </c>
      <c r="H117" s="198" t="s">
        <v>1041</v>
      </c>
      <c r="I117" s="190"/>
      <c r="J117" s="190"/>
      <c r="K117" s="190"/>
      <c r="L117" s="191"/>
      <c r="M117" s="191"/>
      <c r="N117" s="191"/>
      <c r="O117" s="190"/>
      <c r="P117" s="192"/>
      <c r="Q117" s="192"/>
      <c r="R117" s="192"/>
      <c r="S117" s="193"/>
      <c r="T117" s="193"/>
      <c r="U117" s="193"/>
      <c r="V117" s="201"/>
      <c r="W117" s="196">
        <v>39.700000000000003</v>
      </c>
      <c r="X117" s="196" t="s">
        <v>1042</v>
      </c>
      <c r="Y117" s="196" t="s">
        <v>264</v>
      </c>
      <c r="Z117" s="197"/>
      <c r="AA117" s="197"/>
      <c r="AB117" s="197"/>
      <c r="AC117" s="200"/>
      <c r="AD117" s="202"/>
      <c r="AE117" s="174">
        <f>IF(ISNUMBER(VLOOKUP(A117,NotghiID!A:A,1,FALSE)),1,0)</f>
        <v>0</v>
      </c>
    </row>
    <row r="118" spans="1:31" x14ac:dyDescent="0.2">
      <c r="A118" s="183">
        <v>197</v>
      </c>
      <c r="B118" s="232" t="str">
        <f>IF(AND(A118&lt;&gt;"",ISNUMBER(A118)),VLOOKUP(A118,Studies!A:BR,2,FALSE),"")</f>
        <v>Guay 1991</v>
      </c>
      <c r="C118" s="232" t="str">
        <f>IF(AND(A118&lt;&gt;"",ISNUMBER(A118)),VLOOKUP(A118,Studies!A:BR,3,FALSE),"")</f>
        <v>https://www.ncbi.nlm.nih.gov/pubmed/1531117</v>
      </c>
      <c r="D118" s="232" t="str">
        <f>IF(AND(A118&lt;&gt;"",ISNUMBER(A118)),VLOOKUP(A118,Studies!A:BR,4,FALSE),"")</f>
        <v>ID4</v>
      </c>
      <c r="E118" s="206" t="str">
        <f>IF(AND(A118&lt;&gt;"",ISNUMBER(A118)),VLOOKUP(A118,Studies!A:BR,5,FALSE),"")</f>
        <v>Sufentanil</v>
      </c>
      <c r="F118" s="198">
        <v>0</v>
      </c>
      <c r="G118" s="198">
        <v>240</v>
      </c>
      <c r="H118" s="198" t="s">
        <v>1041</v>
      </c>
      <c r="I118" s="190"/>
      <c r="J118" s="190"/>
      <c r="K118" s="190"/>
      <c r="L118" s="191"/>
      <c r="M118" s="191"/>
      <c r="N118" s="191"/>
      <c r="O118" s="190"/>
      <c r="P118" s="192"/>
      <c r="Q118" s="192"/>
      <c r="R118" s="192"/>
      <c r="S118" s="193"/>
      <c r="T118" s="193"/>
      <c r="U118" s="193"/>
      <c r="V118" s="201"/>
      <c r="W118" s="196">
        <v>34</v>
      </c>
      <c r="X118" s="196" t="s">
        <v>1042</v>
      </c>
      <c r="Y118" s="196" t="s">
        <v>264</v>
      </c>
      <c r="Z118" s="197"/>
      <c r="AA118" s="197"/>
      <c r="AB118" s="197"/>
      <c r="AC118" s="200"/>
      <c r="AD118" s="202"/>
      <c r="AE118" s="174">
        <f>IF(ISNUMBER(VLOOKUP(A118,NotghiID!A:A,1,FALSE)),1,0)</f>
        <v>0</v>
      </c>
    </row>
    <row r="119" spans="1:31" x14ac:dyDescent="0.2">
      <c r="A119" s="183">
        <v>198</v>
      </c>
      <c r="B119" s="232" t="str">
        <f>IF(AND(A119&lt;&gt;"",ISNUMBER(A119)),VLOOKUP(A119,Studies!A:BR,2,FALSE),"")</f>
        <v>Guay 1991</v>
      </c>
      <c r="C119" s="232" t="str">
        <f>IF(AND(A119&lt;&gt;"",ISNUMBER(A119)),VLOOKUP(A119,Studies!A:BR,3,FALSE),"")</f>
        <v>https://www.ncbi.nlm.nih.gov/pubmed/1531117</v>
      </c>
      <c r="D119" s="232" t="str">
        <f>IF(AND(A119&lt;&gt;"",ISNUMBER(A119)),VLOOKUP(A119,Studies!A:BR,4,FALSE),"")</f>
        <v>ID5</v>
      </c>
      <c r="E119" s="206" t="str">
        <f>IF(AND(A119&lt;&gt;"",ISNUMBER(A119)),VLOOKUP(A119,Studies!A:BR,5,FALSE),"")</f>
        <v>Sufentanil</v>
      </c>
      <c r="F119" s="198">
        <v>0</v>
      </c>
      <c r="G119" s="198">
        <v>300</v>
      </c>
      <c r="H119" s="198" t="s">
        <v>1041</v>
      </c>
      <c r="I119" s="190"/>
      <c r="J119" s="190"/>
      <c r="K119" s="190"/>
      <c r="L119" s="191"/>
      <c r="M119" s="191"/>
      <c r="N119" s="191"/>
      <c r="O119" s="190"/>
      <c r="P119" s="192"/>
      <c r="Q119" s="192"/>
      <c r="R119" s="192"/>
      <c r="S119" s="193"/>
      <c r="T119" s="193"/>
      <c r="U119" s="193"/>
      <c r="V119" s="201"/>
      <c r="W119" s="196">
        <v>29.7</v>
      </c>
      <c r="X119" s="196" t="s">
        <v>1042</v>
      </c>
      <c r="Y119" s="196" t="s">
        <v>264</v>
      </c>
      <c r="Z119" s="197"/>
      <c r="AA119" s="197"/>
      <c r="AB119" s="197"/>
      <c r="AC119" s="200"/>
      <c r="AD119" s="202"/>
      <c r="AE119" s="174">
        <f>IF(ISNUMBER(VLOOKUP(A119,NotghiID!A:A,1,FALSE)),1,0)</f>
        <v>0</v>
      </c>
    </row>
    <row r="120" spans="1:31" x14ac:dyDescent="0.2">
      <c r="A120" s="183">
        <v>199</v>
      </c>
      <c r="B120" s="232" t="str">
        <f>IF(AND(A120&lt;&gt;"",ISNUMBER(A120)),VLOOKUP(A120,Studies!A:BR,2,FALSE),"")</f>
        <v>Guay 1991</v>
      </c>
      <c r="C120" s="232" t="str">
        <f>IF(AND(A120&lt;&gt;"",ISNUMBER(A120)),VLOOKUP(A120,Studies!A:BR,3,FALSE),"")</f>
        <v>https://www.ncbi.nlm.nih.gov/pubmed/1531117</v>
      </c>
      <c r="D120" s="232" t="str">
        <f>IF(AND(A120&lt;&gt;"",ISNUMBER(A120)),VLOOKUP(A120,Studies!A:BR,4,FALSE),"")</f>
        <v>ID6</v>
      </c>
      <c r="E120" s="206" t="str">
        <f>IF(AND(A120&lt;&gt;"",ISNUMBER(A120)),VLOOKUP(A120,Studies!A:BR,5,FALSE),"")</f>
        <v>Sufentanil</v>
      </c>
      <c r="F120" s="198">
        <v>0</v>
      </c>
      <c r="G120" s="198">
        <v>120</v>
      </c>
      <c r="H120" s="198" t="s">
        <v>1041</v>
      </c>
      <c r="I120" s="190"/>
      <c r="J120" s="190"/>
      <c r="K120" s="190"/>
      <c r="L120" s="191"/>
      <c r="M120" s="191"/>
      <c r="N120" s="191"/>
      <c r="O120" s="190"/>
      <c r="P120" s="192"/>
      <c r="Q120" s="192"/>
      <c r="R120" s="192"/>
      <c r="S120" s="193"/>
      <c r="T120" s="193"/>
      <c r="U120" s="193"/>
      <c r="V120" s="201"/>
      <c r="W120" s="196">
        <v>29.7</v>
      </c>
      <c r="X120" s="196" t="s">
        <v>1042</v>
      </c>
      <c r="Y120" s="196" t="s">
        <v>264</v>
      </c>
      <c r="Z120" s="197"/>
      <c r="AA120" s="197"/>
      <c r="AB120" s="197"/>
      <c r="AC120" s="200"/>
      <c r="AD120" s="202"/>
      <c r="AE120" s="174">
        <f>IF(ISNUMBER(VLOOKUP(A120,NotghiID!A:A,1,FALSE)),1,0)</f>
        <v>0</v>
      </c>
    </row>
    <row r="121" spans="1:31" x14ac:dyDescent="0.2">
      <c r="A121" s="183">
        <v>200</v>
      </c>
      <c r="B121" s="232" t="str">
        <f>IF(AND(A121&lt;&gt;"",ISNUMBER(A121)),VLOOKUP(A121,Studies!A:BR,2,FALSE),"")</f>
        <v>Guay 1991</v>
      </c>
      <c r="C121" s="232" t="str">
        <f>IF(AND(A121&lt;&gt;"",ISNUMBER(A121)),VLOOKUP(A121,Studies!A:BR,3,FALSE),"")</f>
        <v>https://www.ncbi.nlm.nih.gov/pubmed/1531117</v>
      </c>
      <c r="D121" s="232" t="str">
        <f>IF(AND(A121&lt;&gt;"",ISNUMBER(A121)),VLOOKUP(A121,Studies!A:BR,4,FALSE),"")</f>
        <v>ID7</v>
      </c>
      <c r="E121" s="206" t="str">
        <f>IF(AND(A121&lt;&gt;"",ISNUMBER(A121)),VLOOKUP(A121,Studies!A:BR,5,FALSE),"")</f>
        <v>Sufentanil</v>
      </c>
      <c r="F121" s="198">
        <v>0</v>
      </c>
      <c r="G121" s="198">
        <v>420</v>
      </c>
      <c r="H121" s="198" t="s">
        <v>1041</v>
      </c>
      <c r="I121" s="190"/>
      <c r="J121" s="190"/>
      <c r="K121" s="190"/>
      <c r="L121" s="191"/>
      <c r="M121" s="191"/>
      <c r="N121" s="191"/>
      <c r="O121" s="190"/>
      <c r="P121" s="192"/>
      <c r="Q121" s="192"/>
      <c r="R121" s="192"/>
      <c r="S121" s="193"/>
      <c r="T121" s="193"/>
      <c r="U121" s="193"/>
      <c r="V121" s="201"/>
      <c r="W121" s="196">
        <v>19.5</v>
      </c>
      <c r="X121" s="196" t="s">
        <v>1042</v>
      </c>
      <c r="Y121" s="196" t="s">
        <v>264</v>
      </c>
      <c r="Z121" s="197"/>
      <c r="AA121" s="197"/>
      <c r="AB121" s="197"/>
      <c r="AC121" s="200"/>
      <c r="AD121" s="202"/>
      <c r="AE121" s="174">
        <f>IF(ISNUMBER(VLOOKUP(A121,NotghiID!A:A,1,FALSE)),1,0)</f>
        <v>0</v>
      </c>
    </row>
    <row r="122" spans="1:31" x14ac:dyDescent="0.2">
      <c r="A122" s="183">
        <v>201</v>
      </c>
      <c r="B122" s="232" t="str">
        <f>IF(AND(A122&lt;&gt;"",ISNUMBER(A122)),VLOOKUP(A122,Studies!A:BR,2,FALSE),"")</f>
        <v>Guay 1991</v>
      </c>
      <c r="C122" s="232" t="str">
        <f>IF(AND(A122&lt;&gt;"",ISNUMBER(A122)),VLOOKUP(A122,Studies!A:BR,3,FALSE),"")</f>
        <v>https://www.ncbi.nlm.nih.gov/pubmed/1531117</v>
      </c>
      <c r="D122" s="232" t="str">
        <f>IF(AND(A122&lt;&gt;"",ISNUMBER(A122)),VLOOKUP(A122,Studies!A:BR,4,FALSE),"")</f>
        <v>ID8</v>
      </c>
      <c r="E122" s="206" t="str">
        <f>IF(AND(A122&lt;&gt;"",ISNUMBER(A122)),VLOOKUP(A122,Studies!A:BR,5,FALSE),"")</f>
        <v>Sufentanil</v>
      </c>
      <c r="F122" s="198">
        <v>0</v>
      </c>
      <c r="G122" s="198">
        <v>240</v>
      </c>
      <c r="H122" s="198" t="s">
        <v>1041</v>
      </c>
      <c r="I122" s="190"/>
      <c r="J122" s="190"/>
      <c r="K122" s="190"/>
      <c r="L122" s="191"/>
      <c r="M122" s="191"/>
      <c r="N122" s="191"/>
      <c r="O122" s="190"/>
      <c r="P122" s="192"/>
      <c r="Q122" s="192"/>
      <c r="R122" s="192"/>
      <c r="S122" s="193"/>
      <c r="T122" s="193"/>
      <c r="U122" s="193"/>
      <c r="V122" s="201"/>
      <c r="W122" s="196">
        <v>44.9</v>
      </c>
      <c r="X122" s="196" t="s">
        <v>1042</v>
      </c>
      <c r="Y122" s="196" t="s">
        <v>264</v>
      </c>
      <c r="Z122" s="197"/>
      <c r="AA122" s="197"/>
      <c r="AB122" s="197"/>
      <c r="AC122" s="200"/>
      <c r="AD122" s="202"/>
      <c r="AE122" s="174">
        <f>IF(ISNUMBER(VLOOKUP(A122,NotghiID!A:A,1,FALSE)),1,0)</f>
        <v>0</v>
      </c>
    </row>
    <row r="123" spans="1:31" x14ac:dyDescent="0.2">
      <c r="A123" s="183">
        <v>202</v>
      </c>
      <c r="B123" s="232" t="str">
        <f>IF(AND(A123&lt;&gt;"",ISNUMBER(A123)),VLOOKUP(A123,Studies!A:BR,2,FALSE),"")</f>
        <v>Guay 1991</v>
      </c>
      <c r="C123" s="232" t="str">
        <f>IF(AND(A123&lt;&gt;"",ISNUMBER(A123)),VLOOKUP(A123,Studies!A:BR,3,FALSE),"")</f>
        <v>https://www.ncbi.nlm.nih.gov/pubmed/1531117</v>
      </c>
      <c r="D123" s="232" t="str">
        <f>IF(AND(A123&lt;&gt;"",ISNUMBER(A123)),VLOOKUP(A123,Studies!A:BR,4,FALSE),"")</f>
        <v>ID9</v>
      </c>
      <c r="E123" s="206" t="str">
        <f>IF(AND(A123&lt;&gt;"",ISNUMBER(A123)),VLOOKUP(A123,Studies!A:BR,5,FALSE),"")</f>
        <v>Sufentanil</v>
      </c>
      <c r="F123" s="198">
        <v>0</v>
      </c>
      <c r="G123" s="198">
        <v>120</v>
      </c>
      <c r="H123" s="198" t="s">
        <v>1041</v>
      </c>
      <c r="I123" s="190"/>
      <c r="J123" s="190"/>
      <c r="K123" s="190"/>
      <c r="L123" s="191"/>
      <c r="M123" s="191"/>
      <c r="N123" s="191"/>
      <c r="O123" s="190"/>
      <c r="P123" s="192"/>
      <c r="Q123" s="192"/>
      <c r="R123" s="192"/>
      <c r="S123" s="193"/>
      <c r="T123" s="193"/>
      <c r="U123" s="193"/>
      <c r="V123" s="201"/>
      <c r="W123" s="196">
        <v>44.7</v>
      </c>
      <c r="X123" s="196" t="s">
        <v>1042</v>
      </c>
      <c r="Y123" s="196" t="s">
        <v>264</v>
      </c>
      <c r="Z123" s="197"/>
      <c r="AA123" s="197"/>
      <c r="AB123" s="197"/>
      <c r="AC123" s="200"/>
      <c r="AD123" s="202"/>
      <c r="AE123" s="174">
        <f>IF(ISNUMBER(VLOOKUP(A123,NotghiID!A:A,1,FALSE)),1,0)</f>
        <v>0</v>
      </c>
    </row>
    <row r="124" spans="1:31" x14ac:dyDescent="0.2">
      <c r="A124" s="183">
        <v>203</v>
      </c>
      <c r="B124" s="232" t="str">
        <f>IF(AND(A124&lt;&gt;"",ISNUMBER(A124)),VLOOKUP(A124,Studies!A:BR,2,FALSE),"")</f>
        <v>Guay 1991</v>
      </c>
      <c r="C124" s="232" t="str">
        <f>IF(AND(A124&lt;&gt;"",ISNUMBER(A124)),VLOOKUP(A124,Studies!A:BR,3,FALSE),"")</f>
        <v>https://www.ncbi.nlm.nih.gov/pubmed/1531117</v>
      </c>
      <c r="D124" s="232" t="str">
        <f>IF(AND(A124&lt;&gt;"",ISNUMBER(A124)),VLOOKUP(A124,Studies!A:BR,4,FALSE),"")</f>
        <v>ID10</v>
      </c>
      <c r="E124" s="206" t="str">
        <f>IF(AND(A124&lt;&gt;"",ISNUMBER(A124)),VLOOKUP(A124,Studies!A:BR,5,FALSE),"")</f>
        <v>Sufentanil</v>
      </c>
      <c r="F124" s="198">
        <v>0</v>
      </c>
      <c r="G124" s="198">
        <v>240</v>
      </c>
      <c r="H124" s="198" t="s">
        <v>1041</v>
      </c>
      <c r="I124" s="190"/>
      <c r="J124" s="190"/>
      <c r="K124" s="190"/>
      <c r="L124" s="191"/>
      <c r="M124" s="191"/>
      <c r="N124" s="191"/>
      <c r="O124" s="190"/>
      <c r="P124" s="192"/>
      <c r="Q124" s="192"/>
      <c r="R124" s="192"/>
      <c r="S124" s="193"/>
      <c r="T124" s="193"/>
      <c r="U124" s="193"/>
      <c r="V124" s="201"/>
      <c r="W124" s="196">
        <v>36.1</v>
      </c>
      <c r="X124" s="196" t="s">
        <v>1042</v>
      </c>
      <c r="Y124" s="196" t="s">
        <v>264</v>
      </c>
      <c r="Z124" s="197"/>
      <c r="AA124" s="197"/>
      <c r="AB124" s="197"/>
      <c r="AC124" s="200"/>
      <c r="AD124" s="202"/>
      <c r="AE124" s="174">
        <f>IF(ISNUMBER(VLOOKUP(A124,NotghiID!A:A,1,FALSE)),1,0)</f>
        <v>0</v>
      </c>
    </row>
    <row r="125" spans="1:31" x14ac:dyDescent="0.2">
      <c r="A125" s="183">
        <v>204</v>
      </c>
      <c r="B125" s="232" t="str">
        <f>IF(AND(A125&lt;&gt;"",ISNUMBER(A125)),VLOOKUP(A125,Studies!A:BR,2,FALSE),"")</f>
        <v>Guay 1991</v>
      </c>
      <c r="C125" s="232" t="str">
        <f>IF(AND(A125&lt;&gt;"",ISNUMBER(A125)),VLOOKUP(A125,Studies!A:BR,3,FALSE),"")</f>
        <v>https://www.ncbi.nlm.nih.gov/pubmed/1531117</v>
      </c>
      <c r="D125" s="232" t="str">
        <f>IF(AND(A125&lt;&gt;"",ISNUMBER(A125)),VLOOKUP(A125,Studies!A:BR,4,FALSE),"")</f>
        <v>ID11</v>
      </c>
      <c r="E125" s="206" t="str">
        <f>IF(AND(A125&lt;&gt;"",ISNUMBER(A125)),VLOOKUP(A125,Studies!A:BR,5,FALSE),"")</f>
        <v>Sufentanil</v>
      </c>
      <c r="F125" s="198">
        <v>0</v>
      </c>
      <c r="G125" s="198">
        <v>420</v>
      </c>
      <c r="H125" s="198" t="s">
        <v>1041</v>
      </c>
      <c r="I125" s="190"/>
      <c r="J125" s="190"/>
      <c r="K125" s="190"/>
      <c r="L125" s="191"/>
      <c r="M125" s="191"/>
      <c r="N125" s="191"/>
      <c r="O125" s="190"/>
      <c r="P125" s="192"/>
      <c r="Q125" s="192"/>
      <c r="R125" s="192"/>
      <c r="S125" s="193"/>
      <c r="T125" s="193"/>
      <c r="U125" s="193"/>
      <c r="V125" s="201"/>
      <c r="W125" s="196">
        <v>23.1</v>
      </c>
      <c r="X125" s="196" t="s">
        <v>1042</v>
      </c>
      <c r="Y125" s="196" t="s">
        <v>264</v>
      </c>
      <c r="Z125" s="197"/>
      <c r="AA125" s="197"/>
      <c r="AB125" s="197"/>
      <c r="AC125" s="200"/>
      <c r="AD125" s="202"/>
      <c r="AE125" s="174">
        <f>IF(ISNUMBER(VLOOKUP(A125,NotghiID!A:A,1,FALSE)),1,0)</f>
        <v>0</v>
      </c>
    </row>
    <row r="126" spans="1:31" x14ac:dyDescent="0.2">
      <c r="A126" s="183">
        <v>205</v>
      </c>
      <c r="B126" s="232" t="str">
        <f>IF(AND(A126&lt;&gt;"",ISNUMBER(A126)),VLOOKUP(A126,Studies!A:BR,2,FALSE),"")</f>
        <v>Guay 1991</v>
      </c>
      <c r="C126" s="232" t="str">
        <f>IF(AND(A126&lt;&gt;"",ISNUMBER(A126)),VLOOKUP(A126,Studies!A:BR,3,FALSE),"")</f>
        <v>https://www.ncbi.nlm.nih.gov/pubmed/1531117</v>
      </c>
      <c r="D126" s="232" t="str">
        <f>IF(AND(A126&lt;&gt;"",ISNUMBER(A126)),VLOOKUP(A126,Studies!A:BR,4,FALSE),"")</f>
        <v>ID12</v>
      </c>
      <c r="E126" s="206" t="str">
        <f>IF(AND(A126&lt;&gt;"",ISNUMBER(A126)),VLOOKUP(A126,Studies!A:BR,5,FALSE),"")</f>
        <v>Sufentanil</v>
      </c>
      <c r="F126" s="198">
        <v>0</v>
      </c>
      <c r="G126" s="198">
        <v>240</v>
      </c>
      <c r="H126" s="198" t="s">
        <v>1041</v>
      </c>
      <c r="I126" s="190"/>
      <c r="J126" s="190"/>
      <c r="K126" s="190"/>
      <c r="L126" s="191"/>
      <c r="M126" s="191"/>
      <c r="N126" s="191"/>
      <c r="O126" s="190"/>
      <c r="P126" s="192"/>
      <c r="Q126" s="192"/>
      <c r="R126" s="192"/>
      <c r="S126" s="193"/>
      <c r="T126" s="193"/>
      <c r="U126" s="193"/>
      <c r="V126" s="201"/>
      <c r="W126" s="196">
        <v>26.5</v>
      </c>
      <c r="X126" s="196" t="s">
        <v>1042</v>
      </c>
      <c r="Y126" s="196" t="s">
        <v>264</v>
      </c>
      <c r="Z126" s="197"/>
      <c r="AA126" s="197"/>
      <c r="AB126" s="197"/>
      <c r="AC126" s="200"/>
      <c r="AD126" s="202"/>
      <c r="AE126" s="174">
        <f>IF(ISNUMBER(VLOOKUP(A126,NotghiID!A:A,1,FALSE)),1,0)</f>
        <v>0</v>
      </c>
    </row>
    <row r="127" spans="1:31" x14ac:dyDescent="0.2">
      <c r="A127" s="183">
        <v>206</v>
      </c>
      <c r="B127" s="232" t="str">
        <f>IF(AND(A127&lt;&gt;"",ISNUMBER(A127)),VLOOKUP(A127,Studies!A:BR,2,FALSE),"")</f>
        <v>Guay 1991</v>
      </c>
      <c r="C127" s="232" t="str">
        <f>IF(AND(A127&lt;&gt;"",ISNUMBER(A127)),VLOOKUP(A127,Studies!A:BR,3,FALSE),"")</f>
        <v>https://www.ncbi.nlm.nih.gov/pubmed/1531117</v>
      </c>
      <c r="D127" s="232" t="str">
        <f>IF(AND(A127&lt;&gt;"",ISNUMBER(A127)),VLOOKUP(A127,Studies!A:BR,4,FALSE),"")</f>
        <v>ID13</v>
      </c>
      <c r="E127" s="206" t="str">
        <f>IF(AND(A127&lt;&gt;"",ISNUMBER(A127)),VLOOKUP(A127,Studies!A:BR,5,FALSE),"")</f>
        <v>Sufentanil</v>
      </c>
      <c r="F127" s="198">
        <v>0</v>
      </c>
      <c r="G127" s="198">
        <v>420</v>
      </c>
      <c r="H127" s="198" t="s">
        <v>1041</v>
      </c>
      <c r="I127" s="190"/>
      <c r="J127" s="190"/>
      <c r="K127" s="190"/>
      <c r="L127" s="191"/>
      <c r="M127" s="191"/>
      <c r="N127" s="191"/>
      <c r="O127" s="190"/>
      <c r="P127" s="192"/>
      <c r="Q127" s="192"/>
      <c r="R127" s="192"/>
      <c r="S127" s="193"/>
      <c r="T127" s="193"/>
      <c r="U127" s="193"/>
      <c r="V127" s="201"/>
      <c r="W127" s="196">
        <v>18.2</v>
      </c>
      <c r="X127" s="196" t="s">
        <v>1042</v>
      </c>
      <c r="Y127" s="196" t="s">
        <v>264</v>
      </c>
      <c r="Z127" s="197"/>
      <c r="AA127" s="197"/>
      <c r="AB127" s="197"/>
      <c r="AC127" s="200"/>
      <c r="AD127" s="202"/>
      <c r="AE127" s="174">
        <f>IF(ISNUMBER(VLOOKUP(A127,NotghiID!A:A,1,FALSE)),1,0)</f>
        <v>0</v>
      </c>
    </row>
    <row r="128" spans="1:31" x14ac:dyDescent="0.2">
      <c r="A128" s="183">
        <v>207</v>
      </c>
      <c r="B128" s="232" t="str">
        <f>IF(AND(A128&lt;&gt;"",ISNUMBER(A128)),VLOOKUP(A128,Studies!A:BR,2,FALSE),"")</f>
        <v>Guay 1991</v>
      </c>
      <c r="C128" s="232" t="str">
        <f>IF(AND(A128&lt;&gt;"",ISNUMBER(A128)),VLOOKUP(A128,Studies!A:BR,3,FALSE),"")</f>
        <v>https://www.ncbi.nlm.nih.gov/pubmed/1531117</v>
      </c>
      <c r="D128" s="232" t="str">
        <f>IF(AND(A128&lt;&gt;"",ISNUMBER(A128)),VLOOKUP(A128,Studies!A:BR,4,FALSE),"")</f>
        <v>ID14</v>
      </c>
      <c r="E128" s="206" t="str">
        <f>IF(AND(A128&lt;&gt;"",ISNUMBER(A128)),VLOOKUP(A128,Studies!A:BR,5,FALSE),"")</f>
        <v>Sufentanil</v>
      </c>
      <c r="F128" s="198">
        <v>0</v>
      </c>
      <c r="G128" s="198">
        <v>420</v>
      </c>
      <c r="H128" s="198" t="s">
        <v>1041</v>
      </c>
      <c r="I128" s="190"/>
      <c r="J128" s="190"/>
      <c r="K128" s="190"/>
      <c r="L128" s="191"/>
      <c r="M128" s="191"/>
      <c r="N128" s="191"/>
      <c r="O128" s="190"/>
      <c r="P128" s="192"/>
      <c r="Q128" s="192"/>
      <c r="R128" s="192"/>
      <c r="S128" s="193"/>
      <c r="T128" s="193"/>
      <c r="U128" s="193"/>
      <c r="V128" s="201"/>
      <c r="W128" s="196">
        <v>19.100000000000001</v>
      </c>
      <c r="X128" s="196" t="s">
        <v>1042</v>
      </c>
      <c r="Y128" s="196" t="s">
        <v>264</v>
      </c>
      <c r="Z128" s="197"/>
      <c r="AA128" s="197"/>
      <c r="AB128" s="197"/>
      <c r="AC128" s="200"/>
      <c r="AD128" s="202"/>
      <c r="AE128" s="174">
        <f>IF(ISNUMBER(VLOOKUP(A128,NotghiID!A:A,1,FALSE)),1,0)</f>
        <v>0</v>
      </c>
    </row>
    <row r="129" spans="1:31" x14ac:dyDescent="0.2">
      <c r="A129" s="183">
        <v>208</v>
      </c>
      <c r="B129" s="232" t="str">
        <f>IF(AND(A129&lt;&gt;"",ISNUMBER(A129)),VLOOKUP(A129,Studies!A:BR,2,FALSE),"")</f>
        <v>Guay 1991</v>
      </c>
      <c r="C129" s="232" t="str">
        <f>IF(AND(A129&lt;&gt;"",ISNUMBER(A129)),VLOOKUP(A129,Studies!A:BR,3,FALSE),"")</f>
        <v>https://www.ncbi.nlm.nih.gov/pubmed/1531117</v>
      </c>
      <c r="D129" s="232" t="str">
        <f>IF(AND(A129&lt;&gt;"",ISNUMBER(A129)),VLOOKUP(A129,Studies!A:BR,4,FALSE),"")</f>
        <v>ID15</v>
      </c>
      <c r="E129" s="206" t="str">
        <f>IF(AND(A129&lt;&gt;"",ISNUMBER(A129)),VLOOKUP(A129,Studies!A:BR,5,FALSE),"")</f>
        <v>Sufentanil</v>
      </c>
      <c r="F129" s="198">
        <v>0</v>
      </c>
      <c r="G129" s="198">
        <v>180</v>
      </c>
      <c r="H129" s="198" t="s">
        <v>1041</v>
      </c>
      <c r="I129" s="190"/>
      <c r="J129" s="190"/>
      <c r="K129" s="190"/>
      <c r="L129" s="191"/>
      <c r="M129" s="191"/>
      <c r="N129" s="191"/>
      <c r="O129" s="190"/>
      <c r="P129" s="192"/>
      <c r="Q129" s="192"/>
      <c r="R129" s="192"/>
      <c r="S129" s="193"/>
      <c r="T129" s="193"/>
      <c r="U129" s="193"/>
      <c r="V129" s="201"/>
      <c r="W129" s="196">
        <v>23.6</v>
      </c>
      <c r="X129" s="196" t="s">
        <v>1042</v>
      </c>
      <c r="Y129" s="196" t="s">
        <v>264</v>
      </c>
      <c r="Z129" s="197"/>
      <c r="AA129" s="197"/>
      <c r="AB129" s="197"/>
      <c r="AC129" s="200"/>
      <c r="AD129" s="202"/>
      <c r="AE129" s="174">
        <f>IF(ISNUMBER(VLOOKUP(A129,NotghiID!A:A,1,FALSE)),1,0)</f>
        <v>0</v>
      </c>
    </row>
    <row r="130" spans="1:31" x14ac:dyDescent="0.2">
      <c r="A130" s="183">
        <v>209</v>
      </c>
      <c r="B130" s="232" t="str">
        <f>IF(AND(A130&lt;&gt;"",ISNUMBER(A130)),VLOOKUP(A130,Studies!A:BR,2,FALSE),"")</f>
        <v>Guay 1991</v>
      </c>
      <c r="C130" s="232" t="str">
        <f>IF(AND(A130&lt;&gt;"",ISNUMBER(A130)),VLOOKUP(A130,Studies!A:BR,3,FALSE),"")</f>
        <v>https://www.ncbi.nlm.nih.gov/pubmed/1531117</v>
      </c>
      <c r="D130" s="232" t="str">
        <f>IF(AND(A130&lt;&gt;"",ISNUMBER(A130)),VLOOKUP(A130,Studies!A:BR,4,FALSE),"")</f>
        <v>ID16</v>
      </c>
      <c r="E130" s="206" t="str">
        <f>IF(AND(A130&lt;&gt;"",ISNUMBER(A130)),VLOOKUP(A130,Studies!A:BR,5,FALSE),"")</f>
        <v>Sufentanil</v>
      </c>
      <c r="F130" s="198">
        <v>0</v>
      </c>
      <c r="G130" s="198">
        <v>240</v>
      </c>
      <c r="H130" s="198" t="s">
        <v>1041</v>
      </c>
      <c r="I130" s="190"/>
      <c r="J130" s="190"/>
      <c r="K130" s="190"/>
      <c r="L130" s="191"/>
      <c r="M130" s="191"/>
      <c r="N130" s="191"/>
      <c r="O130" s="190"/>
      <c r="P130" s="192"/>
      <c r="Q130" s="192"/>
      <c r="R130" s="192"/>
      <c r="S130" s="193"/>
      <c r="T130" s="193"/>
      <c r="U130" s="193"/>
      <c r="V130" s="201"/>
      <c r="W130" s="196">
        <v>25.9</v>
      </c>
      <c r="X130" s="196" t="s">
        <v>1042</v>
      </c>
      <c r="Y130" s="196" t="s">
        <v>264</v>
      </c>
      <c r="Z130" s="197"/>
      <c r="AA130" s="197"/>
      <c r="AB130" s="197"/>
      <c r="AC130" s="200"/>
      <c r="AD130" s="202"/>
      <c r="AE130" s="174">
        <f>IF(ISNUMBER(VLOOKUP(A130,NotghiID!A:A,1,FALSE)),1,0)</f>
        <v>0</v>
      </c>
    </row>
    <row r="131" spans="1:31" x14ac:dyDescent="0.2">
      <c r="A131" s="183">
        <v>210</v>
      </c>
      <c r="B131" s="232" t="str">
        <f>IF(AND(A131&lt;&gt;"",ISNUMBER(A131)),VLOOKUP(A131,Studies!A:BR,2,FALSE),"")</f>
        <v>Guay 1991</v>
      </c>
      <c r="C131" s="232" t="str">
        <f>IF(AND(A131&lt;&gt;"",ISNUMBER(A131)),VLOOKUP(A131,Studies!A:BR,3,FALSE),"")</f>
        <v>https://www.ncbi.nlm.nih.gov/pubmed/1531117</v>
      </c>
      <c r="D131" s="232" t="str">
        <f>IF(AND(A131&lt;&gt;"",ISNUMBER(A131)),VLOOKUP(A131,Studies!A:BR,4,FALSE),"")</f>
        <v>ID17</v>
      </c>
      <c r="E131" s="206" t="str">
        <f>IF(AND(A131&lt;&gt;"",ISNUMBER(A131)),VLOOKUP(A131,Studies!A:BR,5,FALSE),"")</f>
        <v>Sufentanil</v>
      </c>
      <c r="F131" s="198">
        <v>0</v>
      </c>
      <c r="G131" s="198">
        <v>180</v>
      </c>
      <c r="H131" s="198" t="s">
        <v>1041</v>
      </c>
      <c r="I131" s="190"/>
      <c r="J131" s="190"/>
      <c r="K131" s="190"/>
      <c r="L131" s="191"/>
      <c r="M131" s="191"/>
      <c r="N131" s="191"/>
      <c r="O131" s="190"/>
      <c r="P131" s="192"/>
      <c r="Q131" s="192"/>
      <c r="R131" s="192"/>
      <c r="S131" s="193"/>
      <c r="T131" s="193"/>
      <c r="U131" s="193"/>
      <c r="V131" s="201"/>
      <c r="W131" s="196">
        <v>32.9</v>
      </c>
      <c r="X131" s="196" t="s">
        <v>1042</v>
      </c>
      <c r="Y131" s="196" t="s">
        <v>264</v>
      </c>
      <c r="Z131" s="197"/>
      <c r="AA131" s="197"/>
      <c r="AB131" s="197"/>
      <c r="AC131" s="200"/>
      <c r="AD131" s="202"/>
      <c r="AE131" s="174">
        <f>IF(ISNUMBER(VLOOKUP(A131,NotghiID!A:A,1,FALSE)),1,0)</f>
        <v>0</v>
      </c>
    </row>
    <row r="132" spans="1:31" x14ac:dyDescent="0.2">
      <c r="A132" s="183">
        <v>211</v>
      </c>
      <c r="B132" s="232" t="str">
        <f>IF(AND(A132&lt;&gt;"",ISNUMBER(A132)),VLOOKUP(A132,Studies!A:BR,2,FALSE),"")</f>
        <v>Guay 1991</v>
      </c>
      <c r="C132" s="232" t="str">
        <f>IF(AND(A132&lt;&gt;"",ISNUMBER(A132)),VLOOKUP(A132,Studies!A:BR,3,FALSE),"")</f>
        <v>https://www.ncbi.nlm.nih.gov/pubmed/1531117</v>
      </c>
      <c r="D132" s="232" t="str">
        <f>IF(AND(A132&lt;&gt;"",ISNUMBER(A132)),VLOOKUP(A132,Studies!A:BR,4,FALSE),"")</f>
        <v>ID18</v>
      </c>
      <c r="E132" s="206" t="str">
        <f>IF(AND(A132&lt;&gt;"",ISNUMBER(A132)),VLOOKUP(A132,Studies!A:BR,5,FALSE),"")</f>
        <v>Sufentanil</v>
      </c>
      <c r="F132" s="198">
        <v>0</v>
      </c>
      <c r="G132" s="198">
        <v>180</v>
      </c>
      <c r="H132" s="198" t="s">
        <v>1041</v>
      </c>
      <c r="I132" s="190"/>
      <c r="J132" s="190"/>
      <c r="K132" s="190"/>
      <c r="L132" s="191"/>
      <c r="M132" s="191"/>
      <c r="N132" s="191"/>
      <c r="O132" s="190"/>
      <c r="P132" s="192"/>
      <c r="Q132" s="192"/>
      <c r="R132" s="192"/>
      <c r="S132" s="193"/>
      <c r="T132" s="193"/>
      <c r="U132" s="193"/>
      <c r="V132" s="201"/>
      <c r="W132" s="196">
        <v>28</v>
      </c>
      <c r="X132" s="196" t="s">
        <v>1042</v>
      </c>
      <c r="Y132" s="196" t="s">
        <v>264</v>
      </c>
      <c r="Z132" s="197"/>
      <c r="AA132" s="197"/>
      <c r="AB132" s="197"/>
      <c r="AC132" s="200"/>
      <c r="AD132" s="202"/>
      <c r="AE132" s="174">
        <f>IF(ISNUMBER(VLOOKUP(A132,NotghiID!A:A,1,FALSE)),1,0)</f>
        <v>0</v>
      </c>
    </row>
    <row r="133" spans="1:31" x14ac:dyDescent="0.2">
      <c r="A133" s="183">
        <v>212</v>
      </c>
      <c r="B133" s="232" t="str">
        <f>IF(AND(A133&lt;&gt;"",ISNUMBER(A133)),VLOOKUP(A133,Studies!A:BR,2,FALSE),"")</f>
        <v>Guay 1991</v>
      </c>
      <c r="C133" s="232" t="str">
        <f>IF(AND(A133&lt;&gt;"",ISNUMBER(A133)),VLOOKUP(A133,Studies!A:BR,3,FALSE),"")</f>
        <v>https://www.ncbi.nlm.nih.gov/pubmed/1531117</v>
      </c>
      <c r="D133" s="232" t="str">
        <f>IF(AND(A133&lt;&gt;"",ISNUMBER(A133)),VLOOKUP(A133,Studies!A:BR,4,FALSE),"")</f>
        <v>ID19</v>
      </c>
      <c r="E133" s="206" t="str">
        <f>IF(AND(A133&lt;&gt;"",ISNUMBER(A133)),VLOOKUP(A133,Studies!A:BR,5,FALSE),"")</f>
        <v>Sufentanil</v>
      </c>
      <c r="F133" s="198">
        <v>0</v>
      </c>
      <c r="G133" s="198">
        <v>240</v>
      </c>
      <c r="H133" s="198" t="s">
        <v>1041</v>
      </c>
      <c r="I133" s="190"/>
      <c r="J133" s="190"/>
      <c r="K133" s="190"/>
      <c r="L133" s="191"/>
      <c r="M133" s="191"/>
      <c r="N133" s="191"/>
      <c r="O133" s="190"/>
      <c r="P133" s="192"/>
      <c r="Q133" s="192"/>
      <c r="R133" s="192"/>
      <c r="S133" s="193"/>
      <c r="T133" s="193"/>
      <c r="U133" s="193"/>
      <c r="V133" s="201"/>
      <c r="W133" s="196">
        <v>40.1</v>
      </c>
      <c r="X133" s="196" t="s">
        <v>1042</v>
      </c>
      <c r="Y133" s="196" t="s">
        <v>264</v>
      </c>
      <c r="Z133" s="197"/>
      <c r="AA133" s="197"/>
      <c r="AB133" s="197"/>
      <c r="AC133" s="200"/>
      <c r="AD133" s="202"/>
      <c r="AE133" s="174">
        <f>IF(ISNUMBER(VLOOKUP(A133,NotghiID!A:A,1,FALSE)),1,0)</f>
        <v>0</v>
      </c>
    </row>
    <row r="134" spans="1:31" x14ac:dyDescent="0.2">
      <c r="A134" s="183">
        <v>213</v>
      </c>
      <c r="B134" s="232" t="str">
        <f>IF(AND(A134&lt;&gt;"",ISNUMBER(A134)),VLOOKUP(A134,Studies!A:BR,2,FALSE),"")</f>
        <v>Guay 1991</v>
      </c>
      <c r="C134" s="232" t="str">
        <f>IF(AND(A134&lt;&gt;"",ISNUMBER(A134)),VLOOKUP(A134,Studies!A:BR,3,FALSE),"")</f>
        <v>https://www.ncbi.nlm.nih.gov/pubmed/1531117</v>
      </c>
      <c r="D134" s="232" t="str">
        <f>IF(AND(A134&lt;&gt;"",ISNUMBER(A134)),VLOOKUP(A134,Studies!A:BR,4,FALSE),"")</f>
        <v>ID20</v>
      </c>
      <c r="E134" s="206" t="str">
        <f>IF(AND(A134&lt;&gt;"",ISNUMBER(A134)),VLOOKUP(A134,Studies!A:BR,5,FALSE),"")</f>
        <v>Sufentanil</v>
      </c>
      <c r="F134" s="198">
        <v>0</v>
      </c>
      <c r="G134" s="198">
        <v>180</v>
      </c>
      <c r="H134" s="198" t="s">
        <v>1041</v>
      </c>
      <c r="I134" s="190"/>
      <c r="J134" s="190"/>
      <c r="K134" s="190"/>
      <c r="L134" s="191"/>
      <c r="M134" s="191"/>
      <c r="N134" s="191"/>
      <c r="O134" s="190"/>
      <c r="P134" s="192"/>
      <c r="Q134" s="192"/>
      <c r="R134" s="192"/>
      <c r="S134" s="193"/>
      <c r="T134" s="193"/>
      <c r="U134" s="193"/>
      <c r="V134" s="201"/>
      <c r="W134" s="196">
        <v>35.200000000000003</v>
      </c>
      <c r="X134" s="196" t="s">
        <v>1042</v>
      </c>
      <c r="Y134" s="196" t="s">
        <v>264</v>
      </c>
      <c r="Z134" s="197"/>
      <c r="AA134" s="197"/>
      <c r="AB134" s="197"/>
      <c r="AC134" s="200"/>
      <c r="AD134" s="202"/>
      <c r="AE134" s="174">
        <f>IF(ISNUMBER(VLOOKUP(A134,NotghiID!A:A,1,FALSE)),1,0)</f>
        <v>0</v>
      </c>
    </row>
    <row r="135" spans="1:31" x14ac:dyDescent="0.2">
      <c r="A135" s="183">
        <v>79</v>
      </c>
      <c r="B135" s="232" t="str">
        <f>IF(AND(A135&lt;&gt;"",ISNUMBER(A135)),VLOOKUP(A135,Studies!A:BR,2,FALSE),"")</f>
        <v>Barone 1993</v>
      </c>
      <c r="C135" s="232" t="str">
        <f>IF(AND(A135&lt;&gt;"",ISNUMBER(A135)),VLOOKUP(A135,Studies!A:BR,3,FALSE),"")</f>
        <v>https://www.ncbi.nlm.nih.gov/pubmed/8388198</v>
      </c>
      <c r="D135" s="232" t="str">
        <f>IF(AND(A135&lt;&gt;"",ISNUMBER(A135)),VLOOKUP(A135,Studies!A:BR,4,FALSE),"")</f>
        <v>day 1 fasted</v>
      </c>
      <c r="E135" s="206" t="str">
        <f>IF(AND(A135&lt;&gt;"",ISNUMBER(A135)),VLOOKUP(A135,Studies!A:BR,5,FALSE),"")</f>
        <v>Itraconazole</v>
      </c>
      <c r="F135" s="198">
        <v>0</v>
      </c>
      <c r="G135" s="198" t="s">
        <v>1023</v>
      </c>
      <c r="H135" s="198" t="s">
        <v>60</v>
      </c>
      <c r="I135" s="190">
        <v>2094</v>
      </c>
      <c r="J135" s="190" t="s">
        <v>1024</v>
      </c>
      <c r="K135" s="190" t="s">
        <v>116</v>
      </c>
      <c r="L135" s="191">
        <v>905</v>
      </c>
      <c r="M135" s="191" t="s">
        <v>1024</v>
      </c>
      <c r="N135" s="191" t="s">
        <v>117</v>
      </c>
      <c r="O135" s="190" t="s">
        <v>1025</v>
      </c>
      <c r="P135" s="192">
        <v>140</v>
      </c>
      <c r="Q135" s="192" t="s">
        <v>1026</v>
      </c>
      <c r="R135" s="192" t="s">
        <v>116</v>
      </c>
      <c r="S135" s="193">
        <v>65</v>
      </c>
      <c r="T135" s="193" t="s">
        <v>1026</v>
      </c>
      <c r="U135" s="193" t="s">
        <v>117</v>
      </c>
      <c r="V135" s="201" t="s">
        <v>1027</v>
      </c>
      <c r="W135" s="196"/>
      <c r="X135" s="196"/>
      <c r="Y135" s="196"/>
      <c r="Z135" s="197"/>
      <c r="AA135" s="197"/>
      <c r="AB135" s="197"/>
      <c r="AC135" s="200" t="s">
        <v>1033</v>
      </c>
      <c r="AD135" s="202"/>
      <c r="AE135" s="174">
        <f>IF(ISNUMBER(VLOOKUP(A135,NotghiID!A:A,1,FALSE)),1,0)</f>
        <v>0</v>
      </c>
    </row>
    <row r="136" spans="1:31" x14ac:dyDescent="0.2">
      <c r="A136" s="183">
        <v>80</v>
      </c>
      <c r="B136" s="232" t="str">
        <f>IF(AND(A136&lt;&gt;"",ISNUMBER(A136)),VLOOKUP(A136,Studies!A:BR,2,FALSE),"")</f>
        <v>Barone 1993</v>
      </c>
      <c r="C136" s="232" t="str">
        <f>IF(AND(A136&lt;&gt;"",ISNUMBER(A136)),VLOOKUP(A136,Studies!A:BR,3,FALSE),"")</f>
        <v>https://www.ncbi.nlm.nih.gov/pubmed/8388198</v>
      </c>
      <c r="D136" s="232" t="str">
        <f>IF(AND(A136&lt;&gt;"",ISNUMBER(A136)),VLOOKUP(A136,Studies!A:BR,4,FALSE),"")</f>
        <v>day 1 fasted</v>
      </c>
      <c r="E136" s="206" t="str">
        <f>IF(AND(A136&lt;&gt;"",ISNUMBER(A136)),VLOOKUP(A136,Studies!A:BR,5,FALSE),"")</f>
        <v>Hydroxy-Itraconazole</v>
      </c>
      <c r="F136" s="198">
        <v>0</v>
      </c>
      <c r="G136" s="198" t="s">
        <v>1023</v>
      </c>
      <c r="H136" s="198" t="s">
        <v>60</v>
      </c>
      <c r="I136" s="190">
        <v>5194</v>
      </c>
      <c r="J136" s="190" t="s">
        <v>1024</v>
      </c>
      <c r="K136" s="190" t="s">
        <v>116</v>
      </c>
      <c r="L136" s="191">
        <v>2489</v>
      </c>
      <c r="M136" s="191" t="s">
        <v>1024</v>
      </c>
      <c r="N136" s="191" t="s">
        <v>117</v>
      </c>
      <c r="O136" s="190" t="s">
        <v>1025</v>
      </c>
      <c r="P136" s="192">
        <v>287</v>
      </c>
      <c r="Q136" s="192" t="s">
        <v>1026</v>
      </c>
      <c r="R136" s="192" t="s">
        <v>116</v>
      </c>
      <c r="S136" s="193">
        <v>101</v>
      </c>
      <c r="T136" s="193" t="s">
        <v>1026</v>
      </c>
      <c r="U136" s="193" t="s">
        <v>117</v>
      </c>
      <c r="V136" s="201" t="s">
        <v>1027</v>
      </c>
      <c r="W136" s="196"/>
      <c r="X136" s="196"/>
      <c r="Y136" s="196"/>
      <c r="Z136" s="197"/>
      <c r="AA136" s="197"/>
      <c r="AB136" s="197"/>
      <c r="AC136" s="200"/>
      <c r="AD136" s="202"/>
      <c r="AE136" s="174">
        <f>IF(ISNUMBER(VLOOKUP(A136,NotghiID!A:A,1,FALSE)),1,0)</f>
        <v>0</v>
      </c>
    </row>
    <row r="137" spans="1:31" x14ac:dyDescent="0.2">
      <c r="A137" s="183">
        <v>81</v>
      </c>
      <c r="B137" s="232" t="str">
        <f>IF(AND(A137&lt;&gt;"",ISNUMBER(A137)),VLOOKUP(A137,Studies!A:BR,2,FALSE),"")</f>
        <v>Barone 1993</v>
      </c>
      <c r="C137" s="232" t="str">
        <f>IF(AND(A137&lt;&gt;"",ISNUMBER(A137)),VLOOKUP(A137,Studies!A:BR,3,FALSE),"")</f>
        <v>https://www.ncbi.nlm.nih.gov/pubmed/8388198</v>
      </c>
      <c r="D137" s="232" t="str">
        <f>IF(AND(A137&lt;&gt;"",ISNUMBER(A137)),VLOOKUP(A137,Studies!A:BR,4,FALSE),"")</f>
        <v>day 1 fed</v>
      </c>
      <c r="E137" s="206" t="str">
        <f>IF(AND(A137&lt;&gt;"",ISNUMBER(A137)),VLOOKUP(A137,Studies!A:BR,5,FALSE),"")</f>
        <v>Itraconazole</v>
      </c>
      <c r="F137" s="198">
        <v>0</v>
      </c>
      <c r="G137" s="198" t="s">
        <v>1023</v>
      </c>
      <c r="H137" s="198" t="s">
        <v>60</v>
      </c>
      <c r="I137" s="190">
        <v>3415</v>
      </c>
      <c r="J137" s="190" t="s">
        <v>1024</v>
      </c>
      <c r="K137" s="190" t="s">
        <v>116</v>
      </c>
      <c r="L137" s="191">
        <v>1153</v>
      </c>
      <c r="M137" s="191" t="s">
        <v>1024</v>
      </c>
      <c r="N137" s="191" t="s">
        <v>117</v>
      </c>
      <c r="O137" s="190" t="s">
        <v>1025</v>
      </c>
      <c r="P137" s="192">
        <v>239</v>
      </c>
      <c r="Q137" s="192" t="s">
        <v>1026</v>
      </c>
      <c r="R137" s="192" t="s">
        <v>116</v>
      </c>
      <c r="S137" s="193">
        <v>85</v>
      </c>
      <c r="T137" s="193" t="s">
        <v>1026</v>
      </c>
      <c r="U137" s="193" t="s">
        <v>117</v>
      </c>
      <c r="V137" s="201" t="s">
        <v>1027</v>
      </c>
      <c r="W137" s="196"/>
      <c r="X137" s="196"/>
      <c r="Y137" s="196"/>
      <c r="Z137" s="197"/>
      <c r="AA137" s="197"/>
      <c r="AB137" s="197"/>
      <c r="AC137" s="200"/>
      <c r="AD137" s="202"/>
      <c r="AE137" s="174">
        <f>IF(ISNUMBER(VLOOKUP(A137,NotghiID!A:A,1,FALSE)),1,0)</f>
        <v>0</v>
      </c>
    </row>
    <row r="138" spans="1:31" x14ac:dyDescent="0.2">
      <c r="A138" s="183">
        <v>82</v>
      </c>
      <c r="B138" s="232" t="str">
        <f>IF(AND(A138&lt;&gt;"",ISNUMBER(A138)),VLOOKUP(A138,Studies!A:BR,2,FALSE),"")</f>
        <v>Barone 1993</v>
      </c>
      <c r="C138" s="232" t="str">
        <f>IF(AND(A138&lt;&gt;"",ISNUMBER(A138)),VLOOKUP(A138,Studies!A:BR,3,FALSE),"")</f>
        <v>https://www.ncbi.nlm.nih.gov/pubmed/8388198</v>
      </c>
      <c r="D138" s="232" t="str">
        <f>IF(AND(A138&lt;&gt;"",ISNUMBER(A138)),VLOOKUP(A138,Studies!A:BR,4,FALSE),"")</f>
        <v>day 1 fed</v>
      </c>
      <c r="E138" s="206" t="str">
        <f>IF(AND(A138&lt;&gt;"",ISNUMBER(A138)),VLOOKUP(A138,Studies!A:BR,5,FALSE),"")</f>
        <v>Hydroxy-Itraconazole</v>
      </c>
      <c r="F138" s="198">
        <v>0</v>
      </c>
      <c r="G138" s="198" t="s">
        <v>1023</v>
      </c>
      <c r="H138" s="198" t="s">
        <v>60</v>
      </c>
      <c r="I138" s="190">
        <v>7952</v>
      </c>
      <c r="J138" s="190" t="s">
        <v>1024</v>
      </c>
      <c r="K138" s="190" t="s">
        <v>116</v>
      </c>
      <c r="L138" s="191">
        <v>2648</v>
      </c>
      <c r="M138" s="191" t="s">
        <v>1024</v>
      </c>
      <c r="N138" s="191" t="s">
        <v>117</v>
      </c>
      <c r="O138" s="190" t="s">
        <v>1025</v>
      </c>
      <c r="P138" s="192">
        <v>397</v>
      </c>
      <c r="Q138" s="192" t="s">
        <v>1026</v>
      </c>
      <c r="R138" s="192" t="s">
        <v>116</v>
      </c>
      <c r="S138" s="193">
        <v>103</v>
      </c>
      <c r="T138" s="193" t="s">
        <v>1026</v>
      </c>
      <c r="U138" s="193" t="s">
        <v>117</v>
      </c>
      <c r="V138" s="201" t="s">
        <v>1027</v>
      </c>
      <c r="W138" s="196"/>
      <c r="X138" s="196"/>
      <c r="Y138" s="196"/>
      <c r="Z138" s="197"/>
      <c r="AA138" s="197"/>
      <c r="AB138" s="197"/>
      <c r="AC138" s="200"/>
      <c r="AD138" s="202"/>
      <c r="AE138" s="174">
        <f>IF(ISNUMBER(VLOOKUP(A138,NotghiID!A:A,1,FALSE)),1,0)</f>
        <v>0</v>
      </c>
    </row>
    <row r="139" spans="1:31" x14ac:dyDescent="0.2">
      <c r="A139" s="183">
        <v>83</v>
      </c>
      <c r="B139" s="232" t="str">
        <f>IF(AND(A139&lt;&gt;"",ISNUMBER(A139)),VLOOKUP(A139,Studies!A:BR,2,FALSE),"")</f>
        <v>Barone 1993</v>
      </c>
      <c r="C139" s="232" t="str">
        <f>IF(AND(A139&lt;&gt;"",ISNUMBER(A139)),VLOOKUP(A139,Studies!A:BR,3,FALSE),"")</f>
        <v>https://www.ncbi.nlm.nih.gov/pubmed/8388198</v>
      </c>
      <c r="D139" s="232" t="str">
        <f>IF(AND(A139&lt;&gt;"",ISNUMBER(A139)),VLOOKUP(A139,Studies!A:BR,4,FALSE),"")</f>
        <v>day 15 fed</v>
      </c>
      <c r="E139" s="206" t="str">
        <f>IF(AND(A139&lt;&gt;"",ISNUMBER(A139)),VLOOKUP(A139,Studies!A:BR,5,FALSE),"")</f>
        <v>Itraconazole</v>
      </c>
      <c r="F139" s="198">
        <v>432</v>
      </c>
      <c r="G139" s="198">
        <f>432+12</f>
        <v>444</v>
      </c>
      <c r="H139" s="198" t="s">
        <v>60</v>
      </c>
      <c r="I139" s="190">
        <v>22.6</v>
      </c>
      <c r="J139" s="190" t="s">
        <v>1051</v>
      </c>
      <c r="K139" s="190" t="s">
        <v>116</v>
      </c>
      <c r="L139" s="191">
        <v>5.4</v>
      </c>
      <c r="M139" s="191" t="s">
        <v>1051</v>
      </c>
      <c r="N139" s="191" t="s">
        <v>117</v>
      </c>
      <c r="O139" s="190" t="s">
        <v>1028</v>
      </c>
      <c r="P139" s="192">
        <v>2282</v>
      </c>
      <c r="Q139" s="192" t="s">
        <v>1026</v>
      </c>
      <c r="R139" s="192" t="s">
        <v>116</v>
      </c>
      <c r="S139" s="193">
        <v>514</v>
      </c>
      <c r="T139" s="193" t="s">
        <v>1026</v>
      </c>
      <c r="U139" s="193" t="s">
        <v>117</v>
      </c>
      <c r="V139" s="201" t="s">
        <v>1027</v>
      </c>
      <c r="W139" s="196"/>
      <c r="X139" s="196"/>
      <c r="Y139" s="196"/>
      <c r="Z139" s="197"/>
      <c r="AA139" s="197"/>
      <c r="AB139" s="197"/>
      <c r="AC139" s="200"/>
      <c r="AD139" s="202"/>
      <c r="AE139" s="174">
        <f>IF(ISNUMBER(VLOOKUP(A139,NotghiID!A:A,1,FALSE)),1,0)</f>
        <v>0</v>
      </c>
    </row>
    <row r="140" spans="1:31" x14ac:dyDescent="0.2">
      <c r="A140" s="183">
        <v>84</v>
      </c>
      <c r="B140" s="232" t="str">
        <f>IF(AND(A140&lt;&gt;"",ISNUMBER(A140)),VLOOKUP(A140,Studies!A:BR,2,FALSE),"")</f>
        <v>Barone 1993</v>
      </c>
      <c r="C140" s="232" t="str">
        <f>IF(AND(A140&lt;&gt;"",ISNUMBER(A140)),VLOOKUP(A140,Studies!A:BR,3,FALSE),"")</f>
        <v>https://www.ncbi.nlm.nih.gov/pubmed/8388198</v>
      </c>
      <c r="D140" s="232" t="str">
        <f>IF(AND(A140&lt;&gt;"",ISNUMBER(A140)),VLOOKUP(A140,Studies!A:BR,4,FALSE),"")</f>
        <v>day 15 fed</v>
      </c>
      <c r="E140" s="206" t="str">
        <f>IF(AND(A140&lt;&gt;"",ISNUMBER(A140)),VLOOKUP(A140,Studies!A:BR,5,FALSE),"")</f>
        <v>Hydroxy-Itraconazole</v>
      </c>
      <c r="F140" s="198">
        <v>432</v>
      </c>
      <c r="G140" s="198">
        <f>432+12</f>
        <v>444</v>
      </c>
      <c r="H140" s="198" t="s">
        <v>60</v>
      </c>
      <c r="I140" s="190">
        <v>38.6</v>
      </c>
      <c r="J140" s="190" t="s">
        <v>1051</v>
      </c>
      <c r="K140" s="190" t="s">
        <v>116</v>
      </c>
      <c r="L140" s="191">
        <v>8.5</v>
      </c>
      <c r="M140" s="191" t="s">
        <v>1051</v>
      </c>
      <c r="N140" s="191" t="s">
        <v>117</v>
      </c>
      <c r="O140" s="190" t="s">
        <v>1028</v>
      </c>
      <c r="P140" s="192">
        <v>3488</v>
      </c>
      <c r="Q140" s="192" t="s">
        <v>1026</v>
      </c>
      <c r="R140" s="192" t="s">
        <v>116</v>
      </c>
      <c r="S140" s="193">
        <v>742</v>
      </c>
      <c r="T140" s="193" t="s">
        <v>1026</v>
      </c>
      <c r="U140" s="193" t="s">
        <v>117</v>
      </c>
      <c r="V140" s="201" t="s">
        <v>1027</v>
      </c>
      <c r="W140" s="196"/>
      <c r="X140" s="196"/>
      <c r="Y140" s="196"/>
      <c r="Z140" s="197"/>
      <c r="AA140" s="197"/>
      <c r="AB140" s="197"/>
      <c r="AC140" s="200"/>
      <c r="AD140" s="202"/>
      <c r="AE140" s="174">
        <f>IF(ISNUMBER(VLOOKUP(A140,NotghiID!A:A,1,FALSE)),1,0)</f>
        <v>0</v>
      </c>
    </row>
    <row r="141" spans="1:31" x14ac:dyDescent="0.2">
      <c r="A141" s="183">
        <v>85</v>
      </c>
      <c r="B141" s="232" t="str">
        <f>IF(AND(A141&lt;&gt;"",ISNUMBER(A141)),VLOOKUP(A141,Studies!A:BR,2,FALSE),"")</f>
        <v>Barone 1998a</v>
      </c>
      <c r="C141" s="232" t="str">
        <f>IF(AND(A141&lt;&gt;"",ISNUMBER(A141)),VLOOKUP(A141,Studies!A:BR,3,FALSE),"")</f>
        <v>https://www.ncbi.nlm.nih.gov/pubmed/9545149</v>
      </c>
      <c r="D141" s="232" t="str">
        <f>IF(AND(A141&lt;&gt;"",ISNUMBER(A141)),VLOOKUP(A141,Studies!A:BR,4,FALSE),"")</f>
        <v>day 1 fasted</v>
      </c>
      <c r="E141" s="206" t="str">
        <f>IF(AND(A141&lt;&gt;"",ISNUMBER(A141)),VLOOKUP(A141,Studies!A:BR,5,FALSE),"")</f>
        <v>Itraconazole</v>
      </c>
      <c r="F141" s="198">
        <v>0</v>
      </c>
      <c r="G141" s="198">
        <v>24</v>
      </c>
      <c r="H141" s="198" t="s">
        <v>60</v>
      </c>
      <c r="I141" s="190">
        <v>4519.8999999999996</v>
      </c>
      <c r="J141" s="190" t="s">
        <v>1024</v>
      </c>
      <c r="K141" s="190" t="s">
        <v>116</v>
      </c>
      <c r="L141" s="191">
        <v>160.19999999999999</v>
      </c>
      <c r="M141" s="191" t="s">
        <v>1051</v>
      </c>
      <c r="N141" s="191" t="s">
        <v>117</v>
      </c>
      <c r="O141" s="190" t="s">
        <v>1052</v>
      </c>
      <c r="P141" s="192">
        <v>545.70000000000005</v>
      </c>
      <c r="Q141" s="192" t="s">
        <v>1026</v>
      </c>
      <c r="R141" s="192" t="s">
        <v>116</v>
      </c>
      <c r="S141" s="193">
        <v>22</v>
      </c>
      <c r="T141" s="193" t="s">
        <v>1026</v>
      </c>
      <c r="U141" s="193" t="s">
        <v>117</v>
      </c>
      <c r="V141" s="201" t="s">
        <v>1027</v>
      </c>
      <c r="W141" s="196"/>
      <c r="X141" s="196"/>
      <c r="Y141" s="196"/>
      <c r="Z141" s="197"/>
      <c r="AA141" s="197"/>
      <c r="AB141" s="197"/>
      <c r="AC141" s="200"/>
      <c r="AD141" s="202" t="s">
        <v>1053</v>
      </c>
      <c r="AE141" s="174">
        <f>IF(ISNUMBER(VLOOKUP(A141,NotghiID!A:A,1,FALSE)),1,0)</f>
        <v>0</v>
      </c>
    </row>
    <row r="142" spans="1:31" x14ac:dyDescent="0.2">
      <c r="A142" s="183">
        <v>86</v>
      </c>
      <c r="B142" s="232" t="str">
        <f>IF(AND(A142&lt;&gt;"",ISNUMBER(A142)),VLOOKUP(A142,Studies!A:BR,2,FALSE),"")</f>
        <v>Barone 1998a</v>
      </c>
      <c r="C142" s="232" t="str">
        <f>IF(AND(A142&lt;&gt;"",ISNUMBER(A142)),VLOOKUP(A142,Studies!A:BR,3,FALSE),"")</f>
        <v>https://www.ncbi.nlm.nih.gov/pubmed/9545149</v>
      </c>
      <c r="D142" s="232" t="str">
        <f>IF(AND(A142&lt;&gt;"",ISNUMBER(A142)),VLOOKUP(A142,Studies!A:BR,4,FALSE),"")</f>
        <v>day 1 fasted</v>
      </c>
      <c r="E142" s="206" t="str">
        <f>IF(AND(A142&lt;&gt;"",ISNUMBER(A142)),VLOOKUP(A142,Studies!A:BR,5,FALSE),"")</f>
        <v>Hydroxy-Itraconazole</v>
      </c>
      <c r="F142" s="198">
        <v>0</v>
      </c>
      <c r="G142" s="198">
        <v>24</v>
      </c>
      <c r="H142" s="198" t="s">
        <v>60</v>
      </c>
      <c r="I142" s="190">
        <v>9554.5</v>
      </c>
      <c r="J142" s="190" t="s">
        <v>1024</v>
      </c>
      <c r="K142" s="190" t="s">
        <v>116</v>
      </c>
      <c r="L142" s="191">
        <v>199.8</v>
      </c>
      <c r="M142" s="191" t="s">
        <v>1051</v>
      </c>
      <c r="N142" s="191" t="s">
        <v>117</v>
      </c>
      <c r="O142" s="190" t="s">
        <v>1052</v>
      </c>
      <c r="P142" s="192">
        <v>622.1</v>
      </c>
      <c r="Q142" s="192" t="s">
        <v>1026</v>
      </c>
      <c r="R142" s="192" t="s">
        <v>116</v>
      </c>
      <c r="S142" s="193">
        <v>15.2</v>
      </c>
      <c r="T142" s="193" t="s">
        <v>1026</v>
      </c>
      <c r="U142" s="193" t="s">
        <v>117</v>
      </c>
      <c r="V142" s="201" t="s">
        <v>1027</v>
      </c>
      <c r="W142" s="196"/>
      <c r="X142" s="196"/>
      <c r="Y142" s="196"/>
      <c r="Z142" s="197"/>
      <c r="AA142" s="197"/>
      <c r="AB142" s="197"/>
      <c r="AC142" s="200"/>
      <c r="AD142" s="202" t="s">
        <v>1053</v>
      </c>
      <c r="AE142" s="174">
        <f>IF(ISNUMBER(VLOOKUP(A142,NotghiID!A:A,1,FALSE)),1,0)</f>
        <v>0</v>
      </c>
    </row>
    <row r="143" spans="1:31" x14ac:dyDescent="0.2">
      <c r="A143" s="183">
        <v>87</v>
      </c>
      <c r="B143" s="232" t="str">
        <f>IF(AND(A143&lt;&gt;"",ISNUMBER(A143)),VLOOKUP(A143,Studies!A:BR,2,FALSE),"")</f>
        <v>Barone 1998a</v>
      </c>
      <c r="C143" s="232" t="str">
        <f>IF(AND(A143&lt;&gt;"",ISNUMBER(A143)),VLOOKUP(A143,Studies!A:BR,3,FALSE),"")</f>
        <v>https://www.ncbi.nlm.nih.gov/pubmed/9545149</v>
      </c>
      <c r="D143" s="232" t="str">
        <f>IF(AND(A143&lt;&gt;"",ISNUMBER(A143)),VLOOKUP(A143,Studies!A:BR,4,FALSE),"")</f>
        <v>day 15 fasted</v>
      </c>
      <c r="E143" s="206" t="str">
        <f>IF(AND(A143&lt;&gt;"",ISNUMBER(A143)),VLOOKUP(A143,Studies!A:BR,5,FALSE),"")</f>
        <v>Itraconazole</v>
      </c>
      <c r="F143" s="198">
        <v>336</v>
      </c>
      <c r="G143" s="198">
        <f>F143+24</f>
        <v>360</v>
      </c>
      <c r="H143" s="198" t="s">
        <v>60</v>
      </c>
      <c r="I143" s="190">
        <v>29287.7</v>
      </c>
      <c r="J143" s="190" t="s">
        <v>1024</v>
      </c>
      <c r="K143" s="190" t="s">
        <v>116</v>
      </c>
      <c r="L143" s="191">
        <v>841.2</v>
      </c>
      <c r="M143" s="191" t="s">
        <v>1051</v>
      </c>
      <c r="N143" s="191" t="s">
        <v>117</v>
      </c>
      <c r="O143" s="190" t="s">
        <v>1028</v>
      </c>
      <c r="P143" s="192">
        <v>1965.3</v>
      </c>
      <c r="Q143" s="192" t="s">
        <v>1026</v>
      </c>
      <c r="R143" s="192" t="s">
        <v>116</v>
      </c>
      <c r="S143" s="193">
        <v>54.5</v>
      </c>
      <c r="T143" s="193" t="s">
        <v>1026</v>
      </c>
      <c r="U143" s="193" t="s">
        <v>117</v>
      </c>
      <c r="V143" s="201" t="s">
        <v>1027</v>
      </c>
      <c r="W143" s="196"/>
      <c r="X143" s="196"/>
      <c r="Y143" s="196"/>
      <c r="Z143" s="197"/>
      <c r="AA143" s="197"/>
      <c r="AB143" s="197"/>
      <c r="AC143" s="200"/>
      <c r="AD143" s="202" t="s">
        <v>1053</v>
      </c>
      <c r="AE143" s="174">
        <f>IF(ISNUMBER(VLOOKUP(A143,NotghiID!A:A,1,FALSE)),1,0)</f>
        <v>0</v>
      </c>
    </row>
    <row r="144" spans="1:31" x14ac:dyDescent="0.2">
      <c r="A144" s="183">
        <v>88</v>
      </c>
      <c r="B144" s="232" t="str">
        <f>IF(AND(A144&lt;&gt;"",ISNUMBER(A144)),VLOOKUP(A144,Studies!A:BR,2,FALSE),"")</f>
        <v>Barone 1998a</v>
      </c>
      <c r="C144" s="232" t="str">
        <f>IF(AND(A144&lt;&gt;"",ISNUMBER(A144)),VLOOKUP(A144,Studies!A:BR,3,FALSE),"")</f>
        <v>https://www.ncbi.nlm.nih.gov/pubmed/9545149</v>
      </c>
      <c r="D144" s="232" t="str">
        <f>IF(AND(A144&lt;&gt;"",ISNUMBER(A144)),VLOOKUP(A144,Studies!A:BR,4,FALSE),"")</f>
        <v>day 15 fasted</v>
      </c>
      <c r="E144" s="206" t="str">
        <f>IF(AND(A144&lt;&gt;"",ISNUMBER(A144)),VLOOKUP(A144,Studies!A:BR,5,FALSE),"")</f>
        <v>Hydroxy-Itraconazole</v>
      </c>
      <c r="F144" s="198">
        <v>336</v>
      </c>
      <c r="G144" s="198">
        <f>F144+24</f>
        <v>360</v>
      </c>
      <c r="H144" s="198" t="s">
        <v>60</v>
      </c>
      <c r="I144" s="190">
        <v>45143.9</v>
      </c>
      <c r="J144" s="190" t="s">
        <v>1024</v>
      </c>
      <c r="K144" s="190" t="s">
        <v>116</v>
      </c>
      <c r="L144" s="191">
        <v>1061.5999999999999</v>
      </c>
      <c r="M144" s="191" t="s">
        <v>1051</v>
      </c>
      <c r="N144" s="191" t="s">
        <v>117</v>
      </c>
      <c r="O144" s="190" t="s">
        <v>1028</v>
      </c>
      <c r="P144" s="192">
        <v>2053.1999999999998</v>
      </c>
      <c r="Q144" s="192" t="s">
        <v>1026</v>
      </c>
      <c r="R144" s="192" t="s">
        <v>116</v>
      </c>
      <c r="S144" s="193">
        <v>48.6</v>
      </c>
      <c r="T144" s="193" t="s">
        <v>1026</v>
      </c>
      <c r="U144" s="193" t="s">
        <v>117</v>
      </c>
      <c r="V144" s="201" t="s">
        <v>1027</v>
      </c>
      <c r="W144" s="196"/>
      <c r="X144" s="196"/>
      <c r="Y144" s="196"/>
      <c r="Z144" s="197"/>
      <c r="AA144" s="197"/>
      <c r="AB144" s="197"/>
      <c r="AC144" s="200"/>
      <c r="AD144" s="202" t="s">
        <v>1053</v>
      </c>
      <c r="AE144" s="174">
        <f>IF(ISNUMBER(VLOOKUP(A144,NotghiID!A:A,1,FALSE)),1,0)</f>
        <v>0</v>
      </c>
    </row>
    <row r="145" spans="1:31" x14ac:dyDescent="0.2">
      <c r="A145" s="183">
        <v>89</v>
      </c>
      <c r="B145" s="232" t="str">
        <f>IF(AND(A145&lt;&gt;"",ISNUMBER(A145)),VLOOKUP(A145,Studies!A:BR,2,FALSE),"")</f>
        <v>Barone 1998a</v>
      </c>
      <c r="C145" s="232" t="str">
        <f>IF(AND(A145&lt;&gt;"",ISNUMBER(A145)),VLOOKUP(A145,Studies!A:BR,3,FALSE),"")</f>
        <v>https://www.ncbi.nlm.nih.gov/pubmed/9545149</v>
      </c>
      <c r="D145" s="232" t="str">
        <f>IF(AND(A145&lt;&gt;"",ISNUMBER(A145)),VLOOKUP(A145,Studies!A:BR,4,FALSE),"")</f>
        <v>day 1 fed</v>
      </c>
      <c r="E145" s="206" t="str">
        <f>IF(AND(A145&lt;&gt;"",ISNUMBER(A145)),VLOOKUP(A145,Studies!A:BR,5,FALSE),"")</f>
        <v>Itraconazole</v>
      </c>
      <c r="F145" s="198">
        <v>0</v>
      </c>
      <c r="G145" s="198">
        <v>24</v>
      </c>
      <c r="H145" s="198" t="s">
        <v>60</v>
      </c>
      <c r="I145" s="190">
        <v>3161.7</v>
      </c>
      <c r="J145" s="190" t="s">
        <v>1024</v>
      </c>
      <c r="K145" s="190" t="s">
        <v>116</v>
      </c>
      <c r="L145" s="191">
        <v>160.19999999999999</v>
      </c>
      <c r="M145" s="191" t="s">
        <v>1051</v>
      </c>
      <c r="N145" s="191" t="s">
        <v>117</v>
      </c>
      <c r="O145" s="190" t="s">
        <v>1052</v>
      </c>
      <c r="P145" s="192">
        <v>306.89999999999998</v>
      </c>
      <c r="Q145" s="192" t="s">
        <v>1026</v>
      </c>
      <c r="R145" s="192" t="s">
        <v>116</v>
      </c>
      <c r="S145" s="193">
        <v>22</v>
      </c>
      <c r="T145" s="193" t="s">
        <v>1026</v>
      </c>
      <c r="U145" s="193" t="s">
        <v>117</v>
      </c>
      <c r="V145" s="201" t="s">
        <v>1027</v>
      </c>
      <c r="W145" s="196"/>
      <c r="X145" s="196"/>
      <c r="Y145" s="196"/>
      <c r="Z145" s="197"/>
      <c r="AA145" s="197"/>
      <c r="AB145" s="197"/>
      <c r="AC145" s="200"/>
      <c r="AD145" s="202" t="s">
        <v>1053</v>
      </c>
      <c r="AE145" s="174">
        <f>IF(ISNUMBER(VLOOKUP(A145,NotghiID!A:A,1,FALSE)),1,0)</f>
        <v>0</v>
      </c>
    </row>
    <row r="146" spans="1:31" x14ac:dyDescent="0.2">
      <c r="A146" s="183">
        <v>90</v>
      </c>
      <c r="B146" s="232" t="str">
        <f>IF(AND(A146&lt;&gt;"",ISNUMBER(A146)),VLOOKUP(A146,Studies!A:BR,2,FALSE),"")</f>
        <v>Barone 1998a</v>
      </c>
      <c r="C146" s="232" t="str">
        <f>IF(AND(A146&lt;&gt;"",ISNUMBER(A146)),VLOOKUP(A146,Studies!A:BR,3,FALSE),"")</f>
        <v>https://www.ncbi.nlm.nih.gov/pubmed/9545149</v>
      </c>
      <c r="D146" s="232" t="str">
        <f>IF(AND(A146&lt;&gt;"",ISNUMBER(A146)),VLOOKUP(A146,Studies!A:BR,4,FALSE),"")</f>
        <v>day 1 fed</v>
      </c>
      <c r="E146" s="206" t="str">
        <f>IF(AND(A146&lt;&gt;"",ISNUMBER(A146)),VLOOKUP(A146,Studies!A:BR,5,FALSE),"")</f>
        <v>Hydroxy-Itraconazole</v>
      </c>
      <c r="F146" s="198">
        <v>0</v>
      </c>
      <c r="G146" s="198">
        <v>24</v>
      </c>
      <c r="H146" s="198" t="s">
        <v>60</v>
      </c>
      <c r="I146" s="190">
        <v>6904.3</v>
      </c>
      <c r="J146" s="190" t="s">
        <v>1024</v>
      </c>
      <c r="K146" s="190" t="s">
        <v>116</v>
      </c>
      <c r="L146" s="191">
        <v>199.8</v>
      </c>
      <c r="M146" s="191" t="s">
        <v>1051</v>
      </c>
      <c r="N146" s="191" t="s">
        <v>117</v>
      </c>
      <c r="O146" s="190" t="s">
        <v>1052</v>
      </c>
      <c r="P146" s="192">
        <v>424.3</v>
      </c>
      <c r="Q146" s="192" t="s">
        <v>1026</v>
      </c>
      <c r="R146" s="192" t="s">
        <v>116</v>
      </c>
      <c r="S146" s="193">
        <v>15.2</v>
      </c>
      <c r="T146" s="193" t="s">
        <v>1026</v>
      </c>
      <c r="U146" s="193" t="s">
        <v>117</v>
      </c>
      <c r="V146" s="201" t="s">
        <v>1027</v>
      </c>
      <c r="W146" s="196"/>
      <c r="X146" s="196"/>
      <c r="Y146" s="196"/>
      <c r="Z146" s="197"/>
      <c r="AA146" s="197"/>
      <c r="AB146" s="197"/>
      <c r="AC146" s="200"/>
      <c r="AD146" s="202" t="s">
        <v>1053</v>
      </c>
      <c r="AE146" s="174">
        <f>IF(ISNUMBER(VLOOKUP(A146,NotghiID!A:A,1,FALSE)),1,0)</f>
        <v>0</v>
      </c>
    </row>
    <row r="147" spans="1:31" x14ac:dyDescent="0.2">
      <c r="A147" s="183">
        <v>91</v>
      </c>
      <c r="B147" s="232" t="str">
        <f>IF(AND(A147&lt;&gt;"",ISNUMBER(A147)),VLOOKUP(A147,Studies!A:BR,2,FALSE),"")</f>
        <v>Barone 1998a</v>
      </c>
      <c r="C147" s="232" t="str">
        <f>IF(AND(A147&lt;&gt;"",ISNUMBER(A147)),VLOOKUP(A147,Studies!A:BR,3,FALSE),"")</f>
        <v>https://www.ncbi.nlm.nih.gov/pubmed/9545149</v>
      </c>
      <c r="D147" s="232" t="str">
        <f>IF(AND(A147&lt;&gt;"",ISNUMBER(A147)),VLOOKUP(A147,Studies!A:BR,4,FALSE),"")</f>
        <v>day 15 fed</v>
      </c>
      <c r="E147" s="206" t="str">
        <f>IF(AND(A147&lt;&gt;"",ISNUMBER(A147)),VLOOKUP(A147,Studies!A:BR,5,FALSE),"")</f>
        <v>Itraconazole</v>
      </c>
      <c r="F147" s="198">
        <v>336</v>
      </c>
      <c r="G147" s="198">
        <f>F147+24</f>
        <v>360</v>
      </c>
      <c r="H147" s="198" t="s">
        <v>60</v>
      </c>
      <c r="I147" s="190">
        <v>22738.400000000001</v>
      </c>
      <c r="J147" s="190" t="s">
        <v>1024</v>
      </c>
      <c r="K147" s="190" t="s">
        <v>116</v>
      </c>
      <c r="L147" s="191">
        <v>841.2</v>
      </c>
      <c r="M147" s="191" t="s">
        <v>1051</v>
      </c>
      <c r="N147" s="191" t="s">
        <v>117</v>
      </c>
      <c r="O147" s="190" t="s">
        <v>1028</v>
      </c>
      <c r="P147" s="192">
        <v>1429.8</v>
      </c>
      <c r="Q147" s="192" t="s">
        <v>1026</v>
      </c>
      <c r="R147" s="192" t="s">
        <v>116</v>
      </c>
      <c r="S147" s="193">
        <v>54.5</v>
      </c>
      <c r="T147" s="193" t="s">
        <v>1026</v>
      </c>
      <c r="U147" s="193" t="s">
        <v>117</v>
      </c>
      <c r="V147" s="201" t="s">
        <v>1027</v>
      </c>
      <c r="W147" s="196"/>
      <c r="X147" s="196"/>
      <c r="Y147" s="196"/>
      <c r="Z147" s="197"/>
      <c r="AA147" s="197"/>
      <c r="AB147" s="197"/>
      <c r="AC147" s="200"/>
      <c r="AD147" s="202" t="s">
        <v>1053</v>
      </c>
      <c r="AE147" s="174">
        <f>IF(ISNUMBER(VLOOKUP(A147,NotghiID!A:A,1,FALSE)),1,0)</f>
        <v>0</v>
      </c>
    </row>
    <row r="148" spans="1:31" x14ac:dyDescent="0.2">
      <c r="A148" s="183">
        <v>92</v>
      </c>
      <c r="B148" s="232" t="str">
        <f>IF(AND(A148&lt;&gt;"",ISNUMBER(A148)),VLOOKUP(A148,Studies!A:BR,2,FALSE),"")</f>
        <v>Barone 1998a</v>
      </c>
      <c r="C148" s="232" t="str">
        <f>IF(AND(A148&lt;&gt;"",ISNUMBER(A148)),VLOOKUP(A148,Studies!A:BR,3,FALSE),"")</f>
        <v>https://www.ncbi.nlm.nih.gov/pubmed/9545149</v>
      </c>
      <c r="D148" s="232" t="str">
        <f>IF(AND(A148&lt;&gt;"",ISNUMBER(A148)),VLOOKUP(A148,Studies!A:BR,4,FALSE),"")</f>
        <v>day 15 fed</v>
      </c>
      <c r="E148" s="206" t="str">
        <f>IF(AND(A148&lt;&gt;"",ISNUMBER(A148)),VLOOKUP(A148,Studies!A:BR,5,FALSE),"")</f>
        <v>Hydroxy-Itraconazole</v>
      </c>
      <c r="F148" s="198">
        <v>336</v>
      </c>
      <c r="G148" s="198">
        <f>F148+24</f>
        <v>360</v>
      </c>
      <c r="H148" s="198" t="s">
        <v>60</v>
      </c>
      <c r="I148" s="190">
        <v>38717.599999999999</v>
      </c>
      <c r="J148" s="190" t="s">
        <v>1024</v>
      </c>
      <c r="K148" s="190" t="s">
        <v>116</v>
      </c>
      <c r="L148" s="191">
        <v>1061.5999999999999</v>
      </c>
      <c r="M148" s="191" t="s">
        <v>1051</v>
      </c>
      <c r="N148" s="191" t="s">
        <v>117</v>
      </c>
      <c r="O148" s="190" t="s">
        <v>1028</v>
      </c>
      <c r="P148" s="192">
        <v>1776.2</v>
      </c>
      <c r="Q148" s="192" t="s">
        <v>1026</v>
      </c>
      <c r="R148" s="192" t="s">
        <v>116</v>
      </c>
      <c r="S148" s="193">
        <v>48.6</v>
      </c>
      <c r="T148" s="193" t="s">
        <v>1026</v>
      </c>
      <c r="U148" s="193" t="s">
        <v>117</v>
      </c>
      <c r="V148" s="201" t="s">
        <v>1027</v>
      </c>
      <c r="W148" s="196"/>
      <c r="X148" s="196"/>
      <c r="Y148" s="196"/>
      <c r="Z148" s="197"/>
      <c r="AA148" s="197"/>
      <c r="AB148" s="197"/>
      <c r="AC148" s="200"/>
      <c r="AD148" s="202" t="s">
        <v>1053</v>
      </c>
      <c r="AE148" s="174">
        <f>IF(ISNUMBER(VLOOKUP(A148,NotghiID!A:A,1,FALSE)),1,0)</f>
        <v>0</v>
      </c>
    </row>
    <row r="149" spans="1:31" x14ac:dyDescent="0.2">
      <c r="A149" s="183">
        <v>1</v>
      </c>
      <c r="B149" s="232" t="str">
        <f>IF(AND(A149&lt;&gt;"",ISNUMBER(A149)),VLOOKUP(A149,Studies!A:BR,2,FALSE),"")</f>
        <v>Acocella 1972a</v>
      </c>
      <c r="C149" s="232" t="str">
        <f>IF(AND(A149&lt;&gt;"",ISNUMBER(A149)),VLOOKUP(A149,Studies!A:BR,3,FALSE),"")</f>
        <v>https://doi.org/10.1007/BF00561755</v>
      </c>
      <c r="D149" s="232" t="str">
        <f>IF(AND(A149&lt;&gt;"",ISNUMBER(A149)),VLOOKUP(A149,Studies!A:BR,4,FALSE),"")</f>
        <v>day 1</v>
      </c>
      <c r="E149" s="206" t="str">
        <f>IF(AND(A149&lt;&gt;"",ISNUMBER(A149)),VLOOKUP(A149,Studies!A:BR,5,FALSE),"")</f>
        <v>Rifampicin</v>
      </c>
      <c r="F149" s="198">
        <v>0</v>
      </c>
      <c r="G149" s="198">
        <v>12</v>
      </c>
      <c r="H149" s="198" t="s">
        <v>60</v>
      </c>
      <c r="I149" s="190"/>
      <c r="J149" s="190"/>
      <c r="K149" s="190"/>
      <c r="L149" s="191"/>
      <c r="M149" s="191"/>
      <c r="N149" s="191"/>
      <c r="O149" s="190"/>
      <c r="P149" s="192">
        <v>13.4</v>
      </c>
      <c r="Q149" s="192" t="s">
        <v>1054</v>
      </c>
      <c r="R149" s="192" t="s">
        <v>116</v>
      </c>
      <c r="S149" s="193">
        <v>1.5</v>
      </c>
      <c r="T149" s="193" t="s">
        <v>1054</v>
      </c>
      <c r="U149" s="193" t="s">
        <v>1034</v>
      </c>
      <c r="V149" s="201" t="s">
        <v>1027</v>
      </c>
      <c r="W149" s="196"/>
      <c r="X149" s="196"/>
      <c r="Y149" s="196"/>
      <c r="Z149" s="197"/>
      <c r="AA149" s="197"/>
      <c r="AB149" s="197"/>
      <c r="AC149" s="200"/>
      <c r="AD149" s="202"/>
      <c r="AE149" s="174">
        <f>IF(ISNUMBER(VLOOKUP(A149,NotghiID!A:A,1,FALSE)),1,0)</f>
        <v>0</v>
      </c>
    </row>
    <row r="150" spans="1:31" ht="13.5" customHeight="1" x14ac:dyDescent="0.2">
      <c r="A150" s="183">
        <v>2</v>
      </c>
      <c r="B150" s="232" t="str">
        <f>IF(AND(A150&lt;&gt;"",ISNUMBER(A150)),VLOOKUP(A150,Studies!A:BR,2,FALSE),"")</f>
        <v>Acocella 1972a</v>
      </c>
      <c r="C150" s="232" t="str">
        <f>IF(AND(A150&lt;&gt;"",ISNUMBER(A150)),VLOOKUP(A150,Studies!A:BR,3,FALSE),"")</f>
        <v>https://doi.org/10.1007/BF00561755</v>
      </c>
      <c r="D150" s="232" t="str">
        <f>IF(AND(A150&lt;&gt;"",ISNUMBER(A150)),VLOOKUP(A150,Studies!A:BR,4,FALSE),"")</f>
        <v>day 7</v>
      </c>
      <c r="E150" s="206" t="str">
        <f>IF(AND(A150&lt;&gt;"",ISNUMBER(A150)),VLOOKUP(A150,Studies!A:BR,5,FALSE),"")</f>
        <v>Rifampicin</v>
      </c>
      <c r="F150" s="198">
        <v>144</v>
      </c>
      <c r="G150" s="198">
        <f>144+12</f>
        <v>156</v>
      </c>
      <c r="H150" s="198" t="s">
        <v>60</v>
      </c>
      <c r="I150" s="190"/>
      <c r="J150" s="190"/>
      <c r="K150" s="190"/>
      <c r="L150" s="191"/>
      <c r="M150" s="191"/>
      <c r="N150" s="191"/>
      <c r="O150" s="190"/>
      <c r="P150" s="192">
        <v>8.9</v>
      </c>
      <c r="Q150" s="192" t="s">
        <v>1054</v>
      </c>
      <c r="R150" s="192" t="s">
        <v>116</v>
      </c>
      <c r="S150" s="193">
        <v>2.8</v>
      </c>
      <c r="T150" s="193" t="s">
        <v>1054</v>
      </c>
      <c r="U150" s="193" t="s">
        <v>1034</v>
      </c>
      <c r="V150" s="201" t="s">
        <v>1027</v>
      </c>
      <c r="W150" s="196"/>
      <c r="X150" s="196"/>
      <c r="Y150" s="196"/>
      <c r="Z150" s="197"/>
      <c r="AA150" s="197"/>
      <c r="AB150" s="197"/>
      <c r="AC150" s="200"/>
      <c r="AD150" s="202"/>
      <c r="AE150" s="174">
        <f>IF(ISNUMBER(VLOOKUP(A150,NotghiID!A:A,1,FALSE)),1,0)</f>
        <v>0</v>
      </c>
    </row>
    <row r="151" spans="1:31" x14ac:dyDescent="0.2">
      <c r="A151" s="183">
        <v>355</v>
      </c>
      <c r="B151" s="232" t="str">
        <f>IF(AND(A151&lt;&gt;"",ISNUMBER(A151)),VLOOKUP(A151,Studies!A:BR,2,FALSE),"")</f>
        <v>Nitti 1977</v>
      </c>
      <c r="C151" s="232" t="str">
        <f>IF(AND(A151&lt;&gt;"",ISNUMBER(A151)),VLOOKUP(A151,Studies!A:BR,3,FALSE),"")</f>
        <v>https://www.ncbi.nlm.nih.gov/pubmed/832508</v>
      </c>
      <c r="D151" s="232" t="str">
        <f>IF(AND(A151&lt;&gt;"",ISNUMBER(A151)),VLOOKUP(A151,Studies!A:BR,4,FALSE),"")</f>
        <v>300 mg</v>
      </c>
      <c r="E151" s="206" t="str">
        <f>IF(AND(A151&lt;&gt;"",ISNUMBER(A151)),VLOOKUP(A151,Studies!A:BR,5,FALSE),"")</f>
        <v>Rifampicin</v>
      </c>
      <c r="F151" s="198">
        <v>0</v>
      </c>
      <c r="G151" s="198">
        <v>12</v>
      </c>
      <c r="H151" s="198" t="s">
        <v>60</v>
      </c>
      <c r="I151" s="190">
        <v>17.641999999999999</v>
      </c>
      <c r="J151" s="190" t="s">
        <v>1051</v>
      </c>
      <c r="K151" s="190" t="s">
        <v>116</v>
      </c>
      <c r="L151" s="191">
        <v>6.76</v>
      </c>
      <c r="M151" s="191" t="s">
        <v>1051</v>
      </c>
      <c r="N151" s="191" t="s">
        <v>1034</v>
      </c>
      <c r="O151" s="190" t="s">
        <v>1052</v>
      </c>
      <c r="P151" s="192"/>
      <c r="Q151" s="192"/>
      <c r="R151" s="192"/>
      <c r="S151" s="193"/>
      <c r="T151" s="193"/>
      <c r="U151" s="193"/>
      <c r="V151" s="201"/>
      <c r="W151" s="196"/>
      <c r="X151" s="196"/>
      <c r="Y151" s="196"/>
      <c r="Z151" s="197"/>
      <c r="AA151" s="197"/>
      <c r="AB151" s="197"/>
      <c r="AC151" s="200"/>
      <c r="AD151" s="202"/>
      <c r="AE151" s="174">
        <f>IF(ISNUMBER(VLOOKUP(A151,NotghiID!A:A,1,FALSE)),1,0)</f>
        <v>0</v>
      </c>
    </row>
    <row r="152" spans="1:31" x14ac:dyDescent="0.2">
      <c r="A152" s="183">
        <v>356</v>
      </c>
      <c r="B152" s="232" t="str">
        <f>IF(AND(A152&lt;&gt;"",ISNUMBER(A152)),VLOOKUP(A152,Studies!A:BR,2,FALSE),"")</f>
        <v>Nitti 1977</v>
      </c>
      <c r="C152" s="232" t="str">
        <f>IF(AND(A152&lt;&gt;"",ISNUMBER(A152)),VLOOKUP(A152,Studies!A:BR,3,FALSE),"")</f>
        <v>https://www.ncbi.nlm.nih.gov/pubmed/832508</v>
      </c>
      <c r="D152" s="232" t="str">
        <f>IF(AND(A152&lt;&gt;"",ISNUMBER(A152)),VLOOKUP(A152,Studies!A:BR,4,FALSE),"")</f>
        <v>450 mg</v>
      </c>
      <c r="E152" s="206" t="str">
        <f>IF(AND(A152&lt;&gt;"",ISNUMBER(A152)),VLOOKUP(A152,Studies!A:BR,5,FALSE),"")</f>
        <v>Rifampicin</v>
      </c>
      <c r="F152" s="198">
        <v>0</v>
      </c>
      <c r="G152" s="198">
        <v>12</v>
      </c>
      <c r="H152" s="198" t="s">
        <v>60</v>
      </c>
      <c r="I152" s="190">
        <v>50.48</v>
      </c>
      <c r="J152" s="190" t="s">
        <v>1051</v>
      </c>
      <c r="K152" s="190" t="s">
        <v>116</v>
      </c>
      <c r="L152" s="191">
        <v>12.47</v>
      </c>
      <c r="M152" s="191" t="s">
        <v>1051</v>
      </c>
      <c r="N152" s="191" t="s">
        <v>1034</v>
      </c>
      <c r="O152" s="190" t="s">
        <v>1052</v>
      </c>
      <c r="P152" s="192"/>
      <c r="Q152" s="192"/>
      <c r="R152" s="192"/>
      <c r="S152" s="193"/>
      <c r="T152" s="193"/>
      <c r="U152" s="193"/>
      <c r="V152" s="201"/>
      <c r="W152" s="196"/>
      <c r="X152" s="196"/>
      <c r="Y152" s="196"/>
      <c r="Z152" s="197"/>
      <c r="AA152" s="197"/>
      <c r="AB152" s="197"/>
      <c r="AC152" s="200"/>
      <c r="AD152" s="202"/>
      <c r="AE152" s="174">
        <f>IF(ISNUMBER(VLOOKUP(A152,NotghiID!A:A,1,FALSE)),1,0)</f>
        <v>0</v>
      </c>
    </row>
    <row r="153" spans="1:31" x14ac:dyDescent="0.2">
      <c r="A153" s="183">
        <v>357</v>
      </c>
      <c r="B153" s="232" t="str">
        <f>IF(AND(A153&lt;&gt;"",ISNUMBER(A153)),VLOOKUP(A153,Studies!A:BR,2,FALSE),"")</f>
        <v>Nitti 1977</v>
      </c>
      <c r="C153" s="232" t="str">
        <f>IF(AND(A153&lt;&gt;"",ISNUMBER(A153)),VLOOKUP(A153,Studies!A:BR,3,FALSE),"")</f>
        <v>https://www.ncbi.nlm.nih.gov/pubmed/832508</v>
      </c>
      <c r="D153" s="232" t="str">
        <f>IF(AND(A153&lt;&gt;"",ISNUMBER(A153)),VLOOKUP(A153,Studies!A:BR,4,FALSE),"")</f>
        <v>600 mg</v>
      </c>
      <c r="E153" s="206" t="str">
        <f>IF(AND(A153&lt;&gt;"",ISNUMBER(A153)),VLOOKUP(A153,Studies!A:BR,5,FALSE),"")</f>
        <v>Rifampicin</v>
      </c>
      <c r="F153" s="198">
        <v>0</v>
      </c>
      <c r="G153" s="198">
        <v>12</v>
      </c>
      <c r="H153" s="198" t="s">
        <v>60</v>
      </c>
      <c r="I153" s="190">
        <v>64.12</v>
      </c>
      <c r="J153" s="190" t="s">
        <v>1051</v>
      </c>
      <c r="K153" s="190" t="s">
        <v>116</v>
      </c>
      <c r="L153" s="191">
        <v>5.8</v>
      </c>
      <c r="M153" s="191" t="s">
        <v>1051</v>
      </c>
      <c r="N153" s="191" t="s">
        <v>1034</v>
      </c>
      <c r="O153" s="190" t="s">
        <v>1052</v>
      </c>
      <c r="P153" s="192"/>
      <c r="Q153" s="192"/>
      <c r="R153" s="192"/>
      <c r="S153" s="193"/>
      <c r="T153" s="193"/>
      <c r="U153" s="193"/>
      <c r="V153" s="201"/>
      <c r="W153" s="196"/>
      <c r="X153" s="196"/>
      <c r="Y153" s="196"/>
      <c r="Z153" s="197"/>
      <c r="AA153" s="197"/>
      <c r="AB153" s="197"/>
      <c r="AC153" s="200"/>
      <c r="AD153" s="202"/>
      <c r="AE153" s="174">
        <f>IF(ISNUMBER(VLOOKUP(A153,NotghiID!A:A,1,FALSE)),1,0)</f>
        <v>0</v>
      </c>
    </row>
    <row r="154" spans="1:31" x14ac:dyDescent="0.2">
      <c r="A154" s="85">
        <v>100</v>
      </c>
      <c r="B154" s="232" t="str">
        <f>IF(AND(A154&lt;&gt;"",ISNUMBER(A154)),VLOOKUP(A154,Studies!A:BR,2,FALSE),"")</f>
        <v>Blume 1989</v>
      </c>
      <c r="C154" s="232" t="str">
        <f>IF(AND(A154&lt;&gt;"",ISNUMBER(A154)),VLOOKUP(A154,Studies!A:BR,3,FALSE),"")</f>
        <v>https://doi.org/10.1002/pauz.19900190516</v>
      </c>
      <c r="D154" s="232" t="str">
        <f>IF(AND(A154&lt;&gt;"",ISNUMBER(A154)),VLOOKUP(A154,Studies!A:BR,4,FALSE),"")</f>
        <v>450 mg REFERENZ</v>
      </c>
      <c r="E154" s="206" t="str">
        <f>IF(AND(A154&lt;&gt;"",ISNUMBER(A154)),VLOOKUP(A154,Studies!A:BR,5,FALSE),"")</f>
        <v>Rifampicin</v>
      </c>
      <c r="F154" s="198">
        <v>0</v>
      </c>
      <c r="G154" s="198" t="s">
        <v>1023</v>
      </c>
      <c r="H154" s="198" t="s">
        <v>60</v>
      </c>
      <c r="I154" s="190">
        <v>34</v>
      </c>
      <c r="J154" s="190" t="s">
        <v>1055</v>
      </c>
      <c r="K154" s="190" t="s">
        <v>116</v>
      </c>
      <c r="L154" s="191">
        <v>36</v>
      </c>
      <c r="M154" s="191" t="s">
        <v>517</v>
      </c>
      <c r="N154" s="191" t="s">
        <v>1056</v>
      </c>
      <c r="O154" s="190" t="s">
        <v>1025</v>
      </c>
      <c r="P154" s="192">
        <v>5.8</v>
      </c>
      <c r="Q154" s="192" t="s">
        <v>1057</v>
      </c>
      <c r="R154" s="192" t="s">
        <v>116</v>
      </c>
      <c r="S154" s="193">
        <v>40</v>
      </c>
      <c r="T154" s="193" t="s">
        <v>517</v>
      </c>
      <c r="U154" s="193" t="s">
        <v>1056</v>
      </c>
      <c r="V154" s="201" t="s">
        <v>1027</v>
      </c>
      <c r="W154" s="196"/>
      <c r="X154" s="196"/>
      <c r="Y154" s="196"/>
      <c r="Z154" s="197"/>
      <c r="AA154" s="197"/>
      <c r="AB154" s="197"/>
      <c r="AC154" s="200"/>
      <c r="AD154" s="202"/>
      <c r="AE154" s="174">
        <f>IF(ISNUMBER(VLOOKUP(A154,NotghiID!A:A,1,FALSE)),1,0)</f>
        <v>0</v>
      </c>
    </row>
    <row r="155" spans="1:31" x14ac:dyDescent="0.2">
      <c r="A155" s="85">
        <v>101</v>
      </c>
      <c r="B155" s="232" t="str">
        <f>IF(AND(A155&lt;&gt;"",ISNUMBER(A155)),VLOOKUP(A155,Studies!A:BR,2,FALSE),"")</f>
        <v>Blume 1989</v>
      </c>
      <c r="C155" s="232" t="str">
        <f>IF(AND(A155&lt;&gt;"",ISNUMBER(A155)),VLOOKUP(A155,Studies!A:BR,3,FALSE),"")</f>
        <v>https://doi.org/10.1002/pauz.19900190516</v>
      </c>
      <c r="D155" s="232" t="str">
        <f>IF(AND(A155&lt;&gt;"",ISNUMBER(A155)),VLOOKUP(A155,Studies!A:BR,4,FALSE),"")</f>
        <v>600 mg REFERENZ</v>
      </c>
      <c r="E155" s="206" t="str">
        <f>IF(AND(A155&lt;&gt;"",ISNUMBER(A155)),VLOOKUP(A155,Studies!A:BR,5,FALSE),"")</f>
        <v>Rifampicin</v>
      </c>
      <c r="F155" s="198">
        <v>0</v>
      </c>
      <c r="G155" s="198" t="s">
        <v>1023</v>
      </c>
      <c r="H155" s="198" t="s">
        <v>60</v>
      </c>
      <c r="I155" s="190">
        <v>48.9</v>
      </c>
      <c r="J155" s="190" t="s">
        <v>1055</v>
      </c>
      <c r="K155" s="190" t="s">
        <v>116</v>
      </c>
      <c r="L155" s="191">
        <v>39</v>
      </c>
      <c r="M155" s="191" t="s">
        <v>517</v>
      </c>
      <c r="N155" s="191" t="s">
        <v>1056</v>
      </c>
      <c r="O155" s="190" t="s">
        <v>1025</v>
      </c>
      <c r="P155" s="192">
        <v>10</v>
      </c>
      <c r="Q155" s="192" t="s">
        <v>1057</v>
      </c>
      <c r="R155" s="192" t="s">
        <v>116</v>
      </c>
      <c r="S155" s="193">
        <v>40</v>
      </c>
      <c r="T155" s="193" t="s">
        <v>517</v>
      </c>
      <c r="U155" s="193" t="s">
        <v>1056</v>
      </c>
      <c r="V155" s="201" t="s">
        <v>1027</v>
      </c>
      <c r="W155" s="196"/>
      <c r="X155" s="196"/>
      <c r="Y155" s="196"/>
      <c r="Z155" s="197"/>
      <c r="AA155" s="197"/>
      <c r="AB155" s="197"/>
      <c r="AC155" s="200"/>
      <c r="AD155" s="202"/>
      <c r="AE155" s="174">
        <f>IF(ISNUMBER(VLOOKUP(A155,NotghiID!A:A,1,FALSE)),1,0)</f>
        <v>0</v>
      </c>
    </row>
    <row r="156" spans="1:31" x14ac:dyDescent="0.2">
      <c r="A156" s="183">
        <v>93</v>
      </c>
      <c r="B156" s="232" t="str">
        <f>IF(AND(A156&lt;&gt;"",ISNUMBER(A156)),VLOOKUP(A156,Studies!A:BR,2,FALSE),"")</f>
        <v>Barone 1998b</v>
      </c>
      <c r="C156" s="232" t="str">
        <f>IF(AND(A156&lt;&gt;"",ISNUMBER(A156)),VLOOKUP(A156,Studies!A:BR,3,FALSE),"")</f>
        <v>https://www.ncbi.nlm.nih.gov/pubmed/9661037</v>
      </c>
      <c r="D156" s="232" t="str">
        <f>IF(AND(A156&lt;&gt;"",ISNUMBER(A156)),VLOOKUP(A156,Studies!A:BR,4,FALSE),"")</f>
        <v>Solution</v>
      </c>
      <c r="E156" s="206" t="str">
        <f>IF(AND(A156&lt;&gt;"",ISNUMBER(A156)),VLOOKUP(A156,Studies!A:BR,5,FALSE),"")</f>
        <v>Itraconazole</v>
      </c>
      <c r="F156" s="198">
        <v>0</v>
      </c>
      <c r="G156" s="198" t="s">
        <v>1023</v>
      </c>
      <c r="H156" s="198" t="s">
        <v>60</v>
      </c>
      <c r="I156" s="190">
        <v>5838</v>
      </c>
      <c r="J156" s="190" t="s">
        <v>1024</v>
      </c>
      <c r="K156" s="190" t="s">
        <v>116</v>
      </c>
      <c r="L156" s="191"/>
      <c r="M156" s="191"/>
      <c r="N156" s="191"/>
      <c r="O156" s="190" t="s">
        <v>1025</v>
      </c>
      <c r="P156" s="192">
        <v>306.39999999999998</v>
      </c>
      <c r="Q156" s="192" t="s">
        <v>1026</v>
      </c>
      <c r="R156" s="192" t="s">
        <v>116</v>
      </c>
      <c r="S156" s="193"/>
      <c r="T156" s="193"/>
      <c r="U156" s="193"/>
      <c r="V156" s="201" t="s">
        <v>1027</v>
      </c>
      <c r="W156" s="196"/>
      <c r="X156" s="196"/>
      <c r="Y156" s="196"/>
      <c r="Z156" s="197"/>
      <c r="AA156" s="197"/>
      <c r="AB156" s="197"/>
      <c r="AC156" s="200"/>
      <c r="AD156" s="202"/>
      <c r="AE156" s="174">
        <f>IF(ISNUMBER(VLOOKUP(A156,NotghiID!A:A,1,FALSE)),1,0)</f>
        <v>0</v>
      </c>
    </row>
    <row r="157" spans="1:31" x14ac:dyDescent="0.2">
      <c r="A157" s="183">
        <v>94</v>
      </c>
      <c r="B157" s="232" t="str">
        <f>IF(AND(A157&lt;&gt;"",ISNUMBER(A157)),VLOOKUP(A157,Studies!A:BR,2,FALSE),"")</f>
        <v>Barone 1998b</v>
      </c>
      <c r="C157" s="232" t="str">
        <f>IF(AND(A157&lt;&gt;"",ISNUMBER(A157)),VLOOKUP(A157,Studies!A:BR,3,FALSE),"")</f>
        <v>https://www.ncbi.nlm.nih.gov/pubmed/9661037</v>
      </c>
      <c r="D157" s="232" t="str">
        <f>IF(AND(A157&lt;&gt;"",ISNUMBER(A157)),VLOOKUP(A157,Studies!A:BR,4,FALSE),"")</f>
        <v>Solution</v>
      </c>
      <c r="E157" s="206" t="str">
        <f>IF(AND(A157&lt;&gt;"",ISNUMBER(A157)),VLOOKUP(A157,Studies!A:BR,5,FALSE),"")</f>
        <v>Hydroxy-Itraconazole</v>
      </c>
      <c r="F157" s="198">
        <v>0</v>
      </c>
      <c r="G157" s="198" t="s">
        <v>1023</v>
      </c>
      <c r="H157" s="198" t="s">
        <v>60</v>
      </c>
      <c r="I157" s="190">
        <v>15025.5</v>
      </c>
      <c r="J157" s="190" t="s">
        <v>1024</v>
      </c>
      <c r="K157" s="190" t="s">
        <v>116</v>
      </c>
      <c r="L157" s="191"/>
      <c r="M157" s="191"/>
      <c r="N157" s="191"/>
      <c r="O157" s="190" t="s">
        <v>1025</v>
      </c>
      <c r="P157" s="192">
        <v>527</v>
      </c>
      <c r="Q157" s="192" t="s">
        <v>1026</v>
      </c>
      <c r="R157" s="192" t="s">
        <v>116</v>
      </c>
      <c r="S157" s="193"/>
      <c r="T157" s="193"/>
      <c r="U157" s="193"/>
      <c r="V157" s="201" t="s">
        <v>1027</v>
      </c>
      <c r="W157" s="196"/>
      <c r="X157" s="196"/>
      <c r="Y157" s="196"/>
      <c r="Z157" s="197"/>
      <c r="AA157" s="197"/>
      <c r="AB157" s="197"/>
      <c r="AC157" s="200"/>
      <c r="AD157" s="202"/>
      <c r="AE157" s="174">
        <f>IF(ISNUMBER(VLOOKUP(A157,NotghiID!A:A,1,FALSE)),1,0)</f>
        <v>0</v>
      </c>
    </row>
    <row r="158" spans="1:31" x14ac:dyDescent="0.2">
      <c r="A158" s="183">
        <v>95</v>
      </c>
      <c r="B158" s="232" t="str">
        <f>IF(AND(A158&lt;&gt;"",ISNUMBER(A158)),VLOOKUP(A158,Studies!A:BR,2,FALSE),"")</f>
        <v>Barone 1998b</v>
      </c>
      <c r="C158" s="232" t="str">
        <f>IF(AND(A158&lt;&gt;"",ISNUMBER(A158)),VLOOKUP(A158,Studies!A:BR,3,FALSE),"")</f>
        <v>https://www.ncbi.nlm.nih.gov/pubmed/9661037</v>
      </c>
      <c r="D158" s="232" t="str">
        <f>IF(AND(A158&lt;&gt;"",ISNUMBER(A158)),VLOOKUP(A158,Studies!A:BR,4,FALSE),"")</f>
        <v>F05 Capsule</v>
      </c>
      <c r="E158" s="206" t="str">
        <f>IF(AND(A158&lt;&gt;"",ISNUMBER(A158)),VLOOKUP(A158,Studies!A:BR,5,FALSE),"")</f>
        <v>Itraconazole</v>
      </c>
      <c r="F158" s="198">
        <v>0</v>
      </c>
      <c r="G158" s="198" t="s">
        <v>1023</v>
      </c>
      <c r="H158" s="198" t="s">
        <v>60</v>
      </c>
      <c r="I158" s="190">
        <v>4475.8</v>
      </c>
      <c r="J158" s="190" t="s">
        <v>1024</v>
      </c>
      <c r="K158" s="190" t="s">
        <v>116</v>
      </c>
      <c r="L158" s="191"/>
      <c r="M158" s="191"/>
      <c r="N158" s="191"/>
      <c r="O158" s="190" t="s">
        <v>1025</v>
      </c>
      <c r="P158" s="192">
        <v>314.7</v>
      </c>
      <c r="Q158" s="192" t="s">
        <v>1026</v>
      </c>
      <c r="R158" s="192" t="s">
        <v>116</v>
      </c>
      <c r="S158" s="193"/>
      <c r="T158" s="193"/>
      <c r="U158" s="193"/>
      <c r="V158" s="201" t="s">
        <v>1027</v>
      </c>
      <c r="W158" s="196"/>
      <c r="X158" s="196"/>
      <c r="Y158" s="196"/>
      <c r="Z158" s="197"/>
      <c r="AA158" s="197"/>
      <c r="AB158" s="197"/>
      <c r="AC158" s="200"/>
      <c r="AD158" s="202"/>
      <c r="AE158" s="174">
        <f>IF(ISNUMBER(VLOOKUP(A158,NotghiID!A:A,1,FALSE)),1,0)</f>
        <v>0</v>
      </c>
    </row>
    <row r="159" spans="1:31" x14ac:dyDescent="0.2">
      <c r="A159" s="183">
        <v>96</v>
      </c>
      <c r="B159" s="232" t="str">
        <f>IF(AND(A159&lt;&gt;"",ISNUMBER(A159)),VLOOKUP(A159,Studies!A:BR,2,FALSE),"")</f>
        <v>Barone 1998b</v>
      </c>
      <c r="C159" s="232" t="str">
        <f>IF(AND(A159&lt;&gt;"",ISNUMBER(A159)),VLOOKUP(A159,Studies!A:BR,3,FALSE),"")</f>
        <v>https://www.ncbi.nlm.nih.gov/pubmed/9661037</v>
      </c>
      <c r="D159" s="232" t="str">
        <f>IF(AND(A159&lt;&gt;"",ISNUMBER(A159)),VLOOKUP(A159,Studies!A:BR,4,FALSE),"")</f>
        <v>F05 Capsule</v>
      </c>
      <c r="E159" s="206" t="str">
        <f>IF(AND(A159&lt;&gt;"",ISNUMBER(A159)),VLOOKUP(A159,Studies!A:BR,5,FALSE),"")</f>
        <v>Hydroxy-Itraconazole</v>
      </c>
      <c r="F159" s="198">
        <v>0</v>
      </c>
      <c r="G159" s="198" t="s">
        <v>1023</v>
      </c>
      <c r="H159" s="198" t="s">
        <v>60</v>
      </c>
      <c r="I159" s="190">
        <v>10937.8</v>
      </c>
      <c r="J159" s="190" t="s">
        <v>1024</v>
      </c>
      <c r="K159" s="190" t="s">
        <v>116</v>
      </c>
      <c r="L159" s="191"/>
      <c r="M159" s="191"/>
      <c r="N159" s="191"/>
      <c r="O159" s="190" t="s">
        <v>1025</v>
      </c>
      <c r="P159" s="192">
        <v>501</v>
      </c>
      <c r="Q159" s="192" t="s">
        <v>1026</v>
      </c>
      <c r="R159" s="192" t="s">
        <v>116</v>
      </c>
      <c r="S159" s="193"/>
      <c r="T159" s="193"/>
      <c r="U159" s="193"/>
      <c r="V159" s="201" t="s">
        <v>1027</v>
      </c>
      <c r="W159" s="196"/>
      <c r="X159" s="196"/>
      <c r="Y159" s="196"/>
      <c r="Z159" s="197"/>
      <c r="AA159" s="197"/>
      <c r="AB159" s="197"/>
      <c r="AC159" s="200"/>
      <c r="AD159" s="202"/>
      <c r="AE159" s="174">
        <f>IF(ISNUMBER(VLOOKUP(A159,NotghiID!A:A,1,FALSE)),1,0)</f>
        <v>0</v>
      </c>
    </row>
    <row r="160" spans="1:31" x14ac:dyDescent="0.2">
      <c r="A160" s="183">
        <v>97</v>
      </c>
      <c r="B160" s="232" t="str">
        <f>IF(AND(A160&lt;&gt;"",ISNUMBER(A160)),VLOOKUP(A160,Studies!A:BR,2,FALSE),"")</f>
        <v>Barone 1998b</v>
      </c>
      <c r="C160" s="232" t="str">
        <f>IF(AND(A160&lt;&gt;"",ISNUMBER(A160)),VLOOKUP(A160,Studies!A:BR,3,FALSE),"")</f>
        <v>https://www.ncbi.nlm.nih.gov/pubmed/9661037</v>
      </c>
      <c r="D160" s="232" t="str">
        <f>IF(AND(A160&lt;&gt;"",ISNUMBER(A160)),VLOOKUP(A160,Studies!A:BR,4,FALSE),"")</f>
        <v>F12 Capsule</v>
      </c>
      <c r="E160" s="206" t="str">
        <f>IF(AND(A160&lt;&gt;"",ISNUMBER(A160)),VLOOKUP(A160,Studies!A:BR,5,FALSE),"")</f>
        <v>Itraconazole</v>
      </c>
      <c r="F160" s="198">
        <v>0</v>
      </c>
      <c r="G160" s="198" t="s">
        <v>1023</v>
      </c>
      <c r="H160" s="198" t="s">
        <v>60</v>
      </c>
      <c r="I160" s="190">
        <v>4441.3</v>
      </c>
      <c r="J160" s="190" t="s">
        <v>1024</v>
      </c>
      <c r="K160" s="190" t="s">
        <v>116</v>
      </c>
      <c r="L160" s="191"/>
      <c r="M160" s="191"/>
      <c r="N160" s="191"/>
      <c r="O160" s="190" t="s">
        <v>1025</v>
      </c>
      <c r="P160" s="192">
        <v>301.89999999999998</v>
      </c>
      <c r="Q160" s="192" t="s">
        <v>1026</v>
      </c>
      <c r="R160" s="192" t="s">
        <v>116</v>
      </c>
      <c r="S160" s="193"/>
      <c r="T160" s="193"/>
      <c r="U160" s="193"/>
      <c r="V160" s="201" t="s">
        <v>1027</v>
      </c>
      <c r="W160" s="196"/>
      <c r="X160" s="196"/>
      <c r="Y160" s="196"/>
      <c r="Z160" s="197"/>
      <c r="AA160" s="197"/>
      <c r="AB160" s="197"/>
      <c r="AC160" s="200"/>
      <c r="AD160" s="202"/>
      <c r="AE160" s="174">
        <f>IF(ISNUMBER(VLOOKUP(A160,NotghiID!A:A,1,FALSE)),1,0)</f>
        <v>0</v>
      </c>
    </row>
    <row r="161" spans="1:31" x14ac:dyDescent="0.2">
      <c r="A161" s="183">
        <v>98</v>
      </c>
      <c r="B161" s="232" t="str">
        <f>IF(AND(A161&lt;&gt;"",ISNUMBER(A161)),VLOOKUP(A161,Studies!A:BR,2,FALSE),"")</f>
        <v>Barone 1998b</v>
      </c>
      <c r="C161" s="232" t="str">
        <f>IF(AND(A161&lt;&gt;"",ISNUMBER(A161)),VLOOKUP(A161,Studies!A:BR,3,FALSE),"")</f>
        <v>https://www.ncbi.nlm.nih.gov/pubmed/9661037</v>
      </c>
      <c r="D161" s="232" t="str">
        <f>IF(AND(A161&lt;&gt;"",ISNUMBER(A161)),VLOOKUP(A161,Studies!A:BR,4,FALSE),"")</f>
        <v>F12 Capsule</v>
      </c>
      <c r="E161" s="206" t="str">
        <f>IF(AND(A161&lt;&gt;"",ISNUMBER(A161)),VLOOKUP(A161,Studies!A:BR,5,FALSE),"")</f>
        <v>Hydroxy-Itraconazole</v>
      </c>
      <c r="F161" s="198">
        <v>0</v>
      </c>
      <c r="G161" s="198" t="s">
        <v>1023</v>
      </c>
      <c r="H161" s="198" t="s">
        <v>60</v>
      </c>
      <c r="I161" s="190">
        <v>11148.1</v>
      </c>
      <c r="J161" s="190" t="s">
        <v>1024</v>
      </c>
      <c r="K161" s="190" t="s">
        <v>116</v>
      </c>
      <c r="L161" s="191"/>
      <c r="M161" s="191"/>
      <c r="N161" s="191"/>
      <c r="O161" s="190" t="s">
        <v>1025</v>
      </c>
      <c r="P161" s="192">
        <v>504.3</v>
      </c>
      <c r="Q161" s="192" t="s">
        <v>1026</v>
      </c>
      <c r="R161" s="192" t="s">
        <v>116</v>
      </c>
      <c r="S161" s="193"/>
      <c r="T161" s="193"/>
      <c r="U161" s="193"/>
      <c r="V161" s="201" t="s">
        <v>1027</v>
      </c>
      <c r="W161" s="196"/>
      <c r="X161" s="196"/>
      <c r="Y161" s="196"/>
      <c r="Z161" s="197"/>
      <c r="AA161" s="197"/>
      <c r="AB161" s="197"/>
      <c r="AC161" s="200"/>
      <c r="AD161" s="202"/>
      <c r="AE161" s="174">
        <f>IF(ISNUMBER(VLOOKUP(A161,NotghiID!A:A,1,FALSE)),1,0)</f>
        <v>0</v>
      </c>
    </row>
    <row r="162" spans="1:31" x14ac:dyDescent="0.2">
      <c r="A162" s="183">
        <v>232</v>
      </c>
      <c r="B162" s="232" t="str">
        <f>IF(AND(A162&lt;&gt;"",ISNUMBER(A162)),VLOOKUP(A162,Studies!A:BR,2,FALSE),"")</f>
        <v>Hardin 1988</v>
      </c>
      <c r="C162" s="232" t="str">
        <f>IF(AND(A162&lt;&gt;"",ISNUMBER(A162)),VLOOKUP(A162,Studies!A:BR,3,FALSE),"")</f>
        <v>https://www.ncbi.nlm.nih.gov/pubmed/2848442</v>
      </c>
      <c r="D162" s="232" t="str">
        <f>IF(AND(A162&lt;&gt;"",ISNUMBER(A162)),VLOOKUP(A162,Studies!A:BR,4,FALSE),"")</f>
        <v>A 100 mg OD (day 1)</v>
      </c>
      <c r="E162" s="206" t="str">
        <f>IF(AND(A162&lt;&gt;"",ISNUMBER(A162)),VLOOKUP(A162,Studies!A:BR,5,FALSE),"")</f>
        <v>Itraconazole</v>
      </c>
      <c r="F162" s="198">
        <v>0</v>
      </c>
      <c r="G162" s="198" t="s">
        <v>1023</v>
      </c>
      <c r="H162" s="198" t="s">
        <v>60</v>
      </c>
      <c r="I162" s="190">
        <v>1320</v>
      </c>
      <c r="J162" s="190" t="s">
        <v>1024</v>
      </c>
      <c r="K162" s="190" t="s">
        <v>116</v>
      </c>
      <c r="L162" s="191">
        <v>651</v>
      </c>
      <c r="M162" s="191" t="s">
        <v>1024</v>
      </c>
      <c r="N162" s="191" t="s">
        <v>117</v>
      </c>
      <c r="O162" s="190" t="s">
        <v>1025</v>
      </c>
      <c r="P162" s="192">
        <v>110</v>
      </c>
      <c r="Q162" s="192" t="s">
        <v>1026</v>
      </c>
      <c r="R162" s="192" t="s">
        <v>116</v>
      </c>
      <c r="S162" s="193">
        <v>57.5</v>
      </c>
      <c r="T162" s="193" t="s">
        <v>1026</v>
      </c>
      <c r="U162" s="193" t="s">
        <v>117</v>
      </c>
      <c r="V162" s="201" t="s">
        <v>1027</v>
      </c>
      <c r="W162" s="196">
        <v>1.5109999999999999</v>
      </c>
      <c r="X162" s="196" t="s">
        <v>1032</v>
      </c>
      <c r="Y162" s="196" t="s">
        <v>116</v>
      </c>
      <c r="Z162" s="197">
        <v>0.86299999999999999</v>
      </c>
      <c r="AA162" s="197" t="s">
        <v>1032</v>
      </c>
      <c r="AB162" s="197" t="s">
        <v>117</v>
      </c>
      <c r="AC162" s="200" t="s">
        <v>1033</v>
      </c>
      <c r="AD162" s="202"/>
      <c r="AE162" s="174">
        <f>IF(ISNUMBER(VLOOKUP(A162,NotghiID!A:A,1,FALSE)),1,0)</f>
        <v>0</v>
      </c>
    </row>
    <row r="163" spans="1:31" x14ac:dyDescent="0.2">
      <c r="A163" s="183">
        <v>234</v>
      </c>
      <c r="B163" s="232" t="str">
        <f>IF(AND(A163&lt;&gt;"",ISNUMBER(A163)),VLOOKUP(A163,Studies!A:BR,2,FALSE),"")</f>
        <v>Hardin 1988</v>
      </c>
      <c r="C163" s="232" t="str">
        <f>IF(AND(A163&lt;&gt;"",ISNUMBER(A163)),VLOOKUP(A163,Studies!A:BR,3,FALSE),"")</f>
        <v>https://www.ncbi.nlm.nih.gov/pubmed/2848442</v>
      </c>
      <c r="D163" s="232" t="str">
        <f>IF(AND(A163&lt;&gt;"",ISNUMBER(A163)),VLOOKUP(A163,Studies!A:BR,4,FALSE),"")</f>
        <v>A 100 mg OD (day 15)</v>
      </c>
      <c r="E163" s="206" t="str">
        <f>IF(AND(A163&lt;&gt;"",ISNUMBER(A163)),VLOOKUP(A163,Studies!A:BR,5,FALSE),"")</f>
        <v>Itraconazole</v>
      </c>
      <c r="F163" s="198">
        <v>360</v>
      </c>
      <c r="G163" s="198">
        <f>F163+24</f>
        <v>384</v>
      </c>
      <c r="H163" s="198" t="s">
        <v>60</v>
      </c>
      <c r="I163" s="190">
        <v>5330</v>
      </c>
      <c r="J163" s="190" t="s">
        <v>1024</v>
      </c>
      <c r="K163" s="190" t="s">
        <v>116</v>
      </c>
      <c r="L163" s="191">
        <v>1470</v>
      </c>
      <c r="M163" s="191" t="s">
        <v>1024</v>
      </c>
      <c r="N163" s="191" t="s">
        <v>117</v>
      </c>
      <c r="O163" s="190" t="s">
        <v>1028</v>
      </c>
      <c r="P163" s="192">
        <v>412</v>
      </c>
      <c r="Q163" s="192" t="s">
        <v>1026</v>
      </c>
      <c r="R163" s="192" t="s">
        <v>116</v>
      </c>
      <c r="S163" s="193">
        <v>79.5</v>
      </c>
      <c r="T163" s="193" t="s">
        <v>1026</v>
      </c>
      <c r="U163" s="193" t="s">
        <v>117</v>
      </c>
      <c r="V163" s="201" t="s">
        <v>1027</v>
      </c>
      <c r="W163" s="196">
        <v>0.308</v>
      </c>
      <c r="X163" s="196" t="s">
        <v>1032</v>
      </c>
      <c r="Y163" s="196" t="s">
        <v>116</v>
      </c>
      <c r="Z163" s="197">
        <v>7.2999999999999995E-2</v>
      </c>
      <c r="AA163" s="197" t="s">
        <v>1032</v>
      </c>
      <c r="AB163" s="197" t="s">
        <v>117</v>
      </c>
      <c r="AC163" s="200" t="s">
        <v>1033</v>
      </c>
      <c r="AD163" s="202"/>
      <c r="AE163" s="174">
        <f>IF(ISNUMBER(VLOOKUP(A163,NotghiID!A:A,1,FALSE)),1,0)</f>
        <v>0</v>
      </c>
    </row>
    <row r="164" spans="1:31" x14ac:dyDescent="0.2">
      <c r="A164" s="183">
        <v>235</v>
      </c>
      <c r="B164" s="232" t="str">
        <f>IF(AND(A164&lt;&gt;"",ISNUMBER(A164)),VLOOKUP(A164,Studies!A:BR,2,FALSE),"")</f>
        <v>Hardin 1988</v>
      </c>
      <c r="C164" s="232" t="str">
        <f>IF(AND(A164&lt;&gt;"",ISNUMBER(A164)),VLOOKUP(A164,Studies!A:BR,3,FALSE),"")</f>
        <v>https://www.ncbi.nlm.nih.gov/pubmed/2848442</v>
      </c>
      <c r="D164" s="232" t="str">
        <f>IF(AND(A164&lt;&gt;"",ISNUMBER(A164)),VLOOKUP(A164,Studies!A:BR,4,FALSE),"")</f>
        <v>B 200 mg OD (day 1)</v>
      </c>
      <c r="E164" s="206" t="str">
        <f>IF(AND(A164&lt;&gt;"",ISNUMBER(A164)),VLOOKUP(A164,Studies!A:BR,5,FALSE),"")</f>
        <v>Itraconazole</v>
      </c>
      <c r="F164" s="198">
        <v>0</v>
      </c>
      <c r="G164" s="198" t="s">
        <v>1023</v>
      </c>
      <c r="H164" s="198" t="s">
        <v>60</v>
      </c>
      <c r="I164" s="190">
        <v>4160</v>
      </c>
      <c r="J164" s="190" t="s">
        <v>1024</v>
      </c>
      <c r="K164" s="190" t="s">
        <v>116</v>
      </c>
      <c r="L164" s="191">
        <v>1949</v>
      </c>
      <c r="M164" s="191" t="s">
        <v>1024</v>
      </c>
      <c r="N164" s="191" t="s">
        <v>117</v>
      </c>
      <c r="O164" s="190" t="s">
        <v>1025</v>
      </c>
      <c r="P164" s="192">
        <v>272</v>
      </c>
      <c r="Q164" s="192" t="s">
        <v>1026</v>
      </c>
      <c r="R164" s="192" t="s">
        <v>116</v>
      </c>
      <c r="S164" s="193">
        <v>81.2</v>
      </c>
      <c r="T164" s="193" t="s">
        <v>1026</v>
      </c>
      <c r="U164" s="193" t="s">
        <v>117</v>
      </c>
      <c r="V164" s="201" t="s">
        <v>1027</v>
      </c>
      <c r="W164" s="196">
        <v>0.93700000000000006</v>
      </c>
      <c r="X164" s="196" t="s">
        <v>1032</v>
      </c>
      <c r="Y164" s="196" t="s">
        <v>116</v>
      </c>
      <c r="Z164" s="197">
        <v>0.58699999999999997</v>
      </c>
      <c r="AA164" s="197" t="s">
        <v>1032</v>
      </c>
      <c r="AB164" s="197" t="s">
        <v>117</v>
      </c>
      <c r="AC164" s="200" t="s">
        <v>1033</v>
      </c>
      <c r="AD164" s="202"/>
      <c r="AE164" s="174">
        <f>IF(ISNUMBER(VLOOKUP(A164,NotghiID!A:A,1,FALSE)),1,0)</f>
        <v>0</v>
      </c>
    </row>
    <row r="165" spans="1:31" x14ac:dyDescent="0.2">
      <c r="A165" s="183">
        <v>237</v>
      </c>
      <c r="B165" s="232" t="str">
        <f>IF(AND(A165&lt;&gt;"",ISNUMBER(A165)),VLOOKUP(A165,Studies!A:BR,2,FALSE),"")</f>
        <v>Hardin 1988</v>
      </c>
      <c r="C165" s="232" t="str">
        <f>IF(AND(A165&lt;&gt;"",ISNUMBER(A165)),VLOOKUP(A165,Studies!A:BR,3,FALSE),"")</f>
        <v>https://www.ncbi.nlm.nih.gov/pubmed/2848442</v>
      </c>
      <c r="D165" s="232" t="str">
        <f>IF(AND(A165&lt;&gt;"",ISNUMBER(A165)),VLOOKUP(A165,Studies!A:BR,4,FALSE),"")</f>
        <v>B 200 mg OD (day 15)</v>
      </c>
      <c r="E165" s="206" t="str">
        <f>IF(AND(A165&lt;&gt;"",ISNUMBER(A165)),VLOOKUP(A165,Studies!A:BR,5,FALSE),"")</f>
        <v>Itraconazole</v>
      </c>
      <c r="F165" s="198">
        <v>360</v>
      </c>
      <c r="G165" s="198">
        <f>F165+24</f>
        <v>384</v>
      </c>
      <c r="H165" s="198" t="s">
        <v>60</v>
      </c>
      <c r="I165" s="190">
        <v>15400</v>
      </c>
      <c r="J165" s="190" t="s">
        <v>1024</v>
      </c>
      <c r="K165" s="190" t="s">
        <v>116</v>
      </c>
      <c r="L165" s="191">
        <v>6880</v>
      </c>
      <c r="M165" s="191" t="s">
        <v>1024</v>
      </c>
      <c r="N165" s="191" t="s">
        <v>117</v>
      </c>
      <c r="O165" s="190" t="s">
        <v>1028</v>
      </c>
      <c r="P165" s="192">
        <v>1070</v>
      </c>
      <c r="Q165" s="192" t="s">
        <v>1026</v>
      </c>
      <c r="R165" s="192" t="s">
        <v>116</v>
      </c>
      <c r="S165" s="193">
        <v>499</v>
      </c>
      <c r="T165" s="193" t="s">
        <v>1026</v>
      </c>
      <c r="U165" s="193" t="s">
        <v>117</v>
      </c>
      <c r="V165" s="201" t="s">
        <v>1027</v>
      </c>
      <c r="W165" s="196">
        <v>0.23300000000000001</v>
      </c>
      <c r="X165" s="196" t="s">
        <v>1032</v>
      </c>
      <c r="Y165" s="196" t="s">
        <v>116</v>
      </c>
      <c r="Z165" s="197">
        <v>8.6999999999999994E-2</v>
      </c>
      <c r="AA165" s="197" t="s">
        <v>1032</v>
      </c>
      <c r="AB165" s="197" t="s">
        <v>117</v>
      </c>
      <c r="AC165" s="200" t="s">
        <v>1033</v>
      </c>
      <c r="AD165" s="202"/>
      <c r="AE165" s="174">
        <f>IF(ISNUMBER(VLOOKUP(A165,NotghiID!A:A,1,FALSE)),1,0)</f>
        <v>0</v>
      </c>
    </row>
    <row r="166" spans="1:31" x14ac:dyDescent="0.2">
      <c r="A166" s="91">
        <v>472</v>
      </c>
      <c r="B166" s="232" t="str">
        <f>IF(AND(A166&lt;&gt;"",ISNUMBER(A166)),VLOOKUP(A166,Studies!A:BR,2,FALSE),"")</f>
        <v>Templeton 2008</v>
      </c>
      <c r="C166" s="232" t="str">
        <f>IF(AND(A166&lt;&gt;"",ISNUMBER(A166)),VLOOKUP(A166,Studies!A:BR,3,FALSE),"")</f>
        <v>https://www.ncbi.nlm.nih.gov/pubmed/17495874</v>
      </c>
      <c r="D166" s="232" t="str">
        <f>IF(AND(A166&lt;&gt;"",ISNUMBER(A166)),VLOOKUP(A166,Studies!A:BR,4,FALSE),"")</f>
        <v>ITZ day 1</v>
      </c>
      <c r="E166" s="206" t="str">
        <f>IF(AND(A166&lt;&gt;"",ISNUMBER(A166)),VLOOKUP(A166,Studies!A:BR,5,FALSE),"")</f>
        <v>Itraconazole</v>
      </c>
      <c r="F166" s="198">
        <v>0</v>
      </c>
      <c r="G166" s="198" t="s">
        <v>1023</v>
      </c>
      <c r="H166" s="198" t="s">
        <v>60</v>
      </c>
      <c r="I166" s="190">
        <v>2862</v>
      </c>
      <c r="J166" s="190" t="s">
        <v>1058</v>
      </c>
      <c r="K166" s="190" t="s">
        <v>116</v>
      </c>
      <c r="L166" s="191">
        <v>2158</v>
      </c>
      <c r="M166" s="191" t="s">
        <v>1058</v>
      </c>
      <c r="N166" s="191" t="s">
        <v>117</v>
      </c>
      <c r="O166" s="190" t="s">
        <v>1025</v>
      </c>
      <c r="P166" s="192">
        <v>362</v>
      </c>
      <c r="Q166" s="192" t="s">
        <v>1059</v>
      </c>
      <c r="R166" s="192" t="s">
        <v>116</v>
      </c>
      <c r="S166" s="193">
        <v>148</v>
      </c>
      <c r="T166" s="193" t="s">
        <v>1059</v>
      </c>
      <c r="U166" s="193" t="s">
        <v>117</v>
      </c>
      <c r="V166" s="201" t="s">
        <v>1027</v>
      </c>
      <c r="W166" s="196"/>
      <c r="X166" s="196"/>
      <c r="Y166" s="196"/>
      <c r="Z166" s="197"/>
      <c r="AA166" s="197"/>
      <c r="AB166" s="197"/>
      <c r="AC166" s="200"/>
      <c r="AD166" s="202"/>
      <c r="AE166" s="174">
        <f>IF(ISNUMBER(VLOOKUP(A166,NotghiID!A:A,1,FALSE)),1,0)</f>
        <v>0</v>
      </c>
    </row>
    <row r="167" spans="1:31" x14ac:dyDescent="0.2">
      <c r="A167" s="91">
        <v>473</v>
      </c>
      <c r="B167" s="232" t="str">
        <f>IF(AND(A167&lt;&gt;"",ISNUMBER(A167)),VLOOKUP(A167,Studies!A:BR,2,FALSE),"")</f>
        <v>Templeton 2008</v>
      </c>
      <c r="C167" s="232" t="str">
        <f>IF(AND(A167&lt;&gt;"",ISNUMBER(A167)),VLOOKUP(A167,Studies!A:BR,3,FALSE),"")</f>
        <v>https://www.ncbi.nlm.nih.gov/pubmed/17495874</v>
      </c>
      <c r="D167" s="232" t="str">
        <f>IF(AND(A167&lt;&gt;"",ISNUMBER(A167)),VLOOKUP(A167,Studies!A:BR,4,FALSE),"")</f>
        <v>ITZ day 7</v>
      </c>
      <c r="E167" s="206" t="str">
        <f>IF(AND(A167&lt;&gt;"",ISNUMBER(A167)),VLOOKUP(A167,Studies!A:BR,5,FALSE),"")</f>
        <v>Itraconazole</v>
      </c>
      <c r="F167" s="198">
        <v>144</v>
      </c>
      <c r="G167" s="198">
        <f>F167+24</f>
        <v>168</v>
      </c>
      <c r="H167" s="198" t="s">
        <v>60</v>
      </c>
      <c r="I167" s="190">
        <v>7240</v>
      </c>
      <c r="J167" s="190" t="s">
        <v>1058</v>
      </c>
      <c r="K167" s="190" t="s">
        <v>116</v>
      </c>
      <c r="L167" s="191">
        <v>3177</v>
      </c>
      <c r="M167" s="191" t="s">
        <v>1058</v>
      </c>
      <c r="N167" s="191" t="s">
        <v>117</v>
      </c>
      <c r="O167" s="190" t="s">
        <v>1028</v>
      </c>
      <c r="P167" s="192">
        <v>1152</v>
      </c>
      <c r="Q167" s="192" t="s">
        <v>1059</v>
      </c>
      <c r="R167" s="192" t="s">
        <v>116</v>
      </c>
      <c r="S167" s="193">
        <v>203</v>
      </c>
      <c r="T167" s="193" t="s">
        <v>1059</v>
      </c>
      <c r="U167" s="193" t="s">
        <v>117</v>
      </c>
      <c r="V167" s="201" t="s">
        <v>1027</v>
      </c>
      <c r="W167" s="196"/>
      <c r="X167" s="196"/>
      <c r="Y167" s="196"/>
      <c r="Z167" s="197"/>
      <c r="AA167" s="197"/>
      <c r="AB167" s="197"/>
      <c r="AC167" s="200"/>
      <c r="AD167" s="202"/>
      <c r="AE167" s="174">
        <f>IF(ISNUMBER(VLOOKUP(A167,NotghiID!A:A,1,FALSE)),1,0)</f>
        <v>0</v>
      </c>
    </row>
    <row r="168" spans="1:31" x14ac:dyDescent="0.2">
      <c r="A168" s="91">
        <v>474</v>
      </c>
      <c r="B168" s="232" t="str">
        <f>IF(AND(A168&lt;&gt;"",ISNUMBER(A168)),VLOOKUP(A168,Studies!A:BR,2,FALSE),"")</f>
        <v>Templeton 2008</v>
      </c>
      <c r="C168" s="232" t="str">
        <f>IF(AND(A168&lt;&gt;"",ISNUMBER(A168)),VLOOKUP(A168,Studies!A:BR,3,FALSE),"")</f>
        <v>https://www.ncbi.nlm.nih.gov/pubmed/17495874</v>
      </c>
      <c r="D168" s="232" t="str">
        <f>IF(AND(A168&lt;&gt;"",ISNUMBER(A168)),VLOOKUP(A168,Studies!A:BR,4,FALSE),"")</f>
        <v>OH-ITZ day 1</v>
      </c>
      <c r="E168" s="206" t="str">
        <f>IF(AND(A168&lt;&gt;"",ISNUMBER(A168)),VLOOKUP(A168,Studies!A:BR,5,FALSE),"")</f>
        <v>Hydroxy-Itraconazole</v>
      </c>
      <c r="F168" s="198">
        <v>0</v>
      </c>
      <c r="G168" s="198" t="s">
        <v>1023</v>
      </c>
      <c r="H168" s="198" t="s">
        <v>60</v>
      </c>
      <c r="I168" s="190">
        <v>4237</v>
      </c>
      <c r="J168" s="190" t="s">
        <v>1058</v>
      </c>
      <c r="K168" s="190" t="s">
        <v>116</v>
      </c>
      <c r="L168" s="191">
        <v>2175</v>
      </c>
      <c r="M168" s="191" t="s">
        <v>1058</v>
      </c>
      <c r="N168" s="191" t="s">
        <v>117</v>
      </c>
      <c r="O168" s="190" t="s">
        <v>1025</v>
      </c>
      <c r="P168" s="192">
        <v>358</v>
      </c>
      <c r="Q168" s="192" t="s">
        <v>1059</v>
      </c>
      <c r="R168" s="192" t="s">
        <v>116</v>
      </c>
      <c r="S168" s="193">
        <v>118</v>
      </c>
      <c r="T168" s="193" t="s">
        <v>1059</v>
      </c>
      <c r="U168" s="193" t="s">
        <v>117</v>
      </c>
      <c r="V168" s="201" t="s">
        <v>1027</v>
      </c>
      <c r="W168" s="196"/>
      <c r="X168" s="196"/>
      <c r="Y168" s="196"/>
      <c r="Z168" s="197"/>
      <c r="AA168" s="197"/>
      <c r="AB168" s="197"/>
      <c r="AC168" s="200"/>
      <c r="AD168" s="202"/>
      <c r="AE168" s="174">
        <f>IF(ISNUMBER(VLOOKUP(A168,NotghiID!A:A,1,FALSE)),1,0)</f>
        <v>0</v>
      </c>
    </row>
    <row r="169" spans="1:31" x14ac:dyDescent="0.2">
      <c r="A169" s="91">
        <v>475</v>
      </c>
      <c r="B169" s="232" t="str">
        <f>IF(AND(A169&lt;&gt;"",ISNUMBER(A169)),VLOOKUP(A169,Studies!A:BR,2,FALSE),"")</f>
        <v>Templeton 2008</v>
      </c>
      <c r="C169" s="232" t="str">
        <f>IF(AND(A169&lt;&gt;"",ISNUMBER(A169)),VLOOKUP(A169,Studies!A:BR,3,FALSE),"")</f>
        <v>https://www.ncbi.nlm.nih.gov/pubmed/17495874</v>
      </c>
      <c r="D169" s="232" t="str">
        <f>IF(AND(A169&lt;&gt;"",ISNUMBER(A169)),VLOOKUP(A169,Studies!A:BR,4,FALSE),"")</f>
        <v>OH-ITZ day 7</v>
      </c>
      <c r="E169" s="206" t="str">
        <f>IF(AND(A169&lt;&gt;"",ISNUMBER(A169)),VLOOKUP(A169,Studies!A:BR,5,FALSE),"")</f>
        <v>Hydroxy-Itraconazole</v>
      </c>
      <c r="F169" s="198">
        <v>144</v>
      </c>
      <c r="G169" s="198">
        <f>F169+24</f>
        <v>168</v>
      </c>
      <c r="H169" s="198" t="s">
        <v>60</v>
      </c>
      <c r="I169" s="190">
        <v>9811</v>
      </c>
      <c r="J169" s="190" t="s">
        <v>1058</v>
      </c>
      <c r="K169" s="190" t="s">
        <v>116</v>
      </c>
      <c r="L169" s="191">
        <v>5263</v>
      </c>
      <c r="M169" s="191" t="s">
        <v>1058</v>
      </c>
      <c r="N169" s="191" t="s">
        <v>117</v>
      </c>
      <c r="O169" s="190" t="s">
        <v>1028</v>
      </c>
      <c r="P169" s="192">
        <v>608</v>
      </c>
      <c r="Q169" s="192" t="s">
        <v>1059</v>
      </c>
      <c r="R169" s="192" t="s">
        <v>116</v>
      </c>
      <c r="S169" s="193">
        <v>206</v>
      </c>
      <c r="T169" s="193" t="s">
        <v>1059</v>
      </c>
      <c r="U169" s="193" t="s">
        <v>117</v>
      </c>
      <c r="V169" s="201" t="s">
        <v>1027</v>
      </c>
      <c r="W169" s="196"/>
      <c r="X169" s="196"/>
      <c r="Y169" s="196"/>
      <c r="Z169" s="197"/>
      <c r="AA169" s="197"/>
      <c r="AB169" s="197"/>
      <c r="AC169" s="200"/>
      <c r="AD169" s="202"/>
      <c r="AE169" s="174">
        <f>IF(ISNUMBER(VLOOKUP(A169,NotghiID!A:A,1,FALSE)),1,0)</f>
        <v>0</v>
      </c>
    </row>
    <row r="170" spans="1:31" x14ac:dyDescent="0.2">
      <c r="A170" s="91">
        <v>476</v>
      </c>
      <c r="B170" s="232" t="str">
        <f>IF(AND(A170&lt;&gt;"",ISNUMBER(A170)),VLOOKUP(A170,Studies!A:BR,2,FALSE),"")</f>
        <v>Templeton 2008</v>
      </c>
      <c r="C170" s="232" t="str">
        <f>IF(AND(A170&lt;&gt;"",ISNUMBER(A170)),VLOOKUP(A170,Studies!A:BR,3,FALSE),"")</f>
        <v>https://www.ncbi.nlm.nih.gov/pubmed/17495874</v>
      </c>
      <c r="D170" s="232" t="str">
        <f>IF(AND(A170&lt;&gt;"",ISNUMBER(A170)),VLOOKUP(A170,Studies!A:BR,4,FALSE),"")</f>
        <v>keto-ITZ day 1</v>
      </c>
      <c r="E170" s="206" t="str">
        <f>IF(AND(A170&lt;&gt;"",ISNUMBER(A170)),VLOOKUP(A170,Studies!A:BR,5,FALSE),"")</f>
        <v>Keto-Itraconazole</v>
      </c>
      <c r="F170" s="198">
        <v>0</v>
      </c>
      <c r="G170" s="198" t="s">
        <v>1023</v>
      </c>
      <c r="H170" s="198" t="s">
        <v>60</v>
      </c>
      <c r="I170" s="190">
        <v>322</v>
      </c>
      <c r="J170" s="190" t="s">
        <v>1058</v>
      </c>
      <c r="K170" s="190" t="s">
        <v>116</v>
      </c>
      <c r="L170" s="191">
        <v>96</v>
      </c>
      <c r="M170" s="191" t="s">
        <v>1058</v>
      </c>
      <c r="N170" s="191" t="s">
        <v>117</v>
      </c>
      <c r="O170" s="190" t="s">
        <v>1025</v>
      </c>
      <c r="P170" s="192">
        <v>39</v>
      </c>
      <c r="Q170" s="192" t="s">
        <v>1059</v>
      </c>
      <c r="R170" s="192" t="s">
        <v>116</v>
      </c>
      <c r="S170" s="193">
        <v>11</v>
      </c>
      <c r="T170" s="193" t="s">
        <v>1059</v>
      </c>
      <c r="U170" s="193" t="s">
        <v>117</v>
      </c>
      <c r="V170" s="201" t="s">
        <v>1027</v>
      </c>
      <c r="W170" s="196"/>
      <c r="X170" s="196"/>
      <c r="Y170" s="196"/>
      <c r="Z170" s="197"/>
      <c r="AA170" s="197"/>
      <c r="AB170" s="197"/>
      <c r="AC170" s="200"/>
      <c r="AD170" s="202"/>
      <c r="AE170" s="174">
        <f>IF(ISNUMBER(VLOOKUP(A170,NotghiID!A:A,1,FALSE)),1,0)</f>
        <v>0</v>
      </c>
    </row>
    <row r="171" spans="1:31" x14ac:dyDescent="0.2">
      <c r="A171" s="91">
        <v>477</v>
      </c>
      <c r="B171" s="232" t="str">
        <f>IF(AND(A171&lt;&gt;"",ISNUMBER(A171)),VLOOKUP(A171,Studies!A:BR,2,FALSE),"")</f>
        <v>Templeton 2008</v>
      </c>
      <c r="C171" s="232" t="str">
        <f>IF(AND(A171&lt;&gt;"",ISNUMBER(A171)),VLOOKUP(A171,Studies!A:BR,3,FALSE),"")</f>
        <v>https://www.ncbi.nlm.nih.gov/pubmed/17495874</v>
      </c>
      <c r="D171" s="232" t="str">
        <f>IF(AND(A171&lt;&gt;"",ISNUMBER(A171)),VLOOKUP(A171,Studies!A:BR,4,FALSE),"")</f>
        <v>keto-ITZ day 7</v>
      </c>
      <c r="E171" s="206" t="str">
        <f>IF(AND(A171&lt;&gt;"",ISNUMBER(A171)),VLOOKUP(A171,Studies!A:BR,5,FALSE),"")</f>
        <v>Keto-Itraconazole</v>
      </c>
      <c r="F171" s="198">
        <v>144</v>
      </c>
      <c r="G171" s="198">
        <f>F171+24</f>
        <v>168</v>
      </c>
      <c r="H171" s="198" t="s">
        <v>60</v>
      </c>
      <c r="I171" s="190">
        <v>308</v>
      </c>
      <c r="J171" s="190" t="s">
        <v>1058</v>
      </c>
      <c r="K171" s="190" t="s">
        <v>116</v>
      </c>
      <c r="L171" s="191">
        <v>81</v>
      </c>
      <c r="M171" s="191" t="s">
        <v>1058</v>
      </c>
      <c r="N171" s="191" t="s">
        <v>117</v>
      </c>
      <c r="O171" s="190" t="s">
        <v>1028</v>
      </c>
      <c r="P171" s="192">
        <v>23</v>
      </c>
      <c r="Q171" s="192" t="s">
        <v>1059</v>
      </c>
      <c r="R171" s="192" t="s">
        <v>116</v>
      </c>
      <c r="S171" s="193">
        <v>9</v>
      </c>
      <c r="T171" s="193" t="s">
        <v>1059</v>
      </c>
      <c r="U171" s="193" t="s">
        <v>117</v>
      </c>
      <c r="V171" s="201" t="s">
        <v>1027</v>
      </c>
      <c r="W171" s="196"/>
      <c r="X171" s="196"/>
      <c r="Y171" s="196"/>
      <c r="Z171" s="197"/>
      <c r="AA171" s="197"/>
      <c r="AB171" s="197"/>
      <c r="AC171" s="200"/>
      <c r="AD171" s="202"/>
      <c r="AE171" s="174">
        <f>IF(ISNUMBER(VLOOKUP(A171,NotghiID!A:A,1,FALSE)),1,0)</f>
        <v>0</v>
      </c>
    </row>
    <row r="172" spans="1:31" x14ac:dyDescent="0.2">
      <c r="A172" s="91">
        <v>478</v>
      </c>
      <c r="B172" s="232" t="str">
        <f>IF(AND(A172&lt;&gt;"",ISNUMBER(A172)),VLOOKUP(A172,Studies!A:BR,2,FALSE),"")</f>
        <v>Templeton 2008</v>
      </c>
      <c r="C172" s="232" t="str">
        <f>IF(AND(A172&lt;&gt;"",ISNUMBER(A172)),VLOOKUP(A172,Studies!A:BR,3,FALSE),"")</f>
        <v>https://www.ncbi.nlm.nih.gov/pubmed/17495874</v>
      </c>
      <c r="D172" s="232" t="str">
        <f>IF(AND(A172&lt;&gt;"",ISNUMBER(A172)),VLOOKUP(A172,Studies!A:BR,4,FALSE),"")</f>
        <v>ND-OH-ITZ day 1</v>
      </c>
      <c r="E172" s="206" t="str">
        <f>IF(AND(A172&lt;&gt;"",ISNUMBER(A172)),VLOOKUP(A172,Studies!A:BR,5,FALSE),"")</f>
        <v>N-desalkyl-Itraconazole</v>
      </c>
      <c r="F172" s="198">
        <v>0</v>
      </c>
      <c r="G172" s="198" t="s">
        <v>1023</v>
      </c>
      <c r="H172" s="198" t="s">
        <v>60</v>
      </c>
      <c r="I172" s="190">
        <v>389</v>
      </c>
      <c r="J172" s="190" t="s">
        <v>1058</v>
      </c>
      <c r="K172" s="190" t="s">
        <v>116</v>
      </c>
      <c r="L172" s="191">
        <v>150</v>
      </c>
      <c r="M172" s="191" t="s">
        <v>1058</v>
      </c>
      <c r="N172" s="191" t="s">
        <v>117</v>
      </c>
      <c r="O172" s="190" t="s">
        <v>1025</v>
      </c>
      <c r="P172" s="192">
        <v>15</v>
      </c>
      <c r="Q172" s="192" t="s">
        <v>1059</v>
      </c>
      <c r="R172" s="192" t="s">
        <v>116</v>
      </c>
      <c r="S172" s="193">
        <v>7</v>
      </c>
      <c r="T172" s="193" t="s">
        <v>1059</v>
      </c>
      <c r="U172" s="193" t="s">
        <v>117</v>
      </c>
      <c r="V172" s="201" t="s">
        <v>1027</v>
      </c>
      <c r="W172" s="196"/>
      <c r="X172" s="196"/>
      <c r="Y172" s="196"/>
      <c r="Z172" s="197"/>
      <c r="AA172" s="197"/>
      <c r="AB172" s="197"/>
      <c r="AC172" s="200"/>
      <c r="AD172" s="202"/>
      <c r="AE172" s="174">
        <f>IF(ISNUMBER(VLOOKUP(A172,NotghiID!A:A,1,FALSE)),1,0)</f>
        <v>0</v>
      </c>
    </row>
    <row r="173" spans="1:31" x14ac:dyDescent="0.2">
      <c r="A173" s="91">
        <v>479</v>
      </c>
      <c r="B173" s="232" t="str">
        <f>IF(AND(A173&lt;&gt;"",ISNUMBER(A173)),VLOOKUP(A173,Studies!A:BR,2,FALSE),"")</f>
        <v>Templeton 2008</v>
      </c>
      <c r="C173" s="232" t="str">
        <f>IF(AND(A173&lt;&gt;"",ISNUMBER(A173)),VLOOKUP(A173,Studies!A:BR,3,FALSE),"")</f>
        <v>https://www.ncbi.nlm.nih.gov/pubmed/17495874</v>
      </c>
      <c r="D173" s="232" t="str">
        <f>IF(AND(A173&lt;&gt;"",ISNUMBER(A173)),VLOOKUP(A173,Studies!A:BR,4,FALSE),"")</f>
        <v>ND-OH-ITZ day 7</v>
      </c>
      <c r="E173" s="206" t="str">
        <f>IF(AND(A173&lt;&gt;"",ISNUMBER(A173)),VLOOKUP(A173,Studies!A:BR,5,FALSE),"")</f>
        <v>N-desalkyl-Itraconazole</v>
      </c>
      <c r="F173" s="198">
        <v>144</v>
      </c>
      <c r="G173" s="198">
        <f>F173+24</f>
        <v>168</v>
      </c>
      <c r="H173" s="198" t="s">
        <v>60</v>
      </c>
      <c r="I173" s="190">
        <v>394</v>
      </c>
      <c r="J173" s="190" t="s">
        <v>1058</v>
      </c>
      <c r="K173" s="190" t="s">
        <v>116</v>
      </c>
      <c r="L173" s="191">
        <v>133</v>
      </c>
      <c r="M173" s="191" t="s">
        <v>1058</v>
      </c>
      <c r="N173" s="191" t="s">
        <v>117</v>
      </c>
      <c r="O173" s="190" t="s">
        <v>1028</v>
      </c>
      <c r="P173" s="192">
        <v>22</v>
      </c>
      <c r="Q173" s="192" t="s">
        <v>1059</v>
      </c>
      <c r="R173" s="192" t="s">
        <v>116</v>
      </c>
      <c r="S173" s="193">
        <v>3</v>
      </c>
      <c r="T173" s="193" t="s">
        <v>1059</v>
      </c>
      <c r="U173" s="193" t="s">
        <v>117</v>
      </c>
      <c r="V173" s="201" t="s">
        <v>1027</v>
      </c>
      <c r="W173" s="196"/>
      <c r="X173" s="196"/>
      <c r="Y173" s="196"/>
      <c r="Z173" s="197"/>
      <c r="AA173" s="197"/>
      <c r="AB173" s="197"/>
      <c r="AC173" s="200"/>
      <c r="AD173" s="202"/>
      <c r="AE173" s="174">
        <f>IF(ISNUMBER(VLOOKUP(A173,NotghiID!A:A,1,FALSE)),1,0)</f>
        <v>0</v>
      </c>
    </row>
    <row r="174" spans="1:31" x14ac:dyDescent="0.2">
      <c r="A174" s="91">
        <v>480</v>
      </c>
      <c r="B174" s="232" t="str">
        <f>IF(AND(A174&lt;&gt;"",ISNUMBER(A174)),VLOOKUP(A174,Studies!A:BR,2,FALSE),"")</f>
        <v>Van de Velde 1996</v>
      </c>
      <c r="C174" s="232" t="str">
        <f>IF(AND(A174&lt;&gt;"",ISNUMBER(A174)),VLOOKUP(A174,Studies!A:BR,3,FALSE),"")</f>
        <v>https://www.ncbi.nlm.nih.gov/pubmed/8726601</v>
      </c>
      <c r="D174" s="232" t="str">
        <f>IF(AND(A174&lt;&gt;"",ISNUMBER(A174)),VLOOKUP(A174,Studies!A:BR,4,FALSE),"")</f>
        <v>Fasting ITZ</v>
      </c>
      <c r="E174" s="206" t="str">
        <f>IF(AND(A174&lt;&gt;"",ISNUMBER(A174)),VLOOKUP(A174,Studies!A:BR,5,FALSE),"")</f>
        <v>Itraconazole</v>
      </c>
      <c r="F174" s="198">
        <v>0</v>
      </c>
      <c r="G174" s="198" t="s">
        <v>1023</v>
      </c>
      <c r="H174" s="198" t="s">
        <v>60</v>
      </c>
      <c r="I174" s="190">
        <v>3716</v>
      </c>
      <c r="J174" s="190" t="s">
        <v>1024</v>
      </c>
      <c r="K174" s="190" t="s">
        <v>116</v>
      </c>
      <c r="L174" s="191">
        <v>2711</v>
      </c>
      <c r="M174" s="191" t="s">
        <v>1024</v>
      </c>
      <c r="N174" s="191" t="s">
        <v>117</v>
      </c>
      <c r="O174" s="190" t="s">
        <v>1025</v>
      </c>
      <c r="P174" s="192">
        <v>349</v>
      </c>
      <c r="Q174" s="192" t="s">
        <v>1026</v>
      </c>
      <c r="R174" s="192" t="s">
        <v>116</v>
      </c>
      <c r="S174" s="193">
        <v>239</v>
      </c>
      <c r="T174" s="193" t="s">
        <v>1026</v>
      </c>
      <c r="U174" s="193" t="s">
        <v>117</v>
      </c>
      <c r="V174" s="201" t="s">
        <v>1027</v>
      </c>
      <c r="W174" s="196"/>
      <c r="X174" s="196"/>
      <c r="Y174" s="196"/>
      <c r="Z174" s="197"/>
      <c r="AA174" s="197"/>
      <c r="AB174" s="197"/>
      <c r="AC174" s="200"/>
      <c r="AD174" s="202"/>
      <c r="AE174" s="174">
        <f>IF(ISNUMBER(VLOOKUP(A174,NotghiID!A:A,1,FALSE)),1,0)</f>
        <v>0</v>
      </c>
    </row>
    <row r="175" spans="1:31" x14ac:dyDescent="0.2">
      <c r="A175" s="91">
        <v>481</v>
      </c>
      <c r="B175" s="232" t="str">
        <f>IF(AND(A175&lt;&gt;"",ISNUMBER(A175)),VLOOKUP(A175,Studies!A:BR,2,FALSE),"")</f>
        <v>Van de Velde 1996</v>
      </c>
      <c r="C175" s="232" t="str">
        <f>IF(AND(A175&lt;&gt;"",ISNUMBER(A175)),VLOOKUP(A175,Studies!A:BR,3,FALSE),"")</f>
        <v>https://www.ncbi.nlm.nih.gov/pubmed/8726601</v>
      </c>
      <c r="D175" s="232" t="str">
        <f>IF(AND(A175&lt;&gt;"",ISNUMBER(A175)),VLOOKUP(A175,Studies!A:BR,4,FALSE),"")</f>
        <v>Fasting OH-ITZ</v>
      </c>
      <c r="E175" s="206" t="str">
        <f>IF(AND(A175&lt;&gt;"",ISNUMBER(A175)),VLOOKUP(A175,Studies!A:BR,5,FALSE),"")</f>
        <v>Hydroxy-Itraconazole</v>
      </c>
      <c r="F175" s="198">
        <v>0</v>
      </c>
      <c r="G175" s="198" t="s">
        <v>1023</v>
      </c>
      <c r="H175" s="198" t="s">
        <v>60</v>
      </c>
      <c r="I175" s="190">
        <v>8007</v>
      </c>
      <c r="J175" s="190" t="s">
        <v>1024</v>
      </c>
      <c r="K175" s="190" t="s">
        <v>116</v>
      </c>
      <c r="L175" s="191">
        <v>5185</v>
      </c>
      <c r="M175" s="191" t="s">
        <v>1024</v>
      </c>
      <c r="N175" s="191" t="s">
        <v>117</v>
      </c>
      <c r="O175" s="190" t="s">
        <v>1025</v>
      </c>
      <c r="P175" s="192">
        <v>424</v>
      </c>
      <c r="Q175" s="192" t="s">
        <v>1026</v>
      </c>
      <c r="R175" s="192" t="s">
        <v>116</v>
      </c>
      <c r="S175" s="193">
        <v>147</v>
      </c>
      <c r="T175" s="193" t="s">
        <v>1026</v>
      </c>
      <c r="U175" s="193" t="s">
        <v>117</v>
      </c>
      <c r="V175" s="201" t="s">
        <v>1027</v>
      </c>
      <c r="W175" s="196"/>
      <c r="X175" s="196"/>
      <c r="Y175" s="196"/>
      <c r="Z175" s="197"/>
      <c r="AA175" s="197"/>
      <c r="AB175" s="197"/>
      <c r="AC175" s="200"/>
      <c r="AD175" s="202"/>
      <c r="AE175" s="174">
        <f>IF(ISNUMBER(VLOOKUP(A175,NotghiID!A:A,1,FALSE)),1,0)</f>
        <v>0</v>
      </c>
    </row>
    <row r="176" spans="1:31" x14ac:dyDescent="0.2">
      <c r="A176" s="91">
        <v>482</v>
      </c>
      <c r="B176" s="232" t="str">
        <f>IF(AND(A176&lt;&gt;"",ISNUMBER(A176)),VLOOKUP(A176,Studies!A:BR,2,FALSE),"")</f>
        <v>Van de Velde 1996</v>
      </c>
      <c r="C176" s="232" t="str">
        <f>IF(AND(A176&lt;&gt;"",ISNUMBER(A176)),VLOOKUP(A176,Studies!A:BR,3,FALSE),"")</f>
        <v>https://www.ncbi.nlm.nih.gov/pubmed/8726601</v>
      </c>
      <c r="D176" s="232" t="str">
        <f>IF(AND(A176&lt;&gt;"",ISNUMBER(A176)),VLOOKUP(A176,Studies!A:BR,4,FALSE),"")</f>
        <v>Fed ITZ</v>
      </c>
      <c r="E176" s="206" t="str">
        <f>IF(AND(A176&lt;&gt;"",ISNUMBER(A176)),VLOOKUP(A176,Studies!A:BR,5,FALSE),"")</f>
        <v>Itraconazole</v>
      </c>
      <c r="F176" s="198">
        <v>0</v>
      </c>
      <c r="G176" s="198" t="s">
        <v>1023</v>
      </c>
      <c r="H176" s="198" t="s">
        <v>60</v>
      </c>
      <c r="I176" s="190">
        <v>2861</v>
      </c>
      <c r="J176" s="190" t="s">
        <v>1024</v>
      </c>
      <c r="K176" s="190" t="s">
        <v>116</v>
      </c>
      <c r="L176" s="191">
        <v>1914</v>
      </c>
      <c r="M176" s="191" t="s">
        <v>1024</v>
      </c>
      <c r="N176" s="191" t="s">
        <v>117</v>
      </c>
      <c r="O176" s="190" t="s">
        <v>1025</v>
      </c>
      <c r="P176" s="192">
        <v>147</v>
      </c>
      <c r="Q176" s="192" t="s">
        <v>1026</v>
      </c>
      <c r="R176" s="192" t="s">
        <v>116</v>
      </c>
      <c r="S176" s="193">
        <v>74</v>
      </c>
      <c r="T176" s="193" t="s">
        <v>1026</v>
      </c>
      <c r="U176" s="193" t="s">
        <v>117</v>
      </c>
      <c r="V176" s="201" t="s">
        <v>1027</v>
      </c>
      <c r="W176" s="196"/>
      <c r="X176" s="196"/>
      <c r="Y176" s="196"/>
      <c r="Z176" s="197"/>
      <c r="AA176" s="197"/>
      <c r="AB176" s="197"/>
      <c r="AC176" s="200"/>
      <c r="AD176" s="202"/>
      <c r="AE176" s="174">
        <f>IF(ISNUMBER(VLOOKUP(A176,NotghiID!A:A,1,FALSE)),1,0)</f>
        <v>0</v>
      </c>
    </row>
    <row r="177" spans="1:31" x14ac:dyDescent="0.2">
      <c r="A177" s="91">
        <v>483</v>
      </c>
      <c r="B177" s="232" t="str">
        <f>IF(AND(A177&lt;&gt;"",ISNUMBER(A177)),VLOOKUP(A177,Studies!A:BR,2,FALSE),"")</f>
        <v>Van de Velde 1996</v>
      </c>
      <c r="C177" s="232" t="str">
        <f>IF(AND(A177&lt;&gt;"",ISNUMBER(A177)),VLOOKUP(A177,Studies!A:BR,3,FALSE),"")</f>
        <v>https://www.ncbi.nlm.nih.gov/pubmed/8726601</v>
      </c>
      <c r="D177" s="232" t="str">
        <f>IF(AND(A177&lt;&gt;"",ISNUMBER(A177)),VLOOKUP(A177,Studies!A:BR,4,FALSE),"")</f>
        <v>Fed OH-ITZ</v>
      </c>
      <c r="E177" s="206" t="str">
        <f>IF(AND(A177&lt;&gt;"",ISNUMBER(A177)),VLOOKUP(A177,Studies!A:BR,5,FALSE),"")</f>
        <v>Hydroxy-Itraconazole</v>
      </c>
      <c r="F177" s="198">
        <v>0</v>
      </c>
      <c r="G177" s="198" t="s">
        <v>1023</v>
      </c>
      <c r="H177" s="198" t="s">
        <v>60</v>
      </c>
      <c r="I177" s="190">
        <v>6132</v>
      </c>
      <c r="J177" s="190" t="s">
        <v>1024</v>
      </c>
      <c r="K177" s="190" t="s">
        <v>116</v>
      </c>
      <c r="L177" s="191">
        <v>4448</v>
      </c>
      <c r="M177" s="191" t="s">
        <v>1024</v>
      </c>
      <c r="N177" s="191" t="s">
        <v>117</v>
      </c>
      <c r="O177" s="190" t="s">
        <v>1025</v>
      </c>
      <c r="P177" s="192">
        <v>250</v>
      </c>
      <c r="Q177" s="192" t="s">
        <v>1026</v>
      </c>
      <c r="R177" s="192" t="s">
        <v>116</v>
      </c>
      <c r="S177" s="193">
        <v>76</v>
      </c>
      <c r="T177" s="193" t="s">
        <v>1026</v>
      </c>
      <c r="U177" s="193" t="s">
        <v>117</v>
      </c>
      <c r="V177" s="201" t="s">
        <v>1027</v>
      </c>
      <c r="W177" s="196"/>
      <c r="X177" s="196"/>
      <c r="Y177" s="196"/>
      <c r="Z177" s="197"/>
      <c r="AA177" s="197"/>
      <c r="AB177" s="197"/>
      <c r="AC177" s="200"/>
      <c r="AD177" s="202"/>
      <c r="AE177" s="174">
        <f>IF(ISNUMBER(VLOOKUP(A177,NotghiID!A:A,1,FALSE)),1,0)</f>
        <v>0</v>
      </c>
    </row>
    <row r="178" spans="1:31" x14ac:dyDescent="0.2">
      <c r="A178" s="91">
        <v>484</v>
      </c>
      <c r="B178" s="232" t="str">
        <f>IF(AND(A178&lt;&gt;"",ISNUMBER(A178)),VLOOKUP(A178,Studies!A:BR,2,FALSE),"")</f>
        <v>Van Peer 1989</v>
      </c>
      <c r="C178" s="232" t="str">
        <f>IF(AND(A178&lt;&gt;"",ISNUMBER(A178)),VLOOKUP(A178,Studies!A:BR,3,FALSE),"")</f>
        <v>https://www.ncbi.nlm.nih.gov/pubmed/2544431</v>
      </c>
      <c r="D178" s="232" t="str">
        <f>IF(AND(A178&lt;&gt;"",ISNUMBER(A178)),VLOOKUP(A178,Studies!A:BR,4,FALSE),"")</f>
        <v>100 mg Solution, fasting</v>
      </c>
      <c r="E178" s="206" t="str">
        <f>IF(AND(A178&lt;&gt;"",ISNUMBER(A178)),VLOOKUP(A178,Studies!A:BR,5,FALSE),"")</f>
        <v>Itraconazole</v>
      </c>
      <c r="F178" s="198">
        <v>0</v>
      </c>
      <c r="G178" s="198" t="s">
        <v>1023</v>
      </c>
      <c r="H178" s="198" t="s">
        <v>60</v>
      </c>
      <c r="I178" s="190">
        <v>1920</v>
      </c>
      <c r="J178" s="190" t="s">
        <v>1024</v>
      </c>
      <c r="K178" s="190" t="s">
        <v>116</v>
      </c>
      <c r="L178" s="191">
        <v>679</v>
      </c>
      <c r="M178" s="191" t="s">
        <v>1024</v>
      </c>
      <c r="N178" s="191" t="s">
        <v>117</v>
      </c>
      <c r="O178" s="190" t="s">
        <v>1025</v>
      </c>
      <c r="P178" s="192">
        <v>223</v>
      </c>
      <c r="Q178" s="192" t="s">
        <v>1026</v>
      </c>
      <c r="R178" s="192" t="s">
        <v>116</v>
      </c>
      <c r="S178" s="193">
        <v>84</v>
      </c>
      <c r="T178" s="193" t="s">
        <v>1026</v>
      </c>
      <c r="U178" s="193" t="s">
        <v>117</v>
      </c>
      <c r="V178" s="201" t="s">
        <v>1027</v>
      </c>
      <c r="W178" s="196"/>
      <c r="X178" s="196"/>
      <c r="Y178" s="196"/>
      <c r="Z178" s="197"/>
      <c r="AA178" s="197"/>
      <c r="AB178" s="197"/>
      <c r="AC178" s="200"/>
      <c r="AD178" s="202"/>
      <c r="AE178" s="174">
        <f>IF(ISNUMBER(VLOOKUP(A178,NotghiID!A:A,1,FALSE)),1,0)</f>
        <v>0</v>
      </c>
    </row>
    <row r="179" spans="1:31" x14ac:dyDescent="0.2">
      <c r="A179" s="91">
        <v>485</v>
      </c>
      <c r="B179" s="232" t="str">
        <f>IF(AND(A179&lt;&gt;"",ISNUMBER(A179)),VLOOKUP(A179,Studies!A:BR,2,FALSE),"")</f>
        <v>Van Peer 1989</v>
      </c>
      <c r="C179" s="232" t="str">
        <f>IF(AND(A179&lt;&gt;"",ISNUMBER(A179)),VLOOKUP(A179,Studies!A:BR,3,FALSE),"")</f>
        <v>https://www.ncbi.nlm.nih.gov/pubmed/2544431</v>
      </c>
      <c r="D179" s="232" t="str">
        <f>IF(AND(A179&lt;&gt;"",ISNUMBER(A179)),VLOOKUP(A179,Studies!A:BR,4,FALSE),"")</f>
        <v>100 mg Capsules, fasting</v>
      </c>
      <c r="E179" s="206" t="str">
        <f>IF(AND(A179&lt;&gt;"",ISNUMBER(A179)),VLOOKUP(A179,Studies!A:BR,5,FALSE),"")</f>
        <v>Itraconazole</v>
      </c>
      <c r="F179" s="198">
        <v>0</v>
      </c>
      <c r="G179" s="198" t="s">
        <v>1023</v>
      </c>
      <c r="H179" s="198" t="s">
        <v>60</v>
      </c>
      <c r="I179" s="190">
        <v>722</v>
      </c>
      <c r="J179" s="190" t="s">
        <v>1024</v>
      </c>
      <c r="K179" s="190" t="s">
        <v>116</v>
      </c>
      <c r="L179" s="191">
        <v>289</v>
      </c>
      <c r="M179" s="191" t="s">
        <v>1024</v>
      </c>
      <c r="N179" s="191" t="s">
        <v>117</v>
      </c>
      <c r="O179" s="190" t="s">
        <v>1025</v>
      </c>
      <c r="P179" s="192">
        <v>38.4</v>
      </c>
      <c r="Q179" s="192" t="s">
        <v>1026</v>
      </c>
      <c r="R179" s="192" t="s">
        <v>116</v>
      </c>
      <c r="S179" s="193">
        <v>19.899999999999999</v>
      </c>
      <c r="T179" s="193" t="s">
        <v>1026</v>
      </c>
      <c r="U179" s="193" t="s">
        <v>117</v>
      </c>
      <c r="V179" s="201" t="s">
        <v>1027</v>
      </c>
      <c r="W179" s="196"/>
      <c r="X179" s="196"/>
      <c r="Y179" s="196"/>
      <c r="Z179" s="197"/>
      <c r="AA179" s="197"/>
      <c r="AB179" s="197"/>
      <c r="AC179" s="200"/>
      <c r="AD179" s="202"/>
      <c r="AE179" s="174">
        <f>IF(ISNUMBER(VLOOKUP(A179,NotghiID!A:A,1,FALSE)),1,0)</f>
        <v>0</v>
      </c>
    </row>
    <row r="180" spans="1:31" x14ac:dyDescent="0.2">
      <c r="A180" s="91">
        <v>486</v>
      </c>
      <c r="B180" s="232" t="str">
        <f>IF(AND(A180&lt;&gt;"",ISNUMBER(A180)),VLOOKUP(A180,Studies!A:BR,2,FALSE),"")</f>
        <v>Van Peer 1989</v>
      </c>
      <c r="C180" s="232" t="str">
        <f>IF(AND(A180&lt;&gt;"",ISNUMBER(A180)),VLOOKUP(A180,Studies!A:BR,3,FALSE),"")</f>
        <v>https://www.ncbi.nlm.nih.gov/pubmed/2544431</v>
      </c>
      <c r="D180" s="232" t="str">
        <f>IF(AND(A180&lt;&gt;"",ISNUMBER(A180)),VLOOKUP(A180,Studies!A:BR,4,FALSE),"")</f>
        <v>100 mg Capsules, with food</v>
      </c>
      <c r="E180" s="206" t="str">
        <f>IF(AND(A180&lt;&gt;"",ISNUMBER(A180)),VLOOKUP(A180,Studies!A:BR,5,FALSE),"")</f>
        <v>Itraconazole</v>
      </c>
      <c r="F180" s="198">
        <v>0</v>
      </c>
      <c r="G180" s="198" t="s">
        <v>1023</v>
      </c>
      <c r="H180" s="198" t="s">
        <v>60</v>
      </c>
      <c r="I180" s="190">
        <v>1900</v>
      </c>
      <c r="J180" s="190" t="s">
        <v>1024</v>
      </c>
      <c r="K180" s="190" t="s">
        <v>116</v>
      </c>
      <c r="L180" s="191">
        <v>838</v>
      </c>
      <c r="M180" s="191" t="s">
        <v>1024</v>
      </c>
      <c r="N180" s="191" t="s">
        <v>117</v>
      </c>
      <c r="O180" s="190" t="s">
        <v>1025</v>
      </c>
      <c r="P180" s="192">
        <v>132</v>
      </c>
      <c r="Q180" s="192" t="s">
        <v>1026</v>
      </c>
      <c r="R180" s="192" t="s">
        <v>116</v>
      </c>
      <c r="S180" s="193">
        <v>67</v>
      </c>
      <c r="T180" s="193" t="s">
        <v>1026</v>
      </c>
      <c r="U180" s="193" t="s">
        <v>117</v>
      </c>
      <c r="V180" s="201" t="s">
        <v>1027</v>
      </c>
      <c r="W180" s="196"/>
      <c r="X180" s="196"/>
      <c r="Y180" s="196"/>
      <c r="Z180" s="197"/>
      <c r="AA180" s="197"/>
      <c r="AB180" s="197"/>
      <c r="AC180" s="200"/>
      <c r="AD180" s="202"/>
      <c r="AE180" s="174">
        <f>IF(ISNUMBER(VLOOKUP(A180,NotghiID!A:A,1,FALSE)),1,0)</f>
        <v>0</v>
      </c>
    </row>
    <row r="181" spans="1:31" x14ac:dyDescent="0.2">
      <c r="A181" s="91">
        <v>488</v>
      </c>
      <c r="B181" s="232" t="str">
        <f>IF(AND(A181&lt;&gt;"",ISNUMBER(A181)),VLOOKUP(A181,Studies!A:BR,2,FALSE),"")</f>
        <v>Van Peer 1989</v>
      </c>
      <c r="C181" s="232" t="str">
        <f>IF(AND(A181&lt;&gt;"",ISNUMBER(A181)),VLOOKUP(A181,Studies!A:BR,3,FALSE),"")</f>
        <v>https://www.ncbi.nlm.nih.gov/pubmed/2544431</v>
      </c>
      <c r="D181" s="232" t="str">
        <f>IF(AND(A181&lt;&gt;"",ISNUMBER(A181)),VLOOKUP(A181,Studies!A:BR,4,FALSE),"")</f>
        <v>50 mg Capsules, with food</v>
      </c>
      <c r="E181" s="206" t="str">
        <f>IF(AND(A181&lt;&gt;"",ISNUMBER(A181)),VLOOKUP(A181,Studies!A:BR,5,FALSE),"")</f>
        <v>Itraconazole</v>
      </c>
      <c r="F181" s="198">
        <v>0</v>
      </c>
      <c r="G181" s="198" t="s">
        <v>1023</v>
      </c>
      <c r="H181" s="198" t="s">
        <v>60</v>
      </c>
      <c r="I181" s="190">
        <v>567</v>
      </c>
      <c r="J181" s="190" t="s">
        <v>1024</v>
      </c>
      <c r="K181" s="190" t="s">
        <v>116</v>
      </c>
      <c r="L181" s="191">
        <v>264</v>
      </c>
      <c r="M181" s="191" t="s">
        <v>1024</v>
      </c>
      <c r="N181" s="191" t="s">
        <v>117</v>
      </c>
      <c r="O181" s="190" t="s">
        <v>1025</v>
      </c>
      <c r="P181" s="192">
        <v>44.5</v>
      </c>
      <c r="Q181" s="192" t="s">
        <v>1026</v>
      </c>
      <c r="R181" s="192" t="s">
        <v>116</v>
      </c>
      <c r="S181" s="193">
        <v>16.399999999999999</v>
      </c>
      <c r="T181" s="193" t="s">
        <v>1026</v>
      </c>
      <c r="U181" s="193" t="s">
        <v>117</v>
      </c>
      <c r="V181" s="201" t="s">
        <v>1027</v>
      </c>
      <c r="W181" s="196"/>
      <c r="X181" s="196"/>
      <c r="Y181" s="196"/>
      <c r="Z181" s="197"/>
      <c r="AA181" s="197"/>
      <c r="AB181" s="197"/>
      <c r="AC181" s="200"/>
      <c r="AD181" s="202"/>
      <c r="AE181" s="174">
        <f>IF(ISNUMBER(VLOOKUP(A181,NotghiID!A:A,1,FALSE)),1,0)</f>
        <v>0</v>
      </c>
    </row>
    <row r="182" spans="1:31" x14ac:dyDescent="0.2">
      <c r="A182" s="91">
        <v>489</v>
      </c>
      <c r="B182" s="232" t="str">
        <f>IF(AND(A182&lt;&gt;"",ISNUMBER(A182)),VLOOKUP(A182,Studies!A:BR,2,FALSE),"")</f>
        <v>Van Peer 1989</v>
      </c>
      <c r="C182" s="232" t="str">
        <f>IF(AND(A182&lt;&gt;"",ISNUMBER(A182)),VLOOKUP(A182,Studies!A:BR,3,FALSE),"")</f>
        <v>https://www.ncbi.nlm.nih.gov/pubmed/2544431</v>
      </c>
      <c r="D182" s="232" t="str">
        <f>IF(AND(A182&lt;&gt;"",ISNUMBER(A182)),VLOOKUP(A182,Studies!A:BR,4,FALSE),"")</f>
        <v>200 mg Capsules, with food</v>
      </c>
      <c r="E182" s="206" t="str">
        <f>IF(AND(A182&lt;&gt;"",ISNUMBER(A182)),VLOOKUP(A182,Studies!A:BR,5,FALSE),"")</f>
        <v>Itraconazole</v>
      </c>
      <c r="F182" s="198">
        <v>0</v>
      </c>
      <c r="G182" s="198" t="s">
        <v>1023</v>
      </c>
      <c r="H182" s="198" t="s">
        <v>60</v>
      </c>
      <c r="I182" s="190">
        <v>5210</v>
      </c>
      <c r="J182" s="190" t="s">
        <v>1024</v>
      </c>
      <c r="K182" s="190" t="s">
        <v>116</v>
      </c>
      <c r="L182" s="191">
        <v>2120</v>
      </c>
      <c r="M182" s="191" t="s">
        <v>1024</v>
      </c>
      <c r="N182" s="191" t="s">
        <v>117</v>
      </c>
      <c r="O182" s="190" t="s">
        <v>1025</v>
      </c>
      <c r="P182" s="192">
        <v>289</v>
      </c>
      <c r="Q182" s="192" t="s">
        <v>1026</v>
      </c>
      <c r="R182" s="192" t="s">
        <v>116</v>
      </c>
      <c r="S182" s="193">
        <v>100</v>
      </c>
      <c r="T182" s="193" t="s">
        <v>1026</v>
      </c>
      <c r="U182" s="193" t="s">
        <v>117</v>
      </c>
      <c r="V182" s="201" t="s">
        <v>1027</v>
      </c>
      <c r="W182" s="196"/>
      <c r="X182" s="196"/>
      <c r="Y182" s="196"/>
      <c r="Z182" s="197"/>
      <c r="AA182" s="197"/>
      <c r="AB182" s="197"/>
      <c r="AC182" s="200"/>
      <c r="AD182" s="202"/>
      <c r="AE182" s="174">
        <f>IF(ISNUMBER(VLOOKUP(A182,NotghiID!A:A,1,FALSE)),1,0)</f>
        <v>0</v>
      </c>
    </row>
    <row r="183" spans="1:31" x14ac:dyDescent="0.2">
      <c r="A183" s="91">
        <v>490</v>
      </c>
      <c r="B183" s="232" t="str">
        <f>IF(AND(A183&lt;&gt;"",ISNUMBER(A183)),VLOOKUP(A183,Studies!A:BR,2,FALSE),"")</f>
        <v>Heykants 1989</v>
      </c>
      <c r="C183" s="232" t="str">
        <f>IF(AND(A183&lt;&gt;"",ISNUMBER(A183)),VLOOKUP(A183,Studies!A:BR,3,FALSE),"")</f>
        <v>https://www.ncbi.nlm.nih.gov/pubmed/2561187</v>
      </c>
      <c r="D183" s="232" t="str">
        <f>IF(AND(A183&lt;&gt;"",ISNUMBER(A183)),VLOOKUP(A183,Studies!A:BR,4,FALSE),"")</f>
        <v>iv 100 mg SD</v>
      </c>
      <c r="E183" s="206" t="str">
        <f>IF(AND(A183&lt;&gt;"",ISNUMBER(A183)),VLOOKUP(A183,Studies!A:BR,5,FALSE),"")</f>
        <v>Itraconazole</v>
      </c>
      <c r="F183" s="198">
        <v>0</v>
      </c>
      <c r="G183" s="198" t="s">
        <v>1023</v>
      </c>
      <c r="H183" s="198" t="s">
        <v>60</v>
      </c>
      <c r="I183" s="190">
        <v>4.5999999999999996</v>
      </c>
      <c r="J183" s="190" t="s">
        <v>1051</v>
      </c>
      <c r="K183" s="190" t="s">
        <v>116</v>
      </c>
      <c r="L183" s="191">
        <v>1.0900000000000001</v>
      </c>
      <c r="M183" s="191" t="s">
        <v>1051</v>
      </c>
      <c r="N183" s="191" t="s">
        <v>117</v>
      </c>
      <c r="O183" s="190" t="s">
        <v>1025</v>
      </c>
      <c r="P183" s="192">
        <v>664</v>
      </c>
      <c r="Q183" s="192" t="s">
        <v>1026</v>
      </c>
      <c r="R183" s="192" t="s">
        <v>116</v>
      </c>
      <c r="S183" s="193">
        <v>234</v>
      </c>
      <c r="T183" s="193" t="s">
        <v>1026</v>
      </c>
      <c r="U183" s="193" t="s">
        <v>117</v>
      </c>
      <c r="V183" s="201" t="s">
        <v>1027</v>
      </c>
      <c r="W183" s="196"/>
      <c r="X183" s="196"/>
      <c r="Y183" s="196"/>
      <c r="Z183" s="197"/>
      <c r="AA183" s="197"/>
      <c r="AB183" s="197"/>
      <c r="AC183" s="200"/>
      <c r="AD183" s="202"/>
      <c r="AE183" s="174">
        <f>IF(ISNUMBER(VLOOKUP(A183,NotghiID!A:A,1,FALSE)),1,0)</f>
        <v>0</v>
      </c>
    </row>
    <row r="184" spans="1:31" x14ac:dyDescent="0.2">
      <c r="A184" s="91">
        <v>491</v>
      </c>
      <c r="B184" s="232" t="str">
        <f>IF(AND(A184&lt;&gt;"",ISNUMBER(A184)),VLOOKUP(A184,Studies!A:BR,2,FALSE),"")</f>
        <v>Heykants 1989</v>
      </c>
      <c r="C184" s="232" t="str">
        <f>IF(AND(A184&lt;&gt;"",ISNUMBER(A184)),VLOOKUP(A184,Studies!A:BR,3,FALSE),"")</f>
        <v>https://www.ncbi.nlm.nih.gov/pubmed/2561187</v>
      </c>
      <c r="D184" s="232" t="str">
        <f>IF(AND(A184&lt;&gt;"",ISNUMBER(A184)),VLOOKUP(A184,Studies!A:BR,4,FALSE),"")</f>
        <v>po 100 mg SD fed</v>
      </c>
      <c r="E184" s="206" t="str">
        <f>IF(AND(A184&lt;&gt;"",ISNUMBER(A184)),VLOOKUP(A184,Studies!A:BR,5,FALSE),"")</f>
        <v>Itraconazole</v>
      </c>
      <c r="F184" s="198">
        <v>0</v>
      </c>
      <c r="G184" s="198" t="s">
        <v>1023</v>
      </c>
      <c r="H184" s="198" t="s">
        <v>60</v>
      </c>
      <c r="I184" s="190">
        <v>2.48</v>
      </c>
      <c r="J184" s="190" t="s">
        <v>1051</v>
      </c>
      <c r="K184" s="190" t="s">
        <v>116</v>
      </c>
      <c r="L184" s="191">
        <v>0.74</v>
      </c>
      <c r="M184" s="191" t="s">
        <v>1051</v>
      </c>
      <c r="N184" s="191" t="s">
        <v>117</v>
      </c>
      <c r="O184" s="190" t="s">
        <v>1025</v>
      </c>
      <c r="P184" s="192">
        <v>127</v>
      </c>
      <c r="Q184" s="192" t="s">
        <v>1026</v>
      </c>
      <c r="R184" s="192" t="s">
        <v>116</v>
      </c>
      <c r="S184" s="193">
        <v>37</v>
      </c>
      <c r="T184" s="193" t="s">
        <v>1026</v>
      </c>
      <c r="U184" s="193" t="s">
        <v>117</v>
      </c>
      <c r="V184" s="201" t="s">
        <v>1027</v>
      </c>
      <c r="W184" s="196"/>
      <c r="X184" s="196"/>
      <c r="Y184" s="196"/>
      <c r="Z184" s="197"/>
      <c r="AA184" s="197"/>
      <c r="AB184" s="197"/>
      <c r="AC184" s="200"/>
      <c r="AD184" s="202"/>
      <c r="AE184" s="174">
        <f>IF(ISNUMBER(VLOOKUP(A184,NotghiID!A:A,1,FALSE)),1,0)</f>
        <v>0</v>
      </c>
    </row>
    <row r="185" spans="1:31" x14ac:dyDescent="0.2">
      <c r="A185" s="91">
        <v>492</v>
      </c>
      <c r="B185" s="232" t="str">
        <f>IF(AND(A185&lt;&gt;"",ISNUMBER(A185)),VLOOKUP(A185,Studies!A:BR,2,FALSE),"")</f>
        <v>Heykants 1989</v>
      </c>
      <c r="C185" s="232" t="str">
        <f>IF(AND(A185&lt;&gt;"",ISNUMBER(A185)),VLOOKUP(A185,Studies!A:BR,3,FALSE),"")</f>
        <v>https://www.ncbi.nlm.nih.gov/pubmed/2561187</v>
      </c>
      <c r="D185" s="232" t="str">
        <f>IF(AND(A185&lt;&gt;"",ISNUMBER(A185)),VLOOKUP(A185,Studies!A:BR,4,FALSE),"")</f>
        <v>po 100 mg SD (metabolite screening)</v>
      </c>
      <c r="E185" s="206" t="str">
        <f>IF(AND(A185&lt;&gt;"",ISNUMBER(A185)),VLOOKUP(A185,Studies!A:BR,5,FALSE),"")</f>
        <v>Itraconazole</v>
      </c>
      <c r="F185" s="198">
        <v>0</v>
      </c>
      <c r="G185" s="198" t="s">
        <v>1023</v>
      </c>
      <c r="H185" s="198" t="s">
        <v>60</v>
      </c>
      <c r="I185" s="190">
        <v>2.0099999999999998</v>
      </c>
      <c r="J185" s="190" t="s">
        <v>1051</v>
      </c>
      <c r="K185" s="190" t="s">
        <v>116</v>
      </c>
      <c r="L185" s="191">
        <v>1.08</v>
      </c>
      <c r="M185" s="191" t="s">
        <v>1051</v>
      </c>
      <c r="N185" s="191" t="s">
        <v>117</v>
      </c>
      <c r="O185" s="190" t="s">
        <v>1025</v>
      </c>
      <c r="P185" s="192">
        <v>149</v>
      </c>
      <c r="Q185" s="192" t="s">
        <v>1026</v>
      </c>
      <c r="R185" s="192" t="s">
        <v>116</v>
      </c>
      <c r="S185" s="193">
        <v>112</v>
      </c>
      <c r="T185" s="193" t="s">
        <v>1026</v>
      </c>
      <c r="U185" s="193" t="s">
        <v>117</v>
      </c>
      <c r="V185" s="201" t="s">
        <v>1027</v>
      </c>
      <c r="W185" s="196"/>
      <c r="X185" s="196"/>
      <c r="Y185" s="196"/>
      <c r="Z185" s="197"/>
      <c r="AA185" s="197"/>
      <c r="AB185" s="197"/>
      <c r="AC185" s="200"/>
      <c r="AD185" s="202"/>
      <c r="AE185" s="174">
        <f>IF(ISNUMBER(VLOOKUP(A185,NotghiID!A:A,1,FALSE)),1,0)</f>
        <v>0</v>
      </c>
    </row>
    <row r="186" spans="1:31" x14ac:dyDescent="0.2">
      <c r="A186" s="91">
        <v>493</v>
      </c>
      <c r="B186" s="232" t="str">
        <f>IF(AND(A186&lt;&gt;"",ISNUMBER(A186)),VLOOKUP(A186,Studies!A:BR,2,FALSE),"")</f>
        <v>Heykants 1989</v>
      </c>
      <c r="C186" s="232" t="str">
        <f>IF(AND(A186&lt;&gt;"",ISNUMBER(A186)),VLOOKUP(A186,Studies!A:BR,3,FALSE),"")</f>
        <v>https://www.ncbi.nlm.nih.gov/pubmed/2561187</v>
      </c>
      <c r="D186" s="232" t="str">
        <f>IF(AND(A186&lt;&gt;"",ISNUMBER(A186)),VLOOKUP(A186,Studies!A:BR,4,FALSE),"")</f>
        <v>po 100 mg SD (metabolite screening)</v>
      </c>
      <c r="E186" s="206" t="str">
        <f>IF(AND(A186&lt;&gt;"",ISNUMBER(A186)),VLOOKUP(A186,Studies!A:BR,5,FALSE),"")</f>
        <v>Hydroxy-Itraconazole</v>
      </c>
      <c r="F186" s="198">
        <v>0</v>
      </c>
      <c r="G186" s="198" t="s">
        <v>1023</v>
      </c>
      <c r="H186" s="198" t="s">
        <v>60</v>
      </c>
      <c r="I186" s="190">
        <v>4.67</v>
      </c>
      <c r="J186" s="190" t="s">
        <v>1051</v>
      </c>
      <c r="K186" s="190" t="s">
        <v>116</v>
      </c>
      <c r="L186" s="191">
        <v>1.97</v>
      </c>
      <c r="M186" s="191" t="s">
        <v>1051</v>
      </c>
      <c r="N186" s="191" t="s">
        <v>117</v>
      </c>
      <c r="O186" s="190" t="s">
        <v>1025</v>
      </c>
      <c r="P186" s="192">
        <v>255</v>
      </c>
      <c r="Q186" s="192" t="s">
        <v>1026</v>
      </c>
      <c r="R186" s="192" t="s">
        <v>116</v>
      </c>
      <c r="S186" s="193">
        <v>74</v>
      </c>
      <c r="T186" s="193" t="s">
        <v>1026</v>
      </c>
      <c r="U186" s="193" t="s">
        <v>117</v>
      </c>
      <c r="V186" s="201" t="s">
        <v>1027</v>
      </c>
      <c r="W186" s="196"/>
      <c r="X186" s="196"/>
      <c r="Y186" s="196"/>
      <c r="Z186" s="197"/>
      <c r="AA186" s="197"/>
      <c r="AB186" s="197"/>
      <c r="AC186" s="200"/>
      <c r="AD186" s="202"/>
      <c r="AE186" s="174">
        <f>IF(ISNUMBER(VLOOKUP(A186,NotghiID!A:A,1,FALSE)),1,0)</f>
        <v>0</v>
      </c>
    </row>
    <row r="187" spans="1:31" x14ac:dyDescent="0.2">
      <c r="A187" s="91">
        <v>494</v>
      </c>
      <c r="B187" s="232" t="str">
        <f>IF(AND(A187&lt;&gt;"",ISNUMBER(A187)),VLOOKUP(A187,Studies!A:BR,2,FALSE),"")</f>
        <v>Heykants 1989</v>
      </c>
      <c r="C187" s="232" t="str">
        <f>IF(AND(A187&lt;&gt;"",ISNUMBER(A187)),VLOOKUP(A187,Studies!A:BR,3,FALSE),"")</f>
        <v>https://www.ncbi.nlm.nih.gov/pubmed/2561187</v>
      </c>
      <c r="D187" s="232" t="str">
        <f>IF(AND(A187&lt;&gt;"",ISNUMBER(A187)),VLOOKUP(A187,Studies!A:BR,4,FALSE),"")</f>
        <v>po 100 mg MD OD</v>
      </c>
      <c r="E187" s="206" t="str">
        <f>IF(AND(A187&lt;&gt;"",ISNUMBER(A187)),VLOOKUP(A187,Studies!A:BR,5,FALSE),"")</f>
        <v>Itraconazole</v>
      </c>
      <c r="F187" s="198">
        <v>672</v>
      </c>
      <c r="G187" s="198">
        <f>F187+24</f>
        <v>696</v>
      </c>
      <c r="H187" s="198" t="s">
        <v>60</v>
      </c>
      <c r="I187" s="190">
        <v>8.17</v>
      </c>
      <c r="J187" s="190" t="s">
        <v>1051</v>
      </c>
      <c r="K187" s="190" t="s">
        <v>116</v>
      </c>
      <c r="L187" s="191">
        <v>5.23</v>
      </c>
      <c r="M187" s="191" t="s">
        <v>1051</v>
      </c>
      <c r="N187" s="191" t="s">
        <v>117</v>
      </c>
      <c r="O187" s="190" t="s">
        <v>1028</v>
      </c>
      <c r="P187" s="192">
        <v>621</v>
      </c>
      <c r="Q187" s="192" t="s">
        <v>1026</v>
      </c>
      <c r="R187" s="192" t="s">
        <v>116</v>
      </c>
      <c r="S187" s="193">
        <v>337</v>
      </c>
      <c r="T187" s="193" t="s">
        <v>1026</v>
      </c>
      <c r="U187" s="193" t="s">
        <v>117</v>
      </c>
      <c r="V187" s="201" t="s">
        <v>1027</v>
      </c>
      <c r="W187" s="196"/>
      <c r="X187" s="196"/>
      <c r="Y187" s="196"/>
      <c r="Z187" s="197"/>
      <c r="AA187" s="197"/>
      <c r="AB187" s="197"/>
      <c r="AC187" s="200"/>
      <c r="AD187" s="202"/>
      <c r="AE187" s="174">
        <f>IF(ISNUMBER(VLOOKUP(A187,NotghiID!A:A,1,FALSE)),1,0)</f>
        <v>0</v>
      </c>
    </row>
    <row r="188" spans="1:31" x14ac:dyDescent="0.2">
      <c r="A188" s="93">
        <v>496</v>
      </c>
      <c r="B188" s="232" t="str">
        <f>IF(AND(A188&lt;&gt;"",ISNUMBER(A188)),VLOOKUP(A188,Studies!A:BR,2,FALSE),"")</f>
        <v>Miura 2010</v>
      </c>
      <c r="C188" s="232" t="str">
        <f>IF(AND(A188&lt;&gt;"",ISNUMBER(A188)),VLOOKUP(A188,Studies!A:BR,3,FALSE),"")</f>
        <v>https://www.ncbi.nlm.nih.gov/pubmed/20595406</v>
      </c>
      <c r="D188" s="232" t="str">
        <f>IF(AND(A188&lt;&gt;"",ISNUMBER(A188)),VLOOKUP(A188,Studies!A:BR,4,FALSE),"")</f>
        <v>po 100 mg MD Japanese</v>
      </c>
      <c r="E188" s="206" t="str">
        <f>IF(AND(A188&lt;&gt;"",ISNUMBER(A188)),VLOOKUP(A188,Studies!A:BR,5,FALSE),"")</f>
        <v>Itraconazole</v>
      </c>
      <c r="F188" s="198">
        <f>9*24</f>
        <v>216</v>
      </c>
      <c r="G188" s="198">
        <f>F188+24</f>
        <v>240</v>
      </c>
      <c r="H188" s="198" t="s">
        <v>60</v>
      </c>
      <c r="I188" s="190">
        <v>7908</v>
      </c>
      <c r="J188" s="190" t="s">
        <v>1024</v>
      </c>
      <c r="K188" s="190" t="s">
        <v>116</v>
      </c>
      <c r="L188" s="191">
        <v>2542</v>
      </c>
      <c r="M188" s="191" t="s">
        <v>1024</v>
      </c>
      <c r="N188" s="191" t="s">
        <v>117</v>
      </c>
      <c r="O188" s="190" t="s">
        <v>1028</v>
      </c>
      <c r="P188" s="192">
        <v>653</v>
      </c>
      <c r="Q188" s="192" t="s">
        <v>1026</v>
      </c>
      <c r="R188" s="192" t="s">
        <v>116</v>
      </c>
      <c r="S188" s="193">
        <v>269</v>
      </c>
      <c r="T188" s="193" t="s">
        <v>1026</v>
      </c>
      <c r="U188" s="193" t="s">
        <v>117</v>
      </c>
      <c r="V188" s="201" t="s">
        <v>1027</v>
      </c>
      <c r="W188" s="196"/>
      <c r="X188" s="196"/>
      <c r="Y188" s="196"/>
      <c r="Z188" s="197"/>
      <c r="AA188" s="197"/>
      <c r="AB188" s="197"/>
      <c r="AC188" s="200"/>
      <c r="AD188" s="202"/>
      <c r="AE188" s="174">
        <f>IF(ISNUMBER(VLOOKUP(A188,NotghiID!A:A,1,FALSE)),1,0)</f>
        <v>0</v>
      </c>
    </row>
    <row r="189" spans="1:31" x14ac:dyDescent="0.2">
      <c r="A189" s="93">
        <v>497</v>
      </c>
      <c r="B189" s="232" t="str">
        <f>IF(AND(A189&lt;&gt;"",ISNUMBER(A189)),VLOOKUP(A189,Studies!A:BR,2,FALSE),"")</f>
        <v>Miura 2010</v>
      </c>
      <c r="C189" s="232" t="str">
        <f>IF(AND(A189&lt;&gt;"",ISNUMBER(A189)),VLOOKUP(A189,Studies!A:BR,3,FALSE),"")</f>
        <v>https://www.ncbi.nlm.nih.gov/pubmed/20595406</v>
      </c>
      <c r="D189" s="232" t="str">
        <f>IF(AND(A189&lt;&gt;"",ISNUMBER(A189)),VLOOKUP(A189,Studies!A:BR,4,FALSE),"")</f>
        <v>po 100 mg MD Japanese</v>
      </c>
      <c r="E189" s="206" t="str">
        <f>IF(AND(A189&lt;&gt;"",ISNUMBER(A189)),VLOOKUP(A189,Studies!A:BR,5,FALSE),"")</f>
        <v>Hydroxy-Itraconazole</v>
      </c>
      <c r="F189" s="198">
        <f>9*24</f>
        <v>216</v>
      </c>
      <c r="G189" s="198">
        <f>F189+24</f>
        <v>240</v>
      </c>
      <c r="H189" s="198" t="s">
        <v>60</v>
      </c>
      <c r="I189" s="190">
        <v>15795</v>
      </c>
      <c r="J189" s="190" t="s">
        <v>1024</v>
      </c>
      <c r="K189" s="190" t="s">
        <v>116</v>
      </c>
      <c r="L189" s="191">
        <v>5286</v>
      </c>
      <c r="M189" s="191" t="s">
        <v>1024</v>
      </c>
      <c r="N189" s="191" t="s">
        <v>117</v>
      </c>
      <c r="O189" s="190" t="s">
        <v>1028</v>
      </c>
      <c r="P189" s="192">
        <v>1059</v>
      </c>
      <c r="Q189" s="192" t="s">
        <v>1026</v>
      </c>
      <c r="R189" s="192" t="s">
        <v>116</v>
      </c>
      <c r="S189" s="193">
        <v>598</v>
      </c>
      <c r="T189" s="193" t="s">
        <v>1026</v>
      </c>
      <c r="U189" s="193" t="s">
        <v>117</v>
      </c>
      <c r="V189" s="201" t="s">
        <v>1027</v>
      </c>
      <c r="W189" s="196"/>
      <c r="X189" s="196"/>
      <c r="Y189" s="196"/>
      <c r="Z189" s="197"/>
      <c r="AA189" s="197"/>
      <c r="AB189" s="197"/>
      <c r="AC189" s="200"/>
      <c r="AD189" s="202"/>
      <c r="AE189" s="174">
        <f>IF(ISNUMBER(VLOOKUP(A189,NotghiID!A:A,1,FALSE)),1,0)</f>
        <v>0</v>
      </c>
    </row>
    <row r="190" spans="1:31" x14ac:dyDescent="0.2">
      <c r="A190" s="174">
        <v>498</v>
      </c>
      <c r="B190" s="232" t="str">
        <f>IF(AND(A190&lt;&gt;"",ISNUMBER(A190)),VLOOKUP(A190,Studies!A:BR,2,FALSE),"")</f>
        <v>Gubbins 2004</v>
      </c>
      <c r="C190" s="232" t="str">
        <f>IF(AND(A190&lt;&gt;"",ISNUMBER(A190)),VLOOKUP(A190,Studies!A:BR,3,FALSE),"")</f>
        <v>https://www.ncbi.nlm.nih.gov/pubmed/15098799</v>
      </c>
      <c r="D190" s="232" t="str">
        <f>IF(AND(A190&lt;&gt;"",ISNUMBER(A190)),VLOOKUP(A190,Studies!A:BR,4,FALSE),"")</f>
        <v>po 200 mg solution with water</v>
      </c>
      <c r="E190" s="206" t="str">
        <f>IF(AND(A190&lt;&gt;"",ISNUMBER(A190)),VLOOKUP(A190,Studies!A:BR,5,FALSE),"")</f>
        <v>Itraconazole</v>
      </c>
      <c r="F190" s="198">
        <v>0</v>
      </c>
      <c r="G190" s="198" t="s">
        <v>1023</v>
      </c>
      <c r="H190" s="198" t="s">
        <v>60</v>
      </c>
      <c r="I190" s="190">
        <v>7.07</v>
      </c>
      <c r="J190" s="190" t="s">
        <v>1055</v>
      </c>
      <c r="K190" s="190" t="s">
        <v>116</v>
      </c>
      <c r="L190" s="191">
        <v>1.77</v>
      </c>
      <c r="M190" s="191" t="s">
        <v>1060</v>
      </c>
      <c r="N190" s="191" t="s">
        <v>117</v>
      </c>
      <c r="O190" s="190" t="s">
        <v>1025</v>
      </c>
      <c r="P190" s="192">
        <v>589.9</v>
      </c>
      <c r="Q190" s="192" t="s">
        <v>1026</v>
      </c>
      <c r="R190" s="192" t="s">
        <v>116</v>
      </c>
      <c r="S190" s="193">
        <v>244.2</v>
      </c>
      <c r="T190" s="193" t="s">
        <v>1026</v>
      </c>
      <c r="U190" s="193" t="s">
        <v>117</v>
      </c>
      <c r="V190" s="201" t="s">
        <v>1027</v>
      </c>
      <c r="W190" s="196">
        <v>0.43</v>
      </c>
      <c r="X190" s="196" t="s">
        <v>1032</v>
      </c>
      <c r="Y190" s="196" t="s">
        <v>116</v>
      </c>
      <c r="Z190" s="197">
        <v>0.17</v>
      </c>
      <c r="AA190" s="197" t="s">
        <v>1032</v>
      </c>
      <c r="AB190" s="197" t="s">
        <v>117</v>
      </c>
      <c r="AC190" s="200" t="s">
        <v>1033</v>
      </c>
      <c r="AD190" s="202"/>
      <c r="AE190" s="174">
        <f>IF(ISNUMBER(VLOOKUP(A190,NotghiID!A:A,1,FALSE)),1,0)</f>
        <v>0</v>
      </c>
    </row>
    <row r="191" spans="1:31" x14ac:dyDescent="0.2">
      <c r="A191" s="174">
        <v>499</v>
      </c>
      <c r="B191" s="232" t="str">
        <f>IF(AND(A191&lt;&gt;"",ISNUMBER(A191)),VLOOKUP(A191,Studies!A:BR,2,FALSE),"")</f>
        <v>Gubbins 2004</v>
      </c>
      <c r="C191" s="232" t="str">
        <f>IF(AND(A191&lt;&gt;"",ISNUMBER(A191)),VLOOKUP(A191,Studies!A:BR,3,FALSE),"")</f>
        <v>https://www.ncbi.nlm.nih.gov/pubmed/15098799</v>
      </c>
      <c r="D191" s="232" t="str">
        <f>IF(AND(A191&lt;&gt;"",ISNUMBER(A191)),VLOOKUP(A191,Studies!A:BR,4,FALSE),"")</f>
        <v>po 200 mg solution with water</v>
      </c>
      <c r="E191" s="206" t="str">
        <f>IF(AND(A191&lt;&gt;"",ISNUMBER(A191)),VLOOKUP(A191,Studies!A:BR,5,FALSE),"")</f>
        <v>Hydroxy-Itraconazole</v>
      </c>
      <c r="F191" s="198">
        <v>0</v>
      </c>
      <c r="G191" s="198" t="s">
        <v>1023</v>
      </c>
      <c r="H191" s="198" t="s">
        <v>60</v>
      </c>
      <c r="I191" s="190">
        <v>16.5</v>
      </c>
      <c r="J191" s="190" t="s">
        <v>1055</v>
      </c>
      <c r="K191" s="190" t="s">
        <v>116</v>
      </c>
      <c r="L191" s="191">
        <v>5</v>
      </c>
      <c r="M191" s="191" t="s">
        <v>1060</v>
      </c>
      <c r="N191" s="191" t="s">
        <v>117</v>
      </c>
      <c r="O191" s="190" t="s">
        <v>1025</v>
      </c>
      <c r="P191" s="192">
        <v>766.1</v>
      </c>
      <c r="Q191" s="192" t="s">
        <v>1026</v>
      </c>
      <c r="R191" s="192" t="s">
        <v>116</v>
      </c>
      <c r="S191" s="193">
        <v>218.4</v>
      </c>
      <c r="T191" s="193" t="s">
        <v>1026</v>
      </c>
      <c r="U191" s="193" t="s">
        <v>117</v>
      </c>
      <c r="V191" s="201" t="s">
        <v>1027</v>
      </c>
      <c r="W191" s="196"/>
      <c r="X191" s="196"/>
      <c r="Y191" s="196"/>
      <c r="Z191" s="197"/>
      <c r="AA191" s="197"/>
      <c r="AB191" s="197"/>
      <c r="AC191" s="200"/>
      <c r="AD191" s="202"/>
      <c r="AE191" s="174">
        <f>IF(ISNUMBER(VLOOKUP(A191,NotghiID!A:A,1,FALSE)),1,0)</f>
        <v>0</v>
      </c>
    </row>
    <row r="192" spans="1:31" x14ac:dyDescent="0.2">
      <c r="A192" s="174">
        <v>500</v>
      </c>
      <c r="B192" s="232" t="str">
        <f>IF(AND(A192&lt;&gt;"",ISNUMBER(A192)),VLOOKUP(A192,Studies!A:BR,2,FALSE),"")</f>
        <v>Gubbins 2004</v>
      </c>
      <c r="C192" s="232" t="str">
        <f>IF(AND(A192&lt;&gt;"",ISNUMBER(A192)),VLOOKUP(A192,Studies!A:BR,3,FALSE),"")</f>
        <v>https://www.ncbi.nlm.nih.gov/pubmed/15098799</v>
      </c>
      <c r="D192" s="232" t="str">
        <f>IF(AND(A192&lt;&gt;"",ISNUMBER(A192)),VLOOKUP(A192,Studies!A:BR,4,FALSE),"")</f>
        <v>po 200 mg solution with GFJ</v>
      </c>
      <c r="E192" s="206" t="str">
        <f>IF(AND(A192&lt;&gt;"",ISNUMBER(A192)),VLOOKUP(A192,Studies!A:BR,5,FALSE),"")</f>
        <v>Itraconazole</v>
      </c>
      <c r="F192" s="198">
        <v>0</v>
      </c>
      <c r="G192" s="198" t="s">
        <v>1023</v>
      </c>
      <c r="H192" s="198" t="s">
        <v>60</v>
      </c>
      <c r="I192" s="190">
        <v>8.4499999999999993</v>
      </c>
      <c r="J192" s="190" t="s">
        <v>1055</v>
      </c>
      <c r="K192" s="190" t="s">
        <v>116</v>
      </c>
      <c r="L192" s="191">
        <v>2.91</v>
      </c>
      <c r="M192" s="191" t="s">
        <v>1060</v>
      </c>
      <c r="N192" s="191" t="s">
        <v>117</v>
      </c>
      <c r="O192" s="190" t="s">
        <v>1025</v>
      </c>
      <c r="P192" s="192">
        <v>580.6</v>
      </c>
      <c r="Q192" s="192" t="s">
        <v>1026</v>
      </c>
      <c r="R192" s="192" t="s">
        <v>116</v>
      </c>
      <c r="S192" s="193">
        <v>252.8</v>
      </c>
      <c r="T192" s="193" t="s">
        <v>1026</v>
      </c>
      <c r="U192" s="193" t="s">
        <v>117</v>
      </c>
      <c r="V192" s="201" t="s">
        <v>1027</v>
      </c>
      <c r="W192" s="196">
        <v>0.37</v>
      </c>
      <c r="X192" s="196" t="s">
        <v>1032</v>
      </c>
      <c r="Y192" s="196" t="s">
        <v>116</v>
      </c>
      <c r="Z192" s="197">
        <v>0.16</v>
      </c>
      <c r="AA192" s="197" t="s">
        <v>1032</v>
      </c>
      <c r="AB192" s="197" t="s">
        <v>117</v>
      </c>
      <c r="AC192" s="200" t="s">
        <v>1033</v>
      </c>
      <c r="AD192" s="202"/>
      <c r="AE192" s="174">
        <f>IF(ISNUMBER(VLOOKUP(A192,NotghiID!A:A,1,FALSE)),1,0)</f>
        <v>0</v>
      </c>
    </row>
    <row r="193" spans="1:31" x14ac:dyDescent="0.2">
      <c r="A193" s="174">
        <v>501</v>
      </c>
      <c r="B193" s="232" t="str">
        <f>IF(AND(A193&lt;&gt;"",ISNUMBER(A193)),VLOOKUP(A193,Studies!A:BR,2,FALSE),"")</f>
        <v>Gubbins 2004</v>
      </c>
      <c r="C193" s="232" t="str">
        <f>IF(AND(A193&lt;&gt;"",ISNUMBER(A193)),VLOOKUP(A193,Studies!A:BR,3,FALSE),"")</f>
        <v>https://www.ncbi.nlm.nih.gov/pubmed/15098799</v>
      </c>
      <c r="D193" s="232" t="str">
        <f>IF(AND(A193&lt;&gt;"",ISNUMBER(A193)),VLOOKUP(A193,Studies!A:BR,4,FALSE),"")</f>
        <v>po 200 mg solution with GFJ</v>
      </c>
      <c r="E193" s="206" t="str">
        <f>IF(AND(A193&lt;&gt;"",ISNUMBER(A193)),VLOOKUP(A193,Studies!A:BR,5,FALSE),"")</f>
        <v>Hydroxy-Itraconazole</v>
      </c>
      <c r="F193" s="198">
        <v>0</v>
      </c>
      <c r="G193" s="198" t="s">
        <v>1023</v>
      </c>
      <c r="H193" s="198" t="s">
        <v>60</v>
      </c>
      <c r="I193" s="190">
        <v>17.899999999999999</v>
      </c>
      <c r="J193" s="190" t="s">
        <v>1055</v>
      </c>
      <c r="K193" s="190" t="s">
        <v>116</v>
      </c>
      <c r="L193" s="191">
        <v>6.7</v>
      </c>
      <c r="M193" s="191" t="s">
        <v>1060</v>
      </c>
      <c r="N193" s="191" t="s">
        <v>117</v>
      </c>
      <c r="O193" s="190" t="s">
        <v>1025</v>
      </c>
      <c r="P193" s="192">
        <v>690.7</v>
      </c>
      <c r="Q193" s="192" t="s">
        <v>1026</v>
      </c>
      <c r="R193" s="192" t="s">
        <v>116</v>
      </c>
      <c r="S193" s="193">
        <v>248.3</v>
      </c>
      <c r="T193" s="193" t="s">
        <v>1026</v>
      </c>
      <c r="U193" s="193" t="s">
        <v>117</v>
      </c>
      <c r="V193" s="201" t="s">
        <v>1027</v>
      </c>
      <c r="W193" s="196"/>
      <c r="X193" s="196"/>
      <c r="Y193" s="196"/>
      <c r="Z193" s="197"/>
      <c r="AA193" s="197"/>
      <c r="AB193" s="197"/>
      <c r="AC193" s="200"/>
      <c r="AD193" s="202"/>
      <c r="AE193" s="174">
        <f>IF(ISNUMBER(VLOOKUP(A193,NotghiID!A:A,1,FALSE)),1,0)</f>
        <v>0</v>
      </c>
    </row>
    <row r="194" spans="1:31" x14ac:dyDescent="0.2">
      <c r="A194" s="174">
        <v>502</v>
      </c>
      <c r="B194" s="232" t="str">
        <f>IF(AND(A194&lt;&gt;"",ISNUMBER(A194)),VLOOKUP(A194,Studies!A:BR,2,FALSE),"")</f>
        <v>Gubbins 2007</v>
      </c>
      <c r="C194" s="232" t="str">
        <f>IF(AND(A194&lt;&gt;"",ISNUMBER(A194)),VLOOKUP(A194,Studies!A:BR,3,FALSE),"")</f>
        <v>https://www.ncbi.nlm.nih.gov/pubmed/18172627</v>
      </c>
      <c r="D194" s="232" t="str">
        <f>IF(AND(A194&lt;&gt;"",ISNUMBER(A194)),VLOOKUP(A194,Studies!A:BR,4,FALSE),"")</f>
        <v>po 200 mg solution female with water</v>
      </c>
      <c r="E194" s="206" t="str">
        <f>IF(AND(A194&lt;&gt;"",ISNUMBER(A194)),VLOOKUP(A194,Studies!A:BR,5,FALSE),"")</f>
        <v>Itraconazole</v>
      </c>
      <c r="F194" s="198">
        <v>0</v>
      </c>
      <c r="G194" s="198" t="s">
        <v>1023</v>
      </c>
      <c r="H194" s="198" t="s">
        <v>60</v>
      </c>
      <c r="I194" s="190">
        <v>6.7</v>
      </c>
      <c r="J194" s="190" t="s">
        <v>1055</v>
      </c>
      <c r="K194" s="190" t="s">
        <v>116</v>
      </c>
      <c r="L194" s="191">
        <v>1.8</v>
      </c>
      <c r="M194" s="191" t="s">
        <v>1060</v>
      </c>
      <c r="N194" s="191" t="s">
        <v>117</v>
      </c>
      <c r="O194" s="190" t="s">
        <v>1025</v>
      </c>
      <c r="P194" s="192">
        <v>545.5</v>
      </c>
      <c r="Q194" s="192" t="s">
        <v>1026</v>
      </c>
      <c r="R194" s="192" t="s">
        <v>116</v>
      </c>
      <c r="S194" s="193">
        <v>212.5</v>
      </c>
      <c r="T194" s="193" t="s">
        <v>1026</v>
      </c>
      <c r="U194" s="193" t="s">
        <v>117</v>
      </c>
      <c r="V194" s="201" t="s">
        <v>1027</v>
      </c>
      <c r="W194" s="196">
        <v>0.53</v>
      </c>
      <c r="X194" s="196" t="s">
        <v>1032</v>
      </c>
      <c r="Y194" s="196" t="s">
        <v>116</v>
      </c>
      <c r="Z194" s="197">
        <v>0.19</v>
      </c>
      <c r="AA194" s="197" t="s">
        <v>1032</v>
      </c>
      <c r="AB194" s="197" t="s">
        <v>117</v>
      </c>
      <c r="AC194" s="200" t="s">
        <v>1033</v>
      </c>
      <c r="AD194" s="202"/>
      <c r="AE194" s="174">
        <f>IF(ISNUMBER(VLOOKUP(A194,NotghiID!A:A,1,FALSE)),1,0)</f>
        <v>0</v>
      </c>
    </row>
    <row r="195" spans="1:31" x14ac:dyDescent="0.2">
      <c r="A195" s="174">
        <v>503</v>
      </c>
      <c r="B195" s="232" t="str">
        <f>IF(AND(A195&lt;&gt;"",ISNUMBER(A195)),VLOOKUP(A195,Studies!A:BR,2,FALSE),"")</f>
        <v>Gubbins 2007</v>
      </c>
      <c r="C195" s="232" t="str">
        <f>IF(AND(A195&lt;&gt;"",ISNUMBER(A195)),VLOOKUP(A195,Studies!A:BR,3,FALSE),"")</f>
        <v>https://www.ncbi.nlm.nih.gov/pubmed/18172627</v>
      </c>
      <c r="D195" s="232" t="str">
        <f>IF(AND(A195&lt;&gt;"",ISNUMBER(A195)),VLOOKUP(A195,Studies!A:BR,4,FALSE),"")</f>
        <v>po 200 mg solution female with water</v>
      </c>
      <c r="E195" s="206" t="str">
        <f>IF(AND(A195&lt;&gt;"",ISNUMBER(A195)),VLOOKUP(A195,Studies!A:BR,5,FALSE),"")</f>
        <v>Hydroxy-Itraconazole</v>
      </c>
      <c r="F195" s="198">
        <v>0</v>
      </c>
      <c r="G195" s="198" t="s">
        <v>1023</v>
      </c>
      <c r="H195" s="198" t="s">
        <v>60</v>
      </c>
      <c r="I195" s="190">
        <v>16.7</v>
      </c>
      <c r="J195" s="190" t="s">
        <v>1055</v>
      </c>
      <c r="K195" s="190" t="s">
        <v>116</v>
      </c>
      <c r="L195" s="191">
        <v>6.3</v>
      </c>
      <c r="M195" s="191" t="s">
        <v>1060</v>
      </c>
      <c r="N195" s="191" t="s">
        <v>117</v>
      </c>
      <c r="O195" s="190" t="s">
        <v>1025</v>
      </c>
      <c r="P195" s="192">
        <v>799.3</v>
      </c>
      <c r="Q195" s="192" t="s">
        <v>1026</v>
      </c>
      <c r="R195" s="192" t="s">
        <v>116</v>
      </c>
      <c r="S195" s="193">
        <v>281.89999999999998</v>
      </c>
      <c r="T195" s="193" t="s">
        <v>1026</v>
      </c>
      <c r="U195" s="193" t="s">
        <v>117</v>
      </c>
      <c r="V195" s="201" t="s">
        <v>1027</v>
      </c>
      <c r="W195" s="196"/>
      <c r="X195" s="196"/>
      <c r="Y195" s="196"/>
      <c r="Z195" s="197"/>
      <c r="AA195" s="197"/>
      <c r="AB195" s="197"/>
      <c r="AC195" s="200"/>
      <c r="AD195" s="202"/>
      <c r="AE195" s="174">
        <f>IF(ISNUMBER(VLOOKUP(A195,NotghiID!A:A,1,FALSE)),1,0)</f>
        <v>0</v>
      </c>
    </row>
    <row r="196" spans="1:31" x14ac:dyDescent="0.2">
      <c r="A196" s="174">
        <v>504</v>
      </c>
      <c r="B196" s="232" t="str">
        <f>IF(AND(A196&lt;&gt;"",ISNUMBER(A196)),VLOOKUP(A196,Studies!A:BR,2,FALSE),"")</f>
        <v>Gubbins 2007</v>
      </c>
      <c r="C196" s="232" t="str">
        <f>IF(AND(A196&lt;&gt;"",ISNUMBER(A196)),VLOOKUP(A196,Studies!A:BR,3,FALSE),"")</f>
        <v>https://www.ncbi.nlm.nih.gov/pubmed/18172627</v>
      </c>
      <c r="D196" s="232" t="str">
        <f>IF(AND(A196&lt;&gt;"",ISNUMBER(A196)),VLOOKUP(A196,Studies!A:BR,4,FALSE),"")</f>
        <v>po 200 mg solution male with water</v>
      </c>
      <c r="E196" s="206" t="str">
        <f>IF(AND(A196&lt;&gt;"",ISNUMBER(A196)),VLOOKUP(A196,Studies!A:BR,5,FALSE),"")</f>
        <v>Itraconazole</v>
      </c>
      <c r="F196" s="198">
        <v>0</v>
      </c>
      <c r="G196" s="198" t="s">
        <v>1023</v>
      </c>
      <c r="H196" s="198" t="s">
        <v>60</v>
      </c>
      <c r="I196" s="190">
        <v>7.4</v>
      </c>
      <c r="J196" s="190" t="s">
        <v>1055</v>
      </c>
      <c r="K196" s="190" t="s">
        <v>116</v>
      </c>
      <c r="L196" s="191">
        <v>1.8</v>
      </c>
      <c r="M196" s="191" t="s">
        <v>1060</v>
      </c>
      <c r="N196" s="191" t="s">
        <v>117</v>
      </c>
      <c r="O196" s="190" t="s">
        <v>1025</v>
      </c>
      <c r="P196" s="192">
        <v>634.20000000000005</v>
      </c>
      <c r="Q196" s="192" t="s">
        <v>1026</v>
      </c>
      <c r="R196" s="192" t="s">
        <v>116</v>
      </c>
      <c r="S196" s="193">
        <v>276.3</v>
      </c>
      <c r="T196" s="193" t="s">
        <v>1026</v>
      </c>
      <c r="U196" s="193" t="s">
        <v>117</v>
      </c>
      <c r="V196" s="201" t="s">
        <v>1027</v>
      </c>
      <c r="W196" s="196">
        <v>0.43</v>
      </c>
      <c r="X196" s="196" t="s">
        <v>1032</v>
      </c>
      <c r="Y196" s="196" t="s">
        <v>116</v>
      </c>
      <c r="Z196" s="197">
        <v>0.19</v>
      </c>
      <c r="AA196" s="197" t="s">
        <v>1032</v>
      </c>
      <c r="AB196" s="197" t="s">
        <v>117</v>
      </c>
      <c r="AC196" s="200" t="s">
        <v>1033</v>
      </c>
      <c r="AD196" s="202"/>
      <c r="AE196" s="174">
        <f>IF(ISNUMBER(VLOOKUP(A196,NotghiID!A:A,1,FALSE)),1,0)</f>
        <v>0</v>
      </c>
    </row>
    <row r="197" spans="1:31" x14ac:dyDescent="0.2">
      <c r="A197" s="174">
        <v>505</v>
      </c>
      <c r="B197" s="232" t="str">
        <f>IF(AND(A197&lt;&gt;"",ISNUMBER(A197)),VLOOKUP(A197,Studies!A:BR,2,FALSE),"")</f>
        <v>Gubbins 2007</v>
      </c>
      <c r="C197" s="232" t="str">
        <f>IF(AND(A197&lt;&gt;"",ISNUMBER(A197)),VLOOKUP(A197,Studies!A:BR,3,FALSE),"")</f>
        <v>https://www.ncbi.nlm.nih.gov/pubmed/18172627</v>
      </c>
      <c r="D197" s="232" t="str">
        <f>IF(AND(A197&lt;&gt;"",ISNUMBER(A197)),VLOOKUP(A197,Studies!A:BR,4,FALSE),"")</f>
        <v>po 200 mg solution male with water</v>
      </c>
      <c r="E197" s="206" t="str">
        <f>IF(AND(A197&lt;&gt;"",ISNUMBER(A197)),VLOOKUP(A197,Studies!A:BR,5,FALSE),"")</f>
        <v>Hydroxy-Itraconazole</v>
      </c>
      <c r="F197" s="198">
        <v>0</v>
      </c>
      <c r="G197" s="198" t="s">
        <v>1023</v>
      </c>
      <c r="H197" s="198" t="s">
        <v>60</v>
      </c>
      <c r="I197" s="190">
        <v>16.399999999999999</v>
      </c>
      <c r="J197" s="190" t="s">
        <v>1055</v>
      </c>
      <c r="K197" s="190" t="s">
        <v>116</v>
      </c>
      <c r="L197" s="191">
        <v>3.6</v>
      </c>
      <c r="M197" s="191" t="s">
        <v>1060</v>
      </c>
      <c r="N197" s="191" t="s">
        <v>117</v>
      </c>
      <c r="O197" s="190" t="s">
        <v>1025</v>
      </c>
      <c r="P197" s="192">
        <v>732.8</v>
      </c>
      <c r="Q197" s="192" t="s">
        <v>1026</v>
      </c>
      <c r="R197" s="192" t="s">
        <v>116</v>
      </c>
      <c r="S197" s="193">
        <v>137.1</v>
      </c>
      <c r="T197" s="193" t="s">
        <v>1026</v>
      </c>
      <c r="U197" s="193" t="s">
        <v>117</v>
      </c>
      <c r="V197" s="201" t="s">
        <v>1027</v>
      </c>
      <c r="W197" s="196"/>
      <c r="X197" s="196"/>
      <c r="Y197" s="196"/>
      <c r="Z197" s="197"/>
      <c r="AA197" s="197"/>
      <c r="AB197" s="197"/>
      <c r="AC197" s="200"/>
      <c r="AD197" s="202"/>
      <c r="AE197" s="174">
        <f>IF(ISNUMBER(VLOOKUP(A197,NotghiID!A:A,1,FALSE)),1,0)</f>
        <v>0</v>
      </c>
    </row>
    <row r="198" spans="1:31" x14ac:dyDescent="0.2">
      <c r="A198" s="174">
        <v>506</v>
      </c>
      <c r="B198" s="232" t="str">
        <f>IF(AND(A198&lt;&gt;"",ISNUMBER(A198)),VLOOKUP(A198,Studies!A:BR,2,FALSE),"")</f>
        <v>Gubbins 2007</v>
      </c>
      <c r="C198" s="232" t="str">
        <f>IF(AND(A198&lt;&gt;"",ISNUMBER(A198)),VLOOKUP(A198,Studies!A:BR,3,FALSE),"")</f>
        <v>https://www.ncbi.nlm.nih.gov/pubmed/18172627</v>
      </c>
      <c r="D198" s="232" t="str">
        <f>IF(AND(A198&lt;&gt;"",ISNUMBER(A198)),VLOOKUP(A198,Studies!A:BR,4,FALSE),"")</f>
        <v>po 200 mg solution female with GFJ</v>
      </c>
      <c r="E198" s="206" t="str">
        <f>IF(AND(A198&lt;&gt;"",ISNUMBER(A198)),VLOOKUP(A198,Studies!A:BR,5,FALSE),"")</f>
        <v>Itraconazole</v>
      </c>
      <c r="F198" s="198">
        <v>0</v>
      </c>
      <c r="G198" s="198" t="s">
        <v>1023</v>
      </c>
      <c r="H198" s="198" t="s">
        <v>60</v>
      </c>
      <c r="I198" s="190">
        <v>8.6999999999999993</v>
      </c>
      <c r="J198" s="190" t="s">
        <v>1055</v>
      </c>
      <c r="K198" s="190" t="s">
        <v>116</v>
      </c>
      <c r="L198" s="191">
        <v>3.6</v>
      </c>
      <c r="M198" s="191" t="s">
        <v>1060</v>
      </c>
      <c r="N198" s="191" t="s">
        <v>117</v>
      </c>
      <c r="O198" s="190" t="s">
        <v>1025</v>
      </c>
      <c r="P198" s="192">
        <v>577.20000000000005</v>
      </c>
      <c r="Q198" s="192" t="s">
        <v>1026</v>
      </c>
      <c r="R198" s="192" t="s">
        <v>116</v>
      </c>
      <c r="S198" s="193">
        <v>256.60000000000002</v>
      </c>
      <c r="T198" s="193" t="s">
        <v>1026</v>
      </c>
      <c r="U198" s="193" t="s">
        <v>117</v>
      </c>
      <c r="V198" s="201" t="s">
        <v>1027</v>
      </c>
      <c r="W198" s="196">
        <v>0.34</v>
      </c>
      <c r="X198" s="196" t="s">
        <v>1032</v>
      </c>
      <c r="Y198" s="196" t="s">
        <v>116</v>
      </c>
      <c r="Z198" s="197">
        <v>0.08</v>
      </c>
      <c r="AA198" s="197" t="s">
        <v>1032</v>
      </c>
      <c r="AB198" s="197" t="s">
        <v>117</v>
      </c>
      <c r="AC198" s="200" t="s">
        <v>1033</v>
      </c>
      <c r="AD198" s="202"/>
      <c r="AE198" s="174">
        <f>IF(ISNUMBER(VLOOKUP(A198,NotghiID!A:A,1,FALSE)),1,0)</f>
        <v>0</v>
      </c>
    </row>
    <row r="199" spans="1:31" x14ac:dyDescent="0.2">
      <c r="A199" s="174">
        <v>507</v>
      </c>
      <c r="B199" s="232" t="str">
        <f>IF(AND(A199&lt;&gt;"",ISNUMBER(A199)),VLOOKUP(A199,Studies!A:BR,2,FALSE),"")</f>
        <v>Gubbins 2007</v>
      </c>
      <c r="C199" s="232" t="str">
        <f>IF(AND(A199&lt;&gt;"",ISNUMBER(A199)),VLOOKUP(A199,Studies!A:BR,3,FALSE),"")</f>
        <v>https://www.ncbi.nlm.nih.gov/pubmed/18172627</v>
      </c>
      <c r="D199" s="232" t="str">
        <f>IF(AND(A199&lt;&gt;"",ISNUMBER(A199)),VLOOKUP(A199,Studies!A:BR,4,FALSE),"")</f>
        <v>po 200 mg solution female with GFJ</v>
      </c>
      <c r="E199" s="206" t="str">
        <f>IF(AND(A199&lt;&gt;"",ISNUMBER(A199)),VLOOKUP(A199,Studies!A:BR,5,FALSE),"")</f>
        <v>Hydroxy-Itraconazole</v>
      </c>
      <c r="F199" s="198">
        <v>0</v>
      </c>
      <c r="G199" s="198" t="s">
        <v>1023</v>
      </c>
      <c r="H199" s="198" t="s">
        <v>60</v>
      </c>
      <c r="I199" s="190">
        <v>19.3</v>
      </c>
      <c r="J199" s="190" t="s">
        <v>1055</v>
      </c>
      <c r="K199" s="190" t="s">
        <v>116</v>
      </c>
      <c r="L199" s="191">
        <v>8.8000000000000007</v>
      </c>
      <c r="M199" s="191" t="s">
        <v>1060</v>
      </c>
      <c r="N199" s="191" t="s">
        <v>117</v>
      </c>
      <c r="O199" s="190" t="s">
        <v>1025</v>
      </c>
      <c r="P199" s="192">
        <v>748.3</v>
      </c>
      <c r="Q199" s="192" t="s">
        <v>1026</v>
      </c>
      <c r="R199" s="192" t="s">
        <v>116</v>
      </c>
      <c r="S199" s="193">
        <v>317.2</v>
      </c>
      <c r="T199" s="193" t="s">
        <v>1026</v>
      </c>
      <c r="U199" s="193" t="s">
        <v>117</v>
      </c>
      <c r="V199" s="201" t="s">
        <v>1027</v>
      </c>
      <c r="W199" s="196"/>
      <c r="X199" s="196"/>
      <c r="Y199" s="196"/>
      <c r="Z199" s="197"/>
      <c r="AA199" s="197"/>
      <c r="AB199" s="197"/>
      <c r="AC199" s="200"/>
      <c r="AD199" s="202"/>
      <c r="AE199" s="174">
        <f>IF(ISNUMBER(VLOOKUP(A199,NotghiID!A:A,1,FALSE)),1,0)</f>
        <v>0</v>
      </c>
    </row>
    <row r="200" spans="1:31" x14ac:dyDescent="0.2">
      <c r="A200" s="174">
        <v>508</v>
      </c>
      <c r="B200" s="232" t="str">
        <f>IF(AND(A200&lt;&gt;"",ISNUMBER(A200)),VLOOKUP(A200,Studies!A:BR,2,FALSE),"")</f>
        <v>Gubbins 2007</v>
      </c>
      <c r="C200" s="232" t="str">
        <f>IF(AND(A200&lt;&gt;"",ISNUMBER(A200)),VLOOKUP(A200,Studies!A:BR,3,FALSE),"")</f>
        <v>https://www.ncbi.nlm.nih.gov/pubmed/18172627</v>
      </c>
      <c r="D200" s="232" t="str">
        <f>IF(AND(A200&lt;&gt;"",ISNUMBER(A200)),VLOOKUP(A200,Studies!A:BR,4,FALSE),"")</f>
        <v>po 200 mg solution male with GFJ</v>
      </c>
      <c r="E200" s="206" t="str">
        <f>IF(AND(A200&lt;&gt;"",ISNUMBER(A200)),VLOOKUP(A200,Studies!A:BR,5,FALSE),"")</f>
        <v>Itraconazole</v>
      </c>
      <c r="F200" s="198">
        <v>0</v>
      </c>
      <c r="G200" s="198" t="s">
        <v>1023</v>
      </c>
      <c r="H200" s="198" t="s">
        <v>60</v>
      </c>
      <c r="I200" s="190">
        <v>8.1999999999999993</v>
      </c>
      <c r="J200" s="190" t="s">
        <v>1055</v>
      </c>
      <c r="K200" s="190" t="s">
        <v>116</v>
      </c>
      <c r="L200" s="191">
        <v>2.2999999999999998</v>
      </c>
      <c r="M200" s="191" t="s">
        <v>1060</v>
      </c>
      <c r="N200" s="191" t="s">
        <v>117</v>
      </c>
      <c r="O200" s="190" t="s">
        <v>1025</v>
      </c>
      <c r="P200" s="192">
        <v>584</v>
      </c>
      <c r="Q200" s="192" t="s">
        <v>1026</v>
      </c>
      <c r="R200" s="192" t="s">
        <v>116</v>
      </c>
      <c r="S200" s="193">
        <v>262.8</v>
      </c>
      <c r="T200" s="193" t="s">
        <v>1026</v>
      </c>
      <c r="U200" s="193" t="s">
        <v>117</v>
      </c>
      <c r="V200" s="201" t="s">
        <v>1027</v>
      </c>
      <c r="W200" s="196">
        <v>0.31</v>
      </c>
      <c r="X200" s="196" t="s">
        <v>1032</v>
      </c>
      <c r="Y200" s="196" t="s">
        <v>116</v>
      </c>
      <c r="Z200" s="197">
        <v>0.09</v>
      </c>
      <c r="AA200" s="197" t="s">
        <v>1032</v>
      </c>
      <c r="AB200" s="197" t="s">
        <v>117</v>
      </c>
      <c r="AC200" s="200" t="s">
        <v>1033</v>
      </c>
      <c r="AD200" s="202"/>
      <c r="AE200" s="174">
        <f>IF(ISNUMBER(VLOOKUP(A200,NotghiID!A:A,1,FALSE)),1,0)</f>
        <v>0</v>
      </c>
    </row>
    <row r="201" spans="1:31" x14ac:dyDescent="0.2">
      <c r="A201" s="174">
        <v>509</v>
      </c>
      <c r="B201" s="232" t="str">
        <f>IF(AND(A201&lt;&gt;"",ISNUMBER(A201)),VLOOKUP(A201,Studies!A:BR,2,FALSE),"")</f>
        <v>Gubbins 2007</v>
      </c>
      <c r="C201" s="232" t="str">
        <f>IF(AND(A201&lt;&gt;"",ISNUMBER(A201)),VLOOKUP(A201,Studies!A:BR,3,FALSE),"")</f>
        <v>https://www.ncbi.nlm.nih.gov/pubmed/18172627</v>
      </c>
      <c r="D201" s="232" t="str">
        <f>IF(AND(A201&lt;&gt;"",ISNUMBER(A201)),VLOOKUP(A201,Studies!A:BR,4,FALSE),"")</f>
        <v>po 200 mg solution male with GFJ</v>
      </c>
      <c r="E201" s="206" t="str">
        <f>IF(AND(A201&lt;&gt;"",ISNUMBER(A201)),VLOOKUP(A201,Studies!A:BR,5,FALSE),"")</f>
        <v>Hydroxy-Itraconazole</v>
      </c>
      <c r="F201" s="198">
        <v>0</v>
      </c>
      <c r="G201" s="198" t="s">
        <v>1023</v>
      </c>
      <c r="H201" s="198" t="s">
        <v>60</v>
      </c>
      <c r="I201" s="190">
        <v>16.399999999999999</v>
      </c>
      <c r="J201" s="190" t="s">
        <v>1055</v>
      </c>
      <c r="K201" s="190" t="s">
        <v>116</v>
      </c>
      <c r="L201" s="191">
        <v>3.7</v>
      </c>
      <c r="M201" s="191" t="s">
        <v>1060</v>
      </c>
      <c r="N201" s="191" t="s">
        <v>117</v>
      </c>
      <c r="O201" s="190" t="s">
        <v>1025</v>
      </c>
      <c r="P201" s="192">
        <v>633.20000000000005</v>
      </c>
      <c r="Q201" s="192" t="s">
        <v>1026</v>
      </c>
      <c r="R201" s="192" t="s">
        <v>116</v>
      </c>
      <c r="S201" s="193">
        <v>148.9</v>
      </c>
      <c r="T201" s="193" t="s">
        <v>1026</v>
      </c>
      <c r="U201" s="193" t="s">
        <v>117</v>
      </c>
      <c r="V201" s="201" t="s">
        <v>1027</v>
      </c>
      <c r="W201" s="196"/>
      <c r="X201" s="196"/>
      <c r="Y201" s="196"/>
      <c r="Z201" s="197"/>
      <c r="AA201" s="197"/>
      <c r="AB201" s="197"/>
      <c r="AC201" s="200"/>
      <c r="AD201" s="202"/>
      <c r="AE201" s="174">
        <f>IF(ISNUMBER(VLOOKUP(A201,NotghiID!A:A,1,FALSE)),1,0)</f>
        <v>0</v>
      </c>
    </row>
    <row r="202" spans="1:31" x14ac:dyDescent="0.2">
      <c r="A202" s="91">
        <v>510</v>
      </c>
      <c r="B202" s="232" t="str">
        <f>IF(AND(A202&lt;&gt;"",ISNUMBER(A202)),VLOOKUP(A202,Studies!A:BR,2,FALSE),"")</f>
        <v>Uno 2006</v>
      </c>
      <c r="C202" s="232" t="str">
        <f>IF(AND(A202&lt;&gt;"",ISNUMBER(A202)),VLOOKUP(A202,Studies!A:BR,3,FALSE),"")</f>
        <v>https://www.ncbi.nlm.nih.gov/pubmed/16885720</v>
      </c>
      <c r="D202" s="232" t="str">
        <f>IF(AND(A202&lt;&gt;"",ISNUMBER(A202)),VLOOKUP(A202,Studies!A:BR,4,FALSE),"")</f>
        <v>day 1 (Japanese)</v>
      </c>
      <c r="E202" s="206" t="str">
        <f>IF(AND(A202&lt;&gt;"",ISNUMBER(A202)),VLOOKUP(A202,Studies!A:BR,5,FALSE),"")</f>
        <v>Itraconazole</v>
      </c>
      <c r="F202" s="198">
        <v>0</v>
      </c>
      <c r="G202" s="198">
        <v>24</v>
      </c>
      <c r="H202" s="198" t="s">
        <v>60</v>
      </c>
      <c r="I202" s="190">
        <v>932.5</v>
      </c>
      <c r="J202" s="190" t="s">
        <v>1024</v>
      </c>
      <c r="K202" s="190" t="s">
        <v>116</v>
      </c>
      <c r="L202" s="191">
        <v>378.9</v>
      </c>
      <c r="M202" s="191" t="s">
        <v>1024</v>
      </c>
      <c r="N202" s="191" t="s">
        <v>117</v>
      </c>
      <c r="O202" s="190" t="s">
        <v>1052</v>
      </c>
      <c r="P202" s="192">
        <v>107.1</v>
      </c>
      <c r="Q202" s="192" t="s">
        <v>1026</v>
      </c>
      <c r="R202" s="192" t="s">
        <v>116</v>
      </c>
      <c r="S202" s="193">
        <v>44.1</v>
      </c>
      <c r="T202" s="193" t="s">
        <v>1026</v>
      </c>
      <c r="U202" s="193" t="s">
        <v>117</v>
      </c>
      <c r="V202" s="201" t="s">
        <v>1027</v>
      </c>
      <c r="W202" s="196">
        <v>3.4</v>
      </c>
      <c r="X202" s="196" t="s">
        <v>1061</v>
      </c>
      <c r="Y202" s="196" t="s">
        <v>116</v>
      </c>
      <c r="Z202" s="197">
        <v>2.1</v>
      </c>
      <c r="AA202" s="197" t="s">
        <v>1061</v>
      </c>
      <c r="AB202" s="197" t="s">
        <v>117</v>
      </c>
      <c r="AC202" s="200" t="s">
        <v>1033</v>
      </c>
      <c r="AD202" s="202"/>
      <c r="AE202" s="174">
        <f>IF(ISNUMBER(VLOOKUP(A202,NotghiID!A:A,1,FALSE)),1,0)</f>
        <v>0</v>
      </c>
    </row>
    <row r="203" spans="1:31" x14ac:dyDescent="0.2">
      <c r="A203" s="91">
        <v>511</v>
      </c>
      <c r="B203" s="232" t="str">
        <f>IF(AND(A203&lt;&gt;"",ISNUMBER(A203)),VLOOKUP(A203,Studies!A:BR,2,FALSE),"")</f>
        <v>Uno 2006</v>
      </c>
      <c r="C203" s="232" t="str">
        <f>IF(AND(A203&lt;&gt;"",ISNUMBER(A203)),VLOOKUP(A203,Studies!A:BR,3,FALSE),"")</f>
        <v>https://www.ncbi.nlm.nih.gov/pubmed/16885720</v>
      </c>
      <c r="D203" s="232" t="str">
        <f>IF(AND(A203&lt;&gt;"",ISNUMBER(A203)),VLOOKUP(A203,Studies!A:BR,4,FALSE),"")</f>
        <v>day 1 (Japanese)</v>
      </c>
      <c r="E203" s="206" t="str">
        <f>IF(AND(A203&lt;&gt;"",ISNUMBER(A203)),VLOOKUP(A203,Studies!A:BR,5,FALSE),"")</f>
        <v>Hydroxy-Itraconazole</v>
      </c>
      <c r="F203" s="198">
        <v>0</v>
      </c>
      <c r="G203" s="198">
        <f>F203+24</f>
        <v>24</v>
      </c>
      <c r="H203" s="198" t="s">
        <v>60</v>
      </c>
      <c r="I203" s="190">
        <v>2610.6999999999998</v>
      </c>
      <c r="J203" s="190" t="s">
        <v>1024</v>
      </c>
      <c r="K203" s="190" t="s">
        <v>116</v>
      </c>
      <c r="L203" s="191">
        <v>1129</v>
      </c>
      <c r="M203" s="191" t="s">
        <v>1024</v>
      </c>
      <c r="N203" s="191" t="s">
        <v>117</v>
      </c>
      <c r="O203" s="190" t="s">
        <v>1052</v>
      </c>
      <c r="P203" s="192">
        <v>230.2</v>
      </c>
      <c r="Q203" s="192" t="s">
        <v>1026</v>
      </c>
      <c r="R203" s="192" t="s">
        <v>116</v>
      </c>
      <c r="S203" s="193">
        <v>87.3</v>
      </c>
      <c r="T203" s="193" t="s">
        <v>1026</v>
      </c>
      <c r="U203" s="193" t="s">
        <v>117</v>
      </c>
      <c r="V203" s="201" t="s">
        <v>1027</v>
      </c>
      <c r="W203" s="196"/>
      <c r="X203" s="196"/>
      <c r="Y203" s="196"/>
      <c r="Z203" s="197"/>
      <c r="AA203" s="197"/>
      <c r="AB203" s="197"/>
      <c r="AC203" s="200"/>
      <c r="AD203" s="202"/>
      <c r="AE203" s="174">
        <f>IF(ISNUMBER(VLOOKUP(A203,NotghiID!A:A,1,FALSE)),1,0)</f>
        <v>0</v>
      </c>
    </row>
    <row r="204" spans="1:31" x14ac:dyDescent="0.2">
      <c r="A204" s="91">
        <v>512</v>
      </c>
      <c r="B204" s="232" t="str">
        <f>IF(AND(A204&lt;&gt;"",ISNUMBER(A204)),VLOOKUP(A204,Studies!A:BR,2,FALSE),"")</f>
        <v>Uno 2006</v>
      </c>
      <c r="C204" s="232" t="str">
        <f>IF(AND(A204&lt;&gt;"",ISNUMBER(A204)),VLOOKUP(A204,Studies!A:BR,3,FALSE),"")</f>
        <v>https://www.ncbi.nlm.nih.gov/pubmed/16885720</v>
      </c>
      <c r="D204" s="232" t="str">
        <f>IF(AND(A204&lt;&gt;"",ISNUMBER(A204)),VLOOKUP(A204,Studies!A:BR,4,FALSE),"")</f>
        <v>day 6 (Japanese)</v>
      </c>
      <c r="E204" s="206" t="str">
        <f>IF(AND(A204&lt;&gt;"",ISNUMBER(A204)),VLOOKUP(A204,Studies!A:BR,5,FALSE),"")</f>
        <v>Itraconazole</v>
      </c>
      <c r="F204" s="198">
        <f>5*24</f>
        <v>120</v>
      </c>
      <c r="G204" s="198">
        <f>F204+24</f>
        <v>144</v>
      </c>
      <c r="H204" s="198" t="s">
        <v>60</v>
      </c>
      <c r="I204" s="190">
        <v>3485.5</v>
      </c>
      <c r="J204" s="190" t="s">
        <v>1024</v>
      </c>
      <c r="K204" s="190" t="s">
        <v>116</v>
      </c>
      <c r="L204" s="191">
        <v>1159.5999999999999</v>
      </c>
      <c r="M204" s="191" t="s">
        <v>1024</v>
      </c>
      <c r="N204" s="191" t="s">
        <v>117</v>
      </c>
      <c r="O204" s="190" t="s">
        <v>1028</v>
      </c>
      <c r="P204" s="192">
        <v>287.7</v>
      </c>
      <c r="Q204" s="192" t="s">
        <v>1026</v>
      </c>
      <c r="R204" s="192" t="s">
        <v>116</v>
      </c>
      <c r="S204" s="193">
        <v>82.9</v>
      </c>
      <c r="T204" s="193" t="s">
        <v>1026</v>
      </c>
      <c r="U204" s="193" t="s">
        <v>117</v>
      </c>
      <c r="V204" s="201" t="s">
        <v>1027</v>
      </c>
      <c r="W204" s="196">
        <v>0.7</v>
      </c>
      <c r="X204" s="196" t="s">
        <v>1061</v>
      </c>
      <c r="Y204" s="196" t="s">
        <v>116</v>
      </c>
      <c r="Z204" s="197">
        <v>0.3</v>
      </c>
      <c r="AA204" s="197" t="s">
        <v>1061</v>
      </c>
      <c r="AB204" s="197" t="s">
        <v>117</v>
      </c>
      <c r="AC204" s="200" t="s">
        <v>1033</v>
      </c>
      <c r="AD204" s="202"/>
      <c r="AE204" s="174">
        <f>IF(ISNUMBER(VLOOKUP(A204,NotghiID!A:A,1,FALSE)),1,0)</f>
        <v>0</v>
      </c>
    </row>
    <row r="205" spans="1:31" x14ac:dyDescent="0.2">
      <c r="A205" s="91">
        <v>513</v>
      </c>
      <c r="B205" s="232" t="str">
        <f>IF(AND(A205&lt;&gt;"",ISNUMBER(A205)),VLOOKUP(A205,Studies!A:BR,2,FALSE),"")</f>
        <v>Uno 2006</v>
      </c>
      <c r="C205" s="232" t="str">
        <f>IF(AND(A205&lt;&gt;"",ISNUMBER(A205)),VLOOKUP(A205,Studies!A:BR,3,FALSE),"")</f>
        <v>https://www.ncbi.nlm.nih.gov/pubmed/16885720</v>
      </c>
      <c r="D205" s="232" t="str">
        <f>IF(AND(A205&lt;&gt;"",ISNUMBER(A205)),VLOOKUP(A205,Studies!A:BR,4,FALSE),"")</f>
        <v>day 6 (Japanese)</v>
      </c>
      <c r="E205" s="206" t="str">
        <f>IF(AND(A205&lt;&gt;"",ISNUMBER(A205)),VLOOKUP(A205,Studies!A:BR,5,FALSE),"")</f>
        <v>Hydroxy-Itraconazole</v>
      </c>
      <c r="F205" s="198">
        <f>5*24</f>
        <v>120</v>
      </c>
      <c r="G205" s="198">
        <f>F205+24</f>
        <v>144</v>
      </c>
      <c r="H205" s="198" t="s">
        <v>60</v>
      </c>
      <c r="I205" s="190">
        <v>7664.7</v>
      </c>
      <c r="J205" s="190" t="s">
        <v>1024</v>
      </c>
      <c r="K205" s="190" t="s">
        <v>116</v>
      </c>
      <c r="L205" s="191">
        <v>1961.5</v>
      </c>
      <c r="M205" s="191" t="s">
        <v>1024</v>
      </c>
      <c r="N205" s="191" t="s">
        <v>117</v>
      </c>
      <c r="O205" s="190" t="s">
        <v>1028</v>
      </c>
      <c r="P205" s="192">
        <v>523.70000000000005</v>
      </c>
      <c r="Q205" s="192" t="s">
        <v>1026</v>
      </c>
      <c r="R205" s="192" t="s">
        <v>116</v>
      </c>
      <c r="S205" s="193">
        <v>158.1</v>
      </c>
      <c r="T205" s="193" t="s">
        <v>1026</v>
      </c>
      <c r="U205" s="193" t="s">
        <v>117</v>
      </c>
      <c r="V205" s="201" t="s">
        <v>1027</v>
      </c>
      <c r="W205" s="196"/>
      <c r="X205" s="196"/>
      <c r="Y205" s="196"/>
      <c r="Z205" s="197"/>
      <c r="AA205" s="197"/>
      <c r="AB205" s="197"/>
      <c r="AC205" s="200"/>
      <c r="AD205" s="202"/>
      <c r="AE205" s="174">
        <f>IF(ISNUMBER(VLOOKUP(A205,NotghiID!A:A,1,FALSE)),1,0)</f>
        <v>0</v>
      </c>
    </row>
    <row r="206" spans="1:31" x14ac:dyDescent="0.2">
      <c r="A206" s="91">
        <v>514</v>
      </c>
      <c r="B206" s="232" t="str">
        <f>IF(AND(A206&lt;&gt;"",ISNUMBER(A206)),VLOOKUP(A206,Studies!A:BR,2,FALSE),"")</f>
        <v>Bae 2011</v>
      </c>
      <c r="C206" s="232" t="str">
        <f>IF(AND(A206&lt;&gt;"",ISNUMBER(A206)),VLOOKUP(A206,Studies!A:BR,3,FALSE),"")</f>
        <v>https://www.ncbi.nlm.nih.gov/pubmed/20400647</v>
      </c>
      <c r="D206" s="232" t="str">
        <f>IF(AND(A206&lt;&gt;"",ISNUMBER(A206)),VLOOKUP(A206,Studies!A:BR,4,FALSE),"")</f>
        <v>po 200 mg capsule with water (Korean)</v>
      </c>
      <c r="E206" s="206" t="str">
        <f>IF(AND(A206&lt;&gt;"",ISNUMBER(A206)),VLOOKUP(A206,Studies!A:BR,5,FALSE),"")</f>
        <v>Itraconazole</v>
      </c>
      <c r="F206" s="198">
        <v>0</v>
      </c>
      <c r="G206" s="198" t="s">
        <v>1023</v>
      </c>
      <c r="H206" s="198" t="s">
        <v>60</v>
      </c>
      <c r="I206" s="190">
        <v>2290</v>
      </c>
      <c r="J206" s="190" t="s">
        <v>1024</v>
      </c>
      <c r="K206" s="190" t="s">
        <v>116</v>
      </c>
      <c r="L206" s="191">
        <v>1430</v>
      </c>
      <c r="M206" s="191" t="s">
        <v>1024</v>
      </c>
      <c r="N206" s="191" t="s">
        <v>117</v>
      </c>
      <c r="O206" s="190" t="s">
        <v>1025</v>
      </c>
      <c r="P206" s="192">
        <v>248</v>
      </c>
      <c r="Q206" s="192" t="s">
        <v>1026</v>
      </c>
      <c r="R206" s="192" t="s">
        <v>116</v>
      </c>
      <c r="S206" s="193">
        <v>137</v>
      </c>
      <c r="T206" s="193" t="s">
        <v>1026</v>
      </c>
      <c r="U206" s="193" t="s">
        <v>117</v>
      </c>
      <c r="V206" s="201" t="s">
        <v>1027</v>
      </c>
      <c r="W206" s="196"/>
      <c r="X206" s="196"/>
      <c r="Y206" s="196"/>
      <c r="Z206" s="197"/>
      <c r="AA206" s="197"/>
      <c r="AB206" s="197"/>
      <c r="AC206" s="200"/>
      <c r="AD206" s="202"/>
      <c r="AE206" s="174">
        <f>IF(ISNUMBER(VLOOKUP(A206,NotghiID!A:A,1,FALSE)),1,0)</f>
        <v>0</v>
      </c>
    </row>
    <row r="207" spans="1:31" x14ac:dyDescent="0.2">
      <c r="A207" s="91">
        <v>515</v>
      </c>
      <c r="B207" s="232" t="str">
        <f>IF(AND(A207&lt;&gt;"",ISNUMBER(A207)),VLOOKUP(A207,Studies!A:BR,2,FALSE),"")</f>
        <v>Bae 2011</v>
      </c>
      <c r="C207" s="232" t="str">
        <f>IF(AND(A207&lt;&gt;"",ISNUMBER(A207)),VLOOKUP(A207,Studies!A:BR,3,FALSE),"")</f>
        <v>https://www.ncbi.nlm.nih.gov/pubmed/20400647</v>
      </c>
      <c r="D207" s="232" t="str">
        <f>IF(AND(A207&lt;&gt;"",ISNUMBER(A207)),VLOOKUP(A207,Studies!A:BR,4,FALSE),"")</f>
        <v>po 200 mg capsule with water (Korean)</v>
      </c>
      <c r="E207" s="206" t="str">
        <f>IF(AND(A207&lt;&gt;"",ISNUMBER(A207)),VLOOKUP(A207,Studies!A:BR,5,FALSE),"")</f>
        <v>Hydroxy-Itraconazole</v>
      </c>
      <c r="F207" s="198">
        <v>0</v>
      </c>
      <c r="G207" s="198" t="s">
        <v>1023</v>
      </c>
      <c r="H207" s="198" t="s">
        <v>60</v>
      </c>
      <c r="I207" s="190">
        <v>7580</v>
      </c>
      <c r="J207" s="190" t="s">
        <v>1024</v>
      </c>
      <c r="K207" s="190" t="s">
        <v>116</v>
      </c>
      <c r="L207" s="191">
        <v>5000</v>
      </c>
      <c r="M207" s="191" t="s">
        <v>1024</v>
      </c>
      <c r="N207" s="191" t="s">
        <v>117</v>
      </c>
      <c r="O207" s="190" t="s">
        <v>1025</v>
      </c>
      <c r="P207" s="192">
        <v>519</v>
      </c>
      <c r="Q207" s="192" t="s">
        <v>1026</v>
      </c>
      <c r="R207" s="192" t="s">
        <v>116</v>
      </c>
      <c r="S207" s="193">
        <v>272</v>
      </c>
      <c r="T207" s="193" t="s">
        <v>1026</v>
      </c>
      <c r="U207" s="193" t="s">
        <v>117</v>
      </c>
      <c r="V207" s="201" t="s">
        <v>1027</v>
      </c>
      <c r="W207" s="196"/>
      <c r="X207" s="196"/>
      <c r="Y207" s="196"/>
      <c r="Z207" s="197"/>
      <c r="AA207" s="197"/>
      <c r="AB207" s="197"/>
      <c r="AC207" s="200"/>
      <c r="AD207" s="202"/>
      <c r="AE207" s="174">
        <f>IF(ISNUMBER(VLOOKUP(A207,NotghiID!A:A,1,FALSE)),1,0)</f>
        <v>0</v>
      </c>
    </row>
    <row r="208" spans="1:31" x14ac:dyDescent="0.2">
      <c r="A208" s="91">
        <v>516</v>
      </c>
      <c r="B208" s="232" t="str">
        <f>IF(AND(A208&lt;&gt;"",ISNUMBER(A208)),VLOOKUP(A208,Studies!A:BR,2,FALSE),"")</f>
        <v>Bae 2011</v>
      </c>
      <c r="C208" s="232" t="str">
        <f>IF(AND(A208&lt;&gt;"",ISNUMBER(A208)),VLOOKUP(A208,Studies!A:BR,3,FALSE),"")</f>
        <v>https://www.ncbi.nlm.nih.gov/pubmed/20400647</v>
      </c>
      <c r="D208" s="232" t="str">
        <f>IF(AND(A208&lt;&gt;"",ISNUMBER(A208)),VLOOKUP(A208,Studies!A:BR,4,FALSE),"")</f>
        <v>po 200 mg capsule with cola (Korean)</v>
      </c>
      <c r="E208" s="206" t="str">
        <f>IF(AND(A208&lt;&gt;"",ISNUMBER(A208)),VLOOKUP(A208,Studies!A:BR,5,FALSE),"")</f>
        <v>Itraconazole</v>
      </c>
      <c r="F208" s="198">
        <v>0</v>
      </c>
      <c r="G208" s="198" t="s">
        <v>1023</v>
      </c>
      <c r="H208" s="198" t="s">
        <v>60</v>
      </c>
      <c r="I208" s="190">
        <v>4050</v>
      </c>
      <c r="J208" s="190" t="s">
        <v>1024</v>
      </c>
      <c r="K208" s="190" t="s">
        <v>116</v>
      </c>
      <c r="L208" s="191">
        <v>2060</v>
      </c>
      <c r="M208" s="191" t="s">
        <v>1024</v>
      </c>
      <c r="N208" s="191" t="s">
        <v>117</v>
      </c>
      <c r="O208" s="190" t="s">
        <v>1025</v>
      </c>
      <c r="P208" s="192">
        <v>478</v>
      </c>
      <c r="Q208" s="192" t="s">
        <v>1026</v>
      </c>
      <c r="R208" s="192" t="s">
        <v>116</v>
      </c>
      <c r="S208" s="193">
        <v>265</v>
      </c>
      <c r="T208" s="193" t="s">
        <v>1026</v>
      </c>
      <c r="U208" s="193" t="s">
        <v>117</v>
      </c>
      <c r="V208" s="201" t="s">
        <v>1027</v>
      </c>
      <c r="W208" s="196"/>
      <c r="X208" s="196"/>
      <c r="Y208" s="196"/>
      <c r="Z208" s="197"/>
      <c r="AA208" s="197"/>
      <c r="AB208" s="197"/>
      <c r="AC208" s="200"/>
      <c r="AD208" s="202"/>
      <c r="AE208" s="174">
        <f>IF(ISNUMBER(VLOOKUP(A208,NotghiID!A:A,1,FALSE)),1,0)</f>
        <v>0</v>
      </c>
    </row>
    <row r="209" spans="1:31" x14ac:dyDescent="0.2">
      <c r="A209" s="91">
        <v>517</v>
      </c>
      <c r="B209" s="232" t="str">
        <f>IF(AND(A209&lt;&gt;"",ISNUMBER(A209)),VLOOKUP(A209,Studies!A:BR,2,FALSE),"")</f>
        <v>Bae 2011</v>
      </c>
      <c r="C209" s="232" t="str">
        <f>IF(AND(A209&lt;&gt;"",ISNUMBER(A209)),VLOOKUP(A209,Studies!A:BR,3,FALSE),"")</f>
        <v>https://www.ncbi.nlm.nih.gov/pubmed/20400647</v>
      </c>
      <c r="D209" s="232" t="str">
        <f>IF(AND(A209&lt;&gt;"",ISNUMBER(A209)),VLOOKUP(A209,Studies!A:BR,4,FALSE),"")</f>
        <v>po 200 mg capsule with cola (Korean)</v>
      </c>
      <c r="E209" s="206" t="str">
        <f>IF(AND(A209&lt;&gt;"",ISNUMBER(A209)),VLOOKUP(A209,Studies!A:BR,5,FALSE),"")</f>
        <v>Hydroxy-Itraconazole</v>
      </c>
      <c r="F209" s="198">
        <v>0</v>
      </c>
      <c r="G209" s="198" t="s">
        <v>1023</v>
      </c>
      <c r="H209" s="198" t="s">
        <v>60</v>
      </c>
      <c r="I209" s="190">
        <v>11900</v>
      </c>
      <c r="J209" s="190" t="s">
        <v>1024</v>
      </c>
      <c r="K209" s="190" t="s">
        <v>116</v>
      </c>
      <c r="L209" s="191">
        <v>5670</v>
      </c>
      <c r="M209" s="191" t="s">
        <v>1024</v>
      </c>
      <c r="N209" s="191" t="s">
        <v>117</v>
      </c>
      <c r="O209" s="190" t="s">
        <v>1025</v>
      </c>
      <c r="P209" s="192">
        <v>734</v>
      </c>
      <c r="Q209" s="192" t="s">
        <v>1026</v>
      </c>
      <c r="R209" s="192" t="s">
        <v>116</v>
      </c>
      <c r="S209" s="193">
        <v>354</v>
      </c>
      <c r="T209" s="193" t="s">
        <v>1026</v>
      </c>
      <c r="U209" s="193" t="s">
        <v>117</v>
      </c>
      <c r="V209" s="201" t="s">
        <v>1027</v>
      </c>
      <c r="W209" s="196"/>
      <c r="X209" s="196"/>
      <c r="Y209" s="196"/>
      <c r="Z209" s="197"/>
      <c r="AA209" s="197"/>
      <c r="AB209" s="197"/>
      <c r="AC209" s="200"/>
      <c r="AD209" s="202"/>
      <c r="AE209" s="174">
        <f>IF(ISNUMBER(VLOOKUP(A209,NotghiID!A:A,1,FALSE)),1,0)</f>
        <v>0</v>
      </c>
    </row>
    <row r="210" spans="1:31" x14ac:dyDescent="0.2">
      <c r="A210" s="91">
        <v>518</v>
      </c>
      <c r="B210" s="232" t="str">
        <f>IF(AND(A210&lt;&gt;"",ISNUMBER(A210)),VLOOKUP(A210,Studies!A:BR,2,FALSE),"")</f>
        <v>Bae 2011</v>
      </c>
      <c r="C210" s="232" t="str">
        <f>IF(AND(A210&lt;&gt;"",ISNUMBER(A210)),VLOOKUP(A210,Studies!A:BR,3,FALSE),"")</f>
        <v>https://www.ncbi.nlm.nih.gov/pubmed/20400647</v>
      </c>
      <c r="D210" s="232" t="str">
        <f>IF(AND(A210&lt;&gt;"",ISNUMBER(A210)),VLOOKUP(A210,Studies!A:BR,4,FALSE),"")</f>
        <v>po 200 mg capsule with vit. C (Korean)</v>
      </c>
      <c r="E210" s="206" t="str">
        <f>IF(AND(A210&lt;&gt;"",ISNUMBER(A210)),VLOOKUP(A210,Studies!A:BR,5,FALSE),"")</f>
        <v>Itraconazole</v>
      </c>
      <c r="F210" s="198">
        <v>0</v>
      </c>
      <c r="G210" s="198" t="s">
        <v>1023</v>
      </c>
      <c r="H210" s="198" t="s">
        <v>60</v>
      </c>
      <c r="I210" s="190">
        <v>3420</v>
      </c>
      <c r="J210" s="190" t="s">
        <v>1024</v>
      </c>
      <c r="K210" s="190" t="s">
        <v>116</v>
      </c>
      <c r="L210" s="191">
        <v>1750</v>
      </c>
      <c r="M210" s="191" t="s">
        <v>1024</v>
      </c>
      <c r="N210" s="191" t="s">
        <v>117</v>
      </c>
      <c r="O210" s="190" t="s">
        <v>1025</v>
      </c>
      <c r="P210" s="192">
        <v>387</v>
      </c>
      <c r="Q210" s="192" t="s">
        <v>1026</v>
      </c>
      <c r="R210" s="192" t="s">
        <v>116</v>
      </c>
      <c r="S210" s="193">
        <v>212</v>
      </c>
      <c r="T210" s="193" t="s">
        <v>1026</v>
      </c>
      <c r="U210" s="193" t="s">
        <v>117</v>
      </c>
      <c r="V210" s="201" t="s">
        <v>1027</v>
      </c>
      <c r="W210" s="196"/>
      <c r="X210" s="196"/>
      <c r="Y210" s="196"/>
      <c r="Z210" s="197"/>
      <c r="AA210" s="197"/>
      <c r="AB210" s="197"/>
      <c r="AC210" s="200"/>
      <c r="AD210" s="202"/>
      <c r="AE210" s="174">
        <f>IF(ISNUMBER(VLOOKUP(A210,NotghiID!A:A,1,FALSE)),1,0)</f>
        <v>0</v>
      </c>
    </row>
    <row r="211" spans="1:31" x14ac:dyDescent="0.2">
      <c r="A211" s="91">
        <v>519</v>
      </c>
      <c r="B211" s="232" t="str">
        <f>IF(AND(A211&lt;&gt;"",ISNUMBER(A211)),VLOOKUP(A211,Studies!A:BR,2,FALSE),"")</f>
        <v>Bae 2011</v>
      </c>
      <c r="C211" s="232" t="str">
        <f>IF(AND(A211&lt;&gt;"",ISNUMBER(A211)),VLOOKUP(A211,Studies!A:BR,3,FALSE),"")</f>
        <v>https://www.ncbi.nlm.nih.gov/pubmed/20400647</v>
      </c>
      <c r="D211" s="232" t="str">
        <f>IF(AND(A211&lt;&gt;"",ISNUMBER(A211)),VLOOKUP(A211,Studies!A:BR,4,FALSE),"")</f>
        <v>po 200 mg capsule with vit. C (Korean)</v>
      </c>
      <c r="E211" s="206" t="str">
        <f>IF(AND(A211&lt;&gt;"",ISNUMBER(A211)),VLOOKUP(A211,Studies!A:BR,5,FALSE),"")</f>
        <v>Hydroxy-Itraconazole</v>
      </c>
      <c r="F211" s="198">
        <v>0</v>
      </c>
      <c r="G211" s="198" t="s">
        <v>1023</v>
      </c>
      <c r="H211" s="198" t="s">
        <v>60</v>
      </c>
      <c r="I211" s="190">
        <v>10600</v>
      </c>
      <c r="J211" s="190" t="s">
        <v>1024</v>
      </c>
      <c r="K211" s="190" t="s">
        <v>116</v>
      </c>
      <c r="L211" s="191">
        <v>5900</v>
      </c>
      <c r="M211" s="191" t="s">
        <v>1024</v>
      </c>
      <c r="N211" s="191" t="s">
        <v>117</v>
      </c>
      <c r="O211" s="190" t="s">
        <v>1025</v>
      </c>
      <c r="P211" s="192">
        <v>748</v>
      </c>
      <c r="Q211" s="192" t="s">
        <v>1026</v>
      </c>
      <c r="R211" s="192" t="s">
        <v>116</v>
      </c>
      <c r="S211" s="193">
        <v>371</v>
      </c>
      <c r="T211" s="193" t="s">
        <v>1026</v>
      </c>
      <c r="U211" s="193" t="s">
        <v>117</v>
      </c>
      <c r="V211" s="201" t="s">
        <v>1027</v>
      </c>
      <c r="W211" s="196"/>
      <c r="X211" s="196"/>
      <c r="Y211" s="196"/>
      <c r="Z211" s="197"/>
      <c r="AA211" s="197"/>
      <c r="AB211" s="197"/>
      <c r="AC211" s="200"/>
      <c r="AD211" s="202"/>
      <c r="AE211" s="174">
        <f>IF(ISNUMBER(VLOOKUP(A211,NotghiID!A:A,1,FALSE)),1,0)</f>
        <v>0</v>
      </c>
    </row>
    <row r="212" spans="1:31" x14ac:dyDescent="0.2">
      <c r="A212" s="91">
        <v>524</v>
      </c>
      <c r="B212" s="232" t="str">
        <f>IF(AND(A212&lt;&gt;"",ISNUMBER(A212)),VLOOKUP(A212,Studies!A:BR,2,FALSE),"")</f>
        <v>Mouton 2006</v>
      </c>
      <c r="C212" s="232" t="str">
        <f>IF(AND(A212&lt;&gt;"",ISNUMBER(A212)),VLOOKUP(A212,Studies!A:BR,3,FALSE),"")</f>
        <v>https://www.ncbi.nlm.nih.gov/pubmed/16982783</v>
      </c>
      <c r="D212" s="232" t="str">
        <f>IF(AND(A212&lt;&gt;"",ISNUMBER(A212)),VLOOKUP(A212,Studies!A:BR,4,FALSE),"")</f>
        <v>MAD_m_A 100 mg</v>
      </c>
      <c r="E212" s="206" t="str">
        <f>IF(AND(A212&lt;&gt;"",ISNUMBER(A212)),VLOOKUP(A212,Studies!A:BR,5,FALSE),"")</f>
        <v>Itraconazole</v>
      </c>
      <c r="F212" s="198">
        <v>144</v>
      </c>
      <c r="G212" s="198">
        <v>168</v>
      </c>
      <c r="H212" s="198" t="s">
        <v>60</v>
      </c>
      <c r="I212" s="190">
        <v>12713</v>
      </c>
      <c r="J212" s="190" t="s">
        <v>1062</v>
      </c>
      <c r="K212" s="190" t="s">
        <v>116</v>
      </c>
      <c r="L212" s="191">
        <v>2153</v>
      </c>
      <c r="M212" s="191" t="s">
        <v>1062</v>
      </c>
      <c r="N212" s="191" t="s">
        <v>117</v>
      </c>
      <c r="O212" s="190" t="s">
        <v>1028</v>
      </c>
      <c r="P212" s="192">
        <v>2902</v>
      </c>
      <c r="Q212" s="192" t="s">
        <v>1063</v>
      </c>
      <c r="R212" s="192" t="s">
        <v>116</v>
      </c>
      <c r="S212" s="193">
        <v>1470</v>
      </c>
      <c r="T212" s="193" t="s">
        <v>1063</v>
      </c>
      <c r="U212" s="193" t="s">
        <v>117</v>
      </c>
      <c r="V212" s="201" t="s">
        <v>1027</v>
      </c>
      <c r="W212" s="196">
        <v>8.06</v>
      </c>
      <c r="X212" s="196" t="s">
        <v>1061</v>
      </c>
      <c r="Y212" s="196" t="s">
        <v>116</v>
      </c>
      <c r="Z212" s="197">
        <v>1.52</v>
      </c>
      <c r="AA212" s="197" t="s">
        <v>1061</v>
      </c>
      <c r="AB212" s="197" t="s">
        <v>117</v>
      </c>
      <c r="AC212" s="200" t="s">
        <v>1064</v>
      </c>
      <c r="AD212" s="202"/>
      <c r="AE212" s="174">
        <f>IF(ISNUMBER(VLOOKUP(A212,NotghiID!A:A,1,FALSE)),1,0)</f>
        <v>0</v>
      </c>
    </row>
    <row r="213" spans="1:31" x14ac:dyDescent="0.2">
      <c r="A213" s="91">
        <v>525</v>
      </c>
      <c r="B213" s="232" t="str">
        <f>IF(AND(A213&lt;&gt;"",ISNUMBER(A213)),VLOOKUP(A213,Studies!A:BR,2,FALSE),"")</f>
        <v>Mouton 2006</v>
      </c>
      <c r="C213" s="232" t="str">
        <f>IF(AND(A213&lt;&gt;"",ISNUMBER(A213)),VLOOKUP(A213,Studies!A:BR,3,FALSE),"")</f>
        <v>https://www.ncbi.nlm.nih.gov/pubmed/16982783</v>
      </c>
      <c r="D213" s="232" t="str">
        <f>IF(AND(A213&lt;&gt;"",ISNUMBER(A213)),VLOOKUP(A213,Studies!A:BR,4,FALSE),"")</f>
        <v>MAD_m_B 200 mg</v>
      </c>
      <c r="E213" s="206" t="str">
        <f>IF(AND(A213&lt;&gt;"",ISNUMBER(A213)),VLOOKUP(A213,Studies!A:BR,5,FALSE),"")</f>
        <v>Itraconazole</v>
      </c>
      <c r="F213" s="198">
        <v>144</v>
      </c>
      <c r="G213" s="198">
        <v>168</v>
      </c>
      <c r="H213" s="198" t="s">
        <v>60</v>
      </c>
      <c r="I213" s="190">
        <v>39858</v>
      </c>
      <c r="J213" s="190" t="s">
        <v>1062</v>
      </c>
      <c r="K213" s="190" t="s">
        <v>116</v>
      </c>
      <c r="L213" s="191">
        <v>8240</v>
      </c>
      <c r="M213" s="191" t="s">
        <v>1062</v>
      </c>
      <c r="N213" s="191" t="s">
        <v>117</v>
      </c>
      <c r="O213" s="190" t="s">
        <v>1028</v>
      </c>
      <c r="P213" s="192">
        <v>4111</v>
      </c>
      <c r="Q213" s="192" t="s">
        <v>1063</v>
      </c>
      <c r="R213" s="192" t="s">
        <v>116</v>
      </c>
      <c r="S213" s="193">
        <v>864</v>
      </c>
      <c r="T213" s="193" t="s">
        <v>1063</v>
      </c>
      <c r="U213" s="193" t="s">
        <v>117</v>
      </c>
      <c r="V213" s="201" t="s">
        <v>1027</v>
      </c>
      <c r="W213" s="196">
        <v>5.18</v>
      </c>
      <c r="X213" s="196" t="s">
        <v>1061</v>
      </c>
      <c r="Y213" s="196" t="s">
        <v>116</v>
      </c>
      <c r="Z213" s="197">
        <v>1.04</v>
      </c>
      <c r="AA213" s="197" t="s">
        <v>1061</v>
      </c>
      <c r="AB213" s="197" t="s">
        <v>117</v>
      </c>
      <c r="AC213" s="200" t="s">
        <v>1064</v>
      </c>
      <c r="AD213" s="202"/>
      <c r="AE213" s="174">
        <f>IF(ISNUMBER(VLOOKUP(A213,NotghiID!A:A,1,FALSE)),1,0)</f>
        <v>0</v>
      </c>
    </row>
    <row r="214" spans="1:31" x14ac:dyDescent="0.2">
      <c r="A214" s="91">
        <v>526</v>
      </c>
      <c r="B214" s="232" t="str">
        <f>IF(AND(A214&lt;&gt;"",ISNUMBER(A214)),VLOOKUP(A214,Studies!A:BR,2,FALSE),"")</f>
        <v>Mouton 2006</v>
      </c>
      <c r="C214" s="232" t="str">
        <f>IF(AND(A214&lt;&gt;"",ISNUMBER(A214)),VLOOKUP(A214,Studies!A:BR,3,FALSE),"")</f>
        <v>https://www.ncbi.nlm.nih.gov/pubmed/16982783</v>
      </c>
      <c r="D214" s="232" t="str">
        <f>IF(AND(A214&lt;&gt;"",ISNUMBER(A214)),VLOOKUP(A214,Studies!A:BR,4,FALSE),"")</f>
        <v>MAD_m_C 300 mg</v>
      </c>
      <c r="E214" s="206" t="str">
        <f>IF(AND(A214&lt;&gt;"",ISNUMBER(A214)),VLOOKUP(A214,Studies!A:BR,5,FALSE),"")</f>
        <v>Itraconazole</v>
      </c>
      <c r="F214" s="198">
        <v>144</v>
      </c>
      <c r="G214" s="198">
        <v>168</v>
      </c>
      <c r="H214" s="198" t="s">
        <v>60</v>
      </c>
      <c r="I214" s="190">
        <v>44184</v>
      </c>
      <c r="J214" s="190" t="s">
        <v>1062</v>
      </c>
      <c r="K214" s="190" t="s">
        <v>116</v>
      </c>
      <c r="L214" s="191">
        <v>1825</v>
      </c>
      <c r="M214" s="191" t="s">
        <v>1062</v>
      </c>
      <c r="N214" s="191" t="s">
        <v>117</v>
      </c>
      <c r="O214" s="190" t="s">
        <v>1028</v>
      </c>
      <c r="P214" s="192">
        <v>4554</v>
      </c>
      <c r="Q214" s="192" t="s">
        <v>1063</v>
      </c>
      <c r="R214" s="192" t="s">
        <v>116</v>
      </c>
      <c r="S214" s="193">
        <v>343</v>
      </c>
      <c r="T214" s="193" t="s">
        <v>1063</v>
      </c>
      <c r="U214" s="193" t="s">
        <v>117</v>
      </c>
      <c r="V214" s="201" t="s">
        <v>1027</v>
      </c>
      <c r="W214" s="196">
        <v>6.8</v>
      </c>
      <c r="X214" s="196" t="s">
        <v>1061</v>
      </c>
      <c r="Y214" s="196" t="s">
        <v>116</v>
      </c>
      <c r="Z214" s="197">
        <v>0.27</v>
      </c>
      <c r="AA214" s="197" t="s">
        <v>1061</v>
      </c>
      <c r="AB214" s="197" t="s">
        <v>117</v>
      </c>
      <c r="AC214" s="200" t="s">
        <v>1064</v>
      </c>
      <c r="AD214" s="202"/>
      <c r="AE214" s="174">
        <f>IF(ISNUMBER(VLOOKUP(A214,NotghiID!A:A,1,FALSE)),1,0)</f>
        <v>0</v>
      </c>
    </row>
    <row r="215" spans="1:31" x14ac:dyDescent="0.2">
      <c r="A215" s="91">
        <v>527</v>
      </c>
      <c r="B215" s="232" t="str">
        <f>IF(AND(A215&lt;&gt;"",ISNUMBER(A215)),VLOOKUP(A215,Studies!A:BR,2,FALSE),"")</f>
        <v>Mouton 2006</v>
      </c>
      <c r="C215" s="232" t="str">
        <f>IF(AND(A215&lt;&gt;"",ISNUMBER(A215)),VLOOKUP(A215,Studies!A:BR,3,FALSE),"")</f>
        <v>https://www.ncbi.nlm.nih.gov/pubmed/16982783</v>
      </c>
      <c r="D215" s="232" t="str">
        <f>IF(AND(A215&lt;&gt;"",ISNUMBER(A215)),VLOOKUP(A215,Studies!A:BR,4,FALSE),"")</f>
        <v>MAD_m_D 200 mg (HPBCD)</v>
      </c>
      <c r="E215" s="206" t="str">
        <f>IF(AND(A215&lt;&gt;"",ISNUMBER(A215)),VLOOKUP(A215,Studies!A:BR,5,FALSE),"")</f>
        <v>Itraconazole</v>
      </c>
      <c r="F215" s="198">
        <v>144</v>
      </c>
      <c r="G215" s="198">
        <v>168</v>
      </c>
      <c r="H215" s="198" t="s">
        <v>60</v>
      </c>
      <c r="I215" s="190">
        <v>31783</v>
      </c>
      <c r="J215" s="190" t="s">
        <v>1062</v>
      </c>
      <c r="K215" s="190" t="s">
        <v>116</v>
      </c>
      <c r="L215" s="191">
        <v>2675</v>
      </c>
      <c r="M215" s="191" t="s">
        <v>1062</v>
      </c>
      <c r="N215" s="191" t="s">
        <v>117</v>
      </c>
      <c r="O215" s="190" t="s">
        <v>1028</v>
      </c>
      <c r="P215" s="192">
        <v>3349</v>
      </c>
      <c r="Q215" s="192" t="s">
        <v>1063</v>
      </c>
      <c r="R215" s="192" t="s">
        <v>116</v>
      </c>
      <c r="S215" s="193">
        <v>334</v>
      </c>
      <c r="T215" s="193" t="s">
        <v>1063</v>
      </c>
      <c r="U215" s="193" t="s">
        <v>117</v>
      </c>
      <c r="V215" s="201" t="s">
        <v>1027</v>
      </c>
      <c r="W215" s="196">
        <v>6.32</v>
      </c>
      <c r="X215" s="196" t="s">
        <v>1061</v>
      </c>
      <c r="Y215" s="196" t="s">
        <v>116</v>
      </c>
      <c r="Z215" s="197">
        <v>0.5</v>
      </c>
      <c r="AA215" s="197" t="s">
        <v>1061</v>
      </c>
      <c r="AB215" s="197" t="s">
        <v>117</v>
      </c>
      <c r="AC215" s="200" t="s">
        <v>1064</v>
      </c>
      <c r="AD215" s="202"/>
      <c r="AE215" s="174">
        <f>IF(ISNUMBER(VLOOKUP(A215,NotghiID!A:A,1,FALSE)),1,0)</f>
        <v>0</v>
      </c>
    </row>
    <row r="216" spans="1:31" x14ac:dyDescent="0.2">
      <c r="A216" s="91">
        <v>532</v>
      </c>
      <c r="B216" s="232" t="str">
        <f>IF(AND(A216&lt;&gt;"",ISNUMBER(A216)),VLOOKUP(A216,Studies!A:BR,2,FALSE),"")</f>
        <v>Mouton 2006</v>
      </c>
      <c r="C216" s="232" t="str">
        <f>IF(AND(A216&lt;&gt;"",ISNUMBER(A216)),VLOOKUP(A216,Studies!A:BR,3,FALSE),"")</f>
        <v>https://www.ncbi.nlm.nih.gov/pubmed/16982783</v>
      </c>
      <c r="D216" s="232" t="str">
        <f>IF(AND(A216&lt;&gt;"",ISNUMBER(A216)),VLOOKUP(A216,Studies!A:BR,4,FALSE),"")</f>
        <v>MAD_m_A 100 mg</v>
      </c>
      <c r="E216" s="206" t="str">
        <f>IF(AND(A216&lt;&gt;"",ISNUMBER(A216)),VLOOKUP(A216,Studies!A:BR,5,FALSE),"")</f>
        <v>Hydroxy-Itraconazole</v>
      </c>
      <c r="F216" s="198">
        <v>144</v>
      </c>
      <c r="G216" s="198">
        <v>168</v>
      </c>
      <c r="H216" s="198" t="s">
        <v>60</v>
      </c>
      <c r="I216" s="190">
        <v>18177</v>
      </c>
      <c r="J216" s="190" t="s">
        <v>1062</v>
      </c>
      <c r="K216" s="190" t="s">
        <v>116</v>
      </c>
      <c r="L216" s="191">
        <v>2236</v>
      </c>
      <c r="M216" s="191" t="s">
        <v>1062</v>
      </c>
      <c r="N216" s="191" t="s">
        <v>117</v>
      </c>
      <c r="O216" s="190" t="s">
        <v>1028</v>
      </c>
      <c r="P216" s="192">
        <v>1028</v>
      </c>
      <c r="Q216" s="192" t="s">
        <v>1063</v>
      </c>
      <c r="R216" s="192" t="s">
        <v>116</v>
      </c>
      <c r="S216" s="193">
        <v>310</v>
      </c>
      <c r="T216" s="193" t="s">
        <v>1063</v>
      </c>
      <c r="U216" s="193" t="s">
        <v>117</v>
      </c>
      <c r="V216" s="201" t="s">
        <v>1027</v>
      </c>
      <c r="W216" s="196">
        <v>5.56</v>
      </c>
      <c r="X216" s="196" t="s">
        <v>1061</v>
      </c>
      <c r="Y216" s="196" t="s">
        <v>116</v>
      </c>
      <c r="Z216" s="197">
        <v>0.64</v>
      </c>
      <c r="AA216" s="197" t="s">
        <v>1061</v>
      </c>
      <c r="AB216" s="197" t="s">
        <v>117</v>
      </c>
      <c r="AC216" s="200" t="s">
        <v>1064</v>
      </c>
      <c r="AD216" s="202"/>
      <c r="AE216" s="174">
        <f>IF(ISNUMBER(VLOOKUP(A216,NotghiID!A:A,1,FALSE)),1,0)</f>
        <v>0</v>
      </c>
    </row>
    <row r="217" spans="1:31" x14ac:dyDescent="0.2">
      <c r="A217" s="91">
        <v>533</v>
      </c>
      <c r="B217" s="232" t="str">
        <f>IF(AND(A217&lt;&gt;"",ISNUMBER(A217)),VLOOKUP(A217,Studies!A:BR,2,FALSE),"")</f>
        <v>Mouton 2006</v>
      </c>
      <c r="C217" s="232" t="str">
        <f>IF(AND(A217&lt;&gt;"",ISNUMBER(A217)),VLOOKUP(A217,Studies!A:BR,3,FALSE),"")</f>
        <v>https://www.ncbi.nlm.nih.gov/pubmed/16982783</v>
      </c>
      <c r="D217" s="232" t="str">
        <f>IF(AND(A217&lt;&gt;"",ISNUMBER(A217)),VLOOKUP(A217,Studies!A:BR,4,FALSE),"")</f>
        <v>MAD_m_B 200 mg</v>
      </c>
      <c r="E217" s="206" t="str">
        <f>IF(AND(A217&lt;&gt;"",ISNUMBER(A217)),VLOOKUP(A217,Studies!A:BR,5,FALSE),"")</f>
        <v>Hydroxy-Itraconazole</v>
      </c>
      <c r="F217" s="198">
        <v>144</v>
      </c>
      <c r="G217" s="198">
        <v>168</v>
      </c>
      <c r="H217" s="198" t="s">
        <v>60</v>
      </c>
      <c r="I217" s="190">
        <v>50407</v>
      </c>
      <c r="J217" s="190" t="s">
        <v>1062</v>
      </c>
      <c r="K217" s="190" t="s">
        <v>116</v>
      </c>
      <c r="L217" s="191">
        <v>7355</v>
      </c>
      <c r="M217" s="191" t="s">
        <v>1062</v>
      </c>
      <c r="N217" s="191" t="s">
        <v>117</v>
      </c>
      <c r="O217" s="190" t="s">
        <v>1028</v>
      </c>
      <c r="P217" s="192">
        <v>2339</v>
      </c>
      <c r="Q217" s="192" t="s">
        <v>1063</v>
      </c>
      <c r="R217" s="192" t="s">
        <v>116</v>
      </c>
      <c r="S217" s="193">
        <v>374</v>
      </c>
      <c r="T217" s="193" t="s">
        <v>1063</v>
      </c>
      <c r="U217" s="193" t="s">
        <v>117</v>
      </c>
      <c r="V217" s="201" t="s">
        <v>1027</v>
      </c>
      <c r="W217" s="196">
        <v>4.03</v>
      </c>
      <c r="X217" s="196" t="s">
        <v>1061</v>
      </c>
      <c r="Y217" s="196" t="s">
        <v>116</v>
      </c>
      <c r="Z217" s="197">
        <v>0.55000000000000004</v>
      </c>
      <c r="AA217" s="197" t="s">
        <v>1061</v>
      </c>
      <c r="AB217" s="197" t="s">
        <v>117</v>
      </c>
      <c r="AC217" s="200" t="s">
        <v>1064</v>
      </c>
      <c r="AD217" s="202"/>
      <c r="AE217" s="174">
        <f>IF(ISNUMBER(VLOOKUP(A217,NotghiID!A:A,1,FALSE)),1,0)</f>
        <v>0</v>
      </c>
    </row>
    <row r="218" spans="1:31" x14ac:dyDescent="0.2">
      <c r="A218" s="91">
        <v>534</v>
      </c>
      <c r="B218" s="232" t="str">
        <f>IF(AND(A218&lt;&gt;"",ISNUMBER(A218)),VLOOKUP(A218,Studies!A:BR,2,FALSE),"")</f>
        <v>Mouton 2006</v>
      </c>
      <c r="C218" s="232" t="str">
        <f>IF(AND(A218&lt;&gt;"",ISNUMBER(A218)),VLOOKUP(A218,Studies!A:BR,3,FALSE),"")</f>
        <v>https://www.ncbi.nlm.nih.gov/pubmed/16982783</v>
      </c>
      <c r="D218" s="232" t="str">
        <f>IF(AND(A218&lt;&gt;"",ISNUMBER(A218)),VLOOKUP(A218,Studies!A:BR,4,FALSE),"")</f>
        <v>MAD_m_C 300 mg</v>
      </c>
      <c r="E218" s="206" t="str">
        <f>IF(AND(A218&lt;&gt;"",ISNUMBER(A218)),VLOOKUP(A218,Studies!A:BR,5,FALSE),"")</f>
        <v>Hydroxy-Itraconazole</v>
      </c>
      <c r="F218" s="198">
        <v>144</v>
      </c>
      <c r="G218" s="198">
        <v>168</v>
      </c>
      <c r="H218" s="198" t="s">
        <v>60</v>
      </c>
      <c r="I218" s="190">
        <v>67923</v>
      </c>
      <c r="J218" s="190" t="s">
        <v>1062</v>
      </c>
      <c r="K218" s="190" t="s">
        <v>116</v>
      </c>
      <c r="L218" s="191">
        <v>8643</v>
      </c>
      <c r="M218" s="191" t="s">
        <v>1062</v>
      </c>
      <c r="N218" s="191" t="s">
        <v>117</v>
      </c>
      <c r="O218" s="190" t="s">
        <v>1028</v>
      </c>
      <c r="P218" s="192">
        <v>3424</v>
      </c>
      <c r="Q218" s="192" t="s">
        <v>1063</v>
      </c>
      <c r="R218" s="192" t="s">
        <v>116</v>
      </c>
      <c r="S218" s="193">
        <v>367</v>
      </c>
      <c r="T218" s="193" t="s">
        <v>1063</v>
      </c>
      <c r="U218" s="193" t="s">
        <v>117</v>
      </c>
      <c r="V218" s="201" t="s">
        <v>1027</v>
      </c>
      <c r="W218" s="196">
        <v>4.47</v>
      </c>
      <c r="X218" s="196" t="s">
        <v>1061</v>
      </c>
      <c r="Y218" s="196" t="s">
        <v>116</v>
      </c>
      <c r="Z218" s="197">
        <v>0.17</v>
      </c>
      <c r="AA218" s="197" t="s">
        <v>1061</v>
      </c>
      <c r="AB218" s="197" t="s">
        <v>117</v>
      </c>
      <c r="AC218" s="200" t="s">
        <v>1064</v>
      </c>
      <c r="AD218" s="202"/>
      <c r="AE218" s="174">
        <f>IF(ISNUMBER(VLOOKUP(A218,NotghiID!A:A,1,FALSE)),1,0)</f>
        <v>0</v>
      </c>
    </row>
    <row r="219" spans="1:31" x14ac:dyDescent="0.2">
      <c r="A219" s="91">
        <v>535</v>
      </c>
      <c r="B219" s="232" t="str">
        <f>IF(AND(A219&lt;&gt;"",ISNUMBER(A219)),VLOOKUP(A219,Studies!A:BR,2,FALSE),"")</f>
        <v>Mouton 2006</v>
      </c>
      <c r="C219" s="232" t="str">
        <f>IF(AND(A219&lt;&gt;"",ISNUMBER(A219)),VLOOKUP(A219,Studies!A:BR,3,FALSE),"")</f>
        <v>https://www.ncbi.nlm.nih.gov/pubmed/16982783</v>
      </c>
      <c r="D219" s="232" t="str">
        <f>IF(AND(A219&lt;&gt;"",ISNUMBER(A219)),VLOOKUP(A219,Studies!A:BR,4,FALSE),"")</f>
        <v>MAD_m_D 200 mg (HPBCD)</v>
      </c>
      <c r="E219" s="206" t="str">
        <f>IF(AND(A219&lt;&gt;"",ISNUMBER(A219)),VLOOKUP(A219,Studies!A:BR,5,FALSE),"")</f>
        <v>Hydroxy-Itraconazole</v>
      </c>
      <c r="F219" s="198">
        <v>144</v>
      </c>
      <c r="G219" s="198">
        <v>168</v>
      </c>
      <c r="H219" s="198" t="s">
        <v>60</v>
      </c>
      <c r="I219" s="190">
        <v>48317</v>
      </c>
      <c r="J219" s="190" t="s">
        <v>1062</v>
      </c>
      <c r="K219" s="190" t="s">
        <v>116</v>
      </c>
      <c r="L219" s="191">
        <v>2275</v>
      </c>
      <c r="M219" s="191" t="s">
        <v>1062</v>
      </c>
      <c r="N219" s="191" t="s">
        <v>117</v>
      </c>
      <c r="O219" s="190" t="s">
        <v>1028</v>
      </c>
      <c r="P219" s="192">
        <v>2272</v>
      </c>
      <c r="Q219" s="192" t="s">
        <v>1063</v>
      </c>
      <c r="R219" s="192" t="s">
        <v>116</v>
      </c>
      <c r="S219" s="193">
        <v>93</v>
      </c>
      <c r="T219" s="193" t="s">
        <v>1063</v>
      </c>
      <c r="U219" s="193" t="s">
        <v>117</v>
      </c>
      <c r="V219" s="201" t="s">
        <v>1027</v>
      </c>
      <c r="W219" s="196">
        <v>4.1500000000000004</v>
      </c>
      <c r="X219" s="196" t="s">
        <v>1061</v>
      </c>
      <c r="Y219" s="196" t="s">
        <v>116</v>
      </c>
      <c r="Z219" s="197">
        <v>0.19</v>
      </c>
      <c r="AA219" s="197" t="s">
        <v>1061</v>
      </c>
      <c r="AB219" s="197" t="s">
        <v>117</v>
      </c>
      <c r="AC219" s="200" t="s">
        <v>1064</v>
      </c>
      <c r="AD219" s="202"/>
      <c r="AE219" s="174">
        <f>IF(ISNUMBER(VLOOKUP(A219,NotghiID!A:A,1,FALSE)),1,0)</f>
        <v>0</v>
      </c>
    </row>
    <row r="220" spans="1:31" x14ac:dyDescent="0.2">
      <c r="A220" s="91">
        <v>520</v>
      </c>
      <c r="B220" s="232" t="str">
        <f>IF(AND(A220&lt;&gt;"",ISNUMBER(A220)),VLOOKUP(A220,Studies!A:BR,2,FALSE),"")</f>
        <v>Mouton 2006</v>
      </c>
      <c r="C220" s="232" t="str">
        <f>IF(AND(A220&lt;&gt;"",ISNUMBER(A220)),VLOOKUP(A220,Studies!A:BR,3,FALSE),"")</f>
        <v>https://www.ncbi.nlm.nih.gov/pubmed/16982783</v>
      </c>
      <c r="D220" s="232" t="str">
        <f>IF(AND(A220&lt;&gt;"",ISNUMBER(A220)),VLOOKUP(A220,Studies!A:BR,4,FALSE),"")</f>
        <v>SAD_A 50 mg</v>
      </c>
      <c r="E220" s="206" t="str">
        <f>IF(AND(A220&lt;&gt;"",ISNUMBER(A220)),VLOOKUP(A220,Studies!A:BR,5,FALSE),"")</f>
        <v>Itraconazole</v>
      </c>
      <c r="F220" s="198">
        <v>0</v>
      </c>
      <c r="G220" s="198" t="s">
        <v>1023</v>
      </c>
      <c r="H220" s="198" t="s">
        <v>60</v>
      </c>
      <c r="I220" s="190">
        <v>2506</v>
      </c>
      <c r="J220" s="190" t="s">
        <v>1062</v>
      </c>
      <c r="K220" s="190" t="s">
        <v>116</v>
      </c>
      <c r="L220" s="191">
        <v>296</v>
      </c>
      <c r="M220" s="191" t="s">
        <v>1062</v>
      </c>
      <c r="N220" s="191" t="s">
        <v>117</v>
      </c>
      <c r="O220" s="190" t="s">
        <v>1025</v>
      </c>
      <c r="P220" s="192"/>
      <c r="Q220" s="192"/>
      <c r="R220" s="192"/>
      <c r="S220" s="193"/>
      <c r="T220" s="193"/>
      <c r="U220" s="193"/>
      <c r="V220" s="201"/>
      <c r="W220" s="196">
        <v>20.2</v>
      </c>
      <c r="X220" s="196" t="s">
        <v>1061</v>
      </c>
      <c r="Y220" s="196" t="s">
        <v>116</v>
      </c>
      <c r="Z220" s="197">
        <v>2.2999999999999998</v>
      </c>
      <c r="AA220" s="197" t="s">
        <v>1061</v>
      </c>
      <c r="AB220" s="197" t="s">
        <v>117</v>
      </c>
      <c r="AC220" s="200" t="s">
        <v>1064</v>
      </c>
      <c r="AD220" s="202"/>
      <c r="AE220" s="174">
        <f>IF(ISNUMBER(VLOOKUP(A220,NotghiID!A:A,1,FALSE)),1,0)</f>
        <v>0</v>
      </c>
    </row>
    <row r="221" spans="1:31" x14ac:dyDescent="0.2">
      <c r="A221" s="91">
        <v>522</v>
      </c>
      <c r="B221" s="232" t="str">
        <f>IF(AND(A221&lt;&gt;"",ISNUMBER(A221)),VLOOKUP(A221,Studies!A:BR,2,FALSE),"")</f>
        <v>Mouton 2006</v>
      </c>
      <c r="C221" s="232" t="str">
        <f>IF(AND(A221&lt;&gt;"",ISNUMBER(A221)),VLOOKUP(A221,Studies!A:BR,3,FALSE),"")</f>
        <v>https://www.ncbi.nlm.nih.gov/pubmed/16982783</v>
      </c>
      <c r="D221" s="232" t="str">
        <f>IF(AND(A221&lt;&gt;"",ISNUMBER(A221)),VLOOKUP(A221,Studies!A:BR,4,FALSE),"")</f>
        <v>SAD_A 200 mg</v>
      </c>
      <c r="E221" s="206" t="str">
        <f>IF(AND(A221&lt;&gt;"",ISNUMBER(A221)),VLOOKUP(A221,Studies!A:BR,5,FALSE),"")</f>
        <v>Itraconazole</v>
      </c>
      <c r="F221" s="198">
        <v>0</v>
      </c>
      <c r="G221" s="198" t="s">
        <v>1023</v>
      </c>
      <c r="H221" s="198" t="s">
        <v>60</v>
      </c>
      <c r="I221" s="190">
        <v>7498</v>
      </c>
      <c r="J221" s="190" t="s">
        <v>1062</v>
      </c>
      <c r="K221" s="190" t="s">
        <v>116</v>
      </c>
      <c r="L221" s="191">
        <v>2697</v>
      </c>
      <c r="M221" s="191" t="s">
        <v>1062</v>
      </c>
      <c r="N221" s="191" t="s">
        <v>117</v>
      </c>
      <c r="O221" s="190" t="s">
        <v>1025</v>
      </c>
      <c r="P221" s="192"/>
      <c r="Q221" s="192"/>
      <c r="R221" s="192"/>
      <c r="S221" s="193"/>
      <c r="T221" s="193"/>
      <c r="U221" s="193"/>
      <c r="V221" s="201"/>
      <c r="W221" s="196">
        <v>14.8</v>
      </c>
      <c r="X221" s="196" t="s">
        <v>1061</v>
      </c>
      <c r="Y221" s="196" t="s">
        <v>116</v>
      </c>
      <c r="Z221" s="197">
        <v>5</v>
      </c>
      <c r="AA221" s="197" t="s">
        <v>1061</v>
      </c>
      <c r="AB221" s="197" t="s">
        <v>117</v>
      </c>
      <c r="AC221" s="200" t="s">
        <v>1064</v>
      </c>
      <c r="AD221" s="202"/>
      <c r="AE221" s="174">
        <f>IF(ISNUMBER(VLOOKUP(A221,NotghiID!A:A,1,FALSE)),1,0)</f>
        <v>0</v>
      </c>
    </row>
    <row r="222" spans="1:31" x14ac:dyDescent="0.2">
      <c r="A222" s="91">
        <v>521</v>
      </c>
      <c r="B222" s="232" t="str">
        <f>IF(AND(A222&lt;&gt;"",ISNUMBER(A222)),VLOOKUP(A222,Studies!A:BR,2,FALSE),"")</f>
        <v>Mouton 2006</v>
      </c>
      <c r="C222" s="232" t="str">
        <f>IF(AND(A222&lt;&gt;"",ISNUMBER(A222)),VLOOKUP(A222,Studies!A:BR,3,FALSE),"")</f>
        <v>https://www.ncbi.nlm.nih.gov/pubmed/16982783</v>
      </c>
      <c r="D222" s="232" t="str">
        <f>IF(AND(A222&lt;&gt;"",ISNUMBER(A222)),VLOOKUP(A222,Studies!A:BR,4,FALSE),"")</f>
        <v>SAD_B 100 mg</v>
      </c>
      <c r="E222" s="206" t="str">
        <f>IF(AND(A222&lt;&gt;"",ISNUMBER(A222)),VLOOKUP(A222,Studies!A:BR,5,FALSE),"")</f>
        <v>Itraconazole</v>
      </c>
      <c r="F222" s="198">
        <v>0</v>
      </c>
      <c r="G222" s="198" t="s">
        <v>1023</v>
      </c>
      <c r="H222" s="198" t="s">
        <v>60</v>
      </c>
      <c r="I222" s="190">
        <v>15292</v>
      </c>
      <c r="J222" s="190" t="s">
        <v>1062</v>
      </c>
      <c r="K222" s="190" t="s">
        <v>116</v>
      </c>
      <c r="L222" s="191">
        <v>2869</v>
      </c>
      <c r="M222" s="191" t="s">
        <v>1062</v>
      </c>
      <c r="N222" s="191" t="s">
        <v>117</v>
      </c>
      <c r="O222" s="190" t="s">
        <v>1025</v>
      </c>
      <c r="P222" s="192"/>
      <c r="Q222" s="192"/>
      <c r="R222" s="192"/>
      <c r="S222" s="193"/>
      <c r="T222" s="193"/>
      <c r="U222" s="193"/>
      <c r="V222" s="201"/>
      <c r="W222" s="196">
        <v>13.5</v>
      </c>
      <c r="X222" s="196" t="s">
        <v>1061</v>
      </c>
      <c r="Y222" s="196" t="s">
        <v>116</v>
      </c>
      <c r="Z222" s="197">
        <v>2.7</v>
      </c>
      <c r="AA222" s="197" t="s">
        <v>1061</v>
      </c>
      <c r="AB222" s="197" t="s">
        <v>117</v>
      </c>
      <c r="AC222" s="200" t="s">
        <v>1064</v>
      </c>
      <c r="AD222" s="202"/>
      <c r="AE222" s="174">
        <f>IF(ISNUMBER(VLOOKUP(A222,NotghiID!A:A,1,FALSE)),1,0)</f>
        <v>0</v>
      </c>
    </row>
    <row r="223" spans="1:31" x14ac:dyDescent="0.2">
      <c r="A223" s="91">
        <v>523</v>
      </c>
      <c r="B223" s="232" t="str">
        <f>IF(AND(A223&lt;&gt;"",ISNUMBER(A223)),VLOOKUP(A223,Studies!A:BR,2,FALSE),"")</f>
        <v>Mouton 2006</v>
      </c>
      <c r="C223" s="232" t="str">
        <f>IF(AND(A223&lt;&gt;"",ISNUMBER(A223)),VLOOKUP(A223,Studies!A:BR,3,FALSE),"")</f>
        <v>https://www.ncbi.nlm.nih.gov/pubmed/16982783</v>
      </c>
      <c r="D223" s="232" t="str">
        <f>IF(AND(A223&lt;&gt;"",ISNUMBER(A223)),VLOOKUP(A223,Studies!A:BR,4,FALSE),"")</f>
        <v>SAD_B 300 mg</v>
      </c>
      <c r="E223" s="206" t="str">
        <f>IF(AND(A223&lt;&gt;"",ISNUMBER(A223)),VLOOKUP(A223,Studies!A:BR,5,FALSE),"")</f>
        <v>Itraconazole</v>
      </c>
      <c r="F223" s="198">
        <v>0</v>
      </c>
      <c r="G223" s="198" t="s">
        <v>1023</v>
      </c>
      <c r="H223" s="198" t="s">
        <v>60</v>
      </c>
      <c r="I223" s="190">
        <v>28146</v>
      </c>
      <c r="J223" s="190" t="s">
        <v>1062</v>
      </c>
      <c r="K223" s="190" t="s">
        <v>116</v>
      </c>
      <c r="L223" s="191">
        <v>1488</v>
      </c>
      <c r="M223" s="191" t="s">
        <v>1062</v>
      </c>
      <c r="N223" s="191" t="s">
        <v>117</v>
      </c>
      <c r="O223" s="190" t="s">
        <v>1025</v>
      </c>
      <c r="P223" s="192"/>
      <c r="Q223" s="192"/>
      <c r="R223" s="192"/>
      <c r="S223" s="193"/>
      <c r="T223" s="193"/>
      <c r="U223" s="193"/>
      <c r="V223" s="201"/>
      <c r="W223" s="196">
        <v>10.7</v>
      </c>
      <c r="X223" s="196" t="s">
        <v>1061</v>
      </c>
      <c r="Y223" s="196" t="s">
        <v>116</v>
      </c>
      <c r="Z223" s="197">
        <v>0.6</v>
      </c>
      <c r="AA223" s="197" t="s">
        <v>1061</v>
      </c>
      <c r="AB223" s="197" t="s">
        <v>117</v>
      </c>
      <c r="AC223" s="200" t="s">
        <v>1064</v>
      </c>
      <c r="AD223" s="202"/>
      <c r="AE223" s="174">
        <f>IF(ISNUMBER(VLOOKUP(A223,NotghiID!A:A,1,FALSE)),1,0)</f>
        <v>0</v>
      </c>
    </row>
    <row r="224" spans="1:31" x14ac:dyDescent="0.2">
      <c r="A224" s="91">
        <v>542</v>
      </c>
      <c r="B224" s="232" t="str">
        <f>IF(AND(A224&lt;&gt;"",ISNUMBER(A224)),VLOOKUP(A224,Studies!A:BR,2,FALSE),"")</f>
        <v>Mouton 2006</v>
      </c>
      <c r="C224" s="232" t="str">
        <f>IF(AND(A224&lt;&gt;"",ISNUMBER(A224)),VLOOKUP(A224,Studies!A:BR,3,FALSE),"")</f>
        <v>https://www.ncbi.nlm.nih.gov/pubmed/16982783</v>
      </c>
      <c r="D224" s="232" t="str">
        <f>IF(AND(A224&lt;&gt;"",ISNUMBER(A224)),VLOOKUP(A224,Studies!A:BR,4,FALSE),"")</f>
        <v>MAD_s_A 100 mg</v>
      </c>
      <c r="E224" s="206" t="str">
        <f>IF(AND(A224&lt;&gt;"",ISNUMBER(A224)),VLOOKUP(A224,Studies!A:BR,5,FALSE),"")</f>
        <v>Itraconazole</v>
      </c>
      <c r="F224" s="198">
        <v>0</v>
      </c>
      <c r="G224" s="198" t="s">
        <v>1023</v>
      </c>
      <c r="H224" s="198" t="s">
        <v>60</v>
      </c>
      <c r="I224" s="190">
        <v>4531</v>
      </c>
      <c r="J224" s="190" t="s">
        <v>1062</v>
      </c>
      <c r="K224" s="190" t="s">
        <v>116</v>
      </c>
      <c r="L224" s="191">
        <v>891</v>
      </c>
      <c r="M224" s="191" t="s">
        <v>1062</v>
      </c>
      <c r="N224" s="191" t="s">
        <v>117</v>
      </c>
      <c r="O224" s="190" t="s">
        <v>1025</v>
      </c>
      <c r="P224" s="192"/>
      <c r="Q224" s="192"/>
      <c r="R224" s="192"/>
      <c r="S224" s="193"/>
      <c r="T224" s="193"/>
      <c r="U224" s="193"/>
      <c r="V224" s="201"/>
      <c r="W224" s="196">
        <v>22.8</v>
      </c>
      <c r="X224" s="196" t="s">
        <v>1061</v>
      </c>
      <c r="Y224" s="196" t="s">
        <v>116</v>
      </c>
      <c r="Z224" s="197">
        <v>4.8</v>
      </c>
      <c r="AA224" s="197" t="s">
        <v>1061</v>
      </c>
      <c r="AB224" s="197" t="s">
        <v>117</v>
      </c>
      <c r="AC224" s="200" t="s">
        <v>1064</v>
      </c>
      <c r="AD224" s="202"/>
      <c r="AE224" s="174">
        <f>IF(ISNUMBER(VLOOKUP(A224,NotghiID!A:A,1,FALSE)),1,0)</f>
        <v>0</v>
      </c>
    </row>
    <row r="225" spans="1:31" x14ac:dyDescent="0.2">
      <c r="A225" s="91">
        <v>543</v>
      </c>
      <c r="B225" s="232" t="str">
        <f>IF(AND(A225&lt;&gt;"",ISNUMBER(A225)),VLOOKUP(A225,Studies!A:BR,2,FALSE),"")</f>
        <v>Mouton 2006</v>
      </c>
      <c r="C225" s="232" t="str">
        <f>IF(AND(A225&lt;&gt;"",ISNUMBER(A225)),VLOOKUP(A225,Studies!A:BR,3,FALSE),"")</f>
        <v>https://www.ncbi.nlm.nih.gov/pubmed/16982783</v>
      </c>
      <c r="D225" s="232" t="str">
        <f>IF(AND(A225&lt;&gt;"",ISNUMBER(A225)),VLOOKUP(A225,Studies!A:BR,4,FALSE),"")</f>
        <v>MAD_s_B 200 mg</v>
      </c>
      <c r="E225" s="206" t="str">
        <f>IF(AND(A225&lt;&gt;"",ISNUMBER(A225)),VLOOKUP(A225,Studies!A:BR,5,FALSE),"")</f>
        <v>Itraconazole</v>
      </c>
      <c r="F225" s="198">
        <v>0</v>
      </c>
      <c r="G225" s="198" t="s">
        <v>1023</v>
      </c>
      <c r="H225" s="198" t="s">
        <v>60</v>
      </c>
      <c r="I225" s="190">
        <v>14815</v>
      </c>
      <c r="J225" s="190" t="s">
        <v>1062</v>
      </c>
      <c r="K225" s="190" t="s">
        <v>116</v>
      </c>
      <c r="L225" s="191">
        <v>4128</v>
      </c>
      <c r="M225" s="191" t="s">
        <v>1062</v>
      </c>
      <c r="N225" s="191" t="s">
        <v>117</v>
      </c>
      <c r="O225" s="190" t="s">
        <v>1025</v>
      </c>
      <c r="P225" s="192"/>
      <c r="Q225" s="192"/>
      <c r="R225" s="192"/>
      <c r="S225" s="193"/>
      <c r="T225" s="193"/>
      <c r="U225" s="193"/>
      <c r="V225" s="201"/>
      <c r="W225" s="196">
        <v>14.2</v>
      </c>
      <c r="X225" s="196" t="s">
        <v>1061</v>
      </c>
      <c r="Y225" s="196" t="s">
        <v>116</v>
      </c>
      <c r="Z225" s="197">
        <v>3.3</v>
      </c>
      <c r="AA225" s="197" t="s">
        <v>1061</v>
      </c>
      <c r="AB225" s="197" t="s">
        <v>117</v>
      </c>
      <c r="AC225" s="200" t="s">
        <v>1064</v>
      </c>
      <c r="AD225" s="202"/>
      <c r="AE225" s="174">
        <f>IF(ISNUMBER(VLOOKUP(A225,NotghiID!A:A,1,FALSE)),1,0)</f>
        <v>0</v>
      </c>
    </row>
    <row r="226" spans="1:31" x14ac:dyDescent="0.2">
      <c r="A226" s="91">
        <v>544</v>
      </c>
      <c r="B226" s="232" t="str">
        <f>IF(AND(A226&lt;&gt;"",ISNUMBER(A226)),VLOOKUP(A226,Studies!A:BR,2,FALSE),"")</f>
        <v>Mouton 2006</v>
      </c>
      <c r="C226" s="232" t="str">
        <f>IF(AND(A226&lt;&gt;"",ISNUMBER(A226)),VLOOKUP(A226,Studies!A:BR,3,FALSE),"")</f>
        <v>https://www.ncbi.nlm.nih.gov/pubmed/16982783</v>
      </c>
      <c r="D226" s="232" t="str">
        <f>IF(AND(A226&lt;&gt;"",ISNUMBER(A226)),VLOOKUP(A226,Studies!A:BR,4,FALSE),"")</f>
        <v>MAD_s_C 300 mg</v>
      </c>
      <c r="E226" s="206" t="str">
        <f>IF(AND(A226&lt;&gt;"",ISNUMBER(A226)),VLOOKUP(A226,Studies!A:BR,5,FALSE),"")</f>
        <v>Itraconazole</v>
      </c>
      <c r="F226" s="198">
        <v>0</v>
      </c>
      <c r="G226" s="198" t="s">
        <v>1023</v>
      </c>
      <c r="H226" s="198" t="s">
        <v>60</v>
      </c>
      <c r="I226" s="190">
        <v>24920</v>
      </c>
      <c r="J226" s="190" t="s">
        <v>1062</v>
      </c>
      <c r="K226" s="190" t="s">
        <v>116</v>
      </c>
      <c r="L226" s="191">
        <v>1562</v>
      </c>
      <c r="M226" s="191" t="s">
        <v>1062</v>
      </c>
      <c r="N226" s="191" t="s">
        <v>117</v>
      </c>
      <c r="O226" s="190" t="s">
        <v>1025</v>
      </c>
      <c r="P226" s="192"/>
      <c r="Q226" s="192"/>
      <c r="R226" s="192"/>
      <c r="S226" s="193"/>
      <c r="T226" s="193"/>
      <c r="U226" s="193"/>
      <c r="V226" s="201"/>
      <c r="W226" s="196">
        <v>12.1</v>
      </c>
      <c r="X226" s="196" t="s">
        <v>1061</v>
      </c>
      <c r="Y226" s="196" t="s">
        <v>116</v>
      </c>
      <c r="Z226" s="197">
        <v>0.8</v>
      </c>
      <c r="AA226" s="197" t="s">
        <v>1061</v>
      </c>
      <c r="AB226" s="197" t="s">
        <v>117</v>
      </c>
      <c r="AC226" s="200" t="s">
        <v>1064</v>
      </c>
      <c r="AD226" s="202"/>
      <c r="AE226" s="174">
        <f>IF(ISNUMBER(VLOOKUP(A226,NotghiID!A:A,1,FALSE)),1,0)</f>
        <v>0</v>
      </c>
    </row>
    <row r="227" spans="1:31" x14ac:dyDescent="0.2">
      <c r="A227" s="91">
        <v>545</v>
      </c>
      <c r="B227" s="232" t="str">
        <f>IF(AND(A227&lt;&gt;"",ISNUMBER(A227)),VLOOKUP(A227,Studies!A:BR,2,FALSE),"")</f>
        <v>Zhou 1998</v>
      </c>
      <c r="C227" s="232" t="str">
        <f>IF(AND(A227&lt;&gt;"",ISNUMBER(A227)),VLOOKUP(A227,Studies!A:BR,3,FALSE),"")</f>
        <v>https://www.ncbi.nlm.nih.gov/pubmed/9702843</v>
      </c>
      <c r="D227" s="232" t="str">
        <f>IF(AND(A227&lt;&gt;"",ISNUMBER(A227)),VLOOKUP(A227,Studies!A:BR,4,FALSE),"")</f>
        <v>IV 200 mg OD</v>
      </c>
      <c r="E227" s="206" t="str">
        <f>IF(AND(A227&lt;&gt;"",ISNUMBER(A227)),VLOOKUP(A227,Studies!A:BR,5,FALSE),"")</f>
        <v>Itraconazole</v>
      </c>
      <c r="F227" s="198">
        <v>0</v>
      </c>
      <c r="G227" s="198">
        <v>12</v>
      </c>
      <c r="H227" s="198" t="s">
        <v>60</v>
      </c>
      <c r="I227" s="190">
        <v>6511</v>
      </c>
      <c r="J227" s="190" t="s">
        <v>1024</v>
      </c>
      <c r="K227" s="190" t="s">
        <v>116</v>
      </c>
      <c r="L227" s="191">
        <v>1864</v>
      </c>
      <c r="M227" s="191" t="s">
        <v>1024</v>
      </c>
      <c r="N227" s="191" t="s">
        <v>117</v>
      </c>
      <c r="O227" s="190" t="s">
        <v>1052</v>
      </c>
      <c r="P227" s="192">
        <v>9141</v>
      </c>
      <c r="Q227" s="192" t="s">
        <v>1026</v>
      </c>
      <c r="R227" s="192" t="s">
        <v>116</v>
      </c>
      <c r="S227" s="193">
        <v>546</v>
      </c>
      <c r="T227" s="193" t="s">
        <v>1026</v>
      </c>
      <c r="U227" s="193" t="s">
        <v>117</v>
      </c>
      <c r="V227" s="201" t="s">
        <v>1027</v>
      </c>
      <c r="W227" s="196"/>
      <c r="X227" s="196"/>
      <c r="Y227" s="196"/>
      <c r="Z227" s="197"/>
      <c r="AA227" s="197"/>
      <c r="AB227" s="197"/>
      <c r="AC227" s="200"/>
      <c r="AD227" s="202"/>
      <c r="AE227" s="174">
        <f>IF(ISNUMBER(VLOOKUP(A227,NotghiID!A:A,1,FALSE)),1,0)</f>
        <v>0</v>
      </c>
    </row>
    <row r="228" spans="1:31" x14ac:dyDescent="0.2">
      <c r="A228" s="91">
        <v>546</v>
      </c>
      <c r="B228" s="232" t="str">
        <f>IF(AND(A228&lt;&gt;"",ISNUMBER(A228)),VLOOKUP(A228,Studies!A:BR,2,FALSE),"")</f>
        <v>Zhou 1998</v>
      </c>
      <c r="C228" s="232" t="str">
        <f>IF(AND(A228&lt;&gt;"",ISNUMBER(A228)),VLOOKUP(A228,Studies!A:BR,3,FALSE),"")</f>
        <v>https://www.ncbi.nlm.nih.gov/pubmed/9702843</v>
      </c>
      <c r="D228" s="232" t="str">
        <f>IF(AND(A228&lt;&gt;"",ISNUMBER(A228)),VLOOKUP(A228,Studies!A:BR,4,FALSE),"")</f>
        <v>IV 200 mg OD</v>
      </c>
      <c r="E228" s="206" t="str">
        <f>IF(AND(A228&lt;&gt;"",ISNUMBER(A228)),VLOOKUP(A228,Studies!A:BR,5,FALSE),"")</f>
        <v>Hydroxy-Itraconazole</v>
      </c>
      <c r="F228" s="198">
        <v>0</v>
      </c>
      <c r="G228" s="198">
        <v>12</v>
      </c>
      <c r="H228" s="198" t="s">
        <v>60</v>
      </c>
      <c r="I228" s="190">
        <v>4578</v>
      </c>
      <c r="J228" s="190" t="s">
        <v>1024</v>
      </c>
      <c r="K228" s="190" t="s">
        <v>116</v>
      </c>
      <c r="L228" s="191">
        <v>1588</v>
      </c>
      <c r="M228" s="191" t="s">
        <v>1024</v>
      </c>
      <c r="N228" s="191" t="s">
        <v>117</v>
      </c>
      <c r="O228" s="190" t="s">
        <v>1052</v>
      </c>
      <c r="P228" s="192">
        <v>464</v>
      </c>
      <c r="Q228" s="192" t="s">
        <v>1026</v>
      </c>
      <c r="R228" s="192" t="s">
        <v>116</v>
      </c>
      <c r="S228" s="193">
        <v>150</v>
      </c>
      <c r="T228" s="193" t="s">
        <v>1026</v>
      </c>
      <c r="U228" s="193" t="s">
        <v>117</v>
      </c>
      <c r="V228" s="201" t="s">
        <v>1027</v>
      </c>
      <c r="W228" s="196"/>
      <c r="X228" s="196"/>
      <c r="Y228" s="196"/>
      <c r="Z228" s="197"/>
      <c r="AA228" s="197"/>
      <c r="AB228" s="197"/>
      <c r="AC228" s="200"/>
      <c r="AD228" s="202"/>
      <c r="AE228" s="174">
        <f>IF(ISNUMBER(VLOOKUP(A228,NotghiID!A:A,1,FALSE)),1,0)</f>
        <v>0</v>
      </c>
    </row>
    <row r="229" spans="1:31" x14ac:dyDescent="0.2">
      <c r="A229" s="91">
        <v>548</v>
      </c>
      <c r="B229" s="232" t="str">
        <f>IF(AND(A229&lt;&gt;"",ISNUMBER(A229)),VLOOKUP(A229,Studies!A:BR,2,FALSE),"")</f>
        <v>Mahadik 2012</v>
      </c>
      <c r="C229" s="232" t="str">
        <f>IF(AND(A229&lt;&gt;"",ISNUMBER(A229)),VLOOKUP(A229,Studies!A:BR,3,FALSE),"")</f>
        <v>https://www.ncbi.nlm.nih.gov/pubmed/22275128</v>
      </c>
      <c r="D229" s="232" t="str">
        <f>IF(AND(A229&lt;&gt;"",ISNUMBER(A229)),VLOOKUP(A229,Studies!A:BR,4,FALSE),"")</f>
        <v>Reference</v>
      </c>
      <c r="E229" s="206" t="str">
        <f>IF(AND(A229&lt;&gt;"",ISNUMBER(A229)),VLOOKUP(A229,Studies!A:BR,5,FALSE),"")</f>
        <v>Mefenamic acid</v>
      </c>
      <c r="F229" s="198">
        <v>0</v>
      </c>
      <c r="G229" s="198" t="s">
        <v>1023</v>
      </c>
      <c r="H229" s="198" t="s">
        <v>60</v>
      </c>
      <c r="I229" s="190">
        <v>12458.727999999999</v>
      </c>
      <c r="J229" s="190" t="s">
        <v>1024</v>
      </c>
      <c r="K229" s="190" t="s">
        <v>116</v>
      </c>
      <c r="L229" s="191">
        <v>3004.0210000000002</v>
      </c>
      <c r="M229" s="191" t="s">
        <v>1024</v>
      </c>
      <c r="N229" s="191" t="s">
        <v>117</v>
      </c>
      <c r="O229" s="190" t="s">
        <v>1025</v>
      </c>
      <c r="P229" s="192">
        <v>2168.6</v>
      </c>
      <c r="Q229" s="192" t="s">
        <v>1026</v>
      </c>
      <c r="R229" s="192" t="s">
        <v>116</v>
      </c>
      <c r="S229" s="193">
        <v>208.4</v>
      </c>
      <c r="T229" s="193" t="s">
        <v>1026</v>
      </c>
      <c r="U229" s="193" t="s">
        <v>117</v>
      </c>
      <c r="V229" s="201" t="s">
        <v>1027</v>
      </c>
      <c r="W229" s="196"/>
      <c r="X229" s="196"/>
      <c r="Y229" s="196"/>
      <c r="Z229" s="197"/>
      <c r="AA229" s="197"/>
      <c r="AB229" s="197"/>
      <c r="AC229" s="200"/>
      <c r="AD229" s="202"/>
      <c r="AE229" s="174">
        <f>IF(ISNUMBER(VLOOKUP(A229,NotghiID!A:A,1,FALSE)),1,0)</f>
        <v>0</v>
      </c>
    </row>
    <row r="230" spans="1:31" x14ac:dyDescent="0.2">
      <c r="A230" s="91">
        <v>51</v>
      </c>
      <c r="B230" s="232" t="str">
        <f>IF(AND(A230&lt;&gt;"",ISNUMBER(A230)),VLOOKUP(A230,Studies!A:BR,2,FALSE),"")</f>
        <v>Allonen 1981</v>
      </c>
      <c r="C230" s="232" t="str">
        <f>IF(AND(A230&lt;&gt;"",ISNUMBER(A230)),VLOOKUP(A230,Studies!A:BR,3,FALSE),"")</f>
        <v>https://www.ncbi.nlm.nih.gov/pubmed/6117393</v>
      </c>
      <c r="D230" s="232" t="str">
        <f>IF(AND(A230&lt;&gt;"",ISNUMBER(A230)),VLOOKUP(A230,Studies!A:BR,4,FALSE),"")</f>
        <v>oral</v>
      </c>
      <c r="E230" s="206" t="str">
        <f>IF(AND(A230&lt;&gt;"",ISNUMBER(A230)),VLOOKUP(A230,Studies!A:BR,5,FALSE),"")</f>
        <v>Midazolam</v>
      </c>
      <c r="F230" s="198">
        <v>0</v>
      </c>
      <c r="G230" s="198" t="s">
        <v>1023</v>
      </c>
      <c r="H230" s="198" t="s">
        <v>60</v>
      </c>
      <c r="I230" s="190"/>
      <c r="J230" s="190"/>
      <c r="K230" s="190"/>
      <c r="L230" s="191"/>
      <c r="M230" s="191"/>
      <c r="N230" s="191"/>
      <c r="O230" s="190"/>
      <c r="P230" s="192">
        <v>154</v>
      </c>
      <c r="Q230" s="192" t="s">
        <v>1026</v>
      </c>
      <c r="R230" s="192" t="s">
        <v>116</v>
      </c>
      <c r="S230" s="193">
        <v>51</v>
      </c>
      <c r="T230" s="193" t="s">
        <v>1026</v>
      </c>
      <c r="U230" s="193" t="s">
        <v>117</v>
      </c>
      <c r="V230" s="201" t="s">
        <v>1027</v>
      </c>
      <c r="W230" s="196"/>
      <c r="X230" s="196"/>
      <c r="Y230" s="196"/>
      <c r="Z230" s="197"/>
      <c r="AA230" s="197"/>
      <c r="AB230" s="197"/>
      <c r="AC230" s="200"/>
      <c r="AD230" s="202"/>
      <c r="AE230" s="174">
        <f>IF(ISNUMBER(VLOOKUP(A230,NotghiID!A:A,1,FALSE)),1,0)</f>
        <v>0</v>
      </c>
    </row>
    <row r="231" spans="1:31" x14ac:dyDescent="0.2">
      <c r="A231" s="91">
        <v>52</v>
      </c>
      <c r="B231" s="232" t="str">
        <f>IF(AND(A231&lt;&gt;"",ISNUMBER(A231)),VLOOKUP(A231,Studies!A:BR,2,FALSE),"")</f>
        <v>Allonen 1981</v>
      </c>
      <c r="C231" s="232" t="str">
        <f>IF(AND(A231&lt;&gt;"",ISNUMBER(A231)),VLOOKUP(A231,Studies!A:BR,3,FALSE),"")</f>
        <v>https://www.ncbi.nlm.nih.gov/pubmed/6117393</v>
      </c>
      <c r="D231" s="232" t="str">
        <f>IF(AND(A231&lt;&gt;"",ISNUMBER(A231)),VLOOKUP(A231,Studies!A:BR,4,FALSE),"")</f>
        <v>iv</v>
      </c>
      <c r="E231" s="206" t="str">
        <f>IF(AND(A231&lt;&gt;"",ISNUMBER(A231)),VLOOKUP(A231,Studies!A:BR,5,FALSE),"")</f>
        <v>Midazolam</v>
      </c>
      <c r="F231" s="198">
        <v>0</v>
      </c>
      <c r="G231" s="198" t="s">
        <v>1023</v>
      </c>
      <c r="H231" s="198" t="s">
        <v>60</v>
      </c>
      <c r="I231" s="190"/>
      <c r="J231" s="190"/>
      <c r="K231" s="190"/>
      <c r="L231" s="191"/>
      <c r="M231" s="191"/>
      <c r="N231" s="191"/>
      <c r="O231" s="190"/>
      <c r="P231" s="192"/>
      <c r="Q231" s="192"/>
      <c r="R231" s="192"/>
      <c r="S231" s="193"/>
      <c r="T231" s="193"/>
      <c r="U231" s="193"/>
      <c r="V231" s="201"/>
      <c r="W231" s="196">
        <v>283</v>
      </c>
      <c r="X231" s="196" t="s">
        <v>1043</v>
      </c>
      <c r="Y231" s="196" t="s">
        <v>116</v>
      </c>
      <c r="Z231" s="197">
        <v>43</v>
      </c>
      <c r="AA231" s="197" t="s">
        <v>1043</v>
      </c>
      <c r="AB231" s="197" t="s">
        <v>117</v>
      </c>
      <c r="AC231" s="200" t="s">
        <v>1064</v>
      </c>
      <c r="AD231" s="202"/>
      <c r="AE231" s="174">
        <f>IF(ISNUMBER(VLOOKUP(A231,NotghiID!A:A,1,FALSE)),1,0)</f>
        <v>0</v>
      </c>
    </row>
    <row r="232" spans="1:31" x14ac:dyDescent="0.2">
      <c r="A232" s="174">
        <v>112</v>
      </c>
      <c r="B232" s="232" t="str">
        <f>IF(AND(A232&lt;&gt;"",ISNUMBER(A232)),VLOOKUP(A232,Studies!A:BR,2,FALSE),"")</f>
        <v>Chung 2006</v>
      </c>
      <c r="C232" s="232" t="str">
        <f>IF(AND(A232&lt;&gt;"",ISNUMBER(A232)),VLOOKUP(A232,Studies!A:BR,3,FALSE),"")</f>
        <v>https://www.ncbi.nlm.nih.gov/pubmed/16580903</v>
      </c>
      <c r="D232" s="232" t="str">
        <f>IF(AND(A232&lt;&gt;"",ISNUMBER(A232)),VLOOKUP(A232,Studies!A:BR,4,FALSE),"")</f>
        <v>Control (Perpetrator Placebo)</v>
      </c>
      <c r="E232" s="206" t="str">
        <f>IF(AND(A232&lt;&gt;"",ISNUMBER(A232)),VLOOKUP(A232,Studies!A:BR,5,FALSE),"")</f>
        <v>Midazolam</v>
      </c>
      <c r="F232" s="198">
        <v>0</v>
      </c>
      <c r="G232" s="198" t="s">
        <v>1023</v>
      </c>
      <c r="H232" s="198" t="s">
        <v>60</v>
      </c>
      <c r="I232" s="190">
        <v>49</v>
      </c>
      <c r="J232" s="190" t="s">
        <v>1024</v>
      </c>
      <c r="K232" s="190" t="s">
        <v>1065</v>
      </c>
      <c r="L232" s="191" t="s">
        <v>1066</v>
      </c>
      <c r="M232" s="191" t="s">
        <v>1024</v>
      </c>
      <c r="N232" s="191" t="s">
        <v>1067</v>
      </c>
      <c r="O232" s="190" t="s">
        <v>1025</v>
      </c>
      <c r="P232" s="192">
        <v>23</v>
      </c>
      <c r="Q232" s="192" t="s">
        <v>1026</v>
      </c>
      <c r="R232" s="192" t="s">
        <v>1065</v>
      </c>
      <c r="S232" s="115" t="s">
        <v>1068</v>
      </c>
      <c r="T232" s="193" t="s">
        <v>1026</v>
      </c>
      <c r="U232" s="193" t="s">
        <v>1069</v>
      </c>
      <c r="V232" s="201" t="s">
        <v>1027</v>
      </c>
      <c r="W232" s="196">
        <v>25</v>
      </c>
      <c r="X232" s="196" t="s">
        <v>1043</v>
      </c>
      <c r="Y232" s="196" t="s">
        <v>1065</v>
      </c>
      <c r="Z232" s="116" t="s">
        <v>1070</v>
      </c>
      <c r="AA232" s="197" t="s">
        <v>1071</v>
      </c>
      <c r="AB232" s="197" t="s">
        <v>1069</v>
      </c>
      <c r="AC232" s="200" t="s">
        <v>1033</v>
      </c>
      <c r="AD232" s="202"/>
      <c r="AE232" s="174">
        <f>IF(ISNUMBER(VLOOKUP(A232,NotghiID!A:A,1,FALSE)),1,0)</f>
        <v>0</v>
      </c>
    </row>
    <row r="233" spans="1:31" x14ac:dyDescent="0.2">
      <c r="A233" s="174">
        <v>113</v>
      </c>
      <c r="B233" s="232" t="str">
        <f>IF(AND(A233&lt;&gt;"",ISNUMBER(A233)),VLOOKUP(A233,Studies!A:BR,2,FALSE),"")</f>
        <v>Chung 2006</v>
      </c>
      <c r="C233" s="232" t="str">
        <f>IF(AND(A233&lt;&gt;"",ISNUMBER(A233)),VLOOKUP(A233,Studies!A:BR,3,FALSE),"")</f>
        <v>https://www.ncbi.nlm.nih.gov/pubmed/16580903</v>
      </c>
      <c r="D233" s="232" t="str">
        <f>IF(AND(A233&lt;&gt;"",ISNUMBER(A233)),VLOOKUP(A233,Studies!A:BR,4,FALSE),"")</f>
        <v>with Perpetrator (Rifampicin)</v>
      </c>
      <c r="E233" s="206" t="str">
        <f>IF(AND(A233&lt;&gt;"",ISNUMBER(A233)),VLOOKUP(A233,Studies!A:BR,5,FALSE),"")</f>
        <v>Midazolam</v>
      </c>
      <c r="F233" s="198">
        <v>166</v>
      </c>
      <c r="G233" s="198" t="s">
        <v>1023</v>
      </c>
      <c r="H233" s="198" t="s">
        <v>60</v>
      </c>
      <c r="I233" s="190">
        <v>6.1</v>
      </c>
      <c r="J233" s="190" t="s">
        <v>1024</v>
      </c>
      <c r="K233" s="190" t="s">
        <v>1065</v>
      </c>
      <c r="L233" s="114" t="s">
        <v>1072</v>
      </c>
      <c r="M233" s="191" t="s">
        <v>1024</v>
      </c>
      <c r="N233" s="191" t="s">
        <v>1067</v>
      </c>
      <c r="O233" s="190" t="s">
        <v>1025</v>
      </c>
      <c r="P233" s="192">
        <v>3.9</v>
      </c>
      <c r="Q233" s="192" t="s">
        <v>1026</v>
      </c>
      <c r="R233" s="192" t="s">
        <v>1065</v>
      </c>
      <c r="S233" s="115" t="s">
        <v>1073</v>
      </c>
      <c r="T233" s="193" t="s">
        <v>1026</v>
      </c>
      <c r="U233" s="193" t="s">
        <v>1069</v>
      </c>
      <c r="V233" s="201" t="s">
        <v>1027</v>
      </c>
      <c r="W233" s="196">
        <v>203</v>
      </c>
      <c r="X233" s="196" t="s">
        <v>1043</v>
      </c>
      <c r="Y233" s="196" t="s">
        <v>1065</v>
      </c>
      <c r="Z233" s="116" t="s">
        <v>1074</v>
      </c>
      <c r="AA233" s="197" t="s">
        <v>1071</v>
      </c>
      <c r="AB233" s="197" t="s">
        <v>1069</v>
      </c>
      <c r="AC233" s="200" t="s">
        <v>1033</v>
      </c>
      <c r="AD233" s="202"/>
      <c r="AE233" s="174">
        <f>IF(ISNUMBER(VLOOKUP(A233,NotghiID!A:A,1,FALSE)),1,0)</f>
        <v>0</v>
      </c>
    </row>
    <row r="234" spans="1:31" x14ac:dyDescent="0.2">
      <c r="A234" s="174">
        <v>114</v>
      </c>
      <c r="B234" s="232" t="str">
        <f>IF(AND(A234&lt;&gt;"",ISNUMBER(A234)),VLOOKUP(A234,Studies!A:BR,2,FALSE),"")</f>
        <v>Chung 2006</v>
      </c>
      <c r="C234" s="232" t="str">
        <f>IF(AND(A234&lt;&gt;"",ISNUMBER(A234)),VLOOKUP(A234,Studies!A:BR,3,FALSE),"")</f>
        <v>https://www.ncbi.nlm.nih.gov/pubmed/16580903</v>
      </c>
      <c r="D234" s="232" t="str">
        <f>IF(AND(A234&lt;&gt;"",ISNUMBER(A234)),VLOOKUP(A234,Studies!A:BR,4,FALSE),"")</f>
        <v>with Perpetrator (Ketoconazole)</v>
      </c>
      <c r="E234" s="206" t="str">
        <f>IF(AND(A234&lt;&gt;"",ISNUMBER(A234)),VLOOKUP(A234,Studies!A:BR,5,FALSE),"")</f>
        <v>Midazolam</v>
      </c>
      <c r="F234" s="198">
        <v>118</v>
      </c>
      <c r="G234" s="198" t="s">
        <v>1023</v>
      </c>
      <c r="H234" s="198" t="s">
        <v>60</v>
      </c>
      <c r="I234" s="190">
        <v>466</v>
      </c>
      <c r="J234" s="190" t="s">
        <v>1024</v>
      </c>
      <c r="K234" s="190" t="s">
        <v>1065</v>
      </c>
      <c r="L234" s="191" t="s">
        <v>1075</v>
      </c>
      <c r="M234" s="191" t="s">
        <v>1024</v>
      </c>
      <c r="N234" s="191" t="s">
        <v>1067</v>
      </c>
      <c r="O234" s="190" t="s">
        <v>1025</v>
      </c>
      <c r="P234" s="192">
        <v>55</v>
      </c>
      <c r="Q234" s="192" t="s">
        <v>1026</v>
      </c>
      <c r="R234" s="192" t="s">
        <v>1065</v>
      </c>
      <c r="S234" s="115" t="s">
        <v>1076</v>
      </c>
      <c r="T234" s="193" t="s">
        <v>1026</v>
      </c>
      <c r="U234" s="193" t="s">
        <v>1069</v>
      </c>
      <c r="V234" s="201" t="s">
        <v>1027</v>
      </c>
      <c r="W234" s="196">
        <v>2.7</v>
      </c>
      <c r="X234" s="196" t="s">
        <v>1043</v>
      </c>
      <c r="Y234" s="196" t="s">
        <v>1065</v>
      </c>
      <c r="Z234" s="116" t="s">
        <v>1077</v>
      </c>
      <c r="AA234" s="197" t="s">
        <v>1071</v>
      </c>
      <c r="AB234" s="197" t="s">
        <v>1069</v>
      </c>
      <c r="AC234" s="200" t="s">
        <v>1033</v>
      </c>
      <c r="AD234" s="202"/>
      <c r="AE234" s="174">
        <f>IF(ISNUMBER(VLOOKUP(A234,NotghiID!A:A,1,FALSE)),1,0)</f>
        <v>0</v>
      </c>
    </row>
    <row r="235" spans="1:31" x14ac:dyDescent="0.2">
      <c r="A235" s="174">
        <v>115</v>
      </c>
      <c r="B235" s="232" t="str">
        <f>IF(AND(A235&lt;&gt;"",ISNUMBER(A235)),VLOOKUP(A235,Studies!A:BR,2,FALSE),"")</f>
        <v>Chung 2006</v>
      </c>
      <c r="C235" s="232" t="str">
        <f>IF(AND(A235&lt;&gt;"",ISNUMBER(A235)),VLOOKUP(A235,Studies!A:BR,3,FALSE),"")</f>
        <v>https://www.ncbi.nlm.nih.gov/pubmed/16580903</v>
      </c>
      <c r="D235" s="232" t="str">
        <f>IF(AND(A235&lt;&gt;"",ISNUMBER(A235)),VLOOKUP(A235,Studies!A:BR,4,FALSE),"")</f>
        <v>Control (Perpetrator Placebo)</v>
      </c>
      <c r="E235" s="206" t="str">
        <f>IF(AND(A235&lt;&gt;"",ISNUMBER(A235)),VLOOKUP(A235,Studies!A:BR,5,FALSE),"")</f>
        <v>Simvastatin</v>
      </c>
      <c r="F235" s="198">
        <v>0</v>
      </c>
      <c r="G235" s="198" t="s">
        <v>1023</v>
      </c>
      <c r="H235" s="198" t="s">
        <v>60</v>
      </c>
      <c r="I235" s="190">
        <v>29</v>
      </c>
      <c r="J235" s="190" t="s">
        <v>1024</v>
      </c>
      <c r="K235" s="190" t="s">
        <v>1065</v>
      </c>
      <c r="L235" s="114" t="s">
        <v>1078</v>
      </c>
      <c r="M235" s="191" t="s">
        <v>1024</v>
      </c>
      <c r="N235" s="191" t="s">
        <v>1067</v>
      </c>
      <c r="O235" s="190" t="s">
        <v>1025</v>
      </c>
      <c r="P235" s="192">
        <v>7.4</v>
      </c>
      <c r="Q235" s="192" t="s">
        <v>1026</v>
      </c>
      <c r="R235" s="192" t="s">
        <v>1065</v>
      </c>
      <c r="S235" s="115" t="s">
        <v>1079</v>
      </c>
      <c r="T235" s="193" t="s">
        <v>1026</v>
      </c>
      <c r="U235" s="193" t="s">
        <v>1069</v>
      </c>
      <c r="V235" s="201" t="s">
        <v>1027</v>
      </c>
      <c r="W235" s="196">
        <v>312</v>
      </c>
      <c r="X235" s="196" t="s">
        <v>1043</v>
      </c>
      <c r="Y235" s="196" t="s">
        <v>1065</v>
      </c>
      <c r="Z235" s="116" t="s">
        <v>1080</v>
      </c>
      <c r="AA235" s="197" t="s">
        <v>1071</v>
      </c>
      <c r="AB235" s="197" t="s">
        <v>1069</v>
      </c>
      <c r="AC235" s="200" t="s">
        <v>1033</v>
      </c>
      <c r="AD235" s="202"/>
      <c r="AE235" s="174">
        <f>IF(ISNUMBER(VLOOKUP(A235,NotghiID!A:A,1,FALSE)),1,0)</f>
        <v>0</v>
      </c>
    </row>
    <row r="236" spans="1:31" x14ac:dyDescent="0.2">
      <c r="A236" s="174">
        <v>116</v>
      </c>
      <c r="B236" s="232" t="str">
        <f>IF(AND(A236&lt;&gt;"",ISNUMBER(A236)),VLOOKUP(A236,Studies!A:BR,2,FALSE),"")</f>
        <v>Chung 2006</v>
      </c>
      <c r="C236" s="232" t="str">
        <f>IF(AND(A236&lt;&gt;"",ISNUMBER(A236)),VLOOKUP(A236,Studies!A:BR,3,FALSE),"")</f>
        <v>https://www.ncbi.nlm.nih.gov/pubmed/16580903</v>
      </c>
      <c r="D236" s="232" t="str">
        <f>IF(AND(A236&lt;&gt;"",ISNUMBER(A236)),VLOOKUP(A236,Studies!A:BR,4,FALSE),"")</f>
        <v>with Perpetrator (Rifampicin)</v>
      </c>
      <c r="E236" s="206" t="str">
        <f>IF(AND(A236&lt;&gt;"",ISNUMBER(A236)),VLOOKUP(A236,Studies!A:BR,5,FALSE),"")</f>
        <v>Simvastatin</v>
      </c>
      <c r="F236" s="198">
        <v>190</v>
      </c>
      <c r="G236" s="198" t="s">
        <v>1023</v>
      </c>
      <c r="H236" s="198" t="s">
        <v>60</v>
      </c>
      <c r="I236" s="190">
        <v>2.6</v>
      </c>
      <c r="J236" s="190" t="s">
        <v>1024</v>
      </c>
      <c r="K236" s="190" t="s">
        <v>1065</v>
      </c>
      <c r="L236" s="114" t="s">
        <v>1081</v>
      </c>
      <c r="M236" s="191" t="s">
        <v>1024</v>
      </c>
      <c r="N236" s="191" t="s">
        <v>1067</v>
      </c>
      <c r="O236" s="190" t="s">
        <v>1025</v>
      </c>
      <c r="P236" s="192">
        <v>1.1000000000000001</v>
      </c>
      <c r="Q236" s="192" t="s">
        <v>1026</v>
      </c>
      <c r="R236" s="192" t="s">
        <v>1065</v>
      </c>
      <c r="S236" s="115" t="s">
        <v>1082</v>
      </c>
      <c r="T236" s="193" t="s">
        <v>1026</v>
      </c>
      <c r="U236" s="193" t="s">
        <v>1069</v>
      </c>
      <c r="V236" s="201" t="s">
        <v>1027</v>
      </c>
      <c r="W236" s="196">
        <v>3536</v>
      </c>
      <c r="X236" s="196" t="s">
        <v>1043</v>
      </c>
      <c r="Y236" s="196" t="s">
        <v>1065</v>
      </c>
      <c r="Z236" s="116" t="s">
        <v>1083</v>
      </c>
      <c r="AA236" s="197" t="s">
        <v>1071</v>
      </c>
      <c r="AB236" s="197" t="s">
        <v>1069</v>
      </c>
      <c r="AC236" s="200" t="s">
        <v>1033</v>
      </c>
      <c r="AD236" s="202"/>
      <c r="AE236" s="174">
        <f>IF(ISNUMBER(VLOOKUP(A236,NotghiID!A:A,1,FALSE)),1,0)</f>
        <v>0</v>
      </c>
    </row>
    <row r="237" spans="1:31" x14ac:dyDescent="0.2">
      <c r="A237" s="174">
        <v>117</v>
      </c>
      <c r="B237" s="232" t="str">
        <f>IF(AND(A237&lt;&gt;"",ISNUMBER(A237)),VLOOKUP(A237,Studies!A:BR,2,FALSE),"")</f>
        <v>Chung 2006</v>
      </c>
      <c r="C237" s="232" t="str">
        <f>IF(AND(A237&lt;&gt;"",ISNUMBER(A237)),VLOOKUP(A237,Studies!A:BR,3,FALSE),"")</f>
        <v>https://www.ncbi.nlm.nih.gov/pubmed/16580903</v>
      </c>
      <c r="D237" s="232" t="str">
        <f>IF(AND(A237&lt;&gt;"",ISNUMBER(A237)),VLOOKUP(A237,Studies!A:BR,4,FALSE),"")</f>
        <v>with Perpetrator (Ketoconazole)</v>
      </c>
      <c r="E237" s="206" t="str">
        <f>IF(AND(A237&lt;&gt;"",ISNUMBER(A237)),VLOOKUP(A237,Studies!A:BR,5,FALSE),"")</f>
        <v>Simvastatin</v>
      </c>
      <c r="F237" s="198">
        <v>190</v>
      </c>
      <c r="G237" s="198" t="s">
        <v>1023</v>
      </c>
      <c r="H237" s="198" t="s">
        <v>60</v>
      </c>
      <c r="I237" s="190">
        <v>364</v>
      </c>
      <c r="J237" s="190" t="s">
        <v>1024</v>
      </c>
      <c r="K237" s="190" t="s">
        <v>1065</v>
      </c>
      <c r="L237" s="191" t="s">
        <v>1084</v>
      </c>
      <c r="M237" s="191" t="s">
        <v>1024</v>
      </c>
      <c r="N237" s="191" t="s">
        <v>1067</v>
      </c>
      <c r="O237" s="190" t="s">
        <v>1025</v>
      </c>
      <c r="P237" s="192">
        <v>55</v>
      </c>
      <c r="Q237" s="192" t="s">
        <v>1026</v>
      </c>
      <c r="R237" s="192" t="s">
        <v>1065</v>
      </c>
      <c r="S237" s="115" t="s">
        <v>1085</v>
      </c>
      <c r="T237" s="193" t="s">
        <v>1026</v>
      </c>
      <c r="U237" s="193" t="s">
        <v>1069</v>
      </c>
      <c r="V237" s="201" t="s">
        <v>1027</v>
      </c>
      <c r="W237" s="196">
        <v>25</v>
      </c>
      <c r="X237" s="196" t="s">
        <v>1043</v>
      </c>
      <c r="Y237" s="196" t="s">
        <v>1065</v>
      </c>
      <c r="Z237" s="116" t="s">
        <v>1086</v>
      </c>
      <c r="AA237" s="197" t="s">
        <v>1071</v>
      </c>
      <c r="AB237" s="197" t="s">
        <v>1069</v>
      </c>
      <c r="AC237" s="200" t="s">
        <v>1033</v>
      </c>
      <c r="AD237" s="202"/>
      <c r="AE237" s="174">
        <f>IF(ISNUMBER(VLOOKUP(A237,NotghiID!A:A,1,FALSE)),1,0)</f>
        <v>0</v>
      </c>
    </row>
    <row r="238" spans="1:31" x14ac:dyDescent="0.2">
      <c r="A238" s="174">
        <v>392</v>
      </c>
      <c r="B238" s="232" t="str">
        <f>IF(AND(A238&lt;&gt;"",ISNUMBER(A238)),VLOOKUP(A238,Studies!A:BR,2,FALSE),"")</f>
        <v>Reitman 2011</v>
      </c>
      <c r="C238" s="232" t="str">
        <f>IF(AND(A238&lt;&gt;"",ISNUMBER(A238)),VLOOKUP(A238,Studies!A:BR,3,FALSE),"")</f>
        <v>https://www.ncbi.nlm.nih.gov/pubmed/21191377</v>
      </c>
      <c r="D238" s="232" t="str">
        <f>IF(AND(A238&lt;&gt;"",ISNUMBER(A238)),VLOOKUP(A238,Studies!A:BR,4,FALSE),"")</f>
        <v>Week 0 after Perpetrator (Rifampicin)</v>
      </c>
      <c r="E238" s="206" t="str">
        <f>IF(AND(A238&lt;&gt;"",ISNUMBER(A238)),VLOOKUP(A238,Studies!A:BR,5,FALSE),"")</f>
        <v>Midazolam</v>
      </c>
      <c r="F238" s="198">
        <v>648</v>
      </c>
      <c r="G238" s="198">
        <v>816</v>
      </c>
      <c r="H238" s="198" t="s">
        <v>60</v>
      </c>
      <c r="I238" s="190">
        <v>2.64</v>
      </c>
      <c r="J238" s="190" t="s">
        <v>1024</v>
      </c>
      <c r="K238" s="190" t="s">
        <v>1065</v>
      </c>
      <c r="L238" s="191">
        <v>45.3</v>
      </c>
      <c r="M238" s="191" t="s">
        <v>517</v>
      </c>
      <c r="N238" s="191" t="s">
        <v>1087</v>
      </c>
      <c r="O238" s="190" t="s">
        <v>1025</v>
      </c>
      <c r="P238" s="192">
        <v>1.33</v>
      </c>
      <c r="Q238" s="192" t="s">
        <v>1026</v>
      </c>
      <c r="R238" s="192" t="s">
        <v>1065</v>
      </c>
      <c r="S238" s="193">
        <v>45.3</v>
      </c>
      <c r="T238" s="193" t="s">
        <v>517</v>
      </c>
      <c r="U238" s="193" t="s">
        <v>1087</v>
      </c>
      <c r="V238" s="201" t="s">
        <v>1027</v>
      </c>
      <c r="W238" s="196"/>
      <c r="X238" s="196"/>
      <c r="Y238" s="196"/>
      <c r="Z238" s="197"/>
      <c r="AA238" s="197"/>
      <c r="AB238" s="197"/>
      <c r="AC238" s="200"/>
      <c r="AD238" s="202"/>
      <c r="AE238" s="174">
        <f>IF(ISNUMBER(VLOOKUP(A238,NotghiID!A:A,1,FALSE)),1,0)</f>
        <v>0</v>
      </c>
    </row>
    <row r="239" spans="1:31" x14ac:dyDescent="0.2">
      <c r="A239" s="174">
        <v>393</v>
      </c>
      <c r="B239" s="232" t="str">
        <f>IF(AND(A239&lt;&gt;"",ISNUMBER(A239)),VLOOKUP(A239,Studies!A:BR,2,FALSE),"")</f>
        <v>Reitman 2011</v>
      </c>
      <c r="C239" s="232" t="str">
        <f>IF(AND(A239&lt;&gt;"",ISNUMBER(A239)),VLOOKUP(A239,Studies!A:BR,3,FALSE),"")</f>
        <v>https://www.ncbi.nlm.nih.gov/pubmed/21191377</v>
      </c>
      <c r="D239" s="232" t="str">
        <f>IF(AND(A239&lt;&gt;"",ISNUMBER(A239)),VLOOKUP(A239,Studies!A:BR,4,FALSE),"")</f>
        <v>Week 1 after Perpetrator (Rifampicin)</v>
      </c>
      <c r="E239" s="206" t="str">
        <f>IF(AND(A239&lt;&gt;"",ISNUMBER(A239)),VLOOKUP(A239,Studies!A:BR,5,FALSE),"")</f>
        <v>Midazolam</v>
      </c>
      <c r="F239" s="198">
        <v>816</v>
      </c>
      <c r="G239" s="198">
        <v>984</v>
      </c>
      <c r="H239" s="198" t="s">
        <v>60</v>
      </c>
      <c r="I239" s="190">
        <v>8.1999999999999993</v>
      </c>
      <c r="J239" s="190" t="s">
        <v>1024</v>
      </c>
      <c r="K239" s="190" t="s">
        <v>1065</v>
      </c>
      <c r="L239" s="191">
        <v>30.9</v>
      </c>
      <c r="M239" s="191" t="s">
        <v>517</v>
      </c>
      <c r="N239" s="191" t="s">
        <v>1087</v>
      </c>
      <c r="O239" s="190" t="s">
        <v>1025</v>
      </c>
      <c r="P239" s="192">
        <v>3.31</v>
      </c>
      <c r="Q239" s="192" t="s">
        <v>1026</v>
      </c>
      <c r="R239" s="192" t="s">
        <v>1065</v>
      </c>
      <c r="S239" s="193">
        <v>44.9</v>
      </c>
      <c r="T239" s="193" t="s">
        <v>517</v>
      </c>
      <c r="U239" s="193" t="s">
        <v>1087</v>
      </c>
      <c r="V239" s="201" t="s">
        <v>1027</v>
      </c>
      <c r="W239" s="196"/>
      <c r="X239" s="196"/>
      <c r="Y239" s="196"/>
      <c r="Z239" s="197"/>
      <c r="AA239" s="197"/>
      <c r="AB239" s="197"/>
      <c r="AC239" s="200"/>
      <c r="AD239" s="202"/>
      <c r="AE239" s="174">
        <f>IF(ISNUMBER(VLOOKUP(A239,NotghiID!A:A,1,FALSE)),1,0)</f>
        <v>0</v>
      </c>
    </row>
    <row r="240" spans="1:31" x14ac:dyDescent="0.2">
      <c r="A240" s="174">
        <v>394</v>
      </c>
      <c r="B240" s="232" t="str">
        <f>IF(AND(A240&lt;&gt;"",ISNUMBER(A240)),VLOOKUP(A240,Studies!A:BR,2,FALSE),"")</f>
        <v>Reitman 2011</v>
      </c>
      <c r="C240" s="232" t="str">
        <f>IF(AND(A240&lt;&gt;"",ISNUMBER(A240)),VLOOKUP(A240,Studies!A:BR,3,FALSE),"")</f>
        <v>https://www.ncbi.nlm.nih.gov/pubmed/21191377</v>
      </c>
      <c r="D240" s="232" t="str">
        <f>IF(AND(A240&lt;&gt;"",ISNUMBER(A240)),VLOOKUP(A240,Studies!A:BR,4,FALSE),"")</f>
        <v>Week 2 after Perpetrator (Rifampicin)</v>
      </c>
      <c r="E240" s="206" t="str">
        <f>IF(AND(A240&lt;&gt;"",ISNUMBER(A240)),VLOOKUP(A240,Studies!A:BR,5,FALSE),"")</f>
        <v>Midazolam</v>
      </c>
      <c r="F240" s="198">
        <v>984</v>
      </c>
      <c r="G240" s="198">
        <v>1320</v>
      </c>
      <c r="H240" s="198" t="s">
        <v>60</v>
      </c>
      <c r="I240" s="190">
        <v>17.440000000000001</v>
      </c>
      <c r="J240" s="190" t="s">
        <v>1024</v>
      </c>
      <c r="K240" s="190" t="s">
        <v>1065</v>
      </c>
      <c r="L240" s="191">
        <v>37.200000000000003</v>
      </c>
      <c r="M240" s="191" t="s">
        <v>517</v>
      </c>
      <c r="N240" s="191" t="s">
        <v>1087</v>
      </c>
      <c r="O240" s="190" t="s">
        <v>1025</v>
      </c>
      <c r="P240" s="192">
        <v>6</v>
      </c>
      <c r="Q240" s="192" t="s">
        <v>1026</v>
      </c>
      <c r="R240" s="192" t="s">
        <v>1065</v>
      </c>
      <c r="S240" s="193">
        <v>31.1</v>
      </c>
      <c r="T240" s="193" t="s">
        <v>517</v>
      </c>
      <c r="U240" s="193" t="s">
        <v>1087</v>
      </c>
      <c r="V240" s="201" t="s">
        <v>1027</v>
      </c>
      <c r="W240" s="196"/>
      <c r="X240" s="196"/>
      <c r="Y240" s="196"/>
      <c r="Z240" s="197"/>
      <c r="AA240" s="197"/>
      <c r="AB240" s="197"/>
      <c r="AC240" s="200"/>
      <c r="AD240" s="202"/>
      <c r="AE240" s="174">
        <f>IF(ISNUMBER(VLOOKUP(A240,NotghiID!A:A,1,FALSE)),1,0)</f>
        <v>0</v>
      </c>
    </row>
    <row r="241" spans="1:31" x14ac:dyDescent="0.2">
      <c r="A241" s="174">
        <v>395</v>
      </c>
      <c r="B241" s="232" t="str">
        <f>IF(AND(A241&lt;&gt;"",ISNUMBER(A241)),VLOOKUP(A241,Studies!A:BR,2,FALSE),"")</f>
        <v>Reitman 2011</v>
      </c>
      <c r="C241" s="232" t="str">
        <f>IF(AND(A241&lt;&gt;"",ISNUMBER(A241)),VLOOKUP(A241,Studies!A:BR,3,FALSE),"")</f>
        <v>https://www.ncbi.nlm.nih.gov/pubmed/21191377</v>
      </c>
      <c r="D241" s="232" t="str">
        <f>IF(AND(A241&lt;&gt;"",ISNUMBER(A241)),VLOOKUP(A241,Studies!A:BR,4,FALSE),"")</f>
        <v>Week 4 after Perpetrator (Rifampicin)</v>
      </c>
      <c r="E241" s="206" t="str">
        <f>IF(AND(A241&lt;&gt;"",ISNUMBER(A241)),VLOOKUP(A241,Studies!A:BR,5,FALSE),"")</f>
        <v>Midazolam</v>
      </c>
      <c r="F241" s="198">
        <v>1320</v>
      </c>
      <c r="G241" s="198" t="s">
        <v>1023</v>
      </c>
      <c r="H241" s="198" t="s">
        <v>60</v>
      </c>
      <c r="I241" s="190">
        <v>21.41</v>
      </c>
      <c r="J241" s="190" t="s">
        <v>1024</v>
      </c>
      <c r="K241" s="190" t="s">
        <v>1065</v>
      </c>
      <c r="L241" s="191">
        <v>33.6</v>
      </c>
      <c r="M241" s="191" t="s">
        <v>517</v>
      </c>
      <c r="N241" s="191" t="s">
        <v>1087</v>
      </c>
      <c r="O241" s="190" t="s">
        <v>1025</v>
      </c>
      <c r="P241" s="192">
        <v>8.2100000000000009</v>
      </c>
      <c r="Q241" s="192" t="s">
        <v>1026</v>
      </c>
      <c r="R241" s="192" t="s">
        <v>1065</v>
      </c>
      <c r="S241" s="193">
        <v>27.5</v>
      </c>
      <c r="T241" s="193" t="s">
        <v>517</v>
      </c>
      <c r="U241" s="193" t="s">
        <v>1087</v>
      </c>
      <c r="V241" s="201" t="s">
        <v>1027</v>
      </c>
      <c r="W241" s="196"/>
      <c r="X241" s="196"/>
      <c r="Y241" s="196"/>
      <c r="Z241" s="197"/>
      <c r="AA241" s="197"/>
      <c r="AB241" s="197"/>
      <c r="AC241" s="200"/>
      <c r="AD241" s="202"/>
      <c r="AE241" s="174">
        <f>IF(ISNUMBER(VLOOKUP(A241,NotghiID!A:A,1,FALSE)),1,0)</f>
        <v>0</v>
      </c>
    </row>
    <row r="242" spans="1:31" x14ac:dyDescent="0.2">
      <c r="A242" s="174">
        <v>396</v>
      </c>
      <c r="B242" s="232" t="str">
        <f>IF(AND(A242&lt;&gt;"",ISNUMBER(A242)),VLOOKUP(A242,Studies!A:BR,2,FALSE),"")</f>
        <v>Reitman 2011</v>
      </c>
      <c r="C242" s="232" t="str">
        <f>IF(AND(A242&lt;&gt;"",ISNUMBER(A242)),VLOOKUP(A242,Studies!A:BR,3,FALSE),"")</f>
        <v>https://www.ncbi.nlm.nih.gov/pubmed/21191377</v>
      </c>
      <c r="D242" s="232" t="str">
        <f>IF(AND(A242&lt;&gt;"",ISNUMBER(A242)),VLOOKUP(A242,Studies!A:BR,4,FALSE),"")</f>
        <v>Week 0 after Perpetrator (Rifampicin)</v>
      </c>
      <c r="E242" s="206" t="str">
        <f>IF(AND(A242&lt;&gt;"",ISNUMBER(A242)),VLOOKUP(A242,Studies!A:BR,5,FALSE),"")</f>
        <v>Digoxin</v>
      </c>
      <c r="F242" s="198">
        <v>649</v>
      </c>
      <c r="G242" s="198">
        <f>F242+3</f>
        <v>652</v>
      </c>
      <c r="H242" s="198" t="s">
        <v>60</v>
      </c>
      <c r="I242" s="190">
        <v>3.83</v>
      </c>
      <c r="J242" s="190" t="s">
        <v>1024</v>
      </c>
      <c r="K242" s="190" t="s">
        <v>1065</v>
      </c>
      <c r="L242" s="191">
        <v>26.2</v>
      </c>
      <c r="M242" s="191" t="s">
        <v>517</v>
      </c>
      <c r="N242" s="191" t="s">
        <v>1087</v>
      </c>
      <c r="O242" s="190" t="s">
        <v>1052</v>
      </c>
      <c r="P242" s="192">
        <v>2.04</v>
      </c>
      <c r="Q242" s="192" t="s">
        <v>1026</v>
      </c>
      <c r="R242" s="192" t="s">
        <v>1065</v>
      </c>
      <c r="S242" s="193">
        <v>38.200000000000003</v>
      </c>
      <c r="T242" s="193" t="s">
        <v>517</v>
      </c>
      <c r="U242" s="193" t="s">
        <v>1087</v>
      </c>
      <c r="V242" s="201" t="s">
        <v>1027</v>
      </c>
      <c r="W242" s="196"/>
      <c r="X242" s="196"/>
      <c r="Y242" s="196"/>
      <c r="Z242" s="197"/>
      <c r="AA242" s="197"/>
      <c r="AB242" s="197"/>
      <c r="AC242" s="200"/>
      <c r="AD242" s="202"/>
      <c r="AE242" s="174">
        <f>IF(ISNUMBER(VLOOKUP(A242,NotghiID!A:A,1,FALSE)),1,0)</f>
        <v>0</v>
      </c>
    </row>
    <row r="243" spans="1:31" x14ac:dyDescent="0.2">
      <c r="A243" s="174">
        <v>397</v>
      </c>
      <c r="B243" s="232" t="str">
        <f>IF(AND(A243&lt;&gt;"",ISNUMBER(A243)),VLOOKUP(A243,Studies!A:BR,2,FALSE),"")</f>
        <v>Reitman 2011</v>
      </c>
      <c r="C243" s="232" t="str">
        <f>IF(AND(A243&lt;&gt;"",ISNUMBER(A243)),VLOOKUP(A243,Studies!A:BR,3,FALSE),"")</f>
        <v>https://www.ncbi.nlm.nih.gov/pubmed/21191377</v>
      </c>
      <c r="D243" s="232" t="str">
        <f>IF(AND(A243&lt;&gt;"",ISNUMBER(A243)),VLOOKUP(A243,Studies!A:BR,4,FALSE),"")</f>
        <v>Week 1 after Perpetrator (Rifampicin)</v>
      </c>
      <c r="E243" s="206" t="str">
        <f>IF(AND(A243&lt;&gt;"",ISNUMBER(A243)),VLOOKUP(A243,Studies!A:BR,5,FALSE),"")</f>
        <v>Digoxin</v>
      </c>
      <c r="F243" s="198">
        <v>817</v>
      </c>
      <c r="G243" s="198">
        <f>F243+3</f>
        <v>820</v>
      </c>
      <c r="H243" s="198" t="s">
        <v>60</v>
      </c>
      <c r="I243" s="190">
        <v>1.79</v>
      </c>
      <c r="J243" s="190" t="s">
        <v>1024</v>
      </c>
      <c r="K243" s="190" t="s">
        <v>1065</v>
      </c>
      <c r="L243" s="191">
        <v>114.3</v>
      </c>
      <c r="M243" s="191" t="s">
        <v>517</v>
      </c>
      <c r="N243" s="191" t="s">
        <v>1087</v>
      </c>
      <c r="O243" s="190" t="s">
        <v>1052</v>
      </c>
      <c r="P243" s="192">
        <v>0.95</v>
      </c>
      <c r="Q243" s="192" t="s">
        <v>1026</v>
      </c>
      <c r="R243" s="192" t="s">
        <v>1065</v>
      </c>
      <c r="S243" s="193">
        <v>60.7</v>
      </c>
      <c r="T243" s="193" t="s">
        <v>517</v>
      </c>
      <c r="U243" s="193" t="s">
        <v>1087</v>
      </c>
      <c r="V243" s="201" t="s">
        <v>1027</v>
      </c>
      <c r="W243" s="196"/>
      <c r="X243" s="196"/>
      <c r="Y243" s="196"/>
      <c r="Z243" s="197"/>
      <c r="AA243" s="197"/>
      <c r="AB243" s="197"/>
      <c r="AC243" s="200"/>
      <c r="AD243" s="202"/>
      <c r="AE243" s="174">
        <f>IF(ISNUMBER(VLOOKUP(A243,NotghiID!A:A,1,FALSE)),1,0)</f>
        <v>0</v>
      </c>
    </row>
    <row r="244" spans="1:31" x14ac:dyDescent="0.2">
      <c r="A244" s="174">
        <v>398</v>
      </c>
      <c r="B244" s="232" t="str">
        <f>IF(AND(A244&lt;&gt;"",ISNUMBER(A244)),VLOOKUP(A244,Studies!A:BR,2,FALSE),"")</f>
        <v>Reitman 2011</v>
      </c>
      <c r="C244" s="232" t="str">
        <f>IF(AND(A244&lt;&gt;"",ISNUMBER(A244)),VLOOKUP(A244,Studies!A:BR,3,FALSE),"")</f>
        <v>https://www.ncbi.nlm.nih.gov/pubmed/21191377</v>
      </c>
      <c r="D244" s="232" t="str">
        <f>IF(AND(A244&lt;&gt;"",ISNUMBER(A244)),VLOOKUP(A244,Studies!A:BR,4,FALSE),"")</f>
        <v>Week 2 after Perpetrator (Rifampicin)</v>
      </c>
      <c r="E244" s="206" t="str">
        <f>IF(AND(A244&lt;&gt;"",ISNUMBER(A244)),VLOOKUP(A244,Studies!A:BR,5,FALSE),"")</f>
        <v>Digoxin</v>
      </c>
      <c r="F244" s="198">
        <v>985</v>
      </c>
      <c r="G244" s="198">
        <f>F244+3</f>
        <v>988</v>
      </c>
      <c r="H244" s="198" t="s">
        <v>60</v>
      </c>
      <c r="I244" s="190">
        <v>2.56</v>
      </c>
      <c r="J244" s="190" t="s">
        <v>1024</v>
      </c>
      <c r="K244" s="190" t="s">
        <v>1065</v>
      </c>
      <c r="L244" s="191">
        <v>24.1</v>
      </c>
      <c r="M244" s="191" t="s">
        <v>517</v>
      </c>
      <c r="N244" s="191" t="s">
        <v>1087</v>
      </c>
      <c r="O244" s="190" t="s">
        <v>1052</v>
      </c>
      <c r="P244" s="192">
        <v>1.2</v>
      </c>
      <c r="Q244" s="192" t="s">
        <v>1026</v>
      </c>
      <c r="R244" s="192" t="s">
        <v>1065</v>
      </c>
      <c r="S244" s="193">
        <v>31.8</v>
      </c>
      <c r="T244" s="193" t="s">
        <v>517</v>
      </c>
      <c r="U244" s="193" t="s">
        <v>1087</v>
      </c>
      <c r="V244" s="201" t="s">
        <v>1027</v>
      </c>
      <c r="W244" s="196"/>
      <c r="X244" s="196"/>
      <c r="Y244" s="196"/>
      <c r="Z244" s="197"/>
      <c r="AA244" s="197"/>
      <c r="AB244" s="197"/>
      <c r="AC244" s="200"/>
      <c r="AD244" s="202"/>
      <c r="AE244" s="174">
        <f>IF(ISNUMBER(VLOOKUP(A244,NotghiID!A:A,1,FALSE)),1,0)</f>
        <v>0</v>
      </c>
    </row>
    <row r="245" spans="1:31" x14ac:dyDescent="0.2">
      <c r="A245" s="174">
        <v>399</v>
      </c>
      <c r="B245" s="232" t="str">
        <f>IF(AND(A245&lt;&gt;"",ISNUMBER(A245)),VLOOKUP(A245,Studies!A:BR,2,FALSE),"")</f>
        <v>Reitman 2011</v>
      </c>
      <c r="C245" s="232" t="str">
        <f>IF(AND(A245&lt;&gt;"",ISNUMBER(A245)),VLOOKUP(A245,Studies!A:BR,3,FALSE),"")</f>
        <v>https://www.ncbi.nlm.nih.gov/pubmed/21191377</v>
      </c>
      <c r="D245" s="232" t="str">
        <f>IF(AND(A245&lt;&gt;"",ISNUMBER(A245)),VLOOKUP(A245,Studies!A:BR,4,FALSE),"")</f>
        <v>Week 4 after Perpetrator (Rifampicin)</v>
      </c>
      <c r="E245" s="206" t="str">
        <f>IF(AND(A245&lt;&gt;"",ISNUMBER(A245)),VLOOKUP(A245,Studies!A:BR,5,FALSE),"")</f>
        <v>Digoxin</v>
      </c>
      <c r="F245" s="198">
        <v>1321</v>
      </c>
      <c r="G245" s="198">
        <f>F245+3</f>
        <v>1324</v>
      </c>
      <c r="H245" s="198" t="s">
        <v>60</v>
      </c>
      <c r="I245" s="190">
        <v>2.62</v>
      </c>
      <c r="J245" s="190" t="s">
        <v>1024</v>
      </c>
      <c r="K245" s="190" t="s">
        <v>1065</v>
      </c>
      <c r="L245" s="191">
        <v>19.100000000000001</v>
      </c>
      <c r="M245" s="191" t="s">
        <v>517</v>
      </c>
      <c r="N245" s="191" t="s">
        <v>1087</v>
      </c>
      <c r="O245" s="190" t="s">
        <v>1052</v>
      </c>
      <c r="P245" s="192">
        <v>1.37</v>
      </c>
      <c r="Q245" s="192" t="s">
        <v>1026</v>
      </c>
      <c r="R245" s="192" t="s">
        <v>1065</v>
      </c>
      <c r="S245" s="193">
        <v>24.1</v>
      </c>
      <c r="T245" s="193" t="s">
        <v>517</v>
      </c>
      <c r="U245" s="193" t="s">
        <v>1087</v>
      </c>
      <c r="V245" s="201" t="s">
        <v>1027</v>
      </c>
      <c r="W245" s="196"/>
      <c r="X245" s="196"/>
      <c r="Y245" s="196"/>
      <c r="Z245" s="197"/>
      <c r="AA245" s="197"/>
      <c r="AB245" s="197"/>
      <c r="AC245" s="200"/>
      <c r="AD245" s="202"/>
      <c r="AE245" s="174">
        <f>IF(ISNUMBER(VLOOKUP(A245,NotghiID!A:A,1,FALSE)),1,0)</f>
        <v>0</v>
      </c>
    </row>
    <row r="246" spans="1:31" x14ac:dyDescent="0.2">
      <c r="A246" s="174">
        <v>415</v>
      </c>
      <c r="B246" s="232" t="str">
        <f>IF(AND(A246&lt;&gt;"",ISNUMBER(A246)),VLOOKUP(A246,Studies!A:BR,2,FALSE),"")</f>
        <v>Smith 1981</v>
      </c>
      <c r="C246" s="232" t="str">
        <f>IF(AND(A246&lt;&gt;"",ISNUMBER(A246)),VLOOKUP(A246,Studies!A:BR,3,FALSE),"")</f>
        <v>https://www.ncbi.nlm.nih.gov/pubmed/6116606</v>
      </c>
      <c r="D246" s="232" t="str">
        <f>IF(AND(A246&lt;&gt;"",ISNUMBER(A246)),VLOOKUP(A246,Studies!A:BR,4,FALSE),"")</f>
        <v>iv 5 mg</v>
      </c>
      <c r="E246" s="206" t="str">
        <f>IF(AND(A246&lt;&gt;"",ISNUMBER(A246)),VLOOKUP(A246,Studies!A:BR,5,FALSE),"")</f>
        <v>Midazolam</v>
      </c>
      <c r="F246" s="198">
        <v>0</v>
      </c>
      <c r="G246" s="198" t="s">
        <v>1023</v>
      </c>
      <c r="H246" s="198" t="s">
        <v>60</v>
      </c>
      <c r="I246" s="190">
        <v>190.3</v>
      </c>
      <c r="J246" s="190" t="s">
        <v>1062</v>
      </c>
      <c r="K246" s="190" t="s">
        <v>116</v>
      </c>
      <c r="L246" s="191">
        <v>49.2</v>
      </c>
      <c r="M246" s="191" t="s">
        <v>1062</v>
      </c>
      <c r="N246" s="191" t="s">
        <v>117</v>
      </c>
      <c r="O246" s="190" t="s">
        <v>1025</v>
      </c>
      <c r="P246" s="192">
        <v>112.6</v>
      </c>
      <c r="Q246" s="192" t="s">
        <v>1063</v>
      </c>
      <c r="R246" s="192" t="s">
        <v>116</v>
      </c>
      <c r="S246" s="193">
        <v>16.100000000000001</v>
      </c>
      <c r="T246" s="193" t="s">
        <v>1063</v>
      </c>
      <c r="U246" s="193" t="s">
        <v>117</v>
      </c>
      <c r="V246" s="201" t="s">
        <v>1027</v>
      </c>
      <c r="W246" s="196">
        <v>0.38300000000000001</v>
      </c>
      <c r="X246" s="196" t="s">
        <v>1032</v>
      </c>
      <c r="Y246" s="196" t="s">
        <v>116</v>
      </c>
      <c r="Z246" s="197">
        <v>9.4E-2</v>
      </c>
      <c r="AA246" s="197" t="s">
        <v>1032</v>
      </c>
      <c r="AB246" s="197" t="s">
        <v>117</v>
      </c>
      <c r="AC246" s="200" t="s">
        <v>1064</v>
      </c>
      <c r="AD246" s="202"/>
      <c r="AE246" s="174">
        <f>IF(ISNUMBER(VLOOKUP(A246,NotghiID!A:A,1,FALSE)),1,0)</f>
        <v>0</v>
      </c>
    </row>
    <row r="247" spans="1:31" x14ac:dyDescent="0.2">
      <c r="A247" s="174">
        <v>416</v>
      </c>
      <c r="B247" s="232" t="str">
        <f>IF(AND(A247&lt;&gt;"",ISNUMBER(A247)),VLOOKUP(A247,Studies!A:BR,2,FALSE),"")</f>
        <v>Smith 1981</v>
      </c>
      <c r="C247" s="232" t="str">
        <f>IF(AND(A247&lt;&gt;"",ISNUMBER(A247)),VLOOKUP(A247,Studies!A:BR,3,FALSE),"")</f>
        <v>https://www.ncbi.nlm.nih.gov/pubmed/6116606</v>
      </c>
      <c r="D247" s="232" t="str">
        <f>IF(AND(A247&lt;&gt;"",ISNUMBER(A247)),VLOOKUP(A247,Studies!A:BR,4,FALSE),"")</f>
        <v>oral solution 10 mg</v>
      </c>
      <c r="E247" s="206" t="str">
        <f>IF(AND(A247&lt;&gt;"",ISNUMBER(A247)),VLOOKUP(A247,Studies!A:BR,5,FALSE),"")</f>
        <v>Midazolam</v>
      </c>
      <c r="F247" s="198">
        <v>0</v>
      </c>
      <c r="G247" s="198" t="s">
        <v>1023</v>
      </c>
      <c r="H247" s="198" t="s">
        <v>60</v>
      </c>
      <c r="I247" s="190">
        <v>135.6</v>
      </c>
      <c r="J247" s="190" t="s">
        <v>1062</v>
      </c>
      <c r="K247" s="190" t="s">
        <v>116</v>
      </c>
      <c r="L247" s="191">
        <v>55</v>
      </c>
      <c r="M247" s="191" t="s">
        <v>1062</v>
      </c>
      <c r="N247" s="191" t="s">
        <v>117</v>
      </c>
      <c r="O247" s="190" t="s">
        <v>1025</v>
      </c>
      <c r="P247" s="192">
        <v>60</v>
      </c>
      <c r="Q247" s="192" t="s">
        <v>1063</v>
      </c>
      <c r="R247" s="192" t="s">
        <v>116</v>
      </c>
      <c r="S247" s="193">
        <v>13.8</v>
      </c>
      <c r="T247" s="193" t="s">
        <v>1063</v>
      </c>
      <c r="U247" s="193" t="s">
        <v>117</v>
      </c>
      <c r="V247" s="201" t="s">
        <v>1027</v>
      </c>
      <c r="W247" s="196"/>
      <c r="X247" s="196"/>
      <c r="Y247" s="196"/>
      <c r="Z247" s="197"/>
      <c r="AA247" s="197"/>
      <c r="AB247" s="197"/>
      <c r="AC247" s="200"/>
      <c r="AD247" s="202"/>
      <c r="AE247" s="174">
        <f>IF(ISNUMBER(VLOOKUP(A247,NotghiID!A:A,1,FALSE)),1,0)</f>
        <v>0</v>
      </c>
    </row>
    <row r="248" spans="1:31" x14ac:dyDescent="0.2">
      <c r="A248" s="174">
        <v>417</v>
      </c>
      <c r="B248" s="232" t="str">
        <f>IF(AND(A248&lt;&gt;"",ISNUMBER(A248)),VLOOKUP(A248,Studies!A:BR,2,FALSE),"")</f>
        <v>Smith 1981</v>
      </c>
      <c r="C248" s="232" t="str">
        <f>IF(AND(A248&lt;&gt;"",ISNUMBER(A248)),VLOOKUP(A248,Studies!A:BR,3,FALSE),"")</f>
        <v>https://www.ncbi.nlm.nih.gov/pubmed/6116606</v>
      </c>
      <c r="D248" s="232" t="str">
        <f>IF(AND(A248&lt;&gt;"",ISNUMBER(A248)),VLOOKUP(A248,Studies!A:BR,4,FALSE),"")</f>
        <v>oral tablet 10 mg</v>
      </c>
      <c r="E248" s="206" t="str">
        <f>IF(AND(A248&lt;&gt;"",ISNUMBER(A248)),VLOOKUP(A248,Studies!A:BR,5,FALSE),"")</f>
        <v>Midazolam</v>
      </c>
      <c r="F248" s="198">
        <v>0</v>
      </c>
      <c r="G248" s="198" t="s">
        <v>1023</v>
      </c>
      <c r="H248" s="198" t="s">
        <v>60</v>
      </c>
      <c r="I248" s="190">
        <v>147</v>
      </c>
      <c r="J248" s="190" t="s">
        <v>1062</v>
      </c>
      <c r="K248" s="190" t="s">
        <v>116</v>
      </c>
      <c r="L248" s="191">
        <v>78.900000000000006</v>
      </c>
      <c r="M248" s="191" t="s">
        <v>1062</v>
      </c>
      <c r="N248" s="191" t="s">
        <v>117</v>
      </c>
      <c r="O248" s="190" t="s">
        <v>1025</v>
      </c>
      <c r="P248" s="192">
        <v>77.5</v>
      </c>
      <c r="Q248" s="192" t="s">
        <v>1063</v>
      </c>
      <c r="R248" s="192" t="s">
        <v>116</v>
      </c>
      <c r="S248" s="193">
        <v>27.8</v>
      </c>
      <c r="T248" s="193" t="s">
        <v>1063</v>
      </c>
      <c r="U248" s="193" t="s">
        <v>117</v>
      </c>
      <c r="V248" s="201" t="s">
        <v>1027</v>
      </c>
      <c r="W248" s="196"/>
      <c r="X248" s="196"/>
      <c r="Y248" s="196"/>
      <c r="Z248" s="197"/>
      <c r="AA248" s="197"/>
      <c r="AB248" s="197"/>
      <c r="AC248" s="200"/>
      <c r="AD248" s="202"/>
      <c r="AE248" s="174">
        <f>IF(ISNUMBER(VLOOKUP(A248,NotghiID!A:A,1,FALSE)),1,0)</f>
        <v>0</v>
      </c>
    </row>
    <row r="249" spans="1:31" x14ac:dyDescent="0.2">
      <c r="A249" s="174">
        <v>418</v>
      </c>
      <c r="B249" s="232" t="str">
        <f>IF(AND(A249&lt;&gt;"",ISNUMBER(A249)),VLOOKUP(A249,Studies!A:BR,2,FALSE),"")</f>
        <v>Stone 2004</v>
      </c>
      <c r="C249" s="232" t="str">
        <f>IF(AND(A249&lt;&gt;"",ISNUMBER(A249)),VLOOKUP(A249,Studies!A:BR,3,FALSE),"")</f>
        <v>https://www.ncbi.nlm.nih.gov/pubmed/4037525</v>
      </c>
      <c r="D249" s="232" t="str">
        <f>IF(AND(A249&lt;&gt;"",ISNUMBER(A249)),VLOOKUP(A249,Studies!A:BR,4,FALSE),"")</f>
        <v>Day 14 of Rifampin alone</v>
      </c>
      <c r="E249" s="206" t="str">
        <f>IF(AND(A249&lt;&gt;"",ISNUMBER(A249)),VLOOKUP(A249,Studies!A:BR,5,FALSE),"")</f>
        <v>Rifampicin</v>
      </c>
      <c r="F249" s="198">
        <f>312</f>
        <v>312</v>
      </c>
      <c r="G249" s="198">
        <f>312+24</f>
        <v>336</v>
      </c>
      <c r="H249" s="198" t="s">
        <v>60</v>
      </c>
      <c r="I249" s="190">
        <v>35.25</v>
      </c>
      <c r="J249" s="190" t="s">
        <v>1051</v>
      </c>
      <c r="K249" s="190" t="s">
        <v>1065</v>
      </c>
      <c r="L249" s="191"/>
      <c r="M249" s="191"/>
      <c r="N249" s="191"/>
      <c r="O249" s="190" t="s">
        <v>1028</v>
      </c>
      <c r="P249" s="192">
        <v>8.86</v>
      </c>
      <c r="Q249" s="192" t="s">
        <v>1054</v>
      </c>
      <c r="R249" s="192" t="s">
        <v>1065</v>
      </c>
      <c r="S249" s="193"/>
      <c r="T249" s="193"/>
      <c r="U249" s="193"/>
      <c r="V249" s="201" t="s">
        <v>1027</v>
      </c>
      <c r="W249" s="196"/>
      <c r="X249" s="196"/>
      <c r="Y249" s="196"/>
      <c r="Z249" s="197"/>
      <c r="AA249" s="197"/>
      <c r="AB249" s="197"/>
      <c r="AC249" s="200"/>
      <c r="AD249" s="202"/>
      <c r="AE249" s="174">
        <f>IF(ISNUMBER(VLOOKUP(A249,NotghiID!A:A,1,FALSE)),1,0)</f>
        <v>0</v>
      </c>
    </row>
    <row r="250" spans="1:31" x14ac:dyDescent="0.2">
      <c r="A250" s="174">
        <v>468</v>
      </c>
      <c r="B250" s="232" t="str">
        <f>IF(AND(A250&lt;&gt;"",ISNUMBER(A250)),VLOOKUP(A250,Studies!A:BR,2,FALSE),"")</f>
        <v>Yeates 1996</v>
      </c>
      <c r="C250" s="232" t="str">
        <f>IF(AND(A250&lt;&gt;"",ISNUMBER(A250)),VLOOKUP(A250,Studies!A:BR,3,FALSE),"")</f>
        <v>http://www.ncbi.nlm.nih.gov/pubmed/8880291</v>
      </c>
      <c r="D250" s="232" t="str">
        <f>IF(AND(A250&lt;&gt;"",ISNUMBER(A250)),VLOOKUP(A250,Studies!A:BR,4,FALSE),"")</f>
        <v>Control (Perpetrator Placebo)</v>
      </c>
      <c r="E250" s="206" t="str">
        <f>IF(AND(A250&lt;&gt;"",ISNUMBER(A250)),VLOOKUP(A250,Studies!A:BR,5,FALSE),"")</f>
        <v>Midazolam</v>
      </c>
      <c r="F250" s="198">
        <v>0</v>
      </c>
      <c r="G250" s="198" t="s">
        <v>1023</v>
      </c>
      <c r="H250" s="198" t="s">
        <v>60</v>
      </c>
      <c r="I250" s="190">
        <v>248.84</v>
      </c>
      <c r="J250" s="190" t="s">
        <v>1024</v>
      </c>
      <c r="K250" s="190" t="s">
        <v>116</v>
      </c>
      <c r="L250" s="191">
        <v>24.41</v>
      </c>
      <c r="M250" s="191" t="s">
        <v>1024</v>
      </c>
      <c r="N250" s="191" t="s">
        <v>1034</v>
      </c>
      <c r="O250" s="190" t="s">
        <v>1025</v>
      </c>
      <c r="P250" s="192">
        <v>76.89</v>
      </c>
      <c r="Q250" s="192" t="s">
        <v>1026</v>
      </c>
      <c r="R250" s="192" t="s">
        <v>116</v>
      </c>
      <c r="S250" s="193">
        <v>9.25</v>
      </c>
      <c r="T250" s="193" t="s">
        <v>1026</v>
      </c>
      <c r="U250" s="193" t="s">
        <v>1034</v>
      </c>
      <c r="V250" s="201" t="s">
        <v>1027</v>
      </c>
      <c r="W250" s="196"/>
      <c r="X250" s="196"/>
      <c r="Y250" s="196"/>
      <c r="Z250" s="197"/>
      <c r="AA250" s="197"/>
      <c r="AB250" s="197"/>
      <c r="AC250" s="200"/>
      <c r="AD250" s="202"/>
      <c r="AE250" s="174">
        <f>IF(ISNUMBER(VLOOKUP(A250,NotghiID!A:A,1,FALSE)),1,0)</f>
        <v>0</v>
      </c>
    </row>
    <row r="251" spans="1:31" x14ac:dyDescent="0.2">
      <c r="A251" s="174">
        <v>469</v>
      </c>
      <c r="B251" s="232" t="str">
        <f>IF(AND(A251&lt;&gt;"",ISNUMBER(A251)),VLOOKUP(A251,Studies!A:BR,2,FALSE),"")</f>
        <v>Yeates 1996</v>
      </c>
      <c r="C251" s="232" t="str">
        <f>IF(AND(A251&lt;&gt;"",ISNUMBER(A251)),VLOOKUP(A251,Studies!A:BR,3,FALSE),"")</f>
        <v>http://www.ncbi.nlm.nih.gov/pubmed/8880291</v>
      </c>
      <c r="D251" s="232" t="str">
        <f>IF(AND(A251&lt;&gt;"",ISNUMBER(A251)),VLOOKUP(A251,Studies!A:BR,4,FALSE),"")</f>
        <v>with Perpetrator (Clarithromycin)</v>
      </c>
      <c r="E251" s="206" t="str">
        <f>IF(AND(A251&lt;&gt;"",ISNUMBER(A251)),VLOOKUP(A251,Studies!A:BR,5,FALSE),"")</f>
        <v>Midazolam</v>
      </c>
      <c r="F251" s="198">
        <v>97.5</v>
      </c>
      <c r="G251" s="198" t="s">
        <v>1023</v>
      </c>
      <c r="H251" s="198" t="s">
        <v>60</v>
      </c>
      <c r="I251" s="190">
        <v>888.75</v>
      </c>
      <c r="J251" s="190" t="s">
        <v>1024</v>
      </c>
      <c r="K251" s="190" t="s">
        <v>116</v>
      </c>
      <c r="L251" s="191">
        <v>94.13</v>
      </c>
      <c r="M251" s="191" t="s">
        <v>1024</v>
      </c>
      <c r="N251" s="191" t="s">
        <v>1034</v>
      </c>
      <c r="O251" s="190" t="s">
        <v>1025</v>
      </c>
      <c r="P251" s="192">
        <v>187.61</v>
      </c>
      <c r="Q251" s="192" t="s">
        <v>1026</v>
      </c>
      <c r="R251" s="192" t="s">
        <v>116</v>
      </c>
      <c r="S251" s="193">
        <v>29.15</v>
      </c>
      <c r="T251" s="193" t="s">
        <v>1026</v>
      </c>
      <c r="U251" s="193" t="s">
        <v>1034</v>
      </c>
      <c r="V251" s="201" t="s">
        <v>1027</v>
      </c>
      <c r="W251" s="196"/>
      <c r="X251" s="196"/>
      <c r="Y251" s="196"/>
      <c r="Z251" s="197"/>
      <c r="AA251" s="197"/>
      <c r="AB251" s="197"/>
      <c r="AC251" s="200"/>
      <c r="AD251" s="202"/>
      <c r="AE251" s="174">
        <f>IF(ISNUMBER(VLOOKUP(A251,NotghiID!A:A,1,FALSE)),1,0)</f>
        <v>0</v>
      </c>
    </row>
    <row r="252" spans="1:31" x14ac:dyDescent="0.2">
      <c r="A252" s="174">
        <v>470</v>
      </c>
      <c r="B252" s="232" t="str">
        <f>IF(AND(A252&lt;&gt;"",ISNUMBER(A252)),VLOOKUP(A252,Studies!A:BR,2,FALSE),"")</f>
        <v>Zimmermann 1996</v>
      </c>
      <c r="C252" s="232" t="str">
        <f>IF(AND(A252&lt;&gt;"",ISNUMBER(A252)),VLOOKUP(A252,Studies!A:BR,3,FALSE),"")</f>
        <v>https://www.ncbi.nlm.nih.gov/pubmed/8720318</v>
      </c>
      <c r="D252" s="232" t="str">
        <f>IF(AND(A252&lt;&gt;"",ISNUMBER(A252)),VLOOKUP(A252,Studies!A:BR,4,FALSE),"")</f>
        <v>Control (Perpetrator Placebo)</v>
      </c>
      <c r="E252" s="206" t="str">
        <f>IF(AND(A252&lt;&gt;"",ISNUMBER(A252)),VLOOKUP(A252,Studies!A:BR,5,FALSE),"")</f>
        <v>Midazolam</v>
      </c>
      <c r="F252" s="198">
        <v>0</v>
      </c>
      <c r="G252" s="198" t="s">
        <v>1023</v>
      </c>
      <c r="H252" s="198" t="s">
        <v>60</v>
      </c>
      <c r="I252" s="190">
        <v>173.77</v>
      </c>
      <c r="J252" s="190" t="s">
        <v>1024</v>
      </c>
      <c r="K252" s="190" t="s">
        <v>116</v>
      </c>
      <c r="L252" s="191">
        <v>24.66</v>
      </c>
      <c r="M252" s="191" t="s">
        <v>1024</v>
      </c>
      <c r="N252" s="191" t="s">
        <v>1034</v>
      </c>
      <c r="O252" s="190" t="s">
        <v>1025</v>
      </c>
      <c r="P252" s="192">
        <v>67.23</v>
      </c>
      <c r="Q252" s="192" t="s">
        <v>1026</v>
      </c>
      <c r="R252" s="192" t="s">
        <v>116</v>
      </c>
      <c r="S252" s="193">
        <v>11.39</v>
      </c>
      <c r="T252" s="193" t="s">
        <v>1026</v>
      </c>
      <c r="U252" s="193" t="s">
        <v>1034</v>
      </c>
      <c r="V252" s="201" t="s">
        <v>1027</v>
      </c>
      <c r="W252" s="196"/>
      <c r="X252" s="196"/>
      <c r="Y252" s="196"/>
      <c r="Z252" s="197"/>
      <c r="AA252" s="197"/>
      <c r="AB252" s="197"/>
      <c r="AC252" s="200"/>
      <c r="AD252" s="202"/>
      <c r="AE252" s="174">
        <f>IF(ISNUMBER(VLOOKUP(A252,NotghiID!A:A,1,FALSE)),1,0)</f>
        <v>0</v>
      </c>
    </row>
    <row r="253" spans="1:31" x14ac:dyDescent="0.2">
      <c r="A253" s="174">
        <v>471</v>
      </c>
      <c r="B253" s="232" t="str">
        <f>IF(AND(A253&lt;&gt;"",ISNUMBER(A253)),VLOOKUP(A253,Studies!A:BR,2,FALSE),"")</f>
        <v>Zimmermann 1996</v>
      </c>
      <c r="C253" s="232" t="str">
        <f>IF(AND(A253&lt;&gt;"",ISNUMBER(A253)),VLOOKUP(A253,Studies!A:BR,3,FALSE),"")</f>
        <v>https://www.ncbi.nlm.nih.gov/pubmed/8720318</v>
      </c>
      <c r="D253" s="232" t="str">
        <f>IF(AND(A253&lt;&gt;"",ISNUMBER(A253)),VLOOKUP(A253,Studies!A:BR,4,FALSE),"")</f>
        <v>with Perpetrator (Erythromycin)</v>
      </c>
      <c r="E253" s="206" t="str">
        <f>IF(AND(A253&lt;&gt;"",ISNUMBER(A253)),VLOOKUP(A253,Studies!A:BR,5,FALSE),"")</f>
        <v>Midazolam</v>
      </c>
      <c r="F253" s="198">
        <v>97.5</v>
      </c>
      <c r="G253" s="198" t="s">
        <v>1023</v>
      </c>
      <c r="H253" s="198" t="s">
        <v>60</v>
      </c>
      <c r="I253" s="190">
        <v>662.71</v>
      </c>
      <c r="J253" s="190" t="s">
        <v>1024</v>
      </c>
      <c r="K253" s="190" t="s">
        <v>116</v>
      </c>
      <c r="L253" s="191">
        <v>76.52</v>
      </c>
      <c r="M253" s="191" t="s">
        <v>1024</v>
      </c>
      <c r="N253" s="191" t="s">
        <v>1034</v>
      </c>
      <c r="O253" s="190" t="s">
        <v>1025</v>
      </c>
      <c r="P253" s="192">
        <v>182.29</v>
      </c>
      <c r="Q253" s="192" t="s">
        <v>1026</v>
      </c>
      <c r="R253" s="192" t="s">
        <v>116</v>
      </c>
      <c r="S253" s="193">
        <v>182.29</v>
      </c>
      <c r="T253" s="193" t="s">
        <v>1026</v>
      </c>
      <c r="U253" s="193" t="s">
        <v>1034</v>
      </c>
      <c r="V253" s="201" t="s">
        <v>1027</v>
      </c>
      <c r="W253" s="196"/>
      <c r="X253" s="196"/>
      <c r="Y253" s="196"/>
      <c r="Z253" s="197"/>
      <c r="AA253" s="197"/>
      <c r="AB253" s="197"/>
      <c r="AC253" s="200"/>
      <c r="AD253" s="202"/>
      <c r="AE253" s="174">
        <f>IF(ISNUMBER(VLOOKUP(A253,NotghiID!A:A,1,FALSE)),1,0)</f>
        <v>0</v>
      </c>
    </row>
    <row r="254" spans="1:31" x14ac:dyDescent="0.2">
      <c r="A254" s="174">
        <v>279</v>
      </c>
      <c r="B254" s="232" t="str">
        <f>IF(AND(A254&lt;&gt;"",ISNUMBER(A254)),VLOOKUP(A254,Studies!A:BR,2,FALSE),"")</f>
        <v>Kharasch 2004</v>
      </c>
      <c r="C254" s="232" t="str">
        <f>IF(AND(A254&lt;&gt;"",ISNUMBER(A254)),VLOOKUP(A254,Studies!A:BR,3,FALSE),"")</f>
        <v>https://www.ncbi.nlm.nih.gov/pubmed/15536460</v>
      </c>
      <c r="D254" s="232" t="str">
        <f>IF(AND(A254&lt;&gt;"",ISNUMBER(A254)),VLOOKUP(A254,Studies!A:BR,4,FALSE),"")</f>
        <v>iv Control (Perpetrator Placebo)</v>
      </c>
      <c r="E254" s="206" t="str">
        <f>IF(AND(A254&lt;&gt;"",ISNUMBER(A254)),VLOOKUP(A254,Studies!A:BR,5,FALSE),"")</f>
        <v>Midazolam</v>
      </c>
      <c r="F254" s="198">
        <f>Studies!N171</f>
        <v>0</v>
      </c>
      <c r="G254" s="198" t="s">
        <v>1023</v>
      </c>
      <c r="H254" s="198" t="s">
        <v>60</v>
      </c>
      <c r="I254" s="190">
        <v>28.4</v>
      </c>
      <c r="J254" s="190" t="s">
        <v>1024</v>
      </c>
      <c r="K254" s="190" t="s">
        <v>116</v>
      </c>
      <c r="L254" s="191">
        <v>4</v>
      </c>
      <c r="M254" s="191" t="s">
        <v>1024</v>
      </c>
      <c r="N254" s="191" t="s">
        <v>117</v>
      </c>
      <c r="O254" s="190" t="s">
        <v>1025</v>
      </c>
      <c r="P254" s="192">
        <v>50.2</v>
      </c>
      <c r="Q254" s="192" t="s">
        <v>1026</v>
      </c>
      <c r="R254" s="192" t="s">
        <v>116</v>
      </c>
      <c r="S254" s="193">
        <v>11.9</v>
      </c>
      <c r="T254" s="193" t="s">
        <v>1026</v>
      </c>
      <c r="U254" s="193" t="s">
        <v>117</v>
      </c>
      <c r="V254" s="201" t="s">
        <v>1027</v>
      </c>
      <c r="W254" s="196">
        <v>8.3000000000000007</v>
      </c>
      <c r="X254" s="196" t="s">
        <v>1071</v>
      </c>
      <c r="Y254" s="196" t="s">
        <v>389</v>
      </c>
      <c r="Z254" s="197">
        <v>1.6</v>
      </c>
      <c r="AA254" s="197" t="s">
        <v>1071</v>
      </c>
      <c r="AB254" s="197" t="s">
        <v>117</v>
      </c>
      <c r="AC254" s="200" t="s">
        <v>1088</v>
      </c>
      <c r="AD254" s="202"/>
      <c r="AE254" s="174">
        <f>IF(ISNUMBER(VLOOKUP(A254,NotghiID!A:A,1,FALSE)),1,0)</f>
        <v>0</v>
      </c>
    </row>
    <row r="255" spans="1:31" x14ac:dyDescent="0.2">
      <c r="A255" s="174">
        <v>280</v>
      </c>
      <c r="B255" s="232" t="str">
        <f>IF(AND(A255&lt;&gt;"",ISNUMBER(A255)),VLOOKUP(A255,Studies!A:BR,2,FALSE),"")</f>
        <v>Kharasch 2004</v>
      </c>
      <c r="C255" s="232" t="str">
        <f>IF(AND(A255&lt;&gt;"",ISNUMBER(A255)),VLOOKUP(A255,Studies!A:BR,3,FALSE),"")</f>
        <v>https://www.ncbi.nlm.nih.gov/pubmed/15536460</v>
      </c>
      <c r="D255" s="232" t="str">
        <f>IF(AND(A255&lt;&gt;"",ISNUMBER(A255)),VLOOKUP(A255,Studies!A:BR,4,FALSE),"")</f>
        <v>iv with Perpetrator (Rifampicin)</v>
      </c>
      <c r="E255" s="206" t="str">
        <f>IF(AND(A255&lt;&gt;"",ISNUMBER(A255)),VLOOKUP(A255,Studies!A:BR,5,FALSE),"")</f>
        <v>Midazolam</v>
      </c>
      <c r="F255" s="198">
        <f>Studies!N172</f>
        <v>104</v>
      </c>
      <c r="G255" s="198">
        <v>128</v>
      </c>
      <c r="H255" s="198" t="s">
        <v>60</v>
      </c>
      <c r="I255" s="190">
        <v>14.8</v>
      </c>
      <c r="J255" s="190" t="s">
        <v>1024</v>
      </c>
      <c r="K255" s="190" t="s">
        <v>116</v>
      </c>
      <c r="L255" s="191">
        <v>2.7</v>
      </c>
      <c r="M255" s="191" t="s">
        <v>1024</v>
      </c>
      <c r="N255" s="191" t="s">
        <v>117</v>
      </c>
      <c r="O255" s="190" t="s">
        <v>1025</v>
      </c>
      <c r="P255" s="192">
        <v>50.7</v>
      </c>
      <c r="Q255" s="192" t="s">
        <v>1026</v>
      </c>
      <c r="R255" s="192" t="s">
        <v>116</v>
      </c>
      <c r="S255" s="193">
        <v>17.7</v>
      </c>
      <c r="T255" s="193" t="s">
        <v>1026</v>
      </c>
      <c r="U255" s="193" t="s">
        <v>117</v>
      </c>
      <c r="V255" s="201" t="s">
        <v>1027</v>
      </c>
      <c r="W255" s="196">
        <v>16</v>
      </c>
      <c r="X255" s="196" t="s">
        <v>1071</v>
      </c>
      <c r="Y255" s="196" t="s">
        <v>389</v>
      </c>
      <c r="Z255" s="197">
        <v>2.2999999999999998</v>
      </c>
      <c r="AA255" s="197" t="s">
        <v>1071</v>
      </c>
      <c r="AB255" s="197" t="s">
        <v>117</v>
      </c>
      <c r="AC255" s="200" t="s">
        <v>1088</v>
      </c>
      <c r="AD255" s="202"/>
      <c r="AE255" s="174">
        <f>IF(ISNUMBER(VLOOKUP(A255,NotghiID!A:A,1,FALSE)),1,0)</f>
        <v>0</v>
      </c>
    </row>
    <row r="256" spans="1:31" x14ac:dyDescent="0.2">
      <c r="A256" s="174">
        <v>281</v>
      </c>
      <c r="B256" s="232" t="str">
        <f>IF(AND(A256&lt;&gt;"",ISNUMBER(A256)),VLOOKUP(A256,Studies!A:BR,2,FALSE),"")</f>
        <v>Kharasch 2004</v>
      </c>
      <c r="C256" s="232" t="str">
        <f>IF(AND(A256&lt;&gt;"",ISNUMBER(A256)),VLOOKUP(A256,Studies!A:BR,3,FALSE),"")</f>
        <v>https://www.ncbi.nlm.nih.gov/pubmed/15536460</v>
      </c>
      <c r="D256" s="232" t="str">
        <f>IF(AND(A256&lt;&gt;"",ISNUMBER(A256)),VLOOKUP(A256,Studies!A:BR,4,FALSE),"")</f>
        <v>iv with Perpetrator (GFJ)</v>
      </c>
      <c r="E256" s="206" t="str">
        <f>IF(AND(A256&lt;&gt;"",ISNUMBER(A256)),VLOOKUP(A256,Studies!A:BR,5,FALSE),"")</f>
        <v>Midazolam</v>
      </c>
      <c r="F256" s="198">
        <f>Studies!N173</f>
        <v>0</v>
      </c>
      <c r="G256" s="198" t="s">
        <v>1023</v>
      </c>
      <c r="H256" s="198" t="s">
        <v>60</v>
      </c>
      <c r="I256" s="190">
        <v>35.5</v>
      </c>
      <c r="J256" s="190" t="s">
        <v>1024</v>
      </c>
      <c r="K256" s="190" t="s">
        <v>116</v>
      </c>
      <c r="L256" s="191">
        <v>17.399999999999999</v>
      </c>
      <c r="M256" s="191" t="s">
        <v>1024</v>
      </c>
      <c r="N256" s="191" t="s">
        <v>117</v>
      </c>
      <c r="O256" s="190" t="s">
        <v>1025</v>
      </c>
      <c r="P256" s="192">
        <v>51.2</v>
      </c>
      <c r="Q256" s="192" t="s">
        <v>1026</v>
      </c>
      <c r="R256" s="192" t="s">
        <v>116</v>
      </c>
      <c r="S256" s="193">
        <v>35.4</v>
      </c>
      <c r="T256" s="193" t="s">
        <v>1026</v>
      </c>
      <c r="U256" s="193" t="s">
        <v>117</v>
      </c>
      <c r="V256" s="201" t="s">
        <v>1027</v>
      </c>
      <c r="W256" s="196">
        <v>7.6</v>
      </c>
      <c r="X256" s="196" t="s">
        <v>1071</v>
      </c>
      <c r="Y256" s="196" t="s">
        <v>389</v>
      </c>
      <c r="Z256" s="197">
        <v>7.6</v>
      </c>
      <c r="AA256" s="197" t="s">
        <v>1071</v>
      </c>
      <c r="AB256" s="197" t="s">
        <v>117</v>
      </c>
      <c r="AC256" s="200" t="s">
        <v>1088</v>
      </c>
      <c r="AD256" s="202"/>
      <c r="AE256" s="174">
        <f>IF(ISNUMBER(VLOOKUP(A256,NotghiID!A:A,1,FALSE)),1,0)</f>
        <v>0</v>
      </c>
    </row>
    <row r="257" spans="1:31" x14ac:dyDescent="0.2">
      <c r="A257" s="174">
        <v>282</v>
      </c>
      <c r="B257" s="232" t="str">
        <f>IF(AND(A257&lt;&gt;"",ISNUMBER(A257)),VLOOKUP(A257,Studies!A:BR,2,FALSE),"")</f>
        <v>Kharasch 2004</v>
      </c>
      <c r="C257" s="232" t="str">
        <f>IF(AND(A257&lt;&gt;"",ISNUMBER(A257)),VLOOKUP(A257,Studies!A:BR,3,FALSE),"")</f>
        <v>https://www.ncbi.nlm.nih.gov/pubmed/15536460</v>
      </c>
      <c r="D257" s="232" t="str">
        <f>IF(AND(A257&lt;&gt;"",ISNUMBER(A257)),VLOOKUP(A257,Studies!A:BR,4,FALSE),"")</f>
        <v>iv Control (Perpetrator Placebo)</v>
      </c>
      <c r="E257" s="206" t="str">
        <f>IF(AND(A257&lt;&gt;"",ISNUMBER(A257)),VLOOKUP(A257,Studies!A:BR,5,FALSE),"")</f>
        <v>Alfentanil</v>
      </c>
      <c r="F257" s="198">
        <f>Studies!N174</f>
        <v>0</v>
      </c>
      <c r="G257" s="198" t="s">
        <v>1023</v>
      </c>
      <c r="H257" s="198" t="s">
        <v>60</v>
      </c>
      <c r="I257" s="190">
        <v>64.8</v>
      </c>
      <c r="J257" s="190" t="s">
        <v>1024</v>
      </c>
      <c r="K257" s="190" t="s">
        <v>116</v>
      </c>
      <c r="L257" s="191">
        <v>26.6</v>
      </c>
      <c r="M257" s="191" t="s">
        <v>1024</v>
      </c>
      <c r="N257" s="191" t="s">
        <v>117</v>
      </c>
      <c r="O257" s="190" t="s">
        <v>1025</v>
      </c>
      <c r="P257" s="192">
        <v>90.2</v>
      </c>
      <c r="Q257" s="192" t="s">
        <v>1026</v>
      </c>
      <c r="R257" s="192" t="s">
        <v>116</v>
      </c>
      <c r="S257" s="193">
        <v>22.2</v>
      </c>
      <c r="T257" s="193" t="s">
        <v>1026</v>
      </c>
      <c r="U257" s="193" t="s">
        <v>117</v>
      </c>
      <c r="V257" s="201" t="s">
        <v>1027</v>
      </c>
      <c r="W257" s="196">
        <v>4.3899999999999997</v>
      </c>
      <c r="X257" s="196" t="s">
        <v>1071</v>
      </c>
      <c r="Y257" s="196" t="s">
        <v>389</v>
      </c>
      <c r="Z257" s="197">
        <v>1.48</v>
      </c>
      <c r="AA257" s="197" t="s">
        <v>1071</v>
      </c>
      <c r="AB257" s="197" t="s">
        <v>117</v>
      </c>
      <c r="AC257" s="200" t="s">
        <v>1088</v>
      </c>
      <c r="AD257" s="202"/>
      <c r="AE257" s="174">
        <f>IF(ISNUMBER(VLOOKUP(A257,NotghiID!A:A,1,FALSE)),1,0)</f>
        <v>0</v>
      </c>
    </row>
    <row r="258" spans="1:31" x14ac:dyDescent="0.2">
      <c r="A258" s="174">
        <v>283</v>
      </c>
      <c r="B258" s="232" t="str">
        <f>IF(AND(A258&lt;&gt;"",ISNUMBER(A258)),VLOOKUP(A258,Studies!A:BR,2,FALSE),"")</f>
        <v>Kharasch 2004</v>
      </c>
      <c r="C258" s="232" t="str">
        <f>IF(AND(A258&lt;&gt;"",ISNUMBER(A258)),VLOOKUP(A258,Studies!A:BR,3,FALSE),"")</f>
        <v>https://www.ncbi.nlm.nih.gov/pubmed/15536460</v>
      </c>
      <c r="D258" s="232" t="str">
        <f>IF(AND(A258&lt;&gt;"",ISNUMBER(A258)),VLOOKUP(A258,Studies!A:BR,4,FALSE),"")</f>
        <v>iv with Perpetrator (Rifampicin)</v>
      </c>
      <c r="E258" s="206" t="str">
        <f>IF(AND(A258&lt;&gt;"",ISNUMBER(A258)),VLOOKUP(A258,Studies!A:BR,5,FALSE),"")</f>
        <v>Alfentanil</v>
      </c>
      <c r="F258" s="198">
        <f>Studies!N175</f>
        <v>105</v>
      </c>
      <c r="G258" s="198">
        <v>129</v>
      </c>
      <c r="H258" s="198" t="s">
        <v>60</v>
      </c>
      <c r="I258" s="190">
        <v>24.3</v>
      </c>
      <c r="J258" s="190" t="s">
        <v>1024</v>
      </c>
      <c r="K258" s="190" t="s">
        <v>116</v>
      </c>
      <c r="L258" s="191">
        <v>6.5</v>
      </c>
      <c r="M258" s="191" t="s">
        <v>1024</v>
      </c>
      <c r="N258" s="191" t="s">
        <v>117</v>
      </c>
      <c r="O258" s="190" t="s">
        <v>1025</v>
      </c>
      <c r="P258" s="192">
        <v>90.5</v>
      </c>
      <c r="Q258" s="192" t="s">
        <v>1026</v>
      </c>
      <c r="R258" s="192" t="s">
        <v>116</v>
      </c>
      <c r="S258" s="193">
        <v>25.5</v>
      </c>
      <c r="T258" s="193" t="s">
        <v>1026</v>
      </c>
      <c r="U258" s="193" t="s">
        <v>117</v>
      </c>
      <c r="V258" s="201" t="s">
        <v>1027</v>
      </c>
      <c r="W258" s="196">
        <v>10.8</v>
      </c>
      <c r="X258" s="196" t="s">
        <v>1071</v>
      </c>
      <c r="Y258" s="196" t="s">
        <v>389</v>
      </c>
      <c r="Z258" s="197">
        <v>2.1</v>
      </c>
      <c r="AA258" s="197" t="s">
        <v>1071</v>
      </c>
      <c r="AB258" s="197" t="s">
        <v>117</v>
      </c>
      <c r="AC258" s="200" t="s">
        <v>1088</v>
      </c>
      <c r="AD258" s="202"/>
      <c r="AE258" s="174">
        <f>IF(ISNUMBER(VLOOKUP(A258,NotghiID!A:A,1,FALSE)),1,0)</f>
        <v>0</v>
      </c>
    </row>
    <row r="259" spans="1:31" x14ac:dyDescent="0.2">
      <c r="A259" s="174">
        <v>284</v>
      </c>
      <c r="B259" s="232" t="str">
        <f>IF(AND(A259&lt;&gt;"",ISNUMBER(A259)),VLOOKUP(A259,Studies!A:BR,2,FALSE),"")</f>
        <v>Kharasch 2004</v>
      </c>
      <c r="C259" s="232" t="str">
        <f>IF(AND(A259&lt;&gt;"",ISNUMBER(A259)),VLOOKUP(A259,Studies!A:BR,3,FALSE),"")</f>
        <v>https://www.ncbi.nlm.nih.gov/pubmed/15536460</v>
      </c>
      <c r="D259" s="232" t="str">
        <f>IF(AND(A259&lt;&gt;"",ISNUMBER(A259)),VLOOKUP(A259,Studies!A:BR,4,FALSE),"")</f>
        <v>iv with Perpetrator (GFJ)</v>
      </c>
      <c r="E259" s="206" t="str">
        <f>IF(AND(A259&lt;&gt;"",ISNUMBER(A259)),VLOOKUP(A259,Studies!A:BR,5,FALSE),"")</f>
        <v>Alfentanil</v>
      </c>
      <c r="F259" s="198">
        <f>Studies!N176</f>
        <v>0</v>
      </c>
      <c r="G259" s="198" t="s">
        <v>1023</v>
      </c>
      <c r="H259" s="198" t="s">
        <v>60</v>
      </c>
      <c r="I259" s="190">
        <v>68.3</v>
      </c>
      <c r="J259" s="190" t="s">
        <v>1024</v>
      </c>
      <c r="K259" s="190" t="s">
        <v>116</v>
      </c>
      <c r="L259" s="191">
        <v>19.899999999999999</v>
      </c>
      <c r="M259" s="191" t="s">
        <v>1024</v>
      </c>
      <c r="N259" s="191" t="s">
        <v>117</v>
      </c>
      <c r="O259" s="190" t="s">
        <v>1025</v>
      </c>
      <c r="P259" s="192">
        <v>93.7</v>
      </c>
      <c r="Q259" s="192" t="s">
        <v>1026</v>
      </c>
      <c r="R259" s="192" t="s">
        <v>116</v>
      </c>
      <c r="S259" s="193">
        <v>19.7</v>
      </c>
      <c r="T259" s="193" t="s">
        <v>1026</v>
      </c>
      <c r="U259" s="193" t="s">
        <v>117</v>
      </c>
      <c r="V259" s="201" t="s">
        <v>1027</v>
      </c>
      <c r="W259" s="196">
        <v>4.0199999999999996</v>
      </c>
      <c r="X259" s="196" t="s">
        <v>1071</v>
      </c>
      <c r="Y259" s="196" t="s">
        <v>389</v>
      </c>
      <c r="Z259" s="197">
        <v>1.34</v>
      </c>
      <c r="AA259" s="197" t="s">
        <v>1071</v>
      </c>
      <c r="AB259" s="197" t="s">
        <v>117</v>
      </c>
      <c r="AC259" s="200" t="s">
        <v>1088</v>
      </c>
      <c r="AD259" s="202"/>
      <c r="AE259" s="174">
        <f>IF(ISNUMBER(VLOOKUP(A259,NotghiID!A:A,1,FALSE)),1,0)</f>
        <v>0</v>
      </c>
    </row>
    <row r="260" spans="1:31" x14ac:dyDescent="0.2">
      <c r="A260" s="174">
        <v>285</v>
      </c>
      <c r="B260" s="232" t="str">
        <f>IF(AND(A260&lt;&gt;"",ISNUMBER(A260)),VLOOKUP(A260,Studies!A:BR,2,FALSE),"")</f>
        <v>Kharasch 2004</v>
      </c>
      <c r="C260" s="232" t="str">
        <f>IF(AND(A260&lt;&gt;"",ISNUMBER(A260)),VLOOKUP(A260,Studies!A:BR,3,FALSE),"")</f>
        <v>https://www.ncbi.nlm.nih.gov/pubmed/15536460</v>
      </c>
      <c r="D260" s="232" t="str">
        <f>IF(AND(A260&lt;&gt;"",ISNUMBER(A260)),VLOOKUP(A260,Studies!A:BR,4,FALSE),"")</f>
        <v>po #1 Control (Perpetrator Placebo)</v>
      </c>
      <c r="E260" s="206" t="str">
        <f>IF(AND(A260&lt;&gt;"",ISNUMBER(A260)),VLOOKUP(A260,Studies!A:BR,5,FALSE),"")</f>
        <v>Midazolam</v>
      </c>
      <c r="F260" s="198">
        <f>Studies!N177</f>
        <v>0</v>
      </c>
      <c r="G260" s="198" t="s">
        <v>1023</v>
      </c>
      <c r="H260" s="198" t="s">
        <v>60</v>
      </c>
      <c r="I260" s="190">
        <v>20.9</v>
      </c>
      <c r="J260" s="190" t="s">
        <v>1024</v>
      </c>
      <c r="K260" s="190" t="s">
        <v>116</v>
      </c>
      <c r="L260" s="191">
        <v>4.2</v>
      </c>
      <c r="M260" s="191" t="s">
        <v>1024</v>
      </c>
      <c r="N260" s="191" t="s">
        <v>117</v>
      </c>
      <c r="O260" s="190" t="s">
        <v>1025</v>
      </c>
      <c r="P260" s="192">
        <v>9.1</v>
      </c>
      <c r="Q260" s="192" t="s">
        <v>1026</v>
      </c>
      <c r="R260" s="192" t="s">
        <v>116</v>
      </c>
      <c r="S260" s="193">
        <v>2.4</v>
      </c>
      <c r="T260" s="193" t="s">
        <v>1026</v>
      </c>
      <c r="U260" s="193" t="s">
        <v>117</v>
      </c>
      <c r="V260" s="201" t="s">
        <v>1027</v>
      </c>
      <c r="W260" s="196">
        <v>35.4</v>
      </c>
      <c r="X260" s="196" t="s">
        <v>1071</v>
      </c>
      <c r="Y260" s="196" t="s">
        <v>389</v>
      </c>
      <c r="Z260" s="197">
        <v>13.7</v>
      </c>
      <c r="AA260" s="197" t="s">
        <v>1071</v>
      </c>
      <c r="AB260" s="197" t="s">
        <v>117</v>
      </c>
      <c r="AC260" s="200" t="s">
        <v>1033</v>
      </c>
      <c r="AD260" s="202"/>
      <c r="AE260" s="174">
        <f>IF(ISNUMBER(VLOOKUP(A260,NotghiID!A:A,1,FALSE)),1,0)</f>
        <v>0</v>
      </c>
    </row>
    <row r="261" spans="1:31" x14ac:dyDescent="0.2">
      <c r="A261" s="174">
        <v>286</v>
      </c>
      <c r="B261" s="232" t="str">
        <f>IF(AND(A261&lt;&gt;"",ISNUMBER(A261)),VLOOKUP(A261,Studies!A:BR,2,FALSE),"")</f>
        <v>Kharasch 2004</v>
      </c>
      <c r="C261" s="232" t="str">
        <f>IF(AND(A261&lt;&gt;"",ISNUMBER(A261)),VLOOKUP(A261,Studies!A:BR,3,FALSE),"")</f>
        <v>https://www.ncbi.nlm.nih.gov/pubmed/15536460</v>
      </c>
      <c r="D261" s="232" t="str">
        <f>IF(AND(A261&lt;&gt;"",ISNUMBER(A261)),VLOOKUP(A261,Studies!A:BR,4,FALSE),"")</f>
        <v>po #1 with Perpetrator (Rifampicin)</v>
      </c>
      <c r="E261" s="206" t="str">
        <f>IF(AND(A261&lt;&gt;"",ISNUMBER(A261)),VLOOKUP(A261,Studies!A:BR,5,FALSE),"")</f>
        <v>Midazolam</v>
      </c>
      <c r="F261" s="198">
        <f>Studies!N178</f>
        <v>128</v>
      </c>
      <c r="G261" s="198" t="s">
        <v>1023</v>
      </c>
      <c r="H261" s="198" t="s">
        <v>60</v>
      </c>
      <c r="I261" s="190">
        <v>1.1000000000000001</v>
      </c>
      <c r="J261" s="190" t="s">
        <v>1024</v>
      </c>
      <c r="K261" s="190" t="s">
        <v>116</v>
      </c>
      <c r="L261" s="191">
        <v>0.5</v>
      </c>
      <c r="M261" s="191" t="s">
        <v>1024</v>
      </c>
      <c r="N261" s="191" t="s">
        <v>117</v>
      </c>
      <c r="O261" s="190" t="s">
        <v>1025</v>
      </c>
      <c r="P261" s="192">
        <v>1</v>
      </c>
      <c r="Q261" s="192" t="s">
        <v>1026</v>
      </c>
      <c r="R261" s="192" t="s">
        <v>116</v>
      </c>
      <c r="S261" s="193">
        <v>0.6</v>
      </c>
      <c r="T261" s="193" t="s">
        <v>1026</v>
      </c>
      <c r="U261" s="193" t="s">
        <v>117</v>
      </c>
      <c r="V261" s="201" t="s">
        <v>1027</v>
      </c>
      <c r="W261" s="196">
        <v>735</v>
      </c>
      <c r="X261" s="196" t="s">
        <v>1071</v>
      </c>
      <c r="Y261" s="196" t="s">
        <v>389</v>
      </c>
      <c r="Z261" s="197">
        <v>424</v>
      </c>
      <c r="AA261" s="197" t="s">
        <v>1071</v>
      </c>
      <c r="AB261" s="197" t="s">
        <v>117</v>
      </c>
      <c r="AC261" s="200" t="s">
        <v>1033</v>
      </c>
      <c r="AD261" s="202"/>
      <c r="AE261" s="174">
        <f>IF(ISNUMBER(VLOOKUP(A261,NotghiID!A:A,1,FALSE)),1,0)</f>
        <v>0</v>
      </c>
    </row>
    <row r="262" spans="1:31" x14ac:dyDescent="0.2">
      <c r="A262" s="174">
        <v>287</v>
      </c>
      <c r="B262" s="232" t="str">
        <f>IF(AND(A262&lt;&gt;"",ISNUMBER(A262)),VLOOKUP(A262,Studies!A:BR,2,FALSE),"")</f>
        <v>Kharasch 2004</v>
      </c>
      <c r="C262" s="232" t="str">
        <f>IF(AND(A262&lt;&gt;"",ISNUMBER(A262)),VLOOKUP(A262,Studies!A:BR,3,FALSE),"")</f>
        <v>https://www.ncbi.nlm.nih.gov/pubmed/15536460</v>
      </c>
      <c r="D262" s="232" t="str">
        <f>IF(AND(A262&lt;&gt;"",ISNUMBER(A262)),VLOOKUP(A262,Studies!A:BR,4,FALSE),"")</f>
        <v>po #1 (60 µg/kg) Control (Perpetrator Placebo)</v>
      </c>
      <c r="E262" s="206" t="str">
        <f>IF(AND(A262&lt;&gt;"",ISNUMBER(A262)),VLOOKUP(A262,Studies!A:BR,5,FALSE),"")</f>
        <v>Alfentanil</v>
      </c>
      <c r="F262" s="198">
        <f>Studies!N179</f>
        <v>0</v>
      </c>
      <c r="G262" s="198" t="s">
        <v>1023</v>
      </c>
      <c r="H262" s="198" t="s">
        <v>60</v>
      </c>
      <c r="I262" s="190">
        <v>103</v>
      </c>
      <c r="J262" s="190" t="s">
        <v>1024</v>
      </c>
      <c r="K262" s="190" t="s">
        <v>116</v>
      </c>
      <c r="L262" s="191">
        <v>30</v>
      </c>
      <c r="M262" s="191" t="s">
        <v>1024</v>
      </c>
      <c r="N262" s="191" t="s">
        <v>117</v>
      </c>
      <c r="O262" s="190" t="s">
        <v>1025</v>
      </c>
      <c r="P262" s="192">
        <v>45</v>
      </c>
      <c r="Q262" s="192" t="s">
        <v>1026</v>
      </c>
      <c r="R262" s="192" t="s">
        <v>116</v>
      </c>
      <c r="S262" s="193">
        <v>14.5</v>
      </c>
      <c r="T262" s="193" t="s">
        <v>1026</v>
      </c>
      <c r="U262" s="193" t="s">
        <v>117</v>
      </c>
      <c r="V262" s="201" t="s">
        <v>1027</v>
      </c>
      <c r="W262" s="196">
        <v>10.6</v>
      </c>
      <c r="X262" s="196" t="s">
        <v>1071</v>
      </c>
      <c r="Y262" s="196" t="s">
        <v>389</v>
      </c>
      <c r="Z262" s="197">
        <v>30</v>
      </c>
      <c r="AA262" s="197" t="s">
        <v>1071</v>
      </c>
      <c r="AB262" s="197" t="s">
        <v>117</v>
      </c>
      <c r="AC262" s="200" t="s">
        <v>1033</v>
      </c>
      <c r="AD262" s="202"/>
      <c r="AE262" s="174">
        <f>IF(ISNUMBER(VLOOKUP(A262,NotghiID!A:A,1,FALSE)),1,0)</f>
        <v>0</v>
      </c>
    </row>
    <row r="263" spans="1:31" x14ac:dyDescent="0.2">
      <c r="A263" s="174">
        <v>288</v>
      </c>
      <c r="B263" s="232" t="str">
        <f>IF(AND(A263&lt;&gt;"",ISNUMBER(A263)),VLOOKUP(A263,Studies!A:BR,2,FALSE),"")</f>
        <v>Kharasch 2004</v>
      </c>
      <c r="C263" s="232" t="str">
        <f>IF(AND(A263&lt;&gt;"",ISNUMBER(A263)),VLOOKUP(A263,Studies!A:BR,3,FALSE),"")</f>
        <v>https://www.ncbi.nlm.nih.gov/pubmed/15536460</v>
      </c>
      <c r="D263" s="232" t="str">
        <f>IF(AND(A263&lt;&gt;"",ISNUMBER(A263)),VLOOKUP(A263,Studies!A:BR,4,FALSE),"")</f>
        <v>po #1 (60 µg/kg) with Perpetrator (Rifampicin)</v>
      </c>
      <c r="E263" s="206" t="str">
        <f>IF(AND(A263&lt;&gt;"",ISNUMBER(A263)),VLOOKUP(A263,Studies!A:BR,5,FALSE),"")</f>
        <v>Alfentanil</v>
      </c>
      <c r="F263" s="198">
        <f>Studies!N180</f>
        <v>129</v>
      </c>
      <c r="G263" s="198" t="s">
        <v>1023</v>
      </c>
      <c r="H263" s="198" t="s">
        <v>60</v>
      </c>
      <c r="I263" s="190">
        <v>4.7</v>
      </c>
      <c r="J263" s="190" t="s">
        <v>1024</v>
      </c>
      <c r="K263" s="190" t="s">
        <v>116</v>
      </c>
      <c r="L263" s="191">
        <v>4.5999999999999996</v>
      </c>
      <c r="M263" s="191" t="s">
        <v>1024</v>
      </c>
      <c r="N263" s="191" t="s">
        <v>117</v>
      </c>
      <c r="O263" s="190" t="s">
        <v>1025</v>
      </c>
      <c r="P263" s="192">
        <v>5</v>
      </c>
      <c r="Q263" s="192" t="s">
        <v>1026</v>
      </c>
      <c r="R263" s="192" t="s">
        <v>116</v>
      </c>
      <c r="S263" s="193">
        <v>3.6</v>
      </c>
      <c r="T263" s="193" t="s">
        <v>1026</v>
      </c>
      <c r="U263" s="193" t="s">
        <v>117</v>
      </c>
      <c r="V263" s="201" t="s">
        <v>1027</v>
      </c>
      <c r="W263" s="196">
        <v>339</v>
      </c>
      <c r="X263" s="196" t="s">
        <v>1071</v>
      </c>
      <c r="Y263" s="196" t="s">
        <v>389</v>
      </c>
      <c r="Z263" s="197">
        <v>4.5999999999999996</v>
      </c>
      <c r="AA263" s="197" t="s">
        <v>1071</v>
      </c>
      <c r="AB263" s="197" t="s">
        <v>117</v>
      </c>
      <c r="AC263" s="200" t="s">
        <v>1033</v>
      </c>
      <c r="AD263" s="202"/>
      <c r="AE263" s="174">
        <f>IF(ISNUMBER(VLOOKUP(A263,NotghiID!A:A,1,FALSE)),1,0)</f>
        <v>0</v>
      </c>
    </row>
    <row r="264" spans="1:31" x14ac:dyDescent="0.2">
      <c r="A264" s="174">
        <v>289</v>
      </c>
      <c r="B264" s="232" t="str">
        <f>IF(AND(A264&lt;&gt;"",ISNUMBER(A264)),VLOOKUP(A264,Studies!A:BR,2,FALSE),"")</f>
        <v>Kharasch 2004</v>
      </c>
      <c r="C264" s="232" t="str">
        <f>IF(AND(A264&lt;&gt;"",ISNUMBER(A264)),VLOOKUP(A264,Studies!A:BR,3,FALSE),"")</f>
        <v>https://www.ncbi.nlm.nih.gov/pubmed/15536460</v>
      </c>
      <c r="D264" s="232" t="str">
        <f>IF(AND(A264&lt;&gt;"",ISNUMBER(A264)),VLOOKUP(A264,Studies!A:BR,4,FALSE),"")</f>
        <v>po #2 Control (Perpetrator Placebo)</v>
      </c>
      <c r="E264" s="206" t="str">
        <f>IF(AND(A264&lt;&gt;"",ISNUMBER(A264)),VLOOKUP(A264,Studies!A:BR,5,FALSE),"")</f>
        <v>Midazolam</v>
      </c>
      <c r="F264" s="198">
        <f>Studies!N181</f>
        <v>0</v>
      </c>
      <c r="G264" s="198" t="s">
        <v>1023</v>
      </c>
      <c r="H264" s="198" t="s">
        <v>60</v>
      </c>
      <c r="I264" s="190">
        <v>22.8</v>
      </c>
      <c r="J264" s="190" t="s">
        <v>1024</v>
      </c>
      <c r="K264" s="190" t="s">
        <v>116</v>
      </c>
      <c r="L264" s="191">
        <v>9.1999999999999993</v>
      </c>
      <c r="M264" s="191" t="s">
        <v>1024</v>
      </c>
      <c r="N264" s="191" t="s">
        <v>117</v>
      </c>
      <c r="O264" s="190" t="s">
        <v>1025</v>
      </c>
      <c r="P264" s="192">
        <v>10.3</v>
      </c>
      <c r="Q264" s="192" t="s">
        <v>1026</v>
      </c>
      <c r="R264" s="192" t="s">
        <v>116</v>
      </c>
      <c r="S264" s="193">
        <v>4.4000000000000004</v>
      </c>
      <c r="T264" s="193" t="s">
        <v>1026</v>
      </c>
      <c r="U264" s="193" t="s">
        <v>117</v>
      </c>
      <c r="V264" s="201" t="s">
        <v>1027</v>
      </c>
      <c r="W264" s="196">
        <v>34</v>
      </c>
      <c r="X264" s="196" t="s">
        <v>1071</v>
      </c>
      <c r="Y264" s="196" t="s">
        <v>389</v>
      </c>
      <c r="Z264" s="197">
        <v>12.5</v>
      </c>
      <c r="AA264" s="197" t="s">
        <v>1071</v>
      </c>
      <c r="AB264" s="197" t="s">
        <v>117</v>
      </c>
      <c r="AC264" s="200" t="s">
        <v>1033</v>
      </c>
      <c r="AD264" s="202"/>
      <c r="AE264" s="174">
        <f>IF(ISNUMBER(VLOOKUP(A264,NotghiID!A:A,1,FALSE)),1,0)</f>
        <v>0</v>
      </c>
    </row>
    <row r="265" spans="1:31" x14ac:dyDescent="0.2">
      <c r="A265" s="174">
        <v>290</v>
      </c>
      <c r="B265" s="232" t="str">
        <f>IF(AND(A265&lt;&gt;"",ISNUMBER(A265)),VLOOKUP(A265,Studies!A:BR,2,FALSE),"")</f>
        <v>Kharasch 2004</v>
      </c>
      <c r="C265" s="232" t="str">
        <f>IF(AND(A265&lt;&gt;"",ISNUMBER(A265)),VLOOKUP(A265,Studies!A:BR,3,FALSE),"")</f>
        <v>https://www.ncbi.nlm.nih.gov/pubmed/15536460</v>
      </c>
      <c r="D265" s="232" t="str">
        <f>IF(AND(A265&lt;&gt;"",ISNUMBER(A265)),VLOOKUP(A265,Studies!A:BR,4,FALSE),"")</f>
        <v>po #2 with Perpetrator (GFJ)</v>
      </c>
      <c r="E265" s="206" t="str">
        <f>IF(AND(A265&lt;&gt;"",ISNUMBER(A265)),VLOOKUP(A265,Studies!A:BR,5,FALSE),"")</f>
        <v>Midazolam</v>
      </c>
      <c r="F265" s="198">
        <f>Studies!N182</f>
        <v>0</v>
      </c>
      <c r="G265" s="198" t="s">
        <v>1023</v>
      </c>
      <c r="H265" s="198" t="s">
        <v>60</v>
      </c>
      <c r="I265" s="190">
        <v>39.5</v>
      </c>
      <c r="J265" s="190" t="s">
        <v>1024</v>
      </c>
      <c r="K265" s="190" t="s">
        <v>116</v>
      </c>
      <c r="L265" s="191">
        <v>6.4</v>
      </c>
      <c r="M265" s="191" t="s">
        <v>1024</v>
      </c>
      <c r="N265" s="191" t="s">
        <v>117</v>
      </c>
      <c r="O265" s="190" t="s">
        <v>1025</v>
      </c>
      <c r="P265" s="192">
        <v>15.6</v>
      </c>
      <c r="Q265" s="192" t="s">
        <v>1026</v>
      </c>
      <c r="R265" s="192" t="s">
        <v>116</v>
      </c>
      <c r="S265" s="193">
        <v>4.2</v>
      </c>
      <c r="T265" s="193" t="s">
        <v>1026</v>
      </c>
      <c r="U265" s="193" t="s">
        <v>117</v>
      </c>
      <c r="V265" s="201" t="s">
        <v>1027</v>
      </c>
      <c r="W265" s="196">
        <v>17.899999999999999</v>
      </c>
      <c r="X265" s="196" t="s">
        <v>1071</v>
      </c>
      <c r="Y265" s="196" t="s">
        <v>389</v>
      </c>
      <c r="Z265" s="197">
        <v>3.3</v>
      </c>
      <c r="AA265" s="197" t="s">
        <v>1071</v>
      </c>
      <c r="AB265" s="197" t="s">
        <v>117</v>
      </c>
      <c r="AC265" s="200" t="s">
        <v>1033</v>
      </c>
      <c r="AD265" s="202"/>
      <c r="AE265" s="174">
        <f>IF(ISNUMBER(VLOOKUP(A265,NotghiID!A:A,1,FALSE)),1,0)</f>
        <v>0</v>
      </c>
    </row>
    <row r="266" spans="1:31" x14ac:dyDescent="0.2">
      <c r="A266" s="174">
        <v>291</v>
      </c>
      <c r="B266" s="232" t="str">
        <f>IF(AND(A266&lt;&gt;"",ISNUMBER(A266)),VLOOKUP(A266,Studies!A:BR,2,FALSE),"")</f>
        <v>Kharasch 2004</v>
      </c>
      <c r="C266" s="232" t="str">
        <f>IF(AND(A266&lt;&gt;"",ISNUMBER(A266)),VLOOKUP(A266,Studies!A:BR,3,FALSE),"")</f>
        <v>https://www.ncbi.nlm.nih.gov/pubmed/15536460</v>
      </c>
      <c r="D266" s="232" t="str">
        <f>IF(AND(A266&lt;&gt;"",ISNUMBER(A266)),VLOOKUP(A266,Studies!A:BR,4,FALSE),"")</f>
        <v>po #2 (23 µg/kg) Control (Perpetrator Placebo)</v>
      </c>
      <c r="E266" s="206" t="str">
        <f>IF(AND(A266&lt;&gt;"",ISNUMBER(A266)),VLOOKUP(A266,Studies!A:BR,5,FALSE),"")</f>
        <v>Alfentanil</v>
      </c>
      <c r="F266" s="198">
        <f>Studies!N183</f>
        <v>0</v>
      </c>
      <c r="G266" s="198" t="s">
        <v>1023</v>
      </c>
      <c r="H266" s="198" t="s">
        <v>60</v>
      </c>
      <c r="I266" s="190">
        <v>38</v>
      </c>
      <c r="J266" s="190" t="s">
        <v>1024</v>
      </c>
      <c r="K266" s="190" t="s">
        <v>116</v>
      </c>
      <c r="L266" s="191">
        <v>13.3</v>
      </c>
      <c r="M266" s="191" t="s">
        <v>1024</v>
      </c>
      <c r="N266" s="191" t="s">
        <v>117</v>
      </c>
      <c r="O266" s="190" t="s">
        <v>1025</v>
      </c>
      <c r="P266" s="192">
        <v>61.3</v>
      </c>
      <c r="Q266" s="192" t="s">
        <v>1026</v>
      </c>
      <c r="R266" s="192" t="s">
        <v>116</v>
      </c>
      <c r="S266" s="193">
        <v>9.8000000000000007</v>
      </c>
      <c r="T266" s="193" t="s">
        <v>1026</v>
      </c>
      <c r="U266" s="193" t="s">
        <v>117</v>
      </c>
      <c r="V266" s="201" t="s">
        <v>1027</v>
      </c>
      <c r="W266" s="196">
        <v>11.2</v>
      </c>
      <c r="X266" s="196" t="s">
        <v>1071</v>
      </c>
      <c r="Y266" s="196" t="s">
        <v>389</v>
      </c>
      <c r="Z266" s="197">
        <v>3.8</v>
      </c>
      <c r="AA266" s="197" t="s">
        <v>1071</v>
      </c>
      <c r="AB266" s="197" t="s">
        <v>117</v>
      </c>
      <c r="AC266" s="200" t="s">
        <v>1033</v>
      </c>
      <c r="AD266" s="202"/>
      <c r="AE266" s="174">
        <f>IF(ISNUMBER(VLOOKUP(A266,NotghiID!A:A,1,FALSE)),1,0)</f>
        <v>0</v>
      </c>
    </row>
    <row r="267" spans="1:31" x14ac:dyDescent="0.2">
      <c r="A267" s="174">
        <v>292</v>
      </c>
      <c r="B267" s="232" t="str">
        <f>IF(AND(A267&lt;&gt;"",ISNUMBER(A267)),VLOOKUP(A267,Studies!A:BR,2,FALSE),"")</f>
        <v>Kharasch 2004</v>
      </c>
      <c r="C267" s="232" t="str">
        <f>IF(AND(A267&lt;&gt;"",ISNUMBER(A267)),VLOOKUP(A267,Studies!A:BR,3,FALSE),"")</f>
        <v>https://www.ncbi.nlm.nih.gov/pubmed/15536460</v>
      </c>
      <c r="D267" s="232" t="str">
        <f>IF(AND(A267&lt;&gt;"",ISNUMBER(A267)),VLOOKUP(A267,Studies!A:BR,4,FALSE),"")</f>
        <v>po #2 (23 µg/kg) with Perpetrator (GFJ)</v>
      </c>
      <c r="E267" s="206" t="str">
        <f>IF(AND(A267&lt;&gt;"",ISNUMBER(A267)),VLOOKUP(A267,Studies!A:BR,5,FALSE),"")</f>
        <v>Alfentanil</v>
      </c>
      <c r="F267" s="198">
        <f>Studies!N184</f>
        <v>0</v>
      </c>
      <c r="G267" s="198" t="s">
        <v>1023</v>
      </c>
      <c r="H267" s="198" t="s">
        <v>60</v>
      </c>
      <c r="I267" s="190">
        <v>62.5</v>
      </c>
      <c r="J267" s="190" t="s">
        <v>1024</v>
      </c>
      <c r="K267" s="190" t="s">
        <v>116</v>
      </c>
      <c r="L267" s="191">
        <v>19.3</v>
      </c>
      <c r="M267" s="191" t="s">
        <v>1024</v>
      </c>
      <c r="N267" s="191" t="s">
        <v>117</v>
      </c>
      <c r="O267" s="190" t="s">
        <v>1025</v>
      </c>
      <c r="P267" s="192">
        <v>30.4</v>
      </c>
      <c r="Q267" s="192" t="s">
        <v>1026</v>
      </c>
      <c r="R267" s="192" t="s">
        <v>116</v>
      </c>
      <c r="S267" s="193">
        <v>6.9</v>
      </c>
      <c r="T267" s="193" t="s">
        <v>1026</v>
      </c>
      <c r="U267" s="193" t="s">
        <v>117</v>
      </c>
      <c r="V267" s="201" t="s">
        <v>1027</v>
      </c>
      <c r="W267" s="196">
        <v>6.7</v>
      </c>
      <c r="X267" s="196" t="s">
        <v>1071</v>
      </c>
      <c r="Y267" s="196" t="s">
        <v>389</v>
      </c>
      <c r="Z267" s="197">
        <v>2.5</v>
      </c>
      <c r="AA267" s="197" t="s">
        <v>1071</v>
      </c>
      <c r="AB267" s="197" t="s">
        <v>117</v>
      </c>
      <c r="AC267" s="200" t="s">
        <v>1033</v>
      </c>
      <c r="AD267" s="202"/>
      <c r="AE267" s="174">
        <f>IF(ISNUMBER(VLOOKUP(A267,NotghiID!A:A,1,FALSE)),1,0)</f>
        <v>0</v>
      </c>
    </row>
    <row r="268" spans="1:31" x14ac:dyDescent="0.2">
      <c r="A268" s="205">
        <v>53</v>
      </c>
      <c r="B268" s="232" t="str">
        <f>IF(AND(A268&lt;&gt;"",ISNUMBER(A268)),VLOOKUP(A268,Studies!A:BR,2,FALSE),"")</f>
        <v>Backman 1996</v>
      </c>
      <c r="C268" s="232" t="str">
        <f>IF(AND(A268&lt;&gt;"",ISNUMBER(A268)),VLOOKUP(A268,Studies!A:BR,3,FALSE),"")</f>
        <v>https://www.ncbi.nlm.nih.gov/pubmed/8549036</v>
      </c>
      <c r="D268" s="232" t="str">
        <f>IF(AND(A268&lt;&gt;"",ISNUMBER(A268)),VLOOKUP(A268,Studies!A:BR,4,FALSE),"")</f>
        <v>Control (Perpetrator Placebo)</v>
      </c>
      <c r="E268" s="206" t="str">
        <f>IF(AND(A268&lt;&gt;"",ISNUMBER(A268)),VLOOKUP(A268,Studies!A:BR,5,FALSE),"")</f>
        <v>Midazolam</v>
      </c>
      <c r="F268" s="175">
        <v>0</v>
      </c>
      <c r="G268" s="198" t="s">
        <v>1023</v>
      </c>
      <c r="H268" s="198" t="s">
        <v>60</v>
      </c>
      <c r="I268" s="190">
        <v>10.199999999999999</v>
      </c>
      <c r="J268" s="190" t="s">
        <v>1089</v>
      </c>
      <c r="K268" s="190" t="s">
        <v>116</v>
      </c>
      <c r="L268" s="191">
        <v>0.8</v>
      </c>
      <c r="M268" s="191" t="s">
        <v>1089</v>
      </c>
      <c r="N268" s="191" t="s">
        <v>1034</v>
      </c>
      <c r="O268" s="190" t="s">
        <v>1025</v>
      </c>
      <c r="P268" s="192">
        <v>55</v>
      </c>
      <c r="Q268" s="192" t="s">
        <v>1026</v>
      </c>
      <c r="R268" s="192" t="s">
        <v>116</v>
      </c>
      <c r="S268" s="193">
        <v>4</v>
      </c>
      <c r="T268" s="193" t="s">
        <v>1090</v>
      </c>
      <c r="U268" s="193" t="s">
        <v>1034</v>
      </c>
      <c r="V268" s="201" t="s">
        <v>1027</v>
      </c>
      <c r="W268" s="196"/>
      <c r="X268" s="196"/>
      <c r="Y268" s="196"/>
      <c r="Z268" s="197"/>
      <c r="AA268" s="197"/>
      <c r="AB268" s="197"/>
      <c r="AC268" s="200"/>
      <c r="AD268" s="202"/>
      <c r="AE268" s="174">
        <f>IF(ISNUMBER(VLOOKUP(A268,NotghiID!A:A,1,FALSE)),1,0)</f>
        <v>1</v>
      </c>
    </row>
    <row r="269" spans="1:31" x14ac:dyDescent="0.2">
      <c r="A269" s="205">
        <v>54</v>
      </c>
      <c r="B269" s="232" t="str">
        <f>IF(AND(A269&lt;&gt;"",ISNUMBER(A269)),VLOOKUP(A269,Studies!A:BR,2,FALSE),"")</f>
        <v>Backman 1996</v>
      </c>
      <c r="C269" s="232" t="str">
        <f>IF(AND(A269&lt;&gt;"",ISNUMBER(A269)),VLOOKUP(A269,Studies!A:BR,3,FALSE),"")</f>
        <v>https://www.ncbi.nlm.nih.gov/pubmed/8549036</v>
      </c>
      <c r="D269" s="232" t="str">
        <f>IF(AND(A269&lt;&gt;"",ISNUMBER(A269)),VLOOKUP(A269,Studies!A:BR,4,FALSE),"")</f>
        <v>with Perpetrator (Rifampicin)</v>
      </c>
      <c r="E269" s="206" t="str">
        <f>IF(AND(A269&lt;&gt;"",ISNUMBER(A269)),VLOOKUP(A269,Studies!A:BR,5,FALSE),"")</f>
        <v>Midazolam</v>
      </c>
      <c r="F269" s="175">
        <v>113</v>
      </c>
      <c r="G269" s="198" t="s">
        <v>1023</v>
      </c>
      <c r="H269" s="198" t="s">
        <v>60</v>
      </c>
      <c r="I269" s="190">
        <v>0.42</v>
      </c>
      <c r="J269" s="190" t="s">
        <v>1089</v>
      </c>
      <c r="K269" s="190" t="s">
        <v>116</v>
      </c>
      <c r="L269" s="191">
        <v>0.05</v>
      </c>
      <c r="M269" s="191" t="s">
        <v>1089</v>
      </c>
      <c r="N269" s="191" t="s">
        <v>1034</v>
      </c>
      <c r="O269" s="190" t="s">
        <v>1025</v>
      </c>
      <c r="P269" s="192">
        <v>3.5</v>
      </c>
      <c r="Q269" s="192" t="s">
        <v>1026</v>
      </c>
      <c r="R269" s="192" t="s">
        <v>116</v>
      </c>
      <c r="S269" s="193">
        <v>0.7</v>
      </c>
      <c r="T269" s="193" t="s">
        <v>1090</v>
      </c>
      <c r="U269" s="193" t="s">
        <v>1034</v>
      </c>
      <c r="V269" s="201" t="s">
        <v>1027</v>
      </c>
      <c r="W269" s="196"/>
      <c r="X269" s="196"/>
      <c r="Y269" s="196"/>
      <c r="Z269" s="197"/>
      <c r="AA269" s="197"/>
      <c r="AB269" s="197"/>
      <c r="AC269" s="200"/>
      <c r="AD269" s="202"/>
      <c r="AE269" s="174">
        <f>IF(ISNUMBER(VLOOKUP(A269,NotghiID!A:A,1,FALSE)),1,0)</f>
        <v>1</v>
      </c>
    </row>
    <row r="270" spans="1:31" x14ac:dyDescent="0.2">
      <c r="A270" s="205">
        <v>109</v>
      </c>
      <c r="B270" s="232" t="str">
        <f>IF(AND(A270&lt;&gt;"",ISNUMBER(A270)),VLOOKUP(A270,Studies!A:BR,2,FALSE),"")</f>
        <v>Burger 2006</v>
      </c>
      <c r="C270" s="232" t="str">
        <f>IF(AND(A270&lt;&gt;"",ISNUMBER(A270)),VLOOKUP(A270,Studies!A:BR,3,FALSE),"")</f>
        <v>https://www.ncbi.nlm.nih.gov/pubmed/17005814</v>
      </c>
      <c r="D270" s="232" t="str">
        <f>IF(AND(A270&lt;&gt;"",ISNUMBER(A270)),VLOOKUP(A270,Studies!A:BR,4,FALSE),"")</f>
        <v>Rifampin alone</v>
      </c>
      <c r="E270" s="206" t="str">
        <f>IF(AND(A270&lt;&gt;"",ISNUMBER(A270)),VLOOKUP(A270,Studies!A:BR,5,FALSE),"")</f>
        <v>Rifampicin</v>
      </c>
      <c r="F270" s="175">
        <v>216</v>
      </c>
      <c r="G270" s="198">
        <v>240</v>
      </c>
      <c r="H270" s="198" t="s">
        <v>60</v>
      </c>
      <c r="I270" s="190">
        <v>31267.7</v>
      </c>
      <c r="J270" s="190" t="s">
        <v>1024</v>
      </c>
      <c r="K270" s="190" t="s">
        <v>1091</v>
      </c>
      <c r="L270" s="191">
        <v>46</v>
      </c>
      <c r="M270" s="191" t="s">
        <v>517</v>
      </c>
      <c r="N270" s="191" t="s">
        <v>1087</v>
      </c>
      <c r="O270" s="190" t="s">
        <v>1028</v>
      </c>
      <c r="P270" s="192">
        <v>8057.6</v>
      </c>
      <c r="Q270" s="192" t="s">
        <v>1026</v>
      </c>
      <c r="R270" s="192" t="s">
        <v>1091</v>
      </c>
      <c r="S270" s="193">
        <v>45</v>
      </c>
      <c r="T270" s="193" t="s">
        <v>517</v>
      </c>
      <c r="U270" s="193" t="s">
        <v>1087</v>
      </c>
      <c r="V270" s="201" t="s">
        <v>1027</v>
      </c>
      <c r="W270" s="196"/>
      <c r="X270" s="196"/>
      <c r="Y270" s="196"/>
      <c r="Z270" s="197"/>
      <c r="AA270" s="197"/>
      <c r="AB270" s="197"/>
      <c r="AC270" s="200"/>
      <c r="AD270" s="202"/>
      <c r="AE270" s="174">
        <f>IF(ISNUMBER(VLOOKUP(A270,NotghiID!A:A,1,FALSE)),1,0)</f>
        <v>1</v>
      </c>
    </row>
    <row r="271" spans="1:31" x14ac:dyDescent="0.2">
      <c r="A271" s="205">
        <v>190</v>
      </c>
      <c r="B271" s="232" t="str">
        <f>IF(AND(A271&lt;&gt;"",ISNUMBER(A271)),VLOOKUP(A271,Studies!A:BR,2,FALSE),"")</f>
        <v>Greiner 1999</v>
      </c>
      <c r="C271" s="232" t="str">
        <f>IF(AND(A271&lt;&gt;"",ISNUMBER(A271)),VLOOKUP(A271,Studies!A:BR,3,FALSE),"")</f>
        <v>https://www.ncbi.nlm.nih.gov/pubmed/10411543</v>
      </c>
      <c r="D271" s="232" t="str">
        <f>IF(AND(A271&lt;&gt;"",ISNUMBER(A271)),VLOOKUP(A271,Studies!A:BR,4,FALSE),"")</f>
        <v>po Control (Perpetrator Placebo)</v>
      </c>
      <c r="E271" s="206" t="str">
        <f>IF(AND(A271&lt;&gt;"",ISNUMBER(A271)),VLOOKUP(A271,Studies!A:BR,5,FALSE),"")</f>
        <v>Digoxin</v>
      </c>
      <c r="F271" s="143">
        <v>0</v>
      </c>
      <c r="G271" s="142" t="s">
        <v>1023</v>
      </c>
      <c r="H271" s="198" t="s">
        <v>60</v>
      </c>
      <c r="I271" s="190">
        <v>54.8</v>
      </c>
      <c r="J271" s="190" t="s">
        <v>1092</v>
      </c>
      <c r="K271" s="190" t="s">
        <v>116</v>
      </c>
      <c r="L271" s="191">
        <v>11.6</v>
      </c>
      <c r="M271" s="191" t="s">
        <v>1024</v>
      </c>
      <c r="N271" s="191" t="s">
        <v>117</v>
      </c>
      <c r="O271" s="190" t="s">
        <v>1052</v>
      </c>
      <c r="P271" s="192">
        <v>5.4</v>
      </c>
      <c r="Q271" s="192" t="s">
        <v>1090</v>
      </c>
      <c r="R271" s="192" t="s">
        <v>116</v>
      </c>
      <c r="S271" s="193">
        <v>1.9</v>
      </c>
      <c r="T271" s="193" t="s">
        <v>1026</v>
      </c>
      <c r="U271" s="193" t="s">
        <v>117</v>
      </c>
      <c r="V271" s="201" t="s">
        <v>1027</v>
      </c>
      <c r="W271" s="196">
        <v>159</v>
      </c>
      <c r="X271" s="196" t="s">
        <v>1043</v>
      </c>
      <c r="Y271" s="196" t="s">
        <v>389</v>
      </c>
      <c r="Z271" s="197">
        <v>30</v>
      </c>
      <c r="AA271" s="197" t="s">
        <v>1043</v>
      </c>
      <c r="AB271" s="197" t="s">
        <v>117</v>
      </c>
      <c r="AC271" s="200"/>
      <c r="AD271" s="202" t="s">
        <v>1093</v>
      </c>
      <c r="AE271" s="174">
        <f>IF(ISNUMBER(VLOOKUP(A271,NotghiID!A:A,1,FALSE)),1,0)</f>
        <v>1</v>
      </c>
    </row>
    <row r="272" spans="1:31" x14ac:dyDescent="0.2">
      <c r="A272" s="205">
        <v>191</v>
      </c>
      <c r="B272" s="232" t="str">
        <f>IF(AND(A272&lt;&gt;"",ISNUMBER(A272)),VLOOKUP(A272,Studies!A:BR,2,FALSE),"")</f>
        <v>Greiner 1999</v>
      </c>
      <c r="C272" s="232" t="str">
        <f>IF(AND(A272&lt;&gt;"",ISNUMBER(A272)),VLOOKUP(A272,Studies!A:BR,3,FALSE),"")</f>
        <v>https://www.ncbi.nlm.nih.gov/pubmed/10411543</v>
      </c>
      <c r="D272" s="232" t="str">
        <f>IF(AND(A272&lt;&gt;"",ISNUMBER(A272)),VLOOKUP(A272,Studies!A:BR,4,FALSE),"")</f>
        <v>po with Perpetrator (Rifampicin)</v>
      </c>
      <c r="E272" s="206" t="str">
        <f>IF(AND(A272&lt;&gt;"",ISNUMBER(A272)),VLOOKUP(A272,Studies!A:BR,5,FALSE),"")</f>
        <v>Digoxin</v>
      </c>
      <c r="F272" s="143">
        <v>240</v>
      </c>
      <c r="G272" s="142" t="s">
        <v>1023</v>
      </c>
      <c r="H272" s="198" t="s">
        <v>60</v>
      </c>
      <c r="I272" s="190">
        <v>38.200000000000003</v>
      </c>
      <c r="J272" s="190" t="s">
        <v>1092</v>
      </c>
      <c r="K272" s="190" t="s">
        <v>116</v>
      </c>
      <c r="L272" s="191">
        <v>12.4</v>
      </c>
      <c r="M272" s="191" t="s">
        <v>1024</v>
      </c>
      <c r="N272" s="191" t="s">
        <v>117</v>
      </c>
      <c r="O272" s="190" t="s">
        <v>1052</v>
      </c>
      <c r="P272" s="192">
        <v>2.6</v>
      </c>
      <c r="Q272" s="192" t="s">
        <v>1090</v>
      </c>
      <c r="R272" s="192" t="s">
        <v>116</v>
      </c>
      <c r="S272" s="193">
        <v>0.7</v>
      </c>
      <c r="T272" s="193" t="s">
        <v>1026</v>
      </c>
      <c r="U272" s="193" t="s">
        <v>117</v>
      </c>
      <c r="V272" s="201" t="s">
        <v>1027</v>
      </c>
      <c r="W272" s="196">
        <v>159</v>
      </c>
      <c r="X272" s="196" t="s">
        <v>1043</v>
      </c>
      <c r="Y272" s="196" t="s">
        <v>389</v>
      </c>
      <c r="Z272" s="197">
        <v>38</v>
      </c>
      <c r="AA272" s="197" t="s">
        <v>1043</v>
      </c>
      <c r="AB272" s="197" t="s">
        <v>117</v>
      </c>
      <c r="AC272" s="200"/>
      <c r="AD272" s="202" t="s">
        <v>1094</v>
      </c>
      <c r="AE272" s="174">
        <f>IF(ISNUMBER(VLOOKUP(A272,NotghiID!A:A,1,FALSE)),1,0)</f>
        <v>1</v>
      </c>
    </row>
    <row r="273" spans="1:31" x14ac:dyDescent="0.2">
      <c r="A273" s="205">
        <v>192</v>
      </c>
      <c r="B273" s="232" t="str">
        <f>IF(AND(A273&lt;&gt;"",ISNUMBER(A273)),VLOOKUP(A273,Studies!A:BR,2,FALSE),"")</f>
        <v>Greiner 1999</v>
      </c>
      <c r="C273" s="232" t="str">
        <f>IF(AND(A273&lt;&gt;"",ISNUMBER(A273)),VLOOKUP(A273,Studies!A:BR,3,FALSE),"")</f>
        <v>https://www.ncbi.nlm.nih.gov/pubmed/10411543</v>
      </c>
      <c r="D273" s="232" t="str">
        <f>IF(AND(A273&lt;&gt;"",ISNUMBER(A273)),VLOOKUP(A273,Studies!A:BR,4,FALSE),"")</f>
        <v>iv Control (Perpetrator Placebo)</v>
      </c>
      <c r="E273" s="206" t="str">
        <f>IF(AND(A273&lt;&gt;"",ISNUMBER(A273)),VLOOKUP(A273,Studies!A:BR,5,FALSE),"")</f>
        <v>Digoxin</v>
      </c>
      <c r="F273" s="143">
        <v>0</v>
      </c>
      <c r="G273" s="142" t="s">
        <v>1023</v>
      </c>
      <c r="H273" s="198" t="s">
        <v>60</v>
      </c>
      <c r="I273" s="190">
        <v>87.3</v>
      </c>
      <c r="J273" s="190" t="s">
        <v>1092</v>
      </c>
      <c r="K273" s="190" t="s">
        <v>116</v>
      </c>
      <c r="L273" s="191">
        <v>8.3000000000000007</v>
      </c>
      <c r="M273" s="191" t="s">
        <v>1024</v>
      </c>
      <c r="N273" s="191" t="s">
        <v>117</v>
      </c>
      <c r="O273" s="190" t="s">
        <v>1052</v>
      </c>
      <c r="P273" s="192">
        <v>24.7</v>
      </c>
      <c r="Q273" s="192" t="s">
        <v>1090</v>
      </c>
      <c r="R273" s="192" t="s">
        <v>116</v>
      </c>
      <c r="S273" s="193">
        <v>5.2</v>
      </c>
      <c r="T273" s="193" t="s">
        <v>1026</v>
      </c>
      <c r="U273" s="193" t="s">
        <v>117</v>
      </c>
      <c r="V273" s="201" t="s">
        <v>1027</v>
      </c>
      <c r="W273" s="196">
        <v>151</v>
      </c>
      <c r="X273" s="196" t="s">
        <v>1043</v>
      </c>
      <c r="Y273" s="196" t="s">
        <v>389</v>
      </c>
      <c r="Z273" s="197">
        <v>25</v>
      </c>
      <c r="AA273" s="197" t="s">
        <v>1043</v>
      </c>
      <c r="AB273" s="197" t="s">
        <v>117</v>
      </c>
      <c r="AC273" s="200"/>
      <c r="AD273" s="144" t="s">
        <v>1095</v>
      </c>
      <c r="AE273" s="174">
        <f>IF(ISNUMBER(VLOOKUP(A273,NotghiID!A:A,1,FALSE)),1,0)</f>
        <v>1</v>
      </c>
    </row>
    <row r="274" spans="1:31" x14ac:dyDescent="0.2">
      <c r="A274" s="205">
        <v>193</v>
      </c>
      <c r="B274" s="232" t="str">
        <f>IF(AND(A274&lt;&gt;"",ISNUMBER(A274)),VLOOKUP(A274,Studies!A:BR,2,FALSE),"")</f>
        <v>Greiner 1999</v>
      </c>
      <c r="C274" s="232" t="str">
        <f>IF(AND(A274&lt;&gt;"",ISNUMBER(A274)),VLOOKUP(A274,Studies!A:BR,3,FALSE),"")</f>
        <v>https://www.ncbi.nlm.nih.gov/pubmed/10411543</v>
      </c>
      <c r="D274" s="232" t="str">
        <f>IF(AND(A274&lt;&gt;"",ISNUMBER(A274)),VLOOKUP(A274,Studies!A:BR,4,FALSE),"")</f>
        <v>iv with Perpetrator (Rifampicin)</v>
      </c>
      <c r="E274" s="206" t="str">
        <f>IF(AND(A274&lt;&gt;"",ISNUMBER(A274)),VLOOKUP(A274,Studies!A:BR,5,FALSE),"")</f>
        <v>Digoxin</v>
      </c>
      <c r="F274" s="143">
        <v>240</v>
      </c>
      <c r="G274" s="142" t="s">
        <v>1023</v>
      </c>
      <c r="H274" s="198" t="s">
        <v>60</v>
      </c>
      <c r="I274" s="190">
        <v>74.5</v>
      </c>
      <c r="J274" s="190" t="s">
        <v>1092</v>
      </c>
      <c r="K274" s="190" t="s">
        <v>116</v>
      </c>
      <c r="L274" s="191">
        <v>10.5</v>
      </c>
      <c r="M274" s="191" t="s">
        <v>1024</v>
      </c>
      <c r="N274" s="191" t="s">
        <v>117</v>
      </c>
      <c r="O274" s="190" t="s">
        <v>1052</v>
      </c>
      <c r="P274" s="192">
        <v>20.9</v>
      </c>
      <c r="Q274" s="192" t="s">
        <v>1090</v>
      </c>
      <c r="R274" s="192" t="s">
        <v>116</v>
      </c>
      <c r="S274" s="193">
        <v>1.8</v>
      </c>
      <c r="T274" s="193" t="s">
        <v>1026</v>
      </c>
      <c r="U274" s="193" t="s">
        <v>117</v>
      </c>
      <c r="V274" s="201" t="s">
        <v>1027</v>
      </c>
      <c r="W274" s="196">
        <v>147</v>
      </c>
      <c r="X274" s="196" t="s">
        <v>1043</v>
      </c>
      <c r="Y274" s="196" t="s">
        <v>389</v>
      </c>
      <c r="Z274" s="197">
        <v>18</v>
      </c>
      <c r="AA274" s="197" t="s">
        <v>1043</v>
      </c>
      <c r="AB274" s="197" t="s">
        <v>117</v>
      </c>
      <c r="AC274" s="200"/>
      <c r="AD274" s="144" t="s">
        <v>1096</v>
      </c>
      <c r="AE274" s="174">
        <f>IF(ISNUMBER(VLOOKUP(A274,NotghiID!A:A,1,FALSE)),1,0)</f>
        <v>1</v>
      </c>
    </row>
    <row r="275" spans="1:31" x14ac:dyDescent="0.2">
      <c r="A275" s="205">
        <v>423</v>
      </c>
      <c r="B275" s="232" t="str">
        <f>IF(AND(A275&lt;&gt;"",ISNUMBER(A275)),VLOOKUP(A275,Studies!A:BR,2,FALSE),"")</f>
        <v>Templeton 2010</v>
      </c>
      <c r="C275" s="232" t="str">
        <f>IF(AND(A275&lt;&gt;"",ISNUMBER(A275)),VLOOKUP(A275,Studies!A:BR,3,FALSE),"")</f>
        <v>https://www.ncbi.nlm.nih.gov/pubmed/20739919</v>
      </c>
      <c r="D275" s="232" t="str">
        <f>IF(AND(A275&lt;&gt;"",ISNUMBER(A275)),VLOOKUP(A275,Studies!A:BR,4,FALSE),"")</f>
        <v>Control (Perpetrator Placebo)</v>
      </c>
      <c r="E275" s="206" t="str">
        <f>IF(AND(A275&lt;&gt;"",ISNUMBER(A275)),VLOOKUP(A275,Studies!A:BR,5,FALSE),"")</f>
        <v>Midazolam</v>
      </c>
      <c r="F275" s="175">
        <v>0</v>
      </c>
      <c r="G275" s="198" t="s">
        <v>1023</v>
      </c>
      <c r="H275" s="198" t="s">
        <v>60</v>
      </c>
      <c r="I275" s="190">
        <v>63</v>
      </c>
      <c r="J275" s="190" t="s">
        <v>1058</v>
      </c>
      <c r="K275" s="190" t="s">
        <v>116</v>
      </c>
      <c r="L275" s="191">
        <v>39</v>
      </c>
      <c r="M275" s="191" t="s">
        <v>1058</v>
      </c>
      <c r="N275" s="191" t="s">
        <v>117</v>
      </c>
      <c r="O275" s="190" t="s">
        <v>1025</v>
      </c>
      <c r="P275" s="192"/>
      <c r="Q275" s="192"/>
      <c r="R275" s="192"/>
      <c r="S275" s="193"/>
      <c r="T275" s="193"/>
      <c r="U275" s="193"/>
      <c r="V275" s="201"/>
      <c r="W275" s="196">
        <v>122</v>
      </c>
      <c r="X275" s="196" t="s">
        <v>1061</v>
      </c>
      <c r="Y275" s="196" t="s">
        <v>389</v>
      </c>
      <c r="Z275" s="197">
        <v>49</v>
      </c>
      <c r="AA275" s="197" t="s">
        <v>1061</v>
      </c>
      <c r="AB275" s="197" t="s">
        <v>117</v>
      </c>
      <c r="AC275" s="200"/>
      <c r="AD275" s="202" t="s">
        <v>1097</v>
      </c>
      <c r="AE275" s="174">
        <f>IF(ISNUMBER(VLOOKUP(A275,NotghiID!A:A,1,FALSE)),1,0)</f>
        <v>1</v>
      </c>
    </row>
    <row r="276" spans="1:31" x14ac:dyDescent="0.2">
      <c r="A276" s="205">
        <v>424</v>
      </c>
      <c r="B276" s="232" t="str">
        <f>IF(AND(A276&lt;&gt;"",ISNUMBER(A276)),VLOOKUP(A276,Studies!A:BR,2,FALSE),"")</f>
        <v>Templeton 2010</v>
      </c>
      <c r="C276" s="232" t="str">
        <f>IF(AND(A276&lt;&gt;"",ISNUMBER(A276)),VLOOKUP(A276,Studies!A:BR,3,FALSE),"")</f>
        <v>https://www.ncbi.nlm.nih.gov/pubmed/20739919</v>
      </c>
      <c r="D276" s="232" t="str">
        <f>IF(AND(A276&lt;&gt;"",ISNUMBER(A276)),VLOOKUP(A276,Studies!A:BR,4,FALSE),"")</f>
        <v>with Perpetrator (Itraconazole @ 50 mg)</v>
      </c>
      <c r="E276" s="206" t="str">
        <f>IF(AND(A276&lt;&gt;"",ISNUMBER(A276)),VLOOKUP(A276,Studies!A:BR,5,FALSE),"")</f>
        <v>Midazolam</v>
      </c>
      <c r="F276" s="175">
        <v>4</v>
      </c>
      <c r="G276" s="198" t="s">
        <v>1023</v>
      </c>
      <c r="H276" s="198" t="s">
        <v>60</v>
      </c>
      <c r="I276" s="190">
        <v>114</v>
      </c>
      <c r="J276" s="190" t="s">
        <v>1058</v>
      </c>
      <c r="K276" s="190" t="s">
        <v>116</v>
      </c>
      <c r="L276" s="191">
        <v>41</v>
      </c>
      <c r="M276" s="191" t="s">
        <v>1058</v>
      </c>
      <c r="N276" s="191" t="s">
        <v>117</v>
      </c>
      <c r="O276" s="190" t="s">
        <v>1025</v>
      </c>
      <c r="P276" s="192"/>
      <c r="Q276" s="192"/>
      <c r="R276" s="192"/>
      <c r="S276" s="193"/>
      <c r="T276" s="193"/>
      <c r="U276" s="193"/>
      <c r="V276" s="201"/>
      <c r="W276" s="196">
        <v>61</v>
      </c>
      <c r="X276" s="196" t="s">
        <v>1061</v>
      </c>
      <c r="Y276" s="196" t="s">
        <v>389</v>
      </c>
      <c r="Z276" s="197">
        <v>28</v>
      </c>
      <c r="AA276" s="197" t="s">
        <v>1061</v>
      </c>
      <c r="AB276" s="197" t="s">
        <v>117</v>
      </c>
      <c r="AC276" s="200"/>
      <c r="AD276" s="202" t="s">
        <v>1097</v>
      </c>
      <c r="AE276" s="174">
        <f>IF(ISNUMBER(VLOOKUP(A276,NotghiID!A:A,1,FALSE)),1,0)</f>
        <v>1</v>
      </c>
    </row>
    <row r="277" spans="1:31" x14ac:dyDescent="0.2">
      <c r="A277" s="205">
        <v>425</v>
      </c>
      <c r="B277" s="232" t="str">
        <f>IF(AND(A277&lt;&gt;"",ISNUMBER(A277)),VLOOKUP(A277,Studies!A:BR,2,FALSE),"")</f>
        <v>Templeton 2010</v>
      </c>
      <c r="C277" s="232" t="str">
        <f>IF(AND(A277&lt;&gt;"",ISNUMBER(A277)),VLOOKUP(A277,Studies!A:BR,3,FALSE),"")</f>
        <v>https://www.ncbi.nlm.nih.gov/pubmed/20739919</v>
      </c>
      <c r="D277" s="232" t="str">
        <f>IF(AND(A277&lt;&gt;"",ISNUMBER(A277)),VLOOKUP(A277,Studies!A:BR,4,FALSE),"")</f>
        <v>with Perpetrator (Itraconazole @ 200 mg)</v>
      </c>
      <c r="E277" s="206" t="str">
        <f>IF(AND(A277&lt;&gt;"",ISNUMBER(A277)),VLOOKUP(A277,Studies!A:BR,5,FALSE),"")</f>
        <v>Midazolam</v>
      </c>
      <c r="F277" s="175">
        <v>4</v>
      </c>
      <c r="G277" s="198" t="s">
        <v>1023</v>
      </c>
      <c r="H277" s="198" t="s">
        <v>60</v>
      </c>
      <c r="I277" s="190">
        <v>256</v>
      </c>
      <c r="J277" s="190" t="s">
        <v>1058</v>
      </c>
      <c r="K277" s="190" t="s">
        <v>116</v>
      </c>
      <c r="L277" s="191">
        <v>75</v>
      </c>
      <c r="M277" s="191" t="s">
        <v>1058</v>
      </c>
      <c r="N277" s="191" t="s">
        <v>117</v>
      </c>
      <c r="O277" s="190" t="s">
        <v>1025</v>
      </c>
      <c r="P277" s="192"/>
      <c r="Q277" s="192"/>
      <c r="R277" s="192"/>
      <c r="S277" s="193"/>
      <c r="T277" s="193"/>
      <c r="U277" s="193"/>
      <c r="V277" s="201"/>
      <c r="W277" s="196">
        <v>26</v>
      </c>
      <c r="X277" s="196" t="s">
        <v>1061</v>
      </c>
      <c r="Y277" s="196" t="s">
        <v>389</v>
      </c>
      <c r="Z277" s="197">
        <v>9</v>
      </c>
      <c r="AA277" s="197" t="s">
        <v>1061</v>
      </c>
      <c r="AB277" s="197" t="s">
        <v>117</v>
      </c>
      <c r="AC277" s="200"/>
      <c r="AD277" s="202" t="s">
        <v>1097</v>
      </c>
      <c r="AE277" s="174">
        <f>IF(ISNUMBER(VLOOKUP(A277,NotghiID!A:A,1,FALSE)),1,0)</f>
        <v>1</v>
      </c>
    </row>
    <row r="278" spans="1:31" x14ac:dyDescent="0.2">
      <c r="A278" s="205">
        <v>426</v>
      </c>
      <c r="B278" s="232" t="str">
        <f>IF(AND(A278&lt;&gt;"",ISNUMBER(A278)),VLOOKUP(A278,Studies!A:BR,2,FALSE),"")</f>
        <v>Templeton 2010</v>
      </c>
      <c r="C278" s="232" t="str">
        <f>IF(AND(A278&lt;&gt;"",ISNUMBER(A278)),VLOOKUP(A278,Studies!A:BR,3,FALSE),"")</f>
        <v>https://www.ncbi.nlm.nih.gov/pubmed/20739919</v>
      </c>
      <c r="D278" s="232" t="str">
        <f>IF(AND(A278&lt;&gt;"",ISNUMBER(A278)),VLOOKUP(A278,Studies!A:BR,4,FALSE),"")</f>
        <v>with Perpetrator (Itraconazole @ 400 mg)</v>
      </c>
      <c r="E278" s="206" t="str">
        <f>IF(AND(A278&lt;&gt;"",ISNUMBER(A278)),VLOOKUP(A278,Studies!A:BR,5,FALSE),"")</f>
        <v>Midazolam</v>
      </c>
      <c r="F278" s="175">
        <v>4</v>
      </c>
      <c r="G278" s="198" t="s">
        <v>1023</v>
      </c>
      <c r="H278" s="198" t="s">
        <v>60</v>
      </c>
      <c r="I278" s="190">
        <v>289</v>
      </c>
      <c r="J278" s="190" t="s">
        <v>1058</v>
      </c>
      <c r="K278" s="190" t="s">
        <v>116</v>
      </c>
      <c r="L278" s="191">
        <v>57</v>
      </c>
      <c r="M278" s="191" t="s">
        <v>1058</v>
      </c>
      <c r="N278" s="191" t="s">
        <v>117</v>
      </c>
      <c r="O278" s="190" t="s">
        <v>1025</v>
      </c>
      <c r="P278" s="192"/>
      <c r="Q278" s="192"/>
      <c r="R278" s="192"/>
      <c r="S278" s="193"/>
      <c r="T278" s="193"/>
      <c r="U278" s="193"/>
      <c r="V278" s="201"/>
      <c r="W278" s="196">
        <v>22</v>
      </c>
      <c r="X278" s="196" t="s">
        <v>1061</v>
      </c>
      <c r="Y278" s="196" t="s">
        <v>389</v>
      </c>
      <c r="Z278" s="197">
        <v>4</v>
      </c>
      <c r="AA278" s="197" t="s">
        <v>1061</v>
      </c>
      <c r="AB278" s="197" t="s">
        <v>117</v>
      </c>
      <c r="AC278" s="200"/>
      <c r="AD278" s="202" t="s">
        <v>1097</v>
      </c>
      <c r="AE278" s="174">
        <f>IF(ISNUMBER(VLOOKUP(A278,NotghiID!A:A,1,FALSE)),1,0)</f>
        <v>1</v>
      </c>
    </row>
    <row r="279" spans="1:31" x14ac:dyDescent="0.2">
      <c r="A279" s="213">
        <v>214</v>
      </c>
      <c r="B279" s="232" t="str">
        <f>IF(AND(A279&lt;&gt;"",ISNUMBER(A279)),VLOOKUP(A279,Studies!A:BR,2,FALSE),"")</f>
        <v>Gurley 2006</v>
      </c>
      <c r="C279" s="232" t="str">
        <f>IF(AND(A279&lt;&gt;"",ISNUMBER(A279)),VLOOKUP(A279,Studies!A:BR,3,FALSE),"")</f>
        <v>https://www.ncbi.nlm.nih.gov/pubmed/16432272</v>
      </c>
      <c r="D279" s="232" t="str">
        <f>IF(AND(A279&lt;&gt;"",ISNUMBER(A279)),VLOOKUP(A279,Studies!A:BR,4,FALSE),"")</f>
        <v>Control pre-Rifampicin (Perpetrator Placebo)</v>
      </c>
      <c r="E279" s="206" t="str">
        <f>IF(AND(A279&lt;&gt;"",ISNUMBER(A279)),VLOOKUP(A279,Studies!A:BR,5,FALSE),"")</f>
        <v>Midazolam</v>
      </c>
      <c r="F279" s="146">
        <v>0</v>
      </c>
      <c r="G279" s="147" t="s">
        <v>1023</v>
      </c>
      <c r="H279" s="147" t="s">
        <v>60</v>
      </c>
      <c r="I279" s="148">
        <v>79.599999999999994</v>
      </c>
      <c r="J279" s="190" t="s">
        <v>1024</v>
      </c>
      <c r="K279" s="148" t="s">
        <v>116</v>
      </c>
      <c r="L279" s="149">
        <v>23.2</v>
      </c>
      <c r="M279" s="149" t="s">
        <v>1024</v>
      </c>
      <c r="N279" s="149" t="s">
        <v>117</v>
      </c>
      <c r="O279" s="148" t="s">
        <v>1025</v>
      </c>
      <c r="P279" s="150">
        <v>30.6</v>
      </c>
      <c r="Q279" s="150" t="s">
        <v>1026</v>
      </c>
      <c r="R279" s="150" t="s">
        <v>116</v>
      </c>
      <c r="S279" s="151">
        <v>14.6</v>
      </c>
      <c r="T279" s="151" t="s">
        <v>1026</v>
      </c>
      <c r="U279" s="151" t="s">
        <v>117</v>
      </c>
      <c r="V279" s="152" t="s">
        <v>1027</v>
      </c>
      <c r="W279" s="153">
        <v>110.8</v>
      </c>
      <c r="X279" s="153" t="s">
        <v>1061</v>
      </c>
      <c r="Y279" s="153" t="s">
        <v>389</v>
      </c>
      <c r="Z279" s="154">
        <v>33.200000000000003</v>
      </c>
      <c r="AA279" s="154" t="s">
        <v>1061</v>
      </c>
      <c r="AB279" s="154" t="s">
        <v>117</v>
      </c>
      <c r="AC279" s="155" t="s">
        <v>1033</v>
      </c>
      <c r="AD279" s="202"/>
      <c r="AE279" s="174">
        <f>IF(ISNUMBER(VLOOKUP(A279,NotghiID!A:A,1,FALSE)),1,0)</f>
        <v>1</v>
      </c>
    </row>
    <row r="280" spans="1:31" x14ac:dyDescent="0.2">
      <c r="A280" s="213">
        <v>215</v>
      </c>
      <c r="B280" s="232" t="str">
        <f>IF(AND(A280&lt;&gt;"",ISNUMBER(A280)),VLOOKUP(A280,Studies!A:BR,2,FALSE),"")</f>
        <v>Gurley 2006</v>
      </c>
      <c r="C280" s="232" t="str">
        <f>IF(AND(A280&lt;&gt;"",ISNUMBER(A280)),VLOOKUP(A280,Studies!A:BR,3,FALSE),"")</f>
        <v>https://www.ncbi.nlm.nih.gov/pubmed/16432272</v>
      </c>
      <c r="D280" s="232" t="str">
        <f>IF(AND(A280&lt;&gt;"",ISNUMBER(A280)),VLOOKUP(A280,Studies!A:BR,4,FALSE),"")</f>
        <v>with Perpetrator (Rifampicin)</v>
      </c>
      <c r="E280" s="206" t="str">
        <f>IF(AND(A280&lt;&gt;"",ISNUMBER(A280)),VLOOKUP(A280,Studies!A:BR,5,FALSE),"")</f>
        <v>Midazolam</v>
      </c>
      <c r="F280" s="146">
        <v>146</v>
      </c>
      <c r="G280" s="147" t="s">
        <v>1023</v>
      </c>
      <c r="H280" s="147" t="s">
        <v>60</v>
      </c>
      <c r="I280" s="148">
        <v>4.55</v>
      </c>
      <c r="J280" s="190" t="s">
        <v>1024</v>
      </c>
      <c r="K280" s="148" t="s">
        <v>116</v>
      </c>
      <c r="L280" s="149">
        <v>2.2400000000000002</v>
      </c>
      <c r="M280" s="149" t="s">
        <v>1024</v>
      </c>
      <c r="N280" s="149" t="s">
        <v>117</v>
      </c>
      <c r="O280" s="148" t="s">
        <v>1025</v>
      </c>
      <c r="P280" s="150">
        <v>3.7</v>
      </c>
      <c r="Q280" s="150" t="s">
        <v>1026</v>
      </c>
      <c r="R280" s="150" t="s">
        <v>116</v>
      </c>
      <c r="S280" s="151">
        <v>2.6</v>
      </c>
      <c r="T280" s="151" t="s">
        <v>1026</v>
      </c>
      <c r="U280" s="151" t="s">
        <v>117</v>
      </c>
      <c r="V280" s="152" t="s">
        <v>1027</v>
      </c>
      <c r="W280" s="153">
        <v>2256</v>
      </c>
      <c r="X280" s="153" t="s">
        <v>1061</v>
      </c>
      <c r="Y280" s="153" t="s">
        <v>389</v>
      </c>
      <c r="Z280" s="154">
        <v>1168</v>
      </c>
      <c r="AA280" s="154" t="s">
        <v>1061</v>
      </c>
      <c r="AB280" s="154" t="s">
        <v>117</v>
      </c>
      <c r="AC280" s="155" t="s">
        <v>1033</v>
      </c>
      <c r="AD280" s="202"/>
      <c r="AE280" s="174">
        <f>IF(ISNUMBER(VLOOKUP(A280,NotghiID!A:A,1,FALSE)),1,0)</f>
        <v>1</v>
      </c>
    </row>
    <row r="281" spans="1:31" x14ac:dyDescent="0.2">
      <c r="A281" s="213">
        <v>216</v>
      </c>
      <c r="B281" s="232" t="str">
        <f>IF(AND(A281&lt;&gt;"",ISNUMBER(A281)),VLOOKUP(A281,Studies!A:BR,2,FALSE),"")</f>
        <v>Gurley 2006</v>
      </c>
      <c r="C281" s="232" t="str">
        <f>IF(AND(A281&lt;&gt;"",ISNUMBER(A281)),VLOOKUP(A281,Studies!A:BR,3,FALSE),"")</f>
        <v>https://www.ncbi.nlm.nih.gov/pubmed/16432272</v>
      </c>
      <c r="D281" s="232" t="str">
        <f>IF(AND(A281&lt;&gt;"",ISNUMBER(A281)),VLOOKUP(A281,Studies!A:BR,4,FALSE),"")</f>
        <v>Control pre-Clarithromycin (Perpetrator Placebo)</v>
      </c>
      <c r="E281" s="206" t="str">
        <f>IF(AND(A281&lt;&gt;"",ISNUMBER(A281)),VLOOKUP(A281,Studies!A:BR,5,FALSE),"")</f>
        <v>Midazolam</v>
      </c>
      <c r="F281" s="146">
        <v>0</v>
      </c>
      <c r="G281" s="147" t="s">
        <v>1023</v>
      </c>
      <c r="H281" s="147" t="s">
        <v>60</v>
      </c>
      <c r="I281" s="148">
        <v>89.6</v>
      </c>
      <c r="J281" s="190" t="s">
        <v>1024</v>
      </c>
      <c r="K281" s="148" t="s">
        <v>116</v>
      </c>
      <c r="L281" s="149">
        <v>30.6</v>
      </c>
      <c r="M281" s="149" t="s">
        <v>1024</v>
      </c>
      <c r="N281" s="149" t="s">
        <v>117</v>
      </c>
      <c r="O281" s="148" t="s">
        <v>1025</v>
      </c>
      <c r="P281" s="150">
        <v>31.8</v>
      </c>
      <c r="Q281" s="150" t="s">
        <v>1026</v>
      </c>
      <c r="R281" s="150" t="s">
        <v>116</v>
      </c>
      <c r="S281" s="151">
        <v>11.6</v>
      </c>
      <c r="T281" s="151" t="s">
        <v>1026</v>
      </c>
      <c r="U281" s="151" t="s">
        <v>117</v>
      </c>
      <c r="V281" s="152" t="s">
        <v>1027</v>
      </c>
      <c r="W281" s="153">
        <v>99.3</v>
      </c>
      <c r="X281" s="153" t="s">
        <v>1061</v>
      </c>
      <c r="Y281" s="153" t="s">
        <v>389</v>
      </c>
      <c r="Z281" s="154">
        <v>25.2</v>
      </c>
      <c r="AA281" s="154" t="s">
        <v>1061</v>
      </c>
      <c r="AB281" s="154" t="s">
        <v>117</v>
      </c>
      <c r="AC281" s="155" t="s">
        <v>1033</v>
      </c>
      <c r="AD281" s="202"/>
      <c r="AE281" s="174">
        <f>IF(ISNUMBER(VLOOKUP(A281,NotghiID!A:A,1,FALSE)),1,0)</f>
        <v>1</v>
      </c>
    </row>
    <row r="282" spans="1:31" x14ac:dyDescent="0.2">
      <c r="A282" s="213">
        <v>217</v>
      </c>
      <c r="B282" s="232" t="str">
        <f>IF(AND(A282&lt;&gt;"",ISNUMBER(A282)),VLOOKUP(A282,Studies!A:BR,2,FALSE),"")</f>
        <v>Gurley 2006</v>
      </c>
      <c r="C282" s="232" t="str">
        <f>IF(AND(A282&lt;&gt;"",ISNUMBER(A282)),VLOOKUP(A282,Studies!A:BR,3,FALSE),"")</f>
        <v>https://www.ncbi.nlm.nih.gov/pubmed/16432272</v>
      </c>
      <c r="D282" s="232" t="str">
        <f>IF(AND(A282&lt;&gt;"",ISNUMBER(A282)),VLOOKUP(A282,Studies!A:BR,4,FALSE),"")</f>
        <v>with Perpetrator (Clarithomycin)</v>
      </c>
      <c r="E282" s="206" t="str">
        <f>IF(AND(A282&lt;&gt;"",ISNUMBER(A282)),VLOOKUP(A282,Studies!A:BR,5,FALSE),"")</f>
        <v>Midazolam</v>
      </c>
      <c r="F282" s="146">
        <v>146</v>
      </c>
      <c r="G282" s="147" t="s">
        <v>1023</v>
      </c>
      <c r="H282" s="147" t="s">
        <v>60</v>
      </c>
      <c r="I282" s="148">
        <v>752</v>
      </c>
      <c r="J282" s="190" t="s">
        <v>1024</v>
      </c>
      <c r="K282" s="148" t="s">
        <v>116</v>
      </c>
      <c r="L282" s="149">
        <v>398</v>
      </c>
      <c r="M282" s="149" t="s">
        <v>1024</v>
      </c>
      <c r="N282" s="149" t="s">
        <v>117</v>
      </c>
      <c r="O282" s="148" t="s">
        <v>1025</v>
      </c>
      <c r="P282" s="150">
        <v>120.7</v>
      </c>
      <c r="Q282" s="150" t="s">
        <v>1026</v>
      </c>
      <c r="R282" s="150" t="s">
        <v>116</v>
      </c>
      <c r="S282" s="151">
        <v>29.3</v>
      </c>
      <c r="T282" s="151" t="s">
        <v>1026</v>
      </c>
      <c r="U282" s="151" t="s">
        <v>117</v>
      </c>
      <c r="V282" s="152" t="s">
        <v>1027</v>
      </c>
      <c r="W282" s="153">
        <v>12.8</v>
      </c>
      <c r="X282" s="153" t="s">
        <v>1061</v>
      </c>
      <c r="Y282" s="153" t="s">
        <v>389</v>
      </c>
      <c r="Z282" s="154">
        <v>6.5</v>
      </c>
      <c r="AA282" s="154" t="s">
        <v>1061</v>
      </c>
      <c r="AB282" s="154" t="s">
        <v>117</v>
      </c>
      <c r="AC282" s="155" t="s">
        <v>1033</v>
      </c>
      <c r="AD282" s="202"/>
      <c r="AE282" s="174">
        <f>IF(ISNUMBER(VLOOKUP(A282,NotghiID!A:A,1,FALSE)),1,0)</f>
        <v>1</v>
      </c>
    </row>
    <row r="283" spans="1:31" x14ac:dyDescent="0.2">
      <c r="A283" s="213">
        <v>218</v>
      </c>
      <c r="B283" s="232" t="str">
        <f>IF(AND(A283&lt;&gt;"",ISNUMBER(A283)),VLOOKUP(A283,Studies!A:BR,2,FALSE),"")</f>
        <v>Gurley 2006</v>
      </c>
      <c r="C283" s="232" t="str">
        <f>IF(AND(A283&lt;&gt;"",ISNUMBER(A283)),VLOOKUP(A283,Studies!A:BR,3,FALSE),"")</f>
        <v>https://www.ncbi.nlm.nih.gov/pubmed/16432272</v>
      </c>
      <c r="D283" s="232" t="str">
        <f>IF(AND(A283&lt;&gt;"",ISNUMBER(A283)),VLOOKUP(A283,Studies!A:BR,4,FALSE),"")</f>
        <v>Control pre-Black cohosh (Perpetrator Placebo)</v>
      </c>
      <c r="E283" s="206" t="str">
        <f>IF(AND(A283&lt;&gt;"",ISNUMBER(A283)),VLOOKUP(A283,Studies!A:BR,5,FALSE),"")</f>
        <v>Midazolam</v>
      </c>
      <c r="F283" s="146">
        <v>0</v>
      </c>
      <c r="G283" s="147" t="s">
        <v>1023</v>
      </c>
      <c r="H283" s="147" t="s">
        <v>60</v>
      </c>
      <c r="I283" s="148">
        <v>94.8</v>
      </c>
      <c r="J283" s="190" t="s">
        <v>1024</v>
      </c>
      <c r="K283" s="148" t="s">
        <v>116</v>
      </c>
      <c r="L283" s="149">
        <v>29.2</v>
      </c>
      <c r="M283" s="149" t="s">
        <v>1024</v>
      </c>
      <c r="N283" s="149" t="s">
        <v>117</v>
      </c>
      <c r="O283" s="148" t="s">
        <v>1025</v>
      </c>
      <c r="P283" s="150">
        <v>34.6</v>
      </c>
      <c r="Q283" s="150" t="s">
        <v>1026</v>
      </c>
      <c r="R283" s="150" t="s">
        <v>116</v>
      </c>
      <c r="S283" s="151">
        <v>15.5</v>
      </c>
      <c r="T283" s="151" t="s">
        <v>1026</v>
      </c>
      <c r="U283" s="151" t="s">
        <v>117</v>
      </c>
      <c r="V283" s="152" t="s">
        <v>1027</v>
      </c>
      <c r="W283" s="153">
        <v>93.3</v>
      </c>
      <c r="X283" s="153" t="s">
        <v>1061</v>
      </c>
      <c r="Y283" s="153" t="s">
        <v>389</v>
      </c>
      <c r="Z283" s="154">
        <v>32.6</v>
      </c>
      <c r="AA283" s="154" t="s">
        <v>1061</v>
      </c>
      <c r="AB283" s="154" t="s">
        <v>117</v>
      </c>
      <c r="AC283" s="155" t="s">
        <v>1033</v>
      </c>
      <c r="AD283" s="202"/>
      <c r="AE283" s="174">
        <f>IF(ISNUMBER(VLOOKUP(A283,NotghiID!A:A,1,FALSE)),1,0)</f>
        <v>1</v>
      </c>
    </row>
    <row r="284" spans="1:31" x14ac:dyDescent="0.2">
      <c r="A284" s="213">
        <v>219</v>
      </c>
      <c r="B284" s="232" t="str">
        <f>IF(AND(A284&lt;&gt;"",ISNUMBER(A284)),VLOOKUP(A284,Studies!A:BR,2,FALSE),"")</f>
        <v>Gurley 2006</v>
      </c>
      <c r="C284" s="232" t="str">
        <f>IF(AND(A284&lt;&gt;"",ISNUMBER(A284)),VLOOKUP(A284,Studies!A:BR,3,FALSE),"")</f>
        <v>https://www.ncbi.nlm.nih.gov/pubmed/16432272</v>
      </c>
      <c r="D284" s="232" t="str">
        <f>IF(AND(A284&lt;&gt;"",ISNUMBER(A284)),VLOOKUP(A284,Studies!A:BR,4,FALSE),"")</f>
        <v>Control pre-Milk thistle (Perpetrator Placebo)</v>
      </c>
      <c r="E284" s="206" t="str">
        <f>IF(AND(A284&lt;&gt;"",ISNUMBER(A284)),VLOOKUP(A284,Studies!A:BR,5,FALSE),"")</f>
        <v>Midazolam</v>
      </c>
      <c r="F284" s="146">
        <v>0</v>
      </c>
      <c r="G284" s="147" t="s">
        <v>1023</v>
      </c>
      <c r="H284" s="147" t="s">
        <v>60</v>
      </c>
      <c r="I284" s="148">
        <v>96.2</v>
      </c>
      <c r="J284" s="190" t="s">
        <v>1024</v>
      </c>
      <c r="K284" s="148" t="s">
        <v>116</v>
      </c>
      <c r="L284" s="149">
        <v>42.2</v>
      </c>
      <c r="M284" s="149" t="s">
        <v>1024</v>
      </c>
      <c r="N284" s="149" t="s">
        <v>117</v>
      </c>
      <c r="O284" s="148" t="s">
        <v>1025</v>
      </c>
      <c r="P284" s="150">
        <v>37.200000000000003</v>
      </c>
      <c r="Q284" s="150" t="s">
        <v>1026</v>
      </c>
      <c r="R284" s="150" t="s">
        <v>116</v>
      </c>
      <c r="S284" s="151">
        <v>18.100000000000001</v>
      </c>
      <c r="T284" s="151" t="s">
        <v>1026</v>
      </c>
      <c r="U284" s="151" t="s">
        <v>117</v>
      </c>
      <c r="V284" s="152" t="s">
        <v>1027</v>
      </c>
      <c r="W284" s="153">
        <v>95.3</v>
      </c>
      <c r="X284" s="153" t="s">
        <v>1061</v>
      </c>
      <c r="Y284" s="153" t="s">
        <v>389</v>
      </c>
      <c r="Z284" s="154">
        <v>33</v>
      </c>
      <c r="AA284" s="154" t="s">
        <v>1061</v>
      </c>
      <c r="AB284" s="154" t="s">
        <v>117</v>
      </c>
      <c r="AC284" s="155" t="s">
        <v>1033</v>
      </c>
      <c r="AD284" s="202"/>
      <c r="AE284" s="174">
        <f>IF(ISNUMBER(VLOOKUP(A284,NotghiID!A:A,1,FALSE)),1,0)</f>
        <v>1</v>
      </c>
    </row>
    <row r="285" spans="1:31" x14ac:dyDescent="0.2">
      <c r="A285" s="205">
        <v>220</v>
      </c>
      <c r="B285" s="232" t="str">
        <f>IF(AND(A285&lt;&gt;"",ISNUMBER(A285)),VLOOKUP(A285,Studies!A:BR,2,FALSE),"")</f>
        <v>Gurley 2008a</v>
      </c>
      <c r="C285" s="232" t="str">
        <f>IF(AND(A285&lt;&gt;"",ISNUMBER(A285)),VLOOKUP(A285,Studies!A:BR,3,FALSE),"")</f>
        <v>https://www.ncbi.nlm.nih.gov/pubmed/17495878</v>
      </c>
      <c r="D285" s="232" t="str">
        <f>IF(AND(A285&lt;&gt;"",ISNUMBER(A285)),VLOOKUP(A285,Studies!A:BR,4,FALSE),"")</f>
        <v>Control pre-Rifampicin (Perpetrator Placebo)</v>
      </c>
      <c r="E285" s="206" t="str">
        <f>IF(AND(A285&lt;&gt;"",ISNUMBER(A285)),VLOOKUP(A285,Studies!A:BR,5,FALSE),"")</f>
        <v>Midazolam</v>
      </c>
      <c r="F285" s="146">
        <v>0</v>
      </c>
      <c r="G285" s="147" t="s">
        <v>1023</v>
      </c>
      <c r="H285" s="198" t="s">
        <v>60</v>
      </c>
      <c r="I285" s="190">
        <v>107.1</v>
      </c>
      <c r="J285" s="190" t="s">
        <v>1024</v>
      </c>
      <c r="K285" s="148" t="s">
        <v>116</v>
      </c>
      <c r="L285" s="191">
        <v>40.700000000000003</v>
      </c>
      <c r="M285" s="149" t="s">
        <v>1024</v>
      </c>
      <c r="N285" s="149" t="s">
        <v>117</v>
      </c>
      <c r="O285" s="148" t="s">
        <v>1025</v>
      </c>
      <c r="P285" s="192">
        <v>44.6</v>
      </c>
      <c r="Q285" s="150" t="s">
        <v>1026</v>
      </c>
      <c r="R285" s="150" t="s">
        <v>116</v>
      </c>
      <c r="S285" s="193">
        <v>15.8</v>
      </c>
      <c r="T285" s="151" t="s">
        <v>1026</v>
      </c>
      <c r="U285" s="151" t="s">
        <v>117</v>
      </c>
      <c r="V285" s="152" t="s">
        <v>1027</v>
      </c>
      <c r="W285" s="196">
        <v>92.7</v>
      </c>
      <c r="X285" s="153" t="s">
        <v>1061</v>
      </c>
      <c r="Y285" s="153" t="s">
        <v>389</v>
      </c>
      <c r="Z285" s="197">
        <v>33.200000000000003</v>
      </c>
      <c r="AA285" s="154" t="s">
        <v>1061</v>
      </c>
      <c r="AB285" s="154" t="s">
        <v>117</v>
      </c>
      <c r="AC285" s="200" t="s">
        <v>1033</v>
      </c>
      <c r="AD285" s="202"/>
      <c r="AE285" s="174">
        <f>IF(ISNUMBER(VLOOKUP(A285,NotghiID!A:A,1,FALSE)),1,0)</f>
        <v>1</v>
      </c>
    </row>
    <row r="286" spans="1:31" x14ac:dyDescent="0.2">
      <c r="A286" s="205">
        <v>221</v>
      </c>
      <c r="B286" s="232" t="str">
        <f>IF(AND(A286&lt;&gt;"",ISNUMBER(A286)),VLOOKUP(A286,Studies!A:BR,2,FALSE),"")</f>
        <v>Gurley 2008a</v>
      </c>
      <c r="C286" s="232" t="str">
        <f>IF(AND(A286&lt;&gt;"",ISNUMBER(A286)),VLOOKUP(A286,Studies!A:BR,3,FALSE),"")</f>
        <v>https://www.ncbi.nlm.nih.gov/pubmed/17495878</v>
      </c>
      <c r="D286" s="232" t="str">
        <f>IF(AND(A286&lt;&gt;"",ISNUMBER(A286)),VLOOKUP(A286,Studies!A:BR,4,FALSE),"")</f>
        <v>with Perpetrator (Rifampicin)</v>
      </c>
      <c r="E286" s="206" t="str">
        <f>IF(AND(A286&lt;&gt;"",ISNUMBER(A286)),VLOOKUP(A286,Studies!A:BR,5,FALSE),"")</f>
        <v>Midazolam</v>
      </c>
      <c r="F286" s="146">
        <v>146</v>
      </c>
      <c r="G286" s="147" t="s">
        <v>1023</v>
      </c>
      <c r="H286" s="198" t="s">
        <v>60</v>
      </c>
      <c r="I286" s="190">
        <v>6.46</v>
      </c>
      <c r="J286" s="190" t="s">
        <v>1024</v>
      </c>
      <c r="K286" s="148" t="s">
        <v>116</v>
      </c>
      <c r="L286" s="191">
        <v>3.51</v>
      </c>
      <c r="M286" s="149" t="s">
        <v>1024</v>
      </c>
      <c r="N286" s="149" t="s">
        <v>117</v>
      </c>
      <c r="O286" s="148" t="s">
        <v>1025</v>
      </c>
      <c r="P286" s="192">
        <v>4.8</v>
      </c>
      <c r="Q286" s="150" t="s">
        <v>1026</v>
      </c>
      <c r="R286" s="150" t="s">
        <v>116</v>
      </c>
      <c r="S286" s="193">
        <v>3.8</v>
      </c>
      <c r="T286" s="151" t="s">
        <v>1026</v>
      </c>
      <c r="U286" s="151" t="s">
        <v>117</v>
      </c>
      <c r="V286" s="152" t="s">
        <v>1027</v>
      </c>
      <c r="W286" s="196">
        <v>1649</v>
      </c>
      <c r="X286" s="153" t="s">
        <v>1061</v>
      </c>
      <c r="Y286" s="153" t="s">
        <v>389</v>
      </c>
      <c r="Z286" s="197">
        <v>927</v>
      </c>
      <c r="AA286" s="154" t="s">
        <v>1061</v>
      </c>
      <c r="AB286" s="154" t="s">
        <v>117</v>
      </c>
      <c r="AC286" s="200" t="s">
        <v>1033</v>
      </c>
      <c r="AD286" s="202"/>
      <c r="AE286" s="174">
        <f>IF(ISNUMBER(VLOOKUP(A286,NotghiID!A:A,1,FALSE)),1,0)</f>
        <v>1</v>
      </c>
    </row>
    <row r="287" spans="1:31" x14ac:dyDescent="0.2">
      <c r="A287" s="205">
        <v>222</v>
      </c>
      <c r="B287" s="232" t="str">
        <f>IF(AND(A287&lt;&gt;"",ISNUMBER(A287)),VLOOKUP(A287,Studies!A:BR,2,FALSE),"")</f>
        <v>Gurley 2008a</v>
      </c>
      <c r="C287" s="232" t="str">
        <f>IF(AND(A287&lt;&gt;"",ISNUMBER(A287)),VLOOKUP(A287,Studies!A:BR,3,FALSE),"")</f>
        <v>https://www.ncbi.nlm.nih.gov/pubmed/17495878</v>
      </c>
      <c r="D287" s="232" t="str">
        <f>IF(AND(A287&lt;&gt;"",ISNUMBER(A287)),VLOOKUP(A287,Studies!A:BR,4,FALSE),"")</f>
        <v>Control pre-Clarithromycin (Perpetrator Placebo)</v>
      </c>
      <c r="E287" s="206" t="str">
        <f>IF(AND(A287&lt;&gt;"",ISNUMBER(A287)),VLOOKUP(A287,Studies!A:BR,5,FALSE),"")</f>
        <v>Midazolam</v>
      </c>
      <c r="F287" s="146">
        <v>0</v>
      </c>
      <c r="G287" s="147" t="s">
        <v>1023</v>
      </c>
      <c r="H287" s="198" t="s">
        <v>60</v>
      </c>
      <c r="I287" s="190">
        <v>102.4</v>
      </c>
      <c r="J287" s="190" t="s">
        <v>1024</v>
      </c>
      <c r="K287" s="148" t="s">
        <v>116</v>
      </c>
      <c r="L287" s="191">
        <v>43.9</v>
      </c>
      <c r="M287" s="149" t="s">
        <v>1024</v>
      </c>
      <c r="N287" s="149" t="s">
        <v>117</v>
      </c>
      <c r="O287" s="148" t="s">
        <v>1025</v>
      </c>
      <c r="P287" s="192">
        <v>52.2</v>
      </c>
      <c r="Q287" s="150" t="s">
        <v>1026</v>
      </c>
      <c r="R287" s="150" t="s">
        <v>116</v>
      </c>
      <c r="S287" s="193">
        <v>26.7</v>
      </c>
      <c r="T287" s="151" t="s">
        <v>1026</v>
      </c>
      <c r="U287" s="151" t="s">
        <v>117</v>
      </c>
      <c r="V287" s="152" t="s">
        <v>1027</v>
      </c>
      <c r="W287" s="196">
        <v>95.7</v>
      </c>
      <c r="X287" s="153" t="s">
        <v>1061</v>
      </c>
      <c r="Y287" s="153" t="s">
        <v>389</v>
      </c>
      <c r="Z287" s="197">
        <v>46.1</v>
      </c>
      <c r="AA287" s="154" t="s">
        <v>1061</v>
      </c>
      <c r="AB287" s="154" t="s">
        <v>117</v>
      </c>
      <c r="AC287" s="200" t="s">
        <v>1033</v>
      </c>
      <c r="AD287" s="202"/>
      <c r="AE287" s="174">
        <f>IF(ISNUMBER(VLOOKUP(A287,NotghiID!A:A,1,FALSE)),1,0)</f>
        <v>1</v>
      </c>
    </row>
    <row r="288" spans="1:31" x14ac:dyDescent="0.2">
      <c r="A288" s="205">
        <v>223</v>
      </c>
      <c r="B288" s="232" t="str">
        <f>IF(AND(A288&lt;&gt;"",ISNUMBER(A288)),VLOOKUP(A288,Studies!A:BR,2,FALSE),"")</f>
        <v>Gurley 2008a</v>
      </c>
      <c r="C288" s="232" t="str">
        <f>IF(AND(A288&lt;&gt;"",ISNUMBER(A288)),VLOOKUP(A288,Studies!A:BR,3,FALSE),"")</f>
        <v>https://www.ncbi.nlm.nih.gov/pubmed/17495878</v>
      </c>
      <c r="D288" s="232" t="str">
        <f>IF(AND(A288&lt;&gt;"",ISNUMBER(A288)),VLOOKUP(A288,Studies!A:BR,4,FALSE),"")</f>
        <v>with Perpetrator (Clarithomycin)</v>
      </c>
      <c r="E288" s="206" t="str">
        <f>IF(AND(A288&lt;&gt;"",ISNUMBER(A288)),VLOOKUP(A288,Studies!A:BR,5,FALSE),"")</f>
        <v>Midazolam</v>
      </c>
      <c r="F288" s="146">
        <v>146</v>
      </c>
      <c r="G288" s="147" t="s">
        <v>1023</v>
      </c>
      <c r="H288" s="198" t="s">
        <v>60</v>
      </c>
      <c r="I288" s="190">
        <v>561.5</v>
      </c>
      <c r="J288" s="190" t="s">
        <v>1024</v>
      </c>
      <c r="K288" s="148" t="s">
        <v>116</v>
      </c>
      <c r="L288" s="191">
        <v>188.6</v>
      </c>
      <c r="M288" s="149" t="s">
        <v>1024</v>
      </c>
      <c r="N288" s="149" t="s">
        <v>117</v>
      </c>
      <c r="O288" s="148" t="s">
        <v>1025</v>
      </c>
      <c r="P288" s="192">
        <v>113.5</v>
      </c>
      <c r="Q288" s="150" t="s">
        <v>1026</v>
      </c>
      <c r="R288" s="150" t="s">
        <v>116</v>
      </c>
      <c r="S288" s="193">
        <v>36.200000000000003</v>
      </c>
      <c r="T288" s="151" t="s">
        <v>1026</v>
      </c>
      <c r="U288" s="151" t="s">
        <v>117</v>
      </c>
      <c r="V288" s="152" t="s">
        <v>1027</v>
      </c>
      <c r="W288" s="196">
        <v>16.3</v>
      </c>
      <c r="X288" s="153" t="s">
        <v>1061</v>
      </c>
      <c r="Y288" s="153" t="s">
        <v>389</v>
      </c>
      <c r="Z288" s="197">
        <v>6.2</v>
      </c>
      <c r="AA288" s="154" t="s">
        <v>1061</v>
      </c>
      <c r="AB288" s="154" t="s">
        <v>117</v>
      </c>
      <c r="AC288" s="200" t="s">
        <v>1033</v>
      </c>
      <c r="AD288" s="202"/>
      <c r="AE288" s="174">
        <f>IF(ISNUMBER(VLOOKUP(A288,NotghiID!A:A,1,FALSE)),1,0)</f>
        <v>1</v>
      </c>
    </row>
    <row r="289" spans="1:31" x14ac:dyDescent="0.2">
      <c r="A289" s="205">
        <v>224</v>
      </c>
      <c r="B289" s="232" t="str">
        <f>IF(AND(A289&lt;&gt;"",ISNUMBER(A289)),VLOOKUP(A289,Studies!A:BR,2,FALSE),"")</f>
        <v>Gurley 2008a</v>
      </c>
      <c r="C289" s="232" t="str">
        <f>IF(AND(A289&lt;&gt;"",ISNUMBER(A289)),VLOOKUP(A289,Studies!A:BR,3,FALSE),"")</f>
        <v>https://www.ncbi.nlm.nih.gov/pubmed/17495878</v>
      </c>
      <c r="D289" s="232" t="str">
        <f>IF(AND(A289&lt;&gt;"",ISNUMBER(A289)),VLOOKUP(A289,Studies!A:BR,4,FALSE),"")</f>
        <v>Control pre-Goldenseal (Perpetrator Placebo)</v>
      </c>
      <c r="E289" s="206" t="str">
        <f>IF(AND(A289&lt;&gt;"",ISNUMBER(A289)),VLOOKUP(A289,Studies!A:BR,5,FALSE),"")</f>
        <v>Midazolam</v>
      </c>
      <c r="F289" s="146">
        <v>0</v>
      </c>
      <c r="G289" s="147" t="s">
        <v>1023</v>
      </c>
      <c r="H289" s="198" t="s">
        <v>60</v>
      </c>
      <c r="I289" s="190">
        <v>107.9</v>
      </c>
      <c r="J289" s="190" t="s">
        <v>1024</v>
      </c>
      <c r="K289" s="148" t="s">
        <v>116</v>
      </c>
      <c r="L289" s="191">
        <v>43.3</v>
      </c>
      <c r="M289" s="149" t="s">
        <v>1024</v>
      </c>
      <c r="N289" s="149" t="s">
        <v>117</v>
      </c>
      <c r="O289" s="148" t="s">
        <v>1025</v>
      </c>
      <c r="P289" s="192">
        <v>50.6</v>
      </c>
      <c r="Q289" s="150" t="s">
        <v>1026</v>
      </c>
      <c r="R289" s="150" t="s">
        <v>116</v>
      </c>
      <c r="S289" s="193">
        <v>26.9</v>
      </c>
      <c r="T289" s="151" t="s">
        <v>1026</v>
      </c>
      <c r="U289" s="151" t="s">
        <v>117</v>
      </c>
      <c r="V289" s="152" t="s">
        <v>1027</v>
      </c>
      <c r="W289" s="196">
        <v>88.8</v>
      </c>
      <c r="X289" s="153" t="s">
        <v>1061</v>
      </c>
      <c r="Y289" s="153" t="s">
        <v>389</v>
      </c>
      <c r="Z289" s="197">
        <v>39.1</v>
      </c>
      <c r="AA289" s="154" t="s">
        <v>1061</v>
      </c>
      <c r="AB289" s="154" t="s">
        <v>117</v>
      </c>
      <c r="AC289" s="200" t="s">
        <v>1033</v>
      </c>
      <c r="AD289" s="202"/>
      <c r="AE289" s="174">
        <f>IF(ISNUMBER(VLOOKUP(A289,NotghiID!A:A,1,FALSE)),1,0)</f>
        <v>1</v>
      </c>
    </row>
    <row r="290" spans="1:31" x14ac:dyDescent="0.2">
      <c r="A290" s="205">
        <v>225</v>
      </c>
      <c r="B290" s="232" t="str">
        <f>IF(AND(A290&lt;&gt;"",ISNUMBER(A290)),VLOOKUP(A290,Studies!A:BR,2,FALSE),"")</f>
        <v>Gurley 2008a</v>
      </c>
      <c r="C290" s="232" t="str">
        <f>IF(AND(A290&lt;&gt;"",ISNUMBER(A290)),VLOOKUP(A290,Studies!A:BR,3,FALSE),"")</f>
        <v>https://www.ncbi.nlm.nih.gov/pubmed/17495878</v>
      </c>
      <c r="D290" s="232" t="str">
        <f>IF(AND(A290&lt;&gt;"",ISNUMBER(A290)),VLOOKUP(A290,Studies!A:BR,4,FALSE),"")</f>
        <v>Control pre-Kava kava (Perpetrator Placebo)</v>
      </c>
      <c r="E290" s="206" t="str">
        <f>IF(AND(A290&lt;&gt;"",ISNUMBER(A290)),VLOOKUP(A290,Studies!A:BR,5,FALSE),"")</f>
        <v>Midazolam</v>
      </c>
      <c r="F290" s="175">
        <v>0</v>
      </c>
      <c r="G290" s="147" t="s">
        <v>1023</v>
      </c>
      <c r="H290" s="198" t="s">
        <v>60</v>
      </c>
      <c r="I290" s="190">
        <v>107.1</v>
      </c>
      <c r="J290" s="190" t="s">
        <v>1024</v>
      </c>
      <c r="K290" s="148" t="s">
        <v>116</v>
      </c>
      <c r="L290" s="191">
        <v>41.9</v>
      </c>
      <c r="M290" s="149" t="s">
        <v>1024</v>
      </c>
      <c r="N290" s="149" t="s">
        <v>117</v>
      </c>
      <c r="O290" s="148" t="s">
        <v>1025</v>
      </c>
      <c r="P290" s="192">
        <v>38.6</v>
      </c>
      <c r="Q290" s="150" t="s">
        <v>1026</v>
      </c>
      <c r="R290" s="150" t="s">
        <v>116</v>
      </c>
      <c r="S290" s="193">
        <v>15.1</v>
      </c>
      <c r="T290" s="151" t="s">
        <v>1026</v>
      </c>
      <c r="U290" s="151" t="s">
        <v>117</v>
      </c>
      <c r="V290" s="152" t="s">
        <v>1027</v>
      </c>
      <c r="W290" s="196">
        <v>86.9</v>
      </c>
      <c r="X290" s="153" t="s">
        <v>1061</v>
      </c>
      <c r="Y290" s="153" t="s">
        <v>389</v>
      </c>
      <c r="Z290" s="197">
        <v>35.700000000000003</v>
      </c>
      <c r="AA290" s="154" t="s">
        <v>1061</v>
      </c>
      <c r="AB290" s="154" t="s">
        <v>117</v>
      </c>
      <c r="AC290" s="200" t="s">
        <v>1033</v>
      </c>
      <c r="AD290" s="202"/>
      <c r="AE290" s="174">
        <f>IF(ISNUMBER(VLOOKUP(A290,NotghiID!A:A,1,FALSE)),1,0)</f>
        <v>1</v>
      </c>
    </row>
    <row r="291" spans="1:31" x14ac:dyDescent="0.2">
      <c r="A291" s="205">
        <v>226</v>
      </c>
      <c r="B291" s="232" t="str">
        <f>IF(AND(A291&lt;&gt;"",ISNUMBER(A291)),VLOOKUP(A291,Studies!A:BR,2,FALSE),"")</f>
        <v>Gurley 2008b</v>
      </c>
      <c r="C291" s="232" t="str">
        <f>IF(AND(A291&lt;&gt;"",ISNUMBER(A291)),VLOOKUP(A291,Studies!A:BR,3,FALSE),"")</f>
        <v>https://www.ncbi.nlm.nih.gov/pubmed/18214850</v>
      </c>
      <c r="D291" s="232" t="str">
        <f>IF(AND(A291&lt;&gt;"",ISNUMBER(A291)),VLOOKUP(A291,Studies!A:BR,4,FALSE),"")</f>
        <v>Control (Perpetrator Placebo)</v>
      </c>
      <c r="E291" s="206" t="str">
        <f>IF(AND(A291&lt;&gt;"",ISNUMBER(A291)),VLOOKUP(A291,Studies!A:BR,5,FALSE),"")</f>
        <v>Digoxin</v>
      </c>
      <c r="F291" s="146">
        <v>0</v>
      </c>
      <c r="G291" s="147" t="s">
        <v>1023</v>
      </c>
      <c r="H291" s="198" t="s">
        <v>60</v>
      </c>
      <c r="I291" s="190">
        <v>8.1</v>
      </c>
      <c r="J291" s="190" t="s">
        <v>1024</v>
      </c>
      <c r="K291" s="148" t="s">
        <v>116</v>
      </c>
      <c r="L291" s="191">
        <v>1.9</v>
      </c>
      <c r="M291" s="149" t="s">
        <v>1024</v>
      </c>
      <c r="N291" s="149" t="s">
        <v>117</v>
      </c>
      <c r="O291" s="148" t="s">
        <v>1025</v>
      </c>
      <c r="P291" s="192">
        <v>1.3</v>
      </c>
      <c r="Q291" s="150" t="s">
        <v>1026</v>
      </c>
      <c r="R291" s="150" t="s">
        <v>116</v>
      </c>
      <c r="S291" s="193">
        <v>0.4</v>
      </c>
      <c r="T291" s="151" t="s">
        <v>1026</v>
      </c>
      <c r="U291" s="151" t="s">
        <v>117</v>
      </c>
      <c r="V291" s="152" t="s">
        <v>1027</v>
      </c>
      <c r="W291" s="196"/>
      <c r="X291" s="196"/>
      <c r="Y291" s="196"/>
      <c r="Z291" s="197"/>
      <c r="AA291" s="197"/>
      <c r="AB291" s="197"/>
      <c r="AC291" s="200"/>
      <c r="AD291" s="202"/>
      <c r="AE291" s="174">
        <f>IF(ISNUMBER(VLOOKUP(A291,NotghiID!A:A,1,FALSE)),1,0)</f>
        <v>1</v>
      </c>
    </row>
    <row r="292" spans="1:31" x14ac:dyDescent="0.2">
      <c r="A292" s="205">
        <v>227</v>
      </c>
      <c r="B292" s="232" t="str">
        <f>IF(AND(A292&lt;&gt;"",ISNUMBER(A292)),VLOOKUP(A292,Studies!A:BR,2,FALSE),"")</f>
        <v>Gurley 2008b</v>
      </c>
      <c r="C292" s="232" t="str">
        <f>IF(AND(A292&lt;&gt;"",ISNUMBER(A292)),VLOOKUP(A292,Studies!A:BR,3,FALSE),"")</f>
        <v>https://www.ncbi.nlm.nih.gov/pubmed/18214850</v>
      </c>
      <c r="D292" s="232" t="str">
        <f>IF(AND(A292&lt;&gt;"",ISNUMBER(A292)),VLOOKUP(A292,Studies!A:BR,4,FALSE),"")</f>
        <v>with Perpetrator (Rifampicin)</v>
      </c>
      <c r="E292" s="206" t="str">
        <f>IF(AND(A292&lt;&gt;"",ISNUMBER(A292)),VLOOKUP(A292,Studies!A:BR,5,FALSE),"")</f>
        <v>Digoxin</v>
      </c>
      <c r="F292" s="146">
        <v>146</v>
      </c>
      <c r="G292" s="147" t="s">
        <v>1023</v>
      </c>
      <c r="H292" s="198" t="s">
        <v>60</v>
      </c>
      <c r="I292" s="190">
        <v>6.1</v>
      </c>
      <c r="J292" s="190" t="s">
        <v>1024</v>
      </c>
      <c r="K292" s="148" t="s">
        <v>116</v>
      </c>
      <c r="L292" s="191">
        <v>1.9</v>
      </c>
      <c r="M292" s="149" t="s">
        <v>1024</v>
      </c>
      <c r="N292" s="149" t="s">
        <v>117</v>
      </c>
      <c r="O292" s="148" t="s">
        <v>1025</v>
      </c>
      <c r="P292" s="192">
        <v>0.8</v>
      </c>
      <c r="Q292" s="150" t="s">
        <v>1026</v>
      </c>
      <c r="R292" s="150" t="s">
        <v>116</v>
      </c>
      <c r="S292" s="193">
        <v>0.3</v>
      </c>
      <c r="T292" s="151" t="s">
        <v>1026</v>
      </c>
      <c r="U292" s="151" t="s">
        <v>117</v>
      </c>
      <c r="V292" s="152" t="s">
        <v>1027</v>
      </c>
      <c r="W292" s="196"/>
      <c r="X292" s="196"/>
      <c r="Y292" s="196"/>
      <c r="Z292" s="197"/>
      <c r="AA292" s="197"/>
      <c r="AB292" s="197"/>
      <c r="AC292" s="200"/>
      <c r="AD292" s="202"/>
      <c r="AE292" s="174">
        <f>IF(ISNUMBER(VLOOKUP(A292,NotghiID!A:A,1,FALSE)),1,0)</f>
        <v>1</v>
      </c>
    </row>
    <row r="293" spans="1:31" x14ac:dyDescent="0.2">
      <c r="A293" s="205">
        <v>228</v>
      </c>
      <c r="B293" s="232" t="str">
        <f>IF(AND(A293&lt;&gt;"",ISNUMBER(A293)),VLOOKUP(A293,Studies!A:BR,2,FALSE),"")</f>
        <v>Gurley 2008b</v>
      </c>
      <c r="C293" s="232" t="str">
        <f>IF(AND(A293&lt;&gt;"",ISNUMBER(A293)),VLOOKUP(A293,Studies!A:BR,3,FALSE),"")</f>
        <v>https://www.ncbi.nlm.nih.gov/pubmed/18214850</v>
      </c>
      <c r="D293" s="232" t="str">
        <f>IF(AND(A293&lt;&gt;"",ISNUMBER(A293)),VLOOKUP(A293,Studies!A:BR,4,FALSE),"")</f>
        <v>Control (Perpetrator Placebo)</v>
      </c>
      <c r="E293" s="206" t="str">
        <f>IF(AND(A293&lt;&gt;"",ISNUMBER(A293)),VLOOKUP(A293,Studies!A:BR,5,FALSE),"")</f>
        <v>Digoxin</v>
      </c>
      <c r="F293" s="146">
        <v>0</v>
      </c>
      <c r="G293" s="147" t="s">
        <v>1023</v>
      </c>
      <c r="H293" s="198" t="s">
        <v>60</v>
      </c>
      <c r="I293" s="190">
        <v>7.3</v>
      </c>
      <c r="J293" s="190" t="s">
        <v>1024</v>
      </c>
      <c r="K293" s="148" t="s">
        <v>116</v>
      </c>
      <c r="L293" s="191">
        <v>2</v>
      </c>
      <c r="M293" s="149" t="s">
        <v>1024</v>
      </c>
      <c r="N293" s="149" t="s">
        <v>117</v>
      </c>
      <c r="O293" s="148" t="s">
        <v>1025</v>
      </c>
      <c r="P293" s="192">
        <v>1.2</v>
      </c>
      <c r="Q293" s="150" t="s">
        <v>1026</v>
      </c>
      <c r="R293" s="150" t="s">
        <v>116</v>
      </c>
      <c r="S293" s="193">
        <v>0.3</v>
      </c>
      <c r="T293" s="151" t="s">
        <v>1026</v>
      </c>
      <c r="U293" s="151" t="s">
        <v>117</v>
      </c>
      <c r="V293" s="152" t="s">
        <v>1027</v>
      </c>
      <c r="W293" s="196"/>
      <c r="X293" s="196"/>
      <c r="Y293" s="196"/>
      <c r="Z293" s="197"/>
      <c r="AA293" s="197"/>
      <c r="AB293" s="197"/>
      <c r="AC293" s="200"/>
      <c r="AD293" s="202"/>
      <c r="AE293" s="174">
        <f>IF(ISNUMBER(VLOOKUP(A293,NotghiID!A:A,1,FALSE)),1,0)</f>
        <v>1</v>
      </c>
    </row>
    <row r="294" spans="1:31" x14ac:dyDescent="0.2">
      <c r="A294" s="205">
        <v>229</v>
      </c>
      <c r="B294" s="232" t="str">
        <f>IF(AND(A294&lt;&gt;"",ISNUMBER(A294)),VLOOKUP(A294,Studies!A:BR,2,FALSE),"")</f>
        <v>Gurley 2008b</v>
      </c>
      <c r="C294" s="232" t="str">
        <f>IF(AND(A294&lt;&gt;"",ISNUMBER(A294)),VLOOKUP(A294,Studies!A:BR,3,FALSE),"")</f>
        <v>https://www.ncbi.nlm.nih.gov/pubmed/18214850</v>
      </c>
      <c r="D294" s="232" t="str">
        <f>IF(AND(A294&lt;&gt;"",ISNUMBER(A294)),VLOOKUP(A294,Studies!A:BR,4,FALSE),"")</f>
        <v>with Perpetrator (Clarithomycin)</v>
      </c>
      <c r="E294" s="206" t="str">
        <f>IF(AND(A294&lt;&gt;"",ISNUMBER(A294)),VLOOKUP(A294,Studies!A:BR,5,FALSE),"")</f>
        <v>Digoxin</v>
      </c>
      <c r="F294" s="146">
        <v>146</v>
      </c>
      <c r="G294" s="147" t="s">
        <v>1023</v>
      </c>
      <c r="H294" s="198" t="s">
        <v>60</v>
      </c>
      <c r="I294" s="190">
        <v>10.7</v>
      </c>
      <c r="J294" s="190" t="s">
        <v>1024</v>
      </c>
      <c r="K294" s="148" t="s">
        <v>116</v>
      </c>
      <c r="L294" s="191">
        <v>3.4</v>
      </c>
      <c r="M294" s="149" t="s">
        <v>1024</v>
      </c>
      <c r="N294" s="149" t="s">
        <v>117</v>
      </c>
      <c r="O294" s="148" t="s">
        <v>1025</v>
      </c>
      <c r="P294" s="192">
        <v>2.1</v>
      </c>
      <c r="Q294" s="150" t="s">
        <v>1026</v>
      </c>
      <c r="R294" s="150" t="s">
        <v>116</v>
      </c>
      <c r="S294" s="193">
        <v>0.9</v>
      </c>
      <c r="T294" s="151" t="s">
        <v>1026</v>
      </c>
      <c r="U294" s="151" t="s">
        <v>117</v>
      </c>
      <c r="V294" s="152" t="s">
        <v>1027</v>
      </c>
      <c r="W294" s="196"/>
      <c r="X294" s="196"/>
      <c r="Y294" s="196"/>
      <c r="Z294" s="197"/>
      <c r="AA294" s="197"/>
      <c r="AB294" s="197"/>
      <c r="AC294" s="200"/>
      <c r="AD294" s="202"/>
      <c r="AE294" s="174">
        <f>IF(ISNUMBER(VLOOKUP(A294,NotghiID!A:A,1,FALSE)),1,0)</f>
        <v>1</v>
      </c>
    </row>
    <row r="295" spans="1:31" x14ac:dyDescent="0.2">
      <c r="A295" s="205">
        <v>261</v>
      </c>
      <c r="B295" s="232" t="str">
        <f>IF(AND(A295&lt;&gt;"",ISNUMBER(A295)),VLOOKUP(A295,Studies!A:BR,2,FALSE),"")</f>
        <v>Hohmann 2015</v>
      </c>
      <c r="C295" s="232" t="str">
        <f>IF(AND(A295&lt;&gt;"",ISNUMBER(A295)),VLOOKUP(A295,Studies!A:BR,3,FALSE),"")</f>
        <v>https://www.ncbi.nlm.nih.gov/pubmed/25588320</v>
      </c>
      <c r="D295" s="232" t="str">
        <f>IF(AND(A295&lt;&gt;"",ISNUMBER(A295)),VLOOKUP(A295,Studies!A:BR,4,FALSE),"")</f>
        <v>iv 0.001 mg</v>
      </c>
      <c r="E295" s="206" t="str">
        <f>IF(AND(A295&lt;&gt;"",ISNUMBER(A295)),VLOOKUP(A295,Studies!A:BR,5,FALSE),"")</f>
        <v>Midazolam</v>
      </c>
      <c r="F295" s="175">
        <v>0</v>
      </c>
      <c r="G295" s="198" t="s">
        <v>1023</v>
      </c>
      <c r="H295" s="198" t="s">
        <v>60</v>
      </c>
      <c r="I295" s="190">
        <v>37.9</v>
      </c>
      <c r="J295" s="190" t="s">
        <v>1048</v>
      </c>
      <c r="K295" s="190" t="s">
        <v>1029</v>
      </c>
      <c r="L295" s="191">
        <v>13.2</v>
      </c>
      <c r="M295" s="191" t="s">
        <v>517</v>
      </c>
      <c r="N295" s="191" t="s">
        <v>1030</v>
      </c>
      <c r="O295" s="190" t="s">
        <v>1025</v>
      </c>
      <c r="P295" s="192">
        <v>39.1</v>
      </c>
      <c r="Q295" s="192" t="s">
        <v>1031</v>
      </c>
      <c r="R295" s="192" t="s">
        <v>1029</v>
      </c>
      <c r="S295" s="193">
        <v>43.7</v>
      </c>
      <c r="T295" s="193" t="s">
        <v>517</v>
      </c>
      <c r="U295" s="193" t="s">
        <v>1030</v>
      </c>
      <c r="V295" s="152" t="s">
        <v>1027</v>
      </c>
      <c r="W295" s="196">
        <v>439</v>
      </c>
      <c r="X295" s="196" t="s">
        <v>1043</v>
      </c>
      <c r="Y295" s="196" t="s">
        <v>1098</v>
      </c>
      <c r="Z295" s="197">
        <v>11.9</v>
      </c>
      <c r="AA295" s="197" t="s">
        <v>517</v>
      </c>
      <c r="AB295" s="197" t="s">
        <v>1030</v>
      </c>
      <c r="AC295" s="200" t="s">
        <v>1064</v>
      </c>
      <c r="AD295" s="202"/>
      <c r="AE295" s="174">
        <f>IF(ISNUMBER(VLOOKUP(A295,NotghiID!A:A,1,FALSE)),1,0)</f>
        <v>1</v>
      </c>
    </row>
    <row r="296" spans="1:31" x14ac:dyDescent="0.2">
      <c r="A296" s="205">
        <v>262</v>
      </c>
      <c r="B296" s="232" t="str">
        <f>IF(AND(A296&lt;&gt;"",ISNUMBER(A296)),VLOOKUP(A296,Studies!A:BR,2,FALSE),"")</f>
        <v>Hohmann 2015</v>
      </c>
      <c r="C296" s="232" t="str">
        <f>IF(AND(A296&lt;&gt;"",ISNUMBER(A296)),VLOOKUP(A296,Studies!A:BR,3,FALSE),"")</f>
        <v>https://www.ncbi.nlm.nih.gov/pubmed/25588320</v>
      </c>
      <c r="D296" s="232" t="str">
        <f>IF(AND(A296&lt;&gt;"",ISNUMBER(A296)),VLOOKUP(A296,Studies!A:BR,4,FALSE),"")</f>
        <v>iv 1 mg</v>
      </c>
      <c r="E296" s="206" t="str">
        <f>IF(AND(A296&lt;&gt;"",ISNUMBER(A296)),VLOOKUP(A296,Studies!A:BR,5,FALSE),"")</f>
        <v>Midazolam</v>
      </c>
      <c r="F296" s="175">
        <v>0</v>
      </c>
      <c r="G296" s="198" t="s">
        <v>1023</v>
      </c>
      <c r="H296" s="198" t="s">
        <v>60</v>
      </c>
      <c r="I296" s="190">
        <v>39000</v>
      </c>
      <c r="J296" s="190" t="s">
        <v>1048</v>
      </c>
      <c r="K296" s="190" t="s">
        <v>1029</v>
      </c>
      <c r="L296" s="191">
        <v>14</v>
      </c>
      <c r="M296" s="191" t="s">
        <v>517</v>
      </c>
      <c r="N296" s="191" t="s">
        <v>1030</v>
      </c>
      <c r="O296" s="190" t="s">
        <v>1025</v>
      </c>
      <c r="P296" s="192">
        <v>37100</v>
      </c>
      <c r="Q296" s="192" t="s">
        <v>1031</v>
      </c>
      <c r="R296" s="192" t="s">
        <v>1029</v>
      </c>
      <c r="S296" s="193">
        <v>61.3</v>
      </c>
      <c r="T296" s="193" t="s">
        <v>517</v>
      </c>
      <c r="U296" s="193" t="s">
        <v>1030</v>
      </c>
      <c r="V296" s="152" t="s">
        <v>1027</v>
      </c>
      <c r="W296" s="196">
        <v>428</v>
      </c>
      <c r="X296" s="196" t="s">
        <v>1043</v>
      </c>
      <c r="Y296" s="196" t="s">
        <v>1098</v>
      </c>
      <c r="Z296" s="197">
        <v>14.9</v>
      </c>
      <c r="AA296" s="197" t="s">
        <v>517</v>
      </c>
      <c r="AB296" s="197" t="s">
        <v>1030</v>
      </c>
      <c r="AC296" s="200" t="s">
        <v>1064</v>
      </c>
      <c r="AD296" s="202"/>
      <c r="AE296" s="174">
        <f>IF(ISNUMBER(VLOOKUP(A296,NotghiID!A:A,1,FALSE)),1,0)</f>
        <v>1</v>
      </c>
    </row>
    <row r="297" spans="1:31" x14ac:dyDescent="0.2">
      <c r="A297" s="205">
        <v>263</v>
      </c>
      <c r="B297" s="232" t="str">
        <f>IF(AND(A297&lt;&gt;"",ISNUMBER(A297)),VLOOKUP(A297,Studies!A:BR,2,FALSE),"")</f>
        <v>Hohmann 2015</v>
      </c>
      <c r="C297" s="232" t="str">
        <f>IF(AND(A297&lt;&gt;"",ISNUMBER(A297)),VLOOKUP(A297,Studies!A:BR,3,FALSE),"")</f>
        <v>https://www.ncbi.nlm.nih.gov/pubmed/25588320</v>
      </c>
      <c r="D297" s="232" t="str">
        <f>IF(AND(A297&lt;&gt;"",ISNUMBER(A297)),VLOOKUP(A297,Studies!A:BR,4,FALSE),"")</f>
        <v>po 0.003 mg</v>
      </c>
      <c r="E297" s="206" t="str">
        <f>IF(AND(A297&lt;&gt;"",ISNUMBER(A297)),VLOOKUP(A297,Studies!A:BR,5,FALSE),"")</f>
        <v>Midazolam</v>
      </c>
      <c r="F297" s="175">
        <v>0</v>
      </c>
      <c r="G297" s="198" t="s">
        <v>1023</v>
      </c>
      <c r="H297" s="198" t="s">
        <v>60</v>
      </c>
      <c r="I297" s="190">
        <v>26.6</v>
      </c>
      <c r="J297" s="190" t="s">
        <v>1048</v>
      </c>
      <c r="K297" s="190" t="s">
        <v>1029</v>
      </c>
      <c r="L297" s="191">
        <v>30.9</v>
      </c>
      <c r="M297" s="191" t="s">
        <v>517</v>
      </c>
      <c r="N297" s="191" t="s">
        <v>1030</v>
      </c>
      <c r="O297" s="190" t="s">
        <v>1025</v>
      </c>
      <c r="P297" s="192">
        <v>11.9</v>
      </c>
      <c r="Q297" s="192" t="s">
        <v>1031</v>
      </c>
      <c r="R297" s="192" t="s">
        <v>1029</v>
      </c>
      <c r="S297" s="193">
        <v>38.200000000000003</v>
      </c>
      <c r="T297" s="193" t="s">
        <v>517</v>
      </c>
      <c r="U297" s="193" t="s">
        <v>1030</v>
      </c>
      <c r="V297" s="152" t="s">
        <v>1027</v>
      </c>
      <c r="W297" s="196">
        <v>1880</v>
      </c>
      <c r="X297" s="196" t="s">
        <v>1043</v>
      </c>
      <c r="Y297" s="196" t="s">
        <v>1098</v>
      </c>
      <c r="Z297" s="197">
        <v>32.299999999999997</v>
      </c>
      <c r="AA297" s="197" t="s">
        <v>517</v>
      </c>
      <c r="AB297" s="197" t="s">
        <v>1030</v>
      </c>
      <c r="AC297" s="200" t="s">
        <v>1033</v>
      </c>
      <c r="AD297" s="202"/>
      <c r="AE297" s="174">
        <f>IF(ISNUMBER(VLOOKUP(A297,NotghiID!A:A,1,FALSE)),1,0)</f>
        <v>1</v>
      </c>
    </row>
    <row r="298" spans="1:31" x14ac:dyDescent="0.2">
      <c r="A298" s="213">
        <v>264</v>
      </c>
      <c r="B298" s="232" t="str">
        <f>IF(AND(A298&lt;&gt;"",ISNUMBER(A298)),VLOOKUP(A298,Studies!A:BR,2,FALSE),"")</f>
        <v>Hohmann 2015</v>
      </c>
      <c r="C298" s="232" t="str">
        <f>IF(AND(A298&lt;&gt;"",ISNUMBER(A298)),VLOOKUP(A298,Studies!A:BR,3,FALSE),"")</f>
        <v>https://www.ncbi.nlm.nih.gov/pubmed/25588320</v>
      </c>
      <c r="D298" s="232" t="str">
        <f>IF(AND(A298&lt;&gt;"",ISNUMBER(A298)),VLOOKUP(A298,Studies!A:BR,4,FALSE),"")</f>
        <v>po 3 mg</v>
      </c>
      <c r="E298" s="206" t="str">
        <f>IF(AND(A298&lt;&gt;"",ISNUMBER(A298)),VLOOKUP(A298,Studies!A:BR,5,FALSE),"")</f>
        <v>Midazolam</v>
      </c>
      <c r="F298" s="175">
        <v>0</v>
      </c>
      <c r="G298" s="198" t="s">
        <v>1023</v>
      </c>
      <c r="H298" s="198" t="s">
        <v>60</v>
      </c>
      <c r="I298" s="190">
        <v>24400</v>
      </c>
      <c r="J298" s="190" t="s">
        <v>1048</v>
      </c>
      <c r="K298" s="190" t="s">
        <v>1029</v>
      </c>
      <c r="L298" s="191">
        <v>31.3</v>
      </c>
      <c r="M298" s="191" t="s">
        <v>517</v>
      </c>
      <c r="N298" s="191" t="s">
        <v>1030</v>
      </c>
      <c r="O298" s="190" t="s">
        <v>1025</v>
      </c>
      <c r="P298" s="192">
        <v>9990</v>
      </c>
      <c r="Q298" s="192" t="s">
        <v>1031</v>
      </c>
      <c r="R298" s="192" t="s">
        <v>1029</v>
      </c>
      <c r="S298" s="193">
        <v>51</v>
      </c>
      <c r="T298" s="193" t="s">
        <v>517</v>
      </c>
      <c r="U298" s="193" t="s">
        <v>1030</v>
      </c>
      <c r="V298" s="152" t="s">
        <v>1027</v>
      </c>
      <c r="W298" s="196">
        <v>2050</v>
      </c>
      <c r="X298" s="196" t="s">
        <v>1043</v>
      </c>
      <c r="Y298" s="196" t="s">
        <v>1098</v>
      </c>
      <c r="Z298" s="197">
        <v>35.799999999999997</v>
      </c>
      <c r="AA298" s="197" t="s">
        <v>517</v>
      </c>
      <c r="AB298" s="197" t="s">
        <v>1030</v>
      </c>
      <c r="AC298" s="200" t="s">
        <v>1033</v>
      </c>
      <c r="AD298" s="202"/>
      <c r="AE298" s="174">
        <f>IF(ISNUMBER(VLOOKUP(A298,NotghiID!A:A,1,FALSE)),1,0)</f>
        <v>1</v>
      </c>
    </row>
    <row r="299" spans="1:31" x14ac:dyDescent="0.2">
      <c r="A299" s="159">
        <v>293</v>
      </c>
      <c r="B299" s="232" t="str">
        <f>IF(AND(A299&lt;&gt;"",ISNUMBER(A299)),VLOOKUP(A299,Studies!A:BR,2,FALSE),"")</f>
        <v>Kharasch 2011</v>
      </c>
      <c r="C299" s="232" t="str">
        <f>IF(AND(A299&lt;&gt;"",ISNUMBER(A299)),VLOOKUP(A299,Studies!A:BR,3,FALSE),"")</f>
        <v>https://www.ncbi.nlm.nih.gov/pubmed/21562488</v>
      </c>
      <c r="D299" s="232" t="str">
        <f>IF(AND(A299&lt;&gt;"",ISNUMBER(A299)),VLOOKUP(A299,Studies!A:BR,4,FALSE),"")</f>
        <v>iv Control (Perpetrator Placebo)</v>
      </c>
      <c r="E299" s="206" t="str">
        <f>IF(AND(A299&lt;&gt;"",ISNUMBER(A299)),VLOOKUP(A299,Studies!A:BR,5,FALSE),"")</f>
        <v>Midazolam</v>
      </c>
      <c r="F299" s="158">
        <v>0</v>
      </c>
      <c r="G299" s="158" t="s">
        <v>1023</v>
      </c>
      <c r="H299" s="158" t="s">
        <v>60</v>
      </c>
      <c r="I299" s="190">
        <v>40.9</v>
      </c>
      <c r="J299" s="190" t="s">
        <v>1024</v>
      </c>
      <c r="K299" s="190" t="s">
        <v>116</v>
      </c>
      <c r="L299" s="191">
        <v>7.6</v>
      </c>
      <c r="M299" s="191" t="s">
        <v>1024</v>
      </c>
      <c r="N299" s="191" t="s">
        <v>117</v>
      </c>
      <c r="O299" s="190" t="s">
        <v>1025</v>
      </c>
      <c r="P299" s="192">
        <v>62</v>
      </c>
      <c r="Q299" s="192" t="s">
        <v>1026</v>
      </c>
      <c r="R299" s="192" t="s">
        <v>389</v>
      </c>
      <c r="S299" s="193">
        <v>29</v>
      </c>
      <c r="T299" s="193" t="s">
        <v>1026</v>
      </c>
      <c r="U299" s="193" t="s">
        <v>117</v>
      </c>
      <c r="V299" s="201" t="s">
        <v>1027</v>
      </c>
      <c r="W299" s="196">
        <v>5.9</v>
      </c>
      <c r="X299" s="196" t="s">
        <v>1071</v>
      </c>
      <c r="Y299" s="196" t="s">
        <v>116</v>
      </c>
      <c r="Z299" s="197">
        <v>1.6</v>
      </c>
      <c r="AA299" s="197" t="s">
        <v>1071</v>
      </c>
      <c r="AB299" s="197" t="s">
        <v>117</v>
      </c>
      <c r="AC299" s="200" t="s">
        <v>1064</v>
      </c>
      <c r="AD299" s="202"/>
      <c r="AE299" s="174">
        <f>IF(ISNUMBER(VLOOKUP(A299,NotghiID!A:A,1,FALSE)),1,0)</f>
        <v>1</v>
      </c>
    </row>
    <row r="300" spans="1:31" x14ac:dyDescent="0.2">
      <c r="A300" s="159">
        <v>294</v>
      </c>
      <c r="B300" s="232" t="str">
        <f>IF(AND(A300&lt;&gt;"",ISNUMBER(A300)),VLOOKUP(A300,Studies!A:BR,2,FALSE),"")</f>
        <v>Kharasch 2011</v>
      </c>
      <c r="C300" s="232" t="str">
        <f>IF(AND(A300&lt;&gt;"",ISNUMBER(A300)),VLOOKUP(A300,Studies!A:BR,3,FALSE),"")</f>
        <v>https://www.ncbi.nlm.nih.gov/pubmed/21562488</v>
      </c>
      <c r="D300" s="232" t="str">
        <f>IF(AND(A300&lt;&gt;"",ISNUMBER(A300)),VLOOKUP(A300,Studies!A:BR,4,FALSE),"")</f>
        <v>iv with Perpetrator (Rifampicin @ 5 mg)</v>
      </c>
      <c r="E300" s="206" t="str">
        <f>IF(AND(A300&lt;&gt;"",ISNUMBER(A300)),VLOOKUP(A300,Studies!A:BR,5,FALSE),"")</f>
        <v>Midazolam</v>
      </c>
      <c r="F300" s="158">
        <v>108</v>
      </c>
      <c r="G300" s="158">
        <v>132</v>
      </c>
      <c r="H300" s="158" t="s">
        <v>60</v>
      </c>
      <c r="I300" s="190">
        <v>34</v>
      </c>
      <c r="J300" s="190" t="s">
        <v>1024</v>
      </c>
      <c r="K300" s="190" t="s">
        <v>116</v>
      </c>
      <c r="L300" s="191">
        <v>6.5</v>
      </c>
      <c r="M300" s="191" t="s">
        <v>1024</v>
      </c>
      <c r="N300" s="191" t="s">
        <v>117</v>
      </c>
      <c r="O300" s="190" t="s">
        <v>1025</v>
      </c>
      <c r="P300" s="192">
        <v>64</v>
      </c>
      <c r="Q300" s="192" t="s">
        <v>1026</v>
      </c>
      <c r="R300" s="192" t="s">
        <v>389</v>
      </c>
      <c r="S300" s="193">
        <v>26</v>
      </c>
      <c r="T300" s="193" t="s">
        <v>1026</v>
      </c>
      <c r="U300" s="193" t="s">
        <v>117</v>
      </c>
      <c r="V300" s="201" t="s">
        <v>1027</v>
      </c>
      <c r="W300" s="196">
        <v>7.1</v>
      </c>
      <c r="X300" s="196" t="s">
        <v>1071</v>
      </c>
      <c r="Y300" s="196" t="s">
        <v>116</v>
      </c>
      <c r="Z300" s="197">
        <v>2.1</v>
      </c>
      <c r="AA300" s="197" t="s">
        <v>1071</v>
      </c>
      <c r="AB300" s="197" t="s">
        <v>117</v>
      </c>
      <c r="AC300" s="200" t="s">
        <v>1064</v>
      </c>
      <c r="AD300" s="202"/>
      <c r="AE300" s="174">
        <f>IF(ISNUMBER(VLOOKUP(A300,NotghiID!A:A,1,FALSE)),1,0)</f>
        <v>1</v>
      </c>
    </row>
    <row r="301" spans="1:31" x14ac:dyDescent="0.2">
      <c r="A301" s="159">
        <v>295</v>
      </c>
      <c r="B301" s="232" t="str">
        <f>IF(AND(A301&lt;&gt;"",ISNUMBER(A301)),VLOOKUP(A301,Studies!A:BR,2,FALSE),"")</f>
        <v>Kharasch 2011</v>
      </c>
      <c r="C301" s="232" t="str">
        <f>IF(AND(A301&lt;&gt;"",ISNUMBER(A301)),VLOOKUP(A301,Studies!A:BR,3,FALSE),"")</f>
        <v>https://www.ncbi.nlm.nih.gov/pubmed/21562488</v>
      </c>
      <c r="D301" s="232" t="str">
        <f>IF(AND(A301&lt;&gt;"",ISNUMBER(A301)),VLOOKUP(A301,Studies!A:BR,4,FALSE),"")</f>
        <v>iv with Perpetrator (Rifampicin @ 10 mg)</v>
      </c>
      <c r="E301" s="206" t="str">
        <f>IF(AND(A301&lt;&gt;"",ISNUMBER(A301)),VLOOKUP(A301,Studies!A:BR,5,FALSE),"")</f>
        <v>Midazolam</v>
      </c>
      <c r="F301" s="158">
        <v>108</v>
      </c>
      <c r="G301" s="158">
        <v>132</v>
      </c>
      <c r="H301" s="158" t="s">
        <v>60</v>
      </c>
      <c r="I301" s="190">
        <v>30.7</v>
      </c>
      <c r="J301" s="190" t="s">
        <v>1024</v>
      </c>
      <c r="K301" s="190" t="s">
        <v>116</v>
      </c>
      <c r="L301" s="191">
        <v>4.5</v>
      </c>
      <c r="M301" s="191" t="s">
        <v>1024</v>
      </c>
      <c r="N301" s="191" t="s">
        <v>117</v>
      </c>
      <c r="O301" s="190" t="s">
        <v>1025</v>
      </c>
      <c r="P301" s="192">
        <v>66</v>
      </c>
      <c r="Q301" s="192" t="s">
        <v>1026</v>
      </c>
      <c r="R301" s="192" t="s">
        <v>389</v>
      </c>
      <c r="S301" s="193">
        <v>19</v>
      </c>
      <c r="T301" s="193" t="s">
        <v>1026</v>
      </c>
      <c r="U301" s="193" t="s">
        <v>117</v>
      </c>
      <c r="V301" s="201" t="s">
        <v>1027</v>
      </c>
      <c r="W301" s="196">
        <v>7.6</v>
      </c>
      <c r="X301" s="196" t="s">
        <v>1071</v>
      </c>
      <c r="Y301" s="196" t="s">
        <v>116</v>
      </c>
      <c r="Z301" s="197">
        <v>2</v>
      </c>
      <c r="AA301" s="197" t="s">
        <v>1071</v>
      </c>
      <c r="AB301" s="197" t="s">
        <v>117</v>
      </c>
      <c r="AC301" s="200" t="s">
        <v>1064</v>
      </c>
      <c r="AD301" s="202"/>
      <c r="AE301" s="174">
        <f>IF(ISNUMBER(VLOOKUP(A301,NotghiID!A:A,1,FALSE)),1,0)</f>
        <v>1</v>
      </c>
    </row>
    <row r="302" spans="1:31" x14ac:dyDescent="0.2">
      <c r="A302" s="159">
        <v>296</v>
      </c>
      <c r="B302" s="232" t="str">
        <f>IF(AND(A302&lt;&gt;"",ISNUMBER(A302)),VLOOKUP(A302,Studies!A:BR,2,FALSE),"")</f>
        <v>Kharasch 2011</v>
      </c>
      <c r="C302" s="232" t="str">
        <f>IF(AND(A302&lt;&gt;"",ISNUMBER(A302)),VLOOKUP(A302,Studies!A:BR,3,FALSE),"")</f>
        <v>https://www.ncbi.nlm.nih.gov/pubmed/21562488</v>
      </c>
      <c r="D302" s="232" t="str">
        <f>IF(AND(A302&lt;&gt;"",ISNUMBER(A302)),VLOOKUP(A302,Studies!A:BR,4,FALSE),"")</f>
        <v>iv with Perpetrator (Rifampicin @ 25 mg)</v>
      </c>
      <c r="E302" s="206" t="str">
        <f>IF(AND(A302&lt;&gt;"",ISNUMBER(A302)),VLOOKUP(A302,Studies!A:BR,5,FALSE),"")</f>
        <v>Midazolam</v>
      </c>
      <c r="F302" s="158">
        <v>108</v>
      </c>
      <c r="G302" s="158">
        <v>132</v>
      </c>
      <c r="H302" s="158" t="s">
        <v>60</v>
      </c>
      <c r="I302" s="190">
        <v>25.2</v>
      </c>
      <c r="J302" s="190" t="s">
        <v>1024</v>
      </c>
      <c r="K302" s="190" t="s">
        <v>116</v>
      </c>
      <c r="L302" s="191">
        <v>3.6</v>
      </c>
      <c r="M302" s="191" t="s">
        <v>1024</v>
      </c>
      <c r="N302" s="191" t="s">
        <v>117</v>
      </c>
      <c r="O302" s="190" t="s">
        <v>1025</v>
      </c>
      <c r="P302" s="192">
        <v>52</v>
      </c>
      <c r="Q302" s="192" t="s">
        <v>1026</v>
      </c>
      <c r="R302" s="192" t="s">
        <v>389</v>
      </c>
      <c r="S302" s="193">
        <v>23</v>
      </c>
      <c r="T302" s="193" t="s">
        <v>1026</v>
      </c>
      <c r="U302" s="193" t="s">
        <v>117</v>
      </c>
      <c r="V302" s="201" t="s">
        <v>1027</v>
      </c>
      <c r="W302" s="196">
        <v>9.3000000000000007</v>
      </c>
      <c r="X302" s="196" t="s">
        <v>1071</v>
      </c>
      <c r="Y302" s="196" t="s">
        <v>116</v>
      </c>
      <c r="Z302" s="197">
        <v>1.8</v>
      </c>
      <c r="AA302" s="197" t="s">
        <v>1071</v>
      </c>
      <c r="AB302" s="197" t="s">
        <v>117</v>
      </c>
      <c r="AC302" s="200" t="s">
        <v>1064</v>
      </c>
      <c r="AD302" s="202"/>
      <c r="AE302" s="174">
        <f>IF(ISNUMBER(VLOOKUP(A302,NotghiID!A:A,1,FALSE)),1,0)</f>
        <v>1</v>
      </c>
    </row>
    <row r="303" spans="1:31" x14ac:dyDescent="0.2">
      <c r="A303" s="159">
        <v>297</v>
      </c>
      <c r="B303" s="232" t="str">
        <f>IF(AND(A303&lt;&gt;"",ISNUMBER(A303)),VLOOKUP(A303,Studies!A:BR,2,FALSE),"")</f>
        <v>Kharasch 2011</v>
      </c>
      <c r="C303" s="232" t="str">
        <f>IF(AND(A303&lt;&gt;"",ISNUMBER(A303)),VLOOKUP(A303,Studies!A:BR,3,FALSE),"")</f>
        <v>https://www.ncbi.nlm.nih.gov/pubmed/21562488</v>
      </c>
      <c r="D303" s="232" t="str">
        <f>IF(AND(A303&lt;&gt;"",ISNUMBER(A303)),VLOOKUP(A303,Studies!A:BR,4,FALSE),"")</f>
        <v>iv with Perpetrator (Rifampicin @ 75 mg)</v>
      </c>
      <c r="E303" s="206" t="str">
        <f>IF(AND(A303&lt;&gt;"",ISNUMBER(A303)),VLOOKUP(A303,Studies!A:BR,5,FALSE),"")</f>
        <v>Midazolam</v>
      </c>
      <c r="F303" s="158">
        <v>108</v>
      </c>
      <c r="G303" s="158">
        <v>132</v>
      </c>
      <c r="H303" s="158" t="s">
        <v>60</v>
      </c>
      <c r="I303" s="190">
        <v>24.1</v>
      </c>
      <c r="J303" s="190" t="s">
        <v>1024</v>
      </c>
      <c r="K303" s="190" t="s">
        <v>116</v>
      </c>
      <c r="L303" s="191">
        <v>4.5</v>
      </c>
      <c r="M303" s="191" t="s">
        <v>1024</v>
      </c>
      <c r="N303" s="191" t="s">
        <v>117</v>
      </c>
      <c r="O303" s="190" t="s">
        <v>1025</v>
      </c>
      <c r="P303" s="192">
        <v>82</v>
      </c>
      <c r="Q303" s="192" t="s">
        <v>1026</v>
      </c>
      <c r="R303" s="192" t="s">
        <v>389</v>
      </c>
      <c r="S303" s="193">
        <v>34</v>
      </c>
      <c r="T303" s="193" t="s">
        <v>1026</v>
      </c>
      <c r="U303" s="193" t="s">
        <v>117</v>
      </c>
      <c r="V303" s="201" t="s">
        <v>1027</v>
      </c>
      <c r="W303" s="196">
        <v>9.8000000000000007</v>
      </c>
      <c r="X303" s="196" t="s">
        <v>1071</v>
      </c>
      <c r="Y303" s="196" t="s">
        <v>116</v>
      </c>
      <c r="Z303" s="197">
        <v>1.6</v>
      </c>
      <c r="AA303" s="197" t="s">
        <v>1071</v>
      </c>
      <c r="AB303" s="197" t="s">
        <v>117</v>
      </c>
      <c r="AC303" s="200" t="s">
        <v>1064</v>
      </c>
      <c r="AD303" s="202"/>
      <c r="AE303" s="174">
        <f>IF(ISNUMBER(VLOOKUP(A303,NotghiID!A:A,1,FALSE)),1,0)</f>
        <v>1</v>
      </c>
    </row>
    <row r="304" spans="1:31" x14ac:dyDescent="0.2">
      <c r="A304" s="159">
        <v>298</v>
      </c>
      <c r="B304" s="232" t="str">
        <f>IF(AND(A304&lt;&gt;"",ISNUMBER(A304)),VLOOKUP(A304,Studies!A:BR,2,FALSE),"")</f>
        <v>Kharasch 2011</v>
      </c>
      <c r="C304" s="232" t="str">
        <f>IF(AND(A304&lt;&gt;"",ISNUMBER(A304)),VLOOKUP(A304,Studies!A:BR,3,FALSE),"")</f>
        <v>https://www.ncbi.nlm.nih.gov/pubmed/21562488</v>
      </c>
      <c r="D304" s="232" t="str">
        <f>IF(AND(A304&lt;&gt;"",ISNUMBER(A304)),VLOOKUP(A304,Studies!A:BR,4,FALSE),"")</f>
        <v>iv Control (Perpetrator Placebo)</v>
      </c>
      <c r="E304" s="206" t="str">
        <f>IF(AND(A304&lt;&gt;"",ISNUMBER(A304)),VLOOKUP(A304,Studies!A:BR,5,FALSE),"")</f>
        <v>Alfentanil</v>
      </c>
      <c r="F304" s="158">
        <v>0</v>
      </c>
      <c r="G304" s="158" t="s">
        <v>1023</v>
      </c>
      <c r="H304" s="158" t="s">
        <v>60</v>
      </c>
      <c r="I304" s="190">
        <v>78</v>
      </c>
      <c r="J304" s="190" t="s">
        <v>1024</v>
      </c>
      <c r="K304" s="190" t="s">
        <v>116</v>
      </c>
      <c r="L304" s="191">
        <v>30.7</v>
      </c>
      <c r="M304" s="191" t="s">
        <v>1024</v>
      </c>
      <c r="N304" s="191" t="s">
        <v>117</v>
      </c>
      <c r="O304" s="190" t="s">
        <v>1025</v>
      </c>
      <c r="P304" s="192">
        <v>102</v>
      </c>
      <c r="Q304" s="192" t="s">
        <v>1026</v>
      </c>
      <c r="R304" s="192" t="s">
        <v>389</v>
      </c>
      <c r="S304" s="193">
        <v>37</v>
      </c>
      <c r="T304" s="193" t="s">
        <v>1026</v>
      </c>
      <c r="U304" s="193" t="s">
        <v>117</v>
      </c>
      <c r="V304" s="201" t="s">
        <v>1027</v>
      </c>
      <c r="W304" s="196">
        <v>3.7</v>
      </c>
      <c r="X304" s="196" t="s">
        <v>1071</v>
      </c>
      <c r="Y304" s="196" t="s">
        <v>116</v>
      </c>
      <c r="Z304" s="197">
        <v>1.4</v>
      </c>
      <c r="AA304" s="197" t="s">
        <v>1071</v>
      </c>
      <c r="AB304" s="197" t="s">
        <v>117</v>
      </c>
      <c r="AC304" s="200" t="s">
        <v>1064</v>
      </c>
      <c r="AD304" s="202"/>
      <c r="AE304" s="174">
        <f>IF(ISNUMBER(VLOOKUP(A304,NotghiID!A:A,1,FALSE)),1,0)</f>
        <v>1</v>
      </c>
    </row>
    <row r="305" spans="1:31" x14ac:dyDescent="0.2">
      <c r="A305" s="159">
        <v>299</v>
      </c>
      <c r="B305" s="232" t="str">
        <f>IF(AND(A305&lt;&gt;"",ISNUMBER(A305)),VLOOKUP(A305,Studies!A:BR,2,FALSE),"")</f>
        <v>Kharasch 2011</v>
      </c>
      <c r="C305" s="232" t="str">
        <f>IF(AND(A305&lt;&gt;"",ISNUMBER(A305)),VLOOKUP(A305,Studies!A:BR,3,FALSE),"")</f>
        <v>https://www.ncbi.nlm.nih.gov/pubmed/21562488</v>
      </c>
      <c r="D305" s="232" t="str">
        <f>IF(AND(A305&lt;&gt;"",ISNUMBER(A305)),VLOOKUP(A305,Studies!A:BR,4,FALSE),"")</f>
        <v>iv with Perpetrator (Rifampicin @ 5 mg)</v>
      </c>
      <c r="E305" s="206" t="str">
        <f>IF(AND(A305&lt;&gt;"",ISNUMBER(A305)),VLOOKUP(A305,Studies!A:BR,5,FALSE),"")</f>
        <v>Alfentanil</v>
      </c>
      <c r="F305" s="158">
        <v>109</v>
      </c>
      <c r="G305" s="158">
        <v>133</v>
      </c>
      <c r="H305" s="158" t="s">
        <v>60</v>
      </c>
      <c r="I305" s="190">
        <v>61.7</v>
      </c>
      <c r="J305" s="190" t="s">
        <v>1024</v>
      </c>
      <c r="K305" s="190" t="s">
        <v>116</v>
      </c>
      <c r="L305" s="191">
        <v>19.399999999999999</v>
      </c>
      <c r="M305" s="191" t="s">
        <v>1024</v>
      </c>
      <c r="N305" s="191" t="s">
        <v>117</v>
      </c>
      <c r="O305" s="190" t="s">
        <v>1025</v>
      </c>
      <c r="P305" s="192">
        <v>106</v>
      </c>
      <c r="Q305" s="192" t="s">
        <v>1026</v>
      </c>
      <c r="R305" s="192" t="s">
        <v>389</v>
      </c>
      <c r="S305" s="193">
        <v>35</v>
      </c>
      <c r="T305" s="193" t="s">
        <v>1026</v>
      </c>
      <c r="U305" s="193" t="s">
        <v>117</v>
      </c>
      <c r="V305" s="201" t="s">
        <v>1027</v>
      </c>
      <c r="W305" s="196">
        <v>4.4000000000000004</v>
      </c>
      <c r="X305" s="196" t="s">
        <v>1071</v>
      </c>
      <c r="Y305" s="196" t="s">
        <v>116</v>
      </c>
      <c r="Z305" s="197">
        <v>1.2</v>
      </c>
      <c r="AA305" s="197" t="s">
        <v>1071</v>
      </c>
      <c r="AB305" s="197" t="s">
        <v>117</v>
      </c>
      <c r="AC305" s="200" t="s">
        <v>1064</v>
      </c>
      <c r="AD305" s="202"/>
      <c r="AE305" s="174">
        <f>IF(ISNUMBER(VLOOKUP(A305,NotghiID!A:A,1,FALSE)),1,0)</f>
        <v>1</v>
      </c>
    </row>
    <row r="306" spans="1:31" x14ac:dyDescent="0.2">
      <c r="A306" s="159">
        <v>300</v>
      </c>
      <c r="B306" s="232" t="str">
        <f>IF(AND(A306&lt;&gt;"",ISNUMBER(A306)),VLOOKUP(A306,Studies!A:BR,2,FALSE),"")</f>
        <v>Kharasch 2011</v>
      </c>
      <c r="C306" s="232" t="str">
        <f>IF(AND(A306&lt;&gt;"",ISNUMBER(A306)),VLOOKUP(A306,Studies!A:BR,3,FALSE),"")</f>
        <v>https://www.ncbi.nlm.nih.gov/pubmed/21562488</v>
      </c>
      <c r="D306" s="232" t="str">
        <f>IF(AND(A306&lt;&gt;"",ISNUMBER(A306)),VLOOKUP(A306,Studies!A:BR,4,FALSE),"")</f>
        <v>iv with Perpetrator (Rifampicin @ 10 mg)</v>
      </c>
      <c r="E306" s="206" t="str">
        <f>IF(AND(A306&lt;&gt;"",ISNUMBER(A306)),VLOOKUP(A306,Studies!A:BR,5,FALSE),"")</f>
        <v>Alfentanil</v>
      </c>
      <c r="F306" s="158">
        <v>109</v>
      </c>
      <c r="G306" s="158">
        <v>133</v>
      </c>
      <c r="H306" s="158" t="s">
        <v>60</v>
      </c>
      <c r="I306" s="190">
        <v>55.5</v>
      </c>
      <c r="J306" s="190" t="s">
        <v>1024</v>
      </c>
      <c r="K306" s="190" t="s">
        <v>116</v>
      </c>
      <c r="L306" s="191">
        <v>16.7</v>
      </c>
      <c r="M306" s="191" t="s">
        <v>1024</v>
      </c>
      <c r="N306" s="191" t="s">
        <v>117</v>
      </c>
      <c r="O306" s="190" t="s">
        <v>1025</v>
      </c>
      <c r="P306" s="192">
        <v>107</v>
      </c>
      <c r="Q306" s="192" t="s">
        <v>1026</v>
      </c>
      <c r="R306" s="192" t="s">
        <v>389</v>
      </c>
      <c r="S306" s="193">
        <v>23</v>
      </c>
      <c r="T306" s="193" t="s">
        <v>1026</v>
      </c>
      <c r="U306" s="193" t="s">
        <v>117</v>
      </c>
      <c r="V306" s="201" t="s">
        <v>1027</v>
      </c>
      <c r="W306" s="196">
        <v>4.9000000000000004</v>
      </c>
      <c r="X306" s="196" t="s">
        <v>1071</v>
      </c>
      <c r="Y306" s="196" t="s">
        <v>116</v>
      </c>
      <c r="Z306" s="197">
        <v>1.4</v>
      </c>
      <c r="AA306" s="197" t="s">
        <v>1071</v>
      </c>
      <c r="AB306" s="197" t="s">
        <v>117</v>
      </c>
      <c r="AC306" s="200" t="s">
        <v>1064</v>
      </c>
      <c r="AD306" s="202"/>
      <c r="AE306" s="174">
        <f>IF(ISNUMBER(VLOOKUP(A306,NotghiID!A:A,1,FALSE)),1,0)</f>
        <v>1</v>
      </c>
    </row>
    <row r="307" spans="1:31" x14ac:dyDescent="0.2">
      <c r="A307" s="159">
        <v>301</v>
      </c>
      <c r="B307" s="232" t="str">
        <f>IF(AND(A307&lt;&gt;"",ISNUMBER(A307)),VLOOKUP(A307,Studies!A:BR,2,FALSE),"")</f>
        <v>Kharasch 2011</v>
      </c>
      <c r="C307" s="232" t="str">
        <f>IF(AND(A307&lt;&gt;"",ISNUMBER(A307)),VLOOKUP(A307,Studies!A:BR,3,FALSE),"")</f>
        <v>https://www.ncbi.nlm.nih.gov/pubmed/21562488</v>
      </c>
      <c r="D307" s="232" t="str">
        <f>IF(AND(A307&lt;&gt;"",ISNUMBER(A307)),VLOOKUP(A307,Studies!A:BR,4,FALSE),"")</f>
        <v>iv with Perpetrator (Rifampicin @ 25 mg)</v>
      </c>
      <c r="E307" s="206" t="str">
        <f>IF(AND(A307&lt;&gt;"",ISNUMBER(A307)),VLOOKUP(A307,Studies!A:BR,5,FALSE),"")</f>
        <v>Alfentanil</v>
      </c>
      <c r="F307" s="158">
        <v>109</v>
      </c>
      <c r="G307" s="158">
        <v>133</v>
      </c>
      <c r="H307" s="158" t="s">
        <v>60</v>
      </c>
      <c r="I307" s="190">
        <v>44</v>
      </c>
      <c r="J307" s="190" t="s">
        <v>1024</v>
      </c>
      <c r="K307" s="190" t="s">
        <v>116</v>
      </c>
      <c r="L307" s="191">
        <v>15.9</v>
      </c>
      <c r="M307" s="191" t="s">
        <v>1024</v>
      </c>
      <c r="N307" s="191" t="s">
        <v>117</v>
      </c>
      <c r="O307" s="190" t="s">
        <v>1025</v>
      </c>
      <c r="P307" s="192">
        <v>102</v>
      </c>
      <c r="Q307" s="192" t="s">
        <v>1026</v>
      </c>
      <c r="R307" s="192" t="s">
        <v>389</v>
      </c>
      <c r="S307" s="193">
        <v>27</v>
      </c>
      <c r="T307" s="193" t="s">
        <v>1026</v>
      </c>
      <c r="U307" s="193" t="s">
        <v>117</v>
      </c>
      <c r="V307" s="201" t="s">
        <v>1027</v>
      </c>
      <c r="W307" s="196">
        <v>6.3</v>
      </c>
      <c r="X307" s="196" t="s">
        <v>1071</v>
      </c>
      <c r="Y307" s="196" t="s">
        <v>116</v>
      </c>
      <c r="Z307" s="197">
        <v>1.8</v>
      </c>
      <c r="AA307" s="197" t="s">
        <v>1071</v>
      </c>
      <c r="AB307" s="197" t="s">
        <v>117</v>
      </c>
      <c r="AC307" s="200" t="s">
        <v>1064</v>
      </c>
      <c r="AD307" s="202"/>
      <c r="AE307" s="174">
        <f>IF(ISNUMBER(VLOOKUP(A307,NotghiID!A:A,1,FALSE)),1,0)</f>
        <v>1</v>
      </c>
    </row>
    <row r="308" spans="1:31" x14ac:dyDescent="0.2">
      <c r="A308" s="159">
        <v>302</v>
      </c>
      <c r="B308" s="232" t="str">
        <f>IF(AND(A308&lt;&gt;"",ISNUMBER(A308)),VLOOKUP(A308,Studies!A:BR,2,FALSE),"")</f>
        <v>Kharasch 2011</v>
      </c>
      <c r="C308" s="232" t="str">
        <f>IF(AND(A308&lt;&gt;"",ISNUMBER(A308)),VLOOKUP(A308,Studies!A:BR,3,FALSE),"")</f>
        <v>https://www.ncbi.nlm.nih.gov/pubmed/21562488</v>
      </c>
      <c r="D308" s="232" t="str">
        <f>IF(AND(A308&lt;&gt;"",ISNUMBER(A308)),VLOOKUP(A308,Studies!A:BR,4,FALSE),"")</f>
        <v>iv with Perpetrator (Rifampicin @ 75 mg)</v>
      </c>
      <c r="E308" s="206" t="str">
        <f>IF(AND(A308&lt;&gt;"",ISNUMBER(A308)),VLOOKUP(A308,Studies!A:BR,5,FALSE),"")</f>
        <v>Alfentanil</v>
      </c>
      <c r="F308" s="158">
        <v>109</v>
      </c>
      <c r="G308" s="158">
        <v>133</v>
      </c>
      <c r="H308" s="158" t="s">
        <v>60</v>
      </c>
      <c r="I308" s="190">
        <v>37</v>
      </c>
      <c r="J308" s="190" t="s">
        <v>1024</v>
      </c>
      <c r="K308" s="190" t="s">
        <v>116</v>
      </c>
      <c r="L308" s="191">
        <v>37</v>
      </c>
      <c r="M308" s="191" t="s">
        <v>1024</v>
      </c>
      <c r="N308" s="191" t="s">
        <v>117</v>
      </c>
      <c r="O308" s="190" t="s">
        <v>1025</v>
      </c>
      <c r="P308" s="192">
        <v>105</v>
      </c>
      <c r="Q308" s="192" t="s">
        <v>1026</v>
      </c>
      <c r="R308" s="192" t="s">
        <v>389</v>
      </c>
      <c r="S308" s="193">
        <v>26</v>
      </c>
      <c r="T308" s="193" t="s">
        <v>1026</v>
      </c>
      <c r="U308" s="193" t="s">
        <v>117</v>
      </c>
      <c r="V308" s="201" t="s">
        <v>1027</v>
      </c>
      <c r="W308" s="196">
        <v>7.1</v>
      </c>
      <c r="X308" s="196" t="s">
        <v>1071</v>
      </c>
      <c r="Y308" s="196" t="s">
        <v>116</v>
      </c>
      <c r="Z308" s="197">
        <v>1.4</v>
      </c>
      <c r="AA308" s="197" t="s">
        <v>1071</v>
      </c>
      <c r="AB308" s="197" t="s">
        <v>117</v>
      </c>
      <c r="AC308" s="200" t="s">
        <v>1064</v>
      </c>
      <c r="AD308" s="202"/>
      <c r="AE308" s="174">
        <f>IF(ISNUMBER(VLOOKUP(A308,NotghiID!A:A,1,FALSE)),1,0)</f>
        <v>1</v>
      </c>
    </row>
    <row r="309" spans="1:31" x14ac:dyDescent="0.2">
      <c r="A309" s="159">
        <v>303</v>
      </c>
      <c r="B309" s="232" t="str">
        <f>IF(AND(A309&lt;&gt;"",ISNUMBER(A309)),VLOOKUP(A309,Studies!A:BR,2,FALSE),"")</f>
        <v>Kharasch 2011</v>
      </c>
      <c r="C309" s="232" t="str">
        <f>IF(AND(A309&lt;&gt;"",ISNUMBER(A309)),VLOOKUP(A309,Studies!A:BR,3,FALSE),"")</f>
        <v>https://www.ncbi.nlm.nih.gov/pubmed/21562488</v>
      </c>
      <c r="D309" s="232" t="str">
        <f>IF(AND(A309&lt;&gt;"",ISNUMBER(A309)),VLOOKUP(A309,Studies!A:BR,4,FALSE),"")</f>
        <v>po Control (Perpetrator Placebo)</v>
      </c>
      <c r="E309" s="206" t="str">
        <f>IF(AND(A309&lt;&gt;"",ISNUMBER(A309)),VLOOKUP(A309,Studies!A:BR,5,FALSE),"")</f>
        <v>Midazolam</v>
      </c>
      <c r="F309" s="158">
        <v>0</v>
      </c>
      <c r="G309" s="158" t="s">
        <v>1023</v>
      </c>
      <c r="H309" s="158" t="s">
        <v>60</v>
      </c>
      <c r="I309" s="190">
        <v>35</v>
      </c>
      <c r="J309" s="190" t="s">
        <v>1024</v>
      </c>
      <c r="K309" s="190" t="s">
        <v>116</v>
      </c>
      <c r="L309" s="191">
        <v>12.8</v>
      </c>
      <c r="M309" s="191" t="s">
        <v>1024</v>
      </c>
      <c r="N309" s="191" t="s">
        <v>117</v>
      </c>
      <c r="O309" s="190" t="s">
        <v>1025</v>
      </c>
      <c r="P309" s="192">
        <v>15</v>
      </c>
      <c r="Q309" s="192" t="s">
        <v>1026</v>
      </c>
      <c r="R309" s="192" t="s">
        <v>389</v>
      </c>
      <c r="S309" s="193">
        <v>5</v>
      </c>
      <c r="T309" s="193" t="s">
        <v>1026</v>
      </c>
      <c r="U309" s="193" t="s">
        <v>117</v>
      </c>
      <c r="V309" s="201" t="s">
        <v>1027</v>
      </c>
      <c r="W309" s="196">
        <v>23</v>
      </c>
      <c r="X309" s="196" t="s">
        <v>1071</v>
      </c>
      <c r="Y309" s="196" t="s">
        <v>116</v>
      </c>
      <c r="Z309" s="197">
        <v>10</v>
      </c>
      <c r="AA309" s="197" t="s">
        <v>1071</v>
      </c>
      <c r="AB309" s="197" t="s">
        <v>117</v>
      </c>
      <c r="AC309" s="200" t="s">
        <v>1033</v>
      </c>
      <c r="AD309" s="202"/>
      <c r="AE309" s="174">
        <f>IF(ISNUMBER(VLOOKUP(A309,NotghiID!A:A,1,FALSE)),1,0)</f>
        <v>1</v>
      </c>
    </row>
    <row r="310" spans="1:31" x14ac:dyDescent="0.2">
      <c r="A310" s="159">
        <v>304</v>
      </c>
      <c r="B310" s="232" t="str">
        <f>IF(AND(A310&lt;&gt;"",ISNUMBER(A310)),VLOOKUP(A310,Studies!A:BR,2,FALSE),"")</f>
        <v>Kharasch 2011</v>
      </c>
      <c r="C310" s="232" t="str">
        <f>IF(AND(A310&lt;&gt;"",ISNUMBER(A310)),VLOOKUP(A310,Studies!A:BR,3,FALSE),"")</f>
        <v>https://www.ncbi.nlm.nih.gov/pubmed/21562488</v>
      </c>
      <c r="D310" s="232" t="str">
        <f>IF(AND(A310&lt;&gt;"",ISNUMBER(A310)),VLOOKUP(A310,Studies!A:BR,4,FALSE),"")</f>
        <v>po with Perpetrator (Rifampicin @ 5 mg)</v>
      </c>
      <c r="E310" s="206" t="str">
        <f>IF(AND(A310&lt;&gt;"",ISNUMBER(A310)),VLOOKUP(A310,Studies!A:BR,5,FALSE),"")</f>
        <v>Midazolam</v>
      </c>
      <c r="F310" s="158">
        <v>132</v>
      </c>
      <c r="G310" s="158" t="s">
        <v>1023</v>
      </c>
      <c r="H310" s="158" t="s">
        <v>60</v>
      </c>
      <c r="I310" s="190">
        <v>26.8</v>
      </c>
      <c r="J310" s="190" t="s">
        <v>1024</v>
      </c>
      <c r="K310" s="190" t="s">
        <v>116</v>
      </c>
      <c r="L310" s="191">
        <v>8.4</v>
      </c>
      <c r="M310" s="191" t="s">
        <v>1024</v>
      </c>
      <c r="N310" s="191" t="s">
        <v>117</v>
      </c>
      <c r="O310" s="190" t="s">
        <v>1025</v>
      </c>
      <c r="P310" s="192">
        <v>12</v>
      </c>
      <c r="Q310" s="192" t="s">
        <v>1026</v>
      </c>
      <c r="R310" s="192" t="s">
        <v>389</v>
      </c>
      <c r="S310" s="193">
        <v>4</v>
      </c>
      <c r="T310" s="193" t="s">
        <v>1026</v>
      </c>
      <c r="U310" s="193" t="s">
        <v>117</v>
      </c>
      <c r="V310" s="201" t="s">
        <v>1027</v>
      </c>
      <c r="W310" s="196">
        <v>28.4</v>
      </c>
      <c r="X310" s="196" t="s">
        <v>1071</v>
      </c>
      <c r="Y310" s="196" t="s">
        <v>116</v>
      </c>
      <c r="Z310" s="197">
        <v>10</v>
      </c>
      <c r="AA310" s="197" t="s">
        <v>1071</v>
      </c>
      <c r="AB310" s="197" t="s">
        <v>117</v>
      </c>
      <c r="AC310" s="200" t="s">
        <v>1033</v>
      </c>
      <c r="AD310" s="202"/>
      <c r="AE310" s="174">
        <f>IF(ISNUMBER(VLOOKUP(A310,NotghiID!A:A,1,FALSE)),1,0)</f>
        <v>1</v>
      </c>
    </row>
    <row r="311" spans="1:31" x14ac:dyDescent="0.2">
      <c r="A311" s="159">
        <v>305</v>
      </c>
      <c r="B311" s="232" t="str">
        <f>IF(AND(A311&lt;&gt;"",ISNUMBER(A311)),VLOOKUP(A311,Studies!A:BR,2,FALSE),"")</f>
        <v>Kharasch 2011</v>
      </c>
      <c r="C311" s="232" t="str">
        <f>IF(AND(A311&lt;&gt;"",ISNUMBER(A311)),VLOOKUP(A311,Studies!A:BR,3,FALSE),"")</f>
        <v>https://www.ncbi.nlm.nih.gov/pubmed/21562488</v>
      </c>
      <c r="D311" s="232" t="str">
        <f>IF(AND(A311&lt;&gt;"",ISNUMBER(A311)),VLOOKUP(A311,Studies!A:BR,4,FALSE),"")</f>
        <v>po with Perpetrator (Rifampicin @ 10 mg)</v>
      </c>
      <c r="E311" s="206" t="str">
        <f>IF(AND(A311&lt;&gt;"",ISNUMBER(A311)),VLOOKUP(A311,Studies!A:BR,5,FALSE),"")</f>
        <v>Midazolam</v>
      </c>
      <c r="F311" s="158">
        <v>132</v>
      </c>
      <c r="G311" s="158" t="s">
        <v>1023</v>
      </c>
      <c r="H311" s="158" t="s">
        <v>60</v>
      </c>
      <c r="I311" s="190">
        <v>22.7</v>
      </c>
      <c r="J311" s="190" t="s">
        <v>1024</v>
      </c>
      <c r="K311" s="190" t="s">
        <v>116</v>
      </c>
      <c r="L311" s="191">
        <v>6.9</v>
      </c>
      <c r="M311" s="191" t="s">
        <v>1024</v>
      </c>
      <c r="N311" s="191" t="s">
        <v>117</v>
      </c>
      <c r="O311" s="190" t="s">
        <v>1025</v>
      </c>
      <c r="P311" s="192">
        <v>14</v>
      </c>
      <c r="Q311" s="192" t="s">
        <v>1026</v>
      </c>
      <c r="R311" s="192" t="s">
        <v>389</v>
      </c>
      <c r="S311" s="193">
        <v>6</v>
      </c>
      <c r="T311" s="193" t="s">
        <v>1026</v>
      </c>
      <c r="U311" s="193" t="s">
        <v>117</v>
      </c>
      <c r="V311" s="201" t="s">
        <v>1027</v>
      </c>
      <c r="W311" s="196">
        <v>33.4</v>
      </c>
      <c r="X311" s="196" t="s">
        <v>1071</v>
      </c>
      <c r="Y311" s="196" t="s">
        <v>116</v>
      </c>
      <c r="Z311" s="197">
        <v>12.8</v>
      </c>
      <c r="AA311" s="197" t="s">
        <v>1071</v>
      </c>
      <c r="AB311" s="197" t="s">
        <v>117</v>
      </c>
      <c r="AC311" s="200" t="s">
        <v>1033</v>
      </c>
      <c r="AD311" s="202"/>
      <c r="AE311" s="174">
        <f>IF(ISNUMBER(VLOOKUP(A311,NotghiID!A:A,1,FALSE)),1,0)</f>
        <v>1</v>
      </c>
    </row>
    <row r="312" spans="1:31" x14ac:dyDescent="0.2">
      <c r="A312" s="159">
        <v>306</v>
      </c>
      <c r="B312" s="232" t="str">
        <f>IF(AND(A312&lt;&gt;"",ISNUMBER(A312)),VLOOKUP(A312,Studies!A:BR,2,FALSE),"")</f>
        <v>Kharasch 2011</v>
      </c>
      <c r="C312" s="232" t="str">
        <f>IF(AND(A312&lt;&gt;"",ISNUMBER(A312)),VLOOKUP(A312,Studies!A:BR,3,FALSE),"")</f>
        <v>https://www.ncbi.nlm.nih.gov/pubmed/21562488</v>
      </c>
      <c r="D312" s="232" t="str">
        <f>IF(AND(A312&lt;&gt;"",ISNUMBER(A312)),VLOOKUP(A312,Studies!A:BR,4,FALSE),"")</f>
        <v>po with Perpetrator (Rifampicin @ 25 mg)</v>
      </c>
      <c r="E312" s="206" t="str">
        <f>IF(AND(A312&lt;&gt;"",ISNUMBER(A312)),VLOOKUP(A312,Studies!A:BR,5,FALSE),"")</f>
        <v>Midazolam</v>
      </c>
      <c r="F312" s="158">
        <v>132</v>
      </c>
      <c r="G312" s="158" t="s">
        <v>1023</v>
      </c>
      <c r="H312" s="158" t="s">
        <v>60</v>
      </c>
      <c r="I312" s="190">
        <v>13.3</v>
      </c>
      <c r="J312" s="190" t="s">
        <v>1024</v>
      </c>
      <c r="K312" s="190" t="s">
        <v>116</v>
      </c>
      <c r="L312" s="191">
        <v>3.3</v>
      </c>
      <c r="M312" s="191" t="s">
        <v>1024</v>
      </c>
      <c r="N312" s="191" t="s">
        <v>117</v>
      </c>
      <c r="O312" s="190" t="s">
        <v>1025</v>
      </c>
      <c r="P312" s="192">
        <v>7.6</v>
      </c>
      <c r="Q312" s="192" t="s">
        <v>1026</v>
      </c>
      <c r="R312" s="192" t="s">
        <v>389</v>
      </c>
      <c r="S312" s="193">
        <v>3</v>
      </c>
      <c r="T312" s="193" t="s">
        <v>1026</v>
      </c>
      <c r="U312" s="193" t="s">
        <v>117</v>
      </c>
      <c r="V312" s="201" t="s">
        <v>1027</v>
      </c>
      <c r="W312" s="196">
        <v>56.5</v>
      </c>
      <c r="X312" s="196" t="s">
        <v>1071</v>
      </c>
      <c r="Y312" s="196" t="s">
        <v>116</v>
      </c>
      <c r="Z312" s="197">
        <v>19.399999999999999</v>
      </c>
      <c r="AA312" s="197" t="s">
        <v>1071</v>
      </c>
      <c r="AB312" s="197" t="s">
        <v>117</v>
      </c>
      <c r="AC312" s="200" t="s">
        <v>1033</v>
      </c>
      <c r="AD312" s="202"/>
      <c r="AE312" s="174">
        <f>IF(ISNUMBER(VLOOKUP(A312,NotghiID!A:A,1,FALSE)),1,0)</f>
        <v>1</v>
      </c>
    </row>
    <row r="313" spans="1:31" x14ac:dyDescent="0.2">
      <c r="A313" s="159">
        <v>307</v>
      </c>
      <c r="B313" s="232" t="str">
        <f>IF(AND(A313&lt;&gt;"",ISNUMBER(A313)),VLOOKUP(A313,Studies!A:BR,2,FALSE),"")</f>
        <v>Kharasch 2011</v>
      </c>
      <c r="C313" s="232" t="str">
        <f>IF(AND(A313&lt;&gt;"",ISNUMBER(A313)),VLOOKUP(A313,Studies!A:BR,3,FALSE),"")</f>
        <v>https://www.ncbi.nlm.nih.gov/pubmed/21562488</v>
      </c>
      <c r="D313" s="232" t="str">
        <f>IF(AND(A313&lt;&gt;"",ISNUMBER(A313)),VLOOKUP(A313,Studies!A:BR,4,FALSE),"")</f>
        <v>po with Perpetrator (Rifampicin @ 75 mg)</v>
      </c>
      <c r="E313" s="206" t="str">
        <f>IF(AND(A313&lt;&gt;"",ISNUMBER(A313)),VLOOKUP(A313,Studies!A:BR,5,FALSE),"")</f>
        <v>Midazolam</v>
      </c>
      <c r="F313" s="158">
        <v>132</v>
      </c>
      <c r="G313" s="158" t="s">
        <v>1023</v>
      </c>
      <c r="H313" s="158" t="s">
        <v>60</v>
      </c>
      <c r="I313" s="190">
        <v>8.1</v>
      </c>
      <c r="J313" s="190" t="s">
        <v>1024</v>
      </c>
      <c r="K313" s="190" t="s">
        <v>116</v>
      </c>
      <c r="L313" s="191">
        <v>1.9</v>
      </c>
      <c r="M313" s="191" t="s">
        <v>1024</v>
      </c>
      <c r="N313" s="191" t="s">
        <v>117</v>
      </c>
      <c r="O313" s="190" t="s">
        <v>1025</v>
      </c>
      <c r="P313" s="192">
        <v>5.0999999999999996</v>
      </c>
      <c r="Q313" s="192" t="s">
        <v>1026</v>
      </c>
      <c r="R313" s="192" t="s">
        <v>389</v>
      </c>
      <c r="S313" s="193">
        <v>1.9</v>
      </c>
      <c r="T313" s="193" t="s">
        <v>1026</v>
      </c>
      <c r="U313" s="193" t="s">
        <v>117</v>
      </c>
      <c r="V313" s="201" t="s">
        <v>1027</v>
      </c>
      <c r="W313" s="196">
        <v>95.5</v>
      </c>
      <c r="X313" s="196" t="s">
        <v>1071</v>
      </c>
      <c r="Y313" s="196" t="s">
        <v>116</v>
      </c>
      <c r="Z313" s="197">
        <v>35.799999999999997</v>
      </c>
      <c r="AA313" s="197" t="s">
        <v>1071</v>
      </c>
      <c r="AB313" s="197" t="s">
        <v>117</v>
      </c>
      <c r="AC313" s="200" t="s">
        <v>1033</v>
      </c>
      <c r="AD313" s="202"/>
      <c r="AE313" s="174">
        <f>IF(ISNUMBER(VLOOKUP(A313,NotghiID!A:A,1,FALSE)),1,0)</f>
        <v>1</v>
      </c>
    </row>
    <row r="314" spans="1:31" x14ac:dyDescent="0.2">
      <c r="A314" s="159">
        <v>308</v>
      </c>
      <c r="B314" s="232" t="str">
        <f>IF(AND(A314&lt;&gt;"",ISNUMBER(A314)),VLOOKUP(A314,Studies!A:BR,2,FALSE),"")</f>
        <v>Kharasch 2011</v>
      </c>
      <c r="C314" s="232" t="str">
        <f>IF(AND(A314&lt;&gt;"",ISNUMBER(A314)),VLOOKUP(A314,Studies!A:BR,3,FALSE),"")</f>
        <v>https://www.ncbi.nlm.nih.gov/pubmed/21562488</v>
      </c>
      <c r="D314" s="232" t="str">
        <f>IF(AND(A314&lt;&gt;"",ISNUMBER(A314)),VLOOKUP(A314,Studies!A:BR,4,FALSE),"")</f>
        <v>po Control (Perpetrator Placebo)</v>
      </c>
      <c r="E314" s="206" t="str">
        <f>IF(AND(A314&lt;&gt;"",ISNUMBER(A314)),VLOOKUP(A314,Studies!A:BR,5,FALSE),"")</f>
        <v>Alfentanil</v>
      </c>
      <c r="F314" s="158">
        <v>0</v>
      </c>
      <c r="G314" s="158" t="s">
        <v>1023</v>
      </c>
      <c r="H314" s="158" t="s">
        <v>60</v>
      </c>
      <c r="I314" s="190">
        <v>146</v>
      </c>
      <c r="J314" s="190" t="s">
        <v>1024</v>
      </c>
      <c r="K314" s="190" t="s">
        <v>116</v>
      </c>
      <c r="L314" s="191">
        <v>84</v>
      </c>
      <c r="M314" s="191" t="s">
        <v>1024</v>
      </c>
      <c r="N314" s="191" t="s">
        <v>117</v>
      </c>
      <c r="O314" s="190" t="s">
        <v>1025</v>
      </c>
      <c r="P314" s="192">
        <v>51</v>
      </c>
      <c r="Q314" s="192" t="s">
        <v>1026</v>
      </c>
      <c r="R314" s="192" t="s">
        <v>389</v>
      </c>
      <c r="S314" s="193">
        <v>21</v>
      </c>
      <c r="T314" s="193" t="s">
        <v>1026</v>
      </c>
      <c r="U314" s="193" t="s">
        <v>117</v>
      </c>
      <c r="V314" s="201" t="s">
        <v>1027</v>
      </c>
      <c r="W314" s="196">
        <v>11.1</v>
      </c>
      <c r="X314" s="196" t="s">
        <v>1071</v>
      </c>
      <c r="Y314" s="196" t="s">
        <v>116</v>
      </c>
      <c r="Z314" s="197">
        <v>5.7</v>
      </c>
      <c r="AA314" s="197" t="s">
        <v>1071</v>
      </c>
      <c r="AB314" s="197" t="s">
        <v>117</v>
      </c>
      <c r="AC314" s="200" t="s">
        <v>1033</v>
      </c>
      <c r="AD314" s="202"/>
      <c r="AE314" s="174">
        <f>IF(ISNUMBER(VLOOKUP(A314,NotghiID!A:A,1,FALSE)),1,0)</f>
        <v>1</v>
      </c>
    </row>
    <row r="315" spans="1:31" x14ac:dyDescent="0.2">
      <c r="A315" s="159">
        <v>309</v>
      </c>
      <c r="B315" s="232" t="str">
        <f>IF(AND(A315&lt;&gt;"",ISNUMBER(A315)),VLOOKUP(A315,Studies!A:BR,2,FALSE),"")</f>
        <v>Kharasch 2011</v>
      </c>
      <c r="C315" s="232" t="str">
        <f>IF(AND(A315&lt;&gt;"",ISNUMBER(A315)),VLOOKUP(A315,Studies!A:BR,3,FALSE),"")</f>
        <v>https://www.ncbi.nlm.nih.gov/pubmed/21562488</v>
      </c>
      <c r="D315" s="232" t="str">
        <f>IF(AND(A315&lt;&gt;"",ISNUMBER(A315)),VLOOKUP(A315,Studies!A:BR,4,FALSE),"")</f>
        <v>po with Perpetrator (Rifampicin @ 5 mg)</v>
      </c>
      <c r="E315" s="206" t="str">
        <f>IF(AND(A315&lt;&gt;"",ISNUMBER(A315)),VLOOKUP(A315,Studies!A:BR,5,FALSE),"")</f>
        <v>Alfentanil</v>
      </c>
      <c r="F315" s="158">
        <v>133</v>
      </c>
      <c r="G315" s="158" t="s">
        <v>1023</v>
      </c>
      <c r="H315" s="158" t="s">
        <v>60</v>
      </c>
      <c r="I315" s="190">
        <v>101</v>
      </c>
      <c r="J315" s="190" t="s">
        <v>1024</v>
      </c>
      <c r="K315" s="190" t="s">
        <v>116</v>
      </c>
      <c r="L315" s="191">
        <v>42</v>
      </c>
      <c r="M315" s="191" t="s">
        <v>1024</v>
      </c>
      <c r="N315" s="191" t="s">
        <v>117</v>
      </c>
      <c r="O315" s="190" t="s">
        <v>1025</v>
      </c>
      <c r="P315" s="192">
        <v>44</v>
      </c>
      <c r="Q315" s="192" t="s">
        <v>1026</v>
      </c>
      <c r="R315" s="192" t="s">
        <v>389</v>
      </c>
      <c r="S315" s="193">
        <v>15</v>
      </c>
      <c r="T315" s="193" t="s">
        <v>1026</v>
      </c>
      <c r="U315" s="193" t="s">
        <v>117</v>
      </c>
      <c r="V315" s="201" t="s">
        <v>1027</v>
      </c>
      <c r="W315" s="196">
        <v>14.8</v>
      </c>
      <c r="X315" s="196" t="s">
        <v>1071</v>
      </c>
      <c r="Y315" s="196" t="s">
        <v>116</v>
      </c>
      <c r="Z315" s="197">
        <v>7.2</v>
      </c>
      <c r="AA315" s="197" t="s">
        <v>1071</v>
      </c>
      <c r="AB315" s="197" t="s">
        <v>117</v>
      </c>
      <c r="AC315" s="200" t="s">
        <v>1033</v>
      </c>
      <c r="AD315" s="202"/>
      <c r="AE315" s="174">
        <f>IF(ISNUMBER(VLOOKUP(A315,NotghiID!A:A,1,FALSE)),1,0)</f>
        <v>1</v>
      </c>
    </row>
    <row r="316" spans="1:31" x14ac:dyDescent="0.2">
      <c r="A316" s="159">
        <v>310</v>
      </c>
      <c r="B316" s="232" t="str">
        <f>IF(AND(A316&lt;&gt;"",ISNUMBER(A316)),VLOOKUP(A316,Studies!A:BR,2,FALSE),"")</f>
        <v>Kharasch 2011</v>
      </c>
      <c r="C316" s="232" t="str">
        <f>IF(AND(A316&lt;&gt;"",ISNUMBER(A316)),VLOOKUP(A316,Studies!A:BR,3,FALSE),"")</f>
        <v>https://www.ncbi.nlm.nih.gov/pubmed/21562488</v>
      </c>
      <c r="D316" s="232" t="str">
        <f>IF(AND(A316&lt;&gt;"",ISNUMBER(A316)),VLOOKUP(A316,Studies!A:BR,4,FALSE),"")</f>
        <v>po with Perpetrator (Rifampicin @ 10 mg)</v>
      </c>
      <c r="E316" s="206" t="str">
        <f>IF(AND(A316&lt;&gt;"",ISNUMBER(A316)),VLOOKUP(A316,Studies!A:BR,5,FALSE),"")</f>
        <v>Alfentanil</v>
      </c>
      <c r="F316" s="158">
        <v>133</v>
      </c>
      <c r="G316" s="158" t="s">
        <v>1023</v>
      </c>
      <c r="H316" s="158" t="s">
        <v>60</v>
      </c>
      <c r="I316" s="190">
        <v>81</v>
      </c>
      <c r="J316" s="190" t="s">
        <v>1024</v>
      </c>
      <c r="K316" s="190" t="s">
        <v>116</v>
      </c>
      <c r="L316" s="191">
        <v>41</v>
      </c>
      <c r="M316" s="191" t="s">
        <v>1024</v>
      </c>
      <c r="N316" s="191" t="s">
        <v>117</v>
      </c>
      <c r="O316" s="190" t="s">
        <v>1025</v>
      </c>
      <c r="P316" s="192">
        <v>44</v>
      </c>
      <c r="Q316" s="192" t="s">
        <v>1026</v>
      </c>
      <c r="R316" s="192" t="s">
        <v>389</v>
      </c>
      <c r="S316" s="193">
        <v>17</v>
      </c>
      <c r="T316" s="193" t="s">
        <v>1026</v>
      </c>
      <c r="U316" s="193" t="s">
        <v>117</v>
      </c>
      <c r="V316" s="201" t="s">
        <v>1027</v>
      </c>
      <c r="W316" s="196">
        <v>19.7</v>
      </c>
      <c r="X316" s="196" t="s">
        <v>1071</v>
      </c>
      <c r="Y316" s="196" t="s">
        <v>116</v>
      </c>
      <c r="Z316" s="197">
        <v>11.6</v>
      </c>
      <c r="AA316" s="197" t="s">
        <v>1071</v>
      </c>
      <c r="AB316" s="197" t="s">
        <v>117</v>
      </c>
      <c r="AC316" s="200" t="s">
        <v>1033</v>
      </c>
      <c r="AD316" s="202"/>
      <c r="AE316" s="174">
        <f>IF(ISNUMBER(VLOOKUP(A316,NotghiID!A:A,1,FALSE)),1,0)</f>
        <v>1</v>
      </c>
    </row>
    <row r="317" spans="1:31" x14ac:dyDescent="0.2">
      <c r="A317" s="159">
        <v>311</v>
      </c>
      <c r="B317" s="232" t="str">
        <f>IF(AND(A317&lt;&gt;"",ISNUMBER(A317)),VLOOKUP(A317,Studies!A:BR,2,FALSE),"")</f>
        <v>Kharasch 2011</v>
      </c>
      <c r="C317" s="232" t="str">
        <f>IF(AND(A317&lt;&gt;"",ISNUMBER(A317)),VLOOKUP(A317,Studies!A:BR,3,FALSE),"")</f>
        <v>https://www.ncbi.nlm.nih.gov/pubmed/21562488</v>
      </c>
      <c r="D317" s="232" t="str">
        <f>IF(AND(A317&lt;&gt;"",ISNUMBER(A317)),VLOOKUP(A317,Studies!A:BR,4,FALSE),"")</f>
        <v>po with Perpetrator (Rifampicin @ 25 mg)</v>
      </c>
      <c r="E317" s="206" t="str">
        <f>IF(AND(A317&lt;&gt;"",ISNUMBER(A317)),VLOOKUP(A317,Studies!A:BR,5,FALSE),"")</f>
        <v>Alfentanil</v>
      </c>
      <c r="F317" s="158">
        <v>133</v>
      </c>
      <c r="G317" s="158" t="s">
        <v>1023</v>
      </c>
      <c r="H317" s="158" t="s">
        <v>60</v>
      </c>
      <c r="I317" s="190">
        <v>43</v>
      </c>
      <c r="J317" s="190" t="s">
        <v>1024</v>
      </c>
      <c r="K317" s="190" t="s">
        <v>116</v>
      </c>
      <c r="L317" s="191">
        <v>27</v>
      </c>
      <c r="M317" s="191" t="s">
        <v>1024</v>
      </c>
      <c r="N317" s="191" t="s">
        <v>117</v>
      </c>
      <c r="O317" s="190" t="s">
        <v>1025</v>
      </c>
      <c r="P317" s="192">
        <v>25</v>
      </c>
      <c r="Q317" s="192" t="s">
        <v>1026</v>
      </c>
      <c r="R317" s="192" t="s">
        <v>389</v>
      </c>
      <c r="S317" s="193">
        <v>12</v>
      </c>
      <c r="T317" s="193" t="s">
        <v>1026</v>
      </c>
      <c r="U317" s="193" t="s">
        <v>117</v>
      </c>
      <c r="V317" s="201" t="s">
        <v>1027</v>
      </c>
      <c r="W317" s="196">
        <v>41.9</v>
      </c>
      <c r="X317" s="196" t="s">
        <v>1071</v>
      </c>
      <c r="Y317" s="196" t="s">
        <v>116</v>
      </c>
      <c r="Z317" s="197">
        <v>28.7</v>
      </c>
      <c r="AA317" s="197" t="s">
        <v>1071</v>
      </c>
      <c r="AB317" s="197" t="s">
        <v>117</v>
      </c>
      <c r="AC317" s="200" t="s">
        <v>1033</v>
      </c>
      <c r="AD317" s="202"/>
      <c r="AE317" s="174">
        <f>IF(ISNUMBER(VLOOKUP(A317,NotghiID!A:A,1,FALSE)),1,0)</f>
        <v>1</v>
      </c>
    </row>
    <row r="318" spans="1:31" x14ac:dyDescent="0.2">
      <c r="A318" s="213">
        <v>312</v>
      </c>
      <c r="B318" s="232" t="str">
        <f>IF(AND(A318&lt;&gt;"",ISNUMBER(A318)),VLOOKUP(A318,Studies!A:BR,2,FALSE),"")</f>
        <v>Kharasch 2011</v>
      </c>
      <c r="C318" s="232" t="str">
        <f>IF(AND(A318&lt;&gt;"",ISNUMBER(A318)),VLOOKUP(A318,Studies!A:BR,3,FALSE),"")</f>
        <v>https://www.ncbi.nlm.nih.gov/pubmed/21562488</v>
      </c>
      <c r="D318" s="232" t="str">
        <f>IF(AND(A318&lt;&gt;"",ISNUMBER(A318)),VLOOKUP(A318,Studies!A:BR,4,FALSE),"")</f>
        <v>po with Perpetrator (Rifampicin @ 75 mg)</v>
      </c>
      <c r="E318" s="206" t="str">
        <f>IF(AND(A318&lt;&gt;"",ISNUMBER(A318)),VLOOKUP(A318,Studies!A:BR,5,FALSE),"")</f>
        <v>Alfentanil</v>
      </c>
      <c r="F318" s="158">
        <v>133</v>
      </c>
      <c r="G318" s="158" t="s">
        <v>1023</v>
      </c>
      <c r="H318" s="158" t="s">
        <v>60</v>
      </c>
      <c r="I318" s="190">
        <v>18</v>
      </c>
      <c r="J318" s="190" t="s">
        <v>1024</v>
      </c>
      <c r="K318" s="190" t="s">
        <v>116</v>
      </c>
      <c r="L318" s="191">
        <v>13</v>
      </c>
      <c r="M318" s="191" t="s">
        <v>1024</v>
      </c>
      <c r="N318" s="191" t="s">
        <v>117</v>
      </c>
      <c r="O318" s="190" t="s">
        <v>1025</v>
      </c>
      <c r="P318" s="192">
        <v>13</v>
      </c>
      <c r="Q318" s="192" t="s">
        <v>1026</v>
      </c>
      <c r="R318" s="192" t="s">
        <v>389</v>
      </c>
      <c r="S318" s="193">
        <v>10</v>
      </c>
      <c r="T318" s="193" t="s">
        <v>1026</v>
      </c>
      <c r="U318" s="193" t="s">
        <v>117</v>
      </c>
      <c r="V318" s="201" t="s">
        <v>1027</v>
      </c>
      <c r="W318" s="196">
        <v>91.7</v>
      </c>
      <c r="X318" s="196" t="s">
        <v>1071</v>
      </c>
      <c r="Y318" s="196" t="s">
        <v>116</v>
      </c>
      <c r="Z318" s="197">
        <v>44.6</v>
      </c>
      <c r="AA318" s="197" t="s">
        <v>1071</v>
      </c>
      <c r="AB318" s="197" t="s">
        <v>117</v>
      </c>
      <c r="AC318" s="200" t="s">
        <v>1033</v>
      </c>
      <c r="AD318" s="202"/>
      <c r="AE318" s="174">
        <f>IF(ISNUMBER(VLOOKUP(A318,NotghiID!A:A,1,FALSE)),1,0)</f>
        <v>1</v>
      </c>
    </row>
    <row r="319" spans="1:31" x14ac:dyDescent="0.2">
      <c r="A319" s="213">
        <v>421</v>
      </c>
      <c r="B319" s="232" t="str">
        <f>IF(AND(A319&lt;&gt;"",ISNUMBER(A319)),VLOOKUP(A319,Studies!A:BR,2,FALSE),"")</f>
        <v>Szalat 2007</v>
      </c>
      <c r="C319" s="232" t="str">
        <f>IF(AND(A319&lt;&gt;"",ISNUMBER(A319)),VLOOKUP(A319,Studies!A:BR,3,FALSE),"")</f>
        <v>https://www.ncbi.nlm.nih.gov/pubmed/17553741</v>
      </c>
      <c r="D319" s="232" t="str">
        <f>IF(AND(A319&lt;&gt;"",ISNUMBER(A319)),VLOOKUP(A319,Studies!A:BR,4,FALSE),"")</f>
        <v>Control (Perpetrator Placebo)</v>
      </c>
      <c r="E319" s="206" t="str">
        <f>IF(AND(A319&lt;&gt;"",ISNUMBER(A319)),VLOOKUP(A319,Studies!A:BR,5,FALSE),"")</f>
        <v>Midazolam</v>
      </c>
      <c r="F319" s="175">
        <v>0</v>
      </c>
      <c r="G319" s="198" t="s">
        <v>1023</v>
      </c>
      <c r="H319" s="198" t="s">
        <v>60</v>
      </c>
      <c r="I319" s="190">
        <v>5367</v>
      </c>
      <c r="J319" s="190" t="s">
        <v>1099</v>
      </c>
      <c r="K319" s="190" t="s">
        <v>389</v>
      </c>
      <c r="L319" s="191">
        <v>981</v>
      </c>
      <c r="M319" s="191" t="s">
        <v>1099</v>
      </c>
      <c r="N319" s="191" t="s">
        <v>117</v>
      </c>
      <c r="O319" s="190" t="s">
        <v>1025</v>
      </c>
      <c r="P319" s="192"/>
      <c r="Q319" s="192"/>
      <c r="R319" s="192"/>
      <c r="S319" s="193"/>
      <c r="T319" s="193"/>
      <c r="U319" s="193"/>
      <c r="V319" s="201"/>
      <c r="W319" s="196">
        <v>10.1</v>
      </c>
      <c r="X319" s="196" t="s">
        <v>1071</v>
      </c>
      <c r="Y319" s="196" t="s">
        <v>389</v>
      </c>
      <c r="Z319" s="197">
        <v>2.2000000000000002</v>
      </c>
      <c r="AA319" s="197" t="s">
        <v>1071</v>
      </c>
      <c r="AB319" s="197" t="s">
        <v>117</v>
      </c>
      <c r="AC319" s="200" t="s">
        <v>1064</v>
      </c>
      <c r="AD319" s="202"/>
      <c r="AE319" s="174">
        <f>IF(ISNUMBER(VLOOKUP(A319,NotghiID!A:A,1,FALSE)),1,0)</f>
        <v>1</v>
      </c>
    </row>
    <row r="320" spans="1:31" x14ac:dyDescent="0.2">
      <c r="A320" s="213">
        <v>422</v>
      </c>
      <c r="B320" s="232" t="str">
        <f>IF(AND(A320&lt;&gt;"",ISNUMBER(A320)),VLOOKUP(A320,Studies!A:BR,2,FALSE),"")</f>
        <v>Szalat 2007</v>
      </c>
      <c r="C320" s="232" t="str">
        <f>IF(AND(A320&lt;&gt;"",ISNUMBER(A320)),VLOOKUP(A320,Studies!A:BR,3,FALSE),"")</f>
        <v>https://www.ncbi.nlm.nih.gov/pubmed/17553741</v>
      </c>
      <c r="D320" s="232" t="str">
        <f>IF(AND(A320&lt;&gt;"",ISNUMBER(A320)),VLOOKUP(A320,Studies!A:BR,4,FALSE),"")</f>
        <v>with Perpetrator (Rifampicin)</v>
      </c>
      <c r="E320" s="206" t="str">
        <f>IF(AND(A320&lt;&gt;"",ISNUMBER(A320)),VLOOKUP(A320,Studies!A:BR,5,FALSE),"")</f>
        <v>Midazolam</v>
      </c>
      <c r="F320" s="175">
        <v>132</v>
      </c>
      <c r="G320" s="198" t="s">
        <v>1023</v>
      </c>
      <c r="H320" s="198" t="s">
        <v>60</v>
      </c>
      <c r="I320" s="190">
        <v>3110</v>
      </c>
      <c r="J320" s="190" t="s">
        <v>1099</v>
      </c>
      <c r="K320" s="190" t="s">
        <v>389</v>
      </c>
      <c r="L320" s="191">
        <v>420</v>
      </c>
      <c r="M320" s="191" t="s">
        <v>1099</v>
      </c>
      <c r="N320" s="191" t="s">
        <v>117</v>
      </c>
      <c r="O320" s="190" t="s">
        <v>1025</v>
      </c>
      <c r="P320" s="192"/>
      <c r="Q320" s="192"/>
      <c r="R320" s="192"/>
      <c r="S320" s="193"/>
      <c r="T320" s="193"/>
      <c r="U320" s="193"/>
      <c r="V320" s="201"/>
      <c r="W320" s="196">
        <v>16.2</v>
      </c>
      <c r="X320" s="196" t="s">
        <v>1071</v>
      </c>
      <c r="Y320" s="196" t="s">
        <v>389</v>
      </c>
      <c r="Z320" s="197">
        <v>22.9</v>
      </c>
      <c r="AA320" s="197" t="s">
        <v>1071</v>
      </c>
      <c r="AB320" s="197" t="s">
        <v>117</v>
      </c>
      <c r="AC320" s="200" t="s">
        <v>1064</v>
      </c>
      <c r="AD320" s="202"/>
      <c r="AE320" s="174">
        <f>IF(ISNUMBER(VLOOKUP(A320,NotghiID!A:A,1,FALSE)),1,0)</f>
        <v>1</v>
      </c>
    </row>
    <row r="321" spans="1:31" x14ac:dyDescent="0.2">
      <c r="A321" s="213">
        <v>341</v>
      </c>
      <c r="B321" s="232" t="str">
        <f>IF(AND(A321&lt;&gt;"",ISNUMBER(A321)),VLOOKUP(A321,Studies!A:BR,2,FALSE),"")</f>
        <v>Link 2008</v>
      </c>
      <c r="C321" s="232" t="str">
        <f>IF(AND(A321&lt;&gt;"",ISNUMBER(A321)),VLOOKUP(A321,Studies!A:BR,3,FALSE),"")</f>
        <v>https://www.ncbi.nlm.nih.gov/pubmed/18537963</v>
      </c>
      <c r="D321" s="232" t="str">
        <f>IF(AND(A321&lt;&gt;"",ISNUMBER(A321)),VLOOKUP(A321,Studies!A:BR,4,FALSE),"")</f>
        <v>iv Control (Perpetrator Placebo)</v>
      </c>
      <c r="E321" s="206" t="str">
        <f>IF(AND(A321&lt;&gt;"",ISNUMBER(A321)),VLOOKUP(A321,Studies!A:BR,5,FALSE),"")</f>
        <v>Midazolam</v>
      </c>
      <c r="F321" s="175">
        <v>0</v>
      </c>
      <c r="G321" s="198" t="s">
        <v>1023</v>
      </c>
      <c r="H321" s="198" t="s">
        <v>60</v>
      </c>
      <c r="I321" s="190">
        <v>125.8</v>
      </c>
      <c r="J321" s="190" t="s">
        <v>1024</v>
      </c>
      <c r="K321" s="190" t="s">
        <v>622</v>
      </c>
      <c r="L321" s="191"/>
      <c r="M321" s="191"/>
      <c r="N321" s="191"/>
      <c r="O321" s="190" t="s">
        <v>1025</v>
      </c>
      <c r="P321" s="192">
        <v>151</v>
      </c>
      <c r="Q321" s="192" t="s">
        <v>1026</v>
      </c>
      <c r="R321" s="192" t="s">
        <v>622</v>
      </c>
      <c r="S321" s="193"/>
      <c r="T321" s="193"/>
      <c r="U321" s="193"/>
      <c r="V321" s="201" t="s">
        <v>1027</v>
      </c>
      <c r="W321" s="196">
        <v>15.9</v>
      </c>
      <c r="X321" s="196" t="s">
        <v>1061</v>
      </c>
      <c r="Y321" s="196" t="s">
        <v>622</v>
      </c>
      <c r="Z321" s="197"/>
      <c r="AA321" s="197"/>
      <c r="AB321" s="197"/>
      <c r="AC321" s="200" t="s">
        <v>1064</v>
      </c>
      <c r="AD321" s="198"/>
      <c r="AE321" s="174">
        <f>IF(ISNUMBER(VLOOKUP(A321,NotghiID!A:A,1,FALSE)),1,0)</f>
        <v>1</v>
      </c>
    </row>
    <row r="322" spans="1:31" x14ac:dyDescent="0.2">
      <c r="A322" s="213">
        <v>342</v>
      </c>
      <c r="B322" s="232" t="str">
        <f>IF(AND(A322&lt;&gt;"",ISNUMBER(A322)),VLOOKUP(A322,Studies!A:BR,2,FALSE),"")</f>
        <v>Link 2008</v>
      </c>
      <c r="C322" s="232" t="str">
        <f>IF(AND(A322&lt;&gt;"",ISNUMBER(A322)),VLOOKUP(A322,Studies!A:BR,3,FALSE),"")</f>
        <v>https://www.ncbi.nlm.nih.gov/pubmed/18537963</v>
      </c>
      <c r="D322" s="232" t="str">
        <f>IF(AND(A322&lt;&gt;"",ISNUMBER(A322)),VLOOKUP(A322,Studies!A:BR,4,FALSE),"")</f>
        <v>iv with Perpetrator (Rifampicin)</v>
      </c>
      <c r="E322" s="206" t="str">
        <f>IF(AND(A322&lt;&gt;"",ISNUMBER(A322)),VLOOKUP(A322,Studies!A:BR,5,FALSE),"")</f>
        <v>Midazolam</v>
      </c>
      <c r="F322" s="175">
        <v>144</v>
      </c>
      <c r="G322" s="198" t="s">
        <v>1023</v>
      </c>
      <c r="H322" s="198" t="s">
        <v>60</v>
      </c>
      <c r="I322" s="190">
        <v>82.4</v>
      </c>
      <c r="J322" s="190" t="s">
        <v>1024</v>
      </c>
      <c r="K322" s="190" t="s">
        <v>622</v>
      </c>
      <c r="L322" s="191"/>
      <c r="M322" s="191"/>
      <c r="N322" s="191"/>
      <c r="O322" s="190" t="s">
        <v>1025</v>
      </c>
      <c r="P322" s="192">
        <v>167</v>
      </c>
      <c r="Q322" s="192" t="s">
        <v>1026</v>
      </c>
      <c r="R322" s="192" t="s">
        <v>622</v>
      </c>
      <c r="S322" s="193"/>
      <c r="T322" s="193"/>
      <c r="U322" s="193"/>
      <c r="V322" s="201" t="s">
        <v>1027</v>
      </c>
      <c r="W322" s="196">
        <v>24.4</v>
      </c>
      <c r="X322" s="196" t="s">
        <v>1061</v>
      </c>
      <c r="Y322" s="196" t="s">
        <v>622</v>
      </c>
      <c r="Z322" s="197"/>
      <c r="AA322" s="197"/>
      <c r="AB322" s="197"/>
      <c r="AC322" s="200" t="s">
        <v>1064</v>
      </c>
      <c r="AD322" s="198"/>
      <c r="AE322" s="174">
        <f>IF(ISNUMBER(VLOOKUP(A322,NotghiID!A:A,1,FALSE)),1,0)</f>
        <v>1</v>
      </c>
    </row>
    <row r="323" spans="1:31" x14ac:dyDescent="0.2">
      <c r="A323" s="213">
        <v>343</v>
      </c>
      <c r="B323" s="232" t="str">
        <f>IF(AND(A323&lt;&gt;"",ISNUMBER(A323)),VLOOKUP(A323,Studies!A:BR,2,FALSE),"")</f>
        <v>Link 2008</v>
      </c>
      <c r="C323" s="232" t="str">
        <f>IF(AND(A323&lt;&gt;"",ISNUMBER(A323)),VLOOKUP(A323,Studies!A:BR,3,FALSE),"")</f>
        <v>https://www.ncbi.nlm.nih.gov/pubmed/18537963</v>
      </c>
      <c r="D323" s="232" t="str">
        <f>IF(AND(A323&lt;&gt;"",ISNUMBER(A323)),VLOOKUP(A323,Studies!A:BR,4,FALSE),"")</f>
        <v>po Control (Perpetrator Placebo)</v>
      </c>
      <c r="E323" s="206" t="str">
        <f>IF(AND(A323&lt;&gt;"",ISNUMBER(A323)),VLOOKUP(A323,Studies!A:BR,5,FALSE),"")</f>
        <v>Midazolam</v>
      </c>
      <c r="F323" s="175">
        <v>0</v>
      </c>
      <c r="G323" s="198" t="s">
        <v>1023</v>
      </c>
      <c r="H323" s="198" t="s">
        <v>60</v>
      </c>
      <c r="I323" s="190">
        <v>102.9</v>
      </c>
      <c r="J323" s="190" t="s">
        <v>1024</v>
      </c>
      <c r="K323" s="190" t="s">
        <v>622</v>
      </c>
      <c r="L323" s="191"/>
      <c r="M323" s="191"/>
      <c r="N323" s="191"/>
      <c r="O323" s="190" t="s">
        <v>1025</v>
      </c>
      <c r="P323" s="192">
        <v>63.1</v>
      </c>
      <c r="Q323" s="192" t="s">
        <v>1026</v>
      </c>
      <c r="R323" s="192" t="s">
        <v>622</v>
      </c>
      <c r="S323" s="193"/>
      <c r="T323" s="193"/>
      <c r="U323" s="193"/>
      <c r="V323" s="201" t="s">
        <v>1027</v>
      </c>
      <c r="W323" s="196"/>
      <c r="X323" s="196"/>
      <c r="Y323" s="196"/>
      <c r="Z323" s="197"/>
      <c r="AA323" s="197"/>
      <c r="AB323" s="197"/>
      <c r="AC323" s="200"/>
      <c r="AD323" s="198"/>
      <c r="AE323" s="174">
        <f>IF(ISNUMBER(VLOOKUP(A323,NotghiID!A:A,1,FALSE)),1,0)</f>
        <v>1</v>
      </c>
    </row>
    <row r="324" spans="1:31" x14ac:dyDescent="0.2">
      <c r="A324" s="213">
        <v>344</v>
      </c>
      <c r="B324" s="232" t="str">
        <f>IF(AND(A324&lt;&gt;"",ISNUMBER(A324)),VLOOKUP(A324,Studies!A:BR,2,FALSE),"")</f>
        <v>Link 2008</v>
      </c>
      <c r="C324" s="232" t="str">
        <f>IF(AND(A324&lt;&gt;"",ISNUMBER(A324)),VLOOKUP(A324,Studies!A:BR,3,FALSE),"")</f>
        <v>https://www.ncbi.nlm.nih.gov/pubmed/18537963</v>
      </c>
      <c r="D324" s="232" t="str">
        <f>IF(AND(A324&lt;&gt;"",ISNUMBER(A324)),VLOOKUP(A324,Studies!A:BR,4,FALSE),"")</f>
        <v>po with Perpetrator (Rifampicin)</v>
      </c>
      <c r="E324" s="206" t="str">
        <f>IF(AND(A324&lt;&gt;"",ISNUMBER(A324)),VLOOKUP(A324,Studies!A:BR,5,FALSE),"")</f>
        <v>Midazolam</v>
      </c>
      <c r="F324" s="175">
        <v>144</v>
      </c>
      <c r="G324" s="198" t="s">
        <v>1023</v>
      </c>
      <c r="H324" s="198" t="s">
        <v>60</v>
      </c>
      <c r="I324" s="190">
        <v>1.6</v>
      </c>
      <c r="J324" s="190" t="s">
        <v>1024</v>
      </c>
      <c r="K324" s="190" t="s">
        <v>622</v>
      </c>
      <c r="L324" s="191"/>
      <c r="M324" s="191"/>
      <c r="N324" s="191"/>
      <c r="O324" s="190" t="s">
        <v>1025</v>
      </c>
      <c r="P324" s="192">
        <v>2.2000000000000002</v>
      </c>
      <c r="Q324" s="192" t="s">
        <v>1026</v>
      </c>
      <c r="R324" s="192" t="s">
        <v>622</v>
      </c>
      <c r="S324" s="193"/>
      <c r="T324" s="193"/>
      <c r="U324" s="193"/>
      <c r="V324" s="201" t="s">
        <v>1027</v>
      </c>
      <c r="W324" s="196"/>
      <c r="X324" s="196"/>
      <c r="Y324" s="196"/>
      <c r="Z324" s="197"/>
      <c r="AA324" s="197"/>
      <c r="AB324" s="197"/>
      <c r="AC324" s="200"/>
      <c r="AD324" s="198"/>
      <c r="AE324" s="174">
        <f>IF(ISNUMBER(VLOOKUP(A324,NotghiID!A:A,1,FALSE)),1,0)</f>
        <v>1</v>
      </c>
    </row>
    <row r="325" spans="1:31" s="174" customFormat="1" x14ac:dyDescent="0.2">
      <c r="A325" s="205">
        <v>383</v>
      </c>
      <c r="B325" s="232" t="str">
        <f>IF(AND(A325&lt;&gt;"",ISNUMBER(A325)),VLOOKUP(A325,Studies!A:BR,2,FALSE),"")</f>
        <v>Peloquin 1997</v>
      </c>
      <c r="C325" s="232" t="str">
        <f>IF(AND(A325&lt;&gt;"",ISNUMBER(A325)),VLOOKUP(A325,Studies!A:BR,3,FALSE),"")</f>
        <v>https://www.ncbi.nlm.nih.gov/pubmed/9420037</v>
      </c>
      <c r="D325" s="232" t="str">
        <f>IF(AND(A325&lt;&gt;"",ISNUMBER(A325)),VLOOKUP(A325,Studies!A:BR,4,FALSE),"")</f>
        <v>600 mg</v>
      </c>
      <c r="E325" s="206" t="str">
        <f>IF(AND(A325&lt;&gt;"",ISNUMBER(A325)),VLOOKUP(A325,Studies!A:BR,5,FALSE),"")</f>
        <v>Rifampicin</v>
      </c>
      <c r="F325" s="175">
        <v>0</v>
      </c>
      <c r="G325" s="198" t="s">
        <v>1023</v>
      </c>
      <c r="H325" s="198" t="s">
        <v>60</v>
      </c>
      <c r="I325" s="190">
        <v>79.790000000000006</v>
      </c>
      <c r="J325" s="190" t="s">
        <v>1051</v>
      </c>
      <c r="K325" s="190" t="s">
        <v>116</v>
      </c>
      <c r="L325" s="191">
        <v>27.35</v>
      </c>
      <c r="M325" s="191" t="s">
        <v>1051</v>
      </c>
      <c r="N325" s="191" t="s">
        <v>117</v>
      </c>
      <c r="O325" s="190" t="s">
        <v>1025</v>
      </c>
      <c r="P325" s="192">
        <v>13.61</v>
      </c>
      <c r="Q325" s="192" t="s">
        <v>1054</v>
      </c>
      <c r="R325" s="192" t="s">
        <v>116</v>
      </c>
      <c r="S325" s="193">
        <v>3.96</v>
      </c>
      <c r="T325" s="193" t="s">
        <v>1054</v>
      </c>
      <c r="U325" s="193" t="s">
        <v>117</v>
      </c>
      <c r="V325" s="201" t="s">
        <v>1027</v>
      </c>
      <c r="W325" s="196">
        <v>8.3000000000000007</v>
      </c>
      <c r="X325" s="196" t="s">
        <v>1061</v>
      </c>
      <c r="Y325" s="196" t="s">
        <v>116</v>
      </c>
      <c r="Z325" s="197">
        <v>2.5</v>
      </c>
      <c r="AA325" s="197" t="s">
        <v>1061</v>
      </c>
      <c r="AB325" s="197" t="s">
        <v>117</v>
      </c>
      <c r="AC325" s="200" t="s">
        <v>1033</v>
      </c>
      <c r="AD325" s="202"/>
    </row>
    <row r="326" spans="1:31" x14ac:dyDescent="0.2">
      <c r="A326" s="213">
        <v>384</v>
      </c>
      <c r="B326" s="232" t="str">
        <f>IF(AND(A326&lt;&gt;"",ISNUMBER(A326)),VLOOKUP(A326,Studies!A:BR,2,FALSE),"")</f>
        <v>Peloquin 1999</v>
      </c>
      <c r="C326" s="232" t="str">
        <f>IF(AND(A326&lt;&gt;"",ISNUMBER(A326)),VLOOKUP(A326,Studies!A:BR,3,FALSE),"")</f>
        <v>https://www.ncbi.nlm.nih.gov/pubmed/9925057</v>
      </c>
      <c r="D326" s="232" t="str">
        <f>IF(AND(A326&lt;&gt;"",ISNUMBER(A326)),VLOOKUP(A326,Studies!A:BR,4,FALSE),"")</f>
        <v>fast1</v>
      </c>
      <c r="E326" s="206" t="str">
        <f>IF(AND(A326&lt;&gt;"",ISNUMBER(A326)),VLOOKUP(A326,Studies!A:BR,5,FALSE),"")</f>
        <v>Rifampicin</v>
      </c>
      <c r="F326" s="175">
        <v>0</v>
      </c>
      <c r="G326" s="198" t="s">
        <v>1023</v>
      </c>
      <c r="H326" s="198" t="s">
        <v>60</v>
      </c>
      <c r="I326" s="190">
        <v>57.15</v>
      </c>
      <c r="J326" s="190" t="s">
        <v>1051</v>
      </c>
      <c r="K326" s="190" t="s">
        <v>389</v>
      </c>
      <c r="L326" s="191">
        <v>23</v>
      </c>
      <c r="M326" s="191" t="s">
        <v>517</v>
      </c>
      <c r="N326" s="191" t="s">
        <v>1056</v>
      </c>
      <c r="O326" s="190" t="s">
        <v>1025</v>
      </c>
      <c r="P326" s="192">
        <v>10.54</v>
      </c>
      <c r="Q326" s="192" t="s">
        <v>1054</v>
      </c>
      <c r="R326" s="192" t="s">
        <v>116</v>
      </c>
      <c r="S326" s="193">
        <v>30</v>
      </c>
      <c r="T326" s="193" t="s">
        <v>517</v>
      </c>
      <c r="U326" s="193" t="s">
        <v>1056</v>
      </c>
      <c r="V326" s="152" t="s">
        <v>1027</v>
      </c>
      <c r="W326" s="196"/>
      <c r="X326" s="196"/>
      <c r="Y326" s="196"/>
      <c r="Z326" s="197"/>
      <c r="AA326" s="197"/>
      <c r="AB326" s="197"/>
      <c r="AC326" s="200"/>
      <c r="AD326" s="202"/>
      <c r="AE326" s="174">
        <f>IF(ISNUMBER(VLOOKUP(A326,NotghiID!A:A,1,FALSE)),1,0)</f>
        <v>1</v>
      </c>
    </row>
    <row r="327" spans="1:31" x14ac:dyDescent="0.2">
      <c r="A327" s="213">
        <v>385</v>
      </c>
      <c r="B327" s="232" t="str">
        <f>IF(AND(A327&lt;&gt;"",ISNUMBER(A327)),VLOOKUP(A327,Studies!A:BR,2,FALSE),"")</f>
        <v>Peloquin 1999</v>
      </c>
      <c r="C327" s="232" t="str">
        <f>IF(AND(A327&lt;&gt;"",ISNUMBER(A327)),VLOOKUP(A327,Studies!A:BR,3,FALSE),"")</f>
        <v>https://www.ncbi.nlm.nih.gov/pubmed/9925057</v>
      </c>
      <c r="D327" s="232" t="str">
        <f>IF(AND(A327&lt;&gt;"",ISNUMBER(A327)),VLOOKUP(A327,Studies!A:BR,4,FALSE),"")</f>
        <v>fast2</v>
      </c>
      <c r="E327" s="206" t="str">
        <f>IF(AND(A327&lt;&gt;"",ISNUMBER(A327)),VLOOKUP(A327,Studies!A:BR,5,FALSE),"")</f>
        <v>Rifampicin</v>
      </c>
      <c r="F327" s="175">
        <v>0</v>
      </c>
      <c r="G327" s="198" t="s">
        <v>1023</v>
      </c>
      <c r="H327" s="198" t="s">
        <v>60</v>
      </c>
      <c r="I327" s="190">
        <v>58.98</v>
      </c>
      <c r="J327" s="190" t="s">
        <v>1051</v>
      </c>
      <c r="K327" s="190" t="s">
        <v>389</v>
      </c>
      <c r="L327" s="191">
        <v>27</v>
      </c>
      <c r="M327" s="191" t="s">
        <v>517</v>
      </c>
      <c r="N327" s="191" t="s">
        <v>1056</v>
      </c>
      <c r="O327" s="190" t="s">
        <v>1025</v>
      </c>
      <c r="P327" s="192">
        <v>11.32</v>
      </c>
      <c r="Q327" s="192" t="s">
        <v>1054</v>
      </c>
      <c r="R327" s="192" t="s">
        <v>116</v>
      </c>
      <c r="S327" s="193">
        <v>27</v>
      </c>
      <c r="T327" s="193" t="s">
        <v>517</v>
      </c>
      <c r="U327" s="193" t="s">
        <v>1056</v>
      </c>
      <c r="V327" s="152" t="s">
        <v>1027</v>
      </c>
      <c r="W327" s="196"/>
      <c r="X327" s="196"/>
      <c r="Y327" s="196"/>
      <c r="Z327" s="197"/>
      <c r="AA327" s="197"/>
      <c r="AB327" s="197"/>
      <c r="AC327" s="200"/>
      <c r="AD327" s="202"/>
      <c r="AE327" s="174">
        <f>IF(ISNUMBER(VLOOKUP(A327,NotghiID!A:A,1,FALSE)),1,0)</f>
        <v>1</v>
      </c>
    </row>
    <row r="328" spans="1:31" x14ac:dyDescent="0.2">
      <c r="A328" s="213">
        <v>386</v>
      </c>
      <c r="B328" s="232" t="str">
        <f>IF(AND(A328&lt;&gt;"",ISNUMBER(A328)),VLOOKUP(A328,Studies!A:BR,2,FALSE),"")</f>
        <v>Peloquin 1999</v>
      </c>
      <c r="C328" s="232" t="str">
        <f>IF(AND(A328&lt;&gt;"",ISNUMBER(A328)),VLOOKUP(A328,Studies!A:BR,3,FALSE),"")</f>
        <v>https://www.ncbi.nlm.nih.gov/pubmed/9925057</v>
      </c>
      <c r="D328" s="232" t="str">
        <f>IF(AND(A328&lt;&gt;"",ISNUMBER(A328)),VLOOKUP(A328,Studies!A:BR,4,FALSE),"")</f>
        <v>antacid</v>
      </c>
      <c r="E328" s="206" t="str">
        <f>IF(AND(A328&lt;&gt;"",ISNUMBER(A328)),VLOOKUP(A328,Studies!A:BR,5,FALSE),"")</f>
        <v>Rifampicin</v>
      </c>
      <c r="F328" s="175">
        <v>0</v>
      </c>
      <c r="G328" s="198" t="s">
        <v>1023</v>
      </c>
      <c r="H328" s="198" t="s">
        <v>60</v>
      </c>
      <c r="I328" s="190">
        <v>58.37</v>
      </c>
      <c r="J328" s="190" t="s">
        <v>1051</v>
      </c>
      <c r="K328" s="190" t="s">
        <v>389</v>
      </c>
      <c r="L328" s="191">
        <v>32</v>
      </c>
      <c r="M328" s="191" t="s">
        <v>517</v>
      </c>
      <c r="N328" s="191" t="s">
        <v>1056</v>
      </c>
      <c r="O328" s="190" t="s">
        <v>1025</v>
      </c>
      <c r="P328" s="192">
        <v>10.89</v>
      </c>
      <c r="Q328" s="192" t="s">
        <v>1054</v>
      </c>
      <c r="R328" s="192" t="s">
        <v>116</v>
      </c>
      <c r="S328" s="193">
        <v>48</v>
      </c>
      <c r="T328" s="193" t="s">
        <v>517</v>
      </c>
      <c r="U328" s="193" t="s">
        <v>1056</v>
      </c>
      <c r="V328" s="152" t="s">
        <v>1027</v>
      </c>
      <c r="W328" s="196"/>
      <c r="X328" s="196"/>
      <c r="Y328" s="196"/>
      <c r="Z328" s="197"/>
      <c r="AA328" s="197"/>
      <c r="AB328" s="197"/>
      <c r="AC328" s="200"/>
      <c r="AD328" s="202"/>
      <c r="AE328" s="174">
        <f>IF(ISNUMBER(VLOOKUP(A328,NotghiID!A:A,1,FALSE)),1,0)</f>
        <v>1</v>
      </c>
    </row>
    <row r="329" spans="1:31" x14ac:dyDescent="0.2">
      <c r="A329" s="213">
        <v>387</v>
      </c>
      <c r="B329" s="232" t="str">
        <f>IF(AND(A329&lt;&gt;"",ISNUMBER(A329)),VLOOKUP(A329,Studies!A:BR,2,FALSE),"")</f>
        <v>Peloquin 1999</v>
      </c>
      <c r="C329" s="232" t="str">
        <f>IF(AND(A329&lt;&gt;"",ISNUMBER(A329)),VLOOKUP(A329,Studies!A:BR,3,FALSE),"")</f>
        <v>https://www.ncbi.nlm.nih.gov/pubmed/9925057</v>
      </c>
      <c r="D329" s="232" t="str">
        <f>IF(AND(A329&lt;&gt;"",ISNUMBER(A329)),VLOOKUP(A329,Studies!A:BR,4,FALSE),"")</f>
        <v>fed</v>
      </c>
      <c r="E329" s="206" t="str">
        <f>IF(AND(A329&lt;&gt;"",ISNUMBER(A329)),VLOOKUP(A329,Studies!A:BR,5,FALSE),"")</f>
        <v>Rifampicin</v>
      </c>
      <c r="F329" s="175">
        <v>0</v>
      </c>
      <c r="G329" s="198" t="s">
        <v>1023</v>
      </c>
      <c r="H329" s="198" t="s">
        <v>60</v>
      </c>
      <c r="I329" s="190">
        <v>55.2</v>
      </c>
      <c r="J329" s="190" t="s">
        <v>1051</v>
      </c>
      <c r="K329" s="190" t="s">
        <v>389</v>
      </c>
      <c r="L329" s="191">
        <v>26</v>
      </c>
      <c r="M329" s="191" t="s">
        <v>517</v>
      </c>
      <c r="N329" s="191" t="s">
        <v>1056</v>
      </c>
      <c r="O329" s="190" t="s">
        <v>1025</v>
      </c>
      <c r="P329" s="192">
        <v>7.27</v>
      </c>
      <c r="Q329" s="192" t="s">
        <v>1054</v>
      </c>
      <c r="R329" s="192" t="s">
        <v>116</v>
      </c>
      <c r="S329" s="193">
        <v>31</v>
      </c>
      <c r="T329" s="193" t="s">
        <v>517</v>
      </c>
      <c r="U329" s="193" t="s">
        <v>1056</v>
      </c>
      <c r="V329" s="152" t="s">
        <v>1027</v>
      </c>
      <c r="W329" s="196"/>
      <c r="X329" s="196"/>
      <c r="Y329" s="196"/>
      <c r="Z329" s="197"/>
      <c r="AA329" s="197"/>
      <c r="AB329" s="197"/>
      <c r="AC329" s="200"/>
      <c r="AD329" s="202"/>
      <c r="AE329" s="174">
        <f>IF(ISNUMBER(VLOOKUP(A329,NotghiID!A:A,1,FALSE)),1,0)</f>
        <v>1</v>
      </c>
    </row>
    <row r="330" spans="1:31" x14ac:dyDescent="0.2">
      <c r="A330" s="205">
        <v>414</v>
      </c>
      <c r="B330" s="232" t="str">
        <f>IF(AND(A330&lt;&gt;"",ISNUMBER(A330)),VLOOKUP(A330,Studies!A:BR,2,FALSE),"")</f>
        <v>Schwagmeier 1998</v>
      </c>
      <c r="C330" s="232" t="str">
        <f>IF(AND(A330&lt;&gt;"",ISNUMBER(A330)),VLOOKUP(A330,Studies!A:BR,3,FALSE),"")</f>
        <v>https://www.ncbi.nlm.nih.gov/pubmed/9764959</v>
      </c>
      <c r="D330" s="232" t="str">
        <f>IF(AND(A330&lt;&gt;"",ISNUMBER(A330)),VLOOKUP(A330,Studies!A:BR,4,FALSE),"")</f>
        <v>iv administration</v>
      </c>
      <c r="E330" s="206" t="str">
        <f>IF(AND(A330&lt;&gt;"",ISNUMBER(A330)),VLOOKUP(A330,Studies!A:BR,5,FALSE),"")</f>
        <v>Midazolam</v>
      </c>
      <c r="F330" s="175">
        <v>0</v>
      </c>
      <c r="G330" s="198" t="s">
        <v>1023</v>
      </c>
      <c r="H330" s="198" t="s">
        <v>1041</v>
      </c>
      <c r="I330" s="190">
        <v>15016</v>
      </c>
      <c r="J330" s="190" t="s">
        <v>1099</v>
      </c>
      <c r="K330" s="190" t="s">
        <v>389</v>
      </c>
      <c r="L330" s="191">
        <v>3778</v>
      </c>
      <c r="M330" s="191" t="s">
        <v>1099</v>
      </c>
      <c r="N330" s="191" t="s">
        <v>117</v>
      </c>
      <c r="O330" s="190" t="s">
        <v>1025</v>
      </c>
      <c r="P330" s="192">
        <v>118.8</v>
      </c>
      <c r="Q330" s="192" t="s">
        <v>1026</v>
      </c>
      <c r="R330" s="192" t="s">
        <v>116</v>
      </c>
      <c r="S330" s="193" t="s">
        <v>1100</v>
      </c>
      <c r="T330" s="193" t="s">
        <v>1026</v>
      </c>
      <c r="U330" s="193" t="s">
        <v>1069</v>
      </c>
      <c r="V330" s="152" t="s">
        <v>1027</v>
      </c>
      <c r="W330" s="196">
        <v>362.6</v>
      </c>
      <c r="X330" s="196" t="s">
        <v>1043</v>
      </c>
      <c r="Y330" s="196" t="s">
        <v>116</v>
      </c>
      <c r="Z330" s="197">
        <v>85.2</v>
      </c>
      <c r="AA330" s="197" t="s">
        <v>1043</v>
      </c>
      <c r="AB330" s="197" t="s">
        <v>117</v>
      </c>
      <c r="AC330" s="200" t="s">
        <v>1064</v>
      </c>
      <c r="AD330" s="202"/>
      <c r="AE330" s="174">
        <f>IF(ISNUMBER(VLOOKUP(A330,NotghiID!A:A,1,FALSE)),1,0)</f>
        <v>1</v>
      </c>
    </row>
    <row r="331" spans="1:31" x14ac:dyDescent="0.2">
      <c r="A331" s="205">
        <v>427</v>
      </c>
      <c r="B331" s="232" t="str">
        <f>IF(AND(A331&lt;&gt;"",ISNUMBER(A331)),VLOOKUP(A331,Studies!A:BR,2,FALSE),"")</f>
        <v>Tham 2006</v>
      </c>
      <c r="C331" s="232" t="str">
        <f>IF(AND(A331&lt;&gt;"",ISNUMBER(A331)),VLOOKUP(A331,Studies!A:BR,3,FALSE),"")</f>
        <v>https://www.ncbi.nlm.nih.gov/pubmed/16628140</v>
      </c>
      <c r="D331" s="232" t="str">
        <f>IF(AND(A331&lt;&gt;"",ISNUMBER(A331)),VLOOKUP(A331,Studies!A:BR,4,FALSE),"")</f>
        <v>Control (Perpetrator Placebo)</v>
      </c>
      <c r="E331" s="206" t="str">
        <f>IF(AND(A331&lt;&gt;"",ISNUMBER(A331)),VLOOKUP(A331,Studies!A:BR,5,FALSE),"")</f>
        <v>Midazolam</v>
      </c>
      <c r="F331" s="175">
        <v>0</v>
      </c>
      <c r="G331" s="198" t="s">
        <v>1023</v>
      </c>
      <c r="H331" s="198" t="s">
        <v>60</v>
      </c>
      <c r="I331" s="190">
        <v>0.17</v>
      </c>
      <c r="J331" s="190" t="s">
        <v>1055</v>
      </c>
      <c r="K331" s="190" t="s">
        <v>389</v>
      </c>
      <c r="L331" s="191">
        <v>0.28000000000000003</v>
      </c>
      <c r="M331" s="191" t="s">
        <v>1055</v>
      </c>
      <c r="N331" s="191" t="s">
        <v>117</v>
      </c>
      <c r="O331" s="190" t="s">
        <v>1025</v>
      </c>
      <c r="P331" s="192">
        <v>0.26</v>
      </c>
      <c r="Q331" s="192" t="s">
        <v>1057</v>
      </c>
      <c r="R331" s="192" t="s">
        <v>116</v>
      </c>
      <c r="S331" s="193">
        <v>0.72</v>
      </c>
      <c r="T331" s="193" t="s">
        <v>1057</v>
      </c>
      <c r="U331" s="193" t="s">
        <v>117</v>
      </c>
      <c r="V331" s="152" t="s">
        <v>1027</v>
      </c>
      <c r="W331" s="196">
        <v>26.4</v>
      </c>
      <c r="X331" s="196" t="s">
        <v>1061</v>
      </c>
      <c r="Y331" s="196" t="s">
        <v>116</v>
      </c>
      <c r="Z331" s="197">
        <v>12.27</v>
      </c>
      <c r="AA331" s="197" t="s">
        <v>1061</v>
      </c>
      <c r="AB331" s="197" t="s">
        <v>117</v>
      </c>
      <c r="AC331" s="200" t="s">
        <v>1064</v>
      </c>
      <c r="AD331" s="202"/>
      <c r="AE331" s="174">
        <f>IF(ISNUMBER(VLOOKUP(A331,NotghiID!A:A,1,FALSE)),1,0)</f>
        <v>1</v>
      </c>
    </row>
    <row r="332" spans="1:31" x14ac:dyDescent="0.2">
      <c r="A332" s="205">
        <v>428</v>
      </c>
      <c r="B332" s="232" t="str">
        <f>IF(AND(A332&lt;&gt;"",ISNUMBER(A332)),VLOOKUP(A332,Studies!A:BR,2,FALSE),"")</f>
        <v>Tham 2006</v>
      </c>
      <c r="C332" s="232" t="str">
        <f>IF(AND(A332&lt;&gt;"",ISNUMBER(A332)),VLOOKUP(A332,Studies!A:BR,3,FALSE),"")</f>
        <v>https://www.ncbi.nlm.nih.gov/pubmed/16628140</v>
      </c>
      <c r="D332" s="232" t="str">
        <f>IF(AND(A332&lt;&gt;"",ISNUMBER(A332)),VLOOKUP(A332,Studies!A:BR,4,FALSE),"")</f>
        <v>with Perpetrator (Ketoconazole 50 mg)</v>
      </c>
      <c r="E332" s="206" t="str">
        <f>IF(AND(A332&lt;&gt;"",ISNUMBER(A332)),VLOOKUP(A332,Studies!A:BR,5,FALSE),"")</f>
        <v>Midazolam</v>
      </c>
      <c r="F332" s="175">
        <v>47</v>
      </c>
      <c r="G332" s="198" t="s">
        <v>1023</v>
      </c>
      <c r="H332" s="198" t="s">
        <v>60</v>
      </c>
      <c r="I332" s="190">
        <v>0.27</v>
      </c>
      <c r="J332" s="190" t="s">
        <v>1055</v>
      </c>
      <c r="K332" s="190" t="s">
        <v>389</v>
      </c>
      <c r="L332" s="191">
        <v>0.15</v>
      </c>
      <c r="M332" s="191" t="s">
        <v>1055</v>
      </c>
      <c r="N332" s="191" t="s">
        <v>117</v>
      </c>
      <c r="O332" s="190" t="s">
        <v>1025</v>
      </c>
      <c r="P332" s="192">
        <v>0.06</v>
      </c>
      <c r="Q332" s="192" t="s">
        <v>1057</v>
      </c>
      <c r="R332" s="192" t="s">
        <v>116</v>
      </c>
      <c r="S332" s="193">
        <v>0.03</v>
      </c>
      <c r="T332" s="193" t="s">
        <v>1057</v>
      </c>
      <c r="U332" s="193" t="s">
        <v>117</v>
      </c>
      <c r="V332" s="152" t="s">
        <v>1027</v>
      </c>
      <c r="W332" s="196">
        <v>4.49</v>
      </c>
      <c r="X332" s="196" t="s">
        <v>1061</v>
      </c>
      <c r="Y332" s="196" t="s">
        <v>116</v>
      </c>
      <c r="Z332" s="197">
        <v>1.82</v>
      </c>
      <c r="AA332" s="197" t="s">
        <v>1061</v>
      </c>
      <c r="AB332" s="197" t="s">
        <v>117</v>
      </c>
      <c r="AC332" s="200" t="s">
        <v>1064</v>
      </c>
      <c r="AD332" s="202"/>
      <c r="AE332" s="174">
        <f>IF(ISNUMBER(VLOOKUP(A332,NotghiID!A:A,1,FALSE)),1,0)</f>
        <v>1</v>
      </c>
    </row>
    <row r="333" spans="1:31" x14ac:dyDescent="0.2">
      <c r="A333" s="205">
        <v>388</v>
      </c>
      <c r="B333" s="232" t="str">
        <f>IF(AND(A333&lt;&gt;"",ISNUMBER(A333)),VLOOKUP(A333,Studies!A:BR,2,FALSE),"")</f>
        <v>Phimmasone 2001</v>
      </c>
      <c r="C333" s="232" t="str">
        <f>IF(AND(A333&lt;&gt;"",ISNUMBER(A333)),VLOOKUP(A333,Studies!A:BR,3,FALSE),"")</f>
        <v>https://www.ncbi.nlm.nih.gov/pubmed/11753266</v>
      </c>
      <c r="D333" s="232" t="str">
        <f>IF(AND(A333&lt;&gt;"",ISNUMBER(A333)),VLOOKUP(A333,Studies!A:BR,4,FALSE),"")</f>
        <v>Control (Perpetrator Placebo)</v>
      </c>
      <c r="E333" s="206" t="str">
        <f>IF(AND(A333&lt;&gt;"",ISNUMBER(A333)),VLOOKUP(A333,Studies!A:BR,5,FALSE),"")</f>
        <v>Midazolam</v>
      </c>
      <c r="F333" s="175">
        <v>0</v>
      </c>
      <c r="G333" s="198" t="s">
        <v>1023</v>
      </c>
      <c r="H333" s="198" t="s">
        <v>60</v>
      </c>
      <c r="I333" s="190">
        <v>3180</v>
      </c>
      <c r="J333" s="190" t="s">
        <v>1099</v>
      </c>
      <c r="K333" s="190" t="s">
        <v>389</v>
      </c>
      <c r="L333" s="191">
        <v>840</v>
      </c>
      <c r="M333" s="191" t="s">
        <v>1099</v>
      </c>
      <c r="N333" s="191" t="s">
        <v>117</v>
      </c>
      <c r="O333" s="190" t="s">
        <v>1025</v>
      </c>
      <c r="P333" s="192"/>
      <c r="Q333" s="192"/>
      <c r="R333" s="192"/>
      <c r="S333" s="193"/>
      <c r="T333" s="193"/>
      <c r="U333" s="193"/>
      <c r="V333" s="152"/>
      <c r="W333" s="196">
        <v>4.37</v>
      </c>
      <c r="X333" s="196" t="s">
        <v>1071</v>
      </c>
      <c r="Y333" s="196" t="s">
        <v>389</v>
      </c>
      <c r="Z333" s="197">
        <v>1.29</v>
      </c>
      <c r="AA333" s="197" t="s">
        <v>1071</v>
      </c>
      <c r="AB333" s="197" t="s">
        <v>117</v>
      </c>
      <c r="AC333" s="200" t="s">
        <v>1064</v>
      </c>
      <c r="AD333" s="202"/>
      <c r="AE333" s="174">
        <f>IF(ISNUMBER(VLOOKUP(A333,NotghiID!A:A,1,FALSE)),1,0)</f>
        <v>1</v>
      </c>
    </row>
    <row r="334" spans="1:31" x14ac:dyDescent="0.2">
      <c r="A334" s="205">
        <v>389</v>
      </c>
      <c r="B334" s="232" t="str">
        <f>IF(AND(A334&lt;&gt;"",ISNUMBER(A334)),VLOOKUP(A334,Studies!A:BR,2,FALSE),"")</f>
        <v>Phimmasone 2001</v>
      </c>
      <c r="C334" s="232" t="str">
        <f>IF(AND(A334&lt;&gt;"",ISNUMBER(A334)),VLOOKUP(A334,Studies!A:BR,3,FALSE),"")</f>
        <v>https://www.ncbi.nlm.nih.gov/pubmed/11753266</v>
      </c>
      <c r="D334" s="232" t="str">
        <f>IF(AND(A334&lt;&gt;"",ISNUMBER(A334)),VLOOKUP(A334,Studies!A:BR,4,FALSE),"")</f>
        <v>with Perpetrator (Rifampicin)</v>
      </c>
      <c r="E334" s="206" t="str">
        <f>IF(AND(A334&lt;&gt;"",ISNUMBER(A334)),VLOOKUP(A334,Studies!A:BR,5,FALSE),"")</f>
        <v>Midazolam</v>
      </c>
      <c r="F334" s="175">
        <v>106</v>
      </c>
      <c r="G334" s="198" t="s">
        <v>1023</v>
      </c>
      <c r="H334" s="198" t="s">
        <v>60</v>
      </c>
      <c r="I334" s="190">
        <v>1530</v>
      </c>
      <c r="J334" s="190" t="s">
        <v>1099</v>
      </c>
      <c r="K334" s="190" t="s">
        <v>389</v>
      </c>
      <c r="L334" s="191">
        <v>290</v>
      </c>
      <c r="M334" s="191" t="s">
        <v>1099</v>
      </c>
      <c r="N334" s="191" t="s">
        <v>117</v>
      </c>
      <c r="O334" s="190" t="s">
        <v>1025</v>
      </c>
      <c r="P334" s="192"/>
      <c r="Q334" s="192"/>
      <c r="R334" s="192"/>
      <c r="S334" s="193"/>
      <c r="T334" s="193"/>
      <c r="U334" s="193"/>
      <c r="V334" s="152"/>
      <c r="W334" s="196">
        <v>8.7799999999999994</v>
      </c>
      <c r="X334" s="196" t="s">
        <v>1071</v>
      </c>
      <c r="Y334" s="196" t="s">
        <v>389</v>
      </c>
      <c r="Z334" s="197">
        <v>1.6</v>
      </c>
      <c r="AA334" s="197" t="s">
        <v>1071</v>
      </c>
      <c r="AB334" s="197" t="s">
        <v>117</v>
      </c>
      <c r="AC334" s="200" t="s">
        <v>1064</v>
      </c>
      <c r="AD334" s="202"/>
      <c r="AE334" s="174">
        <f>IF(ISNUMBER(VLOOKUP(A334,NotghiID!A:A,1,FALSE)),1,0)</f>
        <v>1</v>
      </c>
    </row>
    <row r="335" spans="1:31" x14ac:dyDescent="0.2">
      <c r="A335" s="205">
        <v>390</v>
      </c>
      <c r="B335" s="232" t="str">
        <f>IF(AND(A335&lt;&gt;"",ISNUMBER(A335)),VLOOKUP(A335,Studies!A:BR,2,FALSE),"")</f>
        <v>Phimmasone 2001</v>
      </c>
      <c r="C335" s="232" t="str">
        <f>IF(AND(A335&lt;&gt;"",ISNUMBER(A335)),VLOOKUP(A335,Studies!A:BR,3,FALSE),"")</f>
        <v>https://www.ncbi.nlm.nih.gov/pubmed/11753266</v>
      </c>
      <c r="D335" s="232" t="str">
        <f>IF(AND(A335&lt;&gt;"",ISNUMBER(A335)),VLOOKUP(A335,Studies!A:BR,4,FALSE),"")</f>
        <v>Control (Perpetrator Placebo)</v>
      </c>
      <c r="E335" s="206" t="str">
        <f>IF(AND(A335&lt;&gt;"",ISNUMBER(A335)),VLOOKUP(A335,Studies!A:BR,5,FALSE),"")</f>
        <v>Alfentanil</v>
      </c>
      <c r="F335" s="175">
        <v>0</v>
      </c>
      <c r="G335" s="198" t="s">
        <v>1023</v>
      </c>
      <c r="H335" s="198" t="s">
        <v>60</v>
      </c>
      <c r="I335" s="190">
        <v>6680</v>
      </c>
      <c r="J335" s="190" t="s">
        <v>1099</v>
      </c>
      <c r="K335" s="190" t="s">
        <v>389</v>
      </c>
      <c r="L335" s="191">
        <v>3480</v>
      </c>
      <c r="M335" s="191" t="s">
        <v>1099</v>
      </c>
      <c r="N335" s="191" t="s">
        <v>117</v>
      </c>
      <c r="O335" s="190" t="s">
        <v>1025</v>
      </c>
      <c r="P335" s="192"/>
      <c r="Q335" s="192"/>
      <c r="R335" s="192"/>
      <c r="S335" s="193"/>
      <c r="T335" s="193"/>
      <c r="U335" s="193"/>
      <c r="V335" s="152"/>
      <c r="W335" s="196">
        <v>2.84</v>
      </c>
      <c r="X335" s="196" t="s">
        <v>1071</v>
      </c>
      <c r="Y335" s="196" t="s">
        <v>389</v>
      </c>
      <c r="Z335" s="197">
        <v>1.44</v>
      </c>
      <c r="AA335" s="197" t="s">
        <v>1071</v>
      </c>
      <c r="AB335" s="197" t="s">
        <v>117</v>
      </c>
      <c r="AC335" s="200" t="s">
        <v>1064</v>
      </c>
      <c r="AD335" s="202"/>
      <c r="AE335" s="174">
        <f>IF(ISNUMBER(VLOOKUP(A335,NotghiID!A:A,1,FALSE)),1,0)</f>
        <v>1</v>
      </c>
    </row>
    <row r="336" spans="1:31" x14ac:dyDescent="0.2">
      <c r="A336" s="205">
        <v>391</v>
      </c>
      <c r="B336" s="232" t="str">
        <f>IF(AND(A336&lt;&gt;"",ISNUMBER(A336)),VLOOKUP(A336,Studies!A:BR,2,FALSE),"")</f>
        <v>Phimmasone 2001</v>
      </c>
      <c r="C336" s="232" t="str">
        <f>IF(AND(A336&lt;&gt;"",ISNUMBER(A336)),VLOOKUP(A336,Studies!A:BR,3,FALSE),"")</f>
        <v>https://www.ncbi.nlm.nih.gov/pubmed/11753266</v>
      </c>
      <c r="D336" s="232" t="str">
        <f>IF(AND(A336&lt;&gt;"",ISNUMBER(A336)),VLOOKUP(A336,Studies!A:BR,4,FALSE),"")</f>
        <v>with Perpetrator (Rifampicin)</v>
      </c>
      <c r="E336" s="206" t="str">
        <f>IF(AND(A336&lt;&gt;"",ISNUMBER(A336)),VLOOKUP(A336,Studies!A:BR,5,FALSE),"")</f>
        <v>Alfentanil</v>
      </c>
      <c r="F336" s="175">
        <v>107</v>
      </c>
      <c r="G336" s="198" t="s">
        <v>1023</v>
      </c>
      <c r="H336" s="198" t="s">
        <v>60</v>
      </c>
      <c r="I336" s="190">
        <v>2890</v>
      </c>
      <c r="J336" s="190" t="s">
        <v>1099</v>
      </c>
      <c r="K336" s="190" t="s">
        <v>389</v>
      </c>
      <c r="L336" s="191">
        <v>568</v>
      </c>
      <c r="M336" s="191" t="s">
        <v>1099</v>
      </c>
      <c r="N336" s="191" t="s">
        <v>117</v>
      </c>
      <c r="O336" s="190" t="s">
        <v>1025</v>
      </c>
      <c r="P336" s="192"/>
      <c r="Q336" s="192"/>
      <c r="R336" s="192"/>
      <c r="S336" s="193"/>
      <c r="T336" s="193"/>
      <c r="U336" s="193"/>
      <c r="V336" s="152"/>
      <c r="W336" s="196">
        <v>5.33</v>
      </c>
      <c r="X336" s="196" t="s">
        <v>1071</v>
      </c>
      <c r="Y336" s="196" t="s">
        <v>389</v>
      </c>
      <c r="Z336" s="197">
        <v>0.95</v>
      </c>
      <c r="AA336" s="197" t="s">
        <v>1071</v>
      </c>
      <c r="AB336" s="197" t="s">
        <v>117</v>
      </c>
      <c r="AC336" s="200" t="s">
        <v>1064</v>
      </c>
      <c r="AD336" s="202"/>
      <c r="AE336" s="174">
        <f>IF(ISNUMBER(VLOOKUP(A336,NotghiID!A:A,1,FALSE)),1,0)</f>
        <v>1</v>
      </c>
    </row>
    <row r="337" spans="1:31" x14ac:dyDescent="0.2">
      <c r="A337" s="205">
        <v>400</v>
      </c>
      <c r="B337" s="232" t="str">
        <f>IF(AND(A337&lt;&gt;"",ISNUMBER(A337)),VLOOKUP(A337,Studies!A:BR,2,FALSE),"")</f>
        <v>Saari 2006</v>
      </c>
      <c r="C337" s="232" t="str">
        <f>IF(AND(A337&lt;&gt;"",ISNUMBER(A337)),VLOOKUP(A337,Studies!A:BR,3,FALSE),"")</f>
        <v>https://www.ncbi.nlm.nih.gov/pubmed/16580904</v>
      </c>
      <c r="D337" s="232" t="str">
        <f>IF(AND(A337&lt;&gt;"",ISNUMBER(A337)),VLOOKUP(A337,Studies!A:BR,4,FALSE),"")</f>
        <v>po Control (Perpetrator Placebo)</v>
      </c>
      <c r="E337" s="206" t="str">
        <f>IF(AND(A337&lt;&gt;"",ISNUMBER(A337)),VLOOKUP(A337,Studies!A:BR,5,FALSE),"")</f>
        <v>Midazolam</v>
      </c>
      <c r="F337" s="175">
        <v>0</v>
      </c>
      <c r="G337" s="198" t="s">
        <v>1023</v>
      </c>
      <c r="H337" s="198" t="s">
        <v>60</v>
      </c>
      <c r="I337" s="190">
        <v>91</v>
      </c>
      <c r="J337" s="190" t="s">
        <v>1024</v>
      </c>
      <c r="K337" s="190" t="s">
        <v>389</v>
      </c>
      <c r="L337" s="191">
        <v>30</v>
      </c>
      <c r="M337" s="191" t="s">
        <v>1024</v>
      </c>
      <c r="N337" s="191" t="s">
        <v>117</v>
      </c>
      <c r="O337" s="190" t="s">
        <v>1025</v>
      </c>
      <c r="P337" s="192">
        <v>24.1</v>
      </c>
      <c r="Q337" s="192" t="s">
        <v>1026</v>
      </c>
      <c r="R337" s="192" t="s">
        <v>116</v>
      </c>
      <c r="S337" s="193">
        <v>7.2</v>
      </c>
      <c r="T337" s="193" t="s">
        <v>1026</v>
      </c>
      <c r="U337" s="193" t="s">
        <v>117</v>
      </c>
      <c r="V337" s="152" t="s">
        <v>1027</v>
      </c>
      <c r="W337" s="196">
        <v>20.100000000000001</v>
      </c>
      <c r="X337" s="196" t="s">
        <v>1071</v>
      </c>
      <c r="Y337" s="196" t="s">
        <v>389</v>
      </c>
      <c r="Z337" s="197">
        <v>8.1</v>
      </c>
      <c r="AA337" s="197" t="s">
        <v>1071</v>
      </c>
      <c r="AB337" s="197" t="s">
        <v>117</v>
      </c>
      <c r="AC337" s="200" t="s">
        <v>1033</v>
      </c>
      <c r="AD337" s="202"/>
      <c r="AE337" s="174">
        <f>IF(ISNUMBER(VLOOKUP(A337,NotghiID!A:A,1,FALSE)),1,0)</f>
        <v>1</v>
      </c>
    </row>
    <row r="338" spans="1:31" x14ac:dyDescent="0.2">
      <c r="A338" s="205">
        <v>401</v>
      </c>
      <c r="B338" s="232" t="str">
        <f>IF(AND(A338&lt;&gt;"",ISNUMBER(A338)),VLOOKUP(A338,Studies!A:BR,2,FALSE),"")</f>
        <v>Saari 2006</v>
      </c>
      <c r="C338" s="232" t="str">
        <f>IF(AND(A338&lt;&gt;"",ISNUMBER(A338)),VLOOKUP(A338,Studies!A:BR,3,FALSE),"")</f>
        <v>https://www.ncbi.nlm.nih.gov/pubmed/16580904</v>
      </c>
      <c r="D338" s="232" t="str">
        <f>IF(AND(A338&lt;&gt;"",ISNUMBER(A338)),VLOOKUP(A338,Studies!A:BR,4,FALSE),"")</f>
        <v>po with Perpetrator (Voriconazole)</v>
      </c>
      <c r="E338" s="206" t="str">
        <f>IF(AND(A338&lt;&gt;"",ISNUMBER(A338)),VLOOKUP(A338,Studies!A:BR,5,FALSE),"")</f>
        <v>Midazolam</v>
      </c>
      <c r="F338" s="175">
        <v>37</v>
      </c>
      <c r="G338" s="198" t="s">
        <v>1023</v>
      </c>
      <c r="H338" s="198" t="s">
        <v>60</v>
      </c>
      <c r="I338" s="190">
        <v>855</v>
      </c>
      <c r="J338" s="190" t="s">
        <v>1024</v>
      </c>
      <c r="K338" s="190" t="s">
        <v>389</v>
      </c>
      <c r="L338" s="191">
        <v>104</v>
      </c>
      <c r="M338" s="191" t="s">
        <v>1024</v>
      </c>
      <c r="N338" s="191" t="s">
        <v>117</v>
      </c>
      <c r="O338" s="190" t="s">
        <v>1028</v>
      </c>
      <c r="P338" s="192">
        <v>86.6</v>
      </c>
      <c r="Q338" s="192" t="s">
        <v>1026</v>
      </c>
      <c r="R338" s="192" t="s">
        <v>116</v>
      </c>
      <c r="S338" s="193">
        <v>26.2</v>
      </c>
      <c r="T338" s="193" t="s">
        <v>1026</v>
      </c>
      <c r="U338" s="193" t="s">
        <v>117</v>
      </c>
      <c r="V338" s="152" t="s">
        <v>1027</v>
      </c>
      <c r="W338" s="196">
        <v>1.9</v>
      </c>
      <c r="X338" s="196" t="s">
        <v>1071</v>
      </c>
      <c r="Y338" s="196" t="s">
        <v>389</v>
      </c>
      <c r="Z338" s="197">
        <v>0.3</v>
      </c>
      <c r="AA338" s="197" t="s">
        <v>1071</v>
      </c>
      <c r="AB338" s="197" t="s">
        <v>117</v>
      </c>
      <c r="AC338" s="200" t="s">
        <v>1033</v>
      </c>
      <c r="AD338" s="202"/>
      <c r="AE338" s="174">
        <f>IF(ISNUMBER(VLOOKUP(A338,NotghiID!A:A,1,FALSE)),1,0)</f>
        <v>1</v>
      </c>
    </row>
    <row r="339" spans="1:31" x14ac:dyDescent="0.2">
      <c r="A339" s="205">
        <v>402</v>
      </c>
      <c r="B339" s="232" t="str">
        <f>IF(AND(A339&lt;&gt;"",ISNUMBER(A339)),VLOOKUP(A339,Studies!A:BR,2,FALSE),"")</f>
        <v>Saari 2006</v>
      </c>
      <c r="C339" s="232" t="str">
        <f>IF(AND(A339&lt;&gt;"",ISNUMBER(A339)),VLOOKUP(A339,Studies!A:BR,3,FALSE),"")</f>
        <v>https://www.ncbi.nlm.nih.gov/pubmed/16580904</v>
      </c>
      <c r="D339" s="232" t="str">
        <f>IF(AND(A339&lt;&gt;"",ISNUMBER(A339)),VLOOKUP(A339,Studies!A:BR,4,FALSE),"")</f>
        <v>po with Perpetrator (Voriconazole)</v>
      </c>
      <c r="E339" s="206" t="str">
        <f>IF(AND(A339&lt;&gt;"",ISNUMBER(A339)),VLOOKUP(A339,Studies!A:BR,5,FALSE),"")</f>
        <v>Voriconazole</v>
      </c>
      <c r="F339" s="175">
        <v>36</v>
      </c>
      <c r="G339" s="198">
        <f>F339+24</f>
        <v>60</v>
      </c>
      <c r="H339" s="198" t="s">
        <v>60</v>
      </c>
      <c r="I339" s="190">
        <v>12201</v>
      </c>
      <c r="J339" s="190" t="s">
        <v>1024</v>
      </c>
      <c r="K339" s="190" t="s">
        <v>389</v>
      </c>
      <c r="L339" s="191">
        <v>6044</v>
      </c>
      <c r="M339" s="191" t="s">
        <v>1024</v>
      </c>
      <c r="N339" s="191" t="s">
        <v>117</v>
      </c>
      <c r="O339" s="190" t="s">
        <v>1052</v>
      </c>
      <c r="P339" s="192">
        <v>1441</v>
      </c>
      <c r="Q339" s="192" t="s">
        <v>1026</v>
      </c>
      <c r="R339" s="192" t="s">
        <v>116</v>
      </c>
      <c r="S339" s="193">
        <v>329</v>
      </c>
      <c r="T339" s="193" t="s">
        <v>1026</v>
      </c>
      <c r="U339" s="193" t="s">
        <v>117</v>
      </c>
      <c r="V339" s="152" t="s">
        <v>1027</v>
      </c>
      <c r="W339" s="196"/>
      <c r="X339" s="196"/>
      <c r="Y339" s="196"/>
      <c r="Z339" s="197"/>
      <c r="AA339" s="197"/>
      <c r="AB339" s="197"/>
      <c r="AC339" s="200"/>
      <c r="AD339" s="202"/>
      <c r="AE339" s="174">
        <f>IF(ISNUMBER(VLOOKUP(A339,NotghiID!A:A,1,FALSE)),1,0)</f>
        <v>1</v>
      </c>
    </row>
    <row r="340" spans="1:31" x14ac:dyDescent="0.2">
      <c r="A340" s="205">
        <v>403</v>
      </c>
      <c r="B340" s="232" t="str">
        <f>IF(AND(A340&lt;&gt;"",ISNUMBER(A340)),VLOOKUP(A340,Studies!A:BR,2,FALSE),"")</f>
        <v>Saari 2006</v>
      </c>
      <c r="C340" s="232" t="str">
        <f>IF(AND(A340&lt;&gt;"",ISNUMBER(A340)),VLOOKUP(A340,Studies!A:BR,3,FALSE),"")</f>
        <v>https://www.ncbi.nlm.nih.gov/pubmed/16580904</v>
      </c>
      <c r="D340" s="232" t="str">
        <f>IF(AND(A340&lt;&gt;"",ISNUMBER(A340)),VLOOKUP(A340,Studies!A:BR,4,FALSE),"")</f>
        <v>iv Control (Perpetrator Placebo)</v>
      </c>
      <c r="E340" s="206" t="str">
        <f>IF(AND(A340&lt;&gt;"",ISNUMBER(A340)),VLOOKUP(A340,Studies!A:BR,5,FALSE),"")</f>
        <v>Midazolam</v>
      </c>
      <c r="F340" s="175">
        <v>0</v>
      </c>
      <c r="G340" s="198" t="s">
        <v>1023</v>
      </c>
      <c r="H340" s="198" t="s">
        <v>60</v>
      </c>
      <c r="I340" s="190">
        <v>151</v>
      </c>
      <c r="J340" s="190" t="s">
        <v>1024</v>
      </c>
      <c r="K340" s="190" t="s">
        <v>389</v>
      </c>
      <c r="L340" s="191">
        <v>40</v>
      </c>
      <c r="M340" s="191" t="s">
        <v>1024</v>
      </c>
      <c r="N340" s="191" t="s">
        <v>117</v>
      </c>
      <c r="O340" s="190" t="s">
        <v>1025</v>
      </c>
      <c r="P340" s="192"/>
      <c r="Q340" s="192"/>
      <c r="R340" s="192"/>
      <c r="S340" s="193"/>
      <c r="T340" s="193"/>
      <c r="U340" s="193"/>
      <c r="V340" s="152"/>
      <c r="W340" s="196">
        <v>5.9</v>
      </c>
      <c r="X340" s="196" t="s">
        <v>1071</v>
      </c>
      <c r="Y340" s="196" t="s">
        <v>389</v>
      </c>
      <c r="Z340" s="197">
        <v>1.5</v>
      </c>
      <c r="AA340" s="197" t="s">
        <v>1071</v>
      </c>
      <c r="AB340" s="197" t="s">
        <v>117</v>
      </c>
      <c r="AC340" s="200" t="s">
        <v>1064</v>
      </c>
      <c r="AD340" s="202"/>
      <c r="AE340" s="174">
        <f>IF(ISNUMBER(VLOOKUP(A340,NotghiID!A:A,1,FALSE)),1,0)</f>
        <v>1</v>
      </c>
    </row>
    <row r="341" spans="1:31" x14ac:dyDescent="0.2">
      <c r="A341" s="205">
        <v>404</v>
      </c>
      <c r="B341" s="232" t="str">
        <f>IF(AND(A341&lt;&gt;"",ISNUMBER(A341)),VLOOKUP(A341,Studies!A:BR,2,FALSE),"")</f>
        <v>Saari 2006</v>
      </c>
      <c r="C341" s="232" t="str">
        <f>IF(AND(A341&lt;&gt;"",ISNUMBER(A341)),VLOOKUP(A341,Studies!A:BR,3,FALSE),"")</f>
        <v>https://www.ncbi.nlm.nih.gov/pubmed/16580904</v>
      </c>
      <c r="D341" s="232" t="str">
        <f>IF(AND(A341&lt;&gt;"",ISNUMBER(A341)),VLOOKUP(A341,Studies!A:BR,4,FALSE),"")</f>
        <v>iv with Perpetrator (Voriconazole)</v>
      </c>
      <c r="E341" s="206" t="str">
        <f>IF(AND(A341&lt;&gt;"",ISNUMBER(A341)),VLOOKUP(A341,Studies!A:BR,5,FALSE),"")</f>
        <v>Midazolam</v>
      </c>
      <c r="F341" s="175">
        <v>37</v>
      </c>
      <c r="G341" s="198" t="s">
        <v>1023</v>
      </c>
      <c r="H341" s="198" t="s">
        <v>60</v>
      </c>
      <c r="I341" s="190">
        <v>534</v>
      </c>
      <c r="J341" s="190" t="s">
        <v>1024</v>
      </c>
      <c r="K341" s="190" t="s">
        <v>389</v>
      </c>
      <c r="L341" s="191">
        <v>88</v>
      </c>
      <c r="M341" s="191" t="s">
        <v>1024</v>
      </c>
      <c r="N341" s="191" t="s">
        <v>117</v>
      </c>
      <c r="O341" s="190" t="s">
        <v>1025</v>
      </c>
      <c r="P341" s="192"/>
      <c r="Q341" s="192"/>
      <c r="R341" s="192"/>
      <c r="S341" s="193"/>
      <c r="T341" s="193"/>
      <c r="U341" s="193"/>
      <c r="V341" s="152"/>
      <c r="W341" s="196">
        <v>1.6</v>
      </c>
      <c r="X341" s="196" t="s">
        <v>1071</v>
      </c>
      <c r="Y341" s="196" t="s">
        <v>389</v>
      </c>
      <c r="Z341" s="197">
        <v>0.3</v>
      </c>
      <c r="AA341" s="197" t="s">
        <v>1071</v>
      </c>
      <c r="AB341" s="197" t="s">
        <v>117</v>
      </c>
      <c r="AC341" s="200" t="s">
        <v>1064</v>
      </c>
      <c r="AD341" s="202"/>
      <c r="AE341" s="174">
        <f>IF(ISNUMBER(VLOOKUP(A341,NotghiID!A:A,1,FALSE)),1,0)</f>
        <v>1</v>
      </c>
    </row>
    <row r="342" spans="1:31" x14ac:dyDescent="0.2">
      <c r="A342" s="205">
        <v>405</v>
      </c>
      <c r="B342" s="232" t="str">
        <f>IF(AND(A342&lt;&gt;"",ISNUMBER(A342)),VLOOKUP(A342,Studies!A:BR,2,FALSE),"")</f>
        <v>Saari 2006</v>
      </c>
      <c r="C342" s="232" t="str">
        <f>IF(AND(A342&lt;&gt;"",ISNUMBER(A342)),VLOOKUP(A342,Studies!A:BR,3,FALSE),"")</f>
        <v>https://www.ncbi.nlm.nih.gov/pubmed/16580904</v>
      </c>
      <c r="D342" s="232" t="str">
        <f>IF(AND(A342&lt;&gt;"",ISNUMBER(A342)),VLOOKUP(A342,Studies!A:BR,4,FALSE),"")</f>
        <v>iv with Perpetrator (Voriconazole)</v>
      </c>
      <c r="E342" s="206" t="str">
        <f>IF(AND(A342&lt;&gt;"",ISNUMBER(A342)),VLOOKUP(A342,Studies!A:BR,5,FALSE),"")</f>
        <v>Voriconazole</v>
      </c>
      <c r="F342" s="175">
        <v>36</v>
      </c>
      <c r="G342" s="198">
        <f>F342+24</f>
        <v>60</v>
      </c>
      <c r="H342" s="198" t="s">
        <v>60</v>
      </c>
      <c r="I342" s="190">
        <v>13776</v>
      </c>
      <c r="J342" s="190" t="s">
        <v>1024</v>
      </c>
      <c r="K342" s="190" t="s">
        <v>389</v>
      </c>
      <c r="L342" s="191">
        <v>10758</v>
      </c>
      <c r="M342" s="191" t="s">
        <v>1024</v>
      </c>
      <c r="N342" s="191" t="s">
        <v>117</v>
      </c>
      <c r="O342" s="190" t="s">
        <v>1052</v>
      </c>
      <c r="P342" s="192">
        <v>1495</v>
      </c>
      <c r="Q342" s="192" t="s">
        <v>1026</v>
      </c>
      <c r="R342" s="192" t="s">
        <v>116</v>
      </c>
      <c r="S342" s="193">
        <v>609</v>
      </c>
      <c r="T342" s="193" t="s">
        <v>1026</v>
      </c>
      <c r="U342" s="193" t="s">
        <v>117</v>
      </c>
      <c r="V342" s="152" t="s">
        <v>1027</v>
      </c>
      <c r="W342" s="196"/>
      <c r="X342" s="196"/>
      <c r="Y342" s="196"/>
      <c r="Z342" s="197"/>
      <c r="AA342" s="197"/>
      <c r="AB342" s="197"/>
      <c r="AC342" s="200"/>
      <c r="AD342" s="202"/>
      <c r="AE342" s="174">
        <f>IF(ISNUMBER(VLOOKUP(A342,NotghiID!A:A,1,FALSE)),1,0)</f>
        <v>1</v>
      </c>
    </row>
    <row r="343" spans="1:31" x14ac:dyDescent="0.2">
      <c r="A343" s="205">
        <v>55</v>
      </c>
      <c r="B343" s="232" t="str">
        <f>IF(AND(A343&lt;&gt;"",ISNUMBER(A343)),VLOOKUP(A343,Studies!A:BR,2,FALSE),"")</f>
        <v>Backman 1998</v>
      </c>
      <c r="C343" s="232" t="str">
        <f>IF(AND(A343&lt;&gt;"",ISNUMBER(A343)),VLOOKUP(A343,Studies!A:BR,3,FALSE),"")</f>
        <v>https://www.ncbi.nlm.nih.gov/pubmed/9591931</v>
      </c>
      <c r="D343" s="232" t="str">
        <f>IF(AND(A343&lt;&gt;"",ISNUMBER(A343)),VLOOKUP(A343,Studies!A:BR,4,FALSE),"")</f>
        <v>Phase I (Control (Perpetrator Placebo))</v>
      </c>
      <c r="E343" s="206" t="str">
        <f>IF(AND(A343&lt;&gt;"",ISNUMBER(A343)),VLOOKUP(A343,Studies!A:BR,5,FALSE),"")</f>
        <v>Midazolam</v>
      </c>
      <c r="F343" s="175">
        <v>0</v>
      </c>
      <c r="G343" s="198" t="s">
        <v>1023</v>
      </c>
      <c r="H343" s="198" t="s">
        <v>60</v>
      </c>
      <c r="I343" s="190">
        <v>277</v>
      </c>
      <c r="J343" s="190" t="s">
        <v>1092</v>
      </c>
      <c r="K343" s="190" t="s">
        <v>389</v>
      </c>
      <c r="L343" s="191">
        <v>72</v>
      </c>
      <c r="M343" s="191" t="s">
        <v>1092</v>
      </c>
      <c r="N343" s="191" t="s">
        <v>1034</v>
      </c>
      <c r="O343" s="190" t="s">
        <v>1025</v>
      </c>
      <c r="P343" s="192">
        <v>69.5</v>
      </c>
      <c r="Q343" s="192" t="s">
        <v>1026</v>
      </c>
      <c r="R343" s="192" t="s">
        <v>116</v>
      </c>
      <c r="S343" s="193">
        <v>10.4</v>
      </c>
      <c r="T343" s="193" t="s">
        <v>1090</v>
      </c>
      <c r="U343" s="193" t="s">
        <v>1034</v>
      </c>
      <c r="V343" s="201" t="s">
        <v>1027</v>
      </c>
      <c r="W343" s="196"/>
      <c r="X343" s="196"/>
      <c r="Y343" s="196"/>
      <c r="Z343" s="197"/>
      <c r="AA343" s="197"/>
      <c r="AB343" s="197"/>
      <c r="AC343" s="200"/>
      <c r="AD343" s="202"/>
      <c r="AE343" s="174">
        <f>IF(ISNUMBER(VLOOKUP(A343,NotghiID!A:A,1,FALSE)),1,0)</f>
        <v>1</v>
      </c>
    </row>
    <row r="344" spans="1:31" x14ac:dyDescent="0.2">
      <c r="A344" s="205">
        <v>56</v>
      </c>
      <c r="B344" s="232" t="str">
        <f>IF(AND(A344&lt;&gt;"",ISNUMBER(A344)),VLOOKUP(A344,Studies!A:BR,2,FALSE),"")</f>
        <v>Backman 1998</v>
      </c>
      <c r="C344" s="232" t="str">
        <f>IF(AND(A344&lt;&gt;"",ISNUMBER(A344)),VLOOKUP(A344,Studies!A:BR,3,FALSE),"")</f>
        <v>https://www.ncbi.nlm.nih.gov/pubmed/9591931</v>
      </c>
      <c r="D344" s="232" t="str">
        <f>IF(AND(A344&lt;&gt;"",ISNUMBER(A344)),VLOOKUP(A344,Studies!A:BR,4,FALSE),"")</f>
        <v>Phase IV (during Perpetrator (Rifampicin))</v>
      </c>
      <c r="E344" s="206" t="str">
        <f>IF(AND(A344&lt;&gt;"",ISNUMBER(A344)),VLOOKUP(A344,Studies!A:BR,5,FALSE),"")</f>
        <v>Midazolam</v>
      </c>
      <c r="F344" s="175">
        <v>113</v>
      </c>
      <c r="G344" s="198">
        <v>185</v>
      </c>
      <c r="H344" s="198" t="s">
        <v>60</v>
      </c>
      <c r="I344" s="190">
        <v>4.4000000000000004</v>
      </c>
      <c r="J344" s="190" t="s">
        <v>1092</v>
      </c>
      <c r="K344" s="190" t="s">
        <v>389</v>
      </c>
      <c r="L344" s="191">
        <v>1</v>
      </c>
      <c r="M344" s="191" t="s">
        <v>1092</v>
      </c>
      <c r="N344" s="191" t="s">
        <v>1034</v>
      </c>
      <c r="O344" s="190" t="s">
        <v>1025</v>
      </c>
      <c r="P344" s="192">
        <v>3.4</v>
      </c>
      <c r="Q344" s="192" t="s">
        <v>1026</v>
      </c>
      <c r="R344" s="192" t="s">
        <v>116</v>
      </c>
      <c r="S344" s="193">
        <v>0.8</v>
      </c>
      <c r="T344" s="193" t="s">
        <v>1090</v>
      </c>
      <c r="U344" s="193" t="s">
        <v>1034</v>
      </c>
      <c r="V344" s="201" t="s">
        <v>1027</v>
      </c>
      <c r="W344" s="196"/>
      <c r="X344" s="196"/>
      <c r="Y344" s="196"/>
      <c r="Z344" s="197"/>
      <c r="AA344" s="197"/>
      <c r="AB344" s="197"/>
      <c r="AC344" s="200"/>
      <c r="AD344" s="202"/>
      <c r="AE344" s="174">
        <f>IF(ISNUMBER(VLOOKUP(A344,NotghiID!A:A,1,FALSE)),1,0)</f>
        <v>1</v>
      </c>
    </row>
    <row r="345" spans="1:31" x14ac:dyDescent="0.2">
      <c r="A345" s="205">
        <v>57</v>
      </c>
      <c r="B345" s="232" t="str">
        <f>IF(AND(A345&lt;&gt;"",ISNUMBER(A345)),VLOOKUP(A345,Studies!A:BR,2,FALSE),"")</f>
        <v>Backman 1998</v>
      </c>
      <c r="C345" s="232" t="str">
        <f>IF(AND(A345&lt;&gt;"",ISNUMBER(A345)),VLOOKUP(A345,Studies!A:BR,3,FALSE),"")</f>
        <v>https://www.ncbi.nlm.nih.gov/pubmed/9591931</v>
      </c>
      <c r="D345" s="232" t="str">
        <f>IF(AND(A345&lt;&gt;"",ISNUMBER(A345)),VLOOKUP(A345,Studies!A:BR,4,FALSE),"")</f>
        <v>Phase V (4 days after Perpetrator (Rifampicin))</v>
      </c>
      <c r="E345" s="206" t="str">
        <f>IF(AND(A345&lt;&gt;"",ISNUMBER(A345)),VLOOKUP(A345,Studies!A:BR,5,FALSE),"")</f>
        <v>Midazolam</v>
      </c>
      <c r="F345" s="175">
        <v>185</v>
      </c>
      <c r="G345" s="198" t="s">
        <v>1023</v>
      </c>
      <c r="H345" s="198" t="s">
        <v>60</v>
      </c>
      <c r="I345" s="190">
        <v>27.1</v>
      </c>
      <c r="J345" s="190" t="s">
        <v>1092</v>
      </c>
      <c r="K345" s="190" t="s">
        <v>389</v>
      </c>
      <c r="L345" s="191">
        <v>5.0999999999999996</v>
      </c>
      <c r="M345" s="191" t="s">
        <v>1092</v>
      </c>
      <c r="N345" s="191" t="s">
        <v>1034</v>
      </c>
      <c r="O345" s="190" t="s">
        <v>1025</v>
      </c>
      <c r="P345" s="192">
        <v>13.4</v>
      </c>
      <c r="Q345" s="192" t="s">
        <v>1026</v>
      </c>
      <c r="R345" s="192" t="s">
        <v>116</v>
      </c>
      <c r="S345" s="193">
        <v>3.7</v>
      </c>
      <c r="T345" s="193" t="s">
        <v>1090</v>
      </c>
      <c r="U345" s="193" t="s">
        <v>1034</v>
      </c>
      <c r="V345" s="201" t="s">
        <v>1027</v>
      </c>
      <c r="W345" s="196"/>
      <c r="X345" s="196"/>
      <c r="Y345" s="196"/>
      <c r="Z345" s="197"/>
      <c r="AA345" s="197"/>
      <c r="AB345" s="197"/>
      <c r="AC345" s="200"/>
      <c r="AD345" s="202"/>
      <c r="AE345" s="174">
        <f>IF(ISNUMBER(VLOOKUP(A345,NotghiID!A:A,1,FALSE)),1,0)</f>
        <v>1</v>
      </c>
    </row>
    <row r="346" spans="1:31" x14ac:dyDescent="0.2">
      <c r="A346" s="205">
        <v>58</v>
      </c>
      <c r="B346" s="232" t="str">
        <f>IF(AND(A346&lt;&gt;"",ISNUMBER(A346)),VLOOKUP(A346,Studies!A:BR,2,FALSE),"")</f>
        <v>Backman 1998</v>
      </c>
      <c r="C346" s="232" t="str">
        <f>IF(AND(A346&lt;&gt;"",ISNUMBER(A346)),VLOOKUP(A346,Studies!A:BR,3,FALSE),"")</f>
        <v>https://www.ncbi.nlm.nih.gov/pubmed/9591931</v>
      </c>
      <c r="D346" s="232" t="str">
        <f>IF(AND(A346&lt;&gt;"",ISNUMBER(A346)),VLOOKUP(A346,Studies!A:BR,4,FALSE),"")</f>
        <v>Phase II (during Perpetrator (Itraconazole))</v>
      </c>
      <c r="E346" s="206" t="str">
        <f>IF(AND(A346&lt;&gt;"",ISNUMBER(A346)),VLOOKUP(A346,Studies!A:BR,5,FALSE),"")</f>
        <v>Midazolam</v>
      </c>
      <c r="F346" s="175">
        <v>74</v>
      </c>
      <c r="G346" s="198">
        <v>170</v>
      </c>
      <c r="H346" s="198" t="s">
        <v>60</v>
      </c>
      <c r="I346" s="190">
        <f>1707</f>
        <v>1707</v>
      </c>
      <c r="J346" s="190" t="s">
        <v>1092</v>
      </c>
      <c r="K346" s="190" t="s">
        <v>389</v>
      </c>
      <c r="L346" s="191">
        <f>204</f>
        <v>204</v>
      </c>
      <c r="M346" s="191" t="s">
        <v>1092</v>
      </c>
      <c r="N346" s="191" t="s">
        <v>1034</v>
      </c>
      <c r="O346" s="190" t="s">
        <v>1025</v>
      </c>
      <c r="P346" s="192">
        <f>202</f>
        <v>202</v>
      </c>
      <c r="Q346" s="192" t="s">
        <v>1026</v>
      </c>
      <c r="R346" s="192" t="s">
        <v>116</v>
      </c>
      <c r="S346" s="193">
        <f>30</f>
        <v>30</v>
      </c>
      <c r="T346" s="193" t="s">
        <v>1090</v>
      </c>
      <c r="U346" s="193" t="s">
        <v>1034</v>
      </c>
      <c r="V346" s="201" t="s">
        <v>1027</v>
      </c>
      <c r="W346" s="196"/>
      <c r="X346" s="196"/>
      <c r="Y346" s="196"/>
      <c r="Z346" s="197"/>
      <c r="AA346" s="197"/>
      <c r="AB346" s="197"/>
      <c r="AC346" s="200"/>
      <c r="AD346" s="202"/>
      <c r="AE346" s="174">
        <f>IF(ISNUMBER(VLOOKUP(A346,NotghiID!A:A,1,FALSE)),1,0)</f>
        <v>1</v>
      </c>
    </row>
    <row r="347" spans="1:31" x14ac:dyDescent="0.2">
      <c r="A347" s="205">
        <v>59</v>
      </c>
      <c r="B347" s="232" t="str">
        <f>IF(AND(A347&lt;&gt;"",ISNUMBER(A347)),VLOOKUP(A347,Studies!A:BR,2,FALSE),"")</f>
        <v>Backman 1998</v>
      </c>
      <c r="C347" s="232" t="str">
        <f>IF(AND(A347&lt;&gt;"",ISNUMBER(A347)),VLOOKUP(A347,Studies!A:BR,3,FALSE),"")</f>
        <v>https://www.ncbi.nlm.nih.gov/pubmed/9591931</v>
      </c>
      <c r="D347" s="232" t="str">
        <f>IF(AND(A347&lt;&gt;"",ISNUMBER(A347)),VLOOKUP(A347,Studies!A:BR,4,FALSE),"")</f>
        <v>Phase III (4 days after Perpetrator (Itraconazole))</v>
      </c>
      <c r="E347" s="206" t="str">
        <f>IF(AND(A347&lt;&gt;"",ISNUMBER(A347)),VLOOKUP(A347,Studies!A:BR,5,FALSE),"")</f>
        <v>Midazolam</v>
      </c>
      <c r="F347" s="175">
        <v>170</v>
      </c>
      <c r="G347" s="198" t="s">
        <v>1023</v>
      </c>
      <c r="H347" s="198" t="s">
        <v>60</v>
      </c>
      <c r="I347" s="190">
        <f>695</f>
        <v>695</v>
      </c>
      <c r="J347" s="190" t="s">
        <v>1092</v>
      </c>
      <c r="K347" s="190" t="s">
        <v>389</v>
      </c>
      <c r="L347" s="191">
        <f>208</f>
        <v>208</v>
      </c>
      <c r="M347" s="191" t="s">
        <v>1092</v>
      </c>
      <c r="N347" s="191" t="s">
        <v>1034</v>
      </c>
      <c r="O347" s="190" t="s">
        <v>1025</v>
      </c>
      <c r="P347" s="192">
        <f>120</f>
        <v>120</v>
      </c>
      <c r="Q347" s="192" t="s">
        <v>1026</v>
      </c>
      <c r="R347" s="192" t="s">
        <v>116</v>
      </c>
      <c r="S347" s="193">
        <f>7</f>
        <v>7</v>
      </c>
      <c r="T347" s="193" t="s">
        <v>1090</v>
      </c>
      <c r="U347" s="193" t="s">
        <v>1034</v>
      </c>
      <c r="V347" s="201" t="s">
        <v>1027</v>
      </c>
      <c r="W347" s="196"/>
      <c r="X347" s="196"/>
      <c r="Y347" s="196"/>
      <c r="Z347" s="197"/>
      <c r="AA347" s="197"/>
      <c r="AB347" s="197"/>
      <c r="AC347" s="200"/>
      <c r="AD347" s="202"/>
      <c r="AE347" s="174">
        <f>IF(ISNUMBER(VLOOKUP(A347,NotghiID!A:A,1,FALSE)),1,0)</f>
        <v>1</v>
      </c>
    </row>
    <row r="348" spans="1:31" x14ac:dyDescent="0.2">
      <c r="A348" s="213">
        <v>110</v>
      </c>
      <c r="B348" s="232" t="str">
        <f>IF(AND(A348&lt;&gt;"",ISNUMBER(A348)),VLOOKUP(A348,Studies!A:BR,2,FALSE),"")</f>
        <v>Chouchane 1995</v>
      </c>
      <c r="C348" s="232" t="str">
        <f>IF(AND(A348&lt;&gt;"",ISNUMBER(A348)),VLOOKUP(A348,Studies!A:BR,3,FALSE),"")</f>
        <v>https://www.ncbi.nlm.nih.gov/pubmed/8983939</v>
      </c>
      <c r="D348" s="232" t="str">
        <f>IF(AND(A348&lt;&gt;"",ISNUMBER(A348)),VLOOKUP(A348,Studies!A:BR,4,FALSE),"")</f>
        <v>Rimactan</v>
      </c>
      <c r="E348" s="206" t="str">
        <f>IF(AND(A348&lt;&gt;"",ISNUMBER(A348)),VLOOKUP(A348,Studies!A:BR,5,FALSE),"")</f>
        <v>Rifampicin</v>
      </c>
      <c r="F348" s="175">
        <v>0</v>
      </c>
      <c r="G348" s="198" t="s">
        <v>1023</v>
      </c>
      <c r="H348" s="198" t="s">
        <v>60</v>
      </c>
      <c r="I348" s="190">
        <v>25.57</v>
      </c>
      <c r="J348" s="190" t="s">
        <v>1051</v>
      </c>
      <c r="K348" s="190" t="s">
        <v>389</v>
      </c>
      <c r="L348" s="191">
        <v>12.16</v>
      </c>
      <c r="M348" s="191" t="s">
        <v>1051</v>
      </c>
      <c r="N348" s="191" t="s">
        <v>117</v>
      </c>
      <c r="O348" s="190" t="s">
        <v>1025</v>
      </c>
      <c r="P348" s="192">
        <v>6.06</v>
      </c>
      <c r="Q348" s="192" t="s">
        <v>1054</v>
      </c>
      <c r="R348" s="192" t="s">
        <v>116</v>
      </c>
      <c r="S348" s="193">
        <v>2.95</v>
      </c>
      <c r="T348" s="193" t="s">
        <v>1054</v>
      </c>
      <c r="U348" s="193" t="s">
        <v>117</v>
      </c>
      <c r="V348" s="201" t="s">
        <v>1027</v>
      </c>
      <c r="W348" s="196"/>
      <c r="X348" s="196"/>
      <c r="Y348" s="196"/>
      <c r="Z348" s="197"/>
      <c r="AA348" s="197"/>
      <c r="AB348" s="197"/>
      <c r="AC348" s="200"/>
      <c r="AD348" s="202"/>
      <c r="AE348" s="174">
        <f>IF(ISNUMBER(VLOOKUP(A348,NotghiID!A:A,1,FALSE)),1,0)</f>
        <v>1</v>
      </c>
    </row>
    <row r="349" spans="1:31" x14ac:dyDescent="0.2">
      <c r="A349" s="213">
        <v>111</v>
      </c>
      <c r="B349" s="232" t="str">
        <f>IF(AND(A349&lt;&gt;"",ISNUMBER(A349)),VLOOKUP(A349,Studies!A:BR,2,FALSE),"")</f>
        <v>Chouchane 1995</v>
      </c>
      <c r="C349" s="232" t="str">
        <f>IF(AND(A349&lt;&gt;"",ISNUMBER(A349)),VLOOKUP(A349,Studies!A:BR,3,FALSE),"")</f>
        <v>https://www.ncbi.nlm.nih.gov/pubmed/8983939</v>
      </c>
      <c r="D349" s="232" t="str">
        <f>IF(AND(A349&lt;&gt;"",ISNUMBER(A349)),VLOOKUP(A349,Studies!A:BR,4,FALSE),"")</f>
        <v>Rifampicin Generic</v>
      </c>
      <c r="E349" s="206" t="str">
        <f>IF(AND(A349&lt;&gt;"",ISNUMBER(A349)),VLOOKUP(A349,Studies!A:BR,5,FALSE),"")</f>
        <v>Rifampicin</v>
      </c>
      <c r="F349" s="175">
        <v>0</v>
      </c>
      <c r="G349" s="198" t="s">
        <v>1023</v>
      </c>
      <c r="H349" s="198" t="s">
        <v>60</v>
      </c>
      <c r="I349" s="190">
        <v>26.11</v>
      </c>
      <c r="J349" s="190" t="s">
        <v>1051</v>
      </c>
      <c r="K349" s="190" t="s">
        <v>389</v>
      </c>
      <c r="L349" s="191">
        <v>9.1</v>
      </c>
      <c r="M349" s="191" t="s">
        <v>1051</v>
      </c>
      <c r="N349" s="191" t="s">
        <v>117</v>
      </c>
      <c r="O349" s="190" t="s">
        <v>1025</v>
      </c>
      <c r="P349" s="192">
        <v>6.55</v>
      </c>
      <c r="Q349" s="192" t="s">
        <v>1054</v>
      </c>
      <c r="R349" s="192" t="s">
        <v>116</v>
      </c>
      <c r="S349" s="193">
        <v>2.4700000000000002</v>
      </c>
      <c r="T349" s="193" t="s">
        <v>1054</v>
      </c>
      <c r="U349" s="193" t="s">
        <v>117</v>
      </c>
      <c r="V349" s="201" t="s">
        <v>1027</v>
      </c>
      <c r="W349" s="196"/>
      <c r="X349" s="196"/>
      <c r="Y349" s="196"/>
      <c r="Z349" s="197"/>
      <c r="AA349" s="197"/>
      <c r="AB349" s="197"/>
      <c r="AC349" s="200"/>
      <c r="AD349" s="202"/>
      <c r="AE349" s="174">
        <f>IF(ISNUMBER(VLOOKUP(A349,NotghiID!A:A,1,FALSE)),1,0)</f>
        <v>1</v>
      </c>
    </row>
    <row r="350" spans="1:31" x14ac:dyDescent="0.2">
      <c r="A350" s="205">
        <v>118</v>
      </c>
      <c r="B350" s="232" t="str">
        <f>IF(AND(A350&lt;&gt;"",ISNUMBER(A350)),VLOOKUP(A350,Studies!A:BR,2,FALSE),"")</f>
        <v>Darwish 2008</v>
      </c>
      <c r="C350" s="232" t="str">
        <f>IF(AND(A350&lt;&gt;"",ISNUMBER(A350)),VLOOKUP(A350,Studies!A:BR,3,FALSE),"")</f>
        <v>https://www.ncbi.nlm.nih.gov/pubmed/18076219</v>
      </c>
      <c r="D350" s="232" t="str">
        <f>IF(AND(A350&lt;&gt;"",ISNUMBER(A350)),VLOOKUP(A350,Studies!A:BR,4,FALSE),"")</f>
        <v>oral</v>
      </c>
      <c r="E350" s="206" t="str">
        <f>IF(AND(A350&lt;&gt;"",ISNUMBER(A350)),VLOOKUP(A350,Studies!A:BR,5,FALSE),"")</f>
        <v>Midazolam</v>
      </c>
      <c r="F350" s="175">
        <v>0</v>
      </c>
      <c r="G350" s="198" t="s">
        <v>1023</v>
      </c>
      <c r="H350" s="198" t="s">
        <v>60</v>
      </c>
      <c r="I350" s="190">
        <v>53.8</v>
      </c>
      <c r="J350" s="190" t="s">
        <v>1024</v>
      </c>
      <c r="K350" s="190" t="s">
        <v>389</v>
      </c>
      <c r="L350" s="191">
        <v>19.5</v>
      </c>
      <c r="M350" s="191" t="s">
        <v>1024</v>
      </c>
      <c r="N350" s="191" t="s">
        <v>117</v>
      </c>
      <c r="O350" s="190" t="s">
        <v>1025</v>
      </c>
      <c r="P350" s="192">
        <v>18.7</v>
      </c>
      <c r="Q350" s="192" t="s">
        <v>1026</v>
      </c>
      <c r="R350" s="192" t="s">
        <v>116</v>
      </c>
      <c r="S350" s="193">
        <v>6.3</v>
      </c>
      <c r="T350" s="193" t="s">
        <v>1026</v>
      </c>
      <c r="U350" s="193" t="s">
        <v>117</v>
      </c>
      <c r="V350" s="201" t="s">
        <v>1027</v>
      </c>
      <c r="W350" s="196">
        <v>1717.6</v>
      </c>
      <c r="X350" s="196" t="s">
        <v>1043</v>
      </c>
      <c r="Y350" s="196" t="s">
        <v>116</v>
      </c>
      <c r="Z350" s="197">
        <v>529.20000000000005</v>
      </c>
      <c r="AA350" s="197" t="s">
        <v>1043</v>
      </c>
      <c r="AB350" s="197" t="s">
        <v>117</v>
      </c>
      <c r="AC350" s="200" t="s">
        <v>1033</v>
      </c>
      <c r="AD350" s="202"/>
      <c r="AE350" s="174">
        <f>IF(ISNUMBER(VLOOKUP(A350,NotghiID!A:A,1,FALSE)),1,0)</f>
        <v>1</v>
      </c>
    </row>
    <row r="351" spans="1:31" x14ac:dyDescent="0.2">
      <c r="A351" s="205">
        <v>119</v>
      </c>
      <c r="B351" s="232" t="str">
        <f>IF(AND(A351&lt;&gt;"",ISNUMBER(A351)),VLOOKUP(A351,Studies!A:BR,2,FALSE),"")</f>
        <v>Darwish 2008</v>
      </c>
      <c r="C351" s="232" t="str">
        <f>IF(AND(A351&lt;&gt;"",ISNUMBER(A351)),VLOOKUP(A351,Studies!A:BR,3,FALSE),"")</f>
        <v xml:space="preserve">https://www.ncbi.nlm.nih.gov/pubmed/18076219 </v>
      </c>
      <c r="D351" s="232" t="str">
        <f>IF(AND(A351&lt;&gt;"",ISNUMBER(A351)),VLOOKUP(A351,Studies!A:BR,4,FALSE),"")</f>
        <v>iv</v>
      </c>
      <c r="E351" s="206" t="str">
        <f>IF(AND(A351&lt;&gt;"",ISNUMBER(A351)),VLOOKUP(A351,Studies!A:BR,5,FALSE),"")</f>
        <v>Midazolam</v>
      </c>
      <c r="F351" s="175">
        <v>0</v>
      </c>
      <c r="G351" s="198" t="s">
        <v>1023</v>
      </c>
      <c r="H351" s="198" t="s">
        <v>60</v>
      </c>
      <c r="I351" s="190">
        <v>76.900000000000006</v>
      </c>
      <c r="J351" s="190" t="s">
        <v>1024</v>
      </c>
      <c r="K351" s="190" t="s">
        <v>389</v>
      </c>
      <c r="L351" s="191">
        <v>16.5</v>
      </c>
      <c r="M351" s="191" t="s">
        <v>1024</v>
      </c>
      <c r="N351" s="191" t="s">
        <v>117</v>
      </c>
      <c r="O351" s="190" t="s">
        <v>1025</v>
      </c>
      <c r="P351" s="192"/>
      <c r="Q351" s="192"/>
      <c r="R351" s="192"/>
      <c r="S351" s="193"/>
      <c r="T351" s="193"/>
      <c r="U351" s="193"/>
      <c r="V351" s="201"/>
      <c r="W351" s="196">
        <v>451.9</v>
      </c>
      <c r="X351" s="196" t="s">
        <v>1043</v>
      </c>
      <c r="Y351" s="196" t="s">
        <v>116</v>
      </c>
      <c r="Z351" s="197">
        <v>92.1</v>
      </c>
      <c r="AA351" s="197" t="s">
        <v>1043</v>
      </c>
      <c r="AB351" s="197" t="s">
        <v>117</v>
      </c>
      <c r="AC351" s="200" t="s">
        <v>1064</v>
      </c>
      <c r="AD351" s="202"/>
      <c r="AE351" s="174">
        <f>IF(ISNUMBER(VLOOKUP(A351,NotghiID!A:A,1,FALSE)),1,0)</f>
        <v>1</v>
      </c>
    </row>
    <row r="352" spans="1:31" x14ac:dyDescent="0.2">
      <c r="A352" s="205">
        <v>120</v>
      </c>
      <c r="B352" s="232" t="str">
        <f>IF(AND(A352&lt;&gt;"",ISNUMBER(A352)),VLOOKUP(A352,Studies!A:BR,2,FALSE),"")</f>
        <v>Darwish 2008</v>
      </c>
      <c r="C352" s="232" t="str">
        <f>IF(AND(A352&lt;&gt;"",ISNUMBER(A352)),VLOOKUP(A352,Studies!A:BR,3,FALSE),"")</f>
        <v xml:space="preserve">https://www.ncbi.nlm.nih.gov/pubmed/18076219 </v>
      </c>
      <c r="D352" s="232" t="str">
        <f>IF(AND(A352&lt;&gt;"",ISNUMBER(A352)),VLOOKUP(A352,Studies!A:BR,4,FALSE),"")</f>
        <v>oral</v>
      </c>
      <c r="E352" s="206" t="str">
        <f>IF(AND(A352&lt;&gt;"",ISNUMBER(A352)),VLOOKUP(A352,Studies!A:BR,5,FALSE),"")</f>
        <v>Caffeine</v>
      </c>
      <c r="F352" s="175">
        <v>0</v>
      </c>
      <c r="G352" s="198" t="s">
        <v>1023</v>
      </c>
      <c r="H352" s="198" t="s">
        <v>60</v>
      </c>
      <c r="I352" s="190">
        <v>47.3</v>
      </c>
      <c r="J352" s="190" t="s">
        <v>1051</v>
      </c>
      <c r="K352" s="190" t="s">
        <v>389</v>
      </c>
      <c r="L352" s="191">
        <v>20.399999999999999</v>
      </c>
      <c r="M352" s="191" t="s">
        <v>1051</v>
      </c>
      <c r="N352" s="191" t="s">
        <v>117</v>
      </c>
      <c r="O352" s="190" t="s">
        <v>1025</v>
      </c>
      <c r="P352" s="192">
        <v>5.01</v>
      </c>
      <c r="Q352" s="192" t="s">
        <v>1054</v>
      </c>
      <c r="R352" s="192" t="s">
        <v>116</v>
      </c>
      <c r="S352" s="193">
        <v>1.1599999999999999</v>
      </c>
      <c r="T352" s="193" t="s">
        <v>1054</v>
      </c>
      <c r="U352" s="193" t="s">
        <v>117</v>
      </c>
      <c r="V352" s="201" t="s">
        <v>1027</v>
      </c>
      <c r="W352" s="196">
        <v>84.3</v>
      </c>
      <c r="X352" s="196" t="s">
        <v>1043</v>
      </c>
      <c r="Y352" s="196" t="s">
        <v>116</v>
      </c>
      <c r="Z352" s="197">
        <v>37.200000000000003</v>
      </c>
      <c r="AA352" s="197" t="s">
        <v>1043</v>
      </c>
      <c r="AB352" s="197" t="s">
        <v>117</v>
      </c>
      <c r="AC352" s="200" t="s">
        <v>1033</v>
      </c>
      <c r="AD352" s="202" t="s">
        <v>1101</v>
      </c>
      <c r="AE352" s="174">
        <f>IF(ISNUMBER(VLOOKUP(A352,NotghiID!A:A,1,FALSE)),1,0)</f>
        <v>1</v>
      </c>
    </row>
    <row r="353" spans="1:31" x14ac:dyDescent="0.2">
      <c r="A353" s="213">
        <v>172</v>
      </c>
      <c r="B353" s="232" t="str">
        <f>IF(AND(A353&lt;&gt;"",ISNUMBER(A353)),VLOOKUP(A353,Studies!A:BR,2,FALSE),"")</f>
        <v>Gorski 1998</v>
      </c>
      <c r="C353" s="232" t="str">
        <f>IF(AND(A353&lt;&gt;"",ISNUMBER(A353)),VLOOKUP(A353,Studies!A:BR,3,FALSE),"")</f>
        <v>https://www.ncbi.nlm.nih.gov/pubmed/9728893</v>
      </c>
      <c r="D353" s="232" t="str">
        <f>IF(AND(A353&lt;&gt;"",ISNUMBER(A353)),VLOOKUP(A353,Studies!A:BR,4,FALSE),"")</f>
        <v>po Control (Perpetrator Placebo)</v>
      </c>
      <c r="E353" s="206" t="str">
        <f>IF(AND(A353&lt;&gt;"",ISNUMBER(A353)),VLOOKUP(A353,Studies!A:BR,5,FALSE),"")</f>
        <v>Midazolam</v>
      </c>
      <c r="F353" s="175">
        <v>0</v>
      </c>
      <c r="G353" s="198" t="s">
        <v>1023</v>
      </c>
      <c r="H353" s="198" t="s">
        <v>60</v>
      </c>
      <c r="I353" s="190">
        <v>48</v>
      </c>
      <c r="J353" s="190" t="s">
        <v>1062</v>
      </c>
      <c r="K353" s="190" t="s">
        <v>389</v>
      </c>
      <c r="L353" s="191">
        <v>21</v>
      </c>
      <c r="M353" s="191" t="s">
        <v>1102</v>
      </c>
      <c r="N353" s="191" t="s">
        <v>117</v>
      </c>
      <c r="O353" s="190" t="s">
        <v>1025</v>
      </c>
      <c r="P353" s="192"/>
      <c r="Q353" s="192"/>
      <c r="R353" s="192"/>
      <c r="S353" s="193"/>
      <c r="T353" s="193"/>
      <c r="U353" s="193"/>
      <c r="V353" s="201"/>
      <c r="W353" s="196">
        <v>103</v>
      </c>
      <c r="X353" s="196" t="s">
        <v>1061</v>
      </c>
      <c r="Y353" s="196" t="s">
        <v>116</v>
      </c>
      <c r="Z353" s="197">
        <v>53</v>
      </c>
      <c r="AA353" s="197" t="s">
        <v>1061</v>
      </c>
      <c r="AB353" s="197" t="s">
        <v>117</v>
      </c>
      <c r="AC353" s="200" t="s">
        <v>1033</v>
      </c>
      <c r="AD353" s="202"/>
      <c r="AE353" s="174">
        <f>IF(ISNUMBER(VLOOKUP(A353,NotghiID!A:A,1,FALSE)),1,0)</f>
        <v>1</v>
      </c>
    </row>
    <row r="354" spans="1:31" x14ac:dyDescent="0.2">
      <c r="A354" s="213">
        <v>173</v>
      </c>
      <c r="B354" s="232" t="str">
        <f>IF(AND(A354&lt;&gt;"",ISNUMBER(A354)),VLOOKUP(A354,Studies!A:BR,2,FALSE),"")</f>
        <v>Gorski 1998</v>
      </c>
      <c r="C354" s="232" t="str">
        <f>IF(AND(A354&lt;&gt;"",ISNUMBER(A354)),VLOOKUP(A354,Studies!A:BR,3,FALSE),"")</f>
        <v>https://www.ncbi.nlm.nih.gov/pubmed/9728893</v>
      </c>
      <c r="D354" s="232" t="str">
        <f>IF(AND(A354&lt;&gt;"",ISNUMBER(A354)),VLOOKUP(A354,Studies!A:BR,4,FALSE),"")</f>
        <v>po with Perpetrator (Clarithromycin)</v>
      </c>
      <c r="E354" s="206" t="str">
        <f>IF(AND(A354&lt;&gt;"",ISNUMBER(A354)),VLOOKUP(A354,Studies!A:BR,5,FALSE),"")</f>
        <v>Midazolam</v>
      </c>
      <c r="F354" s="175">
        <v>146</v>
      </c>
      <c r="G354" s="198" t="s">
        <v>1023</v>
      </c>
      <c r="H354" s="198" t="s">
        <v>60</v>
      </c>
      <c r="I354" s="190">
        <v>336</v>
      </c>
      <c r="J354" s="190" t="s">
        <v>1062</v>
      </c>
      <c r="K354" s="190" t="s">
        <v>389</v>
      </c>
      <c r="L354" s="191">
        <v>140</v>
      </c>
      <c r="M354" s="191" t="s">
        <v>1102</v>
      </c>
      <c r="N354" s="191" t="s">
        <v>117</v>
      </c>
      <c r="O354" s="190" t="s">
        <v>1025</v>
      </c>
      <c r="P354" s="192"/>
      <c r="Q354" s="192"/>
      <c r="R354" s="192"/>
      <c r="S354" s="193"/>
      <c r="T354" s="193"/>
      <c r="U354" s="193"/>
      <c r="V354" s="201"/>
      <c r="W354" s="196">
        <v>15</v>
      </c>
      <c r="X354" s="196" t="s">
        <v>1061</v>
      </c>
      <c r="Y354" s="196" t="s">
        <v>116</v>
      </c>
      <c r="Z354" s="197">
        <v>8.6999999999999993</v>
      </c>
      <c r="AA354" s="197" t="s">
        <v>1061</v>
      </c>
      <c r="AB354" s="197" t="s">
        <v>117</v>
      </c>
      <c r="AC354" s="200" t="s">
        <v>1033</v>
      </c>
      <c r="AD354" s="202"/>
      <c r="AE354" s="174">
        <f>IF(ISNUMBER(VLOOKUP(A354,NotghiID!A:A,1,FALSE)),1,0)</f>
        <v>1</v>
      </c>
    </row>
    <row r="355" spans="1:31" x14ac:dyDescent="0.2">
      <c r="A355" s="213">
        <v>174</v>
      </c>
      <c r="B355" s="232" t="str">
        <f>IF(AND(A355&lt;&gt;"",ISNUMBER(A355)),VLOOKUP(A355,Studies!A:BR,2,FALSE),"")</f>
        <v>Gorski 1998</v>
      </c>
      <c r="C355" s="232" t="str">
        <f>IF(AND(A355&lt;&gt;"",ISNUMBER(A355)),VLOOKUP(A355,Studies!A:BR,3,FALSE),"")</f>
        <v>https://www.ncbi.nlm.nih.gov/pubmed/9728893</v>
      </c>
      <c r="D355" s="232" t="str">
        <f>IF(AND(A355&lt;&gt;"",ISNUMBER(A355)),VLOOKUP(A355,Studies!A:BR,4,FALSE),"")</f>
        <v>iv Control (Perpetrator Placebo)</v>
      </c>
      <c r="E355" s="206" t="str">
        <f>IF(AND(A355&lt;&gt;"",ISNUMBER(A355)),VLOOKUP(A355,Studies!A:BR,5,FALSE),"")</f>
        <v>Midazolam</v>
      </c>
      <c r="F355" s="175">
        <v>0</v>
      </c>
      <c r="G355" s="198" t="s">
        <v>1023</v>
      </c>
      <c r="H355" s="198" t="s">
        <v>60</v>
      </c>
      <c r="I355" s="190">
        <v>127</v>
      </c>
      <c r="J355" s="190" t="s">
        <v>1062</v>
      </c>
      <c r="K355" s="190" t="s">
        <v>389</v>
      </c>
      <c r="L355" s="191">
        <v>61</v>
      </c>
      <c r="M355" s="191" t="s">
        <v>1102</v>
      </c>
      <c r="N355" s="191" t="s">
        <v>117</v>
      </c>
      <c r="O355" s="190" t="s">
        <v>1025</v>
      </c>
      <c r="P355" s="192"/>
      <c r="Q355" s="192"/>
      <c r="R355" s="192"/>
      <c r="S355" s="193"/>
      <c r="T355" s="193"/>
      <c r="U355" s="193"/>
      <c r="V355" s="201"/>
      <c r="W355" s="196">
        <v>27.8</v>
      </c>
      <c r="X355" s="196" t="s">
        <v>1061</v>
      </c>
      <c r="Y355" s="196" t="s">
        <v>116</v>
      </c>
      <c r="Z355" s="197">
        <v>9.3000000000000007</v>
      </c>
      <c r="AA355" s="197" t="s">
        <v>1061</v>
      </c>
      <c r="AB355" s="197" t="s">
        <v>117</v>
      </c>
      <c r="AC355" s="200" t="s">
        <v>1064</v>
      </c>
      <c r="AD355" s="202"/>
      <c r="AE355" s="174">
        <f>IF(ISNUMBER(VLOOKUP(A355,NotghiID!A:A,1,FALSE)),1,0)</f>
        <v>1</v>
      </c>
    </row>
    <row r="356" spans="1:31" x14ac:dyDescent="0.2">
      <c r="A356" s="213">
        <v>175</v>
      </c>
      <c r="B356" s="232" t="str">
        <f>IF(AND(A356&lt;&gt;"",ISNUMBER(A356)),VLOOKUP(A356,Studies!A:BR,2,FALSE),"")</f>
        <v>Gorski 1998</v>
      </c>
      <c r="C356" s="232" t="str">
        <f>IF(AND(A356&lt;&gt;"",ISNUMBER(A356)),VLOOKUP(A356,Studies!A:BR,3,FALSE),"")</f>
        <v>https://www.ncbi.nlm.nih.gov/pubmed/9728893</v>
      </c>
      <c r="D356" s="232" t="str">
        <f>IF(AND(A356&lt;&gt;"",ISNUMBER(A356)),VLOOKUP(A356,Studies!A:BR,4,FALSE),"")</f>
        <v>iv with Perpetrator (Clarithromycin)</v>
      </c>
      <c r="E356" s="206" t="str">
        <f>IF(AND(A356&lt;&gt;"",ISNUMBER(A356)),VLOOKUP(A356,Studies!A:BR,5,FALSE),"")</f>
        <v>Midazolam</v>
      </c>
      <c r="F356" s="175">
        <v>146</v>
      </c>
      <c r="G356" s="198" t="s">
        <v>1023</v>
      </c>
      <c r="H356" s="198" t="s">
        <v>60</v>
      </c>
      <c r="I356" s="190">
        <v>349</v>
      </c>
      <c r="J356" s="190" t="s">
        <v>1062</v>
      </c>
      <c r="K356" s="190" t="s">
        <v>389</v>
      </c>
      <c r="L356" s="191">
        <v>119</v>
      </c>
      <c r="M356" s="191" t="s">
        <v>1102</v>
      </c>
      <c r="N356" s="191" t="s">
        <v>117</v>
      </c>
      <c r="O356" s="190" t="s">
        <v>1025</v>
      </c>
      <c r="P356" s="192"/>
      <c r="Q356" s="192"/>
      <c r="R356" s="192"/>
      <c r="S356" s="193"/>
      <c r="T356" s="193"/>
      <c r="U356" s="193"/>
      <c r="V356" s="201"/>
      <c r="W356" s="196">
        <v>10.1</v>
      </c>
      <c r="X356" s="196" t="s">
        <v>1061</v>
      </c>
      <c r="Y356" s="196" t="s">
        <v>116</v>
      </c>
      <c r="Z356" s="197">
        <v>3.2</v>
      </c>
      <c r="AA356" s="197" t="s">
        <v>1061</v>
      </c>
      <c r="AB356" s="197" t="s">
        <v>117</v>
      </c>
      <c r="AC356" s="200" t="s">
        <v>1064</v>
      </c>
      <c r="AD356" s="202"/>
      <c r="AE356" s="174">
        <f>IF(ISNUMBER(VLOOKUP(A356,NotghiID!A:A,1,FALSE)),1,0)</f>
        <v>1</v>
      </c>
    </row>
    <row r="357" spans="1:31" x14ac:dyDescent="0.2">
      <c r="A357" s="213">
        <v>176</v>
      </c>
      <c r="B357" s="232" t="str">
        <f>IF(AND(A357&lt;&gt;"",ISNUMBER(A357)),VLOOKUP(A357,Studies!A:BR,2,FALSE),"")</f>
        <v>Gorski 2003</v>
      </c>
      <c r="C357" s="232" t="str">
        <f>IF(AND(A357&lt;&gt;"",ISNUMBER(A357)),VLOOKUP(A357,Studies!A:BR,3,FALSE),"")</f>
        <v>https://www.ncbi.nlm.nih.gov/pubmed/12966371</v>
      </c>
      <c r="D357" s="232" t="str">
        <f>IF(AND(A357&lt;&gt;"",ISNUMBER(A357)),VLOOKUP(A357,Studies!A:BR,4,FALSE),"")</f>
        <v>po Control (Perpetrator Placebo)</v>
      </c>
      <c r="E357" s="206" t="str">
        <f>IF(AND(A357&lt;&gt;"",ISNUMBER(A357)),VLOOKUP(A357,Studies!A:BR,5,FALSE),"")</f>
        <v>Midazolam</v>
      </c>
      <c r="F357" s="175">
        <v>0</v>
      </c>
      <c r="G357" s="198" t="s">
        <v>1023</v>
      </c>
      <c r="H357" s="198" t="s">
        <v>60</v>
      </c>
      <c r="I357" s="190">
        <v>35.799999999999997</v>
      </c>
      <c r="J357" s="190" t="s">
        <v>1062</v>
      </c>
      <c r="K357" s="190" t="s">
        <v>389</v>
      </c>
      <c r="L357" s="191">
        <v>20.8</v>
      </c>
      <c r="M357" s="191" t="s">
        <v>1062</v>
      </c>
      <c r="N357" s="191" t="s">
        <v>117</v>
      </c>
      <c r="O357" s="190" t="s">
        <v>1025</v>
      </c>
      <c r="P357" s="192">
        <v>17.899999999999999</v>
      </c>
      <c r="Q357" s="192" t="s">
        <v>1026</v>
      </c>
      <c r="R357" s="192" t="s">
        <v>116</v>
      </c>
      <c r="S357" s="193">
        <v>7.6</v>
      </c>
      <c r="T357" s="193" t="s">
        <v>1026</v>
      </c>
      <c r="U357" s="193" t="s">
        <v>117</v>
      </c>
      <c r="V357" s="201" t="s">
        <v>1027</v>
      </c>
      <c r="W357" s="196">
        <v>115.9</v>
      </c>
      <c r="X357" s="196" t="s">
        <v>1061</v>
      </c>
      <c r="Y357" s="196" t="s">
        <v>116</v>
      </c>
      <c r="Z357" s="197">
        <v>58.6</v>
      </c>
      <c r="AA357" s="197" t="s">
        <v>1061</v>
      </c>
      <c r="AB357" s="197" t="s">
        <v>117</v>
      </c>
      <c r="AC357" s="200" t="s">
        <v>1033</v>
      </c>
      <c r="AD357" s="202"/>
      <c r="AE357" s="174">
        <f>IF(ISNUMBER(VLOOKUP(A357,NotghiID!A:A,1,FALSE)),1,0)</f>
        <v>1</v>
      </c>
    </row>
    <row r="358" spans="1:31" x14ac:dyDescent="0.2">
      <c r="A358" s="213">
        <v>177</v>
      </c>
      <c r="B358" s="232" t="str">
        <f>IF(AND(A358&lt;&gt;"",ISNUMBER(A358)),VLOOKUP(A358,Studies!A:BR,2,FALSE),"")</f>
        <v>Gorski 2003</v>
      </c>
      <c r="C358" s="232" t="str">
        <f>IF(AND(A358&lt;&gt;"",ISNUMBER(A358)),VLOOKUP(A358,Studies!A:BR,3,FALSE),"")</f>
        <v>https://www.ncbi.nlm.nih.gov/pubmed/12966371</v>
      </c>
      <c r="D358" s="232" t="str">
        <f>IF(AND(A358&lt;&gt;"",ISNUMBER(A358)),VLOOKUP(A358,Studies!A:BR,4,FALSE),"")</f>
        <v>po with Perpetrator (Rifampicin)</v>
      </c>
      <c r="E358" s="206" t="str">
        <f>IF(AND(A358&lt;&gt;"",ISNUMBER(A358)),VLOOKUP(A358,Studies!A:BR,5,FALSE),"")</f>
        <v>Midazolam</v>
      </c>
      <c r="F358" s="175">
        <v>132</v>
      </c>
      <c r="G358" s="198" t="s">
        <v>1023</v>
      </c>
      <c r="H358" s="198" t="s">
        <v>60</v>
      </c>
      <c r="I358" s="190">
        <v>3.7</v>
      </c>
      <c r="J358" s="190" t="s">
        <v>1062</v>
      </c>
      <c r="K358" s="190" t="s">
        <v>389</v>
      </c>
      <c r="L358" s="191">
        <v>2.8</v>
      </c>
      <c r="M358" s="191" t="s">
        <v>1062</v>
      </c>
      <c r="N358" s="191" t="s">
        <v>117</v>
      </c>
      <c r="O358" s="190" t="s">
        <v>1025</v>
      </c>
      <c r="P358" s="192">
        <v>1.8</v>
      </c>
      <c r="Q358" s="192" t="s">
        <v>1026</v>
      </c>
      <c r="R358" s="192" t="s">
        <v>116</v>
      </c>
      <c r="S358" s="193">
        <v>1.1000000000000001</v>
      </c>
      <c r="T358" s="193" t="s">
        <v>1026</v>
      </c>
      <c r="U358" s="193" t="s">
        <v>117</v>
      </c>
      <c r="V358" s="201" t="s">
        <v>1027</v>
      </c>
      <c r="W358" s="196">
        <v>2691.4</v>
      </c>
      <c r="X358" s="196" t="s">
        <v>1061</v>
      </c>
      <c r="Y358" s="196" t="s">
        <v>116</v>
      </c>
      <c r="Z358" s="197">
        <v>1996.1</v>
      </c>
      <c r="AA358" s="197" t="s">
        <v>1061</v>
      </c>
      <c r="AB358" s="197" t="s">
        <v>117</v>
      </c>
      <c r="AC358" s="200" t="s">
        <v>1033</v>
      </c>
      <c r="AD358" s="202"/>
      <c r="AE358" s="174">
        <f>IF(ISNUMBER(VLOOKUP(A358,NotghiID!A:A,1,FALSE)),1,0)</f>
        <v>1</v>
      </c>
    </row>
    <row r="359" spans="1:31" x14ac:dyDescent="0.2">
      <c r="A359" s="213">
        <v>178</v>
      </c>
      <c r="B359" s="232" t="str">
        <f>IF(AND(A359&lt;&gt;"",ISNUMBER(A359)),VLOOKUP(A359,Studies!A:BR,2,FALSE),"")</f>
        <v>Gorski 2003</v>
      </c>
      <c r="C359" s="232" t="str">
        <f>IF(AND(A359&lt;&gt;"",ISNUMBER(A359)),VLOOKUP(A359,Studies!A:BR,3,FALSE),"")</f>
        <v>https://www.ncbi.nlm.nih.gov/pubmed/12966371</v>
      </c>
      <c r="D359" s="232" t="str">
        <f>IF(AND(A359&lt;&gt;"",ISNUMBER(A359)),VLOOKUP(A359,Studies!A:BR,4,FALSE),"")</f>
        <v>iv Control (Perpetrator Placebo)</v>
      </c>
      <c r="E359" s="206" t="str">
        <f>IF(AND(A359&lt;&gt;"",ISNUMBER(A359)),VLOOKUP(A359,Studies!A:BR,5,FALSE),"")</f>
        <v>Midazolam</v>
      </c>
      <c r="F359" s="175">
        <v>0</v>
      </c>
      <c r="G359" s="198" t="s">
        <v>1023</v>
      </c>
      <c r="H359" s="198" t="s">
        <v>60</v>
      </c>
      <c r="I359" s="190">
        <v>117.6</v>
      </c>
      <c r="J359" s="190" t="s">
        <v>1062</v>
      </c>
      <c r="K359" s="190" t="s">
        <v>389</v>
      </c>
      <c r="L359" s="191">
        <v>41.6</v>
      </c>
      <c r="M359" s="191" t="s">
        <v>1062</v>
      </c>
      <c r="N359" s="191" t="s">
        <v>117</v>
      </c>
      <c r="O359" s="190" t="s">
        <v>1025</v>
      </c>
      <c r="P359" s="192"/>
      <c r="Q359" s="192"/>
      <c r="R359" s="192"/>
      <c r="S359" s="193"/>
      <c r="T359" s="193"/>
      <c r="U359" s="193"/>
      <c r="V359" s="201"/>
      <c r="W359" s="196">
        <v>32.799999999999997</v>
      </c>
      <c r="X359" s="196" t="s">
        <v>1061</v>
      </c>
      <c r="Y359" s="196" t="s">
        <v>116</v>
      </c>
      <c r="Z359" s="197">
        <v>12.2</v>
      </c>
      <c r="AA359" s="197" t="s">
        <v>1061</v>
      </c>
      <c r="AB359" s="197" t="s">
        <v>117</v>
      </c>
      <c r="AC359" s="200" t="s">
        <v>1064</v>
      </c>
      <c r="AD359" s="202"/>
      <c r="AE359" s="174">
        <f>IF(ISNUMBER(VLOOKUP(A359,NotghiID!A:A,1,FALSE)),1,0)</f>
        <v>1</v>
      </c>
    </row>
    <row r="360" spans="1:31" x14ac:dyDescent="0.2">
      <c r="A360" s="213">
        <v>179</v>
      </c>
      <c r="B360" s="232" t="str">
        <f>IF(AND(A360&lt;&gt;"",ISNUMBER(A360)),VLOOKUP(A360,Studies!A:BR,2,FALSE),"")</f>
        <v>Gorski 2003</v>
      </c>
      <c r="C360" s="232" t="str">
        <f>IF(AND(A360&lt;&gt;"",ISNUMBER(A360)),VLOOKUP(A360,Studies!A:BR,3,FALSE),"")</f>
        <v>https://www.ncbi.nlm.nih.gov/pubmed/12966371</v>
      </c>
      <c r="D360" s="232" t="str">
        <f>IF(AND(A360&lt;&gt;"",ISNUMBER(A360)),VLOOKUP(A360,Studies!A:BR,4,FALSE),"")</f>
        <v>iv with Perpetrator (Rifampicin)</v>
      </c>
      <c r="E360" s="206" t="str">
        <f>IF(AND(A360&lt;&gt;"",ISNUMBER(A360)),VLOOKUP(A360,Studies!A:BR,5,FALSE),"")</f>
        <v>Midazolam</v>
      </c>
      <c r="F360" s="175">
        <v>132</v>
      </c>
      <c r="G360" s="198" t="s">
        <v>1023</v>
      </c>
      <c r="H360" s="198" t="s">
        <v>60</v>
      </c>
      <c r="I360" s="190">
        <v>52.8</v>
      </c>
      <c r="J360" s="190" t="s">
        <v>1062</v>
      </c>
      <c r="K360" s="190" t="s">
        <v>389</v>
      </c>
      <c r="L360" s="191">
        <v>15.7</v>
      </c>
      <c r="M360" s="191" t="s">
        <v>1062</v>
      </c>
      <c r="N360" s="191" t="s">
        <v>117</v>
      </c>
      <c r="O360" s="190" t="s">
        <v>1025</v>
      </c>
      <c r="P360" s="192"/>
      <c r="Q360" s="192"/>
      <c r="R360" s="192"/>
      <c r="S360" s="193"/>
      <c r="T360" s="193"/>
      <c r="U360" s="193"/>
      <c r="V360" s="201"/>
      <c r="W360" s="196">
        <v>70.8</v>
      </c>
      <c r="X360" s="196" t="s">
        <v>1061</v>
      </c>
      <c r="Y360" s="196" t="s">
        <v>116</v>
      </c>
      <c r="Z360" s="197">
        <v>20.100000000000001</v>
      </c>
      <c r="AA360" s="197" t="s">
        <v>1061</v>
      </c>
      <c r="AB360" s="197" t="s">
        <v>117</v>
      </c>
      <c r="AC360" s="200" t="s">
        <v>1064</v>
      </c>
      <c r="AD360" s="202"/>
      <c r="AE360" s="174">
        <f>IF(ISNUMBER(VLOOKUP(A360,NotghiID!A:A,1,FALSE)),1,0)</f>
        <v>1</v>
      </c>
    </row>
    <row r="361" spans="1:31" x14ac:dyDescent="0.2">
      <c r="A361" s="205">
        <v>180</v>
      </c>
      <c r="B361" s="232" t="str">
        <f>IF(AND(A361&lt;&gt;"",ISNUMBER(A361)),VLOOKUP(A361,Studies!A:BR,2,FALSE),"")</f>
        <v>Greenblat 1984</v>
      </c>
      <c r="C361" s="232" t="str">
        <f>IF(AND(A361&lt;&gt;"",ISNUMBER(A361)),VLOOKUP(A361,Studies!A:BR,3,FALSE),"")</f>
        <v>https://www.ncbi.nlm.nih.gov/pubmed/6742481</v>
      </c>
      <c r="D361" s="232" t="str">
        <f>IF(AND(A361&lt;&gt;"",ISNUMBER(A361)),VLOOKUP(A361,Studies!A:BR,4,FALSE),"")</f>
        <v>iv - f, 136kg, 36y (obese female)</v>
      </c>
      <c r="E361" s="206" t="str">
        <f>IF(AND(A361&lt;&gt;"",ISNUMBER(A361)),VLOOKUP(A361,Studies!A:BR,5,FALSE),"")</f>
        <v>Midazolam</v>
      </c>
      <c r="F361" s="175">
        <v>0</v>
      </c>
      <c r="G361" s="198" t="s">
        <v>1023</v>
      </c>
      <c r="H361" s="198" t="s">
        <v>60</v>
      </c>
      <c r="I361" s="190"/>
      <c r="J361" s="190"/>
      <c r="K361" s="190"/>
      <c r="L361" s="191"/>
      <c r="M361" s="191"/>
      <c r="N361" s="191"/>
      <c r="O361" s="190"/>
      <c r="P361" s="192"/>
      <c r="Q361" s="192"/>
      <c r="R361" s="192"/>
      <c r="S361" s="193"/>
      <c r="T361" s="193"/>
      <c r="U361" s="193"/>
      <c r="V361" s="201"/>
      <c r="W361" s="196"/>
      <c r="X361" s="196"/>
      <c r="Y361" s="196"/>
      <c r="Z361" s="197"/>
      <c r="AA361" s="197"/>
      <c r="AB361" s="197"/>
      <c r="AC361" s="200"/>
      <c r="AD361" s="202"/>
      <c r="AE361" s="174">
        <f>IF(ISNUMBER(VLOOKUP(A361,NotghiID!A:A,1,FALSE)),1,0)</f>
        <v>1</v>
      </c>
    </row>
    <row r="362" spans="1:31" x14ac:dyDescent="0.2">
      <c r="A362" s="205">
        <v>181</v>
      </c>
      <c r="B362" s="232" t="str">
        <f>IF(AND(A362&lt;&gt;"",ISNUMBER(A362)),VLOOKUP(A362,Studies!A:BR,2,FALSE),"")</f>
        <v>Greenblat 1984</v>
      </c>
      <c r="C362" s="232" t="str">
        <f>IF(AND(A362&lt;&gt;"",ISNUMBER(A362)),VLOOKUP(A362,Studies!A:BR,3,FALSE),"")</f>
        <v>https://www.ncbi.nlm.nih.gov/pubmed/6742481</v>
      </c>
      <c r="D362" s="232" t="str">
        <f>IF(AND(A362&lt;&gt;"",ISNUMBER(A362)),VLOOKUP(A362,Studies!A:BR,4,FALSE),"")</f>
        <v>iv - f, 61kg, 37y (normal female)</v>
      </c>
      <c r="E362" s="206" t="str">
        <f>IF(AND(A362&lt;&gt;"",ISNUMBER(A362)),VLOOKUP(A362,Studies!A:BR,5,FALSE),"")</f>
        <v>Midazolam</v>
      </c>
      <c r="F362" s="175">
        <v>0</v>
      </c>
      <c r="G362" s="198" t="s">
        <v>1023</v>
      </c>
      <c r="H362" s="198" t="s">
        <v>60</v>
      </c>
      <c r="I362" s="190"/>
      <c r="J362" s="190"/>
      <c r="K362" s="190"/>
      <c r="L362" s="191"/>
      <c r="M362" s="191"/>
      <c r="N362" s="191"/>
      <c r="O362" s="190"/>
      <c r="P362" s="192"/>
      <c r="Q362" s="192"/>
      <c r="R362" s="192"/>
      <c r="S362" s="193"/>
      <c r="T362" s="193"/>
      <c r="U362" s="193"/>
      <c r="V362" s="201"/>
      <c r="W362" s="196"/>
      <c r="X362" s="196"/>
      <c r="Y362" s="196"/>
      <c r="Z362" s="197"/>
      <c r="AA362" s="197"/>
      <c r="AB362" s="197"/>
      <c r="AC362" s="200"/>
      <c r="AD362" s="202"/>
      <c r="AE362" s="174">
        <f>IF(ISNUMBER(VLOOKUP(A362,NotghiID!A:A,1,FALSE)),1,0)</f>
        <v>1</v>
      </c>
    </row>
    <row r="363" spans="1:31" x14ac:dyDescent="0.2">
      <c r="A363" s="205">
        <v>182</v>
      </c>
      <c r="B363" s="232" t="str">
        <f>IF(AND(A363&lt;&gt;"",ISNUMBER(A363)),VLOOKUP(A363,Studies!A:BR,2,FALSE),"")</f>
        <v>Greenblat 1984</v>
      </c>
      <c r="C363" s="232" t="str">
        <f>IF(AND(A363&lt;&gt;"",ISNUMBER(A363)),VLOOKUP(A363,Studies!A:BR,3,FALSE),"")</f>
        <v>https://www.ncbi.nlm.nih.gov/pubmed/6742481</v>
      </c>
      <c r="D363" s="232" t="str">
        <f>IF(AND(A363&lt;&gt;"",ISNUMBER(A363)),VLOOKUP(A363,Studies!A:BR,4,FALSE),"")</f>
        <v>iv - m, 70kg, 32y (young male)</v>
      </c>
      <c r="E363" s="206" t="str">
        <f>IF(AND(A363&lt;&gt;"",ISNUMBER(A363)),VLOOKUP(A363,Studies!A:BR,5,FALSE),"")</f>
        <v>Midazolam</v>
      </c>
      <c r="F363" s="175">
        <v>0</v>
      </c>
      <c r="G363" s="198" t="s">
        <v>1023</v>
      </c>
      <c r="H363" s="198" t="s">
        <v>60</v>
      </c>
      <c r="I363" s="190"/>
      <c r="J363" s="190"/>
      <c r="K363" s="190"/>
      <c r="L363" s="191"/>
      <c r="M363" s="191"/>
      <c r="N363" s="191"/>
      <c r="O363" s="190"/>
      <c r="P363" s="192"/>
      <c r="Q363" s="192"/>
      <c r="R363" s="192"/>
      <c r="S363" s="193"/>
      <c r="T363" s="193"/>
      <c r="U363" s="193"/>
      <c r="V363" s="201"/>
      <c r="W363" s="196">
        <v>534</v>
      </c>
      <c r="X363" s="196" t="s">
        <v>1103</v>
      </c>
      <c r="Y363" s="196" t="s">
        <v>116</v>
      </c>
      <c r="Z363" s="197">
        <v>32</v>
      </c>
      <c r="AA363" s="197" t="s">
        <v>1103</v>
      </c>
      <c r="AB363" s="197" t="s">
        <v>117</v>
      </c>
      <c r="AC363" s="200" t="s">
        <v>1064</v>
      </c>
      <c r="AD363" s="202"/>
      <c r="AE363" s="174">
        <f>IF(ISNUMBER(VLOOKUP(A363,NotghiID!A:A,1,FALSE)),1,0)</f>
        <v>1</v>
      </c>
    </row>
    <row r="364" spans="1:31" x14ac:dyDescent="0.2">
      <c r="A364" s="205">
        <v>183</v>
      </c>
      <c r="B364" s="232" t="str">
        <f>IF(AND(A364&lt;&gt;"",ISNUMBER(A364)),VLOOKUP(A364,Studies!A:BR,2,FALSE),"")</f>
        <v>Greenblat 1984</v>
      </c>
      <c r="C364" s="232" t="str">
        <f>IF(AND(A364&lt;&gt;"",ISNUMBER(A364)),VLOOKUP(A364,Studies!A:BR,3,FALSE),"")</f>
        <v>https://www.ncbi.nlm.nih.gov/pubmed/6742481</v>
      </c>
      <c r="D364" s="232" t="str">
        <f>IF(AND(A364&lt;&gt;"",ISNUMBER(A364)),VLOOKUP(A364,Studies!A:BR,4,FALSE),"")</f>
        <v>iv - m, 80kg, 70y (elderly male)</v>
      </c>
      <c r="E364" s="206" t="str">
        <f>IF(AND(A364&lt;&gt;"",ISNUMBER(A364)),VLOOKUP(A364,Studies!A:BR,5,FALSE),"")</f>
        <v>Midazolam</v>
      </c>
      <c r="F364" s="175">
        <v>0</v>
      </c>
      <c r="G364" s="198" t="s">
        <v>1023</v>
      </c>
      <c r="H364" s="198" t="s">
        <v>60</v>
      </c>
      <c r="I364" s="190"/>
      <c r="J364" s="190"/>
      <c r="K364" s="190"/>
      <c r="L364" s="191"/>
      <c r="M364" s="191"/>
      <c r="N364" s="191"/>
      <c r="O364" s="190"/>
      <c r="P364" s="192"/>
      <c r="Q364" s="192"/>
      <c r="R364" s="192"/>
      <c r="S364" s="193"/>
      <c r="T364" s="193"/>
      <c r="U364" s="193"/>
      <c r="V364" s="201"/>
      <c r="W364" s="196">
        <v>339</v>
      </c>
      <c r="X364" s="196" t="s">
        <v>1103</v>
      </c>
      <c r="Y364" s="196" t="s">
        <v>116</v>
      </c>
      <c r="Z364" s="197">
        <v>43</v>
      </c>
      <c r="AA364" s="197" t="s">
        <v>1103</v>
      </c>
      <c r="AB364" s="197" t="s">
        <v>117</v>
      </c>
      <c r="AC364" s="200" t="s">
        <v>1064</v>
      </c>
      <c r="AD364" s="202"/>
      <c r="AE364" s="174">
        <f>IF(ISNUMBER(VLOOKUP(A364,NotghiID!A:A,1,FALSE)),1,0)</f>
        <v>1</v>
      </c>
    </row>
    <row r="365" spans="1:31" x14ac:dyDescent="0.2">
      <c r="A365" s="205">
        <v>184</v>
      </c>
      <c r="B365" s="232" t="str">
        <f>IF(AND(A365&lt;&gt;"",ISNUMBER(A365)),VLOOKUP(A365,Studies!A:BR,2,FALSE),"")</f>
        <v>Greenblat 1984</v>
      </c>
      <c r="C365" s="232" t="str">
        <f>IF(AND(A365&lt;&gt;"",ISNUMBER(A365)),VLOOKUP(A365,Studies!A:BR,3,FALSE),"")</f>
        <v>https://www.ncbi.nlm.nih.gov/pubmed/6742481</v>
      </c>
      <c r="D365" s="232" t="str">
        <f>IF(AND(A365&lt;&gt;"",ISNUMBER(A365)),VLOOKUP(A365,Studies!A:BR,4,FALSE),"")</f>
        <v>po - f, 136kg, 36y (obese female)</v>
      </c>
      <c r="E365" s="206" t="str">
        <f>IF(AND(A365&lt;&gt;"",ISNUMBER(A365)),VLOOKUP(A365,Studies!A:BR,5,FALSE),"")</f>
        <v>Midazolam</v>
      </c>
      <c r="F365" s="175">
        <v>0</v>
      </c>
      <c r="G365" s="198" t="s">
        <v>1023</v>
      </c>
      <c r="H365" s="198" t="s">
        <v>60</v>
      </c>
      <c r="I365" s="190"/>
      <c r="J365" s="190"/>
      <c r="K365" s="190"/>
      <c r="L365" s="191"/>
      <c r="M365" s="191"/>
      <c r="N365" s="191"/>
      <c r="O365" s="190"/>
      <c r="P365" s="192"/>
      <c r="Q365" s="192"/>
      <c r="R365" s="192"/>
      <c r="S365" s="193"/>
      <c r="T365" s="193"/>
      <c r="U365" s="193"/>
      <c r="V365" s="201"/>
      <c r="W365" s="196"/>
      <c r="X365" s="196"/>
      <c r="Y365" s="196"/>
      <c r="Z365" s="197"/>
      <c r="AA365" s="197"/>
      <c r="AB365" s="197"/>
      <c r="AC365" s="200"/>
      <c r="AD365" s="202"/>
      <c r="AE365" s="174">
        <f>IF(ISNUMBER(VLOOKUP(A365,NotghiID!A:A,1,FALSE)),1,0)</f>
        <v>1</v>
      </c>
    </row>
    <row r="366" spans="1:31" x14ac:dyDescent="0.2">
      <c r="A366" s="205">
        <v>185</v>
      </c>
      <c r="B366" s="232" t="str">
        <f>IF(AND(A366&lt;&gt;"",ISNUMBER(A366)),VLOOKUP(A366,Studies!A:BR,2,FALSE),"")</f>
        <v>Greenblat 1984</v>
      </c>
      <c r="C366" s="232" t="str">
        <f>IF(AND(A366&lt;&gt;"",ISNUMBER(A366)),VLOOKUP(A366,Studies!A:BR,3,FALSE),"")</f>
        <v>https://www.ncbi.nlm.nih.gov/pubmed/6742481</v>
      </c>
      <c r="D366" s="232" t="str">
        <f>IF(AND(A366&lt;&gt;"",ISNUMBER(A366)),VLOOKUP(A366,Studies!A:BR,4,FALSE),"")</f>
        <v>po - f, 61kg, 37y (normal female)</v>
      </c>
      <c r="E366" s="206" t="str">
        <f>IF(AND(A366&lt;&gt;"",ISNUMBER(A366)),VLOOKUP(A366,Studies!A:BR,5,FALSE),"")</f>
        <v>Midazolam</v>
      </c>
      <c r="F366" s="175">
        <v>0</v>
      </c>
      <c r="G366" s="198" t="s">
        <v>1023</v>
      </c>
      <c r="H366" s="198" t="s">
        <v>60</v>
      </c>
      <c r="I366" s="190"/>
      <c r="J366" s="190"/>
      <c r="K366" s="190"/>
      <c r="L366" s="191"/>
      <c r="M366" s="191"/>
      <c r="N366" s="191"/>
      <c r="O366" s="190"/>
      <c r="P366" s="192"/>
      <c r="Q366" s="192"/>
      <c r="R366" s="192"/>
      <c r="S366" s="193"/>
      <c r="T366" s="193"/>
      <c r="U366" s="193"/>
      <c r="V366" s="201"/>
      <c r="W366" s="196"/>
      <c r="X366" s="196"/>
      <c r="Y366" s="196"/>
      <c r="Z366" s="197"/>
      <c r="AA366" s="197"/>
      <c r="AB366" s="197"/>
      <c r="AC366" s="200"/>
      <c r="AD366" s="202"/>
      <c r="AE366" s="174">
        <f>IF(ISNUMBER(VLOOKUP(A366,NotghiID!A:A,1,FALSE)),1,0)</f>
        <v>1</v>
      </c>
    </row>
    <row r="367" spans="1:31" x14ac:dyDescent="0.2">
      <c r="A367" s="205">
        <v>186</v>
      </c>
      <c r="B367" s="232" t="str">
        <f>IF(AND(A367&lt;&gt;"",ISNUMBER(A367)),VLOOKUP(A367,Studies!A:BR,2,FALSE),"")</f>
        <v>Greenblat 1984</v>
      </c>
      <c r="C367" s="232" t="str">
        <f>IF(AND(A367&lt;&gt;"",ISNUMBER(A367)),VLOOKUP(A367,Studies!A:BR,3,FALSE),"")</f>
        <v>https://www.ncbi.nlm.nih.gov/pubmed/6742481</v>
      </c>
      <c r="D367" s="232" t="str">
        <f>IF(AND(A367&lt;&gt;"",ISNUMBER(A367)),VLOOKUP(A367,Studies!A:BR,4,FALSE),"")</f>
        <v>po - m, 70kg, 32y (young male)</v>
      </c>
      <c r="E367" s="206" t="str">
        <f>IF(AND(A367&lt;&gt;"",ISNUMBER(A367)),VLOOKUP(A367,Studies!A:BR,5,FALSE),"")</f>
        <v>Midazolam</v>
      </c>
      <c r="F367" s="175">
        <v>0</v>
      </c>
      <c r="G367" s="198" t="s">
        <v>1023</v>
      </c>
      <c r="H367" s="198" t="s">
        <v>60</v>
      </c>
      <c r="I367" s="190"/>
      <c r="J367" s="190"/>
      <c r="K367" s="190"/>
      <c r="L367" s="191"/>
      <c r="M367" s="191"/>
      <c r="N367" s="191"/>
      <c r="O367" s="190"/>
      <c r="P367" s="192">
        <v>69</v>
      </c>
      <c r="Q367" s="192" t="s">
        <v>1090</v>
      </c>
      <c r="R367" s="192" t="s">
        <v>116</v>
      </c>
      <c r="S367" s="193">
        <v>12</v>
      </c>
      <c r="T367" s="193" t="s">
        <v>1090</v>
      </c>
      <c r="U367" s="193" t="s">
        <v>117</v>
      </c>
      <c r="V367" s="201" t="s">
        <v>1027</v>
      </c>
      <c r="W367" s="196"/>
      <c r="X367" s="196"/>
      <c r="Y367" s="196"/>
      <c r="Z367" s="197"/>
      <c r="AA367" s="197"/>
      <c r="AB367" s="197"/>
      <c r="AC367" s="200"/>
      <c r="AD367" s="202"/>
      <c r="AE367" s="174">
        <f>IF(ISNUMBER(VLOOKUP(A367,NotghiID!A:A,1,FALSE)),1,0)</f>
        <v>1</v>
      </c>
    </row>
    <row r="368" spans="1:31" x14ac:dyDescent="0.2">
      <c r="A368" s="205">
        <v>187</v>
      </c>
      <c r="B368" s="232" t="str">
        <f>IF(AND(A368&lt;&gt;"",ISNUMBER(A368)),VLOOKUP(A368,Studies!A:BR,2,FALSE),"")</f>
        <v>Greenblat 1984</v>
      </c>
      <c r="C368" s="232" t="str">
        <f>IF(AND(A368&lt;&gt;"",ISNUMBER(A368)),VLOOKUP(A368,Studies!A:BR,3,FALSE),"")</f>
        <v>https://www.ncbi.nlm.nih.gov/pubmed/6742481</v>
      </c>
      <c r="D368" s="232" t="str">
        <f>IF(AND(A368&lt;&gt;"",ISNUMBER(A368)),VLOOKUP(A368,Studies!A:BR,4,FALSE),"")</f>
        <v>po - m, 80kg, 70y (elderly male)</v>
      </c>
      <c r="E368" s="206" t="str">
        <f>IF(AND(A368&lt;&gt;"",ISNUMBER(A368)),VLOOKUP(A368,Studies!A:BR,5,FALSE),"")</f>
        <v>Midazolam</v>
      </c>
      <c r="F368" s="175">
        <v>0</v>
      </c>
      <c r="G368" s="198" t="s">
        <v>1023</v>
      </c>
      <c r="H368" s="198" t="s">
        <v>60</v>
      </c>
      <c r="I368" s="190"/>
      <c r="J368" s="190"/>
      <c r="K368" s="190"/>
      <c r="L368" s="191"/>
      <c r="M368" s="191"/>
      <c r="N368" s="191"/>
      <c r="O368" s="190"/>
      <c r="P368" s="192">
        <v>85</v>
      </c>
      <c r="Q368" s="192" t="s">
        <v>1090</v>
      </c>
      <c r="R368" s="192" t="s">
        <v>116</v>
      </c>
      <c r="S368" s="193">
        <v>11</v>
      </c>
      <c r="T368" s="193" t="s">
        <v>1090</v>
      </c>
      <c r="U368" s="193" t="s">
        <v>117</v>
      </c>
      <c r="V368" s="201" t="s">
        <v>1027</v>
      </c>
      <c r="W368" s="196"/>
      <c r="X368" s="196"/>
      <c r="Y368" s="196"/>
      <c r="Z368" s="197"/>
      <c r="AA368" s="197"/>
      <c r="AB368" s="197"/>
      <c r="AC368" s="200"/>
      <c r="AD368" s="202"/>
      <c r="AE368" s="174">
        <f>IF(ISNUMBER(VLOOKUP(A368,NotghiID!A:A,1,FALSE)),1,0)</f>
        <v>1</v>
      </c>
    </row>
    <row r="369" spans="1:31" x14ac:dyDescent="0.2">
      <c r="A369" s="205">
        <v>188</v>
      </c>
      <c r="B369" s="232" t="str">
        <f>IF(AND(A369&lt;&gt;"",ISNUMBER(A369)),VLOOKUP(A369,Studies!A:BR,2,FALSE),"")</f>
        <v>Greenblat 2003</v>
      </c>
      <c r="C369" s="232" t="str">
        <f>IF(AND(A369&lt;&gt;"",ISNUMBER(A369)),VLOOKUP(A369,Studies!A:BR,3,FALSE),"")</f>
        <v>https://www.ncbi.nlm.nih.gov/pubmed/12891222</v>
      </c>
      <c r="D369" s="232" t="str">
        <f>IF(AND(A369&lt;&gt;"",ISNUMBER(A369)),VLOOKUP(A369,Studies!A:BR,4,FALSE),"")</f>
        <v>Control (Perpetrator Placebo)</v>
      </c>
      <c r="E369" s="206" t="str">
        <f>IF(AND(A369&lt;&gt;"",ISNUMBER(A369)),VLOOKUP(A369,Studies!A:BR,5,FALSE),"")</f>
        <v>Midazolam</v>
      </c>
      <c r="F369" s="175">
        <v>0</v>
      </c>
      <c r="G369" s="198" t="s">
        <v>1023</v>
      </c>
      <c r="H369" s="198" t="s">
        <v>60</v>
      </c>
      <c r="I369" s="190">
        <v>64.900000000000006</v>
      </c>
      <c r="J369" s="190" t="s">
        <v>1024</v>
      </c>
      <c r="K369" s="190" t="s">
        <v>389</v>
      </c>
      <c r="L369" s="191">
        <v>7.2</v>
      </c>
      <c r="M369" s="191" t="s">
        <v>1024</v>
      </c>
      <c r="N369" s="191" t="s">
        <v>1104</v>
      </c>
      <c r="O369" s="190" t="s">
        <v>1025</v>
      </c>
      <c r="P369" s="192">
        <v>18.8</v>
      </c>
      <c r="Q369" s="192" t="s">
        <v>1026</v>
      </c>
      <c r="R369" s="192" t="s">
        <v>116</v>
      </c>
      <c r="S369" s="193">
        <v>1.9</v>
      </c>
      <c r="T369" s="193" t="s">
        <v>1026</v>
      </c>
      <c r="U369" s="193" t="s">
        <v>1104</v>
      </c>
      <c r="V369" s="201" t="s">
        <v>1027</v>
      </c>
      <c r="W369" s="196">
        <v>27.5</v>
      </c>
      <c r="X369" s="196" t="s">
        <v>1071</v>
      </c>
      <c r="Y369" s="196" t="s">
        <v>116</v>
      </c>
      <c r="Z369" s="197">
        <v>3.5</v>
      </c>
      <c r="AA369" s="197" t="s">
        <v>1071</v>
      </c>
      <c r="AB369" s="197" t="s">
        <v>1034</v>
      </c>
      <c r="AC369" s="200" t="s">
        <v>1033</v>
      </c>
      <c r="AD369" s="202"/>
      <c r="AE369" s="174">
        <f>IF(ISNUMBER(VLOOKUP(A369,NotghiID!A:A,1,FALSE)),1,0)</f>
        <v>1</v>
      </c>
    </row>
    <row r="370" spans="1:31" x14ac:dyDescent="0.2">
      <c r="A370" s="205">
        <v>189</v>
      </c>
      <c r="B370" s="232" t="str">
        <f>IF(AND(A370&lt;&gt;"",ISNUMBER(A370)),VLOOKUP(A370,Studies!A:BR,2,FALSE),"")</f>
        <v>Greenblat 2003</v>
      </c>
      <c r="C370" s="232" t="str">
        <f>IF(AND(A370&lt;&gt;"",ISNUMBER(A370)),VLOOKUP(A370,Studies!A:BR,3,FALSE),"")</f>
        <v>https://www.ncbi.nlm.nih.gov/pubmed/12891223</v>
      </c>
      <c r="D370" s="232" t="str">
        <f>IF(AND(A370&lt;&gt;"",ISNUMBER(A370)),VLOOKUP(A370,Studies!A:BR,4,FALSE),"")</f>
        <v>with Perpetrator (GFJ)</v>
      </c>
      <c r="E370" s="206" t="str">
        <f>IF(AND(A370&lt;&gt;"",ISNUMBER(A370)),VLOOKUP(A370,Studies!A:BR,5,FALSE),"")</f>
        <v>Midazolam</v>
      </c>
      <c r="F370" s="175">
        <v>0</v>
      </c>
      <c r="G370" s="198" t="s">
        <v>1023</v>
      </c>
      <c r="H370" s="198" t="s">
        <v>60</v>
      </c>
      <c r="I370" s="190">
        <v>106.8</v>
      </c>
      <c r="J370" s="190" t="s">
        <v>1024</v>
      </c>
      <c r="K370" s="190" t="s">
        <v>389</v>
      </c>
      <c r="L370" s="191">
        <v>12.1</v>
      </c>
      <c r="M370" s="191" t="s">
        <v>1024</v>
      </c>
      <c r="N370" s="191" t="s">
        <v>1104</v>
      </c>
      <c r="O370" s="190" t="s">
        <v>1025</v>
      </c>
      <c r="P370" s="192">
        <v>29.1</v>
      </c>
      <c r="Q370" s="192" t="s">
        <v>1026</v>
      </c>
      <c r="R370" s="192" t="s">
        <v>116</v>
      </c>
      <c r="S370" s="193">
        <v>2.7</v>
      </c>
      <c r="T370" s="193" t="s">
        <v>1026</v>
      </c>
      <c r="U370" s="193" t="s">
        <v>1104</v>
      </c>
      <c r="V370" s="201" t="s">
        <v>1027</v>
      </c>
      <c r="W370" s="196">
        <v>18.8</v>
      </c>
      <c r="X370" s="196" t="s">
        <v>1071</v>
      </c>
      <c r="Y370" s="196" t="s">
        <v>116</v>
      </c>
      <c r="Z370" s="197">
        <v>2.1</v>
      </c>
      <c r="AA370" s="197" t="s">
        <v>1071</v>
      </c>
      <c r="AB370" s="197" t="s">
        <v>1034</v>
      </c>
      <c r="AC370" s="200" t="s">
        <v>1033</v>
      </c>
      <c r="AD370" s="202"/>
      <c r="AE370" s="174">
        <f>IF(ISNUMBER(VLOOKUP(A370,NotghiID!A:A,1,FALSE)),1,0)</f>
        <v>1</v>
      </c>
    </row>
    <row r="371" spans="1:31" x14ac:dyDescent="0.2">
      <c r="A371" s="205">
        <v>275</v>
      </c>
      <c r="B371" s="232" t="str">
        <f>IF(AND(A371&lt;&gt;"",ISNUMBER(A371)),VLOOKUP(A371,Studies!A:BR,2,FALSE),"")</f>
        <v>Kharasch 1997</v>
      </c>
      <c r="C371" s="232" t="str">
        <f>IF(AND(A371&lt;&gt;"",ISNUMBER(A371)),VLOOKUP(A371,Studies!A:BR,3,FALSE),"")</f>
        <v>https://www.ncbi.nlm.nih.gov/pubmed/9232132</v>
      </c>
      <c r="D371" s="232" t="str">
        <f>IF(AND(A371&lt;&gt;"",ISNUMBER(A371)),VLOOKUP(A371,Studies!A:BR,4,FALSE),"")</f>
        <v>Control (Perpetrator Placebo)</v>
      </c>
      <c r="E371" s="206" t="str">
        <f>IF(AND(A371&lt;&gt;"",ISNUMBER(A371)),VLOOKUP(A371,Studies!A:BR,5,FALSE),"")</f>
        <v>Midazolam</v>
      </c>
      <c r="F371" s="175">
        <v>0</v>
      </c>
      <c r="G371" s="198" t="s">
        <v>1023</v>
      </c>
      <c r="H371" s="198" t="s">
        <v>60</v>
      </c>
      <c r="I371" s="190"/>
      <c r="J371" s="190"/>
      <c r="K371" s="190"/>
      <c r="L371" s="191"/>
      <c r="M371" s="191"/>
      <c r="N371" s="191"/>
      <c r="O371" s="190"/>
      <c r="P371" s="192"/>
      <c r="Q371" s="192"/>
      <c r="R371" s="192"/>
      <c r="S371" s="193"/>
      <c r="T371" s="193"/>
      <c r="U371" s="193"/>
      <c r="V371" s="201"/>
      <c r="W371" s="196">
        <v>3.3</v>
      </c>
      <c r="X371" s="196" t="s">
        <v>1071</v>
      </c>
      <c r="Y371" s="196" t="s">
        <v>116</v>
      </c>
      <c r="Z371" s="197">
        <v>1</v>
      </c>
      <c r="AA371" s="197" t="s">
        <v>1071</v>
      </c>
      <c r="AB371" s="197" t="s">
        <v>117</v>
      </c>
      <c r="AC371" s="200" t="s">
        <v>1064</v>
      </c>
      <c r="AD371" s="202"/>
      <c r="AE371" s="174">
        <f>IF(ISNUMBER(VLOOKUP(A371,NotghiID!A:A,1,FALSE)),1,0)</f>
        <v>1</v>
      </c>
    </row>
    <row r="372" spans="1:31" x14ac:dyDescent="0.2">
      <c r="A372" s="205">
        <v>276</v>
      </c>
      <c r="B372" s="232" t="str">
        <f>IF(AND(A372&lt;&gt;"",ISNUMBER(A372)),VLOOKUP(A372,Studies!A:BR,2,FALSE),"")</f>
        <v>Kharasch 1997</v>
      </c>
      <c r="C372" s="232" t="str">
        <f>IF(AND(A372&lt;&gt;"",ISNUMBER(A372)),VLOOKUP(A372,Studies!A:BR,3,FALSE),"")</f>
        <v>https://www.ncbi.nlm.nih.gov/pubmed/9232132</v>
      </c>
      <c r="D372" s="232" t="str">
        <f>IF(AND(A372&lt;&gt;"",ISNUMBER(A372)),VLOOKUP(A372,Studies!A:BR,4,FALSE),"")</f>
        <v>with Perpetrator (Rifampicin)</v>
      </c>
      <c r="E372" s="206" t="str">
        <f>IF(AND(A372&lt;&gt;"",ISNUMBER(A372)),VLOOKUP(A372,Studies!A:BR,5,FALSE),"")</f>
        <v>Midazolam</v>
      </c>
      <c r="F372" s="175">
        <v>120</v>
      </c>
      <c r="G372" s="198" t="s">
        <v>1023</v>
      </c>
      <c r="H372" s="198" t="s">
        <v>60</v>
      </c>
      <c r="I372" s="190"/>
      <c r="J372" s="190"/>
      <c r="K372" s="190"/>
      <c r="L372" s="191"/>
      <c r="M372" s="191"/>
      <c r="N372" s="191"/>
      <c r="O372" s="190"/>
      <c r="P372" s="192"/>
      <c r="Q372" s="192"/>
      <c r="R372" s="192"/>
      <c r="S372" s="193"/>
      <c r="T372" s="193"/>
      <c r="U372" s="193"/>
      <c r="V372" s="201"/>
      <c r="W372" s="196">
        <v>8.6999999999999993</v>
      </c>
      <c r="X372" s="196" t="s">
        <v>1071</v>
      </c>
      <c r="Y372" s="196" t="s">
        <v>116</v>
      </c>
      <c r="Z372" s="197">
        <v>1.4</v>
      </c>
      <c r="AA372" s="197" t="s">
        <v>1071</v>
      </c>
      <c r="AB372" s="197" t="s">
        <v>117</v>
      </c>
      <c r="AC372" s="200" t="s">
        <v>1064</v>
      </c>
      <c r="AD372" s="202"/>
      <c r="AE372" s="174">
        <f>IF(ISNUMBER(VLOOKUP(A372,NotghiID!A:A,1,FALSE)),1,0)</f>
        <v>1</v>
      </c>
    </row>
    <row r="373" spans="1:31" x14ac:dyDescent="0.2">
      <c r="A373" s="205">
        <v>277</v>
      </c>
      <c r="B373" s="232" t="str">
        <f>IF(AND(A373&lt;&gt;"",ISNUMBER(A373)),VLOOKUP(A373,Studies!A:BR,2,FALSE),"")</f>
        <v>Kharasch 1997</v>
      </c>
      <c r="C373" s="232" t="str">
        <f>IF(AND(A373&lt;&gt;"",ISNUMBER(A373)),VLOOKUP(A373,Studies!A:BR,3,FALSE),"")</f>
        <v>https://www.ncbi.nlm.nih.gov/pubmed/9232132</v>
      </c>
      <c r="D373" s="232" t="str">
        <f>IF(AND(A373&lt;&gt;"",ISNUMBER(A373)),VLOOKUP(A373,Studies!A:BR,4,FALSE),"")</f>
        <v>Control (Perpetrator Placebo)</v>
      </c>
      <c r="E373" s="206" t="str">
        <f>IF(AND(A373&lt;&gt;"",ISNUMBER(A373)),VLOOKUP(A373,Studies!A:BR,5,FALSE),"")</f>
        <v>Alfentanil</v>
      </c>
      <c r="F373" s="175">
        <v>0</v>
      </c>
      <c r="G373" s="198" t="s">
        <v>1023</v>
      </c>
      <c r="H373" s="198" t="s">
        <v>60</v>
      </c>
      <c r="I373" s="190"/>
      <c r="J373" s="190"/>
      <c r="K373" s="190"/>
      <c r="L373" s="191"/>
      <c r="M373" s="191"/>
      <c r="N373" s="191"/>
      <c r="O373" s="190"/>
      <c r="P373" s="192"/>
      <c r="Q373" s="192"/>
      <c r="R373" s="192"/>
      <c r="S373" s="193"/>
      <c r="T373" s="193"/>
      <c r="U373" s="193"/>
      <c r="V373" s="201"/>
      <c r="W373" s="196">
        <v>5.3</v>
      </c>
      <c r="X373" s="196" t="s">
        <v>1071</v>
      </c>
      <c r="Y373" s="196" t="s">
        <v>116</v>
      </c>
      <c r="Z373" s="197">
        <v>2.2999999999999998</v>
      </c>
      <c r="AA373" s="197" t="s">
        <v>1071</v>
      </c>
      <c r="AB373" s="197" t="s">
        <v>117</v>
      </c>
      <c r="AC373" s="200" t="s">
        <v>1064</v>
      </c>
      <c r="AD373" s="202"/>
      <c r="AE373" s="174">
        <f>IF(ISNUMBER(VLOOKUP(A373,NotghiID!A:A,1,FALSE)),1,0)</f>
        <v>1</v>
      </c>
    </row>
    <row r="374" spans="1:31" x14ac:dyDescent="0.2">
      <c r="A374" s="205">
        <v>278</v>
      </c>
      <c r="B374" s="232" t="str">
        <f>IF(AND(A374&lt;&gt;"",ISNUMBER(A374)),VLOOKUP(A374,Studies!A:BR,2,FALSE),"")</f>
        <v>Kharasch 1997</v>
      </c>
      <c r="C374" s="232" t="str">
        <f>IF(AND(A374&lt;&gt;"",ISNUMBER(A374)),VLOOKUP(A374,Studies!A:BR,3,FALSE),"")</f>
        <v>https://www.ncbi.nlm.nih.gov/pubmed/9232132</v>
      </c>
      <c r="D374" s="232" t="str">
        <f>IF(AND(A374&lt;&gt;"",ISNUMBER(A374)),VLOOKUP(A374,Studies!A:BR,4,FALSE),"")</f>
        <v>with Perpetrator (Rifampicin)</v>
      </c>
      <c r="E374" s="206" t="str">
        <f>IF(AND(A374&lt;&gt;"",ISNUMBER(A374)),VLOOKUP(A374,Studies!A:BR,5,FALSE),"")</f>
        <v>Alfentanil</v>
      </c>
      <c r="F374" s="121">
        <v>120.5</v>
      </c>
      <c r="G374" s="198" t="s">
        <v>1023</v>
      </c>
      <c r="H374" s="198" t="s">
        <v>60</v>
      </c>
      <c r="I374" s="190"/>
      <c r="J374" s="190"/>
      <c r="K374" s="190"/>
      <c r="L374" s="191"/>
      <c r="M374" s="191"/>
      <c r="N374" s="191"/>
      <c r="O374" s="190"/>
      <c r="P374" s="192"/>
      <c r="Q374" s="192"/>
      <c r="R374" s="192"/>
      <c r="S374" s="193"/>
      <c r="T374" s="193"/>
      <c r="U374" s="193"/>
      <c r="V374" s="201"/>
      <c r="W374" s="196">
        <v>14.6</v>
      </c>
      <c r="X374" s="196" t="s">
        <v>1071</v>
      </c>
      <c r="Y374" s="196" t="s">
        <v>116</v>
      </c>
      <c r="Z374" s="197">
        <v>3.8</v>
      </c>
      <c r="AA374" s="197" t="s">
        <v>1071</v>
      </c>
      <c r="AB374" s="197" t="s">
        <v>117</v>
      </c>
      <c r="AC374" s="200" t="s">
        <v>1064</v>
      </c>
      <c r="AD374" s="163" t="s">
        <v>1105</v>
      </c>
      <c r="AE374" s="174">
        <f>IF(ISNUMBER(VLOOKUP(A374,NotghiID!A:A,1,FALSE)),1,0)</f>
        <v>1</v>
      </c>
    </row>
    <row r="375" spans="1:31" s="174" customFormat="1" x14ac:dyDescent="0.2">
      <c r="A375" s="213">
        <v>374</v>
      </c>
      <c r="B375" s="232" t="str">
        <f>IF(AND(A375&lt;&gt;"",ISNUMBER(A375)),VLOOKUP(A375,Studies!A:BR,2,FALSE),"")</f>
        <v>Olkkola 1996</v>
      </c>
      <c r="C375" s="232" t="str">
        <f>IF(AND(A375&lt;&gt;"",ISNUMBER(A375)),VLOOKUP(A375,Studies!A:BR,3,FALSE),"")</f>
        <v>https://www.ncbi.nlm.nih.gov/pubmed/8623953</v>
      </c>
      <c r="D375" s="232" t="str">
        <f>IF(AND(A375&lt;&gt;"",ISNUMBER(A375)),VLOOKUP(A375,Studies!A:BR,4,FALSE),"")</f>
        <v>day 1 (po) Control (Perpetrator Placebo)</v>
      </c>
      <c r="E375" s="206" t="str">
        <f>IF(AND(A375&lt;&gt;"",ISNUMBER(A375)),VLOOKUP(A375,Studies!A:BR,5,FALSE),"")</f>
        <v>Midazolam</v>
      </c>
      <c r="F375" s="175">
        <v>0</v>
      </c>
      <c r="G375" s="198" t="s">
        <v>1023</v>
      </c>
      <c r="H375" s="198" t="s">
        <v>60</v>
      </c>
      <c r="I375" s="190">
        <v>78</v>
      </c>
      <c r="J375" s="190" t="s">
        <v>1024</v>
      </c>
      <c r="K375" s="190" t="s">
        <v>116</v>
      </c>
      <c r="L375" s="191">
        <v>24</v>
      </c>
      <c r="M375" s="191" t="s">
        <v>1024</v>
      </c>
      <c r="N375" s="191" t="s">
        <v>117</v>
      </c>
      <c r="O375" s="190" t="s">
        <v>1025</v>
      </c>
      <c r="P375" s="192">
        <v>28</v>
      </c>
      <c r="Q375" s="192" t="s">
        <v>1026</v>
      </c>
      <c r="R375" s="192" t="s">
        <v>116</v>
      </c>
      <c r="S375" s="193">
        <v>9</v>
      </c>
      <c r="T375" s="193" t="s">
        <v>1026</v>
      </c>
      <c r="U375" s="193" t="s">
        <v>117</v>
      </c>
      <c r="V375" s="201" t="s">
        <v>1027</v>
      </c>
      <c r="W375" s="196"/>
      <c r="X375" s="196"/>
      <c r="Y375" s="196"/>
      <c r="Z375" s="197"/>
      <c r="AA375" s="197"/>
      <c r="AB375" s="197"/>
      <c r="AC375" s="200"/>
      <c r="AD375" s="202" t="s">
        <v>1106</v>
      </c>
    </row>
    <row r="376" spans="1:31" s="174" customFormat="1" x14ac:dyDescent="0.2">
      <c r="A376" s="213">
        <v>375</v>
      </c>
      <c r="B376" s="232" t="str">
        <f>IF(AND(A376&lt;&gt;"",ISNUMBER(A376)),VLOOKUP(A376,Studies!A:BR,2,FALSE),"")</f>
        <v>Olkkola 1996</v>
      </c>
      <c r="C376" s="232" t="str">
        <f>IF(AND(A376&lt;&gt;"",ISNUMBER(A376)),VLOOKUP(A376,Studies!A:BR,3,FALSE),"")</f>
        <v>https://www.ncbi.nlm.nih.gov/pubmed/8623953</v>
      </c>
      <c r="D376" s="232" t="str">
        <f>IF(AND(A376&lt;&gt;"",ISNUMBER(A376)),VLOOKUP(A376,Studies!A:BR,4,FALSE),"")</f>
        <v>day 4 (iv) Control (Perpetrator Placebo)</v>
      </c>
      <c r="E376" s="206" t="str">
        <f>IF(AND(A376&lt;&gt;"",ISNUMBER(A376)),VLOOKUP(A376,Studies!A:BR,5,FALSE),"")</f>
        <v>Midazolam</v>
      </c>
      <c r="F376" s="175">
        <v>0</v>
      </c>
      <c r="G376" s="198" t="s">
        <v>1023</v>
      </c>
      <c r="H376" s="198" t="s">
        <v>60</v>
      </c>
      <c r="I376" s="190"/>
      <c r="J376" s="190"/>
      <c r="K376" s="190"/>
      <c r="L376" s="191"/>
      <c r="M376" s="191"/>
      <c r="N376" s="191"/>
      <c r="O376" s="190"/>
      <c r="P376" s="192"/>
      <c r="Q376" s="192"/>
      <c r="R376" s="192"/>
      <c r="S376" s="193"/>
      <c r="T376" s="193"/>
      <c r="U376" s="193"/>
      <c r="V376" s="201"/>
      <c r="W376" s="196">
        <v>8.6999999999999993</v>
      </c>
      <c r="X376" s="196" t="s">
        <v>1071</v>
      </c>
      <c r="Y376" s="196" t="s">
        <v>116</v>
      </c>
      <c r="Z376" s="197">
        <v>2.7</v>
      </c>
      <c r="AA376" s="197" t="s">
        <v>1071</v>
      </c>
      <c r="AB376" s="197" t="s">
        <v>117</v>
      </c>
      <c r="AC376" s="200" t="s">
        <v>1064</v>
      </c>
      <c r="AD376" s="202"/>
    </row>
    <row r="377" spans="1:31" s="174" customFormat="1" x14ac:dyDescent="0.2">
      <c r="A377" s="213">
        <v>376</v>
      </c>
      <c r="B377" s="232" t="str">
        <f>IF(AND(A377&lt;&gt;"",ISNUMBER(A377)),VLOOKUP(A377,Studies!A:BR,2,FALSE),"")</f>
        <v>Olkkola 1996</v>
      </c>
      <c r="C377" s="232" t="str">
        <f>IF(AND(A377&lt;&gt;"",ISNUMBER(A377)),VLOOKUP(A377,Studies!A:BR,3,FALSE),"")</f>
        <v>https://www.ncbi.nlm.nih.gov/pubmed/8623953</v>
      </c>
      <c r="D377" s="232" t="str">
        <f>IF(AND(A377&lt;&gt;"",ISNUMBER(A377)),VLOOKUP(A377,Studies!A:BR,4,FALSE),"")</f>
        <v>day 6 (po) Control (Perpetrator Placebo)</v>
      </c>
      <c r="E377" s="206" t="str">
        <f>IF(AND(A377&lt;&gt;"",ISNUMBER(A377)),VLOOKUP(A377,Studies!A:BR,5,FALSE),"")</f>
        <v>Midazolam</v>
      </c>
      <c r="F377" s="175">
        <v>0</v>
      </c>
      <c r="G377" s="198" t="s">
        <v>1023</v>
      </c>
      <c r="H377" s="198" t="s">
        <v>60</v>
      </c>
      <c r="I377" s="190">
        <v>87</v>
      </c>
      <c r="J377" s="190" t="s">
        <v>1024</v>
      </c>
      <c r="K377" s="190" t="s">
        <v>116</v>
      </c>
      <c r="L377" s="191">
        <v>39</v>
      </c>
      <c r="M377" s="191" t="s">
        <v>1024</v>
      </c>
      <c r="N377" s="191" t="s">
        <v>117</v>
      </c>
      <c r="O377" s="190" t="s">
        <v>1025</v>
      </c>
      <c r="P377" s="192">
        <v>35</v>
      </c>
      <c r="Q377" s="192" t="s">
        <v>1026</v>
      </c>
      <c r="R377" s="192" t="s">
        <v>116</v>
      </c>
      <c r="S377" s="193">
        <v>14</v>
      </c>
      <c r="T377" s="193" t="s">
        <v>1026</v>
      </c>
      <c r="U377" s="193" t="s">
        <v>117</v>
      </c>
      <c r="V377" s="201" t="s">
        <v>1027</v>
      </c>
      <c r="W377" s="196"/>
      <c r="X377" s="196"/>
      <c r="Y377" s="196"/>
      <c r="Z377" s="197"/>
      <c r="AA377" s="197"/>
      <c r="AB377" s="197"/>
      <c r="AC377" s="200"/>
      <c r="AD377" s="202" t="s">
        <v>1106</v>
      </c>
    </row>
    <row r="378" spans="1:31" s="174" customFormat="1" x14ac:dyDescent="0.2">
      <c r="A378" s="213">
        <v>377</v>
      </c>
      <c r="B378" s="232" t="str">
        <f>IF(AND(A378&lt;&gt;"",ISNUMBER(A378)),VLOOKUP(A378,Studies!A:BR,2,FALSE),"")</f>
        <v>Olkkola 1996</v>
      </c>
      <c r="C378" s="232" t="str">
        <f>IF(AND(A378&lt;&gt;"",ISNUMBER(A378)),VLOOKUP(A378,Studies!A:BR,3,FALSE),"")</f>
        <v>https://www.ncbi.nlm.nih.gov/pubmed/8623953</v>
      </c>
      <c r="D378" s="232" t="str">
        <f>IF(AND(A378&lt;&gt;"",ISNUMBER(A378)),VLOOKUP(A378,Studies!A:BR,4,FALSE),"")</f>
        <v>day 1 (po) with Perpetrator (Itraconazole)</v>
      </c>
      <c r="E378" s="206" t="str">
        <f>IF(AND(A378&lt;&gt;"",ISNUMBER(A378)),VLOOKUP(A378,Studies!A:BR,5,FALSE),"")</f>
        <v>Midazolam</v>
      </c>
      <c r="F378" s="175">
        <v>2</v>
      </c>
      <c r="G378" s="198">
        <v>74</v>
      </c>
      <c r="H378" s="198" t="s">
        <v>60</v>
      </c>
      <c r="I378" s="190">
        <v>267</v>
      </c>
      <c r="J378" s="190" t="s">
        <v>1024</v>
      </c>
      <c r="K378" s="190" t="s">
        <v>116</v>
      </c>
      <c r="L378" s="191">
        <v>107</v>
      </c>
      <c r="M378" s="191" t="s">
        <v>1024</v>
      </c>
      <c r="N378" s="191" t="s">
        <v>117</v>
      </c>
      <c r="O378" s="190" t="s">
        <v>1025</v>
      </c>
      <c r="P378" s="192">
        <v>49</v>
      </c>
      <c r="Q378" s="192" t="s">
        <v>1026</v>
      </c>
      <c r="R378" s="192" t="s">
        <v>116</v>
      </c>
      <c r="S378" s="193">
        <v>20</v>
      </c>
      <c r="T378" s="193" t="s">
        <v>1026</v>
      </c>
      <c r="U378" s="193" t="s">
        <v>117</v>
      </c>
      <c r="V378" s="201" t="s">
        <v>1027</v>
      </c>
      <c r="W378" s="196"/>
      <c r="X378" s="196"/>
      <c r="Y378" s="196"/>
      <c r="Z378" s="197"/>
      <c r="AA378" s="197"/>
      <c r="AB378" s="197"/>
      <c r="AC378" s="200"/>
      <c r="AD378" s="202" t="s">
        <v>1106</v>
      </c>
    </row>
    <row r="379" spans="1:31" s="174" customFormat="1" x14ac:dyDescent="0.2">
      <c r="A379" s="213">
        <v>378</v>
      </c>
      <c r="B379" s="232" t="str">
        <f>IF(AND(A379&lt;&gt;"",ISNUMBER(A379)),VLOOKUP(A379,Studies!A:BR,2,FALSE),"")</f>
        <v>Olkkola 1996</v>
      </c>
      <c r="C379" s="232" t="str">
        <f>IF(AND(A379&lt;&gt;"",ISNUMBER(A379)),VLOOKUP(A379,Studies!A:BR,3,FALSE),"")</f>
        <v>https://www.ncbi.nlm.nih.gov/pubmed/8623953</v>
      </c>
      <c r="D379" s="232" t="str">
        <f>IF(AND(A379&lt;&gt;"",ISNUMBER(A379)),VLOOKUP(A379,Studies!A:BR,4,FALSE),"")</f>
        <v>day 4 (iv) with Perpetrator (Itraconazole)</v>
      </c>
      <c r="E379" s="206" t="str">
        <f>IF(AND(A379&lt;&gt;"",ISNUMBER(A379)),VLOOKUP(A379,Studies!A:BR,5,FALSE),"")</f>
        <v>Midazolam</v>
      </c>
      <c r="F379" s="175">
        <v>74</v>
      </c>
      <c r="G379" s="198">
        <v>122</v>
      </c>
      <c r="H379" s="198" t="s">
        <v>60</v>
      </c>
      <c r="I379" s="190"/>
      <c r="J379" s="190"/>
      <c r="K379" s="190"/>
      <c r="L379" s="191"/>
      <c r="M379" s="191"/>
      <c r="N379" s="191"/>
      <c r="O379" s="190"/>
      <c r="P379" s="192"/>
      <c r="Q379" s="192"/>
      <c r="R379" s="192"/>
      <c r="S379" s="193"/>
      <c r="T379" s="193"/>
      <c r="U379" s="193"/>
      <c r="V379" s="201"/>
      <c r="W379" s="196">
        <v>2.7</v>
      </c>
      <c r="X379" s="196" t="s">
        <v>1071</v>
      </c>
      <c r="Y379" s="196" t="s">
        <v>116</v>
      </c>
      <c r="Z379" s="197">
        <v>1.6</v>
      </c>
      <c r="AA379" s="197" t="s">
        <v>1071</v>
      </c>
      <c r="AB379" s="197" t="s">
        <v>117</v>
      </c>
      <c r="AC379" s="200" t="s">
        <v>1064</v>
      </c>
      <c r="AD379" s="202"/>
    </row>
    <row r="380" spans="1:31" s="174" customFormat="1" x14ac:dyDescent="0.2">
      <c r="A380" s="213">
        <v>379</v>
      </c>
      <c r="B380" s="232" t="str">
        <f>IF(AND(A380&lt;&gt;"",ISNUMBER(A380)),VLOOKUP(A380,Studies!A:BR,2,FALSE),"")</f>
        <v>Olkkola 1996</v>
      </c>
      <c r="C380" s="232" t="str">
        <f>IF(AND(A380&lt;&gt;"",ISNUMBER(A380)),VLOOKUP(A380,Studies!A:BR,3,FALSE),"")</f>
        <v>https://www.ncbi.nlm.nih.gov/pubmed/8623953</v>
      </c>
      <c r="D380" s="232" t="str">
        <f>IF(AND(A380&lt;&gt;"",ISNUMBER(A380)),VLOOKUP(A380,Studies!A:BR,4,FALSE),"")</f>
        <v>day 6 (po) with Perpetrator (Itraconazole)</v>
      </c>
      <c r="E380" s="206" t="str">
        <f>IF(AND(A380&lt;&gt;"",ISNUMBER(A380)),VLOOKUP(A380,Studies!A:BR,5,FALSE),"")</f>
        <v>Midazolam</v>
      </c>
      <c r="F380" s="175">
        <v>122</v>
      </c>
      <c r="G380" s="198" t="s">
        <v>1023</v>
      </c>
      <c r="H380" s="198" t="s">
        <v>60</v>
      </c>
      <c r="I380" s="190">
        <v>578</v>
      </c>
      <c r="J380" s="190" t="s">
        <v>1024</v>
      </c>
      <c r="K380" s="190" t="s">
        <v>116</v>
      </c>
      <c r="L380" s="191">
        <v>142</v>
      </c>
      <c r="M380" s="191" t="s">
        <v>1024</v>
      </c>
      <c r="N380" s="191" t="s">
        <v>117</v>
      </c>
      <c r="O380" s="190" t="s">
        <v>1025</v>
      </c>
      <c r="P380" s="192">
        <v>88</v>
      </c>
      <c r="Q380" s="192" t="s">
        <v>1026</v>
      </c>
      <c r="R380" s="192" t="s">
        <v>116</v>
      </c>
      <c r="S380" s="193">
        <v>15</v>
      </c>
      <c r="T380" s="193" t="s">
        <v>1026</v>
      </c>
      <c r="U380" s="193" t="s">
        <v>117</v>
      </c>
      <c r="V380" s="201" t="s">
        <v>1027</v>
      </c>
      <c r="W380" s="196"/>
      <c r="X380" s="196"/>
      <c r="Y380" s="196"/>
      <c r="Z380" s="197"/>
      <c r="AA380" s="197"/>
      <c r="AB380" s="197"/>
      <c r="AC380" s="200"/>
      <c r="AD380" s="202" t="s">
        <v>1106</v>
      </c>
    </row>
    <row r="381" spans="1:31" s="174" customFormat="1" x14ac:dyDescent="0.2">
      <c r="A381" s="213">
        <v>380</v>
      </c>
      <c r="B381" s="232" t="str">
        <f>IF(AND(A381&lt;&gt;"",ISNUMBER(A381)),VLOOKUP(A381,Studies!A:BR,2,FALSE),"")</f>
        <v>Olkkola 1996</v>
      </c>
      <c r="C381" s="232" t="str">
        <f>IF(AND(A381&lt;&gt;"",ISNUMBER(A381)),VLOOKUP(A381,Studies!A:BR,3,FALSE),"")</f>
        <v>https://www.ncbi.nlm.nih.gov/pubmed/8623953</v>
      </c>
      <c r="D381" s="232" t="str">
        <f>IF(AND(A381&lt;&gt;"",ISNUMBER(A381)),VLOOKUP(A381,Studies!A:BR,4,FALSE),"")</f>
        <v>day 1 (po) with Perpetrator (Fluconazole)</v>
      </c>
      <c r="E381" s="206" t="str">
        <f>IF(AND(A381&lt;&gt;"",ISNUMBER(A381)),VLOOKUP(A381,Studies!A:BR,5,FALSE),"")</f>
        <v>Midazolam</v>
      </c>
      <c r="F381" s="175">
        <v>2</v>
      </c>
      <c r="G381" s="198">
        <v>74</v>
      </c>
      <c r="H381" s="198" t="s">
        <v>60</v>
      </c>
      <c r="I381" s="190">
        <v>274</v>
      </c>
      <c r="J381" s="190" t="s">
        <v>1024</v>
      </c>
      <c r="K381" s="190" t="s">
        <v>116</v>
      </c>
      <c r="L381" s="191">
        <v>99</v>
      </c>
      <c r="M381" s="191" t="s">
        <v>1024</v>
      </c>
      <c r="N381" s="191" t="s">
        <v>117</v>
      </c>
      <c r="O381" s="190" t="s">
        <v>1025</v>
      </c>
      <c r="P381" s="192">
        <v>70</v>
      </c>
      <c r="Q381" s="192" t="s">
        <v>1026</v>
      </c>
      <c r="R381" s="192" t="s">
        <v>116</v>
      </c>
      <c r="S381" s="193">
        <v>28</v>
      </c>
      <c r="T381" s="193" t="s">
        <v>1026</v>
      </c>
      <c r="U381" s="193" t="s">
        <v>117</v>
      </c>
      <c r="V381" s="201" t="s">
        <v>1027</v>
      </c>
      <c r="W381" s="196"/>
      <c r="X381" s="196"/>
      <c r="Y381" s="196"/>
      <c r="Z381" s="197"/>
      <c r="AA381" s="197"/>
      <c r="AB381" s="197"/>
      <c r="AC381" s="200"/>
      <c r="AD381" s="202" t="s">
        <v>1106</v>
      </c>
    </row>
    <row r="382" spans="1:31" s="174" customFormat="1" x14ac:dyDescent="0.2">
      <c r="A382" s="213">
        <v>381</v>
      </c>
      <c r="B382" s="232" t="str">
        <f>IF(AND(A382&lt;&gt;"",ISNUMBER(A382)),VLOOKUP(A382,Studies!A:BR,2,FALSE),"")</f>
        <v>Olkkola 1996</v>
      </c>
      <c r="C382" s="232" t="str">
        <f>IF(AND(A382&lt;&gt;"",ISNUMBER(A382)),VLOOKUP(A382,Studies!A:BR,3,FALSE),"")</f>
        <v>https://www.ncbi.nlm.nih.gov/pubmed/8623953</v>
      </c>
      <c r="D382" s="232" t="str">
        <f>IF(AND(A382&lt;&gt;"",ISNUMBER(A382)),VLOOKUP(A382,Studies!A:BR,4,FALSE),"")</f>
        <v>day 4 (iv) with Perpetrator (Fluconazole)</v>
      </c>
      <c r="E382" s="206" t="str">
        <f>IF(AND(A382&lt;&gt;"",ISNUMBER(A382)),VLOOKUP(A382,Studies!A:BR,5,FALSE),"")</f>
        <v>Midazolam</v>
      </c>
      <c r="F382" s="175">
        <v>74</v>
      </c>
      <c r="G382" s="198">
        <v>122</v>
      </c>
      <c r="H382" s="198" t="s">
        <v>60</v>
      </c>
      <c r="I382" s="190"/>
      <c r="J382" s="190"/>
      <c r="K382" s="190"/>
      <c r="L382" s="191"/>
      <c r="M382" s="191"/>
      <c r="N382" s="191"/>
      <c r="O382" s="190"/>
      <c r="P382" s="192"/>
      <c r="Q382" s="192"/>
      <c r="R382" s="192"/>
      <c r="S382" s="193"/>
      <c r="T382" s="193"/>
      <c r="U382" s="193"/>
      <c r="V382" s="201"/>
      <c r="W382" s="196">
        <v>4.3</v>
      </c>
      <c r="X382" s="196" t="s">
        <v>1071</v>
      </c>
      <c r="Y382" s="196" t="s">
        <v>116</v>
      </c>
      <c r="Z382" s="197">
        <v>1.6</v>
      </c>
      <c r="AA382" s="197" t="s">
        <v>1071</v>
      </c>
      <c r="AB382" s="197" t="s">
        <v>117</v>
      </c>
      <c r="AC382" s="200" t="s">
        <v>1064</v>
      </c>
      <c r="AD382" s="202"/>
    </row>
    <row r="383" spans="1:31" s="174" customFormat="1" x14ac:dyDescent="0.2">
      <c r="A383" s="213">
        <v>382</v>
      </c>
      <c r="B383" s="232" t="str">
        <f>IF(AND(A383&lt;&gt;"",ISNUMBER(A383)),VLOOKUP(A383,Studies!A:BR,2,FALSE),"")</f>
        <v>Olkkola 1996</v>
      </c>
      <c r="C383" s="232" t="str">
        <f>IF(AND(A383&lt;&gt;"",ISNUMBER(A383)),VLOOKUP(A383,Studies!A:BR,3,FALSE),"")</f>
        <v>https://www.ncbi.nlm.nih.gov/pubmed/8623953</v>
      </c>
      <c r="D383" s="232" t="str">
        <f>IF(AND(A383&lt;&gt;"",ISNUMBER(A383)),VLOOKUP(A383,Studies!A:BR,4,FALSE),"")</f>
        <v>day 6 (po) with Perpetrator (Fluconazole)</v>
      </c>
      <c r="E383" s="206" t="str">
        <f>IF(AND(A383&lt;&gt;"",ISNUMBER(A383)),VLOOKUP(A383,Studies!A:BR,5,FALSE),"")</f>
        <v>Midazolam</v>
      </c>
      <c r="F383" s="175">
        <v>122</v>
      </c>
      <c r="G383" s="198" t="s">
        <v>1023</v>
      </c>
      <c r="H383" s="198" t="s">
        <v>60</v>
      </c>
      <c r="I383" s="190">
        <v>313</v>
      </c>
      <c r="J383" s="190" t="s">
        <v>1024</v>
      </c>
      <c r="K383" s="190" t="s">
        <v>116</v>
      </c>
      <c r="L383" s="191">
        <v>117</v>
      </c>
      <c r="M383" s="191" t="s">
        <v>1024</v>
      </c>
      <c r="N383" s="191" t="s">
        <v>117</v>
      </c>
      <c r="O383" s="190" t="s">
        <v>1025</v>
      </c>
      <c r="P383" s="192">
        <v>61</v>
      </c>
      <c r="Q383" s="192" t="s">
        <v>1026</v>
      </c>
      <c r="R383" s="192" t="s">
        <v>116</v>
      </c>
      <c r="S383" s="193">
        <v>16</v>
      </c>
      <c r="T383" s="193" t="s">
        <v>1026</v>
      </c>
      <c r="U383" s="193" t="s">
        <v>117</v>
      </c>
      <c r="V383" s="201" t="s">
        <v>1027</v>
      </c>
      <c r="W383" s="196"/>
      <c r="X383" s="196"/>
      <c r="Y383" s="196"/>
      <c r="Z383" s="197"/>
      <c r="AA383" s="197"/>
      <c r="AB383" s="197"/>
      <c r="AC383" s="200"/>
      <c r="AD383" s="202" t="s">
        <v>1106</v>
      </c>
    </row>
    <row r="384" spans="1:31" s="174" customFormat="1" x14ac:dyDescent="0.2">
      <c r="A384" s="213">
        <v>369</v>
      </c>
      <c r="B384" s="232" t="str">
        <f>IF(AND(A384&lt;&gt;"",ISNUMBER(A384)),VLOOKUP(A384,Studies!A:BR,2,FALSE),"")</f>
        <v>Olkkola 1994</v>
      </c>
      <c r="C384" s="232" t="str">
        <f>IF(AND(A384&lt;&gt;"",ISNUMBER(A384)),VLOOKUP(A384,Studies!A:BR,3,FALSE),"")</f>
        <v>https://www.ncbi.nlm.nih.gov/pubmed/8181191</v>
      </c>
      <c r="D384" s="232" t="str">
        <f>IF(AND(A384&lt;&gt;"",ISNUMBER(A384)),VLOOKUP(A384,Studies!A:BR,4,FALSE),"")</f>
        <v>po Control (Perpetrator Placebo)</v>
      </c>
      <c r="E384" s="206" t="str">
        <f>IF(AND(A384&lt;&gt;"",ISNUMBER(A384)),VLOOKUP(A384,Studies!A:BR,5,FALSE),"")</f>
        <v>Midazolam</v>
      </c>
      <c r="F384" s="175">
        <v>0</v>
      </c>
      <c r="G384" s="198" t="s">
        <v>1023</v>
      </c>
      <c r="H384" s="198" t="s">
        <v>60</v>
      </c>
      <c r="I384" s="190">
        <v>3.9</v>
      </c>
      <c r="J384" s="190" t="s">
        <v>1107</v>
      </c>
      <c r="K384" s="190" t="s">
        <v>116</v>
      </c>
      <c r="L384" s="191">
        <v>0.6</v>
      </c>
      <c r="M384" s="191" t="s">
        <v>1107</v>
      </c>
      <c r="N384" s="191" t="s">
        <v>1034</v>
      </c>
      <c r="O384" s="190" t="s">
        <v>1025</v>
      </c>
      <c r="P384" s="192">
        <v>22</v>
      </c>
      <c r="Q384" s="192" t="s">
        <v>1026</v>
      </c>
      <c r="R384" s="192" t="s">
        <v>116</v>
      </c>
      <c r="S384" s="193">
        <v>6</v>
      </c>
      <c r="T384" s="193" t="s">
        <v>1026</v>
      </c>
      <c r="U384" s="193" t="s">
        <v>1034</v>
      </c>
      <c r="V384" s="201" t="s">
        <v>1027</v>
      </c>
      <c r="W384" s="196"/>
      <c r="X384" s="196"/>
      <c r="Y384" s="196"/>
      <c r="Z384" s="197"/>
      <c r="AA384" s="197"/>
      <c r="AB384" s="197"/>
      <c r="AC384" s="200"/>
      <c r="AD384" s="202"/>
    </row>
    <row r="385" spans="1:30" s="174" customFormat="1" x14ac:dyDescent="0.2">
      <c r="A385" s="213">
        <v>370</v>
      </c>
      <c r="B385" s="232" t="str">
        <f>IF(AND(A385&lt;&gt;"",ISNUMBER(A385)),VLOOKUP(A385,Studies!A:BR,2,FALSE),"")</f>
        <v>Olkkola 1994</v>
      </c>
      <c r="C385" s="232" t="str">
        <f>IF(AND(A385&lt;&gt;"",ISNUMBER(A385)),VLOOKUP(A385,Studies!A:BR,3,FALSE),"")</f>
        <v>https://www.ncbi.nlm.nih.gov/pubmed/8181191</v>
      </c>
      <c r="D385" s="232" t="str">
        <f>IF(AND(A385&lt;&gt;"",ISNUMBER(A385)),VLOOKUP(A385,Studies!A:BR,4,FALSE),"")</f>
        <v>po with Perpetrator (Itraconazole)</v>
      </c>
      <c r="E385" s="206" t="str">
        <f>IF(AND(A385&lt;&gt;"",ISNUMBER(A385)),VLOOKUP(A385,Studies!A:BR,5,FALSE),"")</f>
        <v>Midazolam</v>
      </c>
      <c r="F385" s="175">
        <v>73</v>
      </c>
      <c r="G385" s="198" t="s">
        <v>1023</v>
      </c>
      <c r="H385" s="198" t="s">
        <v>60</v>
      </c>
      <c r="I385" s="190">
        <v>42</v>
      </c>
      <c r="J385" s="190" t="s">
        <v>1107</v>
      </c>
      <c r="K385" s="190" t="s">
        <v>116</v>
      </c>
      <c r="L385" s="191">
        <v>6</v>
      </c>
      <c r="M385" s="191" t="s">
        <v>1107</v>
      </c>
      <c r="N385" s="191" t="s">
        <v>1034</v>
      </c>
      <c r="O385" s="190" t="s">
        <v>1025</v>
      </c>
      <c r="P385" s="192">
        <v>75</v>
      </c>
      <c r="Q385" s="192" t="s">
        <v>1026</v>
      </c>
      <c r="R385" s="192" t="s">
        <v>116</v>
      </c>
      <c r="S385" s="193">
        <v>7</v>
      </c>
      <c r="T385" s="193" t="s">
        <v>1026</v>
      </c>
      <c r="U385" s="193" t="s">
        <v>1034</v>
      </c>
      <c r="V385" s="201" t="s">
        <v>1027</v>
      </c>
      <c r="W385" s="196"/>
      <c r="X385" s="196"/>
      <c r="Y385" s="196"/>
      <c r="Z385" s="197"/>
      <c r="AA385" s="197"/>
      <c r="AB385" s="197"/>
      <c r="AC385" s="200"/>
      <c r="AD385" s="202"/>
    </row>
    <row r="386" spans="1:30" s="174" customFormat="1" x14ac:dyDescent="0.2">
      <c r="A386" s="213">
        <v>371</v>
      </c>
      <c r="B386" s="232" t="str">
        <f>IF(AND(A386&lt;&gt;"",ISNUMBER(A386)),VLOOKUP(A386,Studies!A:BR,2,FALSE),"")</f>
        <v>Olkkola 1994</v>
      </c>
      <c r="C386" s="232" t="str">
        <f>IF(AND(A386&lt;&gt;"",ISNUMBER(A386)),VLOOKUP(A386,Studies!A:BR,3,FALSE),"")</f>
        <v>https://www.ncbi.nlm.nih.gov/pubmed/8181191</v>
      </c>
      <c r="D386" s="232" t="str">
        <f>IF(AND(A386&lt;&gt;"",ISNUMBER(A386)),VLOOKUP(A386,Studies!A:BR,4,FALSE),"")</f>
        <v>po with Perpetrator (Ketoconazole</v>
      </c>
      <c r="E386" s="206" t="str">
        <f>IF(AND(A386&lt;&gt;"",ISNUMBER(A386)),VLOOKUP(A386,Studies!A:BR,5,FALSE),"")</f>
        <v>Midazolam</v>
      </c>
      <c r="F386" s="175">
        <v>73</v>
      </c>
      <c r="G386" s="198" t="s">
        <v>1023</v>
      </c>
      <c r="H386" s="198" t="s">
        <v>60</v>
      </c>
      <c r="I386" s="190">
        <v>62</v>
      </c>
      <c r="J386" s="190" t="s">
        <v>1107</v>
      </c>
      <c r="K386" s="190" t="s">
        <v>116</v>
      </c>
      <c r="L386" s="191">
        <v>6</v>
      </c>
      <c r="M386" s="191" t="s">
        <v>1107</v>
      </c>
      <c r="N386" s="191" t="s">
        <v>1034</v>
      </c>
      <c r="O386" s="190" t="s">
        <v>1025</v>
      </c>
      <c r="P386" s="192">
        <v>90</v>
      </c>
      <c r="Q386" s="192" t="s">
        <v>1026</v>
      </c>
      <c r="R386" s="192" t="s">
        <v>116</v>
      </c>
      <c r="S386" s="193">
        <v>7</v>
      </c>
      <c r="T386" s="193" t="s">
        <v>1026</v>
      </c>
      <c r="U386" s="193" t="s">
        <v>1034</v>
      </c>
      <c r="V386" s="201" t="s">
        <v>1027</v>
      </c>
      <c r="W386" s="196"/>
      <c r="X386" s="196"/>
      <c r="Y386" s="196"/>
      <c r="Z386" s="197"/>
      <c r="AA386" s="197"/>
      <c r="AB386" s="197"/>
      <c r="AC386" s="200"/>
      <c r="AD386" s="202"/>
    </row>
    <row r="387" spans="1:30" s="174" customFormat="1" x14ac:dyDescent="0.2">
      <c r="A387" s="205">
        <v>365</v>
      </c>
      <c r="B387" s="232" t="str">
        <f>IF(AND(A387&lt;&gt;"",ISNUMBER(A387)),VLOOKUP(A387,Studies!A:BR,2,FALSE),"")</f>
        <v>Olkkola 1993</v>
      </c>
      <c r="C387" s="232" t="str">
        <f>IF(AND(A387&lt;&gt;"",ISNUMBER(A387)),VLOOKUP(A387,Studies!A:BR,3,FALSE),"")</f>
        <v>https://www.ncbi.nlm.nih.gov/pubmed/8453848</v>
      </c>
      <c r="D387" s="232" t="str">
        <f>IF(AND(A387&lt;&gt;"",ISNUMBER(A387)),VLOOKUP(A387,Studies!A:BR,4,FALSE),"")</f>
        <v>po Control (Perpetrator Placebo)</v>
      </c>
      <c r="E387" s="206" t="str">
        <f>IF(AND(A387&lt;&gt;"",ISNUMBER(A387)),VLOOKUP(A387,Studies!A:BR,5,FALSE),"")</f>
        <v>Midazolam</v>
      </c>
      <c r="F387" s="175">
        <v>0</v>
      </c>
      <c r="G387" s="198" t="s">
        <v>1023</v>
      </c>
      <c r="H387" s="198" t="s">
        <v>60</v>
      </c>
      <c r="I387" s="190">
        <v>12</v>
      </c>
      <c r="J387" s="190" t="s">
        <v>1107</v>
      </c>
      <c r="K387" s="190" t="s">
        <v>116</v>
      </c>
      <c r="L387" s="191">
        <v>1</v>
      </c>
      <c r="M387" s="191" t="s">
        <v>1107</v>
      </c>
      <c r="N387" s="191" t="s">
        <v>1034</v>
      </c>
      <c r="O387" s="190" t="s">
        <v>1025</v>
      </c>
      <c r="P387" s="192">
        <v>70</v>
      </c>
      <c r="Q387" s="192" t="s">
        <v>1026</v>
      </c>
      <c r="R387" s="192" t="s">
        <v>116</v>
      </c>
      <c r="S387" s="193">
        <v>9</v>
      </c>
      <c r="T387" s="193" t="s">
        <v>1026</v>
      </c>
      <c r="U387" s="193" t="s">
        <v>1034</v>
      </c>
      <c r="V387" s="201" t="s">
        <v>1027</v>
      </c>
      <c r="W387" s="196"/>
      <c r="X387" s="196"/>
      <c r="Y387" s="196"/>
      <c r="Z387" s="197"/>
      <c r="AA387" s="197"/>
      <c r="AB387" s="197"/>
      <c r="AC387" s="200"/>
      <c r="AD387" s="202"/>
    </row>
    <row r="388" spans="1:30" s="174" customFormat="1" x14ac:dyDescent="0.2">
      <c r="A388" s="205">
        <v>366</v>
      </c>
      <c r="B388" s="232" t="str">
        <f>IF(AND(A388&lt;&gt;"",ISNUMBER(A388)),VLOOKUP(A388,Studies!A:BR,2,FALSE),"")</f>
        <v>Olkkola 1993</v>
      </c>
      <c r="C388" s="232" t="str">
        <f>IF(AND(A388&lt;&gt;"",ISNUMBER(A388)),VLOOKUP(A388,Studies!A:BR,3,FALSE),"")</f>
        <v>https://www.ncbi.nlm.nih.gov/pubmed/8453848</v>
      </c>
      <c r="D388" s="232" t="str">
        <f>IF(AND(A388&lt;&gt;"",ISNUMBER(A388)),VLOOKUP(A388,Studies!A:BR,4,FALSE),"")</f>
        <v>po with Perpetrator (Erythromycin)</v>
      </c>
      <c r="E388" s="206" t="str">
        <f>IF(AND(A388&lt;&gt;"",ISNUMBER(A388)),VLOOKUP(A388,Studies!A:BR,5,FALSE),"")</f>
        <v>Midazolam</v>
      </c>
      <c r="F388" s="175">
        <v>128</v>
      </c>
      <c r="G388" s="198" t="s">
        <v>1023</v>
      </c>
      <c r="H388" s="198" t="s">
        <v>60</v>
      </c>
      <c r="I388" s="190">
        <v>53</v>
      </c>
      <c r="J388" s="190" t="s">
        <v>1107</v>
      </c>
      <c r="K388" s="190" t="s">
        <v>116</v>
      </c>
      <c r="L388" s="191">
        <v>7</v>
      </c>
      <c r="M388" s="191" t="s">
        <v>1107</v>
      </c>
      <c r="N388" s="191" t="s">
        <v>1034</v>
      </c>
      <c r="O388" s="190" t="s">
        <v>1025</v>
      </c>
      <c r="P388" s="192">
        <v>189</v>
      </c>
      <c r="Q388" s="192" t="s">
        <v>1026</v>
      </c>
      <c r="R388" s="192" t="s">
        <v>116</v>
      </c>
      <c r="S388" s="193">
        <v>16</v>
      </c>
      <c r="T388" s="193" t="s">
        <v>1026</v>
      </c>
      <c r="U388" s="193" t="s">
        <v>1034</v>
      </c>
      <c r="V388" s="201" t="s">
        <v>1027</v>
      </c>
      <c r="W388" s="196"/>
      <c r="X388" s="196"/>
      <c r="Y388" s="196"/>
      <c r="Z388" s="197"/>
      <c r="AA388" s="197"/>
      <c r="AB388" s="197"/>
      <c r="AC388" s="200"/>
      <c r="AD388" s="202"/>
    </row>
    <row r="389" spans="1:30" s="174" customFormat="1" x14ac:dyDescent="0.2">
      <c r="A389" s="205">
        <v>367</v>
      </c>
      <c r="B389" s="232" t="str">
        <f>IF(AND(A389&lt;&gt;"",ISNUMBER(A389)),VLOOKUP(A389,Studies!A:BR,2,FALSE),"")</f>
        <v>Olkkola 1993</v>
      </c>
      <c r="C389" s="232" t="str">
        <f>IF(AND(A389&lt;&gt;"",ISNUMBER(A389)),VLOOKUP(A389,Studies!A:BR,3,FALSE),"")</f>
        <v>https://www.ncbi.nlm.nih.gov/pubmed/8453848</v>
      </c>
      <c r="D389" s="232" t="str">
        <f>IF(AND(A389&lt;&gt;"",ISNUMBER(A389)),VLOOKUP(A389,Studies!A:BR,4,FALSE),"")</f>
        <v>iv Control (Perpetrator Placebo)</v>
      </c>
      <c r="E389" s="206" t="str">
        <f>IF(AND(A389&lt;&gt;"",ISNUMBER(A389)),VLOOKUP(A389,Studies!A:BR,5,FALSE),"")</f>
        <v>Midazolam</v>
      </c>
      <c r="F389" s="175">
        <v>0</v>
      </c>
      <c r="G389" s="198" t="s">
        <v>1023</v>
      </c>
      <c r="H389" s="198" t="s">
        <v>60</v>
      </c>
      <c r="I389" s="190"/>
      <c r="J389" s="190"/>
      <c r="K389" s="190"/>
      <c r="L389" s="191"/>
      <c r="M389" s="191"/>
      <c r="N389" s="191"/>
      <c r="O389" s="190"/>
      <c r="P389" s="192"/>
      <c r="Q389" s="192"/>
      <c r="R389" s="192"/>
      <c r="S389" s="193"/>
      <c r="T389" s="193"/>
      <c r="U389" s="193"/>
      <c r="V389" s="201"/>
      <c r="W389" s="196">
        <v>7.8</v>
      </c>
      <c r="X389" s="196" t="s">
        <v>1071</v>
      </c>
      <c r="Y389" s="196" t="s">
        <v>116</v>
      </c>
      <c r="Z389" s="197">
        <v>0.6</v>
      </c>
      <c r="AA389" s="197" t="s">
        <v>1071</v>
      </c>
      <c r="AB389" s="197" t="s">
        <v>1034</v>
      </c>
      <c r="AC389" s="200" t="s">
        <v>1064</v>
      </c>
      <c r="AD389" s="202"/>
    </row>
    <row r="390" spans="1:30" s="174" customFormat="1" x14ac:dyDescent="0.2">
      <c r="A390" s="205">
        <v>368</v>
      </c>
      <c r="B390" s="232" t="str">
        <f>IF(AND(A390&lt;&gt;"",ISNUMBER(A390)),VLOOKUP(A390,Studies!A:BR,2,FALSE),"")</f>
        <v>Olkkola 1993</v>
      </c>
      <c r="C390" s="232" t="str">
        <f>IF(AND(A390&lt;&gt;"",ISNUMBER(A390)),VLOOKUP(A390,Studies!A:BR,3,FALSE),"")</f>
        <v>https://www.ncbi.nlm.nih.gov/pubmed/8453848</v>
      </c>
      <c r="D390" s="232" t="str">
        <f>IF(AND(A390&lt;&gt;"",ISNUMBER(A390)),VLOOKUP(A390,Studies!A:BR,4,FALSE),"")</f>
        <v>iv with Perpetrator (Erythromycin)</v>
      </c>
      <c r="E390" s="206" t="str">
        <f>IF(AND(A390&lt;&gt;"",ISNUMBER(A390)),VLOOKUP(A390,Studies!A:BR,5,FALSE),"")</f>
        <v>Midazolam</v>
      </c>
      <c r="F390" s="175">
        <v>128</v>
      </c>
      <c r="G390" s="198" t="s">
        <v>1023</v>
      </c>
      <c r="H390" s="198" t="s">
        <v>60</v>
      </c>
      <c r="I390" s="190"/>
      <c r="J390" s="190"/>
      <c r="K390" s="190"/>
      <c r="L390" s="191"/>
      <c r="M390" s="191"/>
      <c r="N390" s="191"/>
      <c r="O390" s="190"/>
      <c r="P390" s="192"/>
      <c r="Q390" s="192"/>
      <c r="R390" s="192"/>
      <c r="S390" s="193"/>
      <c r="T390" s="193"/>
      <c r="U390" s="193"/>
      <c r="V390" s="201"/>
      <c r="W390" s="196">
        <v>3.6</v>
      </c>
      <c r="X390" s="196" t="s">
        <v>1071</v>
      </c>
      <c r="Y390" s="196" t="s">
        <v>116</v>
      </c>
      <c r="Z390" s="197">
        <v>0.3</v>
      </c>
      <c r="AA390" s="197" t="s">
        <v>1071</v>
      </c>
      <c r="AB390" s="197" t="s">
        <v>1034</v>
      </c>
      <c r="AC390" s="200" t="s">
        <v>1064</v>
      </c>
      <c r="AD390" s="202"/>
    </row>
    <row r="391" spans="1:30" s="174" customFormat="1" x14ac:dyDescent="0.2">
      <c r="A391" s="205">
        <v>361</v>
      </c>
      <c r="B391" s="232" t="str">
        <f>IF(AND(A391&lt;&gt;"",ISNUMBER(A391)),VLOOKUP(A391,Studies!A:BR,2,FALSE),"")</f>
        <v>Okudaira 2007</v>
      </c>
      <c r="C391" s="232" t="str">
        <f>IF(AND(A391&lt;&gt;"",ISNUMBER(A391)),VLOOKUP(A391,Studies!A:BR,3,FALSE),"")</f>
        <v>https://www.ncbi.nlm.nih.gov/pubmed/17585116</v>
      </c>
      <c r="D391" s="232" t="str">
        <f>IF(AND(A391&lt;&gt;"",ISNUMBER(A391)),VLOOKUP(A391,Studies!A:BR,4,FALSE),"")</f>
        <v>EM 0 Control (Perpetrator Placebo)</v>
      </c>
      <c r="E391" s="206" t="str">
        <f>IF(AND(A391&lt;&gt;"",ISNUMBER(A391)),VLOOKUP(A391,Studies!A:BR,5,FALSE),"")</f>
        <v>Midazolam</v>
      </c>
      <c r="F391" s="175">
        <v>0</v>
      </c>
      <c r="G391" s="198" t="s">
        <v>1023</v>
      </c>
      <c r="H391" s="198" t="s">
        <v>60</v>
      </c>
      <c r="I391" s="190">
        <v>35.799999999999997</v>
      </c>
      <c r="J391" s="190" t="s">
        <v>1024</v>
      </c>
      <c r="K391" s="190" t="s">
        <v>116</v>
      </c>
      <c r="L391" s="191">
        <v>7.8</v>
      </c>
      <c r="M391" s="191" t="s">
        <v>1024</v>
      </c>
      <c r="N391" s="191" t="s">
        <v>117</v>
      </c>
      <c r="O391" s="190" t="s">
        <v>1025</v>
      </c>
      <c r="P391" s="192">
        <v>11</v>
      </c>
      <c r="Q391" s="192" t="s">
        <v>1026</v>
      </c>
      <c r="R391" s="192" t="s">
        <v>116</v>
      </c>
      <c r="S391" s="193">
        <v>2.6</v>
      </c>
      <c r="T391" s="193" t="s">
        <v>1026</v>
      </c>
      <c r="U391" s="193" t="s">
        <v>117</v>
      </c>
      <c r="V391" s="201" t="s">
        <v>1027</v>
      </c>
      <c r="W391" s="196">
        <v>19.3</v>
      </c>
      <c r="X391" s="196" t="s">
        <v>1071</v>
      </c>
      <c r="Y391" s="196" t="s">
        <v>116</v>
      </c>
      <c r="Z391" s="197">
        <v>5.5</v>
      </c>
      <c r="AA391" s="197" t="s">
        <v>1071</v>
      </c>
      <c r="AB391" s="197" t="s">
        <v>117</v>
      </c>
      <c r="AC391" s="200" t="s">
        <v>1033</v>
      </c>
      <c r="AD391" s="202"/>
    </row>
    <row r="392" spans="1:30" s="174" customFormat="1" x14ac:dyDescent="0.2">
      <c r="A392" s="205">
        <v>362</v>
      </c>
      <c r="B392" s="232" t="str">
        <f>IF(AND(A392&lt;&gt;"",ISNUMBER(A392)),VLOOKUP(A392,Studies!A:BR,2,FALSE),"")</f>
        <v>Okudaira 2007</v>
      </c>
      <c r="C392" s="232" t="str">
        <f>IF(AND(A392&lt;&gt;"",ISNUMBER(A392)),VLOOKUP(A392,Studies!A:BR,3,FALSE),"")</f>
        <v>https://www.ncbi.nlm.nih.gov/pubmed/17585116</v>
      </c>
      <c r="D392" s="232" t="str">
        <f>IF(AND(A392&lt;&gt;"",ISNUMBER(A392)),VLOOKUP(A392,Studies!A:BR,4,FALSE),"")</f>
        <v>EM 2 with Perpetrator (Erythromycin)</v>
      </c>
      <c r="E392" s="206" t="str">
        <f>IF(AND(A392&lt;&gt;"",ISNUMBER(A392)),VLOOKUP(A392,Studies!A:BR,5,FALSE),"")</f>
        <v>Midazolam</v>
      </c>
      <c r="F392" s="175">
        <v>25</v>
      </c>
      <c r="G392" s="198">
        <v>73</v>
      </c>
      <c r="H392" s="198" t="s">
        <v>60</v>
      </c>
      <c r="I392" s="190">
        <v>83.1</v>
      </c>
      <c r="J392" s="190" t="s">
        <v>1024</v>
      </c>
      <c r="K392" s="190" t="s">
        <v>116</v>
      </c>
      <c r="L392" s="191">
        <v>37.700000000000003</v>
      </c>
      <c r="M392" s="191" t="s">
        <v>1024</v>
      </c>
      <c r="N392" s="191" t="s">
        <v>117</v>
      </c>
      <c r="O392" s="190" t="s">
        <v>1025</v>
      </c>
      <c r="P392" s="192">
        <v>20</v>
      </c>
      <c r="Q392" s="192" t="s">
        <v>1026</v>
      </c>
      <c r="R392" s="192" t="s">
        <v>116</v>
      </c>
      <c r="S392" s="193">
        <v>5.9</v>
      </c>
      <c r="T392" s="193" t="s">
        <v>1026</v>
      </c>
      <c r="U392" s="193" t="s">
        <v>117</v>
      </c>
      <c r="V392" s="201" t="s">
        <v>1027</v>
      </c>
      <c r="W392" s="196">
        <v>9.4</v>
      </c>
      <c r="X392" s="196" t="s">
        <v>1071</v>
      </c>
      <c r="Y392" s="196" t="s">
        <v>116</v>
      </c>
      <c r="Z392" s="197">
        <v>4.2</v>
      </c>
      <c r="AA392" s="197" t="s">
        <v>1071</v>
      </c>
      <c r="AB392" s="197" t="s">
        <v>117</v>
      </c>
      <c r="AC392" s="200" t="s">
        <v>1033</v>
      </c>
      <c r="AD392" s="202"/>
    </row>
    <row r="393" spans="1:30" s="174" customFormat="1" x14ac:dyDescent="0.2">
      <c r="A393" s="205">
        <v>363</v>
      </c>
      <c r="B393" s="232" t="str">
        <f>IF(AND(A393&lt;&gt;"",ISNUMBER(A393)),VLOOKUP(A393,Studies!A:BR,2,FALSE),"")</f>
        <v>Okudaira 2007</v>
      </c>
      <c r="C393" s="232" t="str">
        <f>IF(AND(A393&lt;&gt;"",ISNUMBER(A393)),VLOOKUP(A393,Studies!A:BR,3,FALSE),"")</f>
        <v>https://www.ncbi.nlm.nih.gov/pubmed/17585116</v>
      </c>
      <c r="D393" s="232" t="str">
        <f>IF(AND(A393&lt;&gt;"",ISNUMBER(A393)),VLOOKUP(A393,Studies!A:BR,4,FALSE),"")</f>
        <v>EM 4 with Perpetrator (Erythromycin)</v>
      </c>
      <c r="E393" s="206" t="str">
        <f>IF(AND(A393&lt;&gt;"",ISNUMBER(A393)),VLOOKUP(A393,Studies!A:BR,5,FALSE),"")</f>
        <v>Midazolam</v>
      </c>
      <c r="F393" s="175">
        <v>73</v>
      </c>
      <c r="G393" s="198">
        <v>145</v>
      </c>
      <c r="H393" s="198" t="s">
        <v>60</v>
      </c>
      <c r="I393" s="190">
        <v>118.7</v>
      </c>
      <c r="J393" s="190" t="s">
        <v>1024</v>
      </c>
      <c r="K393" s="190" t="s">
        <v>116</v>
      </c>
      <c r="L393" s="191">
        <v>57</v>
      </c>
      <c r="M393" s="191" t="s">
        <v>1024</v>
      </c>
      <c r="N393" s="191" t="s">
        <v>117</v>
      </c>
      <c r="O393" s="190" t="s">
        <v>1025</v>
      </c>
      <c r="P393" s="192">
        <v>26.4</v>
      </c>
      <c r="Q393" s="192" t="s">
        <v>1026</v>
      </c>
      <c r="R393" s="192" t="s">
        <v>116</v>
      </c>
      <c r="S393" s="193">
        <v>8.6999999999999993</v>
      </c>
      <c r="T393" s="193" t="s">
        <v>1026</v>
      </c>
      <c r="U393" s="193" t="s">
        <v>117</v>
      </c>
      <c r="V393" s="201" t="s">
        <v>1027</v>
      </c>
      <c r="W393" s="196">
        <v>6.5</v>
      </c>
      <c r="X393" s="196" t="s">
        <v>1071</v>
      </c>
      <c r="Y393" s="196" t="s">
        <v>116</v>
      </c>
      <c r="Z393" s="197">
        <v>2.5</v>
      </c>
      <c r="AA393" s="197" t="s">
        <v>1071</v>
      </c>
      <c r="AB393" s="197" t="s">
        <v>117</v>
      </c>
      <c r="AC393" s="200" t="s">
        <v>1033</v>
      </c>
      <c r="AD393" s="202"/>
    </row>
    <row r="394" spans="1:30" s="174" customFormat="1" x14ac:dyDescent="0.2">
      <c r="A394" s="205">
        <v>364</v>
      </c>
      <c r="B394" s="232" t="str">
        <f>IF(AND(A394&lt;&gt;"",ISNUMBER(A394)),VLOOKUP(A394,Studies!A:BR,2,FALSE),"")</f>
        <v>Okudaira 2007</v>
      </c>
      <c r="C394" s="232" t="str">
        <f>IF(AND(A394&lt;&gt;"",ISNUMBER(A394)),VLOOKUP(A394,Studies!A:BR,3,FALSE),"")</f>
        <v>https://www.ncbi.nlm.nih.gov/pubmed/17585116</v>
      </c>
      <c r="D394" s="232" t="str">
        <f>IF(AND(A394&lt;&gt;"",ISNUMBER(A394)),VLOOKUP(A394,Studies!A:BR,4,FALSE),"")</f>
        <v>EM 7 with Perpetrator (Erythromycin)</v>
      </c>
      <c r="E394" s="206" t="str">
        <f>IF(AND(A394&lt;&gt;"",ISNUMBER(A394)),VLOOKUP(A394,Studies!A:BR,5,FALSE),"")</f>
        <v>Midazolam</v>
      </c>
      <c r="F394" s="175">
        <v>145</v>
      </c>
      <c r="G394" s="198" t="s">
        <v>1023</v>
      </c>
      <c r="H394" s="198" t="s">
        <v>60</v>
      </c>
      <c r="I394" s="190">
        <v>119.2</v>
      </c>
      <c r="J394" s="190" t="s">
        <v>1024</v>
      </c>
      <c r="K394" s="190" t="s">
        <v>116</v>
      </c>
      <c r="L394" s="191">
        <v>50.8</v>
      </c>
      <c r="M394" s="191" t="s">
        <v>1024</v>
      </c>
      <c r="N394" s="191" t="s">
        <v>117</v>
      </c>
      <c r="O394" s="190" t="s">
        <v>1025</v>
      </c>
      <c r="P394" s="192">
        <v>25.8</v>
      </c>
      <c r="Q394" s="192" t="s">
        <v>1026</v>
      </c>
      <c r="R394" s="192" t="s">
        <v>116</v>
      </c>
      <c r="S394" s="193">
        <v>9.9</v>
      </c>
      <c r="T394" s="193" t="s">
        <v>1026</v>
      </c>
      <c r="U394" s="193" t="s">
        <v>117</v>
      </c>
      <c r="V394" s="201" t="s">
        <v>1027</v>
      </c>
      <c r="W394" s="196">
        <v>6.6</v>
      </c>
      <c r="X394" s="196" t="s">
        <v>1071</v>
      </c>
      <c r="Y394" s="196" t="s">
        <v>116</v>
      </c>
      <c r="Z394" s="197">
        <v>3</v>
      </c>
      <c r="AA394" s="197" t="s">
        <v>1071</v>
      </c>
      <c r="AB394" s="197" t="s">
        <v>117</v>
      </c>
      <c r="AC394" s="200" t="s">
        <v>1033</v>
      </c>
      <c r="AD394" s="202"/>
    </row>
    <row r="395" spans="1:30" s="174" customFormat="1" x14ac:dyDescent="0.2">
      <c r="A395" s="205">
        <v>351</v>
      </c>
      <c r="B395" s="232" t="str">
        <f>IF(AND(A395&lt;&gt;"",ISNUMBER(A395)),VLOOKUP(A395,Studies!A:BR,2,FALSE),"")</f>
        <v>Majumdar 2007</v>
      </c>
      <c r="C395" s="232" t="str">
        <f>IF(AND(A395&lt;&gt;"",ISNUMBER(A395)),VLOOKUP(A395,Studies!A:BR,3,FALSE),"")</f>
        <v>https://www.ncbi.nlm.nih.gov/pubmed/17463213</v>
      </c>
      <c r="D395" s="232" t="str">
        <f>IF(AND(A395&lt;&gt;"",ISNUMBER(A395)),VLOOKUP(A395,Studies!A:BR,4,FALSE),"")</f>
        <v>po Control (Perpetrator Placebo)</v>
      </c>
      <c r="E395" s="206" t="str">
        <f>IF(AND(A395&lt;&gt;"",ISNUMBER(A395)),VLOOKUP(A395,Studies!A:BR,5,FALSE),"")</f>
        <v>Midazolam</v>
      </c>
      <c r="F395" s="175">
        <v>0</v>
      </c>
      <c r="G395" s="198" t="s">
        <v>1023</v>
      </c>
      <c r="H395" s="198" t="s">
        <v>60</v>
      </c>
      <c r="I395" s="190">
        <v>75.400000000000006</v>
      </c>
      <c r="J395" s="190" t="s">
        <v>1024</v>
      </c>
      <c r="K395" s="190" t="s">
        <v>116</v>
      </c>
      <c r="L395" s="191">
        <v>8.57</v>
      </c>
      <c r="M395" s="191" t="s">
        <v>1024</v>
      </c>
      <c r="N395" s="191" t="s">
        <v>117</v>
      </c>
      <c r="O395" s="190" t="s">
        <v>1025</v>
      </c>
      <c r="P395" s="192">
        <v>71.599999999999994</v>
      </c>
      <c r="Q395" s="192" t="s">
        <v>1026</v>
      </c>
      <c r="R395" s="192" t="s">
        <v>116</v>
      </c>
      <c r="S395" s="193">
        <v>48.1</v>
      </c>
      <c r="T395" s="193" t="s">
        <v>1026</v>
      </c>
      <c r="U395" s="193" t="s">
        <v>117</v>
      </c>
      <c r="V395" s="201" t="s">
        <v>1027</v>
      </c>
      <c r="W395" s="196">
        <v>447.11</v>
      </c>
      <c r="X395" s="196" t="s">
        <v>1043</v>
      </c>
      <c r="Y395" s="196" t="s">
        <v>116</v>
      </c>
      <c r="Z395" s="197">
        <v>50.65</v>
      </c>
      <c r="AA395" s="197" t="s">
        <v>1043</v>
      </c>
      <c r="AB395" s="197" t="s">
        <v>117</v>
      </c>
      <c r="AC395" s="200" t="s">
        <v>1064</v>
      </c>
      <c r="AD395" s="202"/>
    </row>
    <row r="396" spans="1:30" s="174" customFormat="1" x14ac:dyDescent="0.2">
      <c r="A396" s="205">
        <v>352</v>
      </c>
      <c r="B396" s="232" t="str">
        <f>IF(AND(A396&lt;&gt;"",ISNUMBER(A396)),VLOOKUP(A396,Studies!A:BR,2,FALSE),"")</f>
        <v>Majumdar 2007</v>
      </c>
      <c r="C396" s="232" t="str">
        <f>IF(AND(A396&lt;&gt;"",ISNUMBER(A396)),VLOOKUP(A396,Studies!A:BR,3,FALSE),"")</f>
        <v>https://www.ncbi.nlm.nih.gov/pubmed/17463213</v>
      </c>
      <c r="D396" s="232" t="str">
        <f>IF(AND(A396&lt;&gt;"",ISNUMBER(A396)),VLOOKUP(A396,Studies!A:BR,4,FALSE),"")</f>
        <v>po with Perpetrator (Aprepitant)</v>
      </c>
      <c r="E396" s="206" t="str">
        <f>IF(AND(A396&lt;&gt;"",ISNUMBER(A396)),VLOOKUP(A396,Studies!A:BR,5,FALSE),"")</f>
        <v>Midazolam</v>
      </c>
      <c r="F396" s="175">
        <v>1</v>
      </c>
      <c r="G396" s="198" t="s">
        <v>1023</v>
      </c>
      <c r="H396" s="198" t="s">
        <v>60</v>
      </c>
      <c r="I396" s="190">
        <v>112.4</v>
      </c>
      <c r="J396" s="190" t="s">
        <v>1024</v>
      </c>
      <c r="K396" s="190" t="s">
        <v>116</v>
      </c>
      <c r="L396" s="191">
        <v>23.66</v>
      </c>
      <c r="M396" s="191" t="s">
        <v>1024</v>
      </c>
      <c r="N396" s="191" t="s">
        <v>117</v>
      </c>
      <c r="O396" s="190" t="s">
        <v>1025</v>
      </c>
      <c r="P396" s="192">
        <v>108.1</v>
      </c>
      <c r="Q396" s="192" t="s">
        <v>1026</v>
      </c>
      <c r="R396" s="192" t="s">
        <v>116</v>
      </c>
      <c r="S396" s="193">
        <v>113.2</v>
      </c>
      <c r="T396" s="193" t="s">
        <v>1026</v>
      </c>
      <c r="U396" s="193" t="s">
        <v>117</v>
      </c>
      <c r="V396" s="201" t="s">
        <v>1027</v>
      </c>
      <c r="W396" s="196">
        <v>307.51</v>
      </c>
      <c r="X396" s="196" t="s">
        <v>1043</v>
      </c>
      <c r="Y396" s="196" t="s">
        <v>116</v>
      </c>
      <c r="Z396" s="197">
        <v>58.44</v>
      </c>
      <c r="AA396" s="197" t="s">
        <v>1043</v>
      </c>
      <c r="AB396" s="197" t="s">
        <v>117</v>
      </c>
      <c r="AC396" s="200" t="s">
        <v>1064</v>
      </c>
      <c r="AD396" s="202"/>
    </row>
    <row r="397" spans="1:30" s="174" customFormat="1" x14ac:dyDescent="0.2">
      <c r="A397" s="205">
        <v>30</v>
      </c>
      <c r="B397" s="232" t="str">
        <f>IF(AND(A397&lt;&gt;"",ISNUMBER(A397)),VLOOKUP(A397,Studies!A:BR,2,FALSE),"")</f>
        <v>Acocella 1984</v>
      </c>
      <c r="C397" s="232" t="str">
        <f>IF(AND(A397&lt;&gt;"",ISNUMBER(A397)),VLOOKUP(A397,Studies!A:BR,3,FALSE),"")</f>
        <v>https://www.ncbi.nlm.nih.gov/pubmed/6473487</v>
      </c>
      <c r="D397" s="232" t="str">
        <f>IF(AND(A397&lt;&gt;"",ISNUMBER(A397)),VLOOKUP(A397,Studies!A:BR,4,FALSE),"")</f>
        <v>Individual 1 (600 mg, 3 h infusion)</v>
      </c>
      <c r="E397" s="206" t="str">
        <f>IF(AND(A397&lt;&gt;"",ISNUMBER(A397)),VLOOKUP(A397,Studies!A:BR,5,FALSE),"")</f>
        <v>Rifampicin</v>
      </c>
      <c r="F397" s="175">
        <v>0</v>
      </c>
      <c r="G397" s="198" t="s">
        <v>1023</v>
      </c>
      <c r="H397" s="198" t="s">
        <v>60</v>
      </c>
      <c r="I397" s="190">
        <v>51</v>
      </c>
      <c r="J397" s="190" t="s">
        <v>1060</v>
      </c>
      <c r="K397" s="190" t="s">
        <v>264</v>
      </c>
      <c r="L397" s="191"/>
      <c r="M397" s="191"/>
      <c r="N397" s="191"/>
      <c r="O397" s="190" t="s">
        <v>1025</v>
      </c>
      <c r="P397" s="192"/>
      <c r="Q397" s="192"/>
      <c r="R397" s="192"/>
      <c r="S397" s="193"/>
      <c r="T397" s="193"/>
      <c r="U397" s="193"/>
      <c r="V397" s="201"/>
      <c r="W397" s="196">
        <v>11.76</v>
      </c>
      <c r="X397" s="196" t="s">
        <v>1108</v>
      </c>
      <c r="Y397" s="196" t="s">
        <v>264</v>
      </c>
      <c r="Z397" s="197"/>
      <c r="AA397" s="197"/>
      <c r="AB397" s="197"/>
      <c r="AC397" s="200"/>
      <c r="AD397" s="202" t="s">
        <v>1109</v>
      </c>
    </row>
    <row r="398" spans="1:30" s="174" customFormat="1" x14ac:dyDescent="0.2">
      <c r="A398" s="205">
        <v>31</v>
      </c>
      <c r="B398" s="232" t="str">
        <f>IF(AND(A398&lt;&gt;"",ISNUMBER(A398)),VLOOKUP(A398,Studies!A:BR,2,FALSE),"")</f>
        <v>Acocella 1984</v>
      </c>
      <c r="C398" s="232" t="str">
        <f>IF(AND(A398&lt;&gt;"",ISNUMBER(A398)),VLOOKUP(A398,Studies!A:BR,3,FALSE),"")</f>
        <v>https://www.ncbi.nlm.nih.gov/pubmed/6473487</v>
      </c>
      <c r="D398" s="232" t="str">
        <f>IF(AND(A398&lt;&gt;"",ISNUMBER(A398)),VLOOKUP(A398,Studies!A:BR,4,FALSE),"")</f>
        <v>Individual 2 (600 mg, 3 h infusion)</v>
      </c>
      <c r="E398" s="206" t="str">
        <f>IF(AND(A398&lt;&gt;"",ISNUMBER(A398)),VLOOKUP(A398,Studies!A:BR,5,FALSE),"")</f>
        <v>Rifampicin</v>
      </c>
      <c r="F398" s="175">
        <v>0</v>
      </c>
      <c r="G398" s="198" t="s">
        <v>1023</v>
      </c>
      <c r="H398" s="198" t="s">
        <v>60</v>
      </c>
      <c r="I398" s="190">
        <v>59.7</v>
      </c>
      <c r="J398" s="190" t="s">
        <v>1060</v>
      </c>
      <c r="K398" s="190" t="s">
        <v>264</v>
      </c>
      <c r="L398" s="191"/>
      <c r="M398" s="191"/>
      <c r="N398" s="191"/>
      <c r="O398" s="190" t="s">
        <v>1025</v>
      </c>
      <c r="P398" s="192"/>
      <c r="Q398" s="192"/>
      <c r="R398" s="192"/>
      <c r="S398" s="193"/>
      <c r="T398" s="193"/>
      <c r="U398" s="193"/>
      <c r="V398" s="201"/>
      <c r="W398" s="196">
        <v>10.050000000000001</v>
      </c>
      <c r="X398" s="196" t="s">
        <v>1108</v>
      </c>
      <c r="Y398" s="196" t="s">
        <v>264</v>
      </c>
      <c r="Z398" s="197"/>
      <c r="AA398" s="197"/>
      <c r="AB398" s="197"/>
      <c r="AC398" s="200"/>
      <c r="AD398" s="202" t="s">
        <v>1109</v>
      </c>
    </row>
    <row r="399" spans="1:30" s="174" customFormat="1" x14ac:dyDescent="0.2">
      <c r="A399" s="205">
        <v>32</v>
      </c>
      <c r="B399" s="232" t="str">
        <f>IF(AND(A399&lt;&gt;"",ISNUMBER(A399)),VLOOKUP(A399,Studies!A:BR,2,FALSE),"")</f>
        <v>Acocella 1984</v>
      </c>
      <c r="C399" s="232" t="str">
        <f>IF(AND(A399&lt;&gt;"",ISNUMBER(A399)),VLOOKUP(A399,Studies!A:BR,3,FALSE),"")</f>
        <v>https://www.ncbi.nlm.nih.gov/pubmed/6473487</v>
      </c>
      <c r="D399" s="232" t="str">
        <f>IF(AND(A399&lt;&gt;"",ISNUMBER(A399)),VLOOKUP(A399,Studies!A:BR,4,FALSE),"")</f>
        <v>Individual 3 (600 mg, 2 h infusion)</v>
      </c>
      <c r="E399" s="206" t="str">
        <f>IF(AND(A399&lt;&gt;"",ISNUMBER(A399)),VLOOKUP(A399,Studies!A:BR,5,FALSE),"")</f>
        <v>Rifampicin</v>
      </c>
      <c r="F399" s="175">
        <v>0</v>
      </c>
      <c r="G399" s="198" t="s">
        <v>1023</v>
      </c>
      <c r="H399" s="198" t="s">
        <v>60</v>
      </c>
      <c r="I399" s="190">
        <v>49.7</v>
      </c>
      <c r="J399" s="190" t="s">
        <v>1060</v>
      </c>
      <c r="K399" s="190" t="s">
        <v>264</v>
      </c>
      <c r="L399" s="191"/>
      <c r="M399" s="191"/>
      <c r="N399" s="191"/>
      <c r="O399" s="190" t="s">
        <v>1025</v>
      </c>
      <c r="P399" s="192"/>
      <c r="Q399" s="192"/>
      <c r="R399" s="192"/>
      <c r="S399" s="193"/>
      <c r="T399" s="193"/>
      <c r="U399" s="193"/>
      <c r="V399" s="201"/>
      <c r="W399" s="196">
        <v>12.07</v>
      </c>
      <c r="X399" s="196" t="s">
        <v>1108</v>
      </c>
      <c r="Y399" s="196" t="s">
        <v>264</v>
      </c>
      <c r="Z399" s="197"/>
      <c r="AA399" s="197"/>
      <c r="AB399" s="197"/>
      <c r="AC399" s="200"/>
      <c r="AD399" s="202" t="s">
        <v>1109</v>
      </c>
    </row>
    <row r="400" spans="1:30" s="174" customFormat="1" x14ac:dyDescent="0.2">
      <c r="A400" s="205">
        <v>33</v>
      </c>
      <c r="B400" s="232" t="str">
        <f>IF(AND(A400&lt;&gt;"",ISNUMBER(A400)),VLOOKUP(A400,Studies!A:BR,2,FALSE),"")</f>
        <v>Acocella 1984</v>
      </c>
      <c r="C400" s="232" t="str">
        <f>IF(AND(A400&lt;&gt;"",ISNUMBER(A400)),VLOOKUP(A400,Studies!A:BR,3,FALSE),"")</f>
        <v>https://www.ncbi.nlm.nih.gov/pubmed/6473487</v>
      </c>
      <c r="D400" s="232" t="str">
        <f>IF(AND(A400&lt;&gt;"",ISNUMBER(A400)),VLOOKUP(A400,Studies!A:BR,4,FALSE),"")</f>
        <v>Individual 4 (600 mg, 2 h infusion)</v>
      </c>
      <c r="E400" s="206" t="str">
        <f>IF(AND(A400&lt;&gt;"",ISNUMBER(A400)),VLOOKUP(A400,Studies!A:BR,5,FALSE),"")</f>
        <v>Rifampicin</v>
      </c>
      <c r="F400" s="175">
        <v>0</v>
      </c>
      <c r="G400" s="198" t="s">
        <v>1023</v>
      </c>
      <c r="H400" s="198" t="s">
        <v>60</v>
      </c>
      <c r="I400" s="190">
        <v>16.100000000000001</v>
      </c>
      <c r="J400" s="190" t="s">
        <v>1060</v>
      </c>
      <c r="K400" s="190" t="s">
        <v>264</v>
      </c>
      <c r="L400" s="191"/>
      <c r="M400" s="191"/>
      <c r="N400" s="191"/>
      <c r="O400" s="190" t="s">
        <v>1025</v>
      </c>
      <c r="P400" s="192"/>
      <c r="Q400" s="192"/>
      <c r="R400" s="192"/>
      <c r="S400" s="193"/>
      <c r="T400" s="193"/>
      <c r="U400" s="193"/>
      <c r="V400" s="201"/>
      <c r="W400" s="196">
        <v>37.26</v>
      </c>
      <c r="X400" s="196" t="s">
        <v>1108</v>
      </c>
      <c r="Y400" s="196" t="s">
        <v>264</v>
      </c>
      <c r="Z400" s="197"/>
      <c r="AA400" s="197"/>
      <c r="AB400" s="197"/>
      <c r="AC400" s="200"/>
      <c r="AD400" s="202" t="s">
        <v>1109</v>
      </c>
    </row>
    <row r="401" spans="1:30" s="174" customFormat="1" x14ac:dyDescent="0.2">
      <c r="A401" s="205">
        <v>34</v>
      </c>
      <c r="B401" s="232" t="str">
        <f>IF(AND(A401&lt;&gt;"",ISNUMBER(A401)),VLOOKUP(A401,Studies!A:BR,2,FALSE),"")</f>
        <v>Acocella 1984</v>
      </c>
      <c r="C401" s="232" t="str">
        <f>IF(AND(A401&lt;&gt;"",ISNUMBER(A401)),VLOOKUP(A401,Studies!A:BR,3,FALSE),"")</f>
        <v>https://www.ncbi.nlm.nih.gov/pubmed/6473487</v>
      </c>
      <c r="D401" s="232" t="str">
        <f>IF(AND(A401&lt;&gt;"",ISNUMBER(A401)),VLOOKUP(A401,Studies!A:BR,4,FALSE),"")</f>
        <v>Individual 5 (600 mg, 1 h infusion)</v>
      </c>
      <c r="E401" s="206" t="str">
        <f>IF(AND(A401&lt;&gt;"",ISNUMBER(A401)),VLOOKUP(A401,Studies!A:BR,5,FALSE),"")</f>
        <v>Rifampicin</v>
      </c>
      <c r="F401" s="175">
        <v>0</v>
      </c>
      <c r="G401" s="198" t="s">
        <v>1023</v>
      </c>
      <c r="H401" s="198" t="s">
        <v>60</v>
      </c>
      <c r="I401" s="190">
        <v>79.099999999999994</v>
      </c>
      <c r="J401" s="190" t="s">
        <v>1060</v>
      </c>
      <c r="K401" s="190" t="s">
        <v>264</v>
      </c>
      <c r="L401" s="191"/>
      <c r="M401" s="191"/>
      <c r="N401" s="191"/>
      <c r="O401" s="190" t="s">
        <v>1025</v>
      </c>
      <c r="P401" s="192"/>
      <c r="Q401" s="192"/>
      <c r="R401" s="192"/>
      <c r="S401" s="193"/>
      <c r="T401" s="193"/>
      <c r="U401" s="193"/>
      <c r="V401" s="201"/>
      <c r="W401" s="196">
        <v>7.58</v>
      </c>
      <c r="X401" s="196" t="s">
        <v>1108</v>
      </c>
      <c r="Y401" s="196" t="s">
        <v>264</v>
      </c>
      <c r="Z401" s="197"/>
      <c r="AA401" s="197"/>
      <c r="AB401" s="197"/>
      <c r="AC401" s="200"/>
      <c r="AD401" s="202" t="s">
        <v>1109</v>
      </c>
    </row>
    <row r="402" spans="1:30" s="174" customFormat="1" x14ac:dyDescent="0.2">
      <c r="A402" s="205">
        <v>35</v>
      </c>
      <c r="B402" s="232" t="str">
        <f>IF(AND(A402&lt;&gt;"",ISNUMBER(A402)),VLOOKUP(A402,Studies!A:BR,2,FALSE),"")</f>
        <v>Acocella 1984</v>
      </c>
      <c r="C402" s="232" t="str">
        <f>IF(AND(A402&lt;&gt;"",ISNUMBER(A402)),VLOOKUP(A402,Studies!A:BR,3,FALSE),"")</f>
        <v>https://www.ncbi.nlm.nih.gov/pubmed/6473487</v>
      </c>
      <c r="D402" s="232" t="str">
        <f>IF(AND(A402&lt;&gt;"",ISNUMBER(A402)),VLOOKUP(A402,Studies!A:BR,4,FALSE),"")</f>
        <v>Individual 6 (600 mg, 1 h infusion)</v>
      </c>
      <c r="E402" s="206" t="str">
        <f>IF(AND(A402&lt;&gt;"",ISNUMBER(A402)),VLOOKUP(A402,Studies!A:BR,5,FALSE),"")</f>
        <v>Rifampicin</v>
      </c>
      <c r="F402" s="175">
        <v>0</v>
      </c>
      <c r="G402" s="198" t="s">
        <v>1023</v>
      </c>
      <c r="H402" s="198" t="s">
        <v>60</v>
      </c>
      <c r="I402" s="190">
        <v>60.6</v>
      </c>
      <c r="J402" s="190" t="s">
        <v>1060</v>
      </c>
      <c r="K402" s="190" t="s">
        <v>264</v>
      </c>
      <c r="L402" s="191"/>
      <c r="M402" s="191"/>
      <c r="N402" s="191"/>
      <c r="O402" s="190" t="s">
        <v>1025</v>
      </c>
      <c r="P402" s="192"/>
      <c r="Q402" s="192"/>
      <c r="R402" s="192"/>
      <c r="S402" s="193"/>
      <c r="T402" s="193"/>
      <c r="U402" s="193"/>
      <c r="V402" s="201"/>
      <c r="W402" s="196">
        <v>9.9</v>
      </c>
      <c r="X402" s="196" t="s">
        <v>1108</v>
      </c>
      <c r="Y402" s="196" t="s">
        <v>264</v>
      </c>
      <c r="Z402" s="197"/>
      <c r="AA402" s="197"/>
      <c r="AB402" s="197"/>
      <c r="AC402" s="200"/>
      <c r="AD402" s="202" t="s">
        <v>1109</v>
      </c>
    </row>
    <row r="403" spans="1:30" s="174" customFormat="1" x14ac:dyDescent="0.2">
      <c r="A403" s="205">
        <v>36</v>
      </c>
      <c r="B403" s="232" t="str">
        <f>IF(AND(A403&lt;&gt;"",ISNUMBER(A403)),VLOOKUP(A403,Studies!A:BR,2,FALSE),"")</f>
        <v>Acocella 1984</v>
      </c>
      <c r="C403" s="232" t="str">
        <f>IF(AND(A403&lt;&gt;"",ISNUMBER(A403)),VLOOKUP(A403,Studies!A:BR,3,FALSE),"")</f>
        <v>https://www.ncbi.nlm.nih.gov/pubmed/6473487</v>
      </c>
      <c r="D403" s="232" t="str">
        <f>IF(AND(A403&lt;&gt;"",ISNUMBER(A403)),VLOOKUP(A403,Studies!A:BR,4,FALSE),"")</f>
        <v>Individual 7 (900 mg, 3 h infusion)</v>
      </c>
      <c r="E403" s="206" t="str">
        <f>IF(AND(A403&lt;&gt;"",ISNUMBER(A403)),VLOOKUP(A403,Studies!A:BR,5,FALSE),"")</f>
        <v>Rifampicin</v>
      </c>
      <c r="F403" s="175">
        <v>0</v>
      </c>
      <c r="G403" s="198" t="s">
        <v>1023</v>
      </c>
      <c r="H403" s="198" t="s">
        <v>60</v>
      </c>
      <c r="I403" s="190">
        <v>59.3</v>
      </c>
      <c r="J403" s="190" t="s">
        <v>1060</v>
      </c>
      <c r="K403" s="190" t="s">
        <v>264</v>
      </c>
      <c r="L403" s="191"/>
      <c r="M403" s="191"/>
      <c r="N403" s="191"/>
      <c r="O403" s="190" t="s">
        <v>1025</v>
      </c>
      <c r="P403" s="192"/>
      <c r="Q403" s="192"/>
      <c r="R403" s="192"/>
      <c r="S403" s="193"/>
      <c r="T403" s="193"/>
      <c r="U403" s="193"/>
      <c r="V403" s="201"/>
      <c r="W403" s="196">
        <v>15.17</v>
      </c>
      <c r="X403" s="196" t="s">
        <v>1108</v>
      </c>
      <c r="Y403" s="196" t="s">
        <v>264</v>
      </c>
      <c r="Z403" s="197"/>
      <c r="AA403" s="197"/>
      <c r="AB403" s="197"/>
      <c r="AC403" s="200"/>
      <c r="AD403" s="202" t="s">
        <v>1109</v>
      </c>
    </row>
    <row r="404" spans="1:30" s="174" customFormat="1" x14ac:dyDescent="0.2">
      <c r="A404" s="205">
        <v>37</v>
      </c>
      <c r="B404" s="232" t="str">
        <f>IF(AND(A404&lt;&gt;"",ISNUMBER(A404)),VLOOKUP(A404,Studies!A:BR,2,FALSE),"")</f>
        <v>Acocella 1984</v>
      </c>
      <c r="C404" s="232" t="str">
        <f>IF(AND(A404&lt;&gt;"",ISNUMBER(A404)),VLOOKUP(A404,Studies!A:BR,3,FALSE),"")</f>
        <v>https://www.ncbi.nlm.nih.gov/pubmed/6473487</v>
      </c>
      <c r="D404" s="232" t="str">
        <f>IF(AND(A404&lt;&gt;"",ISNUMBER(A404)),VLOOKUP(A404,Studies!A:BR,4,FALSE),"")</f>
        <v>Individual 8 (900 mg, 3 h infusion)</v>
      </c>
      <c r="E404" s="206" t="str">
        <f>IF(AND(A404&lt;&gt;"",ISNUMBER(A404)),VLOOKUP(A404,Studies!A:BR,5,FALSE),"")</f>
        <v>Rifampicin</v>
      </c>
      <c r="F404" s="175">
        <v>0</v>
      </c>
      <c r="G404" s="198" t="s">
        <v>1023</v>
      </c>
      <c r="H404" s="198" t="s">
        <v>60</v>
      </c>
      <c r="I404" s="190">
        <v>72.7</v>
      </c>
      <c r="J404" s="190" t="s">
        <v>1060</v>
      </c>
      <c r="K404" s="190" t="s">
        <v>264</v>
      </c>
      <c r="L404" s="191"/>
      <c r="M404" s="191"/>
      <c r="N404" s="191"/>
      <c r="O404" s="190" t="s">
        <v>1025</v>
      </c>
      <c r="P404" s="192"/>
      <c r="Q404" s="192"/>
      <c r="R404" s="192"/>
      <c r="S404" s="193"/>
      <c r="T404" s="193"/>
      <c r="U404" s="193"/>
      <c r="V404" s="201"/>
      <c r="W404" s="196">
        <v>12.38</v>
      </c>
      <c r="X404" s="196" t="s">
        <v>1108</v>
      </c>
      <c r="Y404" s="196" t="s">
        <v>264</v>
      </c>
      <c r="Z404" s="197"/>
      <c r="AA404" s="197"/>
      <c r="AB404" s="197"/>
      <c r="AC404" s="200"/>
      <c r="AD404" s="202" t="s">
        <v>1109</v>
      </c>
    </row>
    <row r="405" spans="1:30" s="174" customFormat="1" x14ac:dyDescent="0.2">
      <c r="A405" s="205">
        <v>38</v>
      </c>
      <c r="B405" s="232" t="str">
        <f>IF(AND(A405&lt;&gt;"",ISNUMBER(A405)),VLOOKUP(A405,Studies!A:BR,2,FALSE),"")</f>
        <v>Acocella 1984</v>
      </c>
      <c r="C405" s="232" t="str">
        <f>IF(AND(A405&lt;&gt;"",ISNUMBER(A405)),VLOOKUP(A405,Studies!A:BR,3,FALSE),"")</f>
        <v>https://www.ncbi.nlm.nih.gov/pubmed/6473487</v>
      </c>
      <c r="D405" s="232" t="str">
        <f>IF(AND(A405&lt;&gt;"",ISNUMBER(A405)),VLOOKUP(A405,Studies!A:BR,4,FALSE),"")</f>
        <v>Individual 9 (900 mg, 2 h infusion)</v>
      </c>
      <c r="E405" s="206" t="str">
        <f>IF(AND(A405&lt;&gt;"",ISNUMBER(A405)),VLOOKUP(A405,Studies!A:BR,5,FALSE),"")</f>
        <v>Rifampicin</v>
      </c>
      <c r="F405" s="175">
        <v>0</v>
      </c>
      <c r="G405" s="198" t="s">
        <v>1023</v>
      </c>
      <c r="H405" s="198" t="s">
        <v>60</v>
      </c>
      <c r="I405" s="190">
        <v>105.7</v>
      </c>
      <c r="J405" s="190" t="s">
        <v>1060</v>
      </c>
      <c r="K405" s="190" t="s">
        <v>264</v>
      </c>
      <c r="L405" s="191"/>
      <c r="M405" s="191"/>
      <c r="N405" s="191"/>
      <c r="O405" s="190" t="s">
        <v>1025</v>
      </c>
      <c r="P405" s="192"/>
      <c r="Q405" s="192"/>
      <c r="R405" s="192"/>
      <c r="S405" s="193"/>
      <c r="T405" s="193"/>
      <c r="U405" s="193"/>
      <c r="V405" s="201"/>
      <c r="W405" s="196">
        <v>8.51</v>
      </c>
      <c r="X405" s="196" t="s">
        <v>1108</v>
      </c>
      <c r="Y405" s="196" t="s">
        <v>264</v>
      </c>
      <c r="Z405" s="197"/>
      <c r="AA405" s="197"/>
      <c r="AB405" s="197"/>
      <c r="AC405" s="200"/>
      <c r="AD405" s="202" t="s">
        <v>1109</v>
      </c>
    </row>
    <row r="406" spans="1:30" s="174" customFormat="1" x14ac:dyDescent="0.2">
      <c r="A406" s="205">
        <v>39</v>
      </c>
      <c r="B406" s="232" t="str">
        <f>IF(AND(A406&lt;&gt;"",ISNUMBER(A406)),VLOOKUP(A406,Studies!A:BR,2,FALSE),"")</f>
        <v>Acocella 1984</v>
      </c>
      <c r="C406" s="232" t="str">
        <f>IF(AND(A406&lt;&gt;"",ISNUMBER(A406)),VLOOKUP(A406,Studies!A:BR,3,FALSE),"")</f>
        <v>https://www.ncbi.nlm.nih.gov/pubmed/6473487</v>
      </c>
      <c r="D406" s="232" t="str">
        <f>IF(AND(A406&lt;&gt;"",ISNUMBER(A406)),VLOOKUP(A406,Studies!A:BR,4,FALSE),"")</f>
        <v>Individual 10 (900 mg, 2 h infusion)</v>
      </c>
      <c r="E406" s="206" t="str">
        <f>IF(AND(A406&lt;&gt;"",ISNUMBER(A406)),VLOOKUP(A406,Studies!A:BR,5,FALSE),"")</f>
        <v>Rifampicin</v>
      </c>
      <c r="F406" s="175">
        <v>0</v>
      </c>
      <c r="G406" s="198" t="s">
        <v>1023</v>
      </c>
      <c r="H406" s="198" t="s">
        <v>60</v>
      </c>
      <c r="I406" s="190">
        <v>79.2</v>
      </c>
      <c r="J406" s="190" t="s">
        <v>1060</v>
      </c>
      <c r="K406" s="190" t="s">
        <v>264</v>
      </c>
      <c r="L406" s="191"/>
      <c r="M406" s="191"/>
      <c r="N406" s="191"/>
      <c r="O406" s="190" t="s">
        <v>1025</v>
      </c>
      <c r="P406" s="192"/>
      <c r="Q406" s="192"/>
      <c r="R406" s="192"/>
      <c r="S406" s="193"/>
      <c r="T406" s="193"/>
      <c r="U406" s="193"/>
      <c r="V406" s="201"/>
      <c r="W406" s="196">
        <v>11.51</v>
      </c>
      <c r="X406" s="196" t="s">
        <v>1108</v>
      </c>
      <c r="Y406" s="196" t="s">
        <v>264</v>
      </c>
      <c r="Z406" s="197"/>
      <c r="AA406" s="197"/>
      <c r="AB406" s="197"/>
      <c r="AC406" s="200"/>
      <c r="AD406" s="202" t="s">
        <v>1109</v>
      </c>
    </row>
    <row r="407" spans="1:30" s="174" customFormat="1" x14ac:dyDescent="0.2">
      <c r="A407" s="205">
        <v>40</v>
      </c>
      <c r="B407" s="232" t="str">
        <f>IF(AND(A407&lt;&gt;"",ISNUMBER(A407)),VLOOKUP(A407,Studies!A:BR,2,FALSE),"")</f>
        <v>Acocella 1984</v>
      </c>
      <c r="C407" s="232" t="str">
        <f>IF(AND(A407&lt;&gt;"",ISNUMBER(A407)),VLOOKUP(A407,Studies!A:BR,3,FALSE),"")</f>
        <v>https://www.ncbi.nlm.nih.gov/pubmed/6473487</v>
      </c>
      <c r="D407" s="232" t="str">
        <f>IF(AND(A407&lt;&gt;"",ISNUMBER(A407)),VLOOKUP(A407,Studies!A:BR,4,FALSE),"")</f>
        <v>Individual 11 (900 mg, 1 h infusion)</v>
      </c>
      <c r="E407" s="206" t="str">
        <f>IF(AND(A407&lt;&gt;"",ISNUMBER(A407)),VLOOKUP(A407,Studies!A:BR,5,FALSE),"")</f>
        <v>Rifampicin</v>
      </c>
      <c r="F407" s="175">
        <v>0</v>
      </c>
      <c r="G407" s="198" t="s">
        <v>1023</v>
      </c>
      <c r="H407" s="198" t="s">
        <v>60</v>
      </c>
      <c r="I407" s="190">
        <v>93.3</v>
      </c>
      <c r="J407" s="190" t="s">
        <v>1060</v>
      </c>
      <c r="K407" s="190" t="s">
        <v>264</v>
      </c>
      <c r="L407" s="191"/>
      <c r="M407" s="191"/>
      <c r="N407" s="191"/>
      <c r="O407" s="190" t="s">
        <v>1025</v>
      </c>
      <c r="P407" s="192"/>
      <c r="Q407" s="192"/>
      <c r="R407" s="192"/>
      <c r="S407" s="193"/>
      <c r="T407" s="193"/>
      <c r="U407" s="193"/>
      <c r="V407" s="201"/>
      <c r="W407" s="196">
        <v>9.65</v>
      </c>
      <c r="X407" s="196" t="s">
        <v>1108</v>
      </c>
      <c r="Y407" s="196" t="s">
        <v>264</v>
      </c>
      <c r="Z407" s="197"/>
      <c r="AA407" s="197"/>
      <c r="AB407" s="197"/>
      <c r="AC407" s="200"/>
      <c r="AD407" s="202" t="s">
        <v>1109</v>
      </c>
    </row>
    <row r="408" spans="1:30" s="174" customFormat="1" x14ac:dyDescent="0.2">
      <c r="A408" s="205">
        <v>41</v>
      </c>
      <c r="B408" s="232" t="str">
        <f>IF(AND(A408&lt;&gt;"",ISNUMBER(A408)),VLOOKUP(A408,Studies!A:BR,2,FALSE),"")</f>
        <v>Acocella 1984</v>
      </c>
      <c r="C408" s="232" t="str">
        <f>IF(AND(A408&lt;&gt;"",ISNUMBER(A408)),VLOOKUP(A408,Studies!A:BR,3,FALSE),"")</f>
        <v>https://www.ncbi.nlm.nih.gov/pubmed/6473487</v>
      </c>
      <c r="D408" s="232" t="str">
        <f>IF(AND(A408&lt;&gt;"",ISNUMBER(A408)),VLOOKUP(A408,Studies!A:BR,4,FALSE),"")</f>
        <v>Individual 12 (900 mg, 1 h infusion)</v>
      </c>
      <c r="E408" s="206" t="str">
        <f>IF(AND(A408&lt;&gt;"",ISNUMBER(A408)),VLOOKUP(A408,Studies!A:BR,5,FALSE),"")</f>
        <v>Rifampicin</v>
      </c>
      <c r="F408" s="175">
        <v>0</v>
      </c>
      <c r="G408" s="198" t="s">
        <v>1023</v>
      </c>
      <c r="H408" s="198" t="s">
        <v>60</v>
      </c>
      <c r="I408" s="190">
        <v>145.4</v>
      </c>
      <c r="J408" s="190" t="s">
        <v>1060</v>
      </c>
      <c r="K408" s="190" t="s">
        <v>264</v>
      </c>
      <c r="L408" s="191"/>
      <c r="M408" s="191"/>
      <c r="N408" s="191"/>
      <c r="O408" s="190" t="s">
        <v>1025</v>
      </c>
      <c r="P408" s="192"/>
      <c r="Q408" s="192"/>
      <c r="R408" s="192"/>
      <c r="S408" s="193"/>
      <c r="T408" s="193"/>
      <c r="U408" s="193"/>
      <c r="V408" s="201"/>
      <c r="W408" s="196">
        <v>6.19</v>
      </c>
      <c r="X408" s="196" t="s">
        <v>1108</v>
      </c>
      <c r="Y408" s="196" t="s">
        <v>264</v>
      </c>
      <c r="Z408" s="197"/>
      <c r="AA408" s="197"/>
      <c r="AB408" s="197"/>
      <c r="AC408" s="200"/>
      <c r="AD408" s="202" t="s">
        <v>1109</v>
      </c>
    </row>
    <row r="409" spans="1:30" s="174" customFormat="1" x14ac:dyDescent="0.2">
      <c r="A409" s="205">
        <v>42</v>
      </c>
      <c r="B409" s="232" t="str">
        <f>IF(AND(A409&lt;&gt;"",ISNUMBER(A409)),VLOOKUP(A409,Studies!A:BR,2,FALSE),"")</f>
        <v>Acocella 1984</v>
      </c>
      <c r="C409" s="232" t="str">
        <f>IF(AND(A409&lt;&gt;"",ISNUMBER(A409)),VLOOKUP(A409,Studies!A:BR,3,FALSE),"")</f>
        <v>https://www.ncbi.nlm.nih.gov/pubmed/6473487</v>
      </c>
      <c r="D409" s="232" t="str">
        <f>IF(AND(A409&lt;&gt;"",ISNUMBER(A409)),VLOOKUP(A409,Studies!A:BR,4,FALSE),"")</f>
        <v>Individual 13 (1200 mg, 3 h infusion)</v>
      </c>
      <c r="E409" s="206" t="str">
        <f>IF(AND(A409&lt;&gt;"",ISNUMBER(A409)),VLOOKUP(A409,Studies!A:BR,5,FALSE),"")</f>
        <v>Rifampicin</v>
      </c>
      <c r="F409" s="175">
        <v>0</v>
      </c>
      <c r="G409" s="198" t="s">
        <v>1023</v>
      </c>
      <c r="H409" s="198" t="s">
        <v>60</v>
      </c>
      <c r="I409" s="190">
        <v>97.8</v>
      </c>
      <c r="J409" s="190" t="s">
        <v>1060</v>
      </c>
      <c r="K409" s="190" t="s">
        <v>264</v>
      </c>
      <c r="L409" s="191"/>
      <c r="M409" s="191"/>
      <c r="N409" s="191"/>
      <c r="O409" s="190" t="s">
        <v>1025</v>
      </c>
      <c r="P409" s="192"/>
      <c r="Q409" s="192"/>
      <c r="R409" s="192"/>
      <c r="S409" s="193"/>
      <c r="T409" s="193"/>
      <c r="U409" s="193"/>
      <c r="V409" s="201"/>
      <c r="W409" s="196">
        <v>12.26</v>
      </c>
      <c r="X409" s="196" t="s">
        <v>1108</v>
      </c>
      <c r="Y409" s="196" t="s">
        <v>264</v>
      </c>
      <c r="Z409" s="197"/>
      <c r="AA409" s="197"/>
      <c r="AB409" s="197"/>
      <c r="AC409" s="200"/>
      <c r="AD409" s="202" t="s">
        <v>1109</v>
      </c>
    </row>
    <row r="410" spans="1:30" s="174" customFormat="1" x14ac:dyDescent="0.2">
      <c r="A410" s="205">
        <v>43</v>
      </c>
      <c r="B410" s="232" t="str">
        <f>IF(AND(A410&lt;&gt;"",ISNUMBER(A410)),VLOOKUP(A410,Studies!A:BR,2,FALSE),"")</f>
        <v>Acocella 1984</v>
      </c>
      <c r="C410" s="232" t="str">
        <f>IF(AND(A410&lt;&gt;"",ISNUMBER(A410)),VLOOKUP(A410,Studies!A:BR,3,FALSE),"")</f>
        <v>https://www.ncbi.nlm.nih.gov/pubmed/6473487</v>
      </c>
      <c r="D410" s="232" t="str">
        <f>IF(AND(A410&lt;&gt;"",ISNUMBER(A410)),VLOOKUP(A410,Studies!A:BR,4,FALSE),"")</f>
        <v>Individual 14 (1200 mg, 3 h infusion)</v>
      </c>
      <c r="E410" s="206" t="str">
        <f>IF(AND(A410&lt;&gt;"",ISNUMBER(A410)),VLOOKUP(A410,Studies!A:BR,5,FALSE),"")</f>
        <v>Rifampicin</v>
      </c>
      <c r="F410" s="175">
        <v>0</v>
      </c>
      <c r="G410" s="198" t="s">
        <v>1023</v>
      </c>
      <c r="H410" s="198" t="s">
        <v>60</v>
      </c>
      <c r="I410" s="190">
        <v>201.7</v>
      </c>
      <c r="J410" s="190" t="s">
        <v>1060</v>
      </c>
      <c r="K410" s="190" t="s">
        <v>264</v>
      </c>
      <c r="L410" s="191"/>
      <c r="M410" s="191"/>
      <c r="N410" s="191"/>
      <c r="O410" s="190" t="s">
        <v>1025</v>
      </c>
      <c r="P410" s="192"/>
      <c r="Q410" s="192"/>
      <c r="R410" s="192"/>
      <c r="S410" s="193"/>
      <c r="T410" s="193"/>
      <c r="U410" s="193"/>
      <c r="V410" s="201"/>
      <c r="W410" s="196">
        <v>5.95</v>
      </c>
      <c r="X410" s="196" t="s">
        <v>1108</v>
      </c>
      <c r="Y410" s="196" t="s">
        <v>264</v>
      </c>
      <c r="Z410" s="197"/>
      <c r="AA410" s="197"/>
      <c r="AB410" s="197"/>
      <c r="AC410" s="200"/>
      <c r="AD410" s="202" t="s">
        <v>1109</v>
      </c>
    </row>
    <row r="411" spans="1:30" s="174" customFormat="1" x14ac:dyDescent="0.2">
      <c r="A411" s="205">
        <v>44</v>
      </c>
      <c r="B411" s="232" t="str">
        <f>IF(AND(A411&lt;&gt;"",ISNUMBER(A411)),VLOOKUP(A411,Studies!A:BR,2,FALSE),"")</f>
        <v>Acocella 1984</v>
      </c>
      <c r="C411" s="232" t="str">
        <f>IF(AND(A411&lt;&gt;"",ISNUMBER(A411)),VLOOKUP(A411,Studies!A:BR,3,FALSE),"")</f>
        <v>https://www.ncbi.nlm.nih.gov/pubmed/6473487</v>
      </c>
      <c r="D411" s="232" t="str">
        <f>IF(AND(A411&lt;&gt;"",ISNUMBER(A411)),VLOOKUP(A411,Studies!A:BR,4,FALSE),"")</f>
        <v>Individual 15 (1200 mg, 2 h infusion)</v>
      </c>
      <c r="E411" s="206" t="str">
        <f>IF(AND(A411&lt;&gt;"",ISNUMBER(A411)),VLOOKUP(A411,Studies!A:BR,5,FALSE),"")</f>
        <v>Rifampicin</v>
      </c>
      <c r="F411" s="175">
        <v>0</v>
      </c>
      <c r="G411" s="198" t="s">
        <v>1023</v>
      </c>
      <c r="H411" s="198" t="s">
        <v>60</v>
      </c>
      <c r="I411" s="190">
        <v>90.4</v>
      </c>
      <c r="J411" s="190" t="s">
        <v>1060</v>
      </c>
      <c r="K411" s="190" t="s">
        <v>264</v>
      </c>
      <c r="L411" s="191"/>
      <c r="M411" s="191"/>
      <c r="N411" s="191"/>
      <c r="O411" s="190" t="s">
        <v>1025</v>
      </c>
      <c r="P411" s="192"/>
      <c r="Q411" s="192"/>
      <c r="R411" s="192"/>
      <c r="S411" s="193"/>
      <c r="T411" s="193"/>
      <c r="U411" s="193"/>
      <c r="V411" s="201"/>
      <c r="W411" s="196">
        <v>13.27</v>
      </c>
      <c r="X411" s="196" t="s">
        <v>1108</v>
      </c>
      <c r="Y411" s="196" t="s">
        <v>264</v>
      </c>
      <c r="Z411" s="197"/>
      <c r="AA411" s="197"/>
      <c r="AB411" s="197"/>
      <c r="AC411" s="200"/>
      <c r="AD411" s="202" t="s">
        <v>1109</v>
      </c>
    </row>
    <row r="412" spans="1:30" s="174" customFormat="1" x14ac:dyDescent="0.2">
      <c r="A412" s="205">
        <v>45</v>
      </c>
      <c r="B412" s="232" t="str">
        <f>IF(AND(A412&lt;&gt;"",ISNUMBER(A412)),VLOOKUP(A412,Studies!A:BR,2,FALSE),"")</f>
        <v>Acocella 1984</v>
      </c>
      <c r="C412" s="232" t="str">
        <f>IF(AND(A412&lt;&gt;"",ISNUMBER(A412)),VLOOKUP(A412,Studies!A:BR,3,FALSE),"")</f>
        <v>https://www.ncbi.nlm.nih.gov/pubmed/6473487</v>
      </c>
      <c r="D412" s="232" t="str">
        <f>IF(AND(A412&lt;&gt;"",ISNUMBER(A412)),VLOOKUP(A412,Studies!A:BR,4,FALSE),"")</f>
        <v>Individual 16 (1200 mg, 2 h infusion)</v>
      </c>
      <c r="E412" s="206" t="str">
        <f>IF(AND(A412&lt;&gt;"",ISNUMBER(A412)),VLOOKUP(A412,Studies!A:BR,5,FALSE),"")</f>
        <v>Rifampicin</v>
      </c>
      <c r="F412" s="175">
        <v>0</v>
      </c>
      <c r="G412" s="198" t="s">
        <v>1023</v>
      </c>
      <c r="H412" s="198" t="s">
        <v>60</v>
      </c>
      <c r="I412" s="190">
        <v>107.3</v>
      </c>
      <c r="J412" s="190" t="s">
        <v>1060</v>
      </c>
      <c r="K412" s="190" t="s">
        <v>264</v>
      </c>
      <c r="L412" s="191"/>
      <c r="M412" s="191"/>
      <c r="N412" s="191"/>
      <c r="O412" s="190" t="s">
        <v>1025</v>
      </c>
      <c r="P412" s="192"/>
      <c r="Q412" s="192"/>
      <c r="R412" s="192"/>
      <c r="S412" s="193"/>
      <c r="T412" s="193"/>
      <c r="U412" s="193"/>
      <c r="V412" s="201"/>
      <c r="W412" s="196">
        <v>11.18</v>
      </c>
      <c r="X412" s="196" t="s">
        <v>1108</v>
      </c>
      <c r="Y412" s="196" t="s">
        <v>264</v>
      </c>
      <c r="Z412" s="197"/>
      <c r="AA412" s="197"/>
      <c r="AB412" s="197"/>
      <c r="AC412" s="200"/>
      <c r="AD412" s="202" t="s">
        <v>1109</v>
      </c>
    </row>
    <row r="413" spans="1:30" s="174" customFormat="1" x14ac:dyDescent="0.2">
      <c r="A413" s="205">
        <v>46</v>
      </c>
      <c r="B413" s="232" t="str">
        <f>IF(AND(A413&lt;&gt;"",ISNUMBER(A413)),VLOOKUP(A413,Studies!A:BR,2,FALSE),"")</f>
        <v>Acocella 1984</v>
      </c>
      <c r="C413" s="232" t="str">
        <f>IF(AND(A413&lt;&gt;"",ISNUMBER(A413)),VLOOKUP(A413,Studies!A:BR,3,FALSE),"")</f>
        <v>https://www.ncbi.nlm.nih.gov/pubmed/6473487</v>
      </c>
      <c r="D413" s="232" t="str">
        <f>IF(AND(A413&lt;&gt;"",ISNUMBER(A413)),VLOOKUP(A413,Studies!A:BR,4,FALSE),"")</f>
        <v>Individual 17 (1200 mg, 1 h infusion)</v>
      </c>
      <c r="E413" s="206" t="str">
        <f>IF(AND(A413&lt;&gt;"",ISNUMBER(A413)),VLOOKUP(A413,Studies!A:BR,5,FALSE),"")</f>
        <v>Rifampicin</v>
      </c>
      <c r="F413" s="175">
        <v>0</v>
      </c>
      <c r="G413" s="198" t="s">
        <v>1023</v>
      </c>
      <c r="H413" s="198" t="s">
        <v>60</v>
      </c>
      <c r="I413" s="190">
        <v>231.4</v>
      </c>
      <c r="J413" s="190" t="s">
        <v>1060</v>
      </c>
      <c r="K413" s="190" t="s">
        <v>264</v>
      </c>
      <c r="L413" s="191"/>
      <c r="M413" s="191"/>
      <c r="N413" s="191"/>
      <c r="O413" s="190" t="s">
        <v>1025</v>
      </c>
      <c r="P413" s="192"/>
      <c r="Q413" s="192"/>
      <c r="R413" s="192"/>
      <c r="S413" s="193"/>
      <c r="T413" s="193"/>
      <c r="U413" s="193"/>
      <c r="V413" s="201"/>
      <c r="W413" s="196">
        <v>5.18</v>
      </c>
      <c r="X413" s="196" t="s">
        <v>1108</v>
      </c>
      <c r="Y413" s="196" t="s">
        <v>264</v>
      </c>
      <c r="Z413" s="197"/>
      <c r="AA413" s="197"/>
      <c r="AB413" s="197"/>
      <c r="AC413" s="200"/>
      <c r="AD413" s="202" t="s">
        <v>1109</v>
      </c>
    </row>
    <row r="414" spans="1:30" s="174" customFormat="1" x14ac:dyDescent="0.2">
      <c r="A414" s="205">
        <v>47</v>
      </c>
      <c r="B414" s="232" t="str">
        <f>IF(AND(A414&lt;&gt;"",ISNUMBER(A414)),VLOOKUP(A414,Studies!A:BR,2,FALSE),"")</f>
        <v>Acocella 1984</v>
      </c>
      <c r="C414" s="232" t="str">
        <f>IF(AND(A414&lt;&gt;"",ISNUMBER(A414)),VLOOKUP(A414,Studies!A:BR,3,FALSE),"")</f>
        <v>https://www.ncbi.nlm.nih.gov/pubmed/6473487</v>
      </c>
      <c r="D414" s="232" t="str">
        <f>IF(AND(A414&lt;&gt;"",ISNUMBER(A414)),VLOOKUP(A414,Studies!A:BR,4,FALSE),"")</f>
        <v>Individual 18 (1200 mg, 1 h infusion)</v>
      </c>
      <c r="E414" s="206" t="str">
        <f>IF(AND(A414&lt;&gt;"",ISNUMBER(A414)),VLOOKUP(A414,Studies!A:BR,5,FALSE),"")</f>
        <v>Rifampicin</v>
      </c>
      <c r="F414" s="175">
        <v>0</v>
      </c>
      <c r="G414" s="198" t="s">
        <v>1023</v>
      </c>
      <c r="H414" s="198" t="s">
        <v>60</v>
      </c>
      <c r="I414" s="190">
        <v>267.89999999999998</v>
      </c>
      <c r="J414" s="190" t="s">
        <v>1060</v>
      </c>
      <c r="K414" s="190" t="s">
        <v>264</v>
      </c>
      <c r="L414" s="191"/>
      <c r="M414" s="191"/>
      <c r="N414" s="191"/>
      <c r="O414" s="190" t="s">
        <v>1025</v>
      </c>
      <c r="P414" s="192"/>
      <c r="Q414" s="192"/>
      <c r="R414" s="192"/>
      <c r="S414" s="193"/>
      <c r="T414" s="193"/>
      <c r="U414" s="193"/>
      <c r="V414" s="201"/>
      <c r="W414" s="196">
        <v>4.4800000000000004</v>
      </c>
      <c r="X414" s="196" t="s">
        <v>1108</v>
      </c>
      <c r="Y414" s="196" t="s">
        <v>264</v>
      </c>
      <c r="Z414" s="197"/>
      <c r="AA414" s="197"/>
      <c r="AB414" s="197"/>
      <c r="AC414" s="200"/>
      <c r="AD414" s="202" t="s">
        <v>1109</v>
      </c>
    </row>
    <row r="415" spans="1:30" x14ac:dyDescent="0.2">
      <c r="A415" s="183">
        <v>5197</v>
      </c>
      <c r="B415" s="232" t="str">
        <f>IF(AND(A415&lt;&gt;"",ISNUMBER(A415)),VLOOKUP(A415,Studies!A:BR,2,FALSE),"")</f>
        <v>Abdel-Rahman 2007</v>
      </c>
      <c r="C415" s="232" t="str">
        <f>IF(AND(A415&lt;&gt;"",ISNUMBER(A415)),VLOOKUP(A415,Studies!A:BR,3,FALSE),"")</f>
        <v>https://www.ncbi.nlm.nih.gov/pubmed/17517842</v>
      </c>
      <c r="D415" s="232" t="str">
        <f>IF(AND(A415&lt;&gt;"",ISNUMBER(A415)),VLOOKUP(A415,Studies!A:BR,4,FALSE),"")</f>
        <v>6m-2y</v>
      </c>
      <c r="E415" s="206" t="str">
        <f>IF(AND(A415&lt;&gt;"",ISNUMBER(A415)),VLOOKUP(A415,Studies!A:BR,5,FALSE),"")</f>
        <v>Itraconazole</v>
      </c>
      <c r="F415" s="198">
        <v>0</v>
      </c>
      <c r="G415" s="198">
        <v>24</v>
      </c>
      <c r="H415" s="198" t="s">
        <v>60</v>
      </c>
      <c r="I415" s="190">
        <v>2121</v>
      </c>
      <c r="J415" s="190" t="s">
        <v>1024</v>
      </c>
      <c r="K415" s="190" t="s">
        <v>389</v>
      </c>
      <c r="L415" s="191">
        <v>1231</v>
      </c>
      <c r="M415" s="191" t="s">
        <v>1024</v>
      </c>
      <c r="N415" s="191" t="s">
        <v>117</v>
      </c>
      <c r="O415" s="190" t="s">
        <v>1028</v>
      </c>
      <c r="P415" s="192">
        <v>827</v>
      </c>
      <c r="Q415" s="192" t="s">
        <v>1026</v>
      </c>
      <c r="R415" s="192" t="s">
        <v>116</v>
      </c>
      <c r="S415" s="193">
        <v>859</v>
      </c>
      <c r="T415" s="193" t="s">
        <v>1026</v>
      </c>
      <c r="U415" s="193" t="s">
        <v>117</v>
      </c>
      <c r="V415" s="201" t="s">
        <v>1426</v>
      </c>
      <c r="W415" s="196">
        <v>1143</v>
      </c>
      <c r="X415" s="196" t="s">
        <v>1313</v>
      </c>
      <c r="Y415" s="196" t="s">
        <v>389</v>
      </c>
      <c r="Z415" s="197">
        <v>513</v>
      </c>
      <c r="AA415" s="197" t="s">
        <v>1313</v>
      </c>
      <c r="AB415" s="197" t="s">
        <v>389</v>
      </c>
      <c r="AC415" s="200" t="s">
        <v>1038</v>
      </c>
      <c r="AD415" s="202"/>
    </row>
    <row r="416" spans="1:30" x14ac:dyDescent="0.2">
      <c r="A416" s="183">
        <v>5198</v>
      </c>
      <c r="B416" s="232" t="str">
        <f>IF(AND(A416&lt;&gt;"",ISNUMBER(A416)),VLOOKUP(A416,Studies!A:BR,2,FALSE),"")</f>
        <v>Abdel-Rahman 2007</v>
      </c>
      <c r="C416" s="232" t="str">
        <f>IF(AND(A416&lt;&gt;"",ISNUMBER(A416)),VLOOKUP(A416,Studies!A:BR,3,FALSE),"")</f>
        <v>https://www.ncbi.nlm.nih.gov/pubmed/17517842</v>
      </c>
      <c r="D416" s="232" t="str">
        <f>IF(AND(A416&lt;&gt;"",ISNUMBER(A416)),VLOOKUP(A416,Studies!A:BR,4,FALSE),"")</f>
        <v>2-6y</v>
      </c>
      <c r="E416" s="206" t="str">
        <f>IF(AND(A416&lt;&gt;"",ISNUMBER(A416)),VLOOKUP(A416,Studies!A:BR,5,FALSE),"")</f>
        <v>Itraconazole</v>
      </c>
      <c r="F416" s="198">
        <v>0</v>
      </c>
      <c r="G416" s="198">
        <v>24</v>
      </c>
      <c r="H416" s="198" t="s">
        <v>60</v>
      </c>
      <c r="I416" s="190">
        <v>9510</v>
      </c>
      <c r="J416" s="190" t="s">
        <v>1024</v>
      </c>
      <c r="K416" s="190" t="s">
        <v>389</v>
      </c>
      <c r="L416" s="191">
        <v>11316</v>
      </c>
      <c r="M416" s="191" t="s">
        <v>1024</v>
      </c>
      <c r="N416" s="191" t="s">
        <v>117</v>
      </c>
      <c r="O416" s="190" t="s">
        <v>1028</v>
      </c>
      <c r="P416" s="192">
        <v>1553</v>
      </c>
      <c r="Q416" s="192" t="s">
        <v>1026</v>
      </c>
      <c r="R416" s="192" t="s">
        <v>116</v>
      </c>
      <c r="S416" s="193">
        <v>918</v>
      </c>
      <c r="T416" s="193" t="s">
        <v>1026</v>
      </c>
      <c r="U416" s="193" t="s">
        <v>117</v>
      </c>
      <c r="V416" s="201" t="s">
        <v>1426</v>
      </c>
      <c r="W416" s="196">
        <v>529</v>
      </c>
      <c r="X416" s="196" t="s">
        <v>1313</v>
      </c>
      <c r="Y416" s="196" t="s">
        <v>389</v>
      </c>
      <c r="Z416" s="197">
        <v>611</v>
      </c>
      <c r="AA416" s="197" t="s">
        <v>1313</v>
      </c>
      <c r="AB416" s="197" t="s">
        <v>389</v>
      </c>
      <c r="AC416" s="200" t="s">
        <v>1038</v>
      </c>
      <c r="AD416" s="202"/>
    </row>
    <row r="417" spans="1:29" x14ac:dyDescent="0.2">
      <c r="A417" s="183">
        <v>5199</v>
      </c>
      <c r="B417" s="232" t="str">
        <f>IF(AND(A417&lt;&gt;"",ISNUMBER(A417)),VLOOKUP(A417,Studies!A:BR,2,FALSE),"")</f>
        <v>Abdel-Rahman 2007</v>
      </c>
      <c r="C417" s="232" t="str">
        <f>IF(AND(A417&lt;&gt;"",ISNUMBER(A417)),VLOOKUP(A417,Studies!A:BR,3,FALSE),"")</f>
        <v>https://www.ncbi.nlm.nih.gov/pubmed/17517842</v>
      </c>
      <c r="D417" s="232" t="str">
        <f>IF(AND(A417&lt;&gt;"",ISNUMBER(A417)),VLOOKUP(A417,Studies!A:BR,4,FALSE),"")</f>
        <v>6-12y</v>
      </c>
      <c r="E417" s="206" t="str">
        <f>IF(AND(A417&lt;&gt;"",ISNUMBER(A417)),VLOOKUP(A417,Studies!A:BR,5,FALSE),"")</f>
        <v>Itraconazole</v>
      </c>
      <c r="F417" s="198">
        <v>0</v>
      </c>
      <c r="G417" s="198">
        <v>24</v>
      </c>
      <c r="H417" s="198" t="s">
        <v>60</v>
      </c>
      <c r="I417" s="190">
        <v>3765</v>
      </c>
      <c r="J417" s="190" t="s">
        <v>1024</v>
      </c>
      <c r="K417" s="190" t="s">
        <v>389</v>
      </c>
      <c r="L417" s="191">
        <v>1711</v>
      </c>
      <c r="M417" s="191" t="s">
        <v>1024</v>
      </c>
      <c r="N417" s="191" t="s">
        <v>117</v>
      </c>
      <c r="O417" s="190" t="s">
        <v>1028</v>
      </c>
      <c r="P417" s="192">
        <v>785</v>
      </c>
      <c r="Q417" s="192" t="s">
        <v>1026</v>
      </c>
      <c r="R417" s="192" t="s">
        <v>116</v>
      </c>
      <c r="S417" s="193">
        <v>301</v>
      </c>
      <c r="T417" s="193" t="s">
        <v>1026</v>
      </c>
      <c r="U417" s="193" t="s">
        <v>117</v>
      </c>
      <c r="V417" s="201" t="s">
        <v>1426</v>
      </c>
      <c r="W417" s="196">
        <v>621</v>
      </c>
      <c r="X417" s="196" t="s">
        <v>1313</v>
      </c>
      <c r="Y417" s="196" t="s">
        <v>389</v>
      </c>
      <c r="Z417" s="197">
        <v>340</v>
      </c>
      <c r="AA417" s="197" t="s">
        <v>1313</v>
      </c>
      <c r="AB417" s="197" t="s">
        <v>389</v>
      </c>
      <c r="AC417" s="200" t="s">
        <v>1038</v>
      </c>
    </row>
    <row r="418" spans="1:29" x14ac:dyDescent="0.2">
      <c r="A418" s="183">
        <v>5200</v>
      </c>
      <c r="B418" s="232" t="str">
        <f>IF(AND(A418&lt;&gt;"",ISNUMBER(A418)),VLOOKUP(A418,Studies!A:BR,2,FALSE),"")</f>
        <v>Abdel-Rahman 2007</v>
      </c>
      <c r="C418" s="232" t="str">
        <f>IF(AND(A418&lt;&gt;"",ISNUMBER(A418)),VLOOKUP(A418,Studies!A:BR,3,FALSE),"")</f>
        <v>https://www.ncbi.nlm.nih.gov/pubmed/17517842</v>
      </c>
      <c r="D418" s="232" t="str">
        <f>IF(AND(A418&lt;&gt;"",ISNUMBER(A418)),VLOOKUP(A418,Studies!A:BR,4,FALSE),"")</f>
        <v>12-16y</v>
      </c>
      <c r="E418" s="206" t="str">
        <f>IF(AND(A418&lt;&gt;"",ISNUMBER(A418)),VLOOKUP(A418,Studies!A:BR,5,FALSE),"")</f>
        <v>Itraconazole</v>
      </c>
      <c r="F418" s="198">
        <v>0</v>
      </c>
      <c r="G418" s="198">
        <v>24</v>
      </c>
      <c r="H418" s="198" t="s">
        <v>60</v>
      </c>
      <c r="I418" s="190">
        <v>2669</v>
      </c>
      <c r="J418" s="190" t="s">
        <v>1024</v>
      </c>
      <c r="K418" s="190" t="s">
        <v>389</v>
      </c>
      <c r="L418" s="191">
        <v>1076</v>
      </c>
      <c r="M418" s="191" t="s">
        <v>1024</v>
      </c>
      <c r="N418" s="191" t="s">
        <v>117</v>
      </c>
      <c r="O418" s="190" t="s">
        <v>1028</v>
      </c>
      <c r="P418" s="192">
        <v>806</v>
      </c>
      <c r="Q418" s="192" t="s">
        <v>1026</v>
      </c>
      <c r="R418" s="192" t="s">
        <v>116</v>
      </c>
      <c r="S418" s="193">
        <v>381</v>
      </c>
      <c r="T418" s="193" t="s">
        <v>1026</v>
      </c>
      <c r="U418" s="193" t="s">
        <v>117</v>
      </c>
      <c r="V418" s="201" t="s">
        <v>1426</v>
      </c>
      <c r="W418" s="196">
        <v>777</v>
      </c>
      <c r="X418" s="196" t="s">
        <v>1313</v>
      </c>
      <c r="Y418" s="196" t="s">
        <v>389</v>
      </c>
      <c r="Z418" s="197">
        <v>455</v>
      </c>
      <c r="AA418" s="197" t="s">
        <v>1313</v>
      </c>
      <c r="AB418" s="197" t="s">
        <v>389</v>
      </c>
      <c r="AC418" s="200" t="s">
        <v>1038</v>
      </c>
    </row>
    <row r="419" spans="1:29" x14ac:dyDescent="0.2">
      <c r="A419" s="249">
        <v>49</v>
      </c>
      <c r="B419" s="232" t="str">
        <f>IF(AND(A419&lt;&gt;"",ISNUMBER(A419)),VLOOKUP(A419,Studies!A:BR,2,FALSE),"")</f>
        <v>Ahonen 1995</v>
      </c>
      <c r="C419" s="232" t="str">
        <f>IF(AND(A419&lt;&gt;"",ISNUMBER(A419)),VLOOKUP(A419,Studies!A:BR,3,FALSE),"")</f>
        <v>http://www.ncbi.nlm.nih.gov/pubmed/6138081</v>
      </c>
      <c r="D419" s="232" t="str">
        <f>IF(AND(A419&lt;&gt;"",ISNUMBER(A419)),VLOOKUP(A419,Studies!A:BR,4,FALSE),"")</f>
        <v>Control (Perpetrator Placebo)</v>
      </c>
      <c r="E419" s="206" t="str">
        <f>IF(AND(A419&lt;&gt;"",ISNUMBER(A419)),VLOOKUP(A419,Studies!A:BR,5,FALSE),"")</f>
        <v>Midazolam</v>
      </c>
      <c r="F419" s="58">
        <v>0</v>
      </c>
      <c r="G419" s="58" t="s">
        <v>1023</v>
      </c>
      <c r="H419" s="58" t="s">
        <v>60</v>
      </c>
      <c r="I419" s="46">
        <v>102</v>
      </c>
      <c r="J419" s="46" t="s">
        <v>1107</v>
      </c>
      <c r="K419" s="46" t="s">
        <v>116</v>
      </c>
      <c r="L419" s="47">
        <v>10</v>
      </c>
      <c r="M419" s="47" t="s">
        <v>1107</v>
      </c>
      <c r="N419" s="47" t="s">
        <v>1034</v>
      </c>
      <c r="O419" s="46" t="s">
        <v>1025</v>
      </c>
      <c r="P419" s="48">
        <v>34</v>
      </c>
      <c r="Q419" s="48" t="s">
        <v>1026</v>
      </c>
      <c r="R419" s="48" t="s">
        <v>116</v>
      </c>
      <c r="S419" s="49">
        <v>5</v>
      </c>
      <c r="T419" s="49" t="s">
        <v>1026</v>
      </c>
      <c r="U419" s="49" t="s">
        <v>1034</v>
      </c>
      <c r="V419" s="62" t="s">
        <v>1027</v>
      </c>
    </row>
    <row r="420" spans="1:29" x14ac:dyDescent="0.2">
      <c r="A420" s="249">
        <v>50</v>
      </c>
      <c r="B420" s="232" t="str">
        <f>IF(AND(A420&lt;&gt;"",ISNUMBER(A420)),VLOOKUP(A420,Studies!A:BR,2,FALSE),"")</f>
        <v>Ahonen 1995</v>
      </c>
      <c r="C420" s="232" t="str">
        <f>IF(AND(A420&lt;&gt;"",ISNUMBER(A420)),VLOOKUP(A420,Studies!A:BR,3,FALSE),"")</f>
        <v>http://www.ncbi.nlm.nih.gov/pubmed/6138081</v>
      </c>
      <c r="D420" s="232" t="str">
        <f>IF(AND(A420&lt;&gt;"",ISNUMBER(A420)),VLOOKUP(A420,Studies!A:BR,4,FALSE),"")</f>
        <v>with Perpetrator (Itraconazole)</v>
      </c>
      <c r="E420" s="206" t="str">
        <f>IF(AND(A420&lt;&gt;"",ISNUMBER(A420)),VLOOKUP(A420,Studies!A:BR,5,FALSE),"")</f>
        <v>Midazolam</v>
      </c>
      <c r="F420" s="58">
        <v>74</v>
      </c>
      <c r="G420" s="58" t="s">
        <v>1023</v>
      </c>
      <c r="H420" s="58" t="s">
        <v>60</v>
      </c>
      <c r="I420" s="46">
        <v>586</v>
      </c>
      <c r="J420" s="46" t="s">
        <v>1107</v>
      </c>
      <c r="K420" s="46" t="s">
        <v>116</v>
      </c>
      <c r="L420" s="47">
        <v>73</v>
      </c>
      <c r="M420" s="47" t="s">
        <v>1107</v>
      </c>
      <c r="N420" s="47" t="s">
        <v>1034</v>
      </c>
      <c r="O420" s="46" t="s">
        <v>1025</v>
      </c>
      <c r="P420" s="48">
        <v>87</v>
      </c>
      <c r="Q420" s="48" t="s">
        <v>1026</v>
      </c>
      <c r="R420" s="48" t="s">
        <v>116</v>
      </c>
      <c r="S420" s="49">
        <v>11</v>
      </c>
      <c r="T420" s="49" t="s">
        <v>1026</v>
      </c>
      <c r="U420" s="49" t="s">
        <v>1034</v>
      </c>
      <c r="V420" s="62" t="s">
        <v>1027</v>
      </c>
    </row>
    <row r="421" spans="1:29" x14ac:dyDescent="0.2">
      <c r="A421" s="249">
        <v>128</v>
      </c>
      <c r="B421" s="232" t="str">
        <f>IF(AND(A421&lt;&gt;"",ISNUMBER(A421)),VLOOKUP(A421,Studies!A:BR,2,FALSE),"")</f>
        <v>Eap 2004</v>
      </c>
      <c r="C421" s="232" t="str">
        <f>IF(AND(A421&lt;&gt;"",ISNUMBER(A421)),VLOOKUP(A421,Studies!A:BR,3,FALSE),"")</f>
        <v>https://www.ncbi.nlm.nih.gov/pubmed/15114429</v>
      </c>
      <c r="D421" s="232" t="str">
        <f>IF(AND(A421&lt;&gt;"",ISNUMBER(A421)),VLOOKUP(A421,Studies!A:BR,4,FALSE),"")</f>
        <v>0.075 mg Control (Perpetrator Placebo)</v>
      </c>
      <c r="E421" s="206" t="str">
        <f>IF(AND(A421&lt;&gt;"",ISNUMBER(A421)),VLOOKUP(A421,Studies!A:BR,5,FALSE),"")</f>
        <v>Midazolam</v>
      </c>
      <c r="F421" s="58">
        <v>0</v>
      </c>
      <c r="G421" s="58" t="s">
        <v>1023</v>
      </c>
      <c r="H421" s="58" t="s">
        <v>60</v>
      </c>
      <c r="I421" s="46">
        <v>0.68</v>
      </c>
      <c r="J421" s="46" t="s">
        <v>1024</v>
      </c>
      <c r="K421" s="46" t="s">
        <v>116</v>
      </c>
      <c r="L421" s="47">
        <v>0.25</v>
      </c>
      <c r="M421" s="47" t="s">
        <v>1024</v>
      </c>
      <c r="N421" s="47" t="s">
        <v>117</v>
      </c>
      <c r="O421" s="46" t="s">
        <v>1025</v>
      </c>
      <c r="P421" s="48">
        <v>0.31</v>
      </c>
      <c r="Q421" s="48" t="s">
        <v>1026</v>
      </c>
      <c r="R421" s="48" t="s">
        <v>116</v>
      </c>
      <c r="S421" s="49">
        <v>0.09</v>
      </c>
      <c r="T421" s="49" t="s">
        <v>1026</v>
      </c>
      <c r="U421" s="49" t="s">
        <v>117</v>
      </c>
      <c r="V421" s="62" t="s">
        <v>1027</v>
      </c>
      <c r="W421" s="54">
        <v>128</v>
      </c>
      <c r="X421" s="54" t="s">
        <v>1061</v>
      </c>
      <c r="Y421" s="54" t="s">
        <v>116</v>
      </c>
      <c r="Z421" s="56">
        <v>60</v>
      </c>
      <c r="AA421" s="56" t="s">
        <v>1061</v>
      </c>
      <c r="AB421" s="56" t="s">
        <v>117</v>
      </c>
      <c r="AC421" s="61" t="s">
        <v>1033</v>
      </c>
    </row>
    <row r="422" spans="1:29" x14ac:dyDescent="0.2">
      <c r="A422" s="249">
        <v>129</v>
      </c>
      <c r="B422" s="232" t="str">
        <f>IF(AND(A422&lt;&gt;"",ISNUMBER(A422)),VLOOKUP(A422,Studies!A:BR,2,FALSE),"")</f>
        <v>Eap 2004</v>
      </c>
      <c r="C422" s="232" t="str">
        <f>IF(AND(A422&lt;&gt;"",ISNUMBER(A422)),VLOOKUP(A422,Studies!A:BR,3,FALSE),"")</f>
        <v>https://www.ncbi.nlm.nih.gov/pubmed/15114429</v>
      </c>
      <c r="D422" s="232" t="str">
        <f>IF(AND(A422&lt;&gt;"",ISNUMBER(A422)),VLOOKUP(A422,Studies!A:BR,4,FALSE),"")</f>
        <v>0.075 mg with Perpetrator (Rifampicin)</v>
      </c>
      <c r="E422" s="206" t="str">
        <f>IF(AND(A422&lt;&gt;"",ISNUMBER(A422)),VLOOKUP(A422,Studies!A:BR,5,FALSE),"")</f>
        <v>Midazolam</v>
      </c>
      <c r="F422" s="58">
        <v>90</v>
      </c>
      <c r="G422" s="58" t="s">
        <v>1023</v>
      </c>
      <c r="H422" s="58" t="s">
        <v>60</v>
      </c>
      <c r="I422" s="46">
        <v>0.3</v>
      </c>
      <c r="J422" s="46" t="s">
        <v>1024</v>
      </c>
      <c r="K422" s="46" t="s">
        <v>116</v>
      </c>
      <c r="L422" s="47">
        <v>0.11</v>
      </c>
      <c r="M422" s="47" t="s">
        <v>1024</v>
      </c>
      <c r="N422" s="47" t="s">
        <v>117</v>
      </c>
      <c r="O422" s="46" t="s">
        <v>1025</v>
      </c>
      <c r="P422" s="48">
        <v>7.0000000000000007E-2</v>
      </c>
      <c r="Q422" s="48" t="s">
        <v>1026</v>
      </c>
      <c r="R422" s="48" t="s">
        <v>116</v>
      </c>
      <c r="S422" s="49">
        <v>0.02</v>
      </c>
      <c r="T422" s="49" t="s">
        <v>1026</v>
      </c>
      <c r="U422" s="49" t="s">
        <v>117</v>
      </c>
      <c r="V422" s="62" t="s">
        <v>1027</v>
      </c>
      <c r="W422" s="54">
        <v>1089</v>
      </c>
      <c r="X422" s="54" t="s">
        <v>1061</v>
      </c>
      <c r="Y422" s="54" t="s">
        <v>116</v>
      </c>
      <c r="Z422" s="56">
        <v>1619</v>
      </c>
      <c r="AA422" s="56" t="s">
        <v>1061</v>
      </c>
      <c r="AB422" s="56" t="s">
        <v>117</v>
      </c>
      <c r="AC422" s="61" t="s">
        <v>1033</v>
      </c>
    </row>
    <row r="423" spans="1:29" x14ac:dyDescent="0.2">
      <c r="A423" s="249">
        <v>130</v>
      </c>
      <c r="B423" s="232" t="str">
        <f>IF(AND(A423&lt;&gt;"",ISNUMBER(A423)),VLOOKUP(A423,Studies!A:BR,2,FALSE),"")</f>
        <v>Eap 2004</v>
      </c>
      <c r="C423" s="232" t="str">
        <f>IF(AND(A423&lt;&gt;"",ISNUMBER(A423)),VLOOKUP(A423,Studies!A:BR,3,FALSE),"")</f>
        <v>https://www.ncbi.nlm.nih.gov/pubmed/15114429</v>
      </c>
      <c r="D423" s="232" t="str">
        <f>IF(AND(A423&lt;&gt;"",ISNUMBER(A423)),VLOOKUP(A423,Studies!A:BR,4,FALSE),"")</f>
        <v>0.075 mg with Perpetrator (Ketoconazole)</v>
      </c>
      <c r="E423" s="206" t="str">
        <f>IF(AND(A423&lt;&gt;"",ISNUMBER(A423)),VLOOKUP(A423,Studies!A:BR,5,FALSE),"")</f>
        <v>Midazolam</v>
      </c>
      <c r="F423" s="58">
        <v>48</v>
      </c>
      <c r="G423" s="58" t="s">
        <v>1023</v>
      </c>
      <c r="H423" s="58" t="s">
        <v>60</v>
      </c>
      <c r="I423" s="46">
        <v>4.4000000000000004</v>
      </c>
      <c r="J423" s="46" t="s">
        <v>1024</v>
      </c>
      <c r="K423" s="46" t="s">
        <v>116</v>
      </c>
      <c r="L423" s="47">
        <v>1.6</v>
      </c>
      <c r="M423" s="47" t="s">
        <v>1024</v>
      </c>
      <c r="N423" s="47" t="s">
        <v>117</v>
      </c>
      <c r="O423" s="46" t="s">
        <v>1025</v>
      </c>
      <c r="P423" s="48">
        <v>1.1599999999999999</v>
      </c>
      <c r="Q423" s="48" t="s">
        <v>1026</v>
      </c>
      <c r="R423" s="48" t="s">
        <v>116</v>
      </c>
      <c r="S423" s="49">
        <v>0.21</v>
      </c>
      <c r="T423" s="49" t="s">
        <v>1026</v>
      </c>
      <c r="U423" s="49" t="s">
        <v>117</v>
      </c>
      <c r="V423" s="62" t="s">
        <v>1027</v>
      </c>
      <c r="W423" s="54">
        <v>19</v>
      </c>
      <c r="X423" s="54" t="s">
        <v>1061</v>
      </c>
      <c r="Y423" s="54" t="s">
        <v>116</v>
      </c>
      <c r="Z423" s="56">
        <v>7</v>
      </c>
      <c r="AA423" s="56" t="s">
        <v>1061</v>
      </c>
      <c r="AB423" s="56" t="s">
        <v>117</v>
      </c>
      <c r="AC423" s="61" t="s">
        <v>1033</v>
      </c>
    </row>
    <row r="424" spans="1:29" x14ac:dyDescent="0.2">
      <c r="A424" s="249">
        <v>131</v>
      </c>
      <c r="B424" s="232" t="str">
        <f>IF(AND(A424&lt;&gt;"",ISNUMBER(A424)),VLOOKUP(A424,Studies!A:BR,2,FALSE),"")</f>
        <v>Eap 2004</v>
      </c>
      <c r="C424" s="232" t="str">
        <f>IF(AND(A424&lt;&gt;"",ISNUMBER(A424)),VLOOKUP(A424,Studies!A:BR,3,FALSE),"")</f>
        <v>https://www.ncbi.nlm.nih.gov/pubmed/15114429</v>
      </c>
      <c r="D424" s="232" t="str">
        <f>IF(AND(A424&lt;&gt;"",ISNUMBER(A424)),VLOOKUP(A424,Studies!A:BR,4,FALSE),"")</f>
        <v>7.5 mg Control (Perpetrator Placebo)</v>
      </c>
      <c r="E424" s="206" t="str">
        <f>IF(AND(A424&lt;&gt;"",ISNUMBER(A424)),VLOOKUP(A424,Studies!A:BR,5,FALSE),"")</f>
        <v>Midazolam</v>
      </c>
      <c r="F424" s="58">
        <v>0</v>
      </c>
      <c r="G424" s="58" t="s">
        <v>1023</v>
      </c>
      <c r="H424" s="58" t="s">
        <v>60</v>
      </c>
      <c r="I424" s="46">
        <v>67</v>
      </c>
      <c r="J424" s="46" t="s">
        <v>1024</v>
      </c>
      <c r="K424" s="46" t="s">
        <v>116</v>
      </c>
      <c r="L424" s="47">
        <v>30</v>
      </c>
      <c r="M424" s="47" t="s">
        <v>1024</v>
      </c>
      <c r="N424" s="47" t="s">
        <v>117</v>
      </c>
      <c r="O424" s="46" t="s">
        <v>1025</v>
      </c>
      <c r="P424" s="48">
        <v>26</v>
      </c>
      <c r="Q424" s="48" t="s">
        <v>1026</v>
      </c>
      <c r="R424" s="48" t="s">
        <v>116</v>
      </c>
      <c r="S424" s="49">
        <v>11</v>
      </c>
      <c r="T424" s="49" t="s">
        <v>1026</v>
      </c>
      <c r="U424" s="49" t="s">
        <v>117</v>
      </c>
      <c r="V424" s="62" t="s">
        <v>1027</v>
      </c>
      <c r="W424" s="54">
        <v>129</v>
      </c>
      <c r="X424" s="54" t="s">
        <v>1061</v>
      </c>
      <c r="Y424" s="54" t="s">
        <v>116</v>
      </c>
      <c r="Z424" s="56">
        <v>44</v>
      </c>
      <c r="AA424" s="56" t="s">
        <v>1061</v>
      </c>
      <c r="AB424" s="56" t="s">
        <v>117</v>
      </c>
      <c r="AC424" s="61" t="s">
        <v>1033</v>
      </c>
    </row>
    <row r="425" spans="1:29" x14ac:dyDescent="0.2">
      <c r="A425" s="249">
        <v>132</v>
      </c>
      <c r="B425" s="232" t="str">
        <f>IF(AND(A425&lt;&gt;"",ISNUMBER(A425)),VLOOKUP(A425,Studies!A:BR,2,FALSE),"")</f>
        <v>Eap 2004</v>
      </c>
      <c r="C425" s="232" t="str">
        <f>IF(AND(A425&lt;&gt;"",ISNUMBER(A425)),VLOOKUP(A425,Studies!A:BR,3,FALSE),"")</f>
        <v>https://www.ncbi.nlm.nih.gov/pubmed/15114429</v>
      </c>
      <c r="D425" s="232" t="str">
        <f>IF(AND(A425&lt;&gt;"",ISNUMBER(A425)),VLOOKUP(A425,Studies!A:BR,4,FALSE),"")</f>
        <v>7.5 mg with Perpetrator (Rifampicin)</v>
      </c>
      <c r="E425" s="206" t="str">
        <f>IF(AND(A425&lt;&gt;"",ISNUMBER(A425)),VLOOKUP(A425,Studies!A:BR,5,FALSE),"")</f>
        <v>Midazolam</v>
      </c>
      <c r="F425" s="58">
        <v>114</v>
      </c>
      <c r="G425" s="58" t="s">
        <v>1023</v>
      </c>
      <c r="H425" s="58" t="s">
        <v>60</v>
      </c>
      <c r="I425" s="46">
        <v>3.5</v>
      </c>
      <c r="J425" s="46" t="s">
        <v>1024</v>
      </c>
      <c r="K425" s="46" t="s">
        <v>116</v>
      </c>
      <c r="L425" s="47">
        <v>0.2</v>
      </c>
      <c r="M425" s="47" t="s">
        <v>1024</v>
      </c>
      <c r="N425" s="47" t="s">
        <v>117</v>
      </c>
      <c r="O425" s="46" t="s">
        <v>1025</v>
      </c>
      <c r="P425" s="48">
        <v>2.9</v>
      </c>
      <c r="Q425" s="48" t="s">
        <v>1026</v>
      </c>
      <c r="R425" s="48" t="s">
        <v>116</v>
      </c>
      <c r="S425" s="49">
        <v>0.5</v>
      </c>
      <c r="T425" s="49" t="s">
        <v>1026</v>
      </c>
      <c r="U425" s="49" t="s">
        <v>117</v>
      </c>
      <c r="V425" s="62" t="s">
        <v>1027</v>
      </c>
      <c r="W425" s="54">
        <v>2179</v>
      </c>
      <c r="X425" s="54" t="s">
        <v>1061</v>
      </c>
      <c r="Y425" s="54" t="s">
        <v>116</v>
      </c>
      <c r="Z425" s="56">
        <v>148</v>
      </c>
      <c r="AA425" s="56" t="s">
        <v>1061</v>
      </c>
      <c r="AB425" s="56" t="s">
        <v>117</v>
      </c>
      <c r="AC425" s="61" t="s">
        <v>1033</v>
      </c>
    </row>
    <row r="426" spans="1:29" x14ac:dyDescent="0.2">
      <c r="A426" s="249">
        <v>60</v>
      </c>
      <c r="B426" s="232" t="str">
        <f>IF(AND(A426&lt;&gt;"",ISNUMBER(A426)),VLOOKUP(A426,Studies!A:BR,2,FALSE),"")</f>
        <v>Baneyx 2014</v>
      </c>
      <c r="C426" s="232" t="str">
        <f>IF(AND(A426&lt;&gt;"",ISNUMBER(A426)),VLOOKUP(A426,Studies!A:BR,3,FALSE),"")</f>
        <v>https://www.ncbi.nlm.nih.gov/pubmed/24530864</v>
      </c>
      <c r="D426" s="232" t="str">
        <f>IF(AND(A426&lt;&gt;"",ISNUMBER(A426)),VLOOKUP(A426,Studies!A:BR,4,FALSE),"")</f>
        <v>Day 4 - 600 mg po MD</v>
      </c>
      <c r="E426" s="206" t="str">
        <f>IF(AND(A426&lt;&gt;"",ISNUMBER(A426)),VLOOKUP(A426,Studies!A:BR,5,FALSE),"")</f>
        <v>Rifampicin</v>
      </c>
      <c r="F426" s="58">
        <v>72</v>
      </c>
      <c r="G426" s="58" t="s">
        <v>1023</v>
      </c>
      <c r="H426" s="58" t="s">
        <v>60</v>
      </c>
      <c r="I426" s="46">
        <v>60.8</v>
      </c>
      <c r="J426" s="46" t="s">
        <v>1051</v>
      </c>
      <c r="K426" s="46" t="s">
        <v>116</v>
      </c>
      <c r="L426" s="47">
        <v>22.1</v>
      </c>
      <c r="M426" s="47" t="s">
        <v>1051</v>
      </c>
      <c r="N426" s="47" t="s">
        <v>117</v>
      </c>
      <c r="O426" s="46" t="s">
        <v>1025</v>
      </c>
      <c r="P426" s="48">
        <v>12.5</v>
      </c>
      <c r="Q426" s="48" t="s">
        <v>1054</v>
      </c>
      <c r="R426" s="48" t="s">
        <v>116</v>
      </c>
      <c r="S426" s="49">
        <v>3.4</v>
      </c>
      <c r="T426" s="49" t="s">
        <v>1054</v>
      </c>
      <c r="U426" s="49" t="s">
        <v>117</v>
      </c>
      <c r="V426" s="62" t="s">
        <v>1027</v>
      </c>
    </row>
    <row r="427" spans="1:29" x14ac:dyDescent="0.2">
      <c r="A427" s="249">
        <v>549</v>
      </c>
      <c r="B427" s="232" t="str">
        <f>IF(AND(A427&lt;&gt;"",ISNUMBER(A427)),VLOOKUP(A427,Studies!A:BR,2,FALSE),"")</f>
        <v>Baneyx 2014</v>
      </c>
      <c r="C427" s="232" t="str">
        <f>IF(AND(A427&lt;&gt;"",ISNUMBER(A427)),VLOOKUP(A427,Studies!A:BR,3,FALSE),"")</f>
        <v>https://www.ncbi.nlm.nih.gov/pubmed/24530864</v>
      </c>
      <c r="D427" s="232" t="str">
        <f>IF(AND(A427&lt;&gt;"",ISNUMBER(A427)),VLOOKUP(A427,Studies!A:BR,4,FALSE),"")</f>
        <v>Day 7 - 600 mg po MD</v>
      </c>
      <c r="E427" s="206" t="str">
        <f>IF(AND(A427&lt;&gt;"",ISNUMBER(A427)),VLOOKUP(A427,Studies!A:BR,5,FALSE),"")</f>
        <v>Rifampicin</v>
      </c>
      <c r="F427" s="58">
        <v>144</v>
      </c>
      <c r="G427" s="58" t="s">
        <v>1023</v>
      </c>
      <c r="H427" s="58" t="s">
        <v>60</v>
      </c>
      <c r="I427" s="46">
        <v>47.3</v>
      </c>
      <c r="J427" s="46" t="s">
        <v>1051</v>
      </c>
      <c r="K427" s="46" t="s">
        <v>116</v>
      </c>
      <c r="L427" s="47">
        <v>19.7</v>
      </c>
      <c r="M427" s="47" t="s">
        <v>1051</v>
      </c>
      <c r="N427" s="47" t="s">
        <v>117</v>
      </c>
      <c r="O427" s="46" t="s">
        <v>1025</v>
      </c>
      <c r="P427" s="48">
        <v>11</v>
      </c>
      <c r="Q427" s="48" t="s">
        <v>1054</v>
      </c>
      <c r="R427" s="48" t="s">
        <v>116</v>
      </c>
      <c r="S427" s="49">
        <v>2.9</v>
      </c>
      <c r="T427" s="49" t="s">
        <v>1054</v>
      </c>
      <c r="U427" s="49" t="s">
        <v>117</v>
      </c>
      <c r="V427" s="62" t="s">
        <v>1027</v>
      </c>
    </row>
    <row r="428" spans="1:29" x14ac:dyDescent="0.2">
      <c r="A428" s="249">
        <v>104</v>
      </c>
      <c r="B428" s="232" t="str">
        <f>IF(AND(A428&lt;&gt;"",ISNUMBER(A428)),VLOOKUP(A428,Studies!A:BR,2,FALSE),"")</f>
        <v>Bornemann 1986</v>
      </c>
      <c r="C428" s="232" t="str">
        <f>IF(AND(A428&lt;&gt;"",ISNUMBER(A428)),VLOOKUP(A428,Studies!A:BR,3,FALSE),"")</f>
        <v>https://www.ncbi.nlm.nih.gov/pubmed/2936766</v>
      </c>
      <c r="D428" s="232" t="str">
        <f>IF(AND(A428&lt;&gt;"",ISNUMBER(A428)),VLOOKUP(A428,Studies!A:BR,4,FALSE),"")</f>
        <v>1 h after a meal</v>
      </c>
      <c r="E428" s="206" t="str">
        <f>IF(AND(A428&lt;&gt;"",ISNUMBER(A428)),VLOOKUP(A428,Studies!A:BR,5,FALSE),"")</f>
        <v>Midazolam</v>
      </c>
      <c r="F428" s="58">
        <v>1</v>
      </c>
      <c r="G428" s="58" t="s">
        <v>1023</v>
      </c>
      <c r="H428" s="58" t="s">
        <v>60</v>
      </c>
      <c r="I428" s="46">
        <v>184</v>
      </c>
      <c r="J428" s="46" t="s">
        <v>1024</v>
      </c>
      <c r="K428" s="46" t="s">
        <v>116</v>
      </c>
      <c r="L428" s="47">
        <v>73</v>
      </c>
      <c r="M428" s="47" t="s">
        <v>1024</v>
      </c>
      <c r="N428" s="47" t="s">
        <v>117</v>
      </c>
      <c r="O428" s="46" t="s">
        <v>1025</v>
      </c>
      <c r="P428" s="48">
        <v>48</v>
      </c>
      <c r="Q428" s="48" t="s">
        <v>1026</v>
      </c>
      <c r="R428" s="48" t="s">
        <v>116</v>
      </c>
      <c r="S428" s="49">
        <v>19</v>
      </c>
      <c r="T428" s="49" t="s">
        <v>1026</v>
      </c>
      <c r="U428" s="49" t="s">
        <v>117</v>
      </c>
      <c r="V428" s="62" t="s">
        <v>1027</v>
      </c>
    </row>
    <row r="429" spans="1:29" x14ac:dyDescent="0.2">
      <c r="A429" s="249">
        <v>105</v>
      </c>
      <c r="B429" s="232" t="str">
        <f>IF(AND(A429&lt;&gt;"",ISNUMBER(A429)),VLOOKUP(A429,Studies!A:BR,2,FALSE),"")</f>
        <v>Bornemann 1986</v>
      </c>
      <c r="C429" s="232" t="str">
        <f>IF(AND(A429&lt;&gt;"",ISNUMBER(A429)),VLOOKUP(A429,Studies!A:BR,3,FALSE),"")</f>
        <v>https://www.ncbi.nlm.nih.gov/pubmed/2936766</v>
      </c>
      <c r="D429" s="232" t="str">
        <f>IF(AND(A429&lt;&gt;"",ISNUMBER(A429)),VLOOKUP(A429,Studies!A:BR,4,FALSE),"")</f>
        <v>1 h before a meal</v>
      </c>
      <c r="E429" s="206" t="str">
        <f>IF(AND(A429&lt;&gt;"",ISNUMBER(A429)),VLOOKUP(A429,Studies!A:BR,5,FALSE),"")</f>
        <v>Midazolam</v>
      </c>
      <c r="F429" s="58">
        <v>0</v>
      </c>
      <c r="G429" s="58" t="s">
        <v>1023</v>
      </c>
      <c r="H429" s="58" t="s">
        <v>60</v>
      </c>
      <c r="I429" s="46">
        <v>197</v>
      </c>
      <c r="J429" s="46" t="s">
        <v>1024</v>
      </c>
      <c r="K429" s="46" t="s">
        <v>116</v>
      </c>
      <c r="L429" s="47">
        <v>57</v>
      </c>
      <c r="M429" s="47" t="s">
        <v>1024</v>
      </c>
      <c r="N429" s="47" t="s">
        <v>117</v>
      </c>
      <c r="O429" s="46" t="s">
        <v>1025</v>
      </c>
      <c r="P429" s="48">
        <v>80</v>
      </c>
      <c r="Q429" s="48" t="s">
        <v>1026</v>
      </c>
      <c r="R429" s="48" t="s">
        <v>116</v>
      </c>
      <c r="S429" s="49">
        <v>34</v>
      </c>
      <c r="T429" s="49" t="s">
        <v>1026</v>
      </c>
      <c r="U429" s="49" t="s">
        <v>117</v>
      </c>
      <c r="V429" s="62" t="s">
        <v>1027</v>
      </c>
    </row>
    <row r="430" spans="1:29" x14ac:dyDescent="0.2">
      <c r="A430" s="249">
        <v>106</v>
      </c>
      <c r="B430" s="232" t="str">
        <f>IF(AND(A430&lt;&gt;"",ISNUMBER(A430)),VLOOKUP(A430,Studies!A:BR,2,FALSE),"")</f>
        <v>Bornemann 1986</v>
      </c>
      <c r="C430" s="232" t="str">
        <f>IF(AND(A430&lt;&gt;"",ISNUMBER(A430)),VLOOKUP(A430,Studies!A:BR,3,FALSE),"")</f>
        <v>https://www.ncbi.nlm.nih.gov/pubmed/2936766</v>
      </c>
      <c r="D430" s="232" t="str">
        <f>IF(AND(A430&lt;&gt;"",ISNUMBER(A430)),VLOOKUP(A430,Studies!A:BR,4,FALSE),"")</f>
        <v>with a meal</v>
      </c>
      <c r="E430" s="206" t="str">
        <f>IF(AND(A430&lt;&gt;"",ISNUMBER(A430)),VLOOKUP(A430,Studies!A:BR,5,FALSE),"")</f>
        <v>Midazolam</v>
      </c>
      <c r="F430" s="58">
        <v>0</v>
      </c>
      <c r="G430" s="58" t="s">
        <v>1023</v>
      </c>
      <c r="H430" s="58" t="s">
        <v>60</v>
      </c>
      <c r="I430" s="46">
        <v>207</v>
      </c>
      <c r="J430" s="46" t="s">
        <v>1024</v>
      </c>
      <c r="K430" s="46" t="s">
        <v>116</v>
      </c>
      <c r="L430" s="47">
        <v>96</v>
      </c>
      <c r="M430" s="47" t="s">
        <v>1024</v>
      </c>
      <c r="N430" s="47" t="s">
        <v>117</v>
      </c>
      <c r="O430" s="46" t="s">
        <v>1025</v>
      </c>
      <c r="P430" s="48">
        <v>63</v>
      </c>
      <c r="Q430" s="48" t="s">
        <v>1026</v>
      </c>
      <c r="R430" s="48" t="s">
        <v>116</v>
      </c>
      <c r="S430" s="49">
        <v>36</v>
      </c>
      <c r="T430" s="49" t="s">
        <v>1026</v>
      </c>
      <c r="U430" s="49" t="s">
        <v>117</v>
      </c>
      <c r="V430" s="62" t="s">
        <v>1027</v>
      </c>
    </row>
    <row r="431" spans="1:29" x14ac:dyDescent="0.2">
      <c r="A431" s="249">
        <v>107</v>
      </c>
      <c r="B431" s="232" t="str">
        <f>IF(AND(A431&lt;&gt;"",ISNUMBER(A431)),VLOOKUP(A431,Studies!A:BR,2,FALSE),"")</f>
        <v>Bornemann 1986</v>
      </c>
      <c r="C431" s="232" t="str">
        <f>IF(AND(A431&lt;&gt;"",ISNUMBER(A431)),VLOOKUP(A431,Studies!A:BR,3,FALSE),"")</f>
        <v>https://www.ncbi.nlm.nih.gov/pubmed/2936766</v>
      </c>
      <c r="D431" s="232" t="str">
        <f>IF(AND(A431&lt;&gt;"",ISNUMBER(A431)),VLOOKUP(A431,Studies!A:BR,4,FALSE),"")</f>
        <v>fasting condition</v>
      </c>
      <c r="E431" s="206" t="str">
        <f>IF(AND(A431&lt;&gt;"",ISNUMBER(A431)),VLOOKUP(A431,Studies!A:BR,5,FALSE),"")</f>
        <v>Midazolam</v>
      </c>
      <c r="F431" s="58">
        <v>0</v>
      </c>
      <c r="G431" s="58" t="s">
        <v>1023</v>
      </c>
      <c r="H431" s="58" t="s">
        <v>60</v>
      </c>
      <c r="I431" s="46">
        <v>215</v>
      </c>
      <c r="J431" s="46" t="s">
        <v>1024</v>
      </c>
      <c r="K431" s="46" t="s">
        <v>116</v>
      </c>
      <c r="L431" s="47">
        <v>78</v>
      </c>
      <c r="M431" s="47" t="s">
        <v>1024</v>
      </c>
      <c r="N431" s="47" t="s">
        <v>117</v>
      </c>
      <c r="O431" s="46" t="s">
        <v>1025</v>
      </c>
      <c r="P431" s="48">
        <v>69</v>
      </c>
      <c r="Q431" s="48" t="s">
        <v>1026</v>
      </c>
      <c r="R431" s="48" t="s">
        <v>116</v>
      </c>
      <c r="S431" s="49">
        <v>26</v>
      </c>
      <c r="T431" s="49" t="s">
        <v>1026</v>
      </c>
      <c r="U431" s="49" t="s">
        <v>117</v>
      </c>
      <c r="V431" s="62" t="s">
        <v>1027</v>
      </c>
    </row>
    <row r="432" spans="1:29" x14ac:dyDescent="0.2">
      <c r="A432" s="249">
        <v>345</v>
      </c>
      <c r="B432" s="232" t="str">
        <f>IF(AND(A432&lt;&gt;"",ISNUMBER(A432)),VLOOKUP(A432,Studies!A:BR,2,FALSE),"")</f>
        <v>Loos 1985</v>
      </c>
      <c r="C432" s="232" t="str">
        <f>IF(AND(A432&lt;&gt;"",ISNUMBER(A432)),VLOOKUP(A432,Studies!A:BR,3,FALSE),"")</f>
        <v>http://www.ncbi.nlm.nih.gov/pubmed/4087830</v>
      </c>
      <c r="D432" s="232" t="str">
        <f>IF(AND(A432&lt;&gt;"",ISNUMBER(A432)),VLOOKUP(A432,Studies!A:BR,4,FALSE),"")</f>
        <v>oral day 2 (Patient 4)</v>
      </c>
      <c r="E432" s="206" t="str">
        <f>IF(AND(A432&lt;&gt;"",ISNUMBER(A432)),VLOOKUP(A432,Studies!A:BR,5,FALSE),"")</f>
        <v>Rifampicin</v>
      </c>
      <c r="F432" s="58">
        <v>24</v>
      </c>
      <c r="G432" s="58" t="s">
        <v>1023</v>
      </c>
      <c r="H432" s="58" t="s">
        <v>60</v>
      </c>
      <c r="I432" s="46">
        <v>67.599999999999994</v>
      </c>
      <c r="J432" s="46" t="s">
        <v>1051</v>
      </c>
      <c r="K432" s="46" t="s">
        <v>116</v>
      </c>
      <c r="O432" s="46" t="s">
        <v>1025</v>
      </c>
      <c r="W432" s="54">
        <v>9.8000000000000007</v>
      </c>
      <c r="X432" s="54" t="s">
        <v>1061</v>
      </c>
      <c r="Y432" s="54" t="s">
        <v>116</v>
      </c>
      <c r="AC432" s="61" t="s">
        <v>1033</v>
      </c>
    </row>
    <row r="433" spans="1:29" x14ac:dyDescent="0.2">
      <c r="A433" s="249">
        <v>346</v>
      </c>
      <c r="B433" s="232" t="str">
        <f>IF(AND(A433&lt;&gt;"",ISNUMBER(A433)),VLOOKUP(A433,Studies!A:BR,2,FALSE),"")</f>
        <v>Loos 1985</v>
      </c>
      <c r="C433" s="232" t="str">
        <f>IF(AND(A433&lt;&gt;"",ISNUMBER(A433)),VLOOKUP(A433,Studies!A:BR,3,FALSE),"")</f>
        <v>http://www.ncbi.nlm.nih.gov/pubmed/4087830</v>
      </c>
      <c r="D433" s="232" t="str">
        <f>IF(AND(A433&lt;&gt;"",ISNUMBER(A433)),VLOOKUP(A433,Studies!A:BR,4,FALSE),"")</f>
        <v>oral day 9 (Patient 4)</v>
      </c>
      <c r="E433" s="206" t="str">
        <f>IF(AND(A433&lt;&gt;"",ISNUMBER(A433)),VLOOKUP(A433,Studies!A:BR,5,FALSE),"")</f>
        <v>Rifampicin</v>
      </c>
      <c r="F433" s="58">
        <v>192</v>
      </c>
      <c r="G433" s="58" t="s">
        <v>1023</v>
      </c>
      <c r="H433" s="58" t="s">
        <v>60</v>
      </c>
      <c r="I433" s="46">
        <v>57</v>
      </c>
      <c r="J433" s="46" t="s">
        <v>1051</v>
      </c>
      <c r="K433" s="46" t="s">
        <v>116</v>
      </c>
      <c r="O433" s="46" t="s">
        <v>1025</v>
      </c>
      <c r="W433" s="54">
        <v>11.7</v>
      </c>
      <c r="X433" s="54" t="s">
        <v>1061</v>
      </c>
      <c r="Y433" s="54" t="s">
        <v>116</v>
      </c>
      <c r="AC433" s="61" t="s">
        <v>1033</v>
      </c>
    </row>
    <row r="434" spans="1:29" x14ac:dyDescent="0.2">
      <c r="A434" s="249">
        <v>347</v>
      </c>
      <c r="B434" s="232" t="str">
        <f>IF(AND(A434&lt;&gt;"",ISNUMBER(A434)),VLOOKUP(A434,Studies!A:BR,2,FALSE),"")</f>
        <v>Loos 1985</v>
      </c>
      <c r="C434" s="232" t="str">
        <f>IF(AND(A434&lt;&gt;"",ISNUMBER(A434)),VLOOKUP(A434,Studies!A:BR,3,FALSE),"")</f>
        <v>http://www.ncbi.nlm.nih.gov/pubmed/4087830</v>
      </c>
      <c r="D434" s="232" t="str">
        <f>IF(AND(A434&lt;&gt;"",ISNUMBER(A434)),VLOOKUP(A434,Studies!A:BR,4,FALSE),"")</f>
        <v>oral day 23 (Patient 4)</v>
      </c>
      <c r="E434" s="206" t="str">
        <f>IF(AND(A434&lt;&gt;"",ISNUMBER(A434)),VLOOKUP(A434,Studies!A:BR,5,FALSE),"")</f>
        <v>Rifampicin</v>
      </c>
      <c r="F434" s="58">
        <v>528</v>
      </c>
      <c r="G434" s="58" t="s">
        <v>1023</v>
      </c>
      <c r="H434" s="58" t="s">
        <v>60</v>
      </c>
      <c r="I434" s="46">
        <v>18.399999999999999</v>
      </c>
      <c r="J434" s="46" t="s">
        <v>1051</v>
      </c>
      <c r="K434" s="46" t="s">
        <v>116</v>
      </c>
      <c r="O434" s="46" t="s">
        <v>1025</v>
      </c>
      <c r="W434" s="54">
        <v>34.5</v>
      </c>
      <c r="X434" s="54" t="s">
        <v>1061</v>
      </c>
      <c r="Y434" s="54" t="s">
        <v>116</v>
      </c>
      <c r="AC434" s="61" t="s">
        <v>1033</v>
      </c>
    </row>
    <row r="435" spans="1:29" x14ac:dyDescent="0.2">
      <c r="A435" s="249">
        <v>348</v>
      </c>
      <c r="B435" s="232" t="str">
        <f>IF(AND(A435&lt;&gt;"",ISNUMBER(A435)),VLOOKUP(A435,Studies!A:BR,2,FALSE),"")</f>
        <v>Loos 1985</v>
      </c>
      <c r="C435" s="232" t="str">
        <f>IF(AND(A435&lt;&gt;"",ISNUMBER(A435)),VLOOKUP(A435,Studies!A:BR,3,FALSE),"")</f>
        <v>http://www.ncbi.nlm.nih.gov/pubmed/4087830</v>
      </c>
      <c r="D435" s="232" t="str">
        <f>IF(AND(A435&lt;&gt;"",ISNUMBER(A435)),VLOOKUP(A435,Studies!A:BR,4,FALSE),"")</f>
        <v>iv day 1 (Patient 4)</v>
      </c>
      <c r="E435" s="206" t="str">
        <f>IF(AND(A435&lt;&gt;"",ISNUMBER(A435)),VLOOKUP(A435,Studies!A:BR,5,FALSE),"")</f>
        <v>Rifampicin</v>
      </c>
      <c r="F435" s="58">
        <v>0</v>
      </c>
      <c r="G435" s="58" t="s">
        <v>1023</v>
      </c>
      <c r="H435" s="58" t="s">
        <v>60</v>
      </c>
      <c r="I435" s="46">
        <v>110.4</v>
      </c>
      <c r="J435" s="46" t="s">
        <v>1051</v>
      </c>
      <c r="K435" s="46" t="s">
        <v>116</v>
      </c>
      <c r="O435" s="46" t="s">
        <v>1025</v>
      </c>
      <c r="W435" s="54">
        <v>5.43</v>
      </c>
      <c r="X435" s="54" t="s">
        <v>1061</v>
      </c>
      <c r="Y435" s="54" t="s">
        <v>116</v>
      </c>
      <c r="AC435" s="61" t="s">
        <v>1064</v>
      </c>
    </row>
    <row r="436" spans="1:29" x14ac:dyDescent="0.2">
      <c r="A436" s="249">
        <v>349</v>
      </c>
      <c r="B436" s="232" t="str">
        <f>IF(AND(A436&lt;&gt;"",ISNUMBER(A436)),VLOOKUP(A436,Studies!A:BR,2,FALSE),"")</f>
        <v>Loos 1985</v>
      </c>
      <c r="C436" s="232" t="str">
        <f>IF(AND(A436&lt;&gt;"",ISNUMBER(A436)),VLOOKUP(A436,Studies!A:BR,3,FALSE),"")</f>
        <v>http://www.ncbi.nlm.nih.gov/pubmed/4087830</v>
      </c>
      <c r="D436" s="232" t="str">
        <f>IF(AND(A436&lt;&gt;"",ISNUMBER(A436)),VLOOKUP(A436,Studies!A:BR,4,FALSE),"")</f>
        <v>iv day 8 (Patient 4)</v>
      </c>
      <c r="E436" s="206" t="str">
        <f>IF(AND(A436&lt;&gt;"",ISNUMBER(A436)),VLOOKUP(A436,Studies!A:BR,5,FALSE),"")</f>
        <v>Rifampicin</v>
      </c>
      <c r="F436" s="58">
        <v>168</v>
      </c>
      <c r="G436" s="58" t="s">
        <v>1023</v>
      </c>
      <c r="H436" s="58" t="s">
        <v>60</v>
      </c>
      <c r="I436" s="46">
        <v>95.4</v>
      </c>
      <c r="J436" s="46" t="s">
        <v>1051</v>
      </c>
      <c r="K436" s="46" t="s">
        <v>116</v>
      </c>
      <c r="O436" s="46" t="s">
        <v>1025</v>
      </c>
      <c r="W436" s="54">
        <v>6.29</v>
      </c>
      <c r="X436" s="54" t="s">
        <v>1061</v>
      </c>
      <c r="Y436" s="54" t="s">
        <v>116</v>
      </c>
      <c r="AC436" s="61" t="s">
        <v>1064</v>
      </c>
    </row>
    <row r="437" spans="1:29" x14ac:dyDescent="0.2">
      <c r="A437" s="249">
        <v>350</v>
      </c>
      <c r="B437" s="232" t="str">
        <f>IF(AND(A437&lt;&gt;"",ISNUMBER(A437)),VLOOKUP(A437,Studies!A:BR,2,FALSE),"")</f>
        <v>Loos 1985</v>
      </c>
      <c r="C437" s="232" t="str">
        <f>IF(AND(A437&lt;&gt;"",ISNUMBER(A437)),VLOOKUP(A437,Studies!A:BR,3,FALSE),"")</f>
        <v>http://www.ncbi.nlm.nih.gov/pubmed/4087830</v>
      </c>
      <c r="D437" s="232" t="str">
        <f>IF(AND(A437&lt;&gt;"",ISNUMBER(A437)),VLOOKUP(A437,Studies!A:BR,4,FALSE),"")</f>
        <v>iv day 22 (Patient 4)</v>
      </c>
      <c r="E437" s="206" t="str">
        <f>IF(AND(A437&lt;&gt;"",ISNUMBER(A437)),VLOOKUP(A437,Studies!A:BR,5,FALSE),"")</f>
        <v>Rifampicin</v>
      </c>
      <c r="F437" s="58">
        <v>504</v>
      </c>
      <c r="G437" s="58" t="s">
        <v>1023</v>
      </c>
      <c r="H437" s="58" t="s">
        <v>60</v>
      </c>
      <c r="I437" s="46">
        <v>69.599999999999994</v>
      </c>
      <c r="J437" s="46" t="s">
        <v>1051</v>
      </c>
      <c r="K437" s="46" t="s">
        <v>116</v>
      </c>
      <c r="O437" s="46" t="s">
        <v>1025</v>
      </c>
      <c r="W437" s="54">
        <v>8.6300000000000008</v>
      </c>
      <c r="X437" s="54" t="s">
        <v>1061</v>
      </c>
      <c r="Y437" s="54" t="s">
        <v>116</v>
      </c>
      <c r="AC437" s="61" t="s">
        <v>1064</v>
      </c>
    </row>
    <row r="438" spans="1:29" x14ac:dyDescent="0.2">
      <c r="A438" s="249">
        <v>313</v>
      </c>
      <c r="B438" s="232" t="str">
        <f>IF(AND(A438&lt;&gt;"",ISNUMBER(A438)),VLOOKUP(A438,Studies!A:BR,2,FALSE),"")</f>
        <v>Kirby 2012</v>
      </c>
      <c r="C438" s="232" t="str">
        <f>IF(AND(A438&lt;&gt;"",ISNUMBER(A438)),VLOOKUP(A438,Studies!A:BR,3,FALSE),"")</f>
        <v>https://www.ncbi.nlm.nih.gov/pubmed/22190694</v>
      </c>
      <c r="D438" s="232" t="str">
        <f>IF(AND(A438&lt;&gt;"",ISNUMBER(A438)),VLOOKUP(A438,Studies!A:BR,4,FALSE),"")</f>
        <v>Study 1 - Staggered Administration Control</v>
      </c>
      <c r="E438" s="206" t="str">
        <f>IF(AND(A438&lt;&gt;"",ISNUMBER(A438)),VLOOKUP(A438,Studies!A:BR,5,FALSE),"")</f>
        <v>Digoxin</v>
      </c>
      <c r="F438" s="58">
        <v>0</v>
      </c>
      <c r="G438" s="58" t="s">
        <v>1023</v>
      </c>
      <c r="H438" s="58" t="s">
        <v>60</v>
      </c>
      <c r="I438" s="46">
        <v>8.66</v>
      </c>
      <c r="J438" s="46" t="s">
        <v>1024</v>
      </c>
      <c r="K438" s="46" t="s">
        <v>116</v>
      </c>
      <c r="L438" s="47">
        <v>2.57</v>
      </c>
      <c r="M438" s="47" t="s">
        <v>1024</v>
      </c>
      <c r="N438" s="47" t="s">
        <v>117</v>
      </c>
      <c r="O438" s="46" t="s">
        <v>1025</v>
      </c>
      <c r="P438" s="48">
        <v>1.34</v>
      </c>
      <c r="Q438" s="48" t="s">
        <v>1026</v>
      </c>
      <c r="R438" s="48" t="s">
        <v>116</v>
      </c>
      <c r="S438" s="49">
        <v>0.53</v>
      </c>
      <c r="T438" s="49" t="s">
        <v>1026</v>
      </c>
      <c r="U438" s="49" t="s">
        <v>117</v>
      </c>
      <c r="V438" s="62" t="s">
        <v>1027</v>
      </c>
      <c r="W438" s="54">
        <v>146</v>
      </c>
      <c r="X438" s="54" t="s">
        <v>1043</v>
      </c>
      <c r="Y438" s="54" t="s">
        <v>116</v>
      </c>
      <c r="Z438" s="56">
        <v>43.3</v>
      </c>
      <c r="AA438" s="56" t="s">
        <v>1043</v>
      </c>
      <c r="AB438" s="56" t="s">
        <v>117</v>
      </c>
      <c r="AC438" s="61" t="s">
        <v>1033</v>
      </c>
    </row>
    <row r="439" spans="1:29" x14ac:dyDescent="0.2">
      <c r="A439" s="249">
        <v>314</v>
      </c>
      <c r="B439" s="232" t="str">
        <f>IF(AND(A439&lt;&gt;"",ISNUMBER(A439)),VLOOKUP(A439,Studies!A:BR,2,FALSE),"")</f>
        <v>Kirby 2012</v>
      </c>
      <c r="C439" s="232" t="str">
        <f>IF(AND(A439&lt;&gt;"",ISNUMBER(A439)),VLOOKUP(A439,Studies!A:BR,3,FALSE),"")</f>
        <v>https://www.ncbi.nlm.nih.gov/pubmed/22190694</v>
      </c>
      <c r="D439" s="232" t="str">
        <f>IF(AND(A439&lt;&gt;"",ISNUMBER(A439)),VLOOKUP(A439,Studies!A:BR,4,FALSE),"")</f>
        <v>Study 1 - Staggered Administration with RIF</v>
      </c>
      <c r="E439" s="206" t="str">
        <f>IF(AND(A439&lt;&gt;"",ISNUMBER(A439)),VLOOKUP(A439,Studies!A:BR,5,FALSE),"")</f>
        <v>Digoxin</v>
      </c>
      <c r="F439" s="58">
        <v>324</v>
      </c>
      <c r="G439" s="58" t="s">
        <v>1023</v>
      </c>
      <c r="H439" s="58" t="s">
        <v>60</v>
      </c>
      <c r="I439" s="46">
        <v>6.83</v>
      </c>
      <c r="J439" s="46" t="s">
        <v>1024</v>
      </c>
      <c r="K439" s="46" t="s">
        <v>116</v>
      </c>
      <c r="L439" s="47">
        <v>1.68</v>
      </c>
      <c r="M439" s="47" t="s">
        <v>1024</v>
      </c>
      <c r="N439" s="47" t="s">
        <v>117</v>
      </c>
      <c r="O439" s="46" t="s">
        <v>1025</v>
      </c>
      <c r="P439" s="48">
        <v>1.02</v>
      </c>
      <c r="Q439" s="48" t="s">
        <v>1026</v>
      </c>
      <c r="R439" s="48" t="s">
        <v>116</v>
      </c>
      <c r="S439" s="49">
        <v>0.38</v>
      </c>
      <c r="T439" s="49" t="s">
        <v>1026</v>
      </c>
      <c r="U439" s="49" t="s">
        <v>117</v>
      </c>
      <c r="V439" s="62" t="s">
        <v>1027</v>
      </c>
      <c r="W439" s="54">
        <v>162</v>
      </c>
      <c r="X439" s="54" t="s">
        <v>1043</v>
      </c>
      <c r="Y439" s="54" t="s">
        <v>116</v>
      </c>
      <c r="Z439" s="56">
        <v>51.4</v>
      </c>
      <c r="AA439" s="56" t="s">
        <v>1043</v>
      </c>
      <c r="AB439" s="56" t="s">
        <v>117</v>
      </c>
      <c r="AC439" s="61" t="s">
        <v>1033</v>
      </c>
    </row>
    <row r="440" spans="1:29" x14ac:dyDescent="0.2">
      <c r="A440" s="249">
        <v>315</v>
      </c>
      <c r="B440" s="232" t="str">
        <f>IF(AND(A440&lt;&gt;"",ISNUMBER(A440)),VLOOKUP(A440,Studies!A:BR,2,FALSE),"")</f>
        <v>Kirby 2012</v>
      </c>
      <c r="C440" s="232" t="str">
        <f>IF(AND(A440&lt;&gt;"",ISNUMBER(A440)),VLOOKUP(A440,Studies!A:BR,3,FALSE),"")</f>
        <v>https://www.ncbi.nlm.nih.gov/pubmed/22190694</v>
      </c>
      <c r="D440" s="232" t="str">
        <f>IF(AND(A440&lt;&gt;"",ISNUMBER(A440)),VLOOKUP(A440,Studies!A:BR,4,FALSE),"")</f>
        <v>Study 2 - Simultaneous Administration Control</v>
      </c>
      <c r="E440" s="206" t="str">
        <f>IF(AND(A440&lt;&gt;"",ISNUMBER(A440)),VLOOKUP(A440,Studies!A:BR,5,FALSE),"")</f>
        <v>Digoxin</v>
      </c>
      <c r="F440" s="58">
        <v>0</v>
      </c>
      <c r="G440" s="58" t="s">
        <v>1023</v>
      </c>
      <c r="H440" s="58" t="s">
        <v>60</v>
      </c>
      <c r="I440" s="46">
        <v>5.45</v>
      </c>
      <c r="J440" s="46" t="s">
        <v>1024</v>
      </c>
      <c r="K440" s="46" t="s">
        <v>116</v>
      </c>
      <c r="L440" s="47">
        <v>1.99</v>
      </c>
      <c r="M440" s="47" t="s">
        <v>1024</v>
      </c>
      <c r="N440" s="47" t="s">
        <v>117</v>
      </c>
      <c r="O440" s="46" t="s">
        <v>1025</v>
      </c>
      <c r="P440" s="48">
        <v>1.24</v>
      </c>
      <c r="Q440" s="48" t="s">
        <v>1026</v>
      </c>
      <c r="R440" s="48" t="s">
        <v>116</v>
      </c>
      <c r="S440" s="49">
        <v>0.35</v>
      </c>
      <c r="T440" s="49" t="s">
        <v>1026</v>
      </c>
      <c r="U440" s="49" t="s">
        <v>117</v>
      </c>
      <c r="V440" s="62" t="s">
        <v>1027</v>
      </c>
      <c r="W440" s="54">
        <v>258</v>
      </c>
      <c r="X440" s="54" t="s">
        <v>1043</v>
      </c>
      <c r="Y440" s="54" t="s">
        <v>116</v>
      </c>
      <c r="Z440" s="56">
        <v>64.900000000000006</v>
      </c>
      <c r="AA440" s="56" t="s">
        <v>1043</v>
      </c>
      <c r="AB440" s="56" t="s">
        <v>117</v>
      </c>
      <c r="AC440" s="61" t="s">
        <v>1033</v>
      </c>
    </row>
    <row r="441" spans="1:29" x14ac:dyDescent="0.2">
      <c r="A441" s="249">
        <v>316</v>
      </c>
      <c r="B441" s="232" t="str">
        <f>IF(AND(A441&lt;&gt;"",ISNUMBER(A441)),VLOOKUP(A441,Studies!A:BR,2,FALSE),"")</f>
        <v>Kirby 2012</v>
      </c>
      <c r="C441" s="232" t="str">
        <f>IF(AND(A441&lt;&gt;"",ISNUMBER(A441)),VLOOKUP(A441,Studies!A:BR,3,FALSE),"")</f>
        <v>https://www.ncbi.nlm.nih.gov/pubmed/22190694</v>
      </c>
      <c r="D441" s="232" t="str">
        <f>IF(AND(A441&lt;&gt;"",ISNUMBER(A441)),VLOOKUP(A441,Studies!A:BR,4,FALSE),"")</f>
        <v>Study 2 - Simultaneous Administration with RIF</v>
      </c>
      <c r="E441" s="206" t="str">
        <f>IF(AND(A441&lt;&gt;"",ISNUMBER(A441)),VLOOKUP(A441,Studies!A:BR,5,FALSE),"")</f>
        <v>Digoxin</v>
      </c>
      <c r="F441" s="58">
        <v>360</v>
      </c>
      <c r="G441" s="58" t="s">
        <v>1023</v>
      </c>
      <c r="H441" s="58" t="s">
        <v>60</v>
      </c>
      <c r="I441" s="46">
        <v>7.08</v>
      </c>
      <c r="J441" s="46" t="s">
        <v>1024</v>
      </c>
      <c r="K441" s="46" t="s">
        <v>116</v>
      </c>
      <c r="L441" s="47">
        <v>3.25</v>
      </c>
      <c r="M441" s="47" t="s">
        <v>1024</v>
      </c>
      <c r="N441" s="47" t="s">
        <v>117</v>
      </c>
      <c r="O441" s="46" t="s">
        <v>1025</v>
      </c>
      <c r="P441" s="48">
        <v>2.12</v>
      </c>
      <c r="Q441" s="48" t="s">
        <v>1026</v>
      </c>
      <c r="R441" s="48" t="s">
        <v>116</v>
      </c>
      <c r="S441" s="49">
        <v>1.04</v>
      </c>
      <c r="T441" s="49" t="s">
        <v>1026</v>
      </c>
      <c r="U441" s="49" t="s">
        <v>117</v>
      </c>
      <c r="V441" s="62" t="s">
        <v>1027</v>
      </c>
      <c r="W441" s="54">
        <v>225</v>
      </c>
      <c r="X441" s="54" t="s">
        <v>1043</v>
      </c>
      <c r="Y441" s="54" t="s">
        <v>116</v>
      </c>
      <c r="Z441" s="56">
        <v>59.8</v>
      </c>
      <c r="AA441" s="56" t="s">
        <v>1043</v>
      </c>
      <c r="AB441" s="56" t="s">
        <v>117</v>
      </c>
      <c r="AC441" s="61" t="s">
        <v>1033</v>
      </c>
    </row>
    <row r="442" spans="1:29" x14ac:dyDescent="0.2">
      <c r="A442" s="249">
        <v>336</v>
      </c>
      <c r="B442" s="232" t="str">
        <f>IF(AND(A442&lt;&gt;"",ISNUMBER(A442)),VLOOKUP(A442,Studies!A:BR,2,FALSE),"")</f>
        <v>Larsen 2007</v>
      </c>
      <c r="C442" s="232" t="str">
        <f>IF(AND(A442&lt;&gt;"",ISNUMBER(A442)),VLOOKUP(A442,Studies!A:BR,3,FALSE),"")</f>
        <v>https://www.ncbi.nlm.nih.gov/pubmed/17365992</v>
      </c>
      <c r="D442" s="232" t="str">
        <f>IF(AND(A442&lt;&gt;"",ISNUMBER(A442)),VLOOKUP(A442,Studies!A:BR,4,FALSE),"")</f>
        <v>Control (Perpetrator Placebo)</v>
      </c>
      <c r="E442" s="206" t="str">
        <f>IF(AND(A442&lt;&gt;"",ISNUMBER(A442)),VLOOKUP(A442,Studies!A:BR,5,FALSE),"")</f>
        <v>Digoxin</v>
      </c>
      <c r="F442" s="58">
        <v>0</v>
      </c>
      <c r="G442" s="58" t="s">
        <v>1023</v>
      </c>
      <c r="H442" s="58" t="s">
        <v>60</v>
      </c>
      <c r="I442" s="46">
        <v>980</v>
      </c>
      <c r="J442" s="46" t="s">
        <v>1365</v>
      </c>
      <c r="K442" s="46" t="s">
        <v>116</v>
      </c>
      <c r="O442" s="46" t="s">
        <v>1025</v>
      </c>
    </row>
    <row r="443" spans="1:29" x14ac:dyDescent="0.2">
      <c r="A443" s="249">
        <v>337</v>
      </c>
      <c r="B443" s="232" t="str">
        <f>IF(AND(A443&lt;&gt;"",ISNUMBER(A443)),VLOOKUP(A443,Studies!A:BR,2,FALSE),"")</f>
        <v>Larsen 2007</v>
      </c>
      <c r="C443" s="232" t="str">
        <f>IF(AND(A443&lt;&gt;"",ISNUMBER(A443)),VLOOKUP(A443,Studies!A:BR,3,FALSE),"")</f>
        <v>https://www.ncbi.nlm.nih.gov/pubmed/17365992</v>
      </c>
      <c r="D443" s="232" t="str">
        <f>IF(AND(A443&lt;&gt;"",ISNUMBER(A443)),VLOOKUP(A443,Studies!A:BR,4,FALSE),"")</f>
        <v>with Perpetrator (Rifampicin)</v>
      </c>
      <c r="E443" s="206" t="str">
        <f>IF(AND(A443&lt;&gt;"",ISNUMBER(A443)),VLOOKUP(A443,Studies!A:BR,5,FALSE),"")</f>
        <v>Digoxin</v>
      </c>
      <c r="F443" s="58">
        <v>144</v>
      </c>
      <c r="G443" s="58" t="s">
        <v>1023</v>
      </c>
      <c r="H443" s="58" t="s">
        <v>60</v>
      </c>
      <c r="I443" s="46">
        <v>801</v>
      </c>
      <c r="J443" s="46" t="s">
        <v>1365</v>
      </c>
      <c r="K443" s="46" t="s">
        <v>116</v>
      </c>
      <c r="O443" s="46" t="s">
        <v>1025</v>
      </c>
    </row>
    <row r="444" spans="1:29" x14ac:dyDescent="0.2">
      <c r="A444" s="249">
        <v>338</v>
      </c>
      <c r="B444" s="232" t="str">
        <f>IF(AND(A444&lt;&gt;"",ISNUMBER(A444)),VLOOKUP(A444,Studies!A:BR,2,FALSE),"")</f>
        <v>Larsen 2007</v>
      </c>
      <c r="C444" s="232" t="str">
        <f>IF(AND(A444&lt;&gt;"",ISNUMBER(A444)),VLOOKUP(A444,Studies!A:BR,3,FALSE),"")</f>
        <v>https://www.ncbi.nlm.nih.gov/pubmed/17365992</v>
      </c>
      <c r="D444" s="232" t="str">
        <f>IF(AND(A444&lt;&gt;"",ISNUMBER(A444)),VLOOKUP(A444,Studies!A:BR,4,FALSE),"")</f>
        <v>with Perpetrator (Ketoconazole)</v>
      </c>
      <c r="E444" s="206" t="str">
        <f>IF(AND(A444&lt;&gt;"",ISNUMBER(A444)),VLOOKUP(A444,Studies!A:BR,5,FALSE),"")</f>
        <v>Digoxin</v>
      </c>
      <c r="F444" s="58">
        <v>96</v>
      </c>
      <c r="G444" s="58" t="s">
        <v>1023</v>
      </c>
      <c r="H444" s="58" t="s">
        <v>60</v>
      </c>
      <c r="I444" s="46">
        <v>1070</v>
      </c>
      <c r="J444" s="46" t="s">
        <v>1365</v>
      </c>
      <c r="K444" s="46" t="s">
        <v>116</v>
      </c>
      <c r="O444" s="46" t="s">
        <v>1025</v>
      </c>
    </row>
    <row r="445" spans="1:29" x14ac:dyDescent="0.2">
      <c r="A445" s="249">
        <v>419</v>
      </c>
      <c r="B445" s="232" t="str">
        <f>IF(AND(A445&lt;&gt;"",ISNUMBER(A445)),VLOOKUP(A445,Studies!A:BR,2,FALSE),"")</f>
        <v>Swart 2002</v>
      </c>
      <c r="C445" s="232" t="str">
        <f>IF(AND(A445&lt;&gt;"",ISNUMBER(A445)),VLOOKUP(A445,Studies!A:BR,3,FALSE),"")</f>
        <v xml:space="preserve">https://www.ncbi.nlm.nih.gov/pubmed/11851636 </v>
      </c>
      <c r="D445" s="232" t="str">
        <f>IF(AND(A445&lt;&gt;"",ISNUMBER(A445)),VLOOKUP(A445,Studies!A:BR,4,FALSE),"")</f>
        <v>day 5 Control (Perpetrator Placebo)</v>
      </c>
      <c r="E445" s="206" t="str">
        <f>IF(AND(A445&lt;&gt;"",ISNUMBER(A445)),VLOOKUP(A445,Studies!A:BR,5,FALSE),"")</f>
        <v>Midazolam</v>
      </c>
      <c r="F445" s="58">
        <v>0</v>
      </c>
      <c r="G445" s="58" t="s">
        <v>1023</v>
      </c>
      <c r="H445" s="58" t="s">
        <v>60</v>
      </c>
      <c r="W445" s="54">
        <v>3.8</v>
      </c>
      <c r="X445" s="54" t="s">
        <v>1071</v>
      </c>
      <c r="Y445" s="54" t="s">
        <v>116</v>
      </c>
      <c r="Z445" s="56">
        <v>0.8</v>
      </c>
      <c r="AA445" s="56" t="s">
        <v>1071</v>
      </c>
      <c r="AB445" s="56" t="s">
        <v>117</v>
      </c>
    </row>
    <row r="446" spans="1:29" x14ac:dyDescent="0.2">
      <c r="A446" s="249">
        <v>420</v>
      </c>
      <c r="B446" s="232" t="str">
        <f>IF(AND(A446&lt;&gt;"",ISNUMBER(A446)),VLOOKUP(A446,Studies!A:BR,2,FALSE),"")</f>
        <v>Swart 2002</v>
      </c>
      <c r="C446" s="232" t="str">
        <f>IF(AND(A446&lt;&gt;"",ISNUMBER(A446)),VLOOKUP(A446,Studies!A:BR,3,FALSE),"")</f>
        <v xml:space="preserve">https://www.ncbi.nlm.nih.gov/pubmed/11851636 </v>
      </c>
      <c r="D446" s="232" t="str">
        <f>IF(AND(A446&lt;&gt;"",ISNUMBER(A446)),VLOOKUP(A446,Studies!A:BR,4,FALSE),"")</f>
        <v>day 10 Control with Perpetrator (Erythromycin)</v>
      </c>
      <c r="E446" s="206" t="str">
        <f>IF(AND(A446&lt;&gt;"",ISNUMBER(A446)),VLOOKUP(A446,Studies!A:BR,5,FALSE),"")</f>
        <v>Midazolam</v>
      </c>
      <c r="F446" s="58">
        <v>96</v>
      </c>
      <c r="G446" s="58" t="s">
        <v>1023</v>
      </c>
      <c r="H446" s="58" t="s">
        <v>60</v>
      </c>
      <c r="W446" s="54">
        <v>2.5</v>
      </c>
      <c r="X446" s="54" t="s">
        <v>1071</v>
      </c>
      <c r="Y446" s="54" t="s">
        <v>116</v>
      </c>
      <c r="Z446" s="56">
        <v>0.9</v>
      </c>
      <c r="AA446" s="56" t="s">
        <v>1071</v>
      </c>
      <c r="AB446" s="56" t="s">
        <v>117</v>
      </c>
    </row>
    <row r="447" spans="1:29" x14ac:dyDescent="0.2">
      <c r="A447" s="250">
        <v>155</v>
      </c>
      <c r="B447" s="232" t="str">
        <f>IF(AND(A447&lt;&gt;"",ISNUMBER(A447)),VLOOKUP(A447,Studies!A:BR,2,FALSE),"")</f>
        <v>Eon Labs Manufacturing, Inc. 1997</v>
      </c>
      <c r="C447" s="232" t="str">
        <f>IF(AND(A447&lt;&gt;"",ISNUMBER(A447)),VLOOKUP(A447,Studies!A:BR,3,FALSE),"")</f>
        <v>https://www.accessdata.fda.gov/drugsatfda_docs/anda/97/064150review.pdf</v>
      </c>
      <c r="D447" s="232" t="str">
        <f>IF(AND(A447&lt;&gt;"",ISNUMBER(A447)),VLOOKUP(A447,Studies!A:BR,4,FALSE),"")</f>
        <v>2X300mg Tab (Eon)</v>
      </c>
      <c r="E447" s="206" t="str">
        <f>IF(AND(A447&lt;&gt;"",ISNUMBER(A447)),VLOOKUP(A447,Studies!A:BR,5,FALSE),"")</f>
        <v>Rifampicin</v>
      </c>
      <c r="F447" s="58">
        <v>0</v>
      </c>
      <c r="G447" s="58" t="s">
        <v>1023</v>
      </c>
      <c r="H447" s="58" t="s">
        <v>60</v>
      </c>
      <c r="I447" s="46">
        <v>59.91</v>
      </c>
      <c r="J447" s="46" t="s">
        <v>1051</v>
      </c>
      <c r="K447" s="46" t="s">
        <v>389</v>
      </c>
      <c r="L447" s="47">
        <v>30</v>
      </c>
      <c r="M447" s="47" t="s">
        <v>517</v>
      </c>
      <c r="N447" s="47" t="s">
        <v>1056</v>
      </c>
      <c r="O447" s="190" t="s">
        <v>1025</v>
      </c>
      <c r="P447" s="48">
        <v>10.78</v>
      </c>
      <c r="Q447" s="48" t="s">
        <v>1054</v>
      </c>
      <c r="R447" s="48" t="s">
        <v>116</v>
      </c>
      <c r="S447" s="49">
        <v>24</v>
      </c>
      <c r="T447" s="49" t="s">
        <v>517</v>
      </c>
      <c r="U447" s="49" t="s">
        <v>1056</v>
      </c>
      <c r="V447" s="62" t="s">
        <v>1027</v>
      </c>
    </row>
    <row r="448" spans="1:29" x14ac:dyDescent="0.2">
      <c r="A448" s="250">
        <v>156</v>
      </c>
      <c r="B448" s="232" t="str">
        <f>IF(AND(A448&lt;&gt;"",ISNUMBER(A448)),VLOOKUP(A448,Studies!A:BR,2,FALSE),"")</f>
        <v>Eon Labs Manufacturing, Inc. 1997</v>
      </c>
      <c r="C448" s="232" t="str">
        <f>IF(AND(A448&lt;&gt;"",ISNUMBER(A448)),VLOOKUP(A448,Studies!A:BR,3,FALSE),"")</f>
        <v>https://www.accessdata.fda.gov/drugsatfda_docs/anda/97/064150review.pdf</v>
      </c>
      <c r="D448" s="232" t="str">
        <f>IF(AND(A448&lt;&gt;"",ISNUMBER(A448)),VLOOKUP(A448,Studies!A:BR,4,FALSE),"")</f>
        <v>2X300mg Rifadine Tab</v>
      </c>
      <c r="E448" s="206" t="str">
        <f>IF(AND(A448&lt;&gt;"",ISNUMBER(A448)),VLOOKUP(A448,Studies!A:BR,5,FALSE),"")</f>
        <v>Rifampicin</v>
      </c>
      <c r="F448" s="58">
        <v>0</v>
      </c>
      <c r="G448" s="58" t="s">
        <v>1023</v>
      </c>
      <c r="H448" s="58" t="s">
        <v>60</v>
      </c>
      <c r="I448" s="46">
        <v>58.52</v>
      </c>
      <c r="J448" s="190" t="s">
        <v>1051</v>
      </c>
      <c r="K448" s="46" t="s">
        <v>389</v>
      </c>
      <c r="L448" s="47">
        <v>27</v>
      </c>
      <c r="M448" s="47" t="s">
        <v>517</v>
      </c>
      <c r="N448" s="191" t="s">
        <v>1056</v>
      </c>
      <c r="O448" s="190" t="s">
        <v>1025</v>
      </c>
      <c r="P448" s="48">
        <v>10.72</v>
      </c>
      <c r="Q448" s="192" t="s">
        <v>1054</v>
      </c>
      <c r="R448" s="48" t="s">
        <v>116</v>
      </c>
      <c r="S448" s="49">
        <v>23</v>
      </c>
      <c r="T448" s="49" t="s">
        <v>517</v>
      </c>
      <c r="U448" s="193" t="s">
        <v>1056</v>
      </c>
      <c r="V448" s="62" t="s">
        <v>1027</v>
      </c>
    </row>
    <row r="449" spans="1:30" x14ac:dyDescent="0.2">
      <c r="A449" s="249">
        <v>48</v>
      </c>
      <c r="B449" s="232" t="str">
        <f>IF(AND(A449&lt;&gt;"",ISNUMBER(A449)),VLOOKUP(A449,Studies!A:BR,2,FALSE),"")</f>
        <v>Acocella 1985</v>
      </c>
      <c r="C449" s="232" t="str">
        <f>IF(AND(A449&lt;&gt;"",ISNUMBER(A449)),VLOOKUP(A449,Studies!A:BR,3,FALSE),"")</f>
        <v>https://www.ncbi.nlm.nih.gov/pubmed/4037525</v>
      </c>
      <c r="D449" s="232" t="str">
        <f>IF(AND(A449&lt;&gt;"",ISNUMBER(A449)),VLOOKUP(A449,Studies!A:BR,4,FALSE),"")</f>
        <v>R alone</v>
      </c>
      <c r="E449" s="206" t="str">
        <f>IF(AND(A449&lt;&gt;"",ISNUMBER(A449)),VLOOKUP(A449,Studies!A:BR,5,FALSE),"")</f>
        <v>Rifampicin</v>
      </c>
      <c r="F449" s="58">
        <v>0</v>
      </c>
      <c r="G449" s="58" t="s">
        <v>1023</v>
      </c>
      <c r="H449" s="58" t="s">
        <v>60</v>
      </c>
      <c r="I449" s="46">
        <v>36</v>
      </c>
      <c r="K449" s="46" t="s">
        <v>116</v>
      </c>
      <c r="L449" s="47">
        <v>5.5</v>
      </c>
      <c r="N449" s="47" t="s">
        <v>1104</v>
      </c>
      <c r="O449" s="46" t="s">
        <v>1025</v>
      </c>
      <c r="P449" s="48">
        <v>6.3</v>
      </c>
      <c r="Q449" s="48" t="s">
        <v>1054</v>
      </c>
      <c r="R449" s="48" t="s">
        <v>116</v>
      </c>
      <c r="S449" s="49">
        <v>0.5</v>
      </c>
      <c r="T449" s="49" t="s">
        <v>1054</v>
      </c>
      <c r="U449" s="49" t="s">
        <v>1104</v>
      </c>
      <c r="V449" s="62" t="s">
        <v>1027</v>
      </c>
      <c r="AD449" s="70" t="s">
        <v>1508</v>
      </c>
    </row>
    <row r="450" spans="1:30" x14ac:dyDescent="0.2">
      <c r="A450" s="249">
        <v>270</v>
      </c>
      <c r="B450" s="232" t="str">
        <f>IF(AND(A450&lt;&gt;"",ISNUMBER(A450)),VLOOKUP(A450,Studies!A:BR,2,FALSE),"")</f>
        <v>Jalava 1997</v>
      </c>
      <c r="C450" s="232" t="str">
        <f>IF(AND(A450&lt;&gt;"",ISNUMBER(A450)),VLOOKUP(A450,Studies!A:BR,3,FALSE),"")</f>
        <v>https://www.ncbi.nlm.nih.gov/pubmed/9421099</v>
      </c>
      <c r="D450" s="232" t="str">
        <f>IF(AND(A450&lt;&gt;"",ISNUMBER(A450)),VLOOKUP(A450,Studies!A:BR,4,FALSE),"")</f>
        <v>po Control (Perpetrator Placebo)</v>
      </c>
      <c r="E450" s="206" t="str">
        <f>IF(AND(A450&lt;&gt;"",ISNUMBER(A450)),VLOOKUP(A450,Studies!A:BR,5,FALSE),"")</f>
        <v>Digoxin</v>
      </c>
      <c r="F450" s="58">
        <v>0</v>
      </c>
      <c r="G450" s="58" t="s">
        <v>1023</v>
      </c>
      <c r="H450" s="58" t="s">
        <v>60</v>
      </c>
      <c r="I450" s="46">
        <v>31</v>
      </c>
      <c r="J450" s="46" t="s">
        <v>1058</v>
      </c>
      <c r="K450" s="46" t="s">
        <v>116</v>
      </c>
      <c r="L450" s="47">
        <v>2</v>
      </c>
      <c r="M450" s="47" t="s">
        <v>1058</v>
      </c>
      <c r="N450" s="47" t="s">
        <v>1034</v>
      </c>
      <c r="O450" s="46" t="s">
        <v>1025</v>
      </c>
      <c r="P450" s="48">
        <v>3.5</v>
      </c>
      <c r="Q450" s="48" t="s">
        <v>1059</v>
      </c>
      <c r="R450" s="48" t="s">
        <v>116</v>
      </c>
      <c r="S450" s="49">
        <v>0.5</v>
      </c>
      <c r="T450" s="49" t="s">
        <v>1059</v>
      </c>
      <c r="U450" s="49" t="s">
        <v>1034</v>
      </c>
      <c r="V450" s="62" t="s">
        <v>1027</v>
      </c>
      <c r="W450" s="54">
        <v>2.19</v>
      </c>
      <c r="X450" s="54" t="s">
        <v>1071</v>
      </c>
      <c r="Y450" s="54" t="s">
        <v>1509</v>
      </c>
      <c r="Z450" s="56">
        <v>0.11</v>
      </c>
      <c r="AA450" s="56" t="s">
        <v>1071</v>
      </c>
      <c r="AB450" s="56" t="s">
        <v>1509</v>
      </c>
      <c r="AD450" s="70" t="s">
        <v>1512</v>
      </c>
    </row>
    <row r="451" spans="1:30" x14ac:dyDescent="0.2">
      <c r="A451" s="249">
        <v>271</v>
      </c>
      <c r="B451" s="232" t="str">
        <f>IF(AND(A451&lt;&gt;"",ISNUMBER(A451)),VLOOKUP(A451,Studies!A:BR,2,FALSE),"")</f>
        <v>Jalava 1997</v>
      </c>
      <c r="C451" s="232" t="str">
        <f>IF(AND(A451&lt;&gt;"",ISNUMBER(A451)),VLOOKUP(A451,Studies!A:BR,3,FALSE),"")</f>
        <v>https://www.ncbi.nlm.nih.gov/pubmed/9421099</v>
      </c>
      <c r="D451" s="232" t="str">
        <f>IF(AND(A451&lt;&gt;"",ISNUMBER(A451)),VLOOKUP(A451,Studies!A:BR,4,FALSE),"")</f>
        <v>po with Perpetrator (Itraconazole)</v>
      </c>
      <c r="E451" s="206" t="str">
        <f>IF(AND(A451&lt;&gt;"",ISNUMBER(A451)),VLOOKUP(A451,Studies!A:BR,5,FALSE),"")</f>
        <v>Digoxin</v>
      </c>
      <c r="F451" s="58">
        <v>49</v>
      </c>
      <c r="G451" s="58" t="s">
        <v>1023</v>
      </c>
      <c r="H451" s="58" t="s">
        <v>60</v>
      </c>
      <c r="I451" s="46">
        <v>52</v>
      </c>
      <c r="J451" s="46" t="s">
        <v>1058</v>
      </c>
      <c r="K451" s="46" t="s">
        <v>116</v>
      </c>
      <c r="L451" s="47">
        <v>5</v>
      </c>
      <c r="M451" s="47" t="s">
        <v>1058</v>
      </c>
      <c r="N451" s="47" t="s">
        <v>1034</v>
      </c>
      <c r="O451" s="46" t="s">
        <v>1025</v>
      </c>
      <c r="P451" s="48">
        <v>4.7</v>
      </c>
      <c r="Q451" s="48" t="s">
        <v>1059</v>
      </c>
      <c r="R451" s="48" t="s">
        <v>116</v>
      </c>
      <c r="S451" s="49">
        <v>0.4</v>
      </c>
      <c r="T451" s="49" t="s">
        <v>1059</v>
      </c>
      <c r="U451" s="49" t="s">
        <v>1034</v>
      </c>
      <c r="V451" s="62" t="s">
        <v>1027</v>
      </c>
      <c r="W451" s="54">
        <v>1.75</v>
      </c>
      <c r="X451" s="54" t="s">
        <v>1071</v>
      </c>
      <c r="Y451" s="54" t="s">
        <v>1509</v>
      </c>
      <c r="Z451" s="56">
        <v>0.06</v>
      </c>
      <c r="AA451" s="56" t="s">
        <v>1071</v>
      </c>
      <c r="AB451" s="56" t="s">
        <v>1509</v>
      </c>
      <c r="AD451" s="202" t="s">
        <v>1512</v>
      </c>
    </row>
    <row r="452" spans="1:30" x14ac:dyDescent="0.2">
      <c r="A452" s="249">
        <v>272</v>
      </c>
      <c r="B452" s="232" t="str">
        <f>IF(AND(A452&lt;&gt;"",ISNUMBER(A452)),VLOOKUP(A452,Studies!A:BR,2,FALSE),"")</f>
        <v>Jalava 1997</v>
      </c>
      <c r="C452" s="232" t="str">
        <f>IF(AND(A452&lt;&gt;"",ISNUMBER(A452)),VLOOKUP(A452,Studies!A:BR,3,FALSE),"")</f>
        <v>https://www.ncbi.nlm.nih.gov/pubmed/9421099</v>
      </c>
      <c r="D452" s="232" t="str">
        <f>IF(AND(A452&lt;&gt;"",ISNUMBER(A452)),VLOOKUP(A452,Studies!A:BR,4,FALSE),"")</f>
        <v>po with Perpetrator (Itraconazole)</v>
      </c>
      <c r="E452" s="206" t="str">
        <f>IF(AND(A452&lt;&gt;"",ISNUMBER(A452)),VLOOKUP(A452,Studies!A:BR,5,FALSE),"")</f>
        <v>Itraconazole</v>
      </c>
      <c r="F452" s="58">
        <f>48</f>
        <v>48</v>
      </c>
      <c r="G452" s="58">
        <f>48+24</f>
        <v>72</v>
      </c>
      <c r="H452" s="58" t="s">
        <v>60</v>
      </c>
      <c r="I452" s="46">
        <f>AVERAGE(7660,4260,4560,6050,3050,3510,6410,4480,8730,4410)</f>
        <v>5312</v>
      </c>
      <c r="J452" s="190" t="s">
        <v>1058</v>
      </c>
      <c r="K452" s="46" t="s">
        <v>389</v>
      </c>
      <c r="L452" s="47">
        <f>_xlfn.STDEV.S(7660,4260,4560,6050,3050,3510,6410,4480,8730,4410)</f>
        <v>1840.5301168715255</v>
      </c>
      <c r="M452" s="191" t="s">
        <v>1058</v>
      </c>
      <c r="N452" s="47" t="s">
        <v>117</v>
      </c>
      <c r="O452" s="46" t="s">
        <v>1028</v>
      </c>
      <c r="P452" s="48">
        <f>AVERAGE(916,401,524,349,264,399,624,506,881,403)</f>
        <v>526.70000000000005</v>
      </c>
      <c r="Q452" s="48" t="s">
        <v>1059</v>
      </c>
      <c r="R452" s="192" t="s">
        <v>116</v>
      </c>
      <c r="S452" s="49">
        <f>_xlfn.STDEV.S(916,401,524,349,264,399,624,506,881,403)</f>
        <v>219.84441468153491</v>
      </c>
      <c r="T452" s="49" t="s">
        <v>1059</v>
      </c>
      <c r="U452" s="49" t="s">
        <v>117</v>
      </c>
      <c r="V452" s="62" t="s">
        <v>1027</v>
      </c>
    </row>
  </sheetData>
  <autoFilter ref="A1:AE418"/>
  <sortState ref="A2:AD19">
    <sortCondition ref="A2:A19"/>
  </sortState>
  <pageMargins left="0.7" right="0.7" top="0.78740157499999996" bottom="0.78740157499999996" header="0.3" footer="0.3"/>
  <extLst>
    <ext xmlns:x14="http://schemas.microsoft.com/office/spreadsheetml/2009/9/main" uri="{CCE6A557-97BC-4b89-ADB6-D9C93CAAB3DF}">
      <x14:dataValidations xmlns:xm="http://schemas.microsoft.com/office/excel/2006/main" count="10">
        <x14:dataValidation type="list" allowBlank="1" showInputMessage="1" showErrorMessage="1">
          <x14:formula1>
            <xm:f>Lists!$A$3:$A$8</xm:f>
          </x14:formula1>
          <xm:sqref>O1:O1048576</xm:sqref>
        </x14:dataValidation>
        <x14:dataValidation type="list" allowBlank="1" showInputMessage="1" showErrorMessage="1">
          <x14:formula1>
            <xm:f>Lists!$B$3:$B$5</xm:f>
          </x14:formula1>
          <xm:sqref>V1:V1048576</xm:sqref>
        </x14:dataValidation>
        <x14:dataValidation type="list" allowBlank="1" showInputMessage="1" showErrorMessage="1">
          <x14:formula1>
            <xm:f>Lists!$C$3:$C$7</xm:f>
          </x14:formula1>
          <xm:sqref>AC1:AC1048576</xm:sqref>
        </x14:dataValidation>
        <x14:dataValidation type="list" allowBlank="1" showInputMessage="1" showErrorMessage="1">
          <x14:formula1>
            <xm:f>Lists!$J$3:$J$99</xm:f>
          </x14:formula1>
          <xm:sqref>J1:J1048576</xm:sqref>
        </x14:dataValidation>
        <x14:dataValidation type="list" allowBlank="1" showInputMessage="1" showErrorMessage="1">
          <x14:formula1>
            <xm:f>Lists!$K$3:$K$100</xm:f>
          </x14:formula1>
          <xm:sqref>M1:M1048576</xm:sqref>
        </x14:dataValidation>
        <x14:dataValidation type="list" allowBlank="1" showInputMessage="1" showErrorMessage="1">
          <x14:formula1>
            <xm:f>Lists!$H$3:$H$28</xm:f>
          </x14:formula1>
          <xm:sqref>T1:T1048576</xm:sqref>
        </x14:dataValidation>
        <x14:dataValidation type="list" allowBlank="1" showInputMessage="1" showErrorMessage="1">
          <x14:formula1>
            <xm:f>Lists!$L$3:$L$11</xm:f>
          </x14:formula1>
          <xm:sqref>X1:X1048576</xm:sqref>
        </x14:dataValidation>
        <x14:dataValidation type="list" allowBlank="1" showInputMessage="1" showErrorMessage="1">
          <x14:formula1>
            <xm:f>Lists!$M$3:$M$12</xm:f>
          </x14:formula1>
          <xm:sqref>AA1:AA1048576</xm:sqref>
        </x14:dataValidation>
        <x14:dataValidation type="list" allowBlank="1" showInputMessage="1" showErrorMessage="1">
          <x14:formula1>
            <xm:f>Lists!$N$3:$N$6</xm:f>
          </x14:formula1>
          <xm:sqref>H1:H1048576</xm:sqref>
        </x14:dataValidation>
        <x14:dataValidation type="list" allowBlank="1" showInputMessage="1" showErrorMessage="1">
          <x14:formula1>
            <xm:f>Lists!$G$3:$G$27</xm:f>
          </x14:formula1>
          <xm:sqref>Q1:Q1048576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60"/>
  <sheetViews>
    <sheetView zoomScaleNormal="100" workbookViewId="0">
      <pane ySplit="1" topLeftCell="A4820" activePane="bottomLeft" state="frozen"/>
      <selection pane="bottomLeft" activeCell="H4826" sqref="H4826:H4860"/>
    </sheetView>
  </sheetViews>
  <sheetFormatPr baseColWidth="10" defaultColWidth="11" defaultRowHeight="12.75" x14ac:dyDescent="0.2"/>
  <cols>
    <col min="1" max="1" width="4.875" style="30" bestFit="1" customWidth="1"/>
    <col min="2" max="2" width="12.625" style="232" customWidth="1"/>
    <col min="3" max="3" width="36.25" style="232" customWidth="1"/>
    <col min="4" max="4" width="34" style="232" customWidth="1"/>
    <col min="5" max="5" width="17.25" style="97" customWidth="1"/>
    <col min="6" max="6" width="11" style="99"/>
    <col min="7" max="7" width="11.125" style="50" bestFit="1" customWidth="1"/>
    <col min="8" max="8" width="11" style="50"/>
    <col min="9" max="9" width="11.125" style="41" bestFit="1" customWidth="1"/>
    <col min="10" max="11" width="11" style="41"/>
    <col min="12" max="12" width="11.125" style="52" bestFit="1" customWidth="1"/>
    <col min="13" max="14" width="11" style="52"/>
    <col min="15" max="15" width="11.125" style="59" bestFit="1" customWidth="1"/>
    <col min="16" max="16" width="127.625" style="42" bestFit="1" customWidth="1"/>
    <col min="17" max="16384" width="11" style="30"/>
  </cols>
  <sheetData>
    <row r="1" spans="1:17" x14ac:dyDescent="0.2">
      <c r="A1" s="29" t="s">
        <v>11</v>
      </c>
      <c r="B1" s="231" t="s">
        <v>12</v>
      </c>
      <c r="C1" s="231" t="s">
        <v>13</v>
      </c>
      <c r="D1" s="231" t="s">
        <v>14</v>
      </c>
      <c r="E1" s="95" t="s">
        <v>997</v>
      </c>
      <c r="F1" s="98" t="s">
        <v>16</v>
      </c>
      <c r="G1" s="89" t="s">
        <v>1110</v>
      </c>
      <c r="H1" s="89" t="s">
        <v>1111</v>
      </c>
      <c r="I1" s="35" t="s">
        <v>39</v>
      </c>
      <c r="J1" s="35" t="s">
        <v>40</v>
      </c>
      <c r="K1" s="35" t="s">
        <v>41</v>
      </c>
      <c r="L1" s="51" t="s">
        <v>42</v>
      </c>
      <c r="M1" s="51" t="s">
        <v>43</v>
      </c>
      <c r="N1" s="51" t="s">
        <v>44</v>
      </c>
      <c r="O1" s="90" t="s">
        <v>1112</v>
      </c>
      <c r="P1" s="36" t="s">
        <v>1022</v>
      </c>
      <c r="Q1" s="119" t="s">
        <v>50</v>
      </c>
    </row>
    <row r="2" spans="1:17" ht="14.25" x14ac:dyDescent="0.2">
      <c r="A2" s="183">
        <v>61</v>
      </c>
      <c r="B2" s="232" t="str">
        <f>IF(AND(A2&lt;&gt;"",ISNUMBER(A2)),VLOOKUP(A2,Studies!A:BR,2,FALSE),"")</f>
        <v>Barbhaiya 1993</v>
      </c>
      <c r="C2" s="232" t="str">
        <f>IF(AND(A2&lt;&gt;"",ISNUMBER(A2)),VLOOKUP(A2,Studies!A:BR,3,FALSE),"")</f>
        <v>https://www.ncbi.nlm.nih.gov/pubmed/7911763</v>
      </c>
      <c r="D2" s="232" t="str">
        <f>IF(AND(A2&lt;&gt;"",ISNUMBER(A2)),VLOOKUP(A2,Studies!A:BR,4,FALSE),"")</f>
        <v>Day 1 Normal</v>
      </c>
      <c r="E2" s="206" t="str">
        <f>IF(AND(A2&lt;&gt;"",ISNUMBER(A2)),VLOOKUP(A2,Studies!A:BR,5,FALSE),"")</f>
        <v>Buspirone</v>
      </c>
      <c r="F2" s="207" t="str">
        <f>IF(AND(A2&lt;&gt;"",ISNUMBER(A2)),VLOOKUP(A2,Studies!A:BR,6,FALSE),"")</f>
        <v>Plasma</v>
      </c>
      <c r="G2" s="194">
        <v>0.5</v>
      </c>
      <c r="H2" s="194" t="s">
        <v>60</v>
      </c>
      <c r="I2" s="187">
        <v>0.52704379999999995</v>
      </c>
      <c r="J2" s="187" t="s">
        <v>1026</v>
      </c>
      <c r="K2" s="187" t="s">
        <v>116</v>
      </c>
      <c r="L2" s="195"/>
      <c r="M2" s="195"/>
      <c r="N2" s="195"/>
      <c r="O2" s="199"/>
      <c r="P2" s="188"/>
      <c r="Q2" s="174">
        <f>IF(ISNUMBER(VLOOKUP(A2,NotghiID!A:A,1,FALSE)),1,0)</f>
        <v>0</v>
      </c>
    </row>
    <row r="3" spans="1:17" ht="14.25" x14ac:dyDescent="0.2">
      <c r="A3" s="183">
        <v>61</v>
      </c>
      <c r="B3" s="232" t="str">
        <f>IF(AND(A3&lt;&gt;"",ISNUMBER(A3)),VLOOKUP(A3,Studies!A:BR,2,FALSE),"")</f>
        <v>Barbhaiya 1993</v>
      </c>
      <c r="C3" s="232" t="str">
        <f>IF(AND(A3&lt;&gt;"",ISNUMBER(A3)),VLOOKUP(A3,Studies!A:BR,3,FALSE),"")</f>
        <v>https://www.ncbi.nlm.nih.gov/pubmed/7911763</v>
      </c>
      <c r="D3" s="232" t="str">
        <f>IF(AND(A3&lt;&gt;"",ISNUMBER(A3)),VLOOKUP(A3,Studies!A:BR,4,FALSE),"")</f>
        <v>Day 1 Normal</v>
      </c>
      <c r="E3" s="206" t="str">
        <f>IF(AND(A3&lt;&gt;"",ISNUMBER(A3)),VLOOKUP(A3,Studies!A:BR,5,FALSE),"")</f>
        <v>Buspirone</v>
      </c>
      <c r="F3" s="207" t="str">
        <f>IF(AND(A3&lt;&gt;"",ISNUMBER(A3)),VLOOKUP(A3,Studies!A:BR,6,FALSE),"")</f>
        <v>Plasma</v>
      </c>
      <c r="G3" s="194">
        <v>1</v>
      </c>
      <c r="H3" s="194" t="s">
        <v>60</v>
      </c>
      <c r="I3" s="187">
        <v>0.68053609999999998</v>
      </c>
      <c r="J3" s="187" t="s">
        <v>1026</v>
      </c>
      <c r="K3" s="187" t="s">
        <v>116</v>
      </c>
      <c r="L3" s="195"/>
      <c r="M3" s="195"/>
      <c r="N3" s="195"/>
      <c r="O3" s="199"/>
      <c r="P3" s="188"/>
      <c r="Q3" s="174">
        <f>IF(ISNUMBER(VLOOKUP(A3,NotghiID!A:A,1,FALSE)),1,0)</f>
        <v>0</v>
      </c>
    </row>
    <row r="4" spans="1:17" ht="14.25" x14ac:dyDescent="0.2">
      <c r="A4" s="183">
        <v>61</v>
      </c>
      <c r="B4" s="232" t="str">
        <f>IF(AND(A4&lt;&gt;"",ISNUMBER(A4)),VLOOKUP(A4,Studies!A:BR,2,FALSE),"")</f>
        <v>Barbhaiya 1993</v>
      </c>
      <c r="C4" s="232" t="str">
        <f>IF(AND(A4&lt;&gt;"",ISNUMBER(A4)),VLOOKUP(A4,Studies!A:BR,3,FALSE),"")</f>
        <v>https://www.ncbi.nlm.nih.gov/pubmed/7911763</v>
      </c>
      <c r="D4" s="232" t="str">
        <f>IF(AND(A4&lt;&gt;"",ISNUMBER(A4)),VLOOKUP(A4,Studies!A:BR,4,FALSE),"")</f>
        <v>Day 1 Normal</v>
      </c>
      <c r="E4" s="206" t="str">
        <f>IF(AND(A4&lt;&gt;"",ISNUMBER(A4)),VLOOKUP(A4,Studies!A:BR,5,FALSE),"")</f>
        <v>Buspirone</v>
      </c>
      <c r="F4" s="207" t="str">
        <f>IF(AND(A4&lt;&gt;"",ISNUMBER(A4)),VLOOKUP(A4,Studies!A:BR,6,FALSE),"")</f>
        <v>Plasma</v>
      </c>
      <c r="G4" s="194">
        <v>1.5</v>
      </c>
      <c r="H4" s="194" t="s">
        <v>60</v>
      </c>
      <c r="I4" s="187">
        <v>0.87174850000000004</v>
      </c>
      <c r="J4" s="187" t="s">
        <v>1026</v>
      </c>
      <c r="K4" s="187" t="s">
        <v>116</v>
      </c>
      <c r="L4" s="195"/>
      <c r="M4" s="195"/>
      <c r="N4" s="195"/>
      <c r="O4" s="199"/>
      <c r="P4" s="188"/>
      <c r="Q4" s="174">
        <f>IF(ISNUMBER(VLOOKUP(A4,NotghiID!A:A,1,FALSE)),1,0)</f>
        <v>0</v>
      </c>
    </row>
    <row r="5" spans="1:17" ht="14.25" x14ac:dyDescent="0.2">
      <c r="A5" s="183">
        <v>61</v>
      </c>
      <c r="B5" s="232" t="str">
        <f>IF(AND(A5&lt;&gt;"",ISNUMBER(A5)),VLOOKUP(A5,Studies!A:BR,2,FALSE),"")</f>
        <v>Barbhaiya 1993</v>
      </c>
      <c r="C5" s="232" t="str">
        <f>IF(AND(A5&lt;&gt;"",ISNUMBER(A5)),VLOOKUP(A5,Studies!A:BR,3,FALSE),"")</f>
        <v>https://www.ncbi.nlm.nih.gov/pubmed/7911763</v>
      </c>
      <c r="D5" s="232" t="str">
        <f>IF(AND(A5&lt;&gt;"",ISNUMBER(A5)),VLOOKUP(A5,Studies!A:BR,4,FALSE),"")</f>
        <v>Day 1 Normal</v>
      </c>
      <c r="E5" s="206" t="str">
        <f>IF(AND(A5&lt;&gt;"",ISNUMBER(A5)),VLOOKUP(A5,Studies!A:BR,5,FALSE),"")</f>
        <v>Buspirone</v>
      </c>
      <c r="F5" s="207" t="str">
        <f>IF(AND(A5&lt;&gt;"",ISNUMBER(A5)),VLOOKUP(A5,Studies!A:BR,6,FALSE),"")</f>
        <v>Plasma</v>
      </c>
      <c r="G5" s="194">
        <v>2</v>
      </c>
      <c r="H5" s="194" t="s">
        <v>60</v>
      </c>
      <c r="I5" s="187">
        <v>0.66426390000000002</v>
      </c>
      <c r="J5" s="187" t="s">
        <v>1026</v>
      </c>
      <c r="K5" s="187" t="s">
        <v>116</v>
      </c>
      <c r="L5" s="195"/>
      <c r="M5" s="195"/>
      <c r="N5" s="195"/>
      <c r="O5" s="199"/>
      <c r="P5" s="188"/>
      <c r="Q5" s="174">
        <f>IF(ISNUMBER(VLOOKUP(A5,NotghiID!A:A,1,FALSE)),1,0)</f>
        <v>0</v>
      </c>
    </row>
    <row r="6" spans="1:17" ht="14.25" x14ac:dyDescent="0.2">
      <c r="A6" s="183">
        <v>61</v>
      </c>
      <c r="B6" s="232" t="str">
        <f>IF(AND(A6&lt;&gt;"",ISNUMBER(A6)),VLOOKUP(A6,Studies!A:BR,2,FALSE),"")</f>
        <v>Barbhaiya 1993</v>
      </c>
      <c r="C6" s="232" t="str">
        <f>IF(AND(A6&lt;&gt;"",ISNUMBER(A6)),VLOOKUP(A6,Studies!A:BR,3,FALSE),"")</f>
        <v>https://www.ncbi.nlm.nih.gov/pubmed/7911763</v>
      </c>
      <c r="D6" s="232" t="str">
        <f>IF(AND(A6&lt;&gt;"",ISNUMBER(A6)),VLOOKUP(A6,Studies!A:BR,4,FALSE),"")</f>
        <v>Day 1 Normal</v>
      </c>
      <c r="E6" s="206" t="str">
        <f>IF(AND(A6&lt;&gt;"",ISNUMBER(A6)),VLOOKUP(A6,Studies!A:BR,5,FALSE),"")</f>
        <v>Buspirone</v>
      </c>
      <c r="F6" s="207" t="str">
        <f>IF(AND(A6&lt;&gt;"",ISNUMBER(A6)),VLOOKUP(A6,Studies!A:BR,6,FALSE),"")</f>
        <v>Plasma</v>
      </c>
      <c r="G6" s="194">
        <v>3</v>
      </c>
      <c r="H6" s="194" t="s">
        <v>60</v>
      </c>
      <c r="I6" s="187">
        <v>0.43135459999999998</v>
      </c>
      <c r="J6" s="187" t="s">
        <v>1026</v>
      </c>
      <c r="K6" s="187" t="s">
        <v>116</v>
      </c>
      <c r="L6" s="195"/>
      <c r="M6" s="195"/>
      <c r="N6" s="195"/>
      <c r="O6" s="199"/>
      <c r="P6" s="188"/>
      <c r="Q6" s="174">
        <f>IF(ISNUMBER(VLOOKUP(A6,NotghiID!A:A,1,FALSE)),1,0)</f>
        <v>0</v>
      </c>
    </row>
    <row r="7" spans="1:17" ht="14.25" x14ac:dyDescent="0.2">
      <c r="A7" s="183">
        <v>61</v>
      </c>
      <c r="B7" s="232" t="str">
        <f>IF(AND(A7&lt;&gt;"",ISNUMBER(A7)),VLOOKUP(A7,Studies!A:BR,2,FALSE),"")</f>
        <v>Barbhaiya 1993</v>
      </c>
      <c r="C7" s="232" t="str">
        <f>IF(AND(A7&lt;&gt;"",ISNUMBER(A7)),VLOOKUP(A7,Studies!A:BR,3,FALSE),"")</f>
        <v>https://www.ncbi.nlm.nih.gov/pubmed/7911763</v>
      </c>
      <c r="D7" s="232" t="str">
        <f>IF(AND(A7&lt;&gt;"",ISNUMBER(A7)),VLOOKUP(A7,Studies!A:BR,4,FALSE),"")</f>
        <v>Day 1 Normal</v>
      </c>
      <c r="E7" s="206" t="str">
        <f>IF(AND(A7&lt;&gt;"",ISNUMBER(A7)),VLOOKUP(A7,Studies!A:BR,5,FALSE),"")</f>
        <v>Buspirone</v>
      </c>
      <c r="F7" s="207" t="str">
        <f>IF(AND(A7&lt;&gt;"",ISNUMBER(A7)),VLOOKUP(A7,Studies!A:BR,6,FALSE),"")</f>
        <v>Plasma</v>
      </c>
      <c r="G7" s="194">
        <v>4</v>
      </c>
      <c r="H7" s="194" t="s">
        <v>60</v>
      </c>
      <c r="I7" s="187">
        <v>0.28010980000000002</v>
      </c>
      <c r="J7" s="187" t="s">
        <v>1026</v>
      </c>
      <c r="K7" s="187" t="s">
        <v>116</v>
      </c>
      <c r="L7" s="195"/>
      <c r="M7" s="195"/>
      <c r="N7" s="195"/>
      <c r="O7" s="199"/>
      <c r="P7" s="188"/>
      <c r="Q7" s="174">
        <f>IF(ISNUMBER(VLOOKUP(A7,NotghiID!A:A,1,FALSE)),1,0)</f>
        <v>0</v>
      </c>
    </row>
    <row r="8" spans="1:17" ht="14.25" x14ac:dyDescent="0.2">
      <c r="A8" s="183">
        <v>67</v>
      </c>
      <c r="B8" s="232" t="str">
        <f>IF(AND(A8&lt;&gt;"",ISNUMBER(A8)),VLOOKUP(A8,Studies!A:BR,2,FALSE),"")</f>
        <v>Barbhaiya 1993</v>
      </c>
      <c r="C8" s="232" t="str">
        <f>IF(AND(A8&lt;&gt;"",ISNUMBER(A8)),VLOOKUP(A8,Studies!A:BR,3,FALSE),"")</f>
        <v>https://www.ncbi.nlm.nih.gov/pubmed/7911763</v>
      </c>
      <c r="D8" s="232" t="str">
        <f>IF(AND(A8&lt;&gt;"",ISNUMBER(A8)),VLOOKUP(A8,Studies!A:BR,4,FALSE),"")</f>
        <v>Day 5 Normal</v>
      </c>
      <c r="E8" s="206" t="str">
        <f>IF(AND(A8&lt;&gt;"",ISNUMBER(A8)),VLOOKUP(A8,Studies!A:BR,5,FALSE),"")</f>
        <v>Buspirone</v>
      </c>
      <c r="F8" s="207" t="str">
        <f>IF(AND(A8&lt;&gt;"",ISNUMBER(A8)),VLOOKUP(A8,Studies!A:BR,6,FALSE),"")</f>
        <v>Plasma</v>
      </c>
      <c r="G8" s="194">
        <v>96</v>
      </c>
      <c r="H8" s="194" t="s">
        <v>60</v>
      </c>
      <c r="I8" s="187"/>
      <c r="J8" s="187"/>
      <c r="K8" s="187"/>
      <c r="L8" s="195"/>
      <c r="M8" s="195"/>
      <c r="N8" s="195"/>
      <c r="O8" s="199"/>
      <c r="P8" s="188"/>
      <c r="Q8" s="174">
        <f>IF(ISNUMBER(VLOOKUP(A8,NotghiID!A:A,1,FALSE)),1,0)</f>
        <v>0</v>
      </c>
    </row>
    <row r="9" spans="1:17" ht="14.25" x14ac:dyDescent="0.2">
      <c r="A9" s="183">
        <v>67</v>
      </c>
      <c r="B9" s="232" t="str">
        <f>IF(AND(A9&lt;&gt;"",ISNUMBER(A9)),VLOOKUP(A9,Studies!A:BR,2,FALSE),"")</f>
        <v>Barbhaiya 1993</v>
      </c>
      <c r="C9" s="232" t="str">
        <f>IF(AND(A9&lt;&gt;"",ISNUMBER(A9)),VLOOKUP(A9,Studies!A:BR,3,FALSE),"")</f>
        <v>https://www.ncbi.nlm.nih.gov/pubmed/7911763</v>
      </c>
      <c r="D9" s="232" t="str">
        <f>IF(AND(A9&lt;&gt;"",ISNUMBER(A9)),VLOOKUP(A9,Studies!A:BR,4,FALSE),"")</f>
        <v>Day 5 Normal</v>
      </c>
      <c r="E9" s="206" t="str">
        <f>IF(AND(A9&lt;&gt;"",ISNUMBER(A9)),VLOOKUP(A9,Studies!A:BR,5,FALSE),"")</f>
        <v>Buspirone</v>
      </c>
      <c r="F9" s="207" t="str">
        <f>IF(AND(A9&lt;&gt;"",ISNUMBER(A9)),VLOOKUP(A9,Studies!A:BR,6,FALSE),"")</f>
        <v>Plasma</v>
      </c>
      <c r="G9" s="194">
        <v>96.5</v>
      </c>
      <c r="H9" s="194" t="s">
        <v>60</v>
      </c>
      <c r="I9" s="187">
        <v>0.84426000000000001</v>
      </c>
      <c r="J9" s="187" t="s">
        <v>1026</v>
      </c>
      <c r="K9" s="187" t="s">
        <v>116</v>
      </c>
      <c r="L9" s="195"/>
      <c r="M9" s="195"/>
      <c r="N9" s="195"/>
      <c r="O9" s="199"/>
      <c r="P9" s="188"/>
      <c r="Q9" s="174">
        <f>IF(ISNUMBER(VLOOKUP(A9,NotghiID!A:A,1,FALSE)),1,0)</f>
        <v>0</v>
      </c>
    </row>
    <row r="10" spans="1:17" ht="14.25" x14ac:dyDescent="0.2">
      <c r="A10" s="183">
        <v>67</v>
      </c>
      <c r="B10" s="232" t="str">
        <f>IF(AND(A10&lt;&gt;"",ISNUMBER(A10)),VLOOKUP(A10,Studies!A:BR,2,FALSE),"")</f>
        <v>Barbhaiya 1993</v>
      </c>
      <c r="C10" s="232" t="str">
        <f>IF(AND(A10&lt;&gt;"",ISNUMBER(A10)),VLOOKUP(A10,Studies!A:BR,3,FALSE),"")</f>
        <v>https://www.ncbi.nlm.nih.gov/pubmed/7911763</v>
      </c>
      <c r="D10" s="232" t="str">
        <f>IF(AND(A10&lt;&gt;"",ISNUMBER(A10)),VLOOKUP(A10,Studies!A:BR,4,FALSE),"")</f>
        <v>Day 5 Normal</v>
      </c>
      <c r="E10" s="206" t="str">
        <f>IF(AND(A10&lt;&gt;"",ISNUMBER(A10)),VLOOKUP(A10,Studies!A:BR,5,FALSE),"")</f>
        <v>Buspirone</v>
      </c>
      <c r="F10" s="207" t="str">
        <f>IF(AND(A10&lt;&gt;"",ISNUMBER(A10)),VLOOKUP(A10,Studies!A:BR,6,FALSE),"")</f>
        <v>Plasma</v>
      </c>
      <c r="G10" s="194">
        <v>97</v>
      </c>
      <c r="H10" s="194" t="s">
        <v>60</v>
      </c>
      <c r="I10" s="187">
        <v>0.7632717</v>
      </c>
      <c r="J10" s="187" t="s">
        <v>1026</v>
      </c>
      <c r="K10" s="187" t="s">
        <v>116</v>
      </c>
      <c r="L10" s="195"/>
      <c r="M10" s="195"/>
      <c r="N10" s="195"/>
      <c r="O10" s="199"/>
      <c r="P10" s="188"/>
      <c r="Q10" s="174">
        <f>IF(ISNUMBER(VLOOKUP(A10,NotghiID!A:A,1,FALSE)),1,0)</f>
        <v>0</v>
      </c>
    </row>
    <row r="11" spans="1:17" ht="14.25" x14ac:dyDescent="0.2">
      <c r="A11" s="183">
        <v>67</v>
      </c>
      <c r="B11" s="232" t="str">
        <f>IF(AND(A11&lt;&gt;"",ISNUMBER(A11)),VLOOKUP(A11,Studies!A:BR,2,FALSE),"")</f>
        <v>Barbhaiya 1993</v>
      </c>
      <c r="C11" s="232" t="str">
        <f>IF(AND(A11&lt;&gt;"",ISNUMBER(A11)),VLOOKUP(A11,Studies!A:BR,3,FALSE),"")</f>
        <v>https://www.ncbi.nlm.nih.gov/pubmed/7911763</v>
      </c>
      <c r="D11" s="232" t="str">
        <f>IF(AND(A11&lt;&gt;"",ISNUMBER(A11)),VLOOKUP(A11,Studies!A:BR,4,FALSE),"")</f>
        <v>Day 5 Normal</v>
      </c>
      <c r="E11" s="206" t="str">
        <f>IF(AND(A11&lt;&gt;"",ISNUMBER(A11)),VLOOKUP(A11,Studies!A:BR,5,FALSE),"")</f>
        <v>Buspirone</v>
      </c>
      <c r="F11" s="207" t="str">
        <f>IF(AND(A11&lt;&gt;"",ISNUMBER(A11)),VLOOKUP(A11,Studies!A:BR,6,FALSE),"")</f>
        <v>Plasma</v>
      </c>
      <c r="G11" s="194">
        <v>97.5</v>
      </c>
      <c r="H11" s="194" t="s">
        <v>60</v>
      </c>
      <c r="I11" s="187">
        <v>0.5553285</v>
      </c>
      <c r="J11" s="187" t="s">
        <v>1026</v>
      </c>
      <c r="K11" s="187" t="s">
        <v>116</v>
      </c>
      <c r="L11" s="195"/>
      <c r="M11" s="195"/>
      <c r="N11" s="195"/>
      <c r="O11" s="199"/>
      <c r="P11" s="188"/>
      <c r="Q11" s="174">
        <f>IF(ISNUMBER(VLOOKUP(A11,NotghiID!A:A,1,FALSE)),1,0)</f>
        <v>0</v>
      </c>
    </row>
    <row r="12" spans="1:17" ht="14.25" x14ac:dyDescent="0.2">
      <c r="A12" s="183">
        <v>67</v>
      </c>
      <c r="B12" s="232" t="str">
        <f>IF(AND(A12&lt;&gt;"",ISNUMBER(A12)),VLOOKUP(A12,Studies!A:BR,2,FALSE),"")</f>
        <v>Barbhaiya 1993</v>
      </c>
      <c r="C12" s="232" t="str">
        <f>IF(AND(A12&lt;&gt;"",ISNUMBER(A12)),VLOOKUP(A12,Studies!A:BR,3,FALSE),"")</f>
        <v>https://www.ncbi.nlm.nih.gov/pubmed/7911763</v>
      </c>
      <c r="D12" s="232" t="str">
        <f>IF(AND(A12&lt;&gt;"",ISNUMBER(A12)),VLOOKUP(A12,Studies!A:BR,4,FALSE),"")</f>
        <v>Day 5 Normal</v>
      </c>
      <c r="E12" s="206" t="str">
        <f>IF(AND(A12&lt;&gt;"",ISNUMBER(A12)),VLOOKUP(A12,Studies!A:BR,5,FALSE),"")</f>
        <v>Buspirone</v>
      </c>
      <c r="F12" s="207" t="str">
        <f>IF(AND(A12&lt;&gt;"",ISNUMBER(A12)),VLOOKUP(A12,Studies!A:BR,6,FALSE),"")</f>
        <v>Plasma</v>
      </c>
      <c r="G12" s="194">
        <v>98</v>
      </c>
      <c r="H12" s="194" t="s">
        <v>60</v>
      </c>
      <c r="I12" s="187">
        <v>0.26783269999999998</v>
      </c>
      <c r="J12" s="187" t="s">
        <v>1026</v>
      </c>
      <c r="K12" s="187" t="s">
        <v>116</v>
      </c>
      <c r="L12" s="195"/>
      <c r="M12" s="195"/>
      <c r="N12" s="195"/>
      <c r="O12" s="199"/>
      <c r="P12" s="188"/>
      <c r="Q12" s="174">
        <f>IF(ISNUMBER(VLOOKUP(A12,NotghiID!A:A,1,FALSE)),1,0)</f>
        <v>0</v>
      </c>
    </row>
    <row r="13" spans="1:17" ht="14.25" x14ac:dyDescent="0.2">
      <c r="A13" s="183">
        <v>67</v>
      </c>
      <c r="B13" s="232" t="str">
        <f>IF(AND(A13&lt;&gt;"",ISNUMBER(A13)),VLOOKUP(A13,Studies!A:BR,2,FALSE),"")</f>
        <v>Barbhaiya 1993</v>
      </c>
      <c r="C13" s="232" t="str">
        <f>IF(AND(A13&lt;&gt;"",ISNUMBER(A13)),VLOOKUP(A13,Studies!A:BR,3,FALSE),"")</f>
        <v>https://www.ncbi.nlm.nih.gov/pubmed/7911763</v>
      </c>
      <c r="D13" s="232" t="str">
        <f>IF(AND(A13&lt;&gt;"",ISNUMBER(A13)),VLOOKUP(A13,Studies!A:BR,4,FALSE),"")</f>
        <v>Day 5 Normal</v>
      </c>
      <c r="E13" s="206" t="str">
        <f>IF(AND(A13&lt;&gt;"",ISNUMBER(A13)),VLOOKUP(A13,Studies!A:BR,5,FALSE),"")</f>
        <v>Buspirone</v>
      </c>
      <c r="F13" s="207" t="str">
        <f>IF(AND(A13&lt;&gt;"",ISNUMBER(A13)),VLOOKUP(A13,Studies!A:BR,6,FALSE),"")</f>
        <v>Plasma</v>
      </c>
      <c r="G13" s="194">
        <v>99</v>
      </c>
      <c r="H13" s="194" t="s">
        <v>60</v>
      </c>
      <c r="I13" s="187">
        <v>0.1789268</v>
      </c>
      <c r="J13" s="187" t="s">
        <v>1026</v>
      </c>
      <c r="K13" s="187" t="s">
        <v>116</v>
      </c>
      <c r="L13" s="195"/>
      <c r="M13" s="195"/>
      <c r="N13" s="195"/>
      <c r="O13" s="199"/>
      <c r="P13" s="188"/>
      <c r="Q13" s="174">
        <f>IF(ISNUMBER(VLOOKUP(A13,NotghiID!A:A,1,FALSE)),1,0)</f>
        <v>0</v>
      </c>
    </row>
    <row r="14" spans="1:17" ht="14.25" x14ac:dyDescent="0.2">
      <c r="A14" s="183">
        <v>67</v>
      </c>
      <c r="B14" s="232" t="str">
        <f>IF(AND(A14&lt;&gt;"",ISNUMBER(A14)),VLOOKUP(A14,Studies!A:BR,2,FALSE),"")</f>
        <v>Barbhaiya 1993</v>
      </c>
      <c r="C14" s="232" t="str">
        <f>IF(AND(A14&lt;&gt;"",ISNUMBER(A14)),VLOOKUP(A14,Studies!A:BR,3,FALSE),"")</f>
        <v>https://www.ncbi.nlm.nih.gov/pubmed/7911763</v>
      </c>
      <c r="D14" s="232" t="str">
        <f>IF(AND(A14&lt;&gt;"",ISNUMBER(A14)),VLOOKUP(A14,Studies!A:BR,4,FALSE),"")</f>
        <v>Day 5 Normal</v>
      </c>
      <c r="E14" s="206" t="str">
        <f>IF(AND(A14&lt;&gt;"",ISNUMBER(A14)),VLOOKUP(A14,Studies!A:BR,5,FALSE),"")</f>
        <v>Buspirone</v>
      </c>
      <c r="F14" s="207" t="str">
        <f>IF(AND(A14&lt;&gt;"",ISNUMBER(A14)),VLOOKUP(A14,Studies!A:BR,6,FALSE),"")</f>
        <v>Plasma</v>
      </c>
      <c r="G14" s="194">
        <v>100</v>
      </c>
      <c r="H14" s="194" t="s">
        <v>60</v>
      </c>
      <c r="I14" s="187">
        <v>0.1097559</v>
      </c>
      <c r="J14" s="187" t="s">
        <v>1026</v>
      </c>
      <c r="K14" s="187" t="s">
        <v>116</v>
      </c>
      <c r="L14" s="195"/>
      <c r="M14" s="195"/>
      <c r="N14" s="195"/>
      <c r="O14" s="199"/>
      <c r="P14" s="188"/>
      <c r="Q14" s="174">
        <f>IF(ISNUMBER(VLOOKUP(A14,NotghiID!A:A,1,FALSE)),1,0)</f>
        <v>0</v>
      </c>
    </row>
    <row r="15" spans="1:17" ht="14.25" x14ac:dyDescent="0.2">
      <c r="A15" s="183">
        <v>73</v>
      </c>
      <c r="B15" s="232" t="str">
        <f>IF(AND(A15&lt;&gt;"",ISNUMBER(A15)),VLOOKUP(A15,Studies!A:BR,2,FALSE),"")</f>
        <v>Barbhaiya 1993</v>
      </c>
      <c r="C15" s="232" t="str">
        <f>IF(AND(A15&lt;&gt;"",ISNUMBER(A15)),VLOOKUP(A15,Studies!A:BR,3,FALSE),"")</f>
        <v>https://www.ncbi.nlm.nih.gov/pubmed/7911763</v>
      </c>
      <c r="D15" s="232" t="str">
        <f>IF(AND(A15&lt;&gt;"",ISNUMBER(A15)),VLOOKUP(A15,Studies!A:BR,4,FALSE),"")</f>
        <v>Day 10 Normal</v>
      </c>
      <c r="E15" s="206" t="str">
        <f>IF(AND(A15&lt;&gt;"",ISNUMBER(A15)),VLOOKUP(A15,Studies!A:BR,5,FALSE),"")</f>
        <v>Buspirone</v>
      </c>
      <c r="F15" s="207" t="str">
        <f>IF(AND(A15&lt;&gt;"",ISNUMBER(A15)),VLOOKUP(A15,Studies!A:BR,6,FALSE),"")</f>
        <v>Plasma</v>
      </c>
      <c r="G15" s="194">
        <v>216.5</v>
      </c>
      <c r="H15" s="194" t="s">
        <v>60</v>
      </c>
      <c r="I15" s="187">
        <v>0.81968790000000002</v>
      </c>
      <c r="J15" s="187" t="s">
        <v>1026</v>
      </c>
      <c r="K15" s="187" t="s">
        <v>116</v>
      </c>
      <c r="L15" s="195"/>
      <c r="M15" s="195"/>
      <c r="N15" s="195"/>
      <c r="O15" s="199"/>
      <c r="P15" s="188"/>
      <c r="Q15" s="174">
        <f>IF(ISNUMBER(VLOOKUP(A15,NotghiID!A:A,1,FALSE)),1,0)</f>
        <v>0</v>
      </c>
    </row>
    <row r="16" spans="1:17" ht="14.25" x14ac:dyDescent="0.2">
      <c r="A16" s="183">
        <v>73</v>
      </c>
      <c r="B16" s="232" t="str">
        <f>IF(AND(A16&lt;&gt;"",ISNUMBER(A16)),VLOOKUP(A16,Studies!A:BR,2,FALSE),"")</f>
        <v>Barbhaiya 1993</v>
      </c>
      <c r="C16" s="232" t="str">
        <f>IF(AND(A16&lt;&gt;"",ISNUMBER(A16)),VLOOKUP(A16,Studies!A:BR,3,FALSE),"")</f>
        <v>https://www.ncbi.nlm.nih.gov/pubmed/7911763</v>
      </c>
      <c r="D16" s="232" t="str">
        <f>IF(AND(A16&lt;&gt;"",ISNUMBER(A16)),VLOOKUP(A16,Studies!A:BR,4,FALSE),"")</f>
        <v>Day 10 Normal</v>
      </c>
      <c r="E16" s="206" t="str">
        <f>IF(AND(A16&lt;&gt;"",ISNUMBER(A16)),VLOOKUP(A16,Studies!A:BR,5,FALSE),"")</f>
        <v>Buspirone</v>
      </c>
      <c r="F16" s="207" t="str">
        <f>IF(AND(A16&lt;&gt;"",ISNUMBER(A16)),VLOOKUP(A16,Studies!A:BR,6,FALSE),"")</f>
        <v>Plasma</v>
      </c>
      <c r="G16" s="194">
        <v>217</v>
      </c>
      <c r="H16" s="194" t="s">
        <v>60</v>
      </c>
      <c r="I16" s="187">
        <v>0.86607069999999997</v>
      </c>
      <c r="J16" s="187" t="s">
        <v>1026</v>
      </c>
      <c r="K16" s="187" t="s">
        <v>116</v>
      </c>
      <c r="L16" s="195"/>
      <c r="M16" s="195"/>
      <c r="N16" s="195"/>
      <c r="O16" s="199"/>
      <c r="P16" s="188"/>
      <c r="Q16" s="174">
        <f>IF(ISNUMBER(VLOOKUP(A16,NotghiID!A:A,1,FALSE)),1,0)</f>
        <v>0</v>
      </c>
    </row>
    <row r="17" spans="1:17" ht="14.25" x14ac:dyDescent="0.2">
      <c r="A17" s="183">
        <v>73</v>
      </c>
      <c r="B17" s="232" t="str">
        <f>IF(AND(A17&lt;&gt;"",ISNUMBER(A17)),VLOOKUP(A17,Studies!A:BR,2,FALSE),"")</f>
        <v>Barbhaiya 1993</v>
      </c>
      <c r="C17" s="232" t="str">
        <f>IF(AND(A17&lt;&gt;"",ISNUMBER(A17)),VLOOKUP(A17,Studies!A:BR,3,FALSE),"")</f>
        <v>https://www.ncbi.nlm.nih.gov/pubmed/7911763</v>
      </c>
      <c r="D17" s="232" t="str">
        <f>IF(AND(A17&lt;&gt;"",ISNUMBER(A17)),VLOOKUP(A17,Studies!A:BR,4,FALSE),"")</f>
        <v>Day 10 Normal</v>
      </c>
      <c r="E17" s="206" t="str">
        <f>IF(AND(A17&lt;&gt;"",ISNUMBER(A17)),VLOOKUP(A17,Studies!A:BR,5,FALSE),"")</f>
        <v>Buspirone</v>
      </c>
      <c r="F17" s="207" t="str">
        <f>IF(AND(A17&lt;&gt;"",ISNUMBER(A17)),VLOOKUP(A17,Studies!A:BR,6,FALSE),"")</f>
        <v>Plasma</v>
      </c>
      <c r="G17" s="194">
        <v>217.5</v>
      </c>
      <c r="H17" s="194" t="s">
        <v>60</v>
      </c>
      <c r="I17" s="187">
        <v>0.71743290000000004</v>
      </c>
      <c r="J17" s="187" t="s">
        <v>1026</v>
      </c>
      <c r="K17" s="187" t="s">
        <v>116</v>
      </c>
      <c r="L17" s="195"/>
      <c r="M17" s="195"/>
      <c r="N17" s="195"/>
      <c r="O17" s="199"/>
      <c r="P17" s="188"/>
      <c r="Q17" s="174">
        <f>IF(ISNUMBER(VLOOKUP(A17,NotghiID!A:A,1,FALSE)),1,0)</f>
        <v>0</v>
      </c>
    </row>
    <row r="18" spans="1:17" ht="14.25" x14ac:dyDescent="0.2">
      <c r="A18" s="183">
        <v>73</v>
      </c>
      <c r="B18" s="232" t="str">
        <f>IF(AND(A18&lt;&gt;"",ISNUMBER(A18)),VLOOKUP(A18,Studies!A:BR,2,FALSE),"")</f>
        <v>Barbhaiya 1993</v>
      </c>
      <c r="C18" s="232" t="str">
        <f>IF(AND(A18&lt;&gt;"",ISNUMBER(A18)),VLOOKUP(A18,Studies!A:BR,3,FALSE),"")</f>
        <v>https://www.ncbi.nlm.nih.gov/pubmed/7911763</v>
      </c>
      <c r="D18" s="232" t="str">
        <f>IF(AND(A18&lt;&gt;"",ISNUMBER(A18)),VLOOKUP(A18,Studies!A:BR,4,FALSE),"")</f>
        <v>Day 10 Normal</v>
      </c>
      <c r="E18" s="206" t="str">
        <f>IF(AND(A18&lt;&gt;"",ISNUMBER(A18)),VLOOKUP(A18,Studies!A:BR,5,FALSE),"")</f>
        <v>Buspirone</v>
      </c>
      <c r="F18" s="207" t="str">
        <f>IF(AND(A18&lt;&gt;"",ISNUMBER(A18)),VLOOKUP(A18,Studies!A:BR,6,FALSE),"")</f>
        <v>Plasma</v>
      </c>
      <c r="G18" s="194">
        <v>218</v>
      </c>
      <c r="H18" s="194" t="s">
        <v>60</v>
      </c>
      <c r="I18" s="187">
        <v>0.4341681</v>
      </c>
      <c r="J18" s="187" t="s">
        <v>1026</v>
      </c>
      <c r="K18" s="187" t="s">
        <v>116</v>
      </c>
      <c r="L18" s="195"/>
      <c r="M18" s="195"/>
      <c r="N18" s="195"/>
      <c r="O18" s="199"/>
      <c r="P18" s="188"/>
      <c r="Q18" s="174">
        <f>IF(ISNUMBER(VLOOKUP(A18,NotghiID!A:A,1,FALSE)),1,0)</f>
        <v>0</v>
      </c>
    </row>
    <row r="19" spans="1:17" ht="14.25" x14ac:dyDescent="0.2">
      <c r="A19" s="183">
        <v>73</v>
      </c>
      <c r="B19" s="232" t="str">
        <f>IF(AND(A19&lt;&gt;"",ISNUMBER(A19)),VLOOKUP(A19,Studies!A:BR,2,FALSE),"")</f>
        <v>Barbhaiya 1993</v>
      </c>
      <c r="C19" s="232" t="str">
        <f>IF(AND(A19&lt;&gt;"",ISNUMBER(A19)),VLOOKUP(A19,Studies!A:BR,3,FALSE),"")</f>
        <v>https://www.ncbi.nlm.nih.gov/pubmed/7911763</v>
      </c>
      <c r="D19" s="232" t="str">
        <f>IF(AND(A19&lt;&gt;"",ISNUMBER(A19)),VLOOKUP(A19,Studies!A:BR,4,FALSE),"")</f>
        <v>Day 10 Normal</v>
      </c>
      <c r="E19" s="206" t="str">
        <f>IF(AND(A19&lt;&gt;"",ISNUMBER(A19)),VLOOKUP(A19,Studies!A:BR,5,FALSE),"")</f>
        <v>Buspirone</v>
      </c>
      <c r="F19" s="207" t="str">
        <f>IF(AND(A19&lt;&gt;"",ISNUMBER(A19)),VLOOKUP(A19,Studies!A:BR,6,FALSE),"")</f>
        <v>Plasma</v>
      </c>
      <c r="G19" s="194">
        <v>219</v>
      </c>
      <c r="H19" s="194" t="s">
        <v>60</v>
      </c>
      <c r="I19" s="187">
        <v>0.3197468</v>
      </c>
      <c r="J19" s="187" t="s">
        <v>1026</v>
      </c>
      <c r="K19" s="187" t="s">
        <v>116</v>
      </c>
      <c r="L19" s="195"/>
      <c r="M19" s="195"/>
      <c r="N19" s="195"/>
      <c r="O19" s="199"/>
      <c r="P19" s="188"/>
      <c r="Q19" s="174">
        <f>IF(ISNUMBER(VLOOKUP(A19,NotghiID!A:A,1,FALSE)),1,0)</f>
        <v>0</v>
      </c>
    </row>
    <row r="20" spans="1:17" ht="14.25" x14ac:dyDescent="0.2">
      <c r="A20" s="183">
        <v>73</v>
      </c>
      <c r="B20" s="232" t="str">
        <f>IF(AND(A20&lt;&gt;"",ISNUMBER(A20)),VLOOKUP(A20,Studies!A:BR,2,FALSE),"")</f>
        <v>Barbhaiya 1993</v>
      </c>
      <c r="C20" s="232" t="str">
        <f>IF(AND(A20&lt;&gt;"",ISNUMBER(A20)),VLOOKUP(A20,Studies!A:BR,3,FALSE),"")</f>
        <v>https://www.ncbi.nlm.nih.gov/pubmed/7911763</v>
      </c>
      <c r="D20" s="232" t="str">
        <f>IF(AND(A20&lt;&gt;"",ISNUMBER(A20)),VLOOKUP(A20,Studies!A:BR,4,FALSE),"")</f>
        <v>Day 10 Normal</v>
      </c>
      <c r="E20" s="206" t="str">
        <f>IF(AND(A20&lt;&gt;"",ISNUMBER(A20)),VLOOKUP(A20,Studies!A:BR,5,FALSE),"")</f>
        <v>Buspirone</v>
      </c>
      <c r="F20" s="207" t="str">
        <f>IF(AND(A20&lt;&gt;"",ISNUMBER(A20)),VLOOKUP(A20,Studies!A:BR,6,FALSE),"")</f>
        <v>Plasma</v>
      </c>
      <c r="G20" s="194">
        <v>220</v>
      </c>
      <c r="H20" s="194" t="s">
        <v>60</v>
      </c>
      <c r="I20" s="187">
        <v>0.2194189</v>
      </c>
      <c r="J20" s="187" t="s">
        <v>1026</v>
      </c>
      <c r="K20" s="187" t="s">
        <v>116</v>
      </c>
      <c r="L20" s="195"/>
      <c r="M20" s="195"/>
      <c r="N20" s="195"/>
      <c r="O20" s="199"/>
      <c r="P20" s="188"/>
      <c r="Q20" s="174">
        <f>IF(ISNUMBER(VLOOKUP(A20,NotghiID!A:A,1,FALSE)),1,0)</f>
        <v>0</v>
      </c>
    </row>
    <row r="21" spans="1:17" ht="14.25" x14ac:dyDescent="0.2">
      <c r="A21" s="183">
        <v>73</v>
      </c>
      <c r="B21" s="232" t="str">
        <f>IF(AND(A21&lt;&gt;"",ISNUMBER(A21)),VLOOKUP(A21,Studies!A:BR,2,FALSE),"")</f>
        <v>Barbhaiya 1993</v>
      </c>
      <c r="C21" s="232" t="str">
        <f>IF(AND(A21&lt;&gt;"",ISNUMBER(A21)),VLOOKUP(A21,Studies!A:BR,3,FALSE),"")</f>
        <v>https://www.ncbi.nlm.nih.gov/pubmed/7911763</v>
      </c>
      <c r="D21" s="232" t="str">
        <f>IF(AND(A21&lt;&gt;"",ISNUMBER(A21)),VLOOKUP(A21,Studies!A:BR,4,FALSE),"")</f>
        <v>Day 10 Normal</v>
      </c>
      <c r="E21" s="206" t="str">
        <f>IF(AND(A21&lt;&gt;"",ISNUMBER(A21)),VLOOKUP(A21,Studies!A:BR,5,FALSE),"")</f>
        <v>Buspirone</v>
      </c>
      <c r="F21" s="207" t="str">
        <f>IF(AND(A21&lt;&gt;"",ISNUMBER(A21)),VLOOKUP(A21,Studies!A:BR,6,FALSE),"")</f>
        <v>Plasma</v>
      </c>
      <c r="G21" s="194">
        <v>222</v>
      </c>
      <c r="H21" s="194" t="s">
        <v>60</v>
      </c>
      <c r="I21" s="187">
        <v>0.10013089999999999</v>
      </c>
      <c r="J21" s="187" t="s">
        <v>1026</v>
      </c>
      <c r="K21" s="187" t="s">
        <v>116</v>
      </c>
      <c r="L21" s="195"/>
      <c r="M21" s="195"/>
      <c r="N21" s="195"/>
      <c r="O21" s="199"/>
      <c r="P21" s="188"/>
      <c r="Q21" s="174">
        <f>IF(ISNUMBER(VLOOKUP(A21,NotghiID!A:A,1,FALSE)),1,0)</f>
        <v>0</v>
      </c>
    </row>
    <row r="22" spans="1:17" ht="14.25" x14ac:dyDescent="0.2">
      <c r="A22" s="183">
        <v>123</v>
      </c>
      <c r="B22" s="232" t="str">
        <f>IF(AND(A22&lt;&gt;"",ISNUMBER(A22)),VLOOKUP(A22,Studies!A:BR,2,FALSE),"")</f>
        <v>Dockens 2006</v>
      </c>
      <c r="C22" s="232" t="str">
        <f>IF(AND(A22&lt;&gt;"",ISNUMBER(A22)),VLOOKUP(A22,Studies!A:BR,3,FALSE),"")</f>
        <v>https://www.ncbi.nlm.nih.gov/pubmed/17050795</v>
      </c>
      <c r="D22" s="232" t="str">
        <f>IF(AND(A22&lt;&gt;"",ISNUMBER(A22)),VLOOKUP(A22,Studies!A:BR,4,FALSE),"")</f>
        <v>Day 5</v>
      </c>
      <c r="E22" s="206" t="str">
        <f>IF(AND(A22&lt;&gt;"",ISNUMBER(A22)),VLOOKUP(A22,Studies!A:BR,5,FALSE),"")</f>
        <v>Buspirone</v>
      </c>
      <c r="F22" s="207" t="str">
        <f>IF(AND(A22&lt;&gt;"",ISNUMBER(A22)),VLOOKUP(A22,Studies!A:BR,6,FALSE),"")</f>
        <v>Plasma</v>
      </c>
      <c r="G22" s="194">
        <v>96.25</v>
      </c>
      <c r="H22" s="194" t="s">
        <v>60</v>
      </c>
      <c r="I22" s="187">
        <v>4.0849120000000003E-2</v>
      </c>
      <c r="J22" s="187" t="s">
        <v>1026</v>
      </c>
      <c r="K22" s="187" t="s">
        <v>116</v>
      </c>
      <c r="L22" s="195"/>
      <c r="M22" s="195"/>
      <c r="N22" s="195"/>
      <c r="O22" s="199"/>
      <c r="P22" s="188"/>
      <c r="Q22" s="174">
        <f>IF(ISNUMBER(VLOOKUP(A22,NotghiID!A:A,1,FALSE)),1,0)</f>
        <v>0</v>
      </c>
    </row>
    <row r="23" spans="1:17" ht="14.25" x14ac:dyDescent="0.2">
      <c r="A23" s="183">
        <v>123</v>
      </c>
      <c r="B23" s="232" t="str">
        <f>IF(AND(A23&lt;&gt;"",ISNUMBER(A23)),VLOOKUP(A23,Studies!A:BR,2,FALSE),"")</f>
        <v>Dockens 2006</v>
      </c>
      <c r="C23" s="232" t="str">
        <f>IF(AND(A23&lt;&gt;"",ISNUMBER(A23)),VLOOKUP(A23,Studies!A:BR,3,FALSE),"")</f>
        <v>https://www.ncbi.nlm.nih.gov/pubmed/17050795</v>
      </c>
      <c r="D23" s="232" t="str">
        <f>IF(AND(A23&lt;&gt;"",ISNUMBER(A23)),VLOOKUP(A23,Studies!A:BR,4,FALSE),"")</f>
        <v>Day 5</v>
      </c>
      <c r="E23" s="206" t="str">
        <f>IF(AND(A23&lt;&gt;"",ISNUMBER(A23)),VLOOKUP(A23,Studies!A:BR,5,FALSE),"")</f>
        <v>Buspirone</v>
      </c>
      <c r="F23" s="207" t="str">
        <f>IF(AND(A23&lt;&gt;"",ISNUMBER(A23)),VLOOKUP(A23,Studies!A:BR,6,FALSE),"")</f>
        <v>Plasma</v>
      </c>
      <c r="G23" s="194">
        <v>96.5</v>
      </c>
      <c r="H23" s="194" t="s">
        <v>60</v>
      </c>
      <c r="I23" s="187">
        <v>0.2412948</v>
      </c>
      <c r="J23" s="187" t="s">
        <v>1026</v>
      </c>
      <c r="K23" s="187" t="s">
        <v>116</v>
      </c>
      <c r="L23" s="195"/>
      <c r="M23" s="195"/>
      <c r="N23" s="195"/>
      <c r="O23" s="199"/>
      <c r="P23" s="188"/>
      <c r="Q23" s="174">
        <f>IF(ISNUMBER(VLOOKUP(A23,NotghiID!A:A,1,FALSE)),1,0)</f>
        <v>0</v>
      </c>
    </row>
    <row r="24" spans="1:17" ht="14.25" x14ac:dyDescent="0.2">
      <c r="A24" s="183">
        <v>123</v>
      </c>
      <c r="B24" s="232" t="str">
        <f>IF(AND(A24&lt;&gt;"",ISNUMBER(A24)),VLOOKUP(A24,Studies!A:BR,2,FALSE),"")</f>
        <v>Dockens 2006</v>
      </c>
      <c r="C24" s="232" t="str">
        <f>IF(AND(A24&lt;&gt;"",ISNUMBER(A24)),VLOOKUP(A24,Studies!A:BR,3,FALSE),"")</f>
        <v>https://www.ncbi.nlm.nih.gov/pubmed/17050795</v>
      </c>
      <c r="D24" s="232" t="str">
        <f>IF(AND(A24&lt;&gt;"",ISNUMBER(A24)),VLOOKUP(A24,Studies!A:BR,4,FALSE),"")</f>
        <v>Day 5</v>
      </c>
      <c r="E24" s="206" t="str">
        <f>IF(AND(A24&lt;&gt;"",ISNUMBER(A24)),VLOOKUP(A24,Studies!A:BR,5,FALSE),"")</f>
        <v>Buspirone</v>
      </c>
      <c r="F24" s="207" t="str">
        <f>IF(AND(A24&lt;&gt;"",ISNUMBER(A24)),VLOOKUP(A24,Studies!A:BR,6,FALSE),"")</f>
        <v>Plasma</v>
      </c>
      <c r="G24" s="194">
        <v>96.75</v>
      </c>
      <c r="H24" s="194" t="s">
        <v>60</v>
      </c>
      <c r="I24" s="187">
        <v>0.32306449999999998</v>
      </c>
      <c r="J24" s="187" t="s">
        <v>1026</v>
      </c>
      <c r="K24" s="187" t="s">
        <v>116</v>
      </c>
      <c r="L24" s="195"/>
      <c r="M24" s="195"/>
      <c r="N24" s="195"/>
      <c r="O24" s="199"/>
      <c r="P24" s="188"/>
      <c r="Q24" s="174">
        <f>IF(ISNUMBER(VLOOKUP(A24,NotghiID!A:A,1,FALSE)),1,0)</f>
        <v>0</v>
      </c>
    </row>
    <row r="25" spans="1:17" ht="14.25" x14ac:dyDescent="0.2">
      <c r="A25" s="183">
        <v>123</v>
      </c>
      <c r="B25" s="232" t="str">
        <f>IF(AND(A25&lt;&gt;"",ISNUMBER(A25)),VLOOKUP(A25,Studies!A:BR,2,FALSE),"")</f>
        <v>Dockens 2006</v>
      </c>
      <c r="C25" s="232" t="str">
        <f>IF(AND(A25&lt;&gt;"",ISNUMBER(A25)),VLOOKUP(A25,Studies!A:BR,3,FALSE),"")</f>
        <v>https://www.ncbi.nlm.nih.gov/pubmed/17050795</v>
      </c>
      <c r="D25" s="232" t="str">
        <f>IF(AND(A25&lt;&gt;"",ISNUMBER(A25)),VLOOKUP(A25,Studies!A:BR,4,FALSE),"")</f>
        <v>Day 5</v>
      </c>
      <c r="E25" s="206" t="str">
        <f>IF(AND(A25&lt;&gt;"",ISNUMBER(A25)),VLOOKUP(A25,Studies!A:BR,5,FALSE),"")</f>
        <v>Buspirone</v>
      </c>
      <c r="F25" s="207" t="str">
        <f>IF(AND(A25&lt;&gt;"",ISNUMBER(A25)),VLOOKUP(A25,Studies!A:BR,6,FALSE),"")</f>
        <v>Plasma</v>
      </c>
      <c r="G25" s="194">
        <v>97</v>
      </c>
      <c r="H25" s="194" t="s">
        <v>60</v>
      </c>
      <c r="I25" s="187">
        <v>0.2902438</v>
      </c>
      <c r="J25" s="187" t="s">
        <v>1026</v>
      </c>
      <c r="K25" s="187" t="s">
        <v>116</v>
      </c>
      <c r="L25" s="195"/>
      <c r="M25" s="195"/>
      <c r="N25" s="195"/>
      <c r="O25" s="199"/>
      <c r="P25" s="188"/>
      <c r="Q25" s="174">
        <f>IF(ISNUMBER(VLOOKUP(A25,NotghiID!A:A,1,FALSE)),1,0)</f>
        <v>0</v>
      </c>
    </row>
    <row r="26" spans="1:17" ht="14.25" x14ac:dyDescent="0.2">
      <c r="A26" s="183">
        <v>123</v>
      </c>
      <c r="B26" s="232" t="str">
        <f>IF(AND(A26&lt;&gt;"",ISNUMBER(A26)),VLOOKUP(A26,Studies!A:BR,2,FALSE),"")</f>
        <v>Dockens 2006</v>
      </c>
      <c r="C26" s="232" t="str">
        <f>IF(AND(A26&lt;&gt;"",ISNUMBER(A26)),VLOOKUP(A26,Studies!A:BR,3,FALSE),"")</f>
        <v>https://www.ncbi.nlm.nih.gov/pubmed/17050795</v>
      </c>
      <c r="D26" s="232" t="str">
        <f>IF(AND(A26&lt;&gt;"",ISNUMBER(A26)),VLOOKUP(A26,Studies!A:BR,4,FALSE),"")</f>
        <v>Day 5</v>
      </c>
      <c r="E26" s="206" t="str">
        <f>IF(AND(A26&lt;&gt;"",ISNUMBER(A26)),VLOOKUP(A26,Studies!A:BR,5,FALSE),"")</f>
        <v>Buspirone</v>
      </c>
      <c r="F26" s="207" t="str">
        <f>IF(AND(A26&lt;&gt;"",ISNUMBER(A26)),VLOOKUP(A26,Studies!A:BR,6,FALSE),"")</f>
        <v>Plasma</v>
      </c>
      <c r="G26" s="194">
        <v>97.5</v>
      </c>
      <c r="H26" s="194" t="s">
        <v>60</v>
      </c>
      <c r="I26" s="187">
        <v>0.22459519999999999</v>
      </c>
      <c r="J26" s="187" t="s">
        <v>1026</v>
      </c>
      <c r="K26" s="187" t="s">
        <v>116</v>
      </c>
      <c r="L26" s="195"/>
      <c r="M26" s="195"/>
      <c r="N26" s="195"/>
      <c r="O26" s="199"/>
      <c r="P26" s="188"/>
      <c r="Q26" s="174">
        <f>IF(ISNUMBER(VLOOKUP(A26,NotghiID!A:A,1,FALSE)),1,0)</f>
        <v>0</v>
      </c>
    </row>
    <row r="27" spans="1:17" ht="14.25" x14ac:dyDescent="0.2">
      <c r="A27" s="183">
        <v>123</v>
      </c>
      <c r="B27" s="232" t="str">
        <f>IF(AND(A27&lt;&gt;"",ISNUMBER(A27)),VLOOKUP(A27,Studies!A:BR,2,FALSE),"")</f>
        <v>Dockens 2006</v>
      </c>
      <c r="C27" s="232" t="str">
        <f>IF(AND(A27&lt;&gt;"",ISNUMBER(A27)),VLOOKUP(A27,Studies!A:BR,3,FALSE),"")</f>
        <v>https://www.ncbi.nlm.nih.gov/pubmed/17050795</v>
      </c>
      <c r="D27" s="232" t="str">
        <f>IF(AND(A27&lt;&gt;"",ISNUMBER(A27)),VLOOKUP(A27,Studies!A:BR,4,FALSE),"")</f>
        <v>Day 5</v>
      </c>
      <c r="E27" s="206" t="str">
        <f>IF(AND(A27&lt;&gt;"",ISNUMBER(A27)),VLOOKUP(A27,Studies!A:BR,5,FALSE),"")</f>
        <v>Buspirone</v>
      </c>
      <c r="F27" s="207" t="str">
        <f>IF(AND(A27&lt;&gt;"",ISNUMBER(A27)),VLOOKUP(A27,Studies!A:BR,6,FALSE),"")</f>
        <v>Plasma</v>
      </c>
      <c r="G27" s="194">
        <v>98</v>
      </c>
      <c r="H27" s="194" t="s">
        <v>60</v>
      </c>
      <c r="I27" s="187">
        <v>0.1834961</v>
      </c>
      <c r="J27" s="187" t="s">
        <v>1026</v>
      </c>
      <c r="K27" s="187" t="s">
        <v>116</v>
      </c>
      <c r="L27" s="195"/>
      <c r="M27" s="195"/>
      <c r="N27" s="195"/>
      <c r="O27" s="199"/>
      <c r="P27" s="188"/>
      <c r="Q27" s="174">
        <f>IF(ISNUMBER(VLOOKUP(A27,NotghiID!A:A,1,FALSE)),1,0)</f>
        <v>0</v>
      </c>
    </row>
    <row r="28" spans="1:17" ht="14.25" x14ac:dyDescent="0.2">
      <c r="A28" s="183">
        <v>123</v>
      </c>
      <c r="B28" s="232" t="str">
        <f>IF(AND(A28&lt;&gt;"",ISNUMBER(A28)),VLOOKUP(A28,Studies!A:BR,2,FALSE),"")</f>
        <v>Dockens 2006</v>
      </c>
      <c r="C28" s="232" t="str">
        <f>IF(AND(A28&lt;&gt;"",ISNUMBER(A28)),VLOOKUP(A28,Studies!A:BR,3,FALSE),"")</f>
        <v>https://www.ncbi.nlm.nih.gov/pubmed/17050795</v>
      </c>
      <c r="D28" s="232" t="str">
        <f>IF(AND(A28&lt;&gt;"",ISNUMBER(A28)),VLOOKUP(A28,Studies!A:BR,4,FALSE),"")</f>
        <v>Day 5</v>
      </c>
      <c r="E28" s="206" t="str">
        <f>IF(AND(A28&lt;&gt;"",ISNUMBER(A28)),VLOOKUP(A28,Studies!A:BR,5,FALSE),"")</f>
        <v>Buspirone</v>
      </c>
      <c r="F28" s="207" t="str">
        <f>IF(AND(A28&lt;&gt;"",ISNUMBER(A28)),VLOOKUP(A28,Studies!A:BR,6,FALSE),"")</f>
        <v>Plasma</v>
      </c>
      <c r="G28" s="194">
        <v>98.5</v>
      </c>
      <c r="H28" s="194" t="s">
        <v>60</v>
      </c>
      <c r="I28" s="187">
        <v>0.13830419999999999</v>
      </c>
      <c r="J28" s="187" t="s">
        <v>1026</v>
      </c>
      <c r="K28" s="187" t="s">
        <v>116</v>
      </c>
      <c r="L28" s="195"/>
      <c r="M28" s="195"/>
      <c r="N28" s="195"/>
      <c r="O28" s="199"/>
      <c r="P28" s="188"/>
      <c r="Q28" s="174">
        <f>IF(ISNUMBER(VLOOKUP(A28,NotghiID!A:A,1,FALSE)),1,0)</f>
        <v>0</v>
      </c>
    </row>
    <row r="29" spans="1:17" ht="14.25" x14ac:dyDescent="0.2">
      <c r="A29" s="183">
        <v>123</v>
      </c>
      <c r="B29" s="232" t="str">
        <f>IF(AND(A29&lt;&gt;"",ISNUMBER(A29)),VLOOKUP(A29,Studies!A:BR,2,FALSE),"")</f>
        <v>Dockens 2006</v>
      </c>
      <c r="C29" s="232" t="str">
        <f>IF(AND(A29&lt;&gt;"",ISNUMBER(A29)),VLOOKUP(A29,Studies!A:BR,3,FALSE),"")</f>
        <v>https://www.ncbi.nlm.nih.gov/pubmed/17050795</v>
      </c>
      <c r="D29" s="232" t="str">
        <f>IF(AND(A29&lt;&gt;"",ISNUMBER(A29)),VLOOKUP(A29,Studies!A:BR,4,FALSE),"")</f>
        <v>Day 5</v>
      </c>
      <c r="E29" s="206" t="str">
        <f>IF(AND(A29&lt;&gt;"",ISNUMBER(A29)),VLOOKUP(A29,Studies!A:BR,5,FALSE),"")</f>
        <v>Buspirone</v>
      </c>
      <c r="F29" s="207" t="str">
        <f>IF(AND(A29&lt;&gt;"",ISNUMBER(A29)),VLOOKUP(A29,Studies!A:BR,6,FALSE),"")</f>
        <v>Plasma</v>
      </c>
      <c r="G29" s="194">
        <v>99</v>
      </c>
      <c r="H29" s="194" t="s">
        <v>60</v>
      </c>
      <c r="I29" s="187">
        <v>0.113569</v>
      </c>
      <c r="J29" s="187" t="s">
        <v>1026</v>
      </c>
      <c r="K29" s="187" t="s">
        <v>116</v>
      </c>
      <c r="L29" s="195"/>
      <c r="M29" s="195"/>
      <c r="N29" s="195"/>
      <c r="O29" s="199"/>
      <c r="P29" s="188"/>
      <c r="Q29" s="174">
        <f>IF(ISNUMBER(VLOOKUP(A29,NotghiID!A:A,1,FALSE)),1,0)</f>
        <v>0</v>
      </c>
    </row>
    <row r="30" spans="1:17" ht="14.25" x14ac:dyDescent="0.2">
      <c r="A30" s="183">
        <v>123</v>
      </c>
      <c r="B30" s="232" t="str">
        <f>IF(AND(A30&lt;&gt;"",ISNUMBER(A30)),VLOOKUP(A30,Studies!A:BR,2,FALSE),"")</f>
        <v>Dockens 2006</v>
      </c>
      <c r="C30" s="232" t="str">
        <f>IF(AND(A30&lt;&gt;"",ISNUMBER(A30)),VLOOKUP(A30,Studies!A:BR,3,FALSE),"")</f>
        <v>https://www.ncbi.nlm.nih.gov/pubmed/17050795</v>
      </c>
      <c r="D30" s="232" t="str">
        <f>IF(AND(A30&lt;&gt;"",ISNUMBER(A30)),VLOOKUP(A30,Studies!A:BR,4,FALSE),"")</f>
        <v>Day 5</v>
      </c>
      <c r="E30" s="206" t="str">
        <f>IF(AND(A30&lt;&gt;"",ISNUMBER(A30)),VLOOKUP(A30,Studies!A:BR,5,FALSE),"")</f>
        <v>Buspirone</v>
      </c>
      <c r="F30" s="207" t="str">
        <f>IF(AND(A30&lt;&gt;"",ISNUMBER(A30)),VLOOKUP(A30,Studies!A:BR,6,FALSE),"")</f>
        <v>Plasma</v>
      </c>
      <c r="G30" s="194">
        <v>100</v>
      </c>
      <c r="H30" s="194" t="s">
        <v>60</v>
      </c>
      <c r="I30" s="187">
        <v>7.229845E-2</v>
      </c>
      <c r="J30" s="187" t="s">
        <v>1026</v>
      </c>
      <c r="K30" s="187" t="s">
        <v>116</v>
      </c>
      <c r="L30" s="195"/>
      <c r="M30" s="195"/>
      <c r="N30" s="195"/>
      <c r="O30" s="199"/>
      <c r="P30" s="188"/>
      <c r="Q30" s="174">
        <f>IF(ISNUMBER(VLOOKUP(A30,NotghiID!A:A,1,FALSE)),1,0)</f>
        <v>0</v>
      </c>
    </row>
    <row r="31" spans="1:17" ht="14.25" x14ac:dyDescent="0.2">
      <c r="A31" s="183">
        <v>123</v>
      </c>
      <c r="B31" s="232" t="str">
        <f>IF(AND(A31&lt;&gt;"",ISNUMBER(A31)),VLOOKUP(A31,Studies!A:BR,2,FALSE),"")</f>
        <v>Dockens 2006</v>
      </c>
      <c r="C31" s="232" t="str">
        <f>IF(AND(A31&lt;&gt;"",ISNUMBER(A31)),VLOOKUP(A31,Studies!A:BR,3,FALSE),"")</f>
        <v>https://www.ncbi.nlm.nih.gov/pubmed/17050795</v>
      </c>
      <c r="D31" s="232" t="str">
        <f>IF(AND(A31&lt;&gt;"",ISNUMBER(A31)),VLOOKUP(A31,Studies!A:BR,4,FALSE),"")</f>
        <v>Day 5</v>
      </c>
      <c r="E31" s="206" t="str">
        <f>IF(AND(A31&lt;&gt;"",ISNUMBER(A31)),VLOOKUP(A31,Studies!A:BR,5,FALSE),"")</f>
        <v>Buspirone</v>
      </c>
      <c r="F31" s="207" t="str">
        <f>IF(AND(A31&lt;&gt;"",ISNUMBER(A31)),VLOOKUP(A31,Studies!A:BR,6,FALSE),"")</f>
        <v>Plasma</v>
      </c>
      <c r="G31" s="194">
        <v>102</v>
      </c>
      <c r="H31" s="194" t="s">
        <v>60</v>
      </c>
      <c r="I31" s="187">
        <v>3.0699339999999999E-2</v>
      </c>
      <c r="J31" s="187" t="s">
        <v>1026</v>
      </c>
      <c r="K31" s="187" t="s">
        <v>116</v>
      </c>
      <c r="L31" s="195"/>
      <c r="M31" s="195"/>
      <c r="N31" s="195"/>
      <c r="O31" s="199"/>
      <c r="P31" s="188"/>
      <c r="Q31" s="174">
        <f>IF(ISNUMBER(VLOOKUP(A31,NotghiID!A:A,1,FALSE)),1,0)</f>
        <v>0</v>
      </c>
    </row>
    <row r="32" spans="1:17" ht="14.25" x14ac:dyDescent="0.2">
      <c r="A32" s="183">
        <v>123</v>
      </c>
      <c r="B32" s="232" t="str">
        <f>IF(AND(A32&lt;&gt;"",ISNUMBER(A32)),VLOOKUP(A32,Studies!A:BR,2,FALSE),"")</f>
        <v>Dockens 2006</v>
      </c>
      <c r="C32" s="232" t="str">
        <f>IF(AND(A32&lt;&gt;"",ISNUMBER(A32)),VLOOKUP(A32,Studies!A:BR,3,FALSE),"")</f>
        <v>https://www.ncbi.nlm.nih.gov/pubmed/17050795</v>
      </c>
      <c r="D32" s="232" t="str">
        <f>IF(AND(A32&lt;&gt;"",ISNUMBER(A32)),VLOOKUP(A32,Studies!A:BR,4,FALSE),"")</f>
        <v>Day 5</v>
      </c>
      <c r="E32" s="206" t="str">
        <f>IF(AND(A32&lt;&gt;"",ISNUMBER(A32)),VLOOKUP(A32,Studies!A:BR,5,FALSE),"")</f>
        <v>Buspirone</v>
      </c>
      <c r="F32" s="207" t="str">
        <f>IF(AND(A32&lt;&gt;"",ISNUMBER(A32)),VLOOKUP(A32,Studies!A:BR,6,FALSE),"")</f>
        <v>Plasma</v>
      </c>
      <c r="G32" s="194">
        <v>103</v>
      </c>
      <c r="H32" s="194" t="s">
        <v>60</v>
      </c>
      <c r="I32" s="187">
        <v>2.2163809999999999E-2</v>
      </c>
      <c r="J32" s="187" t="s">
        <v>1026</v>
      </c>
      <c r="K32" s="187" t="s">
        <v>116</v>
      </c>
      <c r="L32" s="195"/>
      <c r="M32" s="195"/>
      <c r="N32" s="195"/>
      <c r="O32" s="199"/>
      <c r="P32" s="188"/>
      <c r="Q32" s="174">
        <f>IF(ISNUMBER(VLOOKUP(A32,NotghiID!A:A,1,FALSE)),1,0)</f>
        <v>0</v>
      </c>
    </row>
    <row r="33" spans="1:17" ht="14.25" x14ac:dyDescent="0.2">
      <c r="A33" s="183">
        <v>123</v>
      </c>
      <c r="B33" s="232" t="str">
        <f>IF(AND(A33&lt;&gt;"",ISNUMBER(A33)),VLOOKUP(A33,Studies!A:BR,2,FALSE),"")</f>
        <v>Dockens 2006</v>
      </c>
      <c r="C33" s="232" t="str">
        <f>IF(AND(A33&lt;&gt;"",ISNUMBER(A33)),VLOOKUP(A33,Studies!A:BR,3,FALSE),"")</f>
        <v>https://www.ncbi.nlm.nih.gov/pubmed/17050795</v>
      </c>
      <c r="D33" s="232" t="str">
        <f>IF(AND(A33&lt;&gt;"",ISNUMBER(A33)),VLOOKUP(A33,Studies!A:BR,4,FALSE),"")</f>
        <v>Day 5</v>
      </c>
      <c r="E33" s="206" t="str">
        <f>IF(AND(A33&lt;&gt;"",ISNUMBER(A33)),VLOOKUP(A33,Studies!A:BR,5,FALSE),"")</f>
        <v>Buspirone</v>
      </c>
      <c r="F33" s="207" t="str">
        <f>IF(AND(A33&lt;&gt;"",ISNUMBER(A33)),VLOOKUP(A33,Studies!A:BR,6,FALSE),"")</f>
        <v>Plasma</v>
      </c>
      <c r="G33" s="194">
        <v>104</v>
      </c>
      <c r="H33" s="194" t="s">
        <v>60</v>
      </c>
      <c r="I33" s="187">
        <v>1.7735330000000001E-2</v>
      </c>
      <c r="J33" s="187" t="s">
        <v>1026</v>
      </c>
      <c r="K33" s="187" t="s">
        <v>116</v>
      </c>
      <c r="L33" s="195"/>
      <c r="M33" s="195"/>
      <c r="N33" s="195"/>
      <c r="O33" s="199"/>
      <c r="P33" s="188"/>
      <c r="Q33" s="174">
        <f>IF(ISNUMBER(VLOOKUP(A33,NotghiID!A:A,1,FALSE)),1,0)</f>
        <v>0</v>
      </c>
    </row>
    <row r="34" spans="1:17" ht="14.25" x14ac:dyDescent="0.2">
      <c r="A34" s="183">
        <v>123</v>
      </c>
      <c r="B34" s="232" t="str">
        <f>IF(AND(A34&lt;&gt;"",ISNUMBER(A34)),VLOOKUP(A34,Studies!A:BR,2,FALSE),"")</f>
        <v>Dockens 2006</v>
      </c>
      <c r="C34" s="232" t="str">
        <f>IF(AND(A34&lt;&gt;"",ISNUMBER(A34)),VLOOKUP(A34,Studies!A:BR,3,FALSE),"")</f>
        <v>https://www.ncbi.nlm.nih.gov/pubmed/17050795</v>
      </c>
      <c r="D34" s="232" t="str">
        <f>IF(AND(A34&lt;&gt;"",ISNUMBER(A34)),VLOOKUP(A34,Studies!A:BR,4,FALSE),"")</f>
        <v>Day 5</v>
      </c>
      <c r="E34" s="206" t="str">
        <f>IF(AND(A34&lt;&gt;"",ISNUMBER(A34)),VLOOKUP(A34,Studies!A:BR,5,FALSE),"")</f>
        <v>Buspirone</v>
      </c>
      <c r="F34" s="207" t="str">
        <f>IF(AND(A34&lt;&gt;"",ISNUMBER(A34)),VLOOKUP(A34,Studies!A:BR,6,FALSE),"")</f>
        <v>Plasma</v>
      </c>
      <c r="G34" s="194">
        <v>108</v>
      </c>
      <c r="H34" s="194" t="s">
        <v>60</v>
      </c>
      <c r="I34" s="187"/>
      <c r="J34" s="187"/>
      <c r="K34" s="187"/>
      <c r="L34" s="195"/>
      <c r="M34" s="195"/>
      <c r="N34" s="195"/>
      <c r="O34" s="199"/>
      <c r="P34" s="188"/>
      <c r="Q34" s="174">
        <f>IF(ISNUMBER(VLOOKUP(A34,NotghiID!A:A,1,FALSE)),1,0)</f>
        <v>0</v>
      </c>
    </row>
    <row r="35" spans="1:17" ht="14.25" x14ac:dyDescent="0.2">
      <c r="A35" s="183">
        <v>124</v>
      </c>
      <c r="B35" s="232" t="str">
        <f>IF(AND(A35&lt;&gt;"",ISNUMBER(A35)),VLOOKUP(A35,Studies!A:BR,2,FALSE),"")</f>
        <v>Dockens 2006</v>
      </c>
      <c r="C35" s="232" t="str">
        <f>IF(AND(A35&lt;&gt;"",ISNUMBER(A35)),VLOOKUP(A35,Studies!A:BR,3,FALSE),"")</f>
        <v>https://www.ncbi.nlm.nih.gov/pubmed/17050795</v>
      </c>
      <c r="D35" s="232" t="str">
        <f>IF(AND(A35&lt;&gt;"",ISNUMBER(A35)),VLOOKUP(A35,Studies!A:BR,4,FALSE),"")</f>
        <v>Day 10</v>
      </c>
      <c r="E35" s="206" t="str">
        <f>IF(AND(A35&lt;&gt;"",ISNUMBER(A35)),VLOOKUP(A35,Studies!A:BR,5,FALSE),"")</f>
        <v>Buspirone</v>
      </c>
      <c r="F35" s="207" t="str">
        <f>IF(AND(A35&lt;&gt;"",ISNUMBER(A35)),VLOOKUP(A35,Studies!A:BR,6,FALSE),"")</f>
        <v>Plasma</v>
      </c>
      <c r="G35" s="194">
        <v>216.25</v>
      </c>
      <c r="H35" s="194" t="s">
        <v>60</v>
      </c>
      <c r="I35" s="187">
        <v>0.22090960000000001</v>
      </c>
      <c r="J35" s="187" t="s">
        <v>1026</v>
      </c>
      <c r="K35" s="187" t="s">
        <v>116</v>
      </c>
      <c r="L35" s="195"/>
      <c r="M35" s="195"/>
      <c r="N35" s="195"/>
      <c r="O35" s="199"/>
      <c r="P35" s="188"/>
      <c r="Q35" s="174">
        <f>IF(ISNUMBER(VLOOKUP(A35,NotghiID!A:A,1,FALSE)),1,0)</f>
        <v>0</v>
      </c>
    </row>
    <row r="36" spans="1:17" ht="14.25" x14ac:dyDescent="0.2">
      <c r="A36" s="183">
        <v>124</v>
      </c>
      <c r="B36" s="232" t="str">
        <f>IF(AND(A36&lt;&gt;"",ISNUMBER(A36)),VLOOKUP(A36,Studies!A:BR,2,FALSE),"")</f>
        <v>Dockens 2006</v>
      </c>
      <c r="C36" s="232" t="str">
        <f>IF(AND(A36&lt;&gt;"",ISNUMBER(A36)),VLOOKUP(A36,Studies!A:BR,3,FALSE),"")</f>
        <v>https://www.ncbi.nlm.nih.gov/pubmed/17050795</v>
      </c>
      <c r="D36" s="232" t="str">
        <f>IF(AND(A36&lt;&gt;"",ISNUMBER(A36)),VLOOKUP(A36,Studies!A:BR,4,FALSE),"")</f>
        <v>Day 10</v>
      </c>
      <c r="E36" s="206" t="str">
        <f>IF(AND(A36&lt;&gt;"",ISNUMBER(A36)),VLOOKUP(A36,Studies!A:BR,5,FALSE),"")</f>
        <v>Buspirone</v>
      </c>
      <c r="F36" s="207" t="str">
        <f>IF(AND(A36&lt;&gt;"",ISNUMBER(A36)),VLOOKUP(A36,Studies!A:BR,6,FALSE),"")</f>
        <v>Plasma</v>
      </c>
      <c r="G36" s="194">
        <v>216.5</v>
      </c>
      <c r="H36" s="194" t="s">
        <v>60</v>
      </c>
      <c r="I36" s="187">
        <v>0.48686099999999999</v>
      </c>
      <c r="J36" s="187" t="s">
        <v>1026</v>
      </c>
      <c r="K36" s="187" t="s">
        <v>116</v>
      </c>
      <c r="L36" s="195"/>
      <c r="M36" s="195"/>
      <c r="N36" s="195"/>
      <c r="O36" s="199"/>
      <c r="P36" s="188"/>
      <c r="Q36" s="174">
        <f>IF(ISNUMBER(VLOOKUP(A36,NotghiID!A:A,1,FALSE)),1,0)</f>
        <v>0</v>
      </c>
    </row>
    <row r="37" spans="1:17" ht="14.25" x14ac:dyDescent="0.2">
      <c r="A37" s="183">
        <v>124</v>
      </c>
      <c r="B37" s="232" t="str">
        <f>IF(AND(A37&lt;&gt;"",ISNUMBER(A37)),VLOOKUP(A37,Studies!A:BR,2,FALSE),"")</f>
        <v>Dockens 2006</v>
      </c>
      <c r="C37" s="232" t="str">
        <f>IF(AND(A37&lt;&gt;"",ISNUMBER(A37)),VLOOKUP(A37,Studies!A:BR,3,FALSE),"")</f>
        <v>https://www.ncbi.nlm.nih.gov/pubmed/17050795</v>
      </c>
      <c r="D37" s="232" t="str">
        <f>IF(AND(A37&lt;&gt;"",ISNUMBER(A37)),VLOOKUP(A37,Studies!A:BR,4,FALSE),"")</f>
        <v>Day 10</v>
      </c>
      <c r="E37" s="206" t="str">
        <f>IF(AND(A37&lt;&gt;"",ISNUMBER(A37)),VLOOKUP(A37,Studies!A:BR,5,FALSE),"")</f>
        <v>Buspirone</v>
      </c>
      <c r="F37" s="207" t="str">
        <f>IF(AND(A37&lt;&gt;"",ISNUMBER(A37)),VLOOKUP(A37,Studies!A:BR,6,FALSE),"")</f>
        <v>Plasma</v>
      </c>
      <c r="G37" s="194">
        <v>216.75</v>
      </c>
      <c r="H37" s="194" t="s">
        <v>60</v>
      </c>
      <c r="I37" s="187">
        <v>0.53999560000000002</v>
      </c>
      <c r="J37" s="187" t="s">
        <v>1026</v>
      </c>
      <c r="K37" s="187" t="s">
        <v>116</v>
      </c>
      <c r="L37" s="195"/>
      <c r="M37" s="195"/>
      <c r="N37" s="195"/>
      <c r="O37" s="199"/>
      <c r="P37" s="188"/>
      <c r="Q37" s="174">
        <f>IF(ISNUMBER(VLOOKUP(A37,NotghiID!A:A,1,FALSE)),1,0)</f>
        <v>0</v>
      </c>
    </row>
    <row r="38" spans="1:17" ht="14.25" x14ac:dyDescent="0.2">
      <c r="A38" s="183">
        <v>124</v>
      </c>
      <c r="B38" s="232" t="str">
        <f>IF(AND(A38&lt;&gt;"",ISNUMBER(A38)),VLOOKUP(A38,Studies!A:BR,2,FALSE),"")</f>
        <v>Dockens 2006</v>
      </c>
      <c r="C38" s="232" t="str">
        <f>IF(AND(A38&lt;&gt;"",ISNUMBER(A38)),VLOOKUP(A38,Studies!A:BR,3,FALSE),"")</f>
        <v>https://www.ncbi.nlm.nih.gov/pubmed/17050795</v>
      </c>
      <c r="D38" s="232" t="str">
        <f>IF(AND(A38&lt;&gt;"",ISNUMBER(A38)),VLOOKUP(A38,Studies!A:BR,4,FALSE),"")</f>
        <v>Day 10</v>
      </c>
      <c r="E38" s="206" t="str">
        <f>IF(AND(A38&lt;&gt;"",ISNUMBER(A38)),VLOOKUP(A38,Studies!A:BR,5,FALSE),"")</f>
        <v>Buspirone</v>
      </c>
      <c r="F38" s="207" t="str">
        <f>IF(AND(A38&lt;&gt;"",ISNUMBER(A38)),VLOOKUP(A38,Studies!A:BR,6,FALSE),"")</f>
        <v>Plasma</v>
      </c>
      <c r="G38" s="194">
        <v>217</v>
      </c>
      <c r="H38" s="194" t="s">
        <v>60</v>
      </c>
      <c r="I38" s="187">
        <v>0.4621401</v>
      </c>
      <c r="J38" s="187" t="s">
        <v>1026</v>
      </c>
      <c r="K38" s="187" t="s">
        <v>116</v>
      </c>
      <c r="L38" s="195"/>
      <c r="M38" s="195"/>
      <c r="N38" s="195"/>
      <c r="O38" s="199"/>
      <c r="P38" s="188"/>
      <c r="Q38" s="174">
        <f>IF(ISNUMBER(VLOOKUP(A38,NotghiID!A:A,1,FALSE)),1,0)</f>
        <v>0</v>
      </c>
    </row>
    <row r="39" spans="1:17" ht="14.25" x14ac:dyDescent="0.2">
      <c r="A39" s="183">
        <v>124</v>
      </c>
      <c r="B39" s="232" t="str">
        <f>IF(AND(A39&lt;&gt;"",ISNUMBER(A39)),VLOOKUP(A39,Studies!A:BR,2,FALSE),"")</f>
        <v>Dockens 2006</v>
      </c>
      <c r="C39" s="232" t="str">
        <f>IF(AND(A39&lt;&gt;"",ISNUMBER(A39)),VLOOKUP(A39,Studies!A:BR,3,FALSE),"")</f>
        <v>https://www.ncbi.nlm.nih.gov/pubmed/17050795</v>
      </c>
      <c r="D39" s="232" t="str">
        <f>IF(AND(A39&lt;&gt;"",ISNUMBER(A39)),VLOOKUP(A39,Studies!A:BR,4,FALSE),"")</f>
        <v>Day 10</v>
      </c>
      <c r="E39" s="206" t="str">
        <f>IF(AND(A39&lt;&gt;"",ISNUMBER(A39)),VLOOKUP(A39,Studies!A:BR,5,FALSE),"")</f>
        <v>Buspirone</v>
      </c>
      <c r="F39" s="207" t="str">
        <f>IF(AND(A39&lt;&gt;"",ISNUMBER(A39)),VLOOKUP(A39,Studies!A:BR,6,FALSE),"")</f>
        <v>Plasma</v>
      </c>
      <c r="G39" s="194">
        <v>217.5</v>
      </c>
      <c r="H39" s="194" t="s">
        <v>60</v>
      </c>
      <c r="I39" s="187">
        <v>0.3187217</v>
      </c>
      <c r="J39" s="187" t="s">
        <v>1026</v>
      </c>
      <c r="K39" s="187" t="s">
        <v>116</v>
      </c>
      <c r="L39" s="195"/>
      <c r="M39" s="195"/>
      <c r="N39" s="195"/>
      <c r="O39" s="199"/>
      <c r="P39" s="188"/>
      <c r="Q39" s="174">
        <f>IF(ISNUMBER(VLOOKUP(A39,NotghiID!A:A,1,FALSE)),1,0)</f>
        <v>0</v>
      </c>
    </row>
    <row r="40" spans="1:17" ht="14.25" x14ac:dyDescent="0.2">
      <c r="A40" s="183">
        <v>124</v>
      </c>
      <c r="B40" s="232" t="str">
        <f>IF(AND(A40&lt;&gt;"",ISNUMBER(A40)),VLOOKUP(A40,Studies!A:BR,2,FALSE),"")</f>
        <v>Dockens 2006</v>
      </c>
      <c r="C40" s="232" t="str">
        <f>IF(AND(A40&lt;&gt;"",ISNUMBER(A40)),VLOOKUP(A40,Studies!A:BR,3,FALSE),"")</f>
        <v>https://www.ncbi.nlm.nih.gov/pubmed/17050795</v>
      </c>
      <c r="D40" s="232" t="str">
        <f>IF(AND(A40&lt;&gt;"",ISNUMBER(A40)),VLOOKUP(A40,Studies!A:BR,4,FALSE),"")</f>
        <v>Day 10</v>
      </c>
      <c r="E40" s="206" t="str">
        <f>IF(AND(A40&lt;&gt;"",ISNUMBER(A40)),VLOOKUP(A40,Studies!A:BR,5,FALSE),"")</f>
        <v>Buspirone</v>
      </c>
      <c r="F40" s="207" t="str">
        <f>IF(AND(A40&lt;&gt;"",ISNUMBER(A40)),VLOOKUP(A40,Studies!A:BR,6,FALSE),"")</f>
        <v>Plasma</v>
      </c>
      <c r="G40" s="194">
        <v>218</v>
      </c>
      <c r="H40" s="194" t="s">
        <v>60</v>
      </c>
      <c r="I40" s="187">
        <v>0.2285094</v>
      </c>
      <c r="J40" s="187" t="s">
        <v>1026</v>
      </c>
      <c r="K40" s="187" t="s">
        <v>116</v>
      </c>
      <c r="L40" s="195"/>
      <c r="M40" s="195"/>
      <c r="N40" s="195"/>
      <c r="O40" s="199"/>
      <c r="P40" s="188"/>
      <c r="Q40" s="174">
        <f>IF(ISNUMBER(VLOOKUP(A40,NotghiID!A:A,1,FALSE)),1,0)</f>
        <v>0</v>
      </c>
    </row>
    <row r="41" spans="1:17" ht="14.25" x14ac:dyDescent="0.2">
      <c r="A41" s="183">
        <v>124</v>
      </c>
      <c r="B41" s="232" t="str">
        <f>IF(AND(A41&lt;&gt;"",ISNUMBER(A41)),VLOOKUP(A41,Studies!A:BR,2,FALSE),"")</f>
        <v>Dockens 2006</v>
      </c>
      <c r="C41" s="232" t="str">
        <f>IF(AND(A41&lt;&gt;"",ISNUMBER(A41)),VLOOKUP(A41,Studies!A:BR,3,FALSE),"")</f>
        <v>https://www.ncbi.nlm.nih.gov/pubmed/17050795</v>
      </c>
      <c r="D41" s="232" t="str">
        <f>IF(AND(A41&lt;&gt;"",ISNUMBER(A41)),VLOOKUP(A41,Studies!A:BR,4,FALSE),"")</f>
        <v>Day 10</v>
      </c>
      <c r="E41" s="206" t="str">
        <f>IF(AND(A41&lt;&gt;"",ISNUMBER(A41)),VLOOKUP(A41,Studies!A:BR,5,FALSE),"")</f>
        <v>Buspirone</v>
      </c>
      <c r="F41" s="207" t="str">
        <f>IF(AND(A41&lt;&gt;"",ISNUMBER(A41)),VLOOKUP(A41,Studies!A:BR,6,FALSE),"")</f>
        <v>Plasma</v>
      </c>
      <c r="G41" s="194">
        <v>218.5</v>
      </c>
      <c r="H41" s="194" t="s">
        <v>60</v>
      </c>
      <c r="I41" s="187">
        <v>0.18741740000000001</v>
      </c>
      <c r="J41" s="187" t="s">
        <v>1026</v>
      </c>
      <c r="K41" s="187" t="s">
        <v>116</v>
      </c>
      <c r="L41" s="195"/>
      <c r="M41" s="195"/>
      <c r="N41" s="195"/>
      <c r="O41" s="199"/>
      <c r="P41" s="188"/>
      <c r="Q41" s="174">
        <f>IF(ISNUMBER(VLOOKUP(A41,NotghiID!A:A,1,FALSE)),1,0)</f>
        <v>0</v>
      </c>
    </row>
    <row r="42" spans="1:17" ht="14.25" x14ac:dyDescent="0.2">
      <c r="A42" s="183">
        <v>124</v>
      </c>
      <c r="B42" s="232" t="str">
        <f>IF(AND(A42&lt;&gt;"",ISNUMBER(A42)),VLOOKUP(A42,Studies!A:BR,2,FALSE),"")</f>
        <v>Dockens 2006</v>
      </c>
      <c r="C42" s="232" t="str">
        <f>IF(AND(A42&lt;&gt;"",ISNUMBER(A42)),VLOOKUP(A42,Studies!A:BR,3,FALSE),"")</f>
        <v>https://www.ncbi.nlm.nih.gov/pubmed/17050795</v>
      </c>
      <c r="D42" s="232" t="str">
        <f>IF(AND(A42&lt;&gt;"",ISNUMBER(A42)),VLOOKUP(A42,Studies!A:BR,4,FALSE),"")</f>
        <v>Day 10</v>
      </c>
      <c r="E42" s="206" t="str">
        <f>IF(AND(A42&lt;&gt;"",ISNUMBER(A42)),VLOOKUP(A42,Studies!A:BR,5,FALSE),"")</f>
        <v>Buspirone</v>
      </c>
      <c r="F42" s="207" t="str">
        <f>IF(AND(A42&lt;&gt;"",ISNUMBER(A42)),VLOOKUP(A42,Studies!A:BR,6,FALSE),"")</f>
        <v>Plasma</v>
      </c>
      <c r="G42" s="194">
        <v>219</v>
      </c>
      <c r="H42" s="194" t="s">
        <v>60</v>
      </c>
      <c r="I42" s="187">
        <v>0.1381328</v>
      </c>
      <c r="J42" s="187" t="s">
        <v>1026</v>
      </c>
      <c r="K42" s="187" t="s">
        <v>116</v>
      </c>
      <c r="L42" s="195"/>
      <c r="M42" s="195"/>
      <c r="N42" s="195"/>
      <c r="O42" s="199"/>
      <c r="P42" s="188"/>
      <c r="Q42" s="174">
        <f>IF(ISNUMBER(VLOOKUP(A42,NotghiID!A:A,1,FALSE)),1,0)</f>
        <v>0</v>
      </c>
    </row>
    <row r="43" spans="1:17" ht="14.25" x14ac:dyDescent="0.2">
      <c r="A43" s="183">
        <v>124</v>
      </c>
      <c r="B43" s="232" t="str">
        <f>IF(AND(A43&lt;&gt;"",ISNUMBER(A43)),VLOOKUP(A43,Studies!A:BR,2,FALSE),"")</f>
        <v>Dockens 2006</v>
      </c>
      <c r="C43" s="232" t="str">
        <f>IF(AND(A43&lt;&gt;"",ISNUMBER(A43)),VLOOKUP(A43,Studies!A:BR,3,FALSE),"")</f>
        <v>https://www.ncbi.nlm.nih.gov/pubmed/17050795</v>
      </c>
      <c r="D43" s="232" t="str">
        <f>IF(AND(A43&lt;&gt;"",ISNUMBER(A43)),VLOOKUP(A43,Studies!A:BR,4,FALSE),"")</f>
        <v>Day 10</v>
      </c>
      <c r="E43" s="206" t="str">
        <f>IF(AND(A43&lt;&gt;"",ISNUMBER(A43)),VLOOKUP(A43,Studies!A:BR,5,FALSE),"")</f>
        <v>Buspirone</v>
      </c>
      <c r="F43" s="207" t="str">
        <f>IF(AND(A43&lt;&gt;"",ISNUMBER(A43)),VLOOKUP(A43,Studies!A:BR,6,FALSE),"")</f>
        <v>Plasma</v>
      </c>
      <c r="G43" s="194">
        <v>220</v>
      </c>
      <c r="H43" s="194" t="s">
        <v>60</v>
      </c>
      <c r="I43" s="187">
        <v>8.0491129999999994E-2</v>
      </c>
      <c r="J43" s="187" t="s">
        <v>1026</v>
      </c>
      <c r="K43" s="187" t="s">
        <v>116</v>
      </c>
      <c r="L43" s="195"/>
      <c r="M43" s="195"/>
      <c r="N43" s="195"/>
      <c r="O43" s="199"/>
      <c r="P43" s="188"/>
      <c r="Q43" s="174">
        <f>IF(ISNUMBER(VLOOKUP(A43,NotghiID!A:A,1,FALSE)),1,0)</f>
        <v>0</v>
      </c>
    </row>
    <row r="44" spans="1:17" ht="14.25" x14ac:dyDescent="0.2">
      <c r="A44" s="183">
        <v>124</v>
      </c>
      <c r="B44" s="232" t="str">
        <f>IF(AND(A44&lt;&gt;"",ISNUMBER(A44)),VLOOKUP(A44,Studies!A:BR,2,FALSE),"")</f>
        <v>Dockens 2006</v>
      </c>
      <c r="C44" s="232" t="str">
        <f>IF(AND(A44&lt;&gt;"",ISNUMBER(A44)),VLOOKUP(A44,Studies!A:BR,3,FALSE),"")</f>
        <v>https://www.ncbi.nlm.nih.gov/pubmed/17050795</v>
      </c>
      <c r="D44" s="232" t="str">
        <f>IF(AND(A44&lt;&gt;"",ISNUMBER(A44)),VLOOKUP(A44,Studies!A:BR,4,FALSE),"")</f>
        <v>Day 10</v>
      </c>
      <c r="E44" s="206" t="str">
        <f>IF(AND(A44&lt;&gt;"",ISNUMBER(A44)),VLOOKUP(A44,Studies!A:BR,5,FALSE),"")</f>
        <v>Buspirone</v>
      </c>
      <c r="F44" s="207" t="str">
        <f>IF(AND(A44&lt;&gt;"",ISNUMBER(A44)),VLOOKUP(A44,Studies!A:BR,6,FALSE),"")</f>
        <v>Plasma</v>
      </c>
      <c r="G44" s="194">
        <v>222</v>
      </c>
      <c r="H44" s="194" t="s">
        <v>60</v>
      </c>
      <c r="I44" s="187"/>
      <c r="J44" s="187"/>
      <c r="K44" s="187"/>
      <c r="L44" s="195"/>
      <c r="M44" s="195"/>
      <c r="N44" s="195"/>
      <c r="O44" s="199"/>
      <c r="P44" s="188"/>
      <c r="Q44" s="174">
        <f>IF(ISNUMBER(VLOOKUP(A44,NotghiID!A:A,1,FALSE)),1,0)</f>
        <v>0</v>
      </c>
    </row>
    <row r="45" spans="1:17" ht="14.25" x14ac:dyDescent="0.2">
      <c r="A45" s="183">
        <v>124</v>
      </c>
      <c r="B45" s="232" t="str">
        <f>IF(AND(A45&lt;&gt;"",ISNUMBER(A45)),VLOOKUP(A45,Studies!A:BR,2,FALSE),"")</f>
        <v>Dockens 2006</v>
      </c>
      <c r="C45" s="232" t="str">
        <f>IF(AND(A45&lt;&gt;"",ISNUMBER(A45)),VLOOKUP(A45,Studies!A:BR,3,FALSE),"")</f>
        <v>https://www.ncbi.nlm.nih.gov/pubmed/17050795</v>
      </c>
      <c r="D45" s="232" t="str">
        <f>IF(AND(A45&lt;&gt;"",ISNUMBER(A45)),VLOOKUP(A45,Studies!A:BR,4,FALSE),"")</f>
        <v>Day 10</v>
      </c>
      <c r="E45" s="206" t="str">
        <f>IF(AND(A45&lt;&gt;"",ISNUMBER(A45)),VLOOKUP(A45,Studies!A:BR,5,FALSE),"")</f>
        <v>Buspirone</v>
      </c>
      <c r="F45" s="207" t="str">
        <f>IF(AND(A45&lt;&gt;"",ISNUMBER(A45)),VLOOKUP(A45,Studies!A:BR,6,FALSE),"")</f>
        <v>Plasma</v>
      </c>
      <c r="G45" s="194">
        <v>223</v>
      </c>
      <c r="H45" s="194" t="s">
        <v>60</v>
      </c>
      <c r="I45" s="187"/>
      <c r="J45" s="187"/>
      <c r="K45" s="187"/>
      <c r="L45" s="195"/>
      <c r="M45" s="195"/>
      <c r="N45" s="195"/>
      <c r="O45" s="199"/>
      <c r="P45" s="188"/>
      <c r="Q45" s="174">
        <f>IF(ISNUMBER(VLOOKUP(A45,NotghiID!A:A,1,FALSE)),1,0)</f>
        <v>0</v>
      </c>
    </row>
    <row r="46" spans="1:17" ht="14.25" x14ac:dyDescent="0.2">
      <c r="A46" s="183">
        <v>124</v>
      </c>
      <c r="B46" s="232" t="str">
        <f>IF(AND(A46&lt;&gt;"",ISNUMBER(A46)),VLOOKUP(A46,Studies!A:BR,2,FALSE),"")</f>
        <v>Dockens 2006</v>
      </c>
      <c r="C46" s="232" t="str">
        <f>IF(AND(A46&lt;&gt;"",ISNUMBER(A46)),VLOOKUP(A46,Studies!A:BR,3,FALSE),"")</f>
        <v>https://www.ncbi.nlm.nih.gov/pubmed/17050795</v>
      </c>
      <c r="D46" s="232" t="str">
        <f>IF(AND(A46&lt;&gt;"",ISNUMBER(A46)),VLOOKUP(A46,Studies!A:BR,4,FALSE),"")</f>
        <v>Day 10</v>
      </c>
      <c r="E46" s="206" t="str">
        <f>IF(AND(A46&lt;&gt;"",ISNUMBER(A46)),VLOOKUP(A46,Studies!A:BR,5,FALSE),"")</f>
        <v>Buspirone</v>
      </c>
      <c r="F46" s="207" t="str">
        <f>IF(AND(A46&lt;&gt;"",ISNUMBER(A46)),VLOOKUP(A46,Studies!A:BR,6,FALSE),"")</f>
        <v>Plasma</v>
      </c>
      <c r="G46" s="194">
        <v>224</v>
      </c>
      <c r="H46" s="194" t="s">
        <v>60</v>
      </c>
      <c r="I46" s="187"/>
      <c r="J46" s="187"/>
      <c r="K46" s="187"/>
      <c r="L46" s="195"/>
      <c r="M46" s="195"/>
      <c r="N46" s="195"/>
      <c r="O46" s="199"/>
      <c r="P46" s="188"/>
      <c r="Q46" s="174">
        <f>IF(ISNUMBER(VLOOKUP(A46,NotghiID!A:A,1,FALSE)),1,0)</f>
        <v>0</v>
      </c>
    </row>
    <row r="47" spans="1:17" ht="14.25" x14ac:dyDescent="0.2">
      <c r="A47" s="183">
        <v>124</v>
      </c>
      <c r="B47" s="232" t="str">
        <f>IF(AND(A47&lt;&gt;"",ISNUMBER(A47)),VLOOKUP(A47,Studies!A:BR,2,FALSE),"")</f>
        <v>Dockens 2006</v>
      </c>
      <c r="C47" s="232" t="str">
        <f>IF(AND(A47&lt;&gt;"",ISNUMBER(A47)),VLOOKUP(A47,Studies!A:BR,3,FALSE),"")</f>
        <v>https://www.ncbi.nlm.nih.gov/pubmed/17050795</v>
      </c>
      <c r="D47" s="232" t="str">
        <f>IF(AND(A47&lt;&gt;"",ISNUMBER(A47)),VLOOKUP(A47,Studies!A:BR,4,FALSE),"")</f>
        <v>Day 10</v>
      </c>
      <c r="E47" s="206" t="str">
        <f>IF(AND(A47&lt;&gt;"",ISNUMBER(A47)),VLOOKUP(A47,Studies!A:BR,5,FALSE),"")</f>
        <v>Buspirone</v>
      </c>
      <c r="F47" s="207" t="str">
        <f>IF(AND(A47&lt;&gt;"",ISNUMBER(A47)),VLOOKUP(A47,Studies!A:BR,6,FALSE),"")</f>
        <v>Plasma</v>
      </c>
      <c r="G47" s="194">
        <v>228</v>
      </c>
      <c r="H47" s="194" t="s">
        <v>60</v>
      </c>
      <c r="I47" s="187"/>
      <c r="J47" s="187"/>
      <c r="K47" s="187"/>
      <c r="L47" s="195"/>
      <c r="M47" s="195"/>
      <c r="N47" s="195"/>
      <c r="O47" s="199"/>
      <c r="P47" s="188"/>
      <c r="Q47" s="174">
        <f>IF(ISNUMBER(VLOOKUP(A47,NotghiID!A:A,1,FALSE)),1,0)</f>
        <v>0</v>
      </c>
    </row>
    <row r="48" spans="1:17" ht="14.25" x14ac:dyDescent="0.2">
      <c r="A48" s="183">
        <v>125</v>
      </c>
      <c r="B48" s="232" t="str">
        <f>IF(AND(A48&lt;&gt;"",ISNUMBER(A48)),VLOOKUP(A48,Studies!A:BR,2,FALSE),"")</f>
        <v>Dockens 2006</v>
      </c>
      <c r="C48" s="232" t="str">
        <f>IF(AND(A48&lt;&gt;"",ISNUMBER(A48)),VLOOKUP(A48,Studies!A:BR,3,FALSE),"")</f>
        <v>https://www.ncbi.nlm.nih.gov/pubmed/17050795</v>
      </c>
      <c r="D48" s="232" t="str">
        <f>IF(AND(A48&lt;&gt;"",ISNUMBER(A48)),VLOOKUP(A48,Studies!A:BR,4,FALSE),"")</f>
        <v>Day 15</v>
      </c>
      <c r="E48" s="206" t="str">
        <f>IF(AND(A48&lt;&gt;"",ISNUMBER(A48)),VLOOKUP(A48,Studies!A:BR,5,FALSE),"")</f>
        <v>Buspirone</v>
      </c>
      <c r="F48" s="207" t="str">
        <f>IF(AND(A48&lt;&gt;"",ISNUMBER(A48)),VLOOKUP(A48,Studies!A:BR,6,FALSE),"")</f>
        <v>Plasma</v>
      </c>
      <c r="G48" s="194">
        <v>336.25</v>
      </c>
      <c r="H48" s="194" t="s">
        <v>60</v>
      </c>
      <c r="I48" s="187">
        <v>8.1769679999999997E-2</v>
      </c>
      <c r="J48" s="187" t="s">
        <v>1026</v>
      </c>
      <c r="K48" s="187" t="s">
        <v>116</v>
      </c>
      <c r="L48" s="195"/>
      <c r="M48" s="195"/>
      <c r="N48" s="195"/>
      <c r="O48" s="199"/>
      <c r="P48" s="188"/>
      <c r="Q48" s="174">
        <f>IF(ISNUMBER(VLOOKUP(A48,NotghiID!A:A,1,FALSE)),1,0)</f>
        <v>0</v>
      </c>
    </row>
    <row r="49" spans="1:17" ht="14.25" x14ac:dyDescent="0.2">
      <c r="A49" s="183">
        <v>125</v>
      </c>
      <c r="B49" s="232" t="str">
        <f>IF(AND(A49&lt;&gt;"",ISNUMBER(A49)),VLOOKUP(A49,Studies!A:BR,2,FALSE),"")</f>
        <v>Dockens 2006</v>
      </c>
      <c r="C49" s="232" t="str">
        <f>IF(AND(A49&lt;&gt;"",ISNUMBER(A49)),VLOOKUP(A49,Studies!A:BR,3,FALSE),"")</f>
        <v>https://www.ncbi.nlm.nih.gov/pubmed/17050795</v>
      </c>
      <c r="D49" s="232" t="str">
        <f>IF(AND(A49&lt;&gt;"",ISNUMBER(A49)),VLOOKUP(A49,Studies!A:BR,4,FALSE),"")</f>
        <v>Day 15</v>
      </c>
      <c r="E49" s="206" t="str">
        <f>IF(AND(A49&lt;&gt;"",ISNUMBER(A49)),VLOOKUP(A49,Studies!A:BR,5,FALSE),"")</f>
        <v>Buspirone</v>
      </c>
      <c r="F49" s="207" t="str">
        <f>IF(AND(A49&lt;&gt;"",ISNUMBER(A49)),VLOOKUP(A49,Studies!A:BR,6,FALSE),"")</f>
        <v>Plasma</v>
      </c>
      <c r="G49" s="194">
        <v>336.5</v>
      </c>
      <c r="H49" s="194" t="s">
        <v>60</v>
      </c>
      <c r="I49" s="187">
        <v>1.174453</v>
      </c>
      <c r="J49" s="187" t="s">
        <v>1026</v>
      </c>
      <c r="K49" s="187" t="s">
        <v>116</v>
      </c>
      <c r="L49" s="195"/>
      <c r="M49" s="195"/>
      <c r="N49" s="195"/>
      <c r="O49" s="199"/>
      <c r="P49" s="188"/>
      <c r="Q49" s="174">
        <f>IF(ISNUMBER(VLOOKUP(A49,NotghiID!A:A,1,FALSE)),1,0)</f>
        <v>0</v>
      </c>
    </row>
    <row r="50" spans="1:17" ht="14.25" x14ac:dyDescent="0.2">
      <c r="A50" s="183">
        <v>125</v>
      </c>
      <c r="B50" s="232" t="str">
        <f>IF(AND(A50&lt;&gt;"",ISNUMBER(A50)),VLOOKUP(A50,Studies!A:BR,2,FALSE),"")</f>
        <v>Dockens 2006</v>
      </c>
      <c r="C50" s="232" t="str">
        <f>IF(AND(A50&lt;&gt;"",ISNUMBER(A50)),VLOOKUP(A50,Studies!A:BR,3,FALSE),"")</f>
        <v>https://www.ncbi.nlm.nih.gov/pubmed/17050795</v>
      </c>
      <c r="D50" s="232" t="str">
        <f>IF(AND(A50&lt;&gt;"",ISNUMBER(A50)),VLOOKUP(A50,Studies!A:BR,4,FALSE),"")</f>
        <v>Day 15</v>
      </c>
      <c r="E50" s="206" t="str">
        <f>IF(AND(A50&lt;&gt;"",ISNUMBER(A50)),VLOOKUP(A50,Studies!A:BR,5,FALSE),"")</f>
        <v>Buspirone</v>
      </c>
      <c r="F50" s="207" t="str">
        <f>IF(AND(A50&lt;&gt;"",ISNUMBER(A50)),VLOOKUP(A50,Studies!A:BR,6,FALSE),"")</f>
        <v>Plasma</v>
      </c>
      <c r="G50" s="194">
        <v>336.75</v>
      </c>
      <c r="H50" s="194" t="s">
        <v>60</v>
      </c>
      <c r="I50" s="187">
        <v>1.153904</v>
      </c>
      <c r="J50" s="187" t="s">
        <v>1026</v>
      </c>
      <c r="K50" s="187" t="s">
        <v>116</v>
      </c>
      <c r="L50" s="195"/>
      <c r="M50" s="195"/>
      <c r="N50" s="195"/>
      <c r="O50" s="199"/>
      <c r="P50" s="188"/>
      <c r="Q50" s="174">
        <f>IF(ISNUMBER(VLOOKUP(A50,NotghiID!A:A,1,FALSE)),1,0)</f>
        <v>0</v>
      </c>
    </row>
    <row r="51" spans="1:17" ht="14.25" x14ac:dyDescent="0.2">
      <c r="A51" s="183">
        <v>125</v>
      </c>
      <c r="B51" s="232" t="str">
        <f>IF(AND(A51&lt;&gt;"",ISNUMBER(A51)),VLOOKUP(A51,Studies!A:BR,2,FALSE),"")</f>
        <v>Dockens 2006</v>
      </c>
      <c r="C51" s="232" t="str">
        <f>IF(AND(A51&lt;&gt;"",ISNUMBER(A51)),VLOOKUP(A51,Studies!A:BR,3,FALSE),"")</f>
        <v>https://www.ncbi.nlm.nih.gov/pubmed/17050795</v>
      </c>
      <c r="D51" s="232" t="str">
        <f>IF(AND(A51&lt;&gt;"",ISNUMBER(A51)),VLOOKUP(A51,Studies!A:BR,4,FALSE),"")</f>
        <v>Day 15</v>
      </c>
      <c r="E51" s="206" t="str">
        <f>IF(AND(A51&lt;&gt;"",ISNUMBER(A51)),VLOOKUP(A51,Studies!A:BR,5,FALSE),"")</f>
        <v>Buspirone</v>
      </c>
      <c r="F51" s="207" t="str">
        <f>IF(AND(A51&lt;&gt;"",ISNUMBER(A51)),VLOOKUP(A51,Studies!A:BR,6,FALSE),"")</f>
        <v>Plasma</v>
      </c>
      <c r="G51" s="194">
        <v>337</v>
      </c>
      <c r="H51" s="194" t="s">
        <v>60</v>
      </c>
      <c r="I51" s="187">
        <v>1.231581</v>
      </c>
      <c r="J51" s="187" t="s">
        <v>1026</v>
      </c>
      <c r="K51" s="187" t="s">
        <v>116</v>
      </c>
      <c r="L51" s="195"/>
      <c r="M51" s="195"/>
      <c r="N51" s="195"/>
      <c r="O51" s="199"/>
      <c r="P51" s="188"/>
      <c r="Q51" s="174">
        <f>IF(ISNUMBER(VLOOKUP(A51,NotghiID!A:A,1,FALSE)),1,0)</f>
        <v>0</v>
      </c>
    </row>
    <row r="52" spans="1:17" ht="14.25" x14ac:dyDescent="0.2">
      <c r="A52" s="183">
        <v>125</v>
      </c>
      <c r="B52" s="232" t="str">
        <f>IF(AND(A52&lt;&gt;"",ISNUMBER(A52)),VLOOKUP(A52,Studies!A:BR,2,FALSE),"")</f>
        <v>Dockens 2006</v>
      </c>
      <c r="C52" s="232" t="str">
        <f>IF(AND(A52&lt;&gt;"",ISNUMBER(A52)),VLOOKUP(A52,Studies!A:BR,3,FALSE),"")</f>
        <v>https://www.ncbi.nlm.nih.gov/pubmed/17050795</v>
      </c>
      <c r="D52" s="232" t="str">
        <f>IF(AND(A52&lt;&gt;"",ISNUMBER(A52)),VLOOKUP(A52,Studies!A:BR,4,FALSE),"")</f>
        <v>Day 15</v>
      </c>
      <c r="E52" s="206" t="str">
        <f>IF(AND(A52&lt;&gt;"",ISNUMBER(A52)),VLOOKUP(A52,Studies!A:BR,5,FALSE),"")</f>
        <v>Buspirone</v>
      </c>
      <c r="F52" s="207" t="str">
        <f>IF(AND(A52&lt;&gt;"",ISNUMBER(A52)),VLOOKUP(A52,Studies!A:BR,6,FALSE),"")</f>
        <v>Plasma</v>
      </c>
      <c r="G52" s="194">
        <v>337.5</v>
      </c>
      <c r="H52" s="194" t="s">
        <v>60</v>
      </c>
      <c r="I52" s="187">
        <v>0.7279987</v>
      </c>
      <c r="J52" s="187" t="s">
        <v>1026</v>
      </c>
      <c r="K52" s="187" t="s">
        <v>116</v>
      </c>
      <c r="L52" s="195"/>
      <c r="M52" s="195"/>
      <c r="N52" s="195"/>
      <c r="O52" s="199"/>
      <c r="P52" s="188"/>
      <c r="Q52" s="174">
        <f>IF(ISNUMBER(VLOOKUP(A52,NotghiID!A:A,1,FALSE)),1,0)</f>
        <v>0</v>
      </c>
    </row>
    <row r="53" spans="1:17" ht="14.25" x14ac:dyDescent="0.2">
      <c r="A53" s="183">
        <v>125</v>
      </c>
      <c r="B53" s="232" t="str">
        <f>IF(AND(A53&lt;&gt;"",ISNUMBER(A53)),VLOOKUP(A53,Studies!A:BR,2,FALSE),"")</f>
        <v>Dockens 2006</v>
      </c>
      <c r="C53" s="232" t="str">
        <f>IF(AND(A53&lt;&gt;"",ISNUMBER(A53)),VLOOKUP(A53,Studies!A:BR,3,FALSE),"")</f>
        <v>https://www.ncbi.nlm.nih.gov/pubmed/17050795</v>
      </c>
      <c r="D53" s="232" t="str">
        <f>IF(AND(A53&lt;&gt;"",ISNUMBER(A53)),VLOOKUP(A53,Studies!A:BR,4,FALSE),"")</f>
        <v>Day 15</v>
      </c>
      <c r="E53" s="206" t="str">
        <f>IF(AND(A53&lt;&gt;"",ISNUMBER(A53)),VLOOKUP(A53,Studies!A:BR,5,FALSE),"")</f>
        <v>Buspirone</v>
      </c>
      <c r="F53" s="207" t="str">
        <f>IF(AND(A53&lt;&gt;"",ISNUMBER(A53)),VLOOKUP(A53,Studies!A:BR,6,FALSE),"")</f>
        <v>Plasma</v>
      </c>
      <c r="G53" s="194">
        <v>338</v>
      </c>
      <c r="H53" s="194" t="s">
        <v>60</v>
      </c>
      <c r="I53" s="187">
        <v>0.57639479999999998</v>
      </c>
      <c r="J53" s="187" t="s">
        <v>1026</v>
      </c>
      <c r="K53" s="187" t="s">
        <v>116</v>
      </c>
      <c r="L53" s="195"/>
      <c r="M53" s="195"/>
      <c r="N53" s="195"/>
      <c r="O53" s="199"/>
      <c r="P53" s="188"/>
      <c r="Q53" s="174">
        <f>IF(ISNUMBER(VLOOKUP(A53,NotghiID!A:A,1,FALSE)),1,0)</f>
        <v>0</v>
      </c>
    </row>
    <row r="54" spans="1:17" ht="14.25" x14ac:dyDescent="0.2">
      <c r="A54" s="183">
        <v>125</v>
      </c>
      <c r="B54" s="232" t="str">
        <f>IF(AND(A54&lt;&gt;"",ISNUMBER(A54)),VLOOKUP(A54,Studies!A:BR,2,FALSE),"")</f>
        <v>Dockens 2006</v>
      </c>
      <c r="C54" s="232" t="str">
        <f>IF(AND(A54&lt;&gt;"",ISNUMBER(A54)),VLOOKUP(A54,Studies!A:BR,3,FALSE),"")</f>
        <v>https://www.ncbi.nlm.nih.gov/pubmed/17050795</v>
      </c>
      <c r="D54" s="232" t="str">
        <f>IF(AND(A54&lt;&gt;"",ISNUMBER(A54)),VLOOKUP(A54,Studies!A:BR,4,FALSE),"")</f>
        <v>Day 15</v>
      </c>
      <c r="E54" s="206" t="str">
        <f>IF(AND(A54&lt;&gt;"",ISNUMBER(A54)),VLOOKUP(A54,Studies!A:BR,5,FALSE),"")</f>
        <v>Buspirone</v>
      </c>
      <c r="F54" s="207" t="str">
        <f>IF(AND(A54&lt;&gt;"",ISNUMBER(A54)),VLOOKUP(A54,Studies!A:BR,6,FALSE),"")</f>
        <v>Plasma</v>
      </c>
      <c r="G54" s="194">
        <v>338.5</v>
      </c>
      <c r="H54" s="194" t="s">
        <v>60</v>
      </c>
      <c r="I54" s="187">
        <v>0.42889080000000002</v>
      </c>
      <c r="J54" s="187" t="s">
        <v>1026</v>
      </c>
      <c r="K54" s="187" t="s">
        <v>116</v>
      </c>
      <c r="L54" s="195"/>
      <c r="M54" s="195"/>
      <c r="N54" s="195"/>
      <c r="O54" s="199"/>
      <c r="P54" s="188"/>
      <c r="Q54" s="174">
        <f>IF(ISNUMBER(VLOOKUP(A54,NotghiID!A:A,1,FALSE)),1,0)</f>
        <v>0</v>
      </c>
    </row>
    <row r="55" spans="1:17" ht="14.25" x14ac:dyDescent="0.2">
      <c r="A55" s="183">
        <v>125</v>
      </c>
      <c r="B55" s="232" t="str">
        <f>IF(AND(A55&lt;&gt;"",ISNUMBER(A55)),VLOOKUP(A55,Studies!A:BR,2,FALSE),"")</f>
        <v>Dockens 2006</v>
      </c>
      <c r="C55" s="232" t="str">
        <f>IF(AND(A55&lt;&gt;"",ISNUMBER(A55)),VLOOKUP(A55,Studies!A:BR,3,FALSE),"")</f>
        <v>https://www.ncbi.nlm.nih.gov/pubmed/17050795</v>
      </c>
      <c r="D55" s="232" t="str">
        <f>IF(AND(A55&lt;&gt;"",ISNUMBER(A55)),VLOOKUP(A55,Studies!A:BR,4,FALSE),"")</f>
        <v>Day 15</v>
      </c>
      <c r="E55" s="206" t="str">
        <f>IF(AND(A55&lt;&gt;"",ISNUMBER(A55)),VLOOKUP(A55,Studies!A:BR,5,FALSE),"")</f>
        <v>Buspirone</v>
      </c>
      <c r="F55" s="207" t="str">
        <f>IF(AND(A55&lt;&gt;"",ISNUMBER(A55)),VLOOKUP(A55,Studies!A:BR,6,FALSE),"")</f>
        <v>Plasma</v>
      </c>
      <c r="G55" s="194">
        <v>339</v>
      </c>
      <c r="H55" s="194" t="s">
        <v>60</v>
      </c>
      <c r="I55" s="187">
        <v>0.2731941</v>
      </c>
      <c r="J55" s="187" t="s">
        <v>1026</v>
      </c>
      <c r="K55" s="187" t="s">
        <v>116</v>
      </c>
      <c r="L55" s="195"/>
      <c r="M55" s="195"/>
      <c r="N55" s="195"/>
      <c r="O55" s="199"/>
      <c r="P55" s="188"/>
      <c r="Q55" s="174">
        <f>IF(ISNUMBER(VLOOKUP(A55,NotghiID!A:A,1,FALSE)),1,0)</f>
        <v>0</v>
      </c>
    </row>
    <row r="56" spans="1:17" ht="14.25" x14ac:dyDescent="0.2">
      <c r="A56" s="183">
        <v>125</v>
      </c>
      <c r="B56" s="232" t="str">
        <f>IF(AND(A56&lt;&gt;"",ISNUMBER(A56)),VLOOKUP(A56,Studies!A:BR,2,FALSE),"")</f>
        <v>Dockens 2006</v>
      </c>
      <c r="C56" s="232" t="str">
        <f>IF(AND(A56&lt;&gt;"",ISNUMBER(A56)),VLOOKUP(A56,Studies!A:BR,3,FALSE),"")</f>
        <v>https://www.ncbi.nlm.nih.gov/pubmed/17050795</v>
      </c>
      <c r="D56" s="232" t="str">
        <f>IF(AND(A56&lt;&gt;"",ISNUMBER(A56)),VLOOKUP(A56,Studies!A:BR,4,FALSE),"")</f>
        <v>Day 15</v>
      </c>
      <c r="E56" s="206" t="str">
        <f>IF(AND(A56&lt;&gt;"",ISNUMBER(A56)),VLOOKUP(A56,Studies!A:BR,5,FALSE),"")</f>
        <v>Buspirone</v>
      </c>
      <c r="F56" s="207" t="str">
        <f>IF(AND(A56&lt;&gt;"",ISNUMBER(A56)),VLOOKUP(A56,Studies!A:BR,6,FALSE),"")</f>
        <v>Plasma</v>
      </c>
      <c r="G56" s="194">
        <v>340</v>
      </c>
      <c r="H56" s="194" t="s">
        <v>60</v>
      </c>
      <c r="I56" s="187">
        <v>0.1746248</v>
      </c>
      <c r="J56" s="187" t="s">
        <v>1026</v>
      </c>
      <c r="K56" s="187" t="s">
        <v>116</v>
      </c>
      <c r="L56" s="195"/>
      <c r="M56" s="195"/>
      <c r="N56" s="195"/>
      <c r="O56" s="199"/>
      <c r="P56" s="188"/>
      <c r="Q56" s="174">
        <f>IF(ISNUMBER(VLOOKUP(A56,NotghiID!A:A,1,FALSE)),1,0)</f>
        <v>0</v>
      </c>
    </row>
    <row r="57" spans="1:17" ht="14.25" x14ac:dyDescent="0.2">
      <c r="A57" s="183">
        <v>125</v>
      </c>
      <c r="B57" s="232" t="str">
        <f>IF(AND(A57&lt;&gt;"",ISNUMBER(A57)),VLOOKUP(A57,Studies!A:BR,2,FALSE),"")</f>
        <v>Dockens 2006</v>
      </c>
      <c r="C57" s="232" t="str">
        <f>IF(AND(A57&lt;&gt;"",ISNUMBER(A57)),VLOOKUP(A57,Studies!A:BR,3,FALSE),"")</f>
        <v>https://www.ncbi.nlm.nih.gov/pubmed/17050795</v>
      </c>
      <c r="D57" s="232" t="str">
        <f>IF(AND(A57&lt;&gt;"",ISNUMBER(A57)),VLOOKUP(A57,Studies!A:BR,4,FALSE),"")</f>
        <v>Day 15</v>
      </c>
      <c r="E57" s="206" t="str">
        <f>IF(AND(A57&lt;&gt;"",ISNUMBER(A57)),VLOOKUP(A57,Studies!A:BR,5,FALSE),"")</f>
        <v>Buspirone</v>
      </c>
      <c r="F57" s="207" t="str">
        <f>IF(AND(A57&lt;&gt;"",ISNUMBER(A57)),VLOOKUP(A57,Studies!A:BR,6,FALSE),"")</f>
        <v>Plasma</v>
      </c>
      <c r="G57" s="194">
        <v>342</v>
      </c>
      <c r="H57" s="194" t="s">
        <v>60</v>
      </c>
      <c r="I57" s="187">
        <v>5.934159E-2</v>
      </c>
      <c r="J57" s="187" t="s">
        <v>1026</v>
      </c>
      <c r="K57" s="187" t="s">
        <v>116</v>
      </c>
      <c r="L57" s="195"/>
      <c r="M57" s="195"/>
      <c r="N57" s="195"/>
      <c r="O57" s="199"/>
      <c r="P57" s="188"/>
      <c r="Q57" s="174">
        <f>IF(ISNUMBER(VLOOKUP(A57,NotghiID!A:A,1,FALSE)),1,0)</f>
        <v>0</v>
      </c>
    </row>
    <row r="58" spans="1:17" ht="14.25" x14ac:dyDescent="0.2">
      <c r="A58" s="183">
        <v>125</v>
      </c>
      <c r="B58" s="232" t="str">
        <f>IF(AND(A58&lt;&gt;"",ISNUMBER(A58)),VLOOKUP(A58,Studies!A:BR,2,FALSE),"")</f>
        <v>Dockens 2006</v>
      </c>
      <c r="C58" s="232" t="str">
        <f>IF(AND(A58&lt;&gt;"",ISNUMBER(A58)),VLOOKUP(A58,Studies!A:BR,3,FALSE),"")</f>
        <v>https://www.ncbi.nlm.nih.gov/pubmed/17050795</v>
      </c>
      <c r="D58" s="232" t="str">
        <f>IF(AND(A58&lt;&gt;"",ISNUMBER(A58)),VLOOKUP(A58,Studies!A:BR,4,FALSE),"")</f>
        <v>Day 15</v>
      </c>
      <c r="E58" s="206" t="str">
        <f>IF(AND(A58&lt;&gt;"",ISNUMBER(A58)),VLOOKUP(A58,Studies!A:BR,5,FALSE),"")</f>
        <v>Buspirone</v>
      </c>
      <c r="F58" s="207" t="str">
        <f>IF(AND(A58&lt;&gt;"",ISNUMBER(A58)),VLOOKUP(A58,Studies!A:BR,6,FALSE),"")</f>
        <v>Plasma</v>
      </c>
      <c r="G58" s="194">
        <v>343</v>
      </c>
      <c r="H58" s="194" t="s">
        <v>60</v>
      </c>
      <c r="I58" s="187">
        <v>3.035649E-2</v>
      </c>
      <c r="J58" s="187" t="s">
        <v>1026</v>
      </c>
      <c r="K58" s="187" t="s">
        <v>116</v>
      </c>
      <c r="L58" s="195"/>
      <c r="M58" s="195"/>
      <c r="N58" s="195"/>
      <c r="O58" s="199"/>
      <c r="P58" s="188"/>
      <c r="Q58" s="174">
        <f>IF(ISNUMBER(VLOOKUP(A58,NotghiID!A:A,1,FALSE)),1,0)</f>
        <v>0</v>
      </c>
    </row>
    <row r="59" spans="1:17" ht="14.25" x14ac:dyDescent="0.2">
      <c r="A59" s="183">
        <v>125</v>
      </c>
      <c r="B59" s="232" t="str">
        <f>IF(AND(A59&lt;&gt;"",ISNUMBER(A59)),VLOOKUP(A59,Studies!A:BR,2,FALSE),"")</f>
        <v>Dockens 2006</v>
      </c>
      <c r="C59" s="232" t="str">
        <f>IF(AND(A59&lt;&gt;"",ISNUMBER(A59)),VLOOKUP(A59,Studies!A:BR,3,FALSE),"")</f>
        <v>https://www.ncbi.nlm.nih.gov/pubmed/17050795</v>
      </c>
      <c r="D59" s="232" t="str">
        <f>IF(AND(A59&lt;&gt;"",ISNUMBER(A59)),VLOOKUP(A59,Studies!A:BR,4,FALSE),"")</f>
        <v>Day 15</v>
      </c>
      <c r="E59" s="206" t="str">
        <f>IF(AND(A59&lt;&gt;"",ISNUMBER(A59)),VLOOKUP(A59,Studies!A:BR,5,FALSE),"")</f>
        <v>Buspirone</v>
      </c>
      <c r="F59" s="207" t="str">
        <f>IF(AND(A59&lt;&gt;"",ISNUMBER(A59)),VLOOKUP(A59,Studies!A:BR,6,FALSE),"")</f>
        <v>Plasma</v>
      </c>
      <c r="G59" s="194">
        <v>344</v>
      </c>
      <c r="H59" s="194" t="s">
        <v>60</v>
      </c>
      <c r="I59" s="187">
        <v>3.0013640000000001E-2</v>
      </c>
      <c r="J59" s="187" t="s">
        <v>1026</v>
      </c>
      <c r="K59" s="187" t="s">
        <v>116</v>
      </c>
      <c r="L59" s="195"/>
      <c r="M59" s="195"/>
      <c r="N59" s="195"/>
      <c r="O59" s="199"/>
      <c r="P59" s="188"/>
      <c r="Q59" s="174">
        <f>IF(ISNUMBER(VLOOKUP(A59,NotghiID!A:A,1,FALSE)),1,0)</f>
        <v>0</v>
      </c>
    </row>
    <row r="60" spans="1:17" ht="14.25" x14ac:dyDescent="0.2">
      <c r="A60" s="183">
        <v>125</v>
      </c>
      <c r="B60" s="232" t="str">
        <f>IF(AND(A60&lt;&gt;"",ISNUMBER(A60)),VLOOKUP(A60,Studies!A:BR,2,FALSE),"")</f>
        <v>Dockens 2006</v>
      </c>
      <c r="C60" s="232" t="str">
        <f>IF(AND(A60&lt;&gt;"",ISNUMBER(A60)),VLOOKUP(A60,Studies!A:BR,3,FALSE),"")</f>
        <v>https://www.ncbi.nlm.nih.gov/pubmed/17050795</v>
      </c>
      <c r="D60" s="232" t="str">
        <f>IF(AND(A60&lt;&gt;"",ISNUMBER(A60)),VLOOKUP(A60,Studies!A:BR,4,FALSE),"")</f>
        <v>Day 15</v>
      </c>
      <c r="E60" s="206" t="str">
        <f>IF(AND(A60&lt;&gt;"",ISNUMBER(A60)),VLOOKUP(A60,Studies!A:BR,5,FALSE),"")</f>
        <v>Buspirone</v>
      </c>
      <c r="F60" s="207" t="str">
        <f>IF(AND(A60&lt;&gt;"",ISNUMBER(A60)),VLOOKUP(A60,Studies!A:BR,6,FALSE),"")</f>
        <v>Plasma</v>
      </c>
      <c r="G60" s="194">
        <v>348</v>
      </c>
      <c r="H60" s="194" t="s">
        <v>60</v>
      </c>
      <c r="I60" s="187"/>
      <c r="J60" s="187"/>
      <c r="K60" s="187"/>
      <c r="L60" s="195"/>
      <c r="M60" s="195"/>
      <c r="N60" s="195"/>
      <c r="O60" s="199"/>
      <c r="P60" s="188"/>
      <c r="Q60" s="174">
        <f>IF(ISNUMBER(VLOOKUP(A60,NotghiID!A:A,1,FALSE)),1,0)</f>
        <v>0</v>
      </c>
    </row>
    <row r="61" spans="1:17" ht="14.25" x14ac:dyDescent="0.2">
      <c r="A61" s="183">
        <v>126</v>
      </c>
      <c r="B61" s="232" t="str">
        <f>IF(AND(A61&lt;&gt;"",ISNUMBER(A61)),VLOOKUP(A61,Studies!A:BR,2,FALSE),"")</f>
        <v>Dockens 2006</v>
      </c>
      <c r="C61" s="232" t="str">
        <f>IF(AND(A61&lt;&gt;"",ISNUMBER(A61)),VLOOKUP(A61,Studies!A:BR,3,FALSE),"")</f>
        <v>https://www.ncbi.nlm.nih.gov/pubmed/17050795</v>
      </c>
      <c r="D61" s="232" t="str">
        <f>IF(AND(A61&lt;&gt;"",ISNUMBER(A61)),VLOOKUP(A61,Studies!A:BR,4,FALSE),"")</f>
        <v>Day 20</v>
      </c>
      <c r="E61" s="206" t="str">
        <f>IF(AND(A61&lt;&gt;"",ISNUMBER(A61)),VLOOKUP(A61,Studies!A:BR,5,FALSE),"")</f>
        <v>Buspirone</v>
      </c>
      <c r="F61" s="207" t="str">
        <f>IF(AND(A61&lt;&gt;"",ISNUMBER(A61)),VLOOKUP(A61,Studies!A:BR,6,FALSE),"")</f>
        <v>Plasma</v>
      </c>
      <c r="G61" s="194">
        <v>468.25</v>
      </c>
      <c r="H61" s="194" t="s">
        <v>60</v>
      </c>
      <c r="I61" s="187">
        <v>0.22091669999999999</v>
      </c>
      <c r="J61" s="187" t="s">
        <v>1026</v>
      </c>
      <c r="K61" s="187" t="s">
        <v>116</v>
      </c>
      <c r="L61" s="195"/>
      <c r="M61" s="195"/>
      <c r="N61" s="195"/>
      <c r="O61" s="199"/>
      <c r="P61" s="188"/>
      <c r="Q61" s="174">
        <f>IF(ISNUMBER(VLOOKUP(A61,NotghiID!A:A,1,FALSE)),1,0)</f>
        <v>0</v>
      </c>
    </row>
    <row r="62" spans="1:17" ht="14.25" x14ac:dyDescent="0.2">
      <c r="A62" s="183">
        <v>126</v>
      </c>
      <c r="B62" s="232" t="str">
        <f>IF(AND(A62&lt;&gt;"",ISNUMBER(A62)),VLOOKUP(A62,Studies!A:BR,2,FALSE),"")</f>
        <v>Dockens 2006</v>
      </c>
      <c r="C62" s="232" t="str">
        <f>IF(AND(A62&lt;&gt;"",ISNUMBER(A62)),VLOOKUP(A62,Studies!A:BR,3,FALSE),"")</f>
        <v>https://www.ncbi.nlm.nih.gov/pubmed/17050795</v>
      </c>
      <c r="D62" s="232" t="str">
        <f>IF(AND(A62&lt;&gt;"",ISNUMBER(A62)),VLOOKUP(A62,Studies!A:BR,4,FALSE),"")</f>
        <v>Day 20</v>
      </c>
      <c r="E62" s="206" t="str">
        <f>IF(AND(A62&lt;&gt;"",ISNUMBER(A62)),VLOOKUP(A62,Studies!A:BR,5,FALSE),"")</f>
        <v>Buspirone</v>
      </c>
      <c r="F62" s="207" t="str">
        <f>IF(AND(A62&lt;&gt;"",ISNUMBER(A62)),VLOOKUP(A62,Studies!A:BR,6,FALSE),"")</f>
        <v>Plasma</v>
      </c>
      <c r="G62" s="194">
        <v>468.5</v>
      </c>
      <c r="H62" s="194" t="s">
        <v>60</v>
      </c>
      <c r="I62" s="187">
        <v>1.399556</v>
      </c>
      <c r="J62" s="187" t="s">
        <v>1026</v>
      </c>
      <c r="K62" s="187" t="s">
        <v>116</v>
      </c>
      <c r="L62" s="195"/>
      <c r="M62" s="195"/>
      <c r="N62" s="195"/>
      <c r="O62" s="199"/>
      <c r="P62" s="188"/>
      <c r="Q62" s="174">
        <f>IF(ISNUMBER(VLOOKUP(A62,NotghiID!A:A,1,FALSE)),1,0)</f>
        <v>0</v>
      </c>
    </row>
    <row r="63" spans="1:17" ht="14.25" x14ac:dyDescent="0.2">
      <c r="A63" s="183">
        <v>126</v>
      </c>
      <c r="B63" s="232" t="str">
        <f>IF(AND(A63&lt;&gt;"",ISNUMBER(A63)),VLOOKUP(A63,Studies!A:BR,2,FALSE),"")</f>
        <v>Dockens 2006</v>
      </c>
      <c r="C63" s="232" t="str">
        <f>IF(AND(A63&lt;&gt;"",ISNUMBER(A63)),VLOOKUP(A63,Studies!A:BR,3,FALSE),"")</f>
        <v>https://www.ncbi.nlm.nih.gov/pubmed/17050795</v>
      </c>
      <c r="D63" s="232" t="str">
        <f>IF(AND(A63&lt;&gt;"",ISNUMBER(A63)),VLOOKUP(A63,Studies!A:BR,4,FALSE),"")</f>
        <v>Day 20</v>
      </c>
      <c r="E63" s="206" t="str">
        <f>IF(AND(A63&lt;&gt;"",ISNUMBER(A63)),VLOOKUP(A63,Studies!A:BR,5,FALSE),"")</f>
        <v>Buspirone</v>
      </c>
      <c r="F63" s="207" t="str">
        <f>IF(AND(A63&lt;&gt;"",ISNUMBER(A63)),VLOOKUP(A63,Studies!A:BR,6,FALSE),"")</f>
        <v>Plasma</v>
      </c>
      <c r="G63" s="194">
        <v>468.75</v>
      </c>
      <c r="H63" s="194" t="s">
        <v>60</v>
      </c>
      <c r="I63" s="187">
        <v>1.3831059999999999</v>
      </c>
      <c r="J63" s="187" t="s">
        <v>1026</v>
      </c>
      <c r="K63" s="187" t="s">
        <v>116</v>
      </c>
      <c r="L63" s="195"/>
      <c r="M63" s="195"/>
      <c r="N63" s="195"/>
      <c r="O63" s="199"/>
      <c r="P63" s="188"/>
      <c r="Q63" s="174">
        <f>IF(ISNUMBER(VLOOKUP(A63,NotghiID!A:A,1,FALSE)),1,0)</f>
        <v>0</v>
      </c>
    </row>
    <row r="64" spans="1:17" ht="14.25" x14ac:dyDescent="0.2">
      <c r="A64" s="183">
        <v>126</v>
      </c>
      <c r="B64" s="232" t="str">
        <f>IF(AND(A64&lt;&gt;"",ISNUMBER(A64)),VLOOKUP(A64,Studies!A:BR,2,FALSE),"")</f>
        <v>Dockens 2006</v>
      </c>
      <c r="C64" s="232" t="str">
        <f>IF(AND(A64&lt;&gt;"",ISNUMBER(A64)),VLOOKUP(A64,Studies!A:BR,3,FALSE),"")</f>
        <v>https://www.ncbi.nlm.nih.gov/pubmed/17050795</v>
      </c>
      <c r="D64" s="232" t="str">
        <f>IF(AND(A64&lt;&gt;"",ISNUMBER(A64)),VLOOKUP(A64,Studies!A:BR,4,FALSE),"")</f>
        <v>Day 20</v>
      </c>
      <c r="E64" s="206" t="str">
        <f>IF(AND(A64&lt;&gt;"",ISNUMBER(A64)),VLOOKUP(A64,Studies!A:BR,5,FALSE),"")</f>
        <v>Buspirone</v>
      </c>
      <c r="F64" s="207" t="str">
        <f>IF(AND(A64&lt;&gt;"",ISNUMBER(A64)),VLOOKUP(A64,Studies!A:BR,6,FALSE),"")</f>
        <v>Plasma</v>
      </c>
      <c r="G64" s="194">
        <v>469</v>
      </c>
      <c r="H64" s="194" t="s">
        <v>60</v>
      </c>
      <c r="I64" s="187">
        <v>1.3052649999999999</v>
      </c>
      <c r="J64" s="187" t="s">
        <v>1026</v>
      </c>
      <c r="K64" s="187" t="s">
        <v>116</v>
      </c>
      <c r="L64" s="195"/>
      <c r="M64" s="195"/>
      <c r="N64" s="195"/>
      <c r="O64" s="199"/>
      <c r="P64" s="188"/>
      <c r="Q64" s="174">
        <f>IF(ISNUMBER(VLOOKUP(A64,NotghiID!A:A,1,FALSE)),1,0)</f>
        <v>0</v>
      </c>
    </row>
    <row r="65" spans="1:17" ht="14.25" x14ac:dyDescent="0.2">
      <c r="A65" s="183">
        <v>126</v>
      </c>
      <c r="B65" s="232" t="str">
        <f>IF(AND(A65&lt;&gt;"",ISNUMBER(A65)),VLOOKUP(A65,Studies!A:BR,2,FALSE),"")</f>
        <v>Dockens 2006</v>
      </c>
      <c r="C65" s="232" t="str">
        <f>IF(AND(A65&lt;&gt;"",ISNUMBER(A65)),VLOOKUP(A65,Studies!A:BR,3,FALSE),"")</f>
        <v>https://www.ncbi.nlm.nih.gov/pubmed/17050795</v>
      </c>
      <c r="D65" s="232" t="str">
        <f>IF(AND(A65&lt;&gt;"",ISNUMBER(A65)),VLOOKUP(A65,Studies!A:BR,4,FALSE),"")</f>
        <v>Day 20</v>
      </c>
      <c r="E65" s="206" t="str">
        <f>IF(AND(A65&lt;&gt;"",ISNUMBER(A65)),VLOOKUP(A65,Studies!A:BR,5,FALSE),"")</f>
        <v>Buspirone</v>
      </c>
      <c r="F65" s="207" t="str">
        <f>IF(AND(A65&lt;&gt;"",ISNUMBER(A65)),VLOOKUP(A65,Studies!A:BR,6,FALSE),"")</f>
        <v>Plasma</v>
      </c>
      <c r="G65" s="194">
        <v>469.5</v>
      </c>
      <c r="H65" s="194" t="s">
        <v>60</v>
      </c>
      <c r="I65" s="187">
        <v>1.092255</v>
      </c>
      <c r="J65" s="187" t="s">
        <v>1026</v>
      </c>
      <c r="K65" s="187" t="s">
        <v>116</v>
      </c>
      <c r="L65" s="195"/>
      <c r="M65" s="195"/>
      <c r="N65" s="195"/>
      <c r="O65" s="199"/>
      <c r="P65" s="188"/>
      <c r="Q65" s="174">
        <f>IF(ISNUMBER(VLOOKUP(A65,NotghiID!A:A,1,FALSE)),1,0)</f>
        <v>0</v>
      </c>
    </row>
    <row r="66" spans="1:17" ht="14.25" x14ac:dyDescent="0.2">
      <c r="A66" s="183">
        <v>126</v>
      </c>
      <c r="B66" s="232" t="str">
        <f>IF(AND(A66&lt;&gt;"",ISNUMBER(A66)),VLOOKUP(A66,Studies!A:BR,2,FALSE),"")</f>
        <v>Dockens 2006</v>
      </c>
      <c r="C66" s="232" t="str">
        <f>IF(AND(A66&lt;&gt;"",ISNUMBER(A66)),VLOOKUP(A66,Studies!A:BR,3,FALSE),"")</f>
        <v>https://www.ncbi.nlm.nih.gov/pubmed/17050795</v>
      </c>
      <c r="D66" s="232" t="str">
        <f>IF(AND(A66&lt;&gt;"",ISNUMBER(A66)),VLOOKUP(A66,Studies!A:BR,4,FALSE),"")</f>
        <v>Day 20</v>
      </c>
      <c r="E66" s="206" t="str">
        <f>IF(AND(A66&lt;&gt;"",ISNUMBER(A66)),VLOOKUP(A66,Studies!A:BR,5,FALSE),"")</f>
        <v>Buspirone</v>
      </c>
      <c r="F66" s="207" t="str">
        <f>IF(AND(A66&lt;&gt;"",ISNUMBER(A66)),VLOOKUP(A66,Studies!A:BR,6,FALSE),"")</f>
        <v>Plasma</v>
      </c>
      <c r="G66" s="194">
        <v>470</v>
      </c>
      <c r="H66" s="194" t="s">
        <v>60</v>
      </c>
      <c r="I66" s="187">
        <v>0.85471030000000003</v>
      </c>
      <c r="J66" s="187" t="s">
        <v>1026</v>
      </c>
      <c r="K66" s="187" t="s">
        <v>116</v>
      </c>
      <c r="L66" s="195"/>
      <c r="M66" s="195"/>
      <c r="N66" s="195"/>
      <c r="O66" s="199"/>
      <c r="P66" s="188"/>
      <c r="Q66" s="174">
        <f>IF(ISNUMBER(VLOOKUP(A66,NotghiID!A:A,1,FALSE)),1,0)</f>
        <v>0</v>
      </c>
    </row>
    <row r="67" spans="1:17" ht="14.25" x14ac:dyDescent="0.2">
      <c r="A67" s="183">
        <v>126</v>
      </c>
      <c r="B67" s="232" t="str">
        <f>IF(AND(A67&lt;&gt;"",ISNUMBER(A67)),VLOOKUP(A67,Studies!A:BR,2,FALSE),"")</f>
        <v>Dockens 2006</v>
      </c>
      <c r="C67" s="232" t="str">
        <f>IF(AND(A67&lt;&gt;"",ISNUMBER(A67)),VLOOKUP(A67,Studies!A:BR,3,FALSE),"")</f>
        <v>https://www.ncbi.nlm.nih.gov/pubmed/17050795</v>
      </c>
      <c r="D67" s="232" t="str">
        <f>IF(AND(A67&lt;&gt;"",ISNUMBER(A67)),VLOOKUP(A67,Studies!A:BR,4,FALSE),"")</f>
        <v>Day 20</v>
      </c>
      <c r="E67" s="206" t="str">
        <f>IF(AND(A67&lt;&gt;"",ISNUMBER(A67)),VLOOKUP(A67,Studies!A:BR,5,FALSE),"")</f>
        <v>Buspirone</v>
      </c>
      <c r="F67" s="207" t="str">
        <f>IF(AND(A67&lt;&gt;"",ISNUMBER(A67)),VLOOKUP(A67,Studies!A:BR,6,FALSE),"")</f>
        <v>Plasma</v>
      </c>
      <c r="G67" s="194">
        <v>470.5</v>
      </c>
      <c r="H67" s="194" t="s">
        <v>60</v>
      </c>
      <c r="I67" s="187">
        <v>0.5639594</v>
      </c>
      <c r="J67" s="187" t="s">
        <v>1026</v>
      </c>
      <c r="K67" s="187" t="s">
        <v>116</v>
      </c>
      <c r="L67" s="195"/>
      <c r="M67" s="195"/>
      <c r="N67" s="195"/>
      <c r="O67" s="199"/>
      <c r="P67" s="188"/>
      <c r="Q67" s="174">
        <f>IF(ISNUMBER(VLOOKUP(A67,NotghiID!A:A,1,FALSE)),1,0)</f>
        <v>0</v>
      </c>
    </row>
    <row r="68" spans="1:17" ht="14.25" x14ac:dyDescent="0.2">
      <c r="A68" s="183">
        <v>126</v>
      </c>
      <c r="B68" s="232" t="str">
        <f>IF(AND(A68&lt;&gt;"",ISNUMBER(A68)),VLOOKUP(A68,Studies!A:BR,2,FALSE),"")</f>
        <v>Dockens 2006</v>
      </c>
      <c r="C68" s="232" t="str">
        <f>IF(AND(A68&lt;&gt;"",ISNUMBER(A68)),VLOOKUP(A68,Studies!A:BR,3,FALSE),"")</f>
        <v>https://www.ncbi.nlm.nih.gov/pubmed/17050795</v>
      </c>
      <c r="D68" s="232" t="str">
        <f>IF(AND(A68&lt;&gt;"",ISNUMBER(A68)),VLOOKUP(A68,Studies!A:BR,4,FALSE),"")</f>
        <v>Day 20</v>
      </c>
      <c r="E68" s="206" t="str">
        <f>IF(AND(A68&lt;&gt;"",ISNUMBER(A68)),VLOOKUP(A68,Studies!A:BR,5,FALSE),"")</f>
        <v>Buspirone</v>
      </c>
      <c r="F68" s="207" t="str">
        <f>IF(AND(A68&lt;&gt;"",ISNUMBER(A68)),VLOOKUP(A68,Studies!A:BR,6,FALSE),"")</f>
        <v>Plasma</v>
      </c>
      <c r="G68" s="194">
        <v>471</v>
      </c>
      <c r="H68" s="194" t="s">
        <v>60</v>
      </c>
      <c r="I68" s="187">
        <v>0.42463380000000001</v>
      </c>
      <c r="J68" s="187" t="s">
        <v>1026</v>
      </c>
      <c r="K68" s="187" t="s">
        <v>116</v>
      </c>
      <c r="L68" s="195"/>
      <c r="M68" s="195"/>
      <c r="N68" s="195"/>
      <c r="O68" s="199"/>
      <c r="P68" s="188"/>
      <c r="Q68" s="174">
        <f>IF(ISNUMBER(VLOOKUP(A68,NotghiID!A:A,1,FALSE)),1,0)</f>
        <v>0</v>
      </c>
    </row>
    <row r="69" spans="1:17" ht="14.25" x14ac:dyDescent="0.2">
      <c r="A69" s="183">
        <v>126</v>
      </c>
      <c r="B69" s="232" t="str">
        <f>IF(AND(A69&lt;&gt;"",ISNUMBER(A69)),VLOOKUP(A69,Studies!A:BR,2,FALSE),"")</f>
        <v>Dockens 2006</v>
      </c>
      <c r="C69" s="232" t="str">
        <f>IF(AND(A69&lt;&gt;"",ISNUMBER(A69)),VLOOKUP(A69,Studies!A:BR,3,FALSE),"")</f>
        <v>https://www.ncbi.nlm.nih.gov/pubmed/17050795</v>
      </c>
      <c r="D69" s="232" t="str">
        <f>IF(AND(A69&lt;&gt;"",ISNUMBER(A69)),VLOOKUP(A69,Studies!A:BR,4,FALSE),"")</f>
        <v>Day 20</v>
      </c>
      <c r="E69" s="206" t="str">
        <f>IF(AND(A69&lt;&gt;"",ISNUMBER(A69)),VLOOKUP(A69,Studies!A:BR,5,FALSE),"")</f>
        <v>Buspirone</v>
      </c>
      <c r="F69" s="207" t="str">
        <f>IF(AND(A69&lt;&gt;"",ISNUMBER(A69)),VLOOKUP(A69,Studies!A:BR,6,FALSE),"")</f>
        <v>Plasma</v>
      </c>
      <c r="G69" s="194">
        <v>472</v>
      </c>
      <c r="H69" s="194" t="s">
        <v>60</v>
      </c>
      <c r="I69" s="187">
        <v>0.26875850000000001</v>
      </c>
      <c r="J69" s="187" t="s">
        <v>1026</v>
      </c>
      <c r="K69" s="187" t="s">
        <v>116</v>
      </c>
      <c r="L69" s="195"/>
      <c r="M69" s="195"/>
      <c r="N69" s="195"/>
      <c r="O69" s="199"/>
      <c r="P69" s="188"/>
      <c r="Q69" s="174">
        <f>IF(ISNUMBER(VLOOKUP(A69,NotghiID!A:A,1,FALSE)),1,0)</f>
        <v>0</v>
      </c>
    </row>
    <row r="70" spans="1:17" ht="14.25" x14ac:dyDescent="0.2">
      <c r="A70" s="183">
        <v>126</v>
      </c>
      <c r="B70" s="232" t="str">
        <f>IF(AND(A70&lt;&gt;"",ISNUMBER(A70)),VLOOKUP(A70,Studies!A:BR,2,FALSE),"")</f>
        <v>Dockens 2006</v>
      </c>
      <c r="C70" s="232" t="str">
        <f>IF(AND(A70&lt;&gt;"",ISNUMBER(A70)),VLOOKUP(A70,Studies!A:BR,3,FALSE),"")</f>
        <v>https://www.ncbi.nlm.nih.gov/pubmed/17050795</v>
      </c>
      <c r="D70" s="232" t="str">
        <f>IF(AND(A70&lt;&gt;"",ISNUMBER(A70)),VLOOKUP(A70,Studies!A:BR,4,FALSE),"")</f>
        <v>Day 20</v>
      </c>
      <c r="E70" s="206" t="str">
        <f>IF(AND(A70&lt;&gt;"",ISNUMBER(A70)),VLOOKUP(A70,Studies!A:BR,5,FALSE),"")</f>
        <v>Buspirone</v>
      </c>
      <c r="F70" s="207" t="str">
        <f>IF(AND(A70&lt;&gt;"",ISNUMBER(A70)),VLOOKUP(A70,Studies!A:BR,6,FALSE),"")</f>
        <v>Plasma</v>
      </c>
      <c r="G70" s="194">
        <v>474</v>
      </c>
      <c r="H70" s="194" t="s">
        <v>60</v>
      </c>
      <c r="I70" s="187">
        <v>0.1002764</v>
      </c>
      <c r="J70" s="187" t="s">
        <v>1026</v>
      </c>
      <c r="K70" s="187" t="s">
        <v>116</v>
      </c>
      <c r="L70" s="195"/>
      <c r="M70" s="195"/>
      <c r="N70" s="195"/>
      <c r="O70" s="199"/>
      <c r="P70" s="188"/>
      <c r="Q70" s="174">
        <f>IF(ISNUMBER(VLOOKUP(A70,NotghiID!A:A,1,FALSE)),1,0)</f>
        <v>0</v>
      </c>
    </row>
    <row r="71" spans="1:17" ht="14.25" x14ac:dyDescent="0.2">
      <c r="A71" s="183">
        <v>126</v>
      </c>
      <c r="B71" s="232" t="str">
        <f>IF(AND(A71&lt;&gt;"",ISNUMBER(A71)),VLOOKUP(A71,Studies!A:BR,2,FALSE),"")</f>
        <v>Dockens 2006</v>
      </c>
      <c r="C71" s="232" t="str">
        <f>IF(AND(A71&lt;&gt;"",ISNUMBER(A71)),VLOOKUP(A71,Studies!A:BR,3,FALSE),"")</f>
        <v>https://www.ncbi.nlm.nih.gov/pubmed/17050795</v>
      </c>
      <c r="D71" s="232" t="str">
        <f>IF(AND(A71&lt;&gt;"",ISNUMBER(A71)),VLOOKUP(A71,Studies!A:BR,4,FALSE),"")</f>
        <v>Day 20</v>
      </c>
      <c r="E71" s="206" t="str">
        <f>IF(AND(A71&lt;&gt;"",ISNUMBER(A71)),VLOOKUP(A71,Studies!A:BR,5,FALSE),"")</f>
        <v>Buspirone</v>
      </c>
      <c r="F71" s="207" t="str">
        <f>IF(AND(A71&lt;&gt;"",ISNUMBER(A71)),VLOOKUP(A71,Studies!A:BR,6,FALSE),"")</f>
        <v>Plasma</v>
      </c>
      <c r="G71" s="194">
        <v>475</v>
      </c>
      <c r="H71" s="194" t="s">
        <v>60</v>
      </c>
      <c r="I71" s="187">
        <v>7.5369809999999995E-2</v>
      </c>
      <c r="J71" s="187" t="s">
        <v>1026</v>
      </c>
      <c r="K71" s="187" t="s">
        <v>116</v>
      </c>
      <c r="L71" s="195"/>
      <c r="M71" s="195"/>
      <c r="N71" s="195"/>
      <c r="O71" s="199"/>
      <c r="P71" s="188"/>
      <c r="Q71" s="174">
        <f>IF(ISNUMBER(VLOOKUP(A71,NotghiID!A:A,1,FALSE)),1,0)</f>
        <v>0</v>
      </c>
    </row>
    <row r="72" spans="1:17" ht="14.25" x14ac:dyDescent="0.2">
      <c r="A72" s="183">
        <v>126</v>
      </c>
      <c r="B72" s="232" t="str">
        <f>IF(AND(A72&lt;&gt;"",ISNUMBER(A72)),VLOOKUP(A72,Studies!A:BR,2,FALSE),"")</f>
        <v>Dockens 2006</v>
      </c>
      <c r="C72" s="232" t="str">
        <f>IF(AND(A72&lt;&gt;"",ISNUMBER(A72)),VLOOKUP(A72,Studies!A:BR,3,FALSE),"")</f>
        <v>https://www.ncbi.nlm.nih.gov/pubmed/17050795</v>
      </c>
      <c r="D72" s="232" t="str">
        <f>IF(AND(A72&lt;&gt;"",ISNUMBER(A72)),VLOOKUP(A72,Studies!A:BR,4,FALSE),"")</f>
        <v>Day 20</v>
      </c>
      <c r="E72" s="206" t="str">
        <f>IF(AND(A72&lt;&gt;"",ISNUMBER(A72)),VLOOKUP(A72,Studies!A:BR,5,FALSE),"")</f>
        <v>Buspirone</v>
      </c>
      <c r="F72" s="207" t="str">
        <f>IF(AND(A72&lt;&gt;"",ISNUMBER(A72)),VLOOKUP(A72,Studies!A:BR,6,FALSE),"")</f>
        <v>Plasma</v>
      </c>
      <c r="G72" s="194">
        <v>476</v>
      </c>
      <c r="H72" s="194" t="s">
        <v>60</v>
      </c>
      <c r="I72" s="187">
        <v>0.1241473</v>
      </c>
      <c r="J72" s="187" t="s">
        <v>1026</v>
      </c>
      <c r="K72" s="187" t="s">
        <v>116</v>
      </c>
      <c r="L72" s="195"/>
      <c r="M72" s="195"/>
      <c r="N72" s="195"/>
      <c r="O72" s="199"/>
      <c r="P72" s="188"/>
      <c r="Q72" s="174">
        <f>IF(ISNUMBER(VLOOKUP(A72,NotghiID!A:A,1,FALSE)),1,0)</f>
        <v>0</v>
      </c>
    </row>
    <row r="73" spans="1:17" ht="14.25" x14ac:dyDescent="0.2">
      <c r="A73" s="183">
        <v>126</v>
      </c>
      <c r="B73" s="232" t="str">
        <f>IF(AND(A73&lt;&gt;"",ISNUMBER(A73)),VLOOKUP(A73,Studies!A:BR,2,FALSE),"")</f>
        <v>Dockens 2006</v>
      </c>
      <c r="C73" s="232" t="str">
        <f>IF(AND(A73&lt;&gt;"",ISNUMBER(A73)),VLOOKUP(A73,Studies!A:BR,3,FALSE),"")</f>
        <v>https://www.ncbi.nlm.nih.gov/pubmed/17050795</v>
      </c>
      <c r="D73" s="232" t="str">
        <f>IF(AND(A73&lt;&gt;"",ISNUMBER(A73)),VLOOKUP(A73,Studies!A:BR,4,FALSE),"")</f>
        <v>Day 20</v>
      </c>
      <c r="E73" s="206" t="str">
        <f>IF(AND(A73&lt;&gt;"",ISNUMBER(A73)),VLOOKUP(A73,Studies!A:BR,5,FALSE),"")</f>
        <v>Buspirone</v>
      </c>
      <c r="F73" s="207" t="str">
        <f>IF(AND(A73&lt;&gt;"",ISNUMBER(A73)),VLOOKUP(A73,Studies!A:BR,6,FALSE),"")</f>
        <v>Plasma</v>
      </c>
      <c r="G73" s="194">
        <v>480</v>
      </c>
      <c r="H73" s="194" t="s">
        <v>60</v>
      </c>
      <c r="I73" s="187">
        <v>2.864939E-2</v>
      </c>
      <c r="J73" s="187" t="s">
        <v>1026</v>
      </c>
      <c r="K73" s="187" t="s">
        <v>116</v>
      </c>
      <c r="L73" s="195"/>
      <c r="M73" s="195"/>
      <c r="N73" s="195"/>
      <c r="O73" s="199"/>
      <c r="P73" s="188"/>
      <c r="Q73" s="174">
        <f>IF(ISNUMBER(VLOOKUP(A73,NotghiID!A:A,1,FALSE)),1,0)</f>
        <v>0</v>
      </c>
    </row>
    <row r="74" spans="1:17" ht="14.25" x14ac:dyDescent="0.2">
      <c r="A74" s="183">
        <v>127</v>
      </c>
      <c r="B74" s="232" t="str">
        <f>IF(AND(A74&lt;&gt;"",ISNUMBER(A74)),VLOOKUP(A74,Studies!A:BR,2,FALSE),"")</f>
        <v>Dockens 2006</v>
      </c>
      <c r="C74" s="232" t="str">
        <f>IF(AND(A74&lt;&gt;"",ISNUMBER(A74)),VLOOKUP(A74,Studies!A:BR,3,FALSE),"")</f>
        <v>https://www.ncbi.nlm.nih.gov/pubmed/17050795</v>
      </c>
      <c r="D74" s="232" t="str">
        <f>IF(AND(A74&lt;&gt;"",ISNUMBER(A74)),VLOOKUP(A74,Studies!A:BR,4,FALSE),"")</f>
        <v>Day 25</v>
      </c>
      <c r="E74" s="206" t="str">
        <f>IF(AND(A74&lt;&gt;"",ISNUMBER(A74)),VLOOKUP(A74,Studies!A:BR,5,FALSE),"")</f>
        <v>Buspirone</v>
      </c>
      <c r="F74" s="207" t="str">
        <f>IF(AND(A74&lt;&gt;"",ISNUMBER(A74)),VLOOKUP(A74,Studies!A:BR,6,FALSE),"")</f>
        <v>Plasma</v>
      </c>
      <c r="G74" s="194">
        <v>576.25</v>
      </c>
      <c r="H74" s="194" t="s">
        <v>60</v>
      </c>
      <c r="I74" s="187">
        <v>0.42965510000000001</v>
      </c>
      <c r="J74" s="187" t="s">
        <v>1026</v>
      </c>
      <c r="K74" s="187" t="s">
        <v>116</v>
      </c>
      <c r="L74" s="195"/>
      <c r="M74" s="195"/>
      <c r="N74" s="195"/>
      <c r="O74" s="199"/>
      <c r="P74" s="188"/>
      <c r="Q74" s="174">
        <f>IF(ISNUMBER(VLOOKUP(A74,NotghiID!A:A,1,FALSE)),1,0)</f>
        <v>0</v>
      </c>
    </row>
    <row r="75" spans="1:17" ht="14.25" x14ac:dyDescent="0.2">
      <c r="A75" s="183">
        <v>127</v>
      </c>
      <c r="B75" s="232" t="str">
        <f>IF(AND(A75&lt;&gt;"",ISNUMBER(A75)),VLOOKUP(A75,Studies!A:BR,2,FALSE),"")</f>
        <v>Dockens 2006</v>
      </c>
      <c r="C75" s="232" t="str">
        <f>IF(AND(A75&lt;&gt;"",ISNUMBER(A75)),VLOOKUP(A75,Studies!A:BR,3,FALSE),"")</f>
        <v>https://www.ncbi.nlm.nih.gov/pubmed/17050795</v>
      </c>
      <c r="D75" s="232" t="str">
        <f>IF(AND(A75&lt;&gt;"",ISNUMBER(A75)),VLOOKUP(A75,Studies!A:BR,4,FALSE),"")</f>
        <v>Day 25</v>
      </c>
      <c r="E75" s="206" t="str">
        <f>IF(AND(A75&lt;&gt;"",ISNUMBER(A75)),VLOOKUP(A75,Studies!A:BR,5,FALSE),"")</f>
        <v>Buspirone</v>
      </c>
      <c r="F75" s="207" t="str">
        <f>IF(AND(A75&lt;&gt;"",ISNUMBER(A75)),VLOOKUP(A75,Studies!A:BR,6,FALSE),"")</f>
        <v>Plasma</v>
      </c>
      <c r="G75" s="194">
        <v>576.5</v>
      </c>
      <c r="H75" s="194" t="s">
        <v>60</v>
      </c>
      <c r="I75" s="187">
        <v>2.6601360000000001</v>
      </c>
      <c r="J75" s="187" t="s">
        <v>1026</v>
      </c>
      <c r="K75" s="187" t="s">
        <v>116</v>
      </c>
      <c r="L75" s="195"/>
      <c r="M75" s="195"/>
      <c r="N75" s="195"/>
      <c r="O75" s="199"/>
      <c r="P75" s="188"/>
      <c r="Q75" s="174">
        <f>IF(ISNUMBER(VLOOKUP(A75,NotghiID!A:A,1,FALSE)),1,0)</f>
        <v>0</v>
      </c>
    </row>
    <row r="76" spans="1:17" ht="14.25" x14ac:dyDescent="0.2">
      <c r="A76" s="183">
        <v>127</v>
      </c>
      <c r="B76" s="232" t="str">
        <f>IF(AND(A76&lt;&gt;"",ISNUMBER(A76)),VLOOKUP(A76,Studies!A:BR,2,FALSE),"")</f>
        <v>Dockens 2006</v>
      </c>
      <c r="C76" s="232" t="str">
        <f>IF(AND(A76&lt;&gt;"",ISNUMBER(A76)),VLOOKUP(A76,Studies!A:BR,3,FALSE),"")</f>
        <v>https://www.ncbi.nlm.nih.gov/pubmed/17050795</v>
      </c>
      <c r="D76" s="232" t="str">
        <f>IF(AND(A76&lt;&gt;"",ISNUMBER(A76)),VLOOKUP(A76,Studies!A:BR,4,FALSE),"")</f>
        <v>Day 25</v>
      </c>
      <c r="E76" s="206" t="str">
        <f>IF(AND(A76&lt;&gt;"",ISNUMBER(A76)),VLOOKUP(A76,Studies!A:BR,5,FALSE),"")</f>
        <v>Buspirone</v>
      </c>
      <c r="F76" s="207" t="str">
        <f>IF(AND(A76&lt;&gt;"",ISNUMBER(A76)),VLOOKUP(A76,Studies!A:BR,6,FALSE),"")</f>
        <v>Plasma</v>
      </c>
      <c r="G76" s="194">
        <v>576.75</v>
      </c>
      <c r="H76" s="194" t="s">
        <v>60</v>
      </c>
      <c r="I76" s="187">
        <v>2.3449140000000002</v>
      </c>
      <c r="J76" s="187" t="s">
        <v>1026</v>
      </c>
      <c r="K76" s="187" t="s">
        <v>116</v>
      </c>
      <c r="L76" s="195"/>
      <c r="M76" s="195"/>
      <c r="N76" s="195"/>
      <c r="O76" s="199"/>
      <c r="P76" s="188"/>
      <c r="Q76" s="174">
        <f>IF(ISNUMBER(VLOOKUP(A76,NotghiID!A:A,1,FALSE)),1,0)</f>
        <v>0</v>
      </c>
    </row>
    <row r="77" spans="1:17" ht="14.25" x14ac:dyDescent="0.2">
      <c r="A77" s="183">
        <v>127</v>
      </c>
      <c r="B77" s="232" t="str">
        <f>IF(AND(A77&lt;&gt;"",ISNUMBER(A77)),VLOOKUP(A77,Studies!A:BR,2,FALSE),"")</f>
        <v>Dockens 2006</v>
      </c>
      <c r="C77" s="232" t="str">
        <f>IF(AND(A77&lt;&gt;"",ISNUMBER(A77)),VLOOKUP(A77,Studies!A:BR,3,FALSE),"")</f>
        <v>https://www.ncbi.nlm.nih.gov/pubmed/17050795</v>
      </c>
      <c r="D77" s="232" t="str">
        <f>IF(AND(A77&lt;&gt;"",ISNUMBER(A77)),VLOOKUP(A77,Studies!A:BR,4,FALSE),"")</f>
        <v>Day 25</v>
      </c>
      <c r="E77" s="206" t="str">
        <f>IF(AND(A77&lt;&gt;"",ISNUMBER(A77)),VLOOKUP(A77,Studies!A:BR,5,FALSE),"")</f>
        <v>Buspirone</v>
      </c>
      <c r="F77" s="207" t="str">
        <f>IF(AND(A77&lt;&gt;"",ISNUMBER(A77)),VLOOKUP(A77,Studies!A:BR,6,FALSE),"")</f>
        <v>Plasma</v>
      </c>
      <c r="G77" s="194">
        <v>577</v>
      </c>
      <c r="H77" s="194" t="s">
        <v>60</v>
      </c>
      <c r="I77" s="187">
        <v>2.3161719999999999</v>
      </c>
      <c r="J77" s="187" t="s">
        <v>1026</v>
      </c>
      <c r="K77" s="187" t="s">
        <v>116</v>
      </c>
      <c r="L77" s="195"/>
      <c r="M77" s="195"/>
      <c r="N77" s="195"/>
      <c r="O77" s="199"/>
      <c r="P77" s="188"/>
      <c r="Q77" s="174">
        <f>IF(ISNUMBER(VLOOKUP(A77,NotghiID!A:A,1,FALSE)),1,0)</f>
        <v>0</v>
      </c>
    </row>
    <row r="78" spans="1:17" ht="14.25" x14ac:dyDescent="0.2">
      <c r="A78" s="183">
        <v>127</v>
      </c>
      <c r="B78" s="232" t="str">
        <f>IF(AND(A78&lt;&gt;"",ISNUMBER(A78)),VLOOKUP(A78,Studies!A:BR,2,FALSE),"")</f>
        <v>Dockens 2006</v>
      </c>
      <c r="C78" s="232" t="str">
        <f>IF(AND(A78&lt;&gt;"",ISNUMBER(A78)),VLOOKUP(A78,Studies!A:BR,3,FALSE),"")</f>
        <v>https://www.ncbi.nlm.nih.gov/pubmed/17050795</v>
      </c>
      <c r="D78" s="232" t="str">
        <f>IF(AND(A78&lt;&gt;"",ISNUMBER(A78)),VLOOKUP(A78,Studies!A:BR,4,FALSE),"")</f>
        <v>Day 25</v>
      </c>
      <c r="E78" s="206" t="str">
        <f>IF(AND(A78&lt;&gt;"",ISNUMBER(A78)),VLOOKUP(A78,Studies!A:BR,5,FALSE),"")</f>
        <v>Buspirone</v>
      </c>
      <c r="F78" s="207" t="str">
        <f>IF(AND(A78&lt;&gt;"",ISNUMBER(A78)),VLOOKUP(A78,Studies!A:BR,6,FALSE),"")</f>
        <v>Plasma</v>
      </c>
      <c r="G78" s="194">
        <v>577.5</v>
      </c>
      <c r="H78" s="194" t="s">
        <v>60</v>
      </c>
      <c r="I78" s="187">
        <v>1.2518800000000001</v>
      </c>
      <c r="J78" s="187" t="s">
        <v>1026</v>
      </c>
      <c r="K78" s="187" t="s">
        <v>116</v>
      </c>
      <c r="L78" s="195"/>
      <c r="M78" s="195"/>
      <c r="N78" s="195"/>
      <c r="O78" s="199"/>
      <c r="P78" s="188"/>
      <c r="Q78" s="174">
        <f>IF(ISNUMBER(VLOOKUP(A78,NotghiID!A:A,1,FALSE)),1,0)</f>
        <v>0</v>
      </c>
    </row>
    <row r="79" spans="1:17" ht="14.25" x14ac:dyDescent="0.2">
      <c r="A79" s="183">
        <v>127</v>
      </c>
      <c r="B79" s="232" t="str">
        <f>IF(AND(A79&lt;&gt;"",ISNUMBER(A79)),VLOOKUP(A79,Studies!A:BR,2,FALSE),"")</f>
        <v>Dockens 2006</v>
      </c>
      <c r="C79" s="232" t="str">
        <f>IF(AND(A79&lt;&gt;"",ISNUMBER(A79)),VLOOKUP(A79,Studies!A:BR,3,FALSE),"")</f>
        <v>https://www.ncbi.nlm.nih.gov/pubmed/17050795</v>
      </c>
      <c r="D79" s="232" t="str">
        <f>IF(AND(A79&lt;&gt;"",ISNUMBER(A79)),VLOOKUP(A79,Studies!A:BR,4,FALSE),"")</f>
        <v>Day 25</v>
      </c>
      <c r="E79" s="206" t="str">
        <f>IF(AND(A79&lt;&gt;"",ISNUMBER(A79)),VLOOKUP(A79,Studies!A:BR,5,FALSE),"")</f>
        <v>Buspirone</v>
      </c>
      <c r="F79" s="207" t="str">
        <f>IF(AND(A79&lt;&gt;"",ISNUMBER(A79)),VLOOKUP(A79,Studies!A:BR,6,FALSE),"")</f>
        <v>Plasma</v>
      </c>
      <c r="G79" s="194">
        <v>578</v>
      </c>
      <c r="H79" s="194" t="s">
        <v>60</v>
      </c>
      <c r="I79" s="187">
        <v>0.96930780000000005</v>
      </c>
      <c r="J79" s="187" t="s">
        <v>1026</v>
      </c>
      <c r="K79" s="187" t="s">
        <v>116</v>
      </c>
      <c r="L79" s="195"/>
      <c r="M79" s="195"/>
      <c r="N79" s="195"/>
      <c r="O79" s="199"/>
      <c r="P79" s="188"/>
      <c r="Q79" s="174">
        <f>IF(ISNUMBER(VLOOKUP(A79,NotghiID!A:A,1,FALSE)),1,0)</f>
        <v>0</v>
      </c>
    </row>
    <row r="80" spans="1:17" ht="14.25" x14ac:dyDescent="0.2">
      <c r="A80" s="183">
        <v>127</v>
      </c>
      <c r="B80" s="232" t="str">
        <f>IF(AND(A80&lt;&gt;"",ISNUMBER(A80)),VLOOKUP(A80,Studies!A:BR,2,FALSE),"")</f>
        <v>Dockens 2006</v>
      </c>
      <c r="C80" s="232" t="str">
        <f>IF(AND(A80&lt;&gt;"",ISNUMBER(A80)),VLOOKUP(A80,Studies!A:BR,3,FALSE),"")</f>
        <v>https://www.ncbi.nlm.nih.gov/pubmed/17050795</v>
      </c>
      <c r="D80" s="232" t="str">
        <f>IF(AND(A80&lt;&gt;"",ISNUMBER(A80)),VLOOKUP(A80,Studies!A:BR,4,FALSE),"")</f>
        <v>Day 25</v>
      </c>
      <c r="E80" s="206" t="str">
        <f>IF(AND(A80&lt;&gt;"",ISNUMBER(A80)),VLOOKUP(A80,Studies!A:BR,5,FALSE),"")</f>
        <v>Buspirone</v>
      </c>
      <c r="F80" s="207" t="str">
        <f>IF(AND(A80&lt;&gt;"",ISNUMBER(A80)),VLOOKUP(A80,Studies!A:BR,6,FALSE),"")</f>
        <v>Plasma</v>
      </c>
      <c r="G80" s="194">
        <v>578.5</v>
      </c>
      <c r="H80" s="194" t="s">
        <v>60</v>
      </c>
      <c r="I80" s="187">
        <v>0.690828</v>
      </c>
      <c r="J80" s="187" t="s">
        <v>1026</v>
      </c>
      <c r="K80" s="187" t="s">
        <v>116</v>
      </c>
      <c r="L80" s="195"/>
      <c r="M80" s="195"/>
      <c r="N80" s="195"/>
      <c r="O80" s="199"/>
      <c r="P80" s="188"/>
      <c r="Q80" s="174">
        <f>IF(ISNUMBER(VLOOKUP(A80,NotghiID!A:A,1,FALSE)),1,0)</f>
        <v>0</v>
      </c>
    </row>
    <row r="81" spans="1:17" ht="14.25" x14ac:dyDescent="0.2">
      <c r="A81" s="183">
        <v>127</v>
      </c>
      <c r="B81" s="232" t="str">
        <f>IF(AND(A81&lt;&gt;"",ISNUMBER(A81)),VLOOKUP(A81,Studies!A:BR,2,FALSE),"")</f>
        <v>Dockens 2006</v>
      </c>
      <c r="C81" s="232" t="str">
        <f>IF(AND(A81&lt;&gt;"",ISNUMBER(A81)),VLOOKUP(A81,Studies!A:BR,3,FALSE),"")</f>
        <v>https://www.ncbi.nlm.nih.gov/pubmed/17050795</v>
      </c>
      <c r="D81" s="232" t="str">
        <f>IF(AND(A81&lt;&gt;"",ISNUMBER(A81)),VLOOKUP(A81,Studies!A:BR,4,FALSE),"")</f>
        <v>Day 25</v>
      </c>
      <c r="E81" s="206" t="str">
        <f>IF(AND(A81&lt;&gt;"",ISNUMBER(A81)),VLOOKUP(A81,Studies!A:BR,5,FALSE),"")</f>
        <v>Buspirone</v>
      </c>
      <c r="F81" s="207" t="str">
        <f>IF(AND(A81&lt;&gt;"",ISNUMBER(A81)),VLOOKUP(A81,Studies!A:BR,6,FALSE),"")</f>
        <v>Plasma</v>
      </c>
      <c r="G81" s="194">
        <v>579</v>
      </c>
      <c r="H81" s="194" t="s">
        <v>60</v>
      </c>
      <c r="I81" s="187">
        <v>0.61699389999999998</v>
      </c>
      <c r="J81" s="187" t="s">
        <v>1026</v>
      </c>
      <c r="K81" s="187" t="s">
        <v>116</v>
      </c>
      <c r="L81" s="195"/>
      <c r="M81" s="195"/>
      <c r="N81" s="195"/>
      <c r="O81" s="199"/>
      <c r="P81" s="188"/>
      <c r="Q81" s="174">
        <f>IF(ISNUMBER(VLOOKUP(A81,NotghiID!A:A,1,FALSE)),1,0)</f>
        <v>0</v>
      </c>
    </row>
    <row r="82" spans="1:17" ht="14.25" x14ac:dyDescent="0.2">
      <c r="A82" s="183">
        <v>127</v>
      </c>
      <c r="B82" s="232" t="str">
        <f>IF(AND(A82&lt;&gt;"",ISNUMBER(A82)),VLOOKUP(A82,Studies!A:BR,2,FALSE),"")</f>
        <v>Dockens 2006</v>
      </c>
      <c r="C82" s="232" t="str">
        <f>IF(AND(A82&lt;&gt;"",ISNUMBER(A82)),VLOOKUP(A82,Studies!A:BR,3,FALSE),"")</f>
        <v>https://www.ncbi.nlm.nih.gov/pubmed/17050795</v>
      </c>
      <c r="D82" s="232" t="str">
        <f>IF(AND(A82&lt;&gt;"",ISNUMBER(A82)),VLOOKUP(A82,Studies!A:BR,4,FALSE),"")</f>
        <v>Day 25</v>
      </c>
      <c r="E82" s="206" t="str">
        <f>IF(AND(A82&lt;&gt;"",ISNUMBER(A82)),VLOOKUP(A82,Studies!A:BR,5,FALSE),"")</f>
        <v>Buspirone</v>
      </c>
      <c r="F82" s="207" t="str">
        <f>IF(AND(A82&lt;&gt;"",ISNUMBER(A82)),VLOOKUP(A82,Studies!A:BR,6,FALSE),"")</f>
        <v>Plasma</v>
      </c>
      <c r="G82" s="194">
        <v>580</v>
      </c>
      <c r="H82" s="194" t="s">
        <v>60</v>
      </c>
      <c r="I82" s="187">
        <v>0.53070289999999998</v>
      </c>
      <c r="J82" s="187" t="s">
        <v>1026</v>
      </c>
      <c r="K82" s="187" t="s">
        <v>116</v>
      </c>
      <c r="L82" s="195"/>
      <c r="M82" s="195"/>
      <c r="N82" s="195"/>
      <c r="O82" s="199"/>
      <c r="P82" s="188"/>
      <c r="Q82" s="174">
        <f>IF(ISNUMBER(VLOOKUP(A82,NotghiID!A:A,1,FALSE)),1,0)</f>
        <v>0</v>
      </c>
    </row>
    <row r="83" spans="1:17" ht="14.25" x14ac:dyDescent="0.2">
      <c r="A83" s="183">
        <v>127</v>
      </c>
      <c r="B83" s="232" t="str">
        <f>IF(AND(A83&lt;&gt;"",ISNUMBER(A83)),VLOOKUP(A83,Studies!A:BR,2,FALSE),"")</f>
        <v>Dockens 2006</v>
      </c>
      <c r="C83" s="232" t="str">
        <f>IF(AND(A83&lt;&gt;"",ISNUMBER(A83)),VLOOKUP(A83,Studies!A:BR,3,FALSE),"")</f>
        <v>https://www.ncbi.nlm.nih.gov/pubmed/17050795</v>
      </c>
      <c r="D83" s="232" t="str">
        <f>IF(AND(A83&lt;&gt;"",ISNUMBER(A83)),VLOOKUP(A83,Studies!A:BR,4,FALSE),"")</f>
        <v>Day 25</v>
      </c>
      <c r="E83" s="206" t="str">
        <f>IF(AND(A83&lt;&gt;"",ISNUMBER(A83)),VLOOKUP(A83,Studies!A:BR,5,FALSE),"")</f>
        <v>Buspirone</v>
      </c>
      <c r="F83" s="207" t="str">
        <f>IF(AND(A83&lt;&gt;"",ISNUMBER(A83)),VLOOKUP(A83,Studies!A:BR,6,FALSE),"")</f>
        <v>Plasma</v>
      </c>
      <c r="G83" s="194">
        <v>582</v>
      </c>
      <c r="H83" s="194" t="s">
        <v>60</v>
      </c>
      <c r="I83" s="187">
        <v>0.2025885</v>
      </c>
      <c r="J83" s="187" t="s">
        <v>1026</v>
      </c>
      <c r="K83" s="187" t="s">
        <v>116</v>
      </c>
      <c r="L83" s="195"/>
      <c r="M83" s="195"/>
      <c r="N83" s="195"/>
      <c r="O83" s="199"/>
      <c r="P83" s="188"/>
      <c r="Q83" s="174">
        <f>IF(ISNUMBER(VLOOKUP(A83,NotghiID!A:A,1,FALSE)),1,0)</f>
        <v>0</v>
      </c>
    </row>
    <row r="84" spans="1:17" ht="14.25" x14ac:dyDescent="0.2">
      <c r="A84" s="183">
        <v>127</v>
      </c>
      <c r="B84" s="232" t="str">
        <f>IF(AND(A84&lt;&gt;"",ISNUMBER(A84)),VLOOKUP(A84,Studies!A:BR,2,FALSE),"")</f>
        <v>Dockens 2006</v>
      </c>
      <c r="C84" s="232" t="str">
        <f>IF(AND(A84&lt;&gt;"",ISNUMBER(A84)),VLOOKUP(A84,Studies!A:BR,3,FALSE),"")</f>
        <v>https://www.ncbi.nlm.nih.gov/pubmed/17050795</v>
      </c>
      <c r="D84" s="232" t="str">
        <f>IF(AND(A84&lt;&gt;"",ISNUMBER(A84)),VLOOKUP(A84,Studies!A:BR,4,FALSE),"")</f>
        <v>Day 25</v>
      </c>
      <c r="E84" s="206" t="str">
        <f>IF(AND(A84&lt;&gt;"",ISNUMBER(A84)),VLOOKUP(A84,Studies!A:BR,5,FALSE),"")</f>
        <v>Buspirone</v>
      </c>
      <c r="F84" s="207" t="str">
        <f>IF(AND(A84&lt;&gt;"",ISNUMBER(A84)),VLOOKUP(A84,Studies!A:BR,6,FALSE),"")</f>
        <v>Plasma</v>
      </c>
      <c r="G84" s="194">
        <v>583</v>
      </c>
      <c r="H84" s="194" t="s">
        <v>60</v>
      </c>
      <c r="I84" s="187">
        <v>0.14086129999999999</v>
      </c>
      <c r="J84" s="187" t="s">
        <v>1026</v>
      </c>
      <c r="K84" s="187" t="s">
        <v>116</v>
      </c>
      <c r="L84" s="195"/>
      <c r="M84" s="195"/>
      <c r="N84" s="195"/>
      <c r="O84" s="199"/>
      <c r="P84" s="188"/>
      <c r="Q84" s="174">
        <f>IF(ISNUMBER(VLOOKUP(A84,NotghiID!A:A,1,FALSE)),1,0)</f>
        <v>0</v>
      </c>
    </row>
    <row r="85" spans="1:17" ht="14.25" x14ac:dyDescent="0.2">
      <c r="A85" s="183">
        <v>127</v>
      </c>
      <c r="B85" s="232" t="str">
        <f>IF(AND(A85&lt;&gt;"",ISNUMBER(A85)),VLOOKUP(A85,Studies!A:BR,2,FALSE),"")</f>
        <v>Dockens 2006</v>
      </c>
      <c r="C85" s="232" t="str">
        <f>IF(AND(A85&lt;&gt;"",ISNUMBER(A85)),VLOOKUP(A85,Studies!A:BR,3,FALSE),"")</f>
        <v>https://www.ncbi.nlm.nih.gov/pubmed/17050795</v>
      </c>
      <c r="D85" s="232" t="str">
        <f>IF(AND(A85&lt;&gt;"",ISNUMBER(A85)),VLOOKUP(A85,Studies!A:BR,4,FALSE),"")</f>
        <v>Day 25</v>
      </c>
      <c r="E85" s="206" t="str">
        <f>IF(AND(A85&lt;&gt;"",ISNUMBER(A85)),VLOOKUP(A85,Studies!A:BR,5,FALSE),"")</f>
        <v>Buspirone</v>
      </c>
      <c r="F85" s="207" t="str">
        <f>IF(AND(A85&lt;&gt;"",ISNUMBER(A85)),VLOOKUP(A85,Studies!A:BR,6,FALSE),"")</f>
        <v>Plasma</v>
      </c>
      <c r="G85" s="194">
        <v>584</v>
      </c>
      <c r="H85" s="194" t="s">
        <v>60</v>
      </c>
      <c r="I85" s="187">
        <v>9.9590730000000002E-2</v>
      </c>
      <c r="J85" s="187" t="s">
        <v>1026</v>
      </c>
      <c r="K85" s="187" t="s">
        <v>116</v>
      </c>
      <c r="L85" s="195"/>
      <c r="M85" s="195"/>
      <c r="N85" s="195"/>
      <c r="O85" s="199"/>
      <c r="P85" s="188"/>
      <c r="Q85" s="174">
        <f>IF(ISNUMBER(VLOOKUP(A85,NotghiID!A:A,1,FALSE)),1,0)</f>
        <v>0</v>
      </c>
    </row>
    <row r="86" spans="1:17" ht="14.25" x14ac:dyDescent="0.2">
      <c r="A86" s="183">
        <v>127</v>
      </c>
      <c r="B86" s="232" t="str">
        <f>IF(AND(A86&lt;&gt;"",ISNUMBER(A86)),VLOOKUP(A86,Studies!A:BR,2,FALSE),"")</f>
        <v>Dockens 2006</v>
      </c>
      <c r="C86" s="232" t="str">
        <f>IF(AND(A86&lt;&gt;"",ISNUMBER(A86)),VLOOKUP(A86,Studies!A:BR,3,FALSE),"")</f>
        <v>https://www.ncbi.nlm.nih.gov/pubmed/17050795</v>
      </c>
      <c r="D86" s="232" t="str">
        <f>IF(AND(A86&lt;&gt;"",ISNUMBER(A86)),VLOOKUP(A86,Studies!A:BR,4,FALSE),"")</f>
        <v>Day 25</v>
      </c>
      <c r="E86" s="206" t="str">
        <f>IF(AND(A86&lt;&gt;"",ISNUMBER(A86)),VLOOKUP(A86,Studies!A:BR,5,FALSE),"")</f>
        <v>Buspirone</v>
      </c>
      <c r="F86" s="207" t="str">
        <f>IF(AND(A86&lt;&gt;"",ISNUMBER(A86)),VLOOKUP(A86,Studies!A:BR,6,FALSE),"")</f>
        <v>Plasma</v>
      </c>
      <c r="G86" s="194">
        <v>588</v>
      </c>
      <c r="H86" s="194" t="s">
        <v>60</v>
      </c>
      <c r="I86" s="187">
        <v>5.7298769999999999E-2</v>
      </c>
      <c r="J86" s="187" t="s">
        <v>1026</v>
      </c>
      <c r="K86" s="187" t="s">
        <v>116</v>
      </c>
      <c r="L86" s="195"/>
      <c r="M86" s="195"/>
      <c r="N86" s="195"/>
      <c r="O86" s="199"/>
      <c r="P86" s="188"/>
      <c r="Q86" s="174">
        <f>IF(ISNUMBER(VLOOKUP(A86,NotghiID!A:A,1,FALSE)),1,0)</f>
        <v>0</v>
      </c>
    </row>
    <row r="87" spans="1:17" ht="14.25" x14ac:dyDescent="0.2">
      <c r="A87" s="183">
        <v>165</v>
      </c>
      <c r="B87" s="232" t="str">
        <f>IF(AND(A87&lt;&gt;"",ISNUMBER(A87)),VLOOKUP(A87,Studies!A:BR,2,FALSE),"")</f>
        <v>Gammans 1985</v>
      </c>
      <c r="C87" s="232" t="str">
        <f>IF(AND(A87&lt;&gt;"",ISNUMBER(A87)),VLOOKUP(A87,Studies!A:BR,3,FALSE),"")</f>
        <v>https://www.ncbi.nlm.nih.gov/pubmed/2860931</v>
      </c>
      <c r="D87" s="232" t="str">
        <f>IF(AND(A87&lt;&gt;"",ISNUMBER(A87)),VLOOKUP(A87,Studies!A:BR,4,FALSE),"")</f>
        <v>10 mg</v>
      </c>
      <c r="E87" s="206" t="str">
        <f>IF(AND(A87&lt;&gt;"",ISNUMBER(A87)),VLOOKUP(A87,Studies!A:BR,5,FALSE),"")</f>
        <v>Buspirone</v>
      </c>
      <c r="F87" s="207" t="str">
        <f>IF(AND(A87&lt;&gt;"",ISNUMBER(A87)),VLOOKUP(A87,Studies!A:BR,6,FALSE),"")</f>
        <v>Plasma</v>
      </c>
      <c r="G87" s="194">
        <v>0.25</v>
      </c>
      <c r="H87" s="194" t="s">
        <v>60</v>
      </c>
      <c r="I87" s="187">
        <v>0.30586390000000002</v>
      </c>
      <c r="J87" s="187" t="s">
        <v>1026</v>
      </c>
      <c r="K87" s="187" t="s">
        <v>116</v>
      </c>
      <c r="L87" s="195"/>
      <c r="M87" s="195"/>
      <c r="N87" s="195"/>
      <c r="O87" s="199"/>
      <c r="P87" s="188"/>
      <c r="Q87" s="174">
        <f>IF(ISNUMBER(VLOOKUP(A87,NotghiID!A:A,1,FALSE)),1,0)</f>
        <v>0</v>
      </c>
    </row>
    <row r="88" spans="1:17" ht="14.25" x14ac:dyDescent="0.2">
      <c r="A88" s="183">
        <v>165</v>
      </c>
      <c r="B88" s="232" t="str">
        <f>IF(AND(A88&lt;&gt;"",ISNUMBER(A88)),VLOOKUP(A88,Studies!A:BR,2,FALSE),"")</f>
        <v>Gammans 1985</v>
      </c>
      <c r="C88" s="232" t="str">
        <f>IF(AND(A88&lt;&gt;"",ISNUMBER(A88)),VLOOKUP(A88,Studies!A:BR,3,FALSE),"")</f>
        <v>https://www.ncbi.nlm.nih.gov/pubmed/2860931</v>
      </c>
      <c r="D88" s="232" t="str">
        <f>IF(AND(A88&lt;&gt;"",ISNUMBER(A88)),VLOOKUP(A88,Studies!A:BR,4,FALSE),"")</f>
        <v>10 mg</v>
      </c>
      <c r="E88" s="206" t="str">
        <f>IF(AND(A88&lt;&gt;"",ISNUMBER(A88)),VLOOKUP(A88,Studies!A:BR,5,FALSE),"")</f>
        <v>Buspirone</v>
      </c>
      <c r="F88" s="207" t="str">
        <f>IF(AND(A88&lt;&gt;"",ISNUMBER(A88)),VLOOKUP(A88,Studies!A:BR,6,FALSE),"")</f>
        <v>Plasma</v>
      </c>
      <c r="G88" s="194">
        <v>0.5</v>
      </c>
      <c r="H88" s="194" t="s">
        <v>60</v>
      </c>
      <c r="I88" s="187">
        <v>0.74484539999999999</v>
      </c>
      <c r="J88" s="187" t="s">
        <v>1026</v>
      </c>
      <c r="K88" s="187" t="s">
        <v>116</v>
      </c>
      <c r="L88" s="195"/>
      <c r="M88" s="195"/>
      <c r="N88" s="195"/>
      <c r="O88" s="199"/>
      <c r="P88" s="188"/>
      <c r="Q88" s="174">
        <f>IF(ISNUMBER(VLOOKUP(A88,NotghiID!A:A,1,FALSE)),1,0)</f>
        <v>0</v>
      </c>
    </row>
    <row r="89" spans="1:17" ht="14.25" x14ac:dyDescent="0.2">
      <c r="A89" s="183">
        <v>165</v>
      </c>
      <c r="B89" s="232" t="str">
        <f>IF(AND(A89&lt;&gt;"",ISNUMBER(A89)),VLOOKUP(A89,Studies!A:BR,2,FALSE),"")</f>
        <v>Gammans 1985</v>
      </c>
      <c r="C89" s="232" t="str">
        <f>IF(AND(A89&lt;&gt;"",ISNUMBER(A89)),VLOOKUP(A89,Studies!A:BR,3,FALSE),"")</f>
        <v>https://www.ncbi.nlm.nih.gov/pubmed/2860931</v>
      </c>
      <c r="D89" s="232" t="str">
        <f>IF(AND(A89&lt;&gt;"",ISNUMBER(A89)),VLOOKUP(A89,Studies!A:BR,4,FALSE),"")</f>
        <v>10 mg</v>
      </c>
      <c r="E89" s="206" t="str">
        <f>IF(AND(A89&lt;&gt;"",ISNUMBER(A89)),VLOOKUP(A89,Studies!A:BR,5,FALSE),"")</f>
        <v>Buspirone</v>
      </c>
      <c r="F89" s="207" t="str">
        <f>IF(AND(A89&lt;&gt;"",ISNUMBER(A89)),VLOOKUP(A89,Studies!A:BR,6,FALSE),"")</f>
        <v>Plasma</v>
      </c>
      <c r="G89" s="194">
        <v>1</v>
      </c>
      <c r="H89" s="194" t="s">
        <v>60</v>
      </c>
      <c r="I89" s="187">
        <v>0.71852139999999998</v>
      </c>
      <c r="J89" s="187" t="s">
        <v>1026</v>
      </c>
      <c r="K89" s="187" t="s">
        <v>116</v>
      </c>
      <c r="L89" s="195"/>
      <c r="M89" s="195"/>
      <c r="N89" s="195"/>
      <c r="O89" s="199"/>
      <c r="P89" s="188"/>
      <c r="Q89" s="174">
        <f>IF(ISNUMBER(VLOOKUP(A89,NotghiID!A:A,1,FALSE)),1,0)</f>
        <v>0</v>
      </c>
    </row>
    <row r="90" spans="1:17" ht="14.25" x14ac:dyDescent="0.2">
      <c r="A90" s="183">
        <v>165</v>
      </c>
      <c r="B90" s="232" t="str">
        <f>IF(AND(A90&lt;&gt;"",ISNUMBER(A90)),VLOOKUP(A90,Studies!A:BR,2,FALSE),"")</f>
        <v>Gammans 1985</v>
      </c>
      <c r="C90" s="232" t="str">
        <f>IF(AND(A90&lt;&gt;"",ISNUMBER(A90)),VLOOKUP(A90,Studies!A:BR,3,FALSE),"")</f>
        <v>https://www.ncbi.nlm.nih.gov/pubmed/2860931</v>
      </c>
      <c r="D90" s="232" t="str">
        <f>IF(AND(A90&lt;&gt;"",ISNUMBER(A90)),VLOOKUP(A90,Studies!A:BR,4,FALSE),"")</f>
        <v>10 mg</v>
      </c>
      <c r="E90" s="206" t="str">
        <f>IF(AND(A90&lt;&gt;"",ISNUMBER(A90)),VLOOKUP(A90,Studies!A:BR,5,FALSE),"")</f>
        <v>Buspirone</v>
      </c>
      <c r="F90" s="207" t="str">
        <f>IF(AND(A90&lt;&gt;"",ISNUMBER(A90)),VLOOKUP(A90,Studies!A:BR,6,FALSE),"")</f>
        <v>Plasma</v>
      </c>
      <c r="G90" s="194">
        <v>2</v>
      </c>
      <c r="H90" s="194" t="s">
        <v>60</v>
      </c>
      <c r="I90" s="187">
        <v>0.47584559999999998</v>
      </c>
      <c r="J90" s="187" t="s">
        <v>1026</v>
      </c>
      <c r="K90" s="187" t="s">
        <v>116</v>
      </c>
      <c r="L90" s="195"/>
      <c r="M90" s="195"/>
      <c r="N90" s="195"/>
      <c r="O90" s="199"/>
      <c r="P90" s="188"/>
      <c r="Q90" s="174">
        <f>IF(ISNUMBER(VLOOKUP(A90,NotghiID!A:A,1,FALSE)),1,0)</f>
        <v>0</v>
      </c>
    </row>
    <row r="91" spans="1:17" ht="14.25" x14ac:dyDescent="0.2">
      <c r="A91" s="183">
        <v>165</v>
      </c>
      <c r="B91" s="232" t="str">
        <f>IF(AND(A91&lt;&gt;"",ISNUMBER(A91)),VLOOKUP(A91,Studies!A:BR,2,FALSE),"")</f>
        <v>Gammans 1985</v>
      </c>
      <c r="C91" s="232" t="str">
        <f>IF(AND(A91&lt;&gt;"",ISNUMBER(A91)),VLOOKUP(A91,Studies!A:BR,3,FALSE),"")</f>
        <v>https://www.ncbi.nlm.nih.gov/pubmed/2860931</v>
      </c>
      <c r="D91" s="232" t="str">
        <f>IF(AND(A91&lt;&gt;"",ISNUMBER(A91)),VLOOKUP(A91,Studies!A:BR,4,FALSE),"")</f>
        <v>10 mg</v>
      </c>
      <c r="E91" s="206" t="str">
        <f>IF(AND(A91&lt;&gt;"",ISNUMBER(A91)),VLOOKUP(A91,Studies!A:BR,5,FALSE),"")</f>
        <v>Buspirone</v>
      </c>
      <c r="F91" s="207" t="str">
        <f>IF(AND(A91&lt;&gt;"",ISNUMBER(A91)),VLOOKUP(A91,Studies!A:BR,6,FALSE),"")</f>
        <v>Plasma</v>
      </c>
      <c r="G91" s="194">
        <v>4</v>
      </c>
      <c r="H91" s="194" t="s">
        <v>60</v>
      </c>
      <c r="I91" s="187">
        <v>0.2292025</v>
      </c>
      <c r="J91" s="187" t="s">
        <v>1026</v>
      </c>
      <c r="K91" s="187" t="s">
        <v>116</v>
      </c>
      <c r="L91" s="195"/>
      <c r="M91" s="195"/>
      <c r="N91" s="195"/>
      <c r="O91" s="199"/>
      <c r="P91" s="188"/>
      <c r="Q91" s="174">
        <f>IF(ISNUMBER(VLOOKUP(A91,NotghiID!A:A,1,FALSE)),1,0)</f>
        <v>0</v>
      </c>
    </row>
    <row r="92" spans="1:17" ht="14.25" x14ac:dyDescent="0.2">
      <c r="A92" s="183">
        <v>165</v>
      </c>
      <c r="B92" s="232" t="str">
        <f>IF(AND(A92&lt;&gt;"",ISNUMBER(A92)),VLOOKUP(A92,Studies!A:BR,2,FALSE),"")</f>
        <v>Gammans 1985</v>
      </c>
      <c r="C92" s="232" t="str">
        <f>IF(AND(A92&lt;&gt;"",ISNUMBER(A92)),VLOOKUP(A92,Studies!A:BR,3,FALSE),"")</f>
        <v>https://www.ncbi.nlm.nih.gov/pubmed/2860931</v>
      </c>
      <c r="D92" s="232" t="str">
        <f>IF(AND(A92&lt;&gt;"",ISNUMBER(A92)),VLOOKUP(A92,Studies!A:BR,4,FALSE),"")</f>
        <v>10 mg</v>
      </c>
      <c r="E92" s="206" t="str">
        <f>IF(AND(A92&lt;&gt;"",ISNUMBER(A92)),VLOOKUP(A92,Studies!A:BR,5,FALSE),"")</f>
        <v>Buspirone</v>
      </c>
      <c r="F92" s="207" t="str">
        <f>IF(AND(A92&lt;&gt;"",ISNUMBER(A92)),VLOOKUP(A92,Studies!A:BR,6,FALSE),"")</f>
        <v>Plasma</v>
      </c>
      <c r="G92" s="194">
        <v>6</v>
      </c>
      <c r="H92" s="194" t="s">
        <v>60</v>
      </c>
      <c r="I92" s="187">
        <v>0.12857489999999999</v>
      </c>
      <c r="J92" s="187" t="s">
        <v>1026</v>
      </c>
      <c r="K92" s="187" t="s">
        <v>116</v>
      </c>
      <c r="L92" s="195"/>
      <c r="M92" s="195"/>
      <c r="N92" s="195"/>
      <c r="O92" s="199"/>
      <c r="P92" s="188"/>
      <c r="Q92" s="174">
        <f>IF(ISNUMBER(VLOOKUP(A92,NotghiID!A:A,1,FALSE)),1,0)</f>
        <v>0</v>
      </c>
    </row>
    <row r="93" spans="1:17" ht="14.25" x14ac:dyDescent="0.2">
      <c r="A93" s="183">
        <v>165</v>
      </c>
      <c r="B93" s="232" t="str">
        <f>IF(AND(A93&lt;&gt;"",ISNUMBER(A93)),VLOOKUP(A93,Studies!A:BR,2,FALSE),"")</f>
        <v>Gammans 1985</v>
      </c>
      <c r="C93" s="232" t="str">
        <f>IF(AND(A93&lt;&gt;"",ISNUMBER(A93)),VLOOKUP(A93,Studies!A:BR,3,FALSE),"")</f>
        <v>https://www.ncbi.nlm.nih.gov/pubmed/2860931</v>
      </c>
      <c r="D93" s="232" t="str">
        <f>IF(AND(A93&lt;&gt;"",ISNUMBER(A93)),VLOOKUP(A93,Studies!A:BR,4,FALSE),"")</f>
        <v>10 mg</v>
      </c>
      <c r="E93" s="206" t="str">
        <f>IF(AND(A93&lt;&gt;"",ISNUMBER(A93)),VLOOKUP(A93,Studies!A:BR,5,FALSE),"")</f>
        <v>Buspirone</v>
      </c>
      <c r="F93" s="207" t="str">
        <f>IF(AND(A93&lt;&gt;"",ISNUMBER(A93)),VLOOKUP(A93,Studies!A:BR,6,FALSE),"")</f>
        <v>Plasma</v>
      </c>
      <c r="G93" s="194">
        <v>8</v>
      </c>
      <c r="H93" s="194" t="s">
        <v>60</v>
      </c>
      <c r="I93" s="187">
        <v>6.193825E-2</v>
      </c>
      <c r="J93" s="187" t="s">
        <v>1026</v>
      </c>
      <c r="K93" s="187" t="s">
        <v>116</v>
      </c>
      <c r="L93" s="195"/>
      <c r="M93" s="195"/>
      <c r="N93" s="195"/>
      <c r="O93" s="199"/>
      <c r="P93" s="188"/>
      <c r="Q93" s="174">
        <f>IF(ISNUMBER(VLOOKUP(A93,NotghiID!A:A,1,FALSE)),1,0)</f>
        <v>0</v>
      </c>
    </row>
    <row r="94" spans="1:17" ht="14.25" x14ac:dyDescent="0.2">
      <c r="A94" s="183">
        <v>165</v>
      </c>
      <c r="B94" s="232" t="str">
        <f>IF(AND(A94&lt;&gt;"",ISNUMBER(A94)),VLOOKUP(A94,Studies!A:BR,2,FALSE),"")</f>
        <v>Gammans 1985</v>
      </c>
      <c r="C94" s="232" t="str">
        <f>IF(AND(A94&lt;&gt;"",ISNUMBER(A94)),VLOOKUP(A94,Studies!A:BR,3,FALSE),"")</f>
        <v>https://www.ncbi.nlm.nih.gov/pubmed/2860931</v>
      </c>
      <c r="D94" s="232" t="str">
        <f>IF(AND(A94&lt;&gt;"",ISNUMBER(A94)),VLOOKUP(A94,Studies!A:BR,4,FALSE),"")</f>
        <v>10 mg</v>
      </c>
      <c r="E94" s="206" t="str">
        <f>IF(AND(A94&lt;&gt;"",ISNUMBER(A94)),VLOOKUP(A94,Studies!A:BR,5,FALSE),"")</f>
        <v>Buspirone</v>
      </c>
      <c r="F94" s="207" t="str">
        <f>IF(AND(A94&lt;&gt;"",ISNUMBER(A94)),VLOOKUP(A94,Studies!A:BR,6,FALSE),"")</f>
        <v>Plasma</v>
      </c>
      <c r="G94" s="194">
        <v>10</v>
      </c>
      <c r="H94" s="194" t="s">
        <v>60</v>
      </c>
      <c r="I94" s="187">
        <v>3.5157809999999998E-2</v>
      </c>
      <c r="J94" s="187" t="s">
        <v>1026</v>
      </c>
      <c r="K94" s="187" t="s">
        <v>116</v>
      </c>
      <c r="L94" s="195"/>
      <c r="M94" s="195"/>
      <c r="N94" s="195"/>
      <c r="O94" s="199"/>
      <c r="P94" s="188"/>
      <c r="Q94" s="174">
        <f>IF(ISNUMBER(VLOOKUP(A94,NotghiID!A:A,1,FALSE)),1,0)</f>
        <v>0</v>
      </c>
    </row>
    <row r="95" spans="1:17" ht="14.25" x14ac:dyDescent="0.2">
      <c r="A95" s="183">
        <v>165</v>
      </c>
      <c r="B95" s="232" t="str">
        <f>IF(AND(A95&lt;&gt;"",ISNUMBER(A95)),VLOOKUP(A95,Studies!A:BR,2,FALSE),"")</f>
        <v>Gammans 1985</v>
      </c>
      <c r="C95" s="232" t="str">
        <f>IF(AND(A95&lt;&gt;"",ISNUMBER(A95)),VLOOKUP(A95,Studies!A:BR,3,FALSE),"")</f>
        <v>https://www.ncbi.nlm.nih.gov/pubmed/2860931</v>
      </c>
      <c r="D95" s="232" t="str">
        <f>IF(AND(A95&lt;&gt;"",ISNUMBER(A95)),VLOOKUP(A95,Studies!A:BR,4,FALSE),"")</f>
        <v>10 mg</v>
      </c>
      <c r="E95" s="206" t="str">
        <f>IF(AND(A95&lt;&gt;"",ISNUMBER(A95)),VLOOKUP(A95,Studies!A:BR,5,FALSE),"")</f>
        <v>Buspirone</v>
      </c>
      <c r="F95" s="207" t="str">
        <f>IF(AND(A95&lt;&gt;"",ISNUMBER(A95)),VLOOKUP(A95,Studies!A:BR,6,FALSE),"")</f>
        <v>Plasma</v>
      </c>
      <c r="G95" s="194">
        <v>12</v>
      </c>
      <c r="H95" s="194" t="s">
        <v>60</v>
      </c>
      <c r="I95" s="187">
        <v>7.4567410000000002E-3</v>
      </c>
      <c r="J95" s="187" t="s">
        <v>1026</v>
      </c>
      <c r="K95" s="187" t="s">
        <v>116</v>
      </c>
      <c r="L95" s="195"/>
      <c r="M95" s="195"/>
      <c r="N95" s="195"/>
      <c r="O95" s="199"/>
      <c r="P95" s="188"/>
      <c r="Q95" s="174">
        <f>IF(ISNUMBER(VLOOKUP(A95,NotghiID!A:A,1,FALSE)),1,0)</f>
        <v>0</v>
      </c>
    </row>
    <row r="96" spans="1:17" ht="14.25" x14ac:dyDescent="0.2">
      <c r="A96" s="183">
        <v>166</v>
      </c>
      <c r="B96" s="232" t="str">
        <f>IF(AND(A96&lt;&gt;"",ISNUMBER(A96)),VLOOKUP(A96,Studies!A:BR,2,FALSE),"")</f>
        <v>Gammans 1985</v>
      </c>
      <c r="C96" s="232" t="str">
        <f>IF(AND(A96&lt;&gt;"",ISNUMBER(A96)),VLOOKUP(A96,Studies!A:BR,3,FALSE),"")</f>
        <v>https://www.ncbi.nlm.nih.gov/pubmed/2860931</v>
      </c>
      <c r="D96" s="232" t="str">
        <f>IF(AND(A96&lt;&gt;"",ISNUMBER(A96)),VLOOKUP(A96,Studies!A:BR,4,FALSE),"")</f>
        <v>20 mg</v>
      </c>
      <c r="E96" s="206" t="str">
        <f>IF(AND(A96&lt;&gt;"",ISNUMBER(A96)),VLOOKUP(A96,Studies!A:BR,5,FALSE),"")</f>
        <v>Buspirone</v>
      </c>
      <c r="F96" s="207" t="str">
        <f>IF(AND(A96&lt;&gt;"",ISNUMBER(A96)),VLOOKUP(A96,Studies!A:BR,6,FALSE),"")</f>
        <v>Plasma</v>
      </c>
      <c r="G96" s="194">
        <v>0.25</v>
      </c>
      <c r="H96" s="194" t="s">
        <v>60</v>
      </c>
      <c r="I96" s="187">
        <v>0.5559982</v>
      </c>
      <c r="J96" s="187" t="s">
        <v>1026</v>
      </c>
      <c r="K96" s="187" t="s">
        <v>116</v>
      </c>
      <c r="L96" s="195"/>
      <c r="M96" s="195"/>
      <c r="N96" s="195"/>
      <c r="O96" s="199"/>
      <c r="P96" s="188"/>
      <c r="Q96" s="174">
        <f>IF(ISNUMBER(VLOOKUP(A96,NotghiID!A:A,1,FALSE)),1,0)</f>
        <v>0</v>
      </c>
    </row>
    <row r="97" spans="1:17" ht="14.25" x14ac:dyDescent="0.2">
      <c r="A97" s="183">
        <v>166</v>
      </c>
      <c r="B97" s="232" t="str">
        <f>IF(AND(A97&lt;&gt;"",ISNUMBER(A97)),VLOOKUP(A97,Studies!A:BR,2,FALSE),"")</f>
        <v>Gammans 1985</v>
      </c>
      <c r="C97" s="232" t="str">
        <f>IF(AND(A97&lt;&gt;"",ISNUMBER(A97)),VLOOKUP(A97,Studies!A:BR,3,FALSE),"")</f>
        <v>https://www.ncbi.nlm.nih.gov/pubmed/2860931</v>
      </c>
      <c r="D97" s="232" t="str">
        <f>IF(AND(A97&lt;&gt;"",ISNUMBER(A97)),VLOOKUP(A97,Studies!A:BR,4,FALSE),"")</f>
        <v>20 mg</v>
      </c>
      <c r="E97" s="206" t="str">
        <f>IF(AND(A97&lt;&gt;"",ISNUMBER(A97)),VLOOKUP(A97,Studies!A:BR,5,FALSE),"")</f>
        <v>Buspirone</v>
      </c>
      <c r="F97" s="207" t="str">
        <f>IF(AND(A97&lt;&gt;"",ISNUMBER(A97)),VLOOKUP(A97,Studies!A:BR,6,FALSE),"")</f>
        <v>Plasma</v>
      </c>
      <c r="G97" s="194">
        <v>0.5</v>
      </c>
      <c r="H97" s="194" t="s">
        <v>60</v>
      </c>
      <c r="I97" s="187">
        <v>1.4870460000000001</v>
      </c>
      <c r="J97" s="187" t="s">
        <v>1026</v>
      </c>
      <c r="K97" s="187" t="s">
        <v>116</v>
      </c>
      <c r="L97" s="195"/>
      <c r="M97" s="195"/>
      <c r="N97" s="195"/>
      <c r="O97" s="199"/>
      <c r="P97" s="188"/>
      <c r="Q97" s="174">
        <f>IF(ISNUMBER(VLOOKUP(A97,NotghiID!A:A,1,FALSE)),1,0)</f>
        <v>0</v>
      </c>
    </row>
    <row r="98" spans="1:17" ht="14.25" x14ac:dyDescent="0.2">
      <c r="A98" s="183">
        <v>166</v>
      </c>
      <c r="B98" s="232" t="str">
        <f>IF(AND(A98&lt;&gt;"",ISNUMBER(A98)),VLOOKUP(A98,Studies!A:BR,2,FALSE),"")</f>
        <v>Gammans 1985</v>
      </c>
      <c r="C98" s="232" t="str">
        <f>IF(AND(A98&lt;&gt;"",ISNUMBER(A98)),VLOOKUP(A98,Studies!A:BR,3,FALSE),"")</f>
        <v>https://www.ncbi.nlm.nih.gov/pubmed/2860931</v>
      </c>
      <c r="D98" s="232" t="str">
        <f>IF(AND(A98&lt;&gt;"",ISNUMBER(A98)),VLOOKUP(A98,Studies!A:BR,4,FALSE),"")</f>
        <v>20 mg</v>
      </c>
      <c r="E98" s="206" t="str">
        <f>IF(AND(A98&lt;&gt;"",ISNUMBER(A98)),VLOOKUP(A98,Studies!A:BR,5,FALSE),"")</f>
        <v>Buspirone</v>
      </c>
      <c r="F98" s="207" t="str">
        <f>IF(AND(A98&lt;&gt;"",ISNUMBER(A98)),VLOOKUP(A98,Studies!A:BR,6,FALSE),"")</f>
        <v>Plasma</v>
      </c>
      <c r="G98" s="194">
        <v>1</v>
      </c>
      <c r="H98" s="194" t="s">
        <v>60</v>
      </c>
      <c r="I98" s="187">
        <v>1.4857739999999999</v>
      </c>
      <c r="J98" s="187" t="s">
        <v>1026</v>
      </c>
      <c r="K98" s="187" t="s">
        <v>116</v>
      </c>
      <c r="L98" s="195"/>
      <c r="M98" s="195"/>
      <c r="N98" s="195"/>
      <c r="O98" s="199"/>
      <c r="P98" s="188"/>
      <c r="Q98" s="174">
        <f>IF(ISNUMBER(VLOOKUP(A98,NotghiID!A:A,1,FALSE)),1,0)</f>
        <v>0</v>
      </c>
    </row>
    <row r="99" spans="1:17" ht="14.25" x14ac:dyDescent="0.2">
      <c r="A99" s="183">
        <v>166</v>
      </c>
      <c r="B99" s="232" t="str">
        <f>IF(AND(A99&lt;&gt;"",ISNUMBER(A99)),VLOOKUP(A99,Studies!A:BR,2,FALSE),"")</f>
        <v>Gammans 1985</v>
      </c>
      <c r="C99" s="232" t="str">
        <f>IF(AND(A99&lt;&gt;"",ISNUMBER(A99)),VLOOKUP(A99,Studies!A:BR,3,FALSE),"")</f>
        <v>https://www.ncbi.nlm.nih.gov/pubmed/2860931</v>
      </c>
      <c r="D99" s="232" t="str">
        <f>IF(AND(A99&lt;&gt;"",ISNUMBER(A99)),VLOOKUP(A99,Studies!A:BR,4,FALSE),"")</f>
        <v>20 mg</v>
      </c>
      <c r="E99" s="206" t="str">
        <f>IF(AND(A99&lt;&gt;"",ISNUMBER(A99)),VLOOKUP(A99,Studies!A:BR,5,FALSE),"")</f>
        <v>Buspirone</v>
      </c>
      <c r="F99" s="207" t="str">
        <f>IF(AND(A99&lt;&gt;"",ISNUMBER(A99)),VLOOKUP(A99,Studies!A:BR,6,FALSE),"")</f>
        <v>Plasma</v>
      </c>
      <c r="G99" s="194">
        <v>2</v>
      </c>
      <c r="H99" s="194" t="s">
        <v>60</v>
      </c>
      <c r="I99" s="187">
        <v>0.84492990000000001</v>
      </c>
      <c r="J99" s="187" t="s">
        <v>1026</v>
      </c>
      <c r="K99" s="187" t="s">
        <v>116</v>
      </c>
      <c r="L99" s="195"/>
      <c r="M99" s="195"/>
      <c r="N99" s="195"/>
      <c r="O99" s="199"/>
      <c r="P99" s="188"/>
      <c r="Q99" s="174">
        <f>IF(ISNUMBER(VLOOKUP(A99,NotghiID!A:A,1,FALSE)),1,0)</f>
        <v>0</v>
      </c>
    </row>
    <row r="100" spans="1:17" ht="14.25" x14ac:dyDescent="0.2">
      <c r="A100" s="183">
        <v>166</v>
      </c>
      <c r="B100" s="232" t="str">
        <f>IF(AND(A100&lt;&gt;"",ISNUMBER(A100)),VLOOKUP(A100,Studies!A:BR,2,FALSE),"")</f>
        <v>Gammans 1985</v>
      </c>
      <c r="C100" s="232" t="str">
        <f>IF(AND(A100&lt;&gt;"",ISNUMBER(A100)),VLOOKUP(A100,Studies!A:BR,3,FALSE),"")</f>
        <v>https://www.ncbi.nlm.nih.gov/pubmed/2860931</v>
      </c>
      <c r="D100" s="232" t="str">
        <f>IF(AND(A100&lt;&gt;"",ISNUMBER(A100)),VLOOKUP(A100,Studies!A:BR,4,FALSE),"")</f>
        <v>20 mg</v>
      </c>
      <c r="E100" s="206" t="str">
        <f>IF(AND(A100&lt;&gt;"",ISNUMBER(A100)),VLOOKUP(A100,Studies!A:BR,5,FALSE),"")</f>
        <v>Buspirone</v>
      </c>
      <c r="F100" s="207" t="str">
        <f>IF(AND(A100&lt;&gt;"",ISNUMBER(A100)),VLOOKUP(A100,Studies!A:BR,6,FALSE),"")</f>
        <v>Plasma</v>
      </c>
      <c r="G100" s="194">
        <v>4</v>
      </c>
      <c r="H100" s="194" t="s">
        <v>60</v>
      </c>
      <c r="I100" s="187">
        <v>0.35778189999999999</v>
      </c>
      <c r="J100" s="187" t="s">
        <v>1026</v>
      </c>
      <c r="K100" s="187" t="s">
        <v>116</v>
      </c>
      <c r="L100" s="195"/>
      <c r="M100" s="195"/>
      <c r="N100" s="195"/>
      <c r="O100" s="199"/>
      <c r="P100" s="188"/>
      <c r="Q100" s="174">
        <f>IF(ISNUMBER(VLOOKUP(A100,NotghiID!A:A,1,FALSE)),1,0)</f>
        <v>0</v>
      </c>
    </row>
    <row r="101" spans="1:17" ht="14.25" x14ac:dyDescent="0.2">
      <c r="A101" s="183">
        <v>166</v>
      </c>
      <c r="B101" s="232" t="str">
        <f>IF(AND(A101&lt;&gt;"",ISNUMBER(A101)),VLOOKUP(A101,Studies!A:BR,2,FALSE),"")</f>
        <v>Gammans 1985</v>
      </c>
      <c r="C101" s="232" t="str">
        <f>IF(AND(A101&lt;&gt;"",ISNUMBER(A101)),VLOOKUP(A101,Studies!A:BR,3,FALSE),"")</f>
        <v>https://www.ncbi.nlm.nih.gov/pubmed/2860931</v>
      </c>
      <c r="D101" s="232" t="str">
        <f>IF(AND(A101&lt;&gt;"",ISNUMBER(A101)),VLOOKUP(A101,Studies!A:BR,4,FALSE),"")</f>
        <v>20 mg</v>
      </c>
      <c r="E101" s="206" t="str">
        <f>IF(AND(A101&lt;&gt;"",ISNUMBER(A101)),VLOOKUP(A101,Studies!A:BR,5,FALSE),"")</f>
        <v>Buspirone</v>
      </c>
      <c r="F101" s="207" t="str">
        <f>IF(AND(A101&lt;&gt;"",ISNUMBER(A101)),VLOOKUP(A101,Studies!A:BR,6,FALSE),"")</f>
        <v>Plasma</v>
      </c>
      <c r="G101" s="194">
        <v>6</v>
      </c>
      <c r="H101" s="194" t="s">
        <v>60</v>
      </c>
      <c r="I101" s="187">
        <v>0.23100010000000001</v>
      </c>
      <c r="J101" s="187" t="s">
        <v>1026</v>
      </c>
      <c r="K101" s="187" t="s">
        <v>116</v>
      </c>
      <c r="L101" s="195"/>
      <c r="M101" s="195"/>
      <c r="N101" s="195"/>
      <c r="O101" s="199"/>
      <c r="P101" s="188"/>
      <c r="Q101" s="174">
        <f>IF(ISNUMBER(VLOOKUP(A101,NotghiID!A:A,1,FALSE)),1,0)</f>
        <v>0</v>
      </c>
    </row>
    <row r="102" spans="1:17" ht="14.25" x14ac:dyDescent="0.2">
      <c r="A102" s="183">
        <v>166</v>
      </c>
      <c r="B102" s="232" t="str">
        <f>IF(AND(A102&lt;&gt;"",ISNUMBER(A102)),VLOOKUP(A102,Studies!A:BR,2,FALSE),"")</f>
        <v>Gammans 1985</v>
      </c>
      <c r="C102" s="232" t="str">
        <f>IF(AND(A102&lt;&gt;"",ISNUMBER(A102)),VLOOKUP(A102,Studies!A:BR,3,FALSE),"")</f>
        <v>https://www.ncbi.nlm.nih.gov/pubmed/2860931</v>
      </c>
      <c r="D102" s="232" t="str">
        <f>IF(AND(A102&lt;&gt;"",ISNUMBER(A102)),VLOOKUP(A102,Studies!A:BR,4,FALSE),"")</f>
        <v>20 mg</v>
      </c>
      <c r="E102" s="206" t="str">
        <f>IF(AND(A102&lt;&gt;"",ISNUMBER(A102)),VLOOKUP(A102,Studies!A:BR,5,FALSE),"")</f>
        <v>Buspirone</v>
      </c>
      <c r="F102" s="207" t="str">
        <f>IF(AND(A102&lt;&gt;"",ISNUMBER(A102)),VLOOKUP(A102,Studies!A:BR,6,FALSE),"")</f>
        <v>Plasma</v>
      </c>
      <c r="G102" s="194">
        <v>8</v>
      </c>
      <c r="H102" s="194" t="s">
        <v>60</v>
      </c>
      <c r="I102" s="187">
        <v>8.4989490000000001E-2</v>
      </c>
      <c r="J102" s="187" t="s">
        <v>1026</v>
      </c>
      <c r="K102" s="187" t="s">
        <v>116</v>
      </c>
      <c r="L102" s="195"/>
      <c r="M102" s="195"/>
      <c r="N102" s="195"/>
      <c r="O102" s="199"/>
      <c r="P102" s="188"/>
      <c r="Q102" s="174">
        <f>IF(ISNUMBER(VLOOKUP(A102,NotghiID!A:A,1,FALSE)),1,0)</f>
        <v>0</v>
      </c>
    </row>
    <row r="103" spans="1:17" ht="14.25" x14ac:dyDescent="0.2">
      <c r="A103" s="183">
        <v>166</v>
      </c>
      <c r="B103" s="232" t="str">
        <f>IF(AND(A103&lt;&gt;"",ISNUMBER(A103)),VLOOKUP(A103,Studies!A:BR,2,FALSE),"")</f>
        <v>Gammans 1985</v>
      </c>
      <c r="C103" s="232" t="str">
        <f>IF(AND(A103&lt;&gt;"",ISNUMBER(A103)),VLOOKUP(A103,Studies!A:BR,3,FALSE),"")</f>
        <v>https://www.ncbi.nlm.nih.gov/pubmed/2860931</v>
      </c>
      <c r="D103" s="232" t="str">
        <f>IF(AND(A103&lt;&gt;"",ISNUMBER(A103)),VLOOKUP(A103,Studies!A:BR,4,FALSE),"")</f>
        <v>20 mg</v>
      </c>
      <c r="E103" s="206" t="str">
        <f>IF(AND(A103&lt;&gt;"",ISNUMBER(A103)),VLOOKUP(A103,Studies!A:BR,5,FALSE),"")</f>
        <v>Buspirone</v>
      </c>
      <c r="F103" s="207" t="str">
        <f>IF(AND(A103&lt;&gt;"",ISNUMBER(A103)),VLOOKUP(A103,Studies!A:BR,6,FALSE),"")</f>
        <v>Plasma</v>
      </c>
      <c r="G103" s="194">
        <v>10</v>
      </c>
      <c r="H103" s="194" t="s">
        <v>60</v>
      </c>
      <c r="I103" s="187">
        <v>4.7681670000000002E-2</v>
      </c>
      <c r="J103" s="187" t="s">
        <v>1026</v>
      </c>
      <c r="K103" s="187" t="s">
        <v>116</v>
      </c>
      <c r="L103" s="195"/>
      <c r="M103" s="195"/>
      <c r="N103" s="195"/>
      <c r="O103" s="199"/>
      <c r="P103" s="188"/>
      <c r="Q103" s="174">
        <f>IF(ISNUMBER(VLOOKUP(A103,NotghiID!A:A,1,FALSE)),1,0)</f>
        <v>0</v>
      </c>
    </row>
    <row r="104" spans="1:17" ht="14.25" x14ac:dyDescent="0.2">
      <c r="A104" s="183">
        <v>166</v>
      </c>
      <c r="B104" s="232" t="str">
        <f>IF(AND(A104&lt;&gt;"",ISNUMBER(A104)),VLOOKUP(A104,Studies!A:BR,2,FALSE),"")</f>
        <v>Gammans 1985</v>
      </c>
      <c r="C104" s="232" t="str">
        <f>IF(AND(A104&lt;&gt;"",ISNUMBER(A104)),VLOOKUP(A104,Studies!A:BR,3,FALSE),"")</f>
        <v>https://www.ncbi.nlm.nih.gov/pubmed/2860931</v>
      </c>
      <c r="D104" s="232" t="str">
        <f>IF(AND(A104&lt;&gt;"",ISNUMBER(A104)),VLOOKUP(A104,Studies!A:BR,4,FALSE),"")</f>
        <v>20 mg</v>
      </c>
      <c r="E104" s="206" t="str">
        <f>IF(AND(A104&lt;&gt;"",ISNUMBER(A104)),VLOOKUP(A104,Studies!A:BR,5,FALSE),"")</f>
        <v>Buspirone</v>
      </c>
      <c r="F104" s="207" t="str">
        <f>IF(AND(A104&lt;&gt;"",ISNUMBER(A104)),VLOOKUP(A104,Studies!A:BR,6,FALSE),"")</f>
        <v>Plasma</v>
      </c>
      <c r="G104" s="194">
        <v>12</v>
      </c>
      <c r="H104" s="194" t="s">
        <v>60</v>
      </c>
      <c r="I104" s="187">
        <v>1.7542519999999999E-2</v>
      </c>
      <c r="J104" s="187" t="s">
        <v>1026</v>
      </c>
      <c r="K104" s="187" t="s">
        <v>116</v>
      </c>
      <c r="L104" s="195"/>
      <c r="M104" s="195"/>
      <c r="N104" s="195"/>
      <c r="O104" s="199"/>
      <c r="P104" s="188"/>
      <c r="Q104" s="174">
        <f>IF(ISNUMBER(VLOOKUP(A104,NotghiID!A:A,1,FALSE)),1,0)</f>
        <v>0</v>
      </c>
    </row>
    <row r="105" spans="1:17" ht="14.25" x14ac:dyDescent="0.2">
      <c r="A105" s="183">
        <v>167</v>
      </c>
      <c r="B105" s="232" t="str">
        <f>IF(AND(A105&lt;&gt;"",ISNUMBER(A105)),VLOOKUP(A105,Studies!A:BR,2,FALSE),"")</f>
        <v>Gammans 1985</v>
      </c>
      <c r="C105" s="232" t="str">
        <f>IF(AND(A105&lt;&gt;"",ISNUMBER(A105)),VLOOKUP(A105,Studies!A:BR,3,FALSE),"")</f>
        <v>https://www.ncbi.nlm.nih.gov/pubmed/2860931</v>
      </c>
      <c r="D105" s="232" t="str">
        <f>IF(AND(A105&lt;&gt;"",ISNUMBER(A105)),VLOOKUP(A105,Studies!A:BR,4,FALSE),"")</f>
        <v>40 mg</v>
      </c>
      <c r="E105" s="206" t="str">
        <f>IF(AND(A105&lt;&gt;"",ISNUMBER(A105)),VLOOKUP(A105,Studies!A:BR,5,FALSE),"")</f>
        <v>Buspirone</v>
      </c>
      <c r="F105" s="207" t="str">
        <f>IF(AND(A105&lt;&gt;"",ISNUMBER(A105)),VLOOKUP(A105,Studies!A:BR,6,FALSE),"")</f>
        <v>Plasma</v>
      </c>
      <c r="G105" s="194">
        <v>0.25</v>
      </c>
      <c r="H105" s="194" t="s">
        <v>60</v>
      </c>
      <c r="I105" s="187">
        <v>0.96432839999999997</v>
      </c>
      <c r="J105" s="187" t="s">
        <v>1026</v>
      </c>
      <c r="K105" s="187" t="s">
        <v>116</v>
      </c>
      <c r="L105" s="195"/>
      <c r="M105" s="195"/>
      <c r="N105" s="195"/>
      <c r="O105" s="199"/>
      <c r="P105" s="188"/>
      <c r="Q105" s="174">
        <f>IF(ISNUMBER(VLOOKUP(A105,NotghiID!A:A,1,FALSE)),1,0)</f>
        <v>0</v>
      </c>
    </row>
    <row r="106" spans="1:17" ht="14.25" x14ac:dyDescent="0.2">
      <c r="A106" s="183">
        <v>167</v>
      </c>
      <c r="B106" s="232" t="str">
        <f>IF(AND(A106&lt;&gt;"",ISNUMBER(A106)),VLOOKUP(A106,Studies!A:BR,2,FALSE),"")</f>
        <v>Gammans 1985</v>
      </c>
      <c r="C106" s="232" t="str">
        <f>IF(AND(A106&lt;&gt;"",ISNUMBER(A106)),VLOOKUP(A106,Studies!A:BR,3,FALSE),"")</f>
        <v>https://www.ncbi.nlm.nih.gov/pubmed/2860931</v>
      </c>
      <c r="D106" s="232" t="str">
        <f>IF(AND(A106&lt;&gt;"",ISNUMBER(A106)),VLOOKUP(A106,Studies!A:BR,4,FALSE),"")</f>
        <v>40 mg</v>
      </c>
      <c r="E106" s="206" t="str">
        <f>IF(AND(A106&lt;&gt;"",ISNUMBER(A106)),VLOOKUP(A106,Studies!A:BR,5,FALSE),"")</f>
        <v>Buspirone</v>
      </c>
      <c r="F106" s="207" t="str">
        <f>IF(AND(A106&lt;&gt;"",ISNUMBER(A106)),VLOOKUP(A106,Studies!A:BR,6,FALSE),"")</f>
        <v>Plasma</v>
      </c>
      <c r="G106" s="194">
        <v>0.5</v>
      </c>
      <c r="H106" s="194" t="s">
        <v>60</v>
      </c>
      <c r="I106" s="187">
        <v>2.9685570000000001</v>
      </c>
      <c r="J106" s="187" t="s">
        <v>1026</v>
      </c>
      <c r="K106" s="187" t="s">
        <v>116</v>
      </c>
      <c r="L106" s="195"/>
      <c r="M106" s="195"/>
      <c r="N106" s="195"/>
      <c r="O106" s="199"/>
      <c r="P106" s="188"/>
      <c r="Q106" s="174">
        <f>IF(ISNUMBER(VLOOKUP(A106,NotghiID!A:A,1,FALSE)),1,0)</f>
        <v>0</v>
      </c>
    </row>
    <row r="107" spans="1:17" ht="14.25" x14ac:dyDescent="0.2">
      <c r="A107" s="183">
        <v>167</v>
      </c>
      <c r="B107" s="232" t="str">
        <f>IF(AND(A107&lt;&gt;"",ISNUMBER(A107)),VLOOKUP(A107,Studies!A:BR,2,FALSE),"")</f>
        <v>Gammans 1985</v>
      </c>
      <c r="C107" s="232" t="str">
        <f>IF(AND(A107&lt;&gt;"",ISNUMBER(A107)),VLOOKUP(A107,Studies!A:BR,3,FALSE),"")</f>
        <v>https://www.ncbi.nlm.nih.gov/pubmed/2860931</v>
      </c>
      <c r="D107" s="232" t="str">
        <f>IF(AND(A107&lt;&gt;"",ISNUMBER(A107)),VLOOKUP(A107,Studies!A:BR,4,FALSE),"")</f>
        <v>40 mg</v>
      </c>
      <c r="E107" s="206" t="str">
        <f>IF(AND(A107&lt;&gt;"",ISNUMBER(A107)),VLOOKUP(A107,Studies!A:BR,5,FALSE),"")</f>
        <v>Buspirone</v>
      </c>
      <c r="F107" s="207" t="str">
        <f>IF(AND(A107&lt;&gt;"",ISNUMBER(A107)),VLOOKUP(A107,Studies!A:BR,6,FALSE),"")</f>
        <v>Plasma</v>
      </c>
      <c r="G107" s="194">
        <v>1</v>
      </c>
      <c r="H107" s="194" t="s">
        <v>60</v>
      </c>
      <c r="I107" s="187">
        <v>2.6074639999999998</v>
      </c>
      <c r="J107" s="187" t="s">
        <v>1026</v>
      </c>
      <c r="K107" s="187" t="s">
        <v>116</v>
      </c>
      <c r="L107" s="195"/>
      <c r="M107" s="195"/>
      <c r="N107" s="195"/>
      <c r="O107" s="199"/>
      <c r="P107" s="188"/>
      <c r="Q107" s="174">
        <f>IF(ISNUMBER(VLOOKUP(A107,NotghiID!A:A,1,FALSE)),1,0)</f>
        <v>0</v>
      </c>
    </row>
    <row r="108" spans="1:17" ht="14.25" x14ac:dyDescent="0.2">
      <c r="A108" s="183">
        <v>167</v>
      </c>
      <c r="B108" s="232" t="str">
        <f>IF(AND(A108&lt;&gt;"",ISNUMBER(A108)),VLOOKUP(A108,Studies!A:BR,2,FALSE),"")</f>
        <v>Gammans 1985</v>
      </c>
      <c r="C108" s="232" t="str">
        <f>IF(AND(A108&lt;&gt;"",ISNUMBER(A108)),VLOOKUP(A108,Studies!A:BR,3,FALSE),"")</f>
        <v>https://www.ncbi.nlm.nih.gov/pubmed/2860931</v>
      </c>
      <c r="D108" s="232" t="str">
        <f>IF(AND(A108&lt;&gt;"",ISNUMBER(A108)),VLOOKUP(A108,Studies!A:BR,4,FALSE),"")</f>
        <v>40 mg</v>
      </c>
      <c r="E108" s="206" t="str">
        <f>IF(AND(A108&lt;&gt;"",ISNUMBER(A108)),VLOOKUP(A108,Studies!A:BR,5,FALSE),"")</f>
        <v>Buspirone</v>
      </c>
      <c r="F108" s="207" t="str">
        <f>IF(AND(A108&lt;&gt;"",ISNUMBER(A108)),VLOOKUP(A108,Studies!A:BR,6,FALSE),"")</f>
        <v>Plasma</v>
      </c>
      <c r="G108" s="194">
        <v>2</v>
      </c>
      <c r="H108" s="194" t="s">
        <v>60</v>
      </c>
      <c r="I108" s="187">
        <v>1.5179739999999999</v>
      </c>
      <c r="J108" s="187" t="s">
        <v>1026</v>
      </c>
      <c r="K108" s="187" t="s">
        <v>116</v>
      </c>
      <c r="L108" s="195"/>
      <c r="M108" s="195"/>
      <c r="N108" s="195"/>
      <c r="O108" s="199"/>
      <c r="P108" s="188"/>
      <c r="Q108" s="174">
        <f>IF(ISNUMBER(VLOOKUP(A108,NotghiID!A:A,1,FALSE)),1,0)</f>
        <v>0</v>
      </c>
    </row>
    <row r="109" spans="1:17" ht="14.25" x14ac:dyDescent="0.2">
      <c r="A109" s="183">
        <v>167</v>
      </c>
      <c r="B109" s="232" t="str">
        <f>IF(AND(A109&lt;&gt;"",ISNUMBER(A109)),VLOOKUP(A109,Studies!A:BR,2,FALSE),"")</f>
        <v>Gammans 1985</v>
      </c>
      <c r="C109" s="232" t="str">
        <f>IF(AND(A109&lt;&gt;"",ISNUMBER(A109)),VLOOKUP(A109,Studies!A:BR,3,FALSE),"")</f>
        <v>https://www.ncbi.nlm.nih.gov/pubmed/2860931</v>
      </c>
      <c r="D109" s="232" t="str">
        <f>IF(AND(A109&lt;&gt;"",ISNUMBER(A109)),VLOOKUP(A109,Studies!A:BR,4,FALSE),"")</f>
        <v>40 mg</v>
      </c>
      <c r="E109" s="206" t="str">
        <f>IF(AND(A109&lt;&gt;"",ISNUMBER(A109)),VLOOKUP(A109,Studies!A:BR,5,FALSE),"")</f>
        <v>Buspirone</v>
      </c>
      <c r="F109" s="207" t="str">
        <f>IF(AND(A109&lt;&gt;"",ISNUMBER(A109)),VLOOKUP(A109,Studies!A:BR,6,FALSE),"")</f>
        <v>Plasma</v>
      </c>
      <c r="G109" s="194">
        <v>4</v>
      </c>
      <c r="H109" s="194" t="s">
        <v>60</v>
      </c>
      <c r="I109" s="187">
        <v>0.85150780000000004</v>
      </c>
      <c r="J109" s="187" t="s">
        <v>1026</v>
      </c>
      <c r="K109" s="187" t="s">
        <v>116</v>
      </c>
      <c r="L109" s="195"/>
      <c r="M109" s="195"/>
      <c r="N109" s="195"/>
      <c r="O109" s="199"/>
      <c r="P109" s="188"/>
      <c r="Q109" s="174">
        <f>IF(ISNUMBER(VLOOKUP(A109,NotghiID!A:A,1,FALSE)),1,0)</f>
        <v>0</v>
      </c>
    </row>
    <row r="110" spans="1:17" ht="14.25" x14ac:dyDescent="0.2">
      <c r="A110" s="183">
        <v>167</v>
      </c>
      <c r="B110" s="232" t="str">
        <f>IF(AND(A110&lt;&gt;"",ISNUMBER(A110)),VLOOKUP(A110,Studies!A:BR,2,FALSE),"")</f>
        <v>Gammans 1985</v>
      </c>
      <c r="C110" s="232" t="str">
        <f>IF(AND(A110&lt;&gt;"",ISNUMBER(A110)),VLOOKUP(A110,Studies!A:BR,3,FALSE),"")</f>
        <v>https://www.ncbi.nlm.nih.gov/pubmed/2860931</v>
      </c>
      <c r="D110" s="232" t="str">
        <f>IF(AND(A110&lt;&gt;"",ISNUMBER(A110)),VLOOKUP(A110,Studies!A:BR,4,FALSE),"")</f>
        <v>40 mg</v>
      </c>
      <c r="E110" s="206" t="str">
        <f>IF(AND(A110&lt;&gt;"",ISNUMBER(A110)),VLOOKUP(A110,Studies!A:BR,5,FALSE),"")</f>
        <v>Buspirone</v>
      </c>
      <c r="F110" s="207" t="str">
        <f>IF(AND(A110&lt;&gt;"",ISNUMBER(A110)),VLOOKUP(A110,Studies!A:BR,6,FALSE),"")</f>
        <v>Plasma</v>
      </c>
      <c r="G110" s="194">
        <v>6</v>
      </c>
      <c r="H110" s="194" t="s">
        <v>60</v>
      </c>
      <c r="I110" s="187">
        <v>0.47211579999999997</v>
      </c>
      <c r="J110" s="187" t="s">
        <v>1026</v>
      </c>
      <c r="K110" s="187" t="s">
        <v>116</v>
      </c>
      <c r="L110" s="195"/>
      <c r="M110" s="195"/>
      <c r="N110" s="195"/>
      <c r="O110" s="199"/>
      <c r="P110" s="188"/>
      <c r="Q110" s="174">
        <f>IF(ISNUMBER(VLOOKUP(A110,NotghiID!A:A,1,FALSE)),1,0)</f>
        <v>0</v>
      </c>
    </row>
    <row r="111" spans="1:17" ht="14.25" x14ac:dyDescent="0.2">
      <c r="A111" s="183">
        <v>167</v>
      </c>
      <c r="B111" s="232" t="str">
        <f>IF(AND(A111&lt;&gt;"",ISNUMBER(A111)),VLOOKUP(A111,Studies!A:BR,2,FALSE),"")</f>
        <v>Gammans 1985</v>
      </c>
      <c r="C111" s="232" t="str">
        <f>IF(AND(A111&lt;&gt;"",ISNUMBER(A111)),VLOOKUP(A111,Studies!A:BR,3,FALSE),"")</f>
        <v>https://www.ncbi.nlm.nih.gov/pubmed/2860931</v>
      </c>
      <c r="D111" s="232" t="str">
        <f>IF(AND(A111&lt;&gt;"",ISNUMBER(A111)),VLOOKUP(A111,Studies!A:BR,4,FALSE),"")</f>
        <v>40 mg</v>
      </c>
      <c r="E111" s="206" t="str">
        <f>IF(AND(A111&lt;&gt;"",ISNUMBER(A111)),VLOOKUP(A111,Studies!A:BR,5,FALSE),"")</f>
        <v>Buspirone</v>
      </c>
      <c r="F111" s="207" t="str">
        <f>IF(AND(A111&lt;&gt;"",ISNUMBER(A111)),VLOOKUP(A111,Studies!A:BR,6,FALSE),"")</f>
        <v>Plasma</v>
      </c>
      <c r="G111" s="194">
        <v>8</v>
      </c>
      <c r="H111" s="194" t="s">
        <v>60</v>
      </c>
      <c r="I111" s="187">
        <v>0.23281840000000001</v>
      </c>
      <c r="J111" s="187" t="s">
        <v>1026</v>
      </c>
      <c r="K111" s="187" t="s">
        <v>116</v>
      </c>
      <c r="L111" s="195"/>
      <c r="M111" s="195"/>
      <c r="N111" s="195"/>
      <c r="O111" s="199"/>
      <c r="P111" s="188"/>
      <c r="Q111" s="174">
        <f>IF(ISNUMBER(VLOOKUP(A111,NotghiID!A:A,1,FALSE)),1,0)</f>
        <v>0</v>
      </c>
    </row>
    <row r="112" spans="1:17" ht="14.25" x14ac:dyDescent="0.2">
      <c r="A112" s="183">
        <v>167</v>
      </c>
      <c r="B112" s="232" t="str">
        <f>IF(AND(A112&lt;&gt;"",ISNUMBER(A112)),VLOOKUP(A112,Studies!A:BR,2,FALSE),"")</f>
        <v>Gammans 1985</v>
      </c>
      <c r="C112" s="232" t="str">
        <f>IF(AND(A112&lt;&gt;"",ISNUMBER(A112)),VLOOKUP(A112,Studies!A:BR,3,FALSE),"")</f>
        <v>https://www.ncbi.nlm.nih.gov/pubmed/2860931</v>
      </c>
      <c r="D112" s="232" t="str">
        <f>IF(AND(A112&lt;&gt;"",ISNUMBER(A112)),VLOOKUP(A112,Studies!A:BR,4,FALSE),"")</f>
        <v>40 mg</v>
      </c>
      <c r="E112" s="206" t="str">
        <f>IF(AND(A112&lt;&gt;"",ISNUMBER(A112)),VLOOKUP(A112,Studies!A:BR,5,FALSE),"")</f>
        <v>Buspirone</v>
      </c>
      <c r="F112" s="207" t="str">
        <f>IF(AND(A112&lt;&gt;"",ISNUMBER(A112)),VLOOKUP(A112,Studies!A:BR,6,FALSE),"")</f>
        <v>Plasma</v>
      </c>
      <c r="G112" s="194">
        <v>10</v>
      </c>
      <c r="H112" s="194" t="s">
        <v>60</v>
      </c>
      <c r="I112" s="187">
        <v>0.12908539999999999</v>
      </c>
      <c r="J112" s="187" t="s">
        <v>1026</v>
      </c>
      <c r="K112" s="187" t="s">
        <v>116</v>
      </c>
      <c r="L112" s="195"/>
      <c r="M112" s="195"/>
      <c r="N112" s="195"/>
      <c r="O112" s="199"/>
      <c r="P112" s="188"/>
      <c r="Q112" s="174">
        <f>IF(ISNUMBER(VLOOKUP(A112,NotghiID!A:A,1,FALSE)),1,0)</f>
        <v>0</v>
      </c>
    </row>
    <row r="113" spans="1:17" ht="14.25" x14ac:dyDescent="0.2">
      <c r="A113" s="183">
        <v>167</v>
      </c>
      <c r="B113" s="232" t="str">
        <f>IF(AND(A113&lt;&gt;"",ISNUMBER(A113)),VLOOKUP(A113,Studies!A:BR,2,FALSE),"")</f>
        <v>Gammans 1985</v>
      </c>
      <c r="C113" s="232" t="str">
        <f>IF(AND(A113&lt;&gt;"",ISNUMBER(A113)),VLOOKUP(A113,Studies!A:BR,3,FALSE),"")</f>
        <v>https://www.ncbi.nlm.nih.gov/pubmed/2860931</v>
      </c>
      <c r="D113" s="232" t="str">
        <f>IF(AND(A113&lt;&gt;"",ISNUMBER(A113)),VLOOKUP(A113,Studies!A:BR,4,FALSE),"")</f>
        <v>40 mg</v>
      </c>
      <c r="E113" s="206" t="str">
        <f>IF(AND(A113&lt;&gt;"",ISNUMBER(A113)),VLOOKUP(A113,Studies!A:BR,5,FALSE),"")</f>
        <v>Buspirone</v>
      </c>
      <c r="F113" s="207" t="str">
        <f>IF(AND(A113&lt;&gt;"",ISNUMBER(A113)),VLOOKUP(A113,Studies!A:BR,6,FALSE),"")</f>
        <v>Plasma</v>
      </c>
      <c r="G113" s="194">
        <v>12</v>
      </c>
      <c r="H113" s="194" t="s">
        <v>60</v>
      </c>
      <c r="I113" s="187">
        <v>4.6394280000000003E-2</v>
      </c>
      <c r="J113" s="187" t="s">
        <v>1026</v>
      </c>
      <c r="K113" s="187" t="s">
        <v>116</v>
      </c>
      <c r="L113" s="195"/>
      <c r="M113" s="195"/>
      <c r="N113" s="195"/>
      <c r="O113" s="199"/>
      <c r="P113" s="188"/>
      <c r="Q113" s="174">
        <f>IF(ISNUMBER(VLOOKUP(A113,NotghiID!A:A,1,FALSE)),1,0)</f>
        <v>0</v>
      </c>
    </row>
    <row r="114" spans="1:17" ht="14.25" x14ac:dyDescent="0.2">
      <c r="A114" s="183">
        <v>168</v>
      </c>
      <c r="B114" s="232" t="str">
        <f>IF(AND(A114&lt;&gt;"",ISNUMBER(A114)),VLOOKUP(A114,Studies!A:BR,2,FALSE),"")</f>
        <v>Gammans 1986</v>
      </c>
      <c r="C114" s="232" t="str">
        <f>IF(AND(A114&lt;&gt;"",ISNUMBER(A114)),VLOOKUP(A114,Studies!A:BR,3,FALSE),"")</f>
        <v>https://www.ncbi.nlm.nih.gov/pubmed/16638734</v>
      </c>
      <c r="D114" s="232" t="str">
        <f>IF(AND(A114&lt;&gt;"",ISNUMBER(A114)),VLOOKUP(A114,Studies!A:BR,4,FALSE),"")</f>
        <v>Intravenous 1mg (n=8)</v>
      </c>
      <c r="E114" s="206" t="str">
        <f>IF(AND(A114&lt;&gt;"",ISNUMBER(A114)),VLOOKUP(A114,Studies!A:BR,5,FALSE),"")</f>
        <v>Buspirone</v>
      </c>
      <c r="F114" s="207" t="str">
        <f>IF(AND(A114&lt;&gt;"",ISNUMBER(A114)),VLOOKUP(A114,Studies!A:BR,6,FALSE),"")</f>
        <v>Plasma</v>
      </c>
      <c r="G114" s="194">
        <v>0.25</v>
      </c>
      <c r="H114" s="194" t="s">
        <v>60</v>
      </c>
      <c r="I114" s="187">
        <v>0.81255250000000001</v>
      </c>
      <c r="J114" s="187" t="s">
        <v>1026</v>
      </c>
      <c r="K114" s="187" t="s">
        <v>116</v>
      </c>
      <c r="L114" s="195"/>
      <c r="M114" s="195"/>
      <c r="N114" s="195"/>
      <c r="O114" s="199"/>
      <c r="P114" s="188"/>
      <c r="Q114" s="174">
        <f>IF(ISNUMBER(VLOOKUP(A114,NotghiID!A:A,1,FALSE)),1,0)</f>
        <v>0</v>
      </c>
    </row>
    <row r="115" spans="1:17" ht="14.25" x14ac:dyDescent="0.2">
      <c r="A115" s="183">
        <v>168</v>
      </c>
      <c r="B115" s="232" t="str">
        <f>IF(AND(A115&lt;&gt;"",ISNUMBER(A115)),VLOOKUP(A115,Studies!A:BR,2,FALSE),"")</f>
        <v>Gammans 1986</v>
      </c>
      <c r="C115" s="232" t="str">
        <f>IF(AND(A115&lt;&gt;"",ISNUMBER(A115)),VLOOKUP(A115,Studies!A:BR,3,FALSE),"")</f>
        <v>https://www.ncbi.nlm.nih.gov/pubmed/16638734</v>
      </c>
      <c r="D115" s="232" t="str">
        <f>IF(AND(A115&lt;&gt;"",ISNUMBER(A115)),VLOOKUP(A115,Studies!A:BR,4,FALSE),"")</f>
        <v>Intravenous 1mg (n=8)</v>
      </c>
      <c r="E115" s="206" t="str">
        <f>IF(AND(A115&lt;&gt;"",ISNUMBER(A115)),VLOOKUP(A115,Studies!A:BR,5,FALSE),"")</f>
        <v>Buspirone</v>
      </c>
      <c r="F115" s="207" t="str">
        <f>IF(AND(A115&lt;&gt;"",ISNUMBER(A115)),VLOOKUP(A115,Studies!A:BR,6,FALSE),"")</f>
        <v>Plasma</v>
      </c>
      <c r="G115" s="194">
        <v>0.5</v>
      </c>
      <c r="H115" s="194" t="s">
        <v>60</v>
      </c>
      <c r="I115" s="187">
        <v>1.3362799999999999</v>
      </c>
      <c r="J115" s="187" t="s">
        <v>1026</v>
      </c>
      <c r="K115" s="187" t="s">
        <v>116</v>
      </c>
      <c r="L115" s="195"/>
      <c r="M115" s="195"/>
      <c r="N115" s="195"/>
      <c r="O115" s="199"/>
      <c r="P115" s="188"/>
      <c r="Q115" s="174">
        <f>IF(ISNUMBER(VLOOKUP(A115,NotghiID!A:A,1,FALSE)),1,0)</f>
        <v>0</v>
      </c>
    </row>
    <row r="116" spans="1:17" ht="14.25" x14ac:dyDescent="0.2">
      <c r="A116" s="183">
        <v>168</v>
      </c>
      <c r="B116" s="232" t="str">
        <f>IF(AND(A116&lt;&gt;"",ISNUMBER(A116)),VLOOKUP(A116,Studies!A:BR,2,FALSE),"")</f>
        <v>Gammans 1986</v>
      </c>
      <c r="C116" s="232" t="str">
        <f>IF(AND(A116&lt;&gt;"",ISNUMBER(A116)),VLOOKUP(A116,Studies!A:BR,3,FALSE),"")</f>
        <v>https://www.ncbi.nlm.nih.gov/pubmed/16638734</v>
      </c>
      <c r="D116" s="232" t="str">
        <f>IF(AND(A116&lt;&gt;"",ISNUMBER(A116)),VLOOKUP(A116,Studies!A:BR,4,FALSE),"")</f>
        <v>Intravenous 1mg (n=8)</v>
      </c>
      <c r="E116" s="206" t="str">
        <f>IF(AND(A116&lt;&gt;"",ISNUMBER(A116)),VLOOKUP(A116,Studies!A:BR,5,FALSE),"")</f>
        <v>Buspirone</v>
      </c>
      <c r="F116" s="207" t="str">
        <f>IF(AND(A116&lt;&gt;"",ISNUMBER(A116)),VLOOKUP(A116,Studies!A:BR,6,FALSE),"")</f>
        <v>Plasma</v>
      </c>
      <c r="G116" s="194">
        <v>1</v>
      </c>
      <c r="H116" s="194" t="s">
        <v>60</v>
      </c>
      <c r="I116" s="187">
        <v>1.1639470000000001</v>
      </c>
      <c r="J116" s="187" t="s">
        <v>1026</v>
      </c>
      <c r="K116" s="187" t="s">
        <v>116</v>
      </c>
      <c r="L116" s="195"/>
      <c r="M116" s="195"/>
      <c r="N116" s="195"/>
      <c r="O116" s="199"/>
      <c r="P116" s="188"/>
      <c r="Q116" s="174">
        <f>IF(ISNUMBER(VLOOKUP(A116,NotghiID!A:A,1,FALSE)),1,0)</f>
        <v>0</v>
      </c>
    </row>
    <row r="117" spans="1:17" ht="14.25" x14ac:dyDescent="0.2">
      <c r="A117" s="183">
        <v>168</v>
      </c>
      <c r="B117" s="232" t="str">
        <f>IF(AND(A117&lt;&gt;"",ISNUMBER(A117)),VLOOKUP(A117,Studies!A:BR,2,FALSE),"")</f>
        <v>Gammans 1986</v>
      </c>
      <c r="C117" s="232" t="str">
        <f>IF(AND(A117&lt;&gt;"",ISNUMBER(A117)),VLOOKUP(A117,Studies!A:BR,3,FALSE),"")</f>
        <v>https://www.ncbi.nlm.nih.gov/pubmed/16638734</v>
      </c>
      <c r="D117" s="232" t="str">
        <f>IF(AND(A117&lt;&gt;"",ISNUMBER(A117)),VLOOKUP(A117,Studies!A:BR,4,FALSE),"")</f>
        <v>Intravenous 1mg (n=8)</v>
      </c>
      <c r="E117" s="206" t="str">
        <f>IF(AND(A117&lt;&gt;"",ISNUMBER(A117)),VLOOKUP(A117,Studies!A:BR,5,FALSE),"")</f>
        <v>Buspirone</v>
      </c>
      <c r="F117" s="207" t="str">
        <f>IF(AND(A117&lt;&gt;"",ISNUMBER(A117)),VLOOKUP(A117,Studies!A:BR,6,FALSE),"")</f>
        <v>Plasma</v>
      </c>
      <c r="G117" s="194">
        <v>2</v>
      </c>
      <c r="H117" s="194" t="s">
        <v>60</v>
      </c>
      <c r="I117" s="187">
        <v>0.82064749999999997</v>
      </c>
      <c r="J117" s="187" t="s">
        <v>1026</v>
      </c>
      <c r="K117" s="187" t="s">
        <v>116</v>
      </c>
      <c r="L117" s="195"/>
      <c r="M117" s="195"/>
      <c r="N117" s="195"/>
      <c r="O117" s="199"/>
      <c r="P117" s="188"/>
      <c r="Q117" s="174">
        <f>IF(ISNUMBER(VLOOKUP(A117,NotghiID!A:A,1,FALSE)),1,0)</f>
        <v>0</v>
      </c>
    </row>
    <row r="118" spans="1:17" ht="14.25" x14ac:dyDescent="0.2">
      <c r="A118" s="183">
        <v>168</v>
      </c>
      <c r="B118" s="232" t="str">
        <f>IF(AND(A118&lt;&gt;"",ISNUMBER(A118)),VLOOKUP(A118,Studies!A:BR,2,FALSE),"")</f>
        <v>Gammans 1986</v>
      </c>
      <c r="C118" s="232" t="str">
        <f>IF(AND(A118&lt;&gt;"",ISNUMBER(A118)),VLOOKUP(A118,Studies!A:BR,3,FALSE),"")</f>
        <v>https://www.ncbi.nlm.nih.gov/pubmed/16638734</v>
      </c>
      <c r="D118" s="232" t="str">
        <f>IF(AND(A118&lt;&gt;"",ISNUMBER(A118)),VLOOKUP(A118,Studies!A:BR,4,FALSE),"")</f>
        <v>Intravenous 1mg (n=8)</v>
      </c>
      <c r="E118" s="206" t="str">
        <f>IF(AND(A118&lt;&gt;"",ISNUMBER(A118)),VLOOKUP(A118,Studies!A:BR,5,FALSE),"")</f>
        <v>Buspirone</v>
      </c>
      <c r="F118" s="207" t="str">
        <f>IF(AND(A118&lt;&gt;"",ISNUMBER(A118)),VLOOKUP(A118,Studies!A:BR,6,FALSE),"")</f>
        <v>Plasma</v>
      </c>
      <c r="G118" s="194">
        <v>4</v>
      </c>
      <c r="H118" s="194" t="s">
        <v>60</v>
      </c>
      <c r="I118" s="187">
        <v>0.39810230000000002</v>
      </c>
      <c r="J118" s="187" t="s">
        <v>1026</v>
      </c>
      <c r="K118" s="187" t="s">
        <v>116</v>
      </c>
      <c r="L118" s="195"/>
      <c r="M118" s="195"/>
      <c r="N118" s="195"/>
      <c r="O118" s="199"/>
      <c r="P118" s="188"/>
      <c r="Q118" s="174">
        <f>IF(ISNUMBER(VLOOKUP(A118,NotghiID!A:A,1,FALSE)),1,0)</f>
        <v>0</v>
      </c>
    </row>
    <row r="119" spans="1:17" ht="14.25" x14ac:dyDescent="0.2">
      <c r="A119" s="183">
        <v>168</v>
      </c>
      <c r="B119" s="232" t="str">
        <f>IF(AND(A119&lt;&gt;"",ISNUMBER(A119)),VLOOKUP(A119,Studies!A:BR,2,FALSE),"")</f>
        <v>Gammans 1986</v>
      </c>
      <c r="C119" s="232" t="str">
        <f>IF(AND(A119&lt;&gt;"",ISNUMBER(A119)),VLOOKUP(A119,Studies!A:BR,3,FALSE),"")</f>
        <v>https://www.ncbi.nlm.nih.gov/pubmed/16638734</v>
      </c>
      <c r="D119" s="232" t="str">
        <f>IF(AND(A119&lt;&gt;"",ISNUMBER(A119)),VLOOKUP(A119,Studies!A:BR,4,FALSE),"")</f>
        <v>Intravenous 1mg (n=8)</v>
      </c>
      <c r="E119" s="206" t="str">
        <f>IF(AND(A119&lt;&gt;"",ISNUMBER(A119)),VLOOKUP(A119,Studies!A:BR,5,FALSE),"")</f>
        <v>Buspirone</v>
      </c>
      <c r="F119" s="207" t="str">
        <f>IF(AND(A119&lt;&gt;"",ISNUMBER(A119)),VLOOKUP(A119,Studies!A:BR,6,FALSE),"")</f>
        <v>Plasma</v>
      </c>
      <c r="G119" s="194">
        <v>6</v>
      </c>
      <c r="H119" s="194" t="s">
        <v>60</v>
      </c>
      <c r="I119" s="187">
        <v>0.24066219999999999</v>
      </c>
      <c r="J119" s="187" t="s">
        <v>1026</v>
      </c>
      <c r="K119" s="187" t="s">
        <v>116</v>
      </c>
      <c r="L119" s="195"/>
      <c r="M119" s="195"/>
      <c r="N119" s="195"/>
      <c r="O119" s="199"/>
      <c r="P119" s="188"/>
      <c r="Q119" s="174">
        <f>IF(ISNUMBER(VLOOKUP(A119,NotghiID!A:A,1,FALSE)),1,0)</f>
        <v>0</v>
      </c>
    </row>
    <row r="120" spans="1:17" ht="14.25" x14ac:dyDescent="0.2">
      <c r="A120" s="183">
        <v>168</v>
      </c>
      <c r="B120" s="232" t="str">
        <f>IF(AND(A120&lt;&gt;"",ISNUMBER(A120)),VLOOKUP(A120,Studies!A:BR,2,FALSE),"")</f>
        <v>Gammans 1986</v>
      </c>
      <c r="C120" s="232" t="str">
        <f>IF(AND(A120&lt;&gt;"",ISNUMBER(A120)),VLOOKUP(A120,Studies!A:BR,3,FALSE),"")</f>
        <v>https://www.ncbi.nlm.nih.gov/pubmed/16638734</v>
      </c>
      <c r="D120" s="232" t="str">
        <f>IF(AND(A120&lt;&gt;"",ISNUMBER(A120)),VLOOKUP(A120,Studies!A:BR,4,FALSE),"")</f>
        <v>Intravenous 1mg (n=8)</v>
      </c>
      <c r="E120" s="206" t="str">
        <f>IF(AND(A120&lt;&gt;"",ISNUMBER(A120)),VLOOKUP(A120,Studies!A:BR,5,FALSE),"")</f>
        <v>Buspirone</v>
      </c>
      <c r="F120" s="207" t="str">
        <f>IF(AND(A120&lt;&gt;"",ISNUMBER(A120)),VLOOKUP(A120,Studies!A:BR,6,FALSE),"")</f>
        <v>Plasma</v>
      </c>
      <c r="G120" s="194">
        <v>8</v>
      </c>
      <c r="H120" s="194" t="s">
        <v>60</v>
      </c>
      <c r="I120" s="187">
        <v>0.1396761</v>
      </c>
      <c r="J120" s="187" t="s">
        <v>1026</v>
      </c>
      <c r="K120" s="187" t="s">
        <v>116</v>
      </c>
      <c r="L120" s="195"/>
      <c r="M120" s="195"/>
      <c r="N120" s="195"/>
      <c r="O120" s="199"/>
      <c r="P120" s="188"/>
      <c r="Q120" s="174">
        <f>IF(ISNUMBER(VLOOKUP(A120,NotghiID!A:A,1,FALSE)),1,0)</f>
        <v>0</v>
      </c>
    </row>
    <row r="121" spans="1:17" ht="14.25" x14ac:dyDescent="0.2">
      <c r="A121" s="183">
        <v>169</v>
      </c>
      <c r="B121" s="232" t="str">
        <f>IF(AND(A121&lt;&gt;"",ISNUMBER(A121)),VLOOKUP(A121,Studies!A:BR,2,FALSE),"")</f>
        <v>Gammans 1986</v>
      </c>
      <c r="C121" s="232" t="str">
        <f>IF(AND(A121&lt;&gt;"",ISNUMBER(A121)),VLOOKUP(A121,Studies!A:BR,3,FALSE),"")</f>
        <v>https://www.ncbi.nlm.nih.gov/pubmed/16638734</v>
      </c>
      <c r="D121" s="232" t="str">
        <f>IF(AND(A121&lt;&gt;"",ISNUMBER(A121)),VLOOKUP(A121,Studies!A:BR,4,FALSE),"")</f>
        <v>Oral 20 mg (n=8)</v>
      </c>
      <c r="E121" s="206" t="str">
        <f>IF(AND(A121&lt;&gt;"",ISNUMBER(A121)),VLOOKUP(A121,Studies!A:BR,5,FALSE),"")</f>
        <v>Buspirone</v>
      </c>
      <c r="F121" s="207" t="str">
        <f>IF(AND(A121&lt;&gt;"",ISNUMBER(A121)),VLOOKUP(A121,Studies!A:BR,6,FALSE),"")</f>
        <v>Plasma</v>
      </c>
      <c r="G121" s="194">
        <v>0.16666666666666666</v>
      </c>
      <c r="H121" s="194" t="s">
        <v>60</v>
      </c>
      <c r="I121" s="187">
        <v>6.8374930000000003</v>
      </c>
      <c r="J121" s="187" t="s">
        <v>1026</v>
      </c>
      <c r="K121" s="187" t="s">
        <v>116</v>
      </c>
      <c r="L121" s="195"/>
      <c r="M121" s="195"/>
      <c r="N121" s="195"/>
      <c r="O121" s="199"/>
      <c r="P121" s="188"/>
      <c r="Q121" s="174">
        <f>IF(ISNUMBER(VLOOKUP(A121,NotghiID!A:A,1,FALSE)),1,0)</f>
        <v>0</v>
      </c>
    </row>
    <row r="122" spans="1:17" ht="14.25" x14ac:dyDescent="0.2">
      <c r="A122" s="183">
        <v>169</v>
      </c>
      <c r="B122" s="232" t="str">
        <f>IF(AND(A122&lt;&gt;"",ISNUMBER(A122)),VLOOKUP(A122,Studies!A:BR,2,FALSE),"")</f>
        <v>Gammans 1986</v>
      </c>
      <c r="C122" s="232" t="str">
        <f>IF(AND(A122&lt;&gt;"",ISNUMBER(A122)),VLOOKUP(A122,Studies!A:BR,3,FALSE),"")</f>
        <v>https://www.ncbi.nlm.nih.gov/pubmed/16638734</v>
      </c>
      <c r="D122" s="232" t="str">
        <f>IF(AND(A122&lt;&gt;"",ISNUMBER(A122)),VLOOKUP(A122,Studies!A:BR,4,FALSE),"")</f>
        <v>Oral 20 mg (n=8)</v>
      </c>
      <c r="E122" s="206" t="str">
        <f>IF(AND(A122&lt;&gt;"",ISNUMBER(A122)),VLOOKUP(A122,Studies!A:BR,5,FALSE),"")</f>
        <v>Buspirone</v>
      </c>
      <c r="F122" s="207" t="str">
        <f>IF(AND(A122&lt;&gt;"",ISNUMBER(A122)),VLOOKUP(A122,Studies!A:BR,6,FALSE),"")</f>
        <v>Plasma</v>
      </c>
      <c r="G122" s="194">
        <v>0.25</v>
      </c>
      <c r="H122" s="194" t="s">
        <v>60</v>
      </c>
      <c r="I122" s="187">
        <v>7.8886380000000003</v>
      </c>
      <c r="J122" s="187" t="s">
        <v>1026</v>
      </c>
      <c r="K122" s="187" t="s">
        <v>116</v>
      </c>
      <c r="L122" s="195"/>
      <c r="M122" s="195"/>
      <c r="N122" s="195"/>
      <c r="O122" s="199"/>
      <c r="P122" s="188"/>
      <c r="Q122" s="174">
        <f>IF(ISNUMBER(VLOOKUP(A122,NotghiID!A:A,1,FALSE)),1,0)</f>
        <v>0</v>
      </c>
    </row>
    <row r="123" spans="1:17" ht="14.25" x14ac:dyDescent="0.2">
      <c r="A123" s="183">
        <v>169</v>
      </c>
      <c r="B123" s="232" t="str">
        <f>IF(AND(A123&lt;&gt;"",ISNUMBER(A123)),VLOOKUP(A123,Studies!A:BR,2,FALSE),"")</f>
        <v>Gammans 1986</v>
      </c>
      <c r="C123" s="232" t="str">
        <f>IF(AND(A123&lt;&gt;"",ISNUMBER(A123)),VLOOKUP(A123,Studies!A:BR,3,FALSE),"")</f>
        <v>https://www.ncbi.nlm.nih.gov/pubmed/16638734</v>
      </c>
      <c r="D123" s="232" t="str">
        <f>IF(AND(A123&lt;&gt;"",ISNUMBER(A123)),VLOOKUP(A123,Studies!A:BR,4,FALSE),"")</f>
        <v>Oral 20 mg (n=8)</v>
      </c>
      <c r="E123" s="206" t="str">
        <f>IF(AND(A123&lt;&gt;"",ISNUMBER(A123)),VLOOKUP(A123,Studies!A:BR,5,FALSE),"")</f>
        <v>Buspirone</v>
      </c>
      <c r="F123" s="207" t="str">
        <f>IF(AND(A123&lt;&gt;"",ISNUMBER(A123)),VLOOKUP(A123,Studies!A:BR,6,FALSE),"")</f>
        <v>Plasma</v>
      </c>
      <c r="G123" s="194">
        <v>0.5</v>
      </c>
      <c r="H123" s="194" t="s">
        <v>60</v>
      </c>
      <c r="I123" s="187">
        <v>5.2274339999999997</v>
      </c>
      <c r="J123" s="187" t="s">
        <v>1026</v>
      </c>
      <c r="K123" s="187" t="s">
        <v>116</v>
      </c>
      <c r="L123" s="195"/>
      <c r="M123" s="195"/>
      <c r="N123" s="195"/>
      <c r="O123" s="199"/>
      <c r="P123" s="188"/>
      <c r="Q123" s="174">
        <f>IF(ISNUMBER(VLOOKUP(A123,NotghiID!A:A,1,FALSE)),1,0)</f>
        <v>0</v>
      </c>
    </row>
    <row r="124" spans="1:17" ht="14.25" x14ac:dyDescent="0.2">
      <c r="A124" s="183">
        <v>169</v>
      </c>
      <c r="B124" s="232" t="str">
        <f>IF(AND(A124&lt;&gt;"",ISNUMBER(A124)),VLOOKUP(A124,Studies!A:BR,2,FALSE),"")</f>
        <v>Gammans 1986</v>
      </c>
      <c r="C124" s="232" t="str">
        <f>IF(AND(A124&lt;&gt;"",ISNUMBER(A124)),VLOOKUP(A124,Studies!A:BR,3,FALSE),"")</f>
        <v>https://www.ncbi.nlm.nih.gov/pubmed/16638734</v>
      </c>
      <c r="D124" s="232" t="str">
        <f>IF(AND(A124&lt;&gt;"",ISNUMBER(A124)),VLOOKUP(A124,Studies!A:BR,4,FALSE),"")</f>
        <v>Oral 20 mg (n=8)</v>
      </c>
      <c r="E124" s="206" t="str">
        <f>IF(AND(A124&lt;&gt;"",ISNUMBER(A124)),VLOOKUP(A124,Studies!A:BR,5,FALSE),"")</f>
        <v>Buspirone</v>
      </c>
      <c r="F124" s="207" t="str">
        <f>IF(AND(A124&lt;&gt;"",ISNUMBER(A124)),VLOOKUP(A124,Studies!A:BR,6,FALSE),"")</f>
        <v>Plasma</v>
      </c>
      <c r="G124" s="194">
        <v>0.75</v>
      </c>
      <c r="H124" s="194" t="s">
        <v>60</v>
      </c>
      <c r="I124" s="187">
        <v>3.056298</v>
      </c>
      <c r="J124" s="187" t="s">
        <v>1026</v>
      </c>
      <c r="K124" s="187" t="s">
        <v>116</v>
      </c>
      <c r="L124" s="195">
        <v>1.5551459999999997</v>
      </c>
      <c r="M124" s="195" t="s">
        <v>1026</v>
      </c>
      <c r="N124" s="195" t="s">
        <v>117</v>
      </c>
      <c r="O124" s="199"/>
      <c r="P124" s="188"/>
      <c r="Q124" s="174">
        <f>IF(ISNUMBER(VLOOKUP(A124,NotghiID!A:A,1,FALSE)),1,0)</f>
        <v>0</v>
      </c>
    </row>
    <row r="125" spans="1:17" ht="14.25" x14ac:dyDescent="0.2">
      <c r="A125" s="183">
        <v>169</v>
      </c>
      <c r="B125" s="232" t="str">
        <f>IF(AND(A125&lt;&gt;"",ISNUMBER(A125)),VLOOKUP(A125,Studies!A:BR,2,FALSE),"")</f>
        <v>Gammans 1986</v>
      </c>
      <c r="C125" s="232" t="str">
        <f>IF(AND(A125&lt;&gt;"",ISNUMBER(A125)),VLOOKUP(A125,Studies!A:BR,3,FALSE),"")</f>
        <v>https://www.ncbi.nlm.nih.gov/pubmed/16638734</v>
      </c>
      <c r="D125" s="232" t="str">
        <f>IF(AND(A125&lt;&gt;"",ISNUMBER(A125)),VLOOKUP(A125,Studies!A:BR,4,FALSE),"")</f>
        <v>Oral 20 mg (n=8)</v>
      </c>
      <c r="E125" s="206" t="str">
        <f>IF(AND(A125&lt;&gt;"",ISNUMBER(A125)),VLOOKUP(A125,Studies!A:BR,5,FALSE),"")</f>
        <v>Buspirone</v>
      </c>
      <c r="F125" s="207" t="str">
        <f>IF(AND(A125&lt;&gt;"",ISNUMBER(A125)),VLOOKUP(A125,Studies!A:BR,6,FALSE),"")</f>
        <v>Plasma</v>
      </c>
      <c r="G125" s="194">
        <v>1</v>
      </c>
      <c r="H125" s="194" t="s">
        <v>60</v>
      </c>
      <c r="I125" s="187">
        <v>2.421821</v>
      </c>
      <c r="J125" s="187" t="s">
        <v>1026</v>
      </c>
      <c r="K125" s="187" t="s">
        <v>116</v>
      </c>
      <c r="L125" s="195">
        <v>1.2981539999999998</v>
      </c>
      <c r="M125" s="195" t="s">
        <v>1026</v>
      </c>
      <c r="N125" s="195" t="s">
        <v>117</v>
      </c>
      <c r="O125" s="199"/>
      <c r="P125" s="188"/>
      <c r="Q125" s="174">
        <f>IF(ISNUMBER(VLOOKUP(A125,NotghiID!A:A,1,FALSE)),1,0)</f>
        <v>0</v>
      </c>
    </row>
    <row r="126" spans="1:17" ht="14.25" x14ac:dyDescent="0.2">
      <c r="A126" s="183">
        <v>169</v>
      </c>
      <c r="B126" s="232" t="str">
        <f>IF(AND(A126&lt;&gt;"",ISNUMBER(A126)),VLOOKUP(A126,Studies!A:BR,2,FALSE),"")</f>
        <v>Gammans 1986</v>
      </c>
      <c r="C126" s="232" t="str">
        <f>IF(AND(A126&lt;&gt;"",ISNUMBER(A126)),VLOOKUP(A126,Studies!A:BR,3,FALSE),"")</f>
        <v>https://www.ncbi.nlm.nih.gov/pubmed/16638734</v>
      </c>
      <c r="D126" s="232" t="str">
        <f>IF(AND(A126&lt;&gt;"",ISNUMBER(A126)),VLOOKUP(A126,Studies!A:BR,4,FALSE),"")</f>
        <v>Oral 20 mg (n=8)</v>
      </c>
      <c r="E126" s="206" t="str">
        <f>IF(AND(A126&lt;&gt;"",ISNUMBER(A126)),VLOOKUP(A126,Studies!A:BR,5,FALSE),"")</f>
        <v>Buspirone</v>
      </c>
      <c r="F126" s="207" t="str">
        <f>IF(AND(A126&lt;&gt;"",ISNUMBER(A126)),VLOOKUP(A126,Studies!A:BR,6,FALSE),"")</f>
        <v>Plasma</v>
      </c>
      <c r="G126" s="194">
        <v>2</v>
      </c>
      <c r="H126" s="194" t="s">
        <v>60</v>
      </c>
      <c r="I126" s="187">
        <v>1.662282</v>
      </c>
      <c r="J126" s="187" t="s">
        <v>1026</v>
      </c>
      <c r="K126" s="187" t="s">
        <v>116</v>
      </c>
      <c r="L126" s="195">
        <v>1.3369920000000002</v>
      </c>
      <c r="M126" s="195" t="s">
        <v>1026</v>
      </c>
      <c r="N126" s="195" t="s">
        <v>117</v>
      </c>
      <c r="O126" s="199"/>
      <c r="P126" s="188"/>
      <c r="Q126" s="174">
        <f>IF(ISNUMBER(VLOOKUP(A126,NotghiID!A:A,1,FALSE)),1,0)</f>
        <v>0</v>
      </c>
    </row>
    <row r="127" spans="1:17" ht="14.25" x14ac:dyDescent="0.2">
      <c r="A127" s="183">
        <v>169</v>
      </c>
      <c r="B127" s="232" t="str">
        <f>IF(AND(A127&lt;&gt;"",ISNUMBER(A127)),VLOOKUP(A127,Studies!A:BR,2,FALSE),"")</f>
        <v>Gammans 1986</v>
      </c>
      <c r="C127" s="232" t="str">
        <f>IF(AND(A127&lt;&gt;"",ISNUMBER(A127)),VLOOKUP(A127,Studies!A:BR,3,FALSE),"")</f>
        <v>https://www.ncbi.nlm.nih.gov/pubmed/16638734</v>
      </c>
      <c r="D127" s="232" t="str">
        <f>IF(AND(A127&lt;&gt;"",ISNUMBER(A127)),VLOOKUP(A127,Studies!A:BR,4,FALSE),"")</f>
        <v>Oral 20 mg (n=8)</v>
      </c>
      <c r="E127" s="206" t="str">
        <f>IF(AND(A127&lt;&gt;"",ISNUMBER(A127)),VLOOKUP(A127,Studies!A:BR,5,FALSE),"")</f>
        <v>Buspirone</v>
      </c>
      <c r="F127" s="207" t="str">
        <f>IF(AND(A127&lt;&gt;"",ISNUMBER(A127)),VLOOKUP(A127,Studies!A:BR,6,FALSE),"")</f>
        <v>Plasma</v>
      </c>
      <c r="G127" s="194">
        <v>3</v>
      </c>
      <c r="H127" s="194" t="s">
        <v>60</v>
      </c>
      <c r="I127" s="187">
        <v>0.62115430000000005</v>
      </c>
      <c r="J127" s="187" t="s">
        <v>1026</v>
      </c>
      <c r="K127" s="187" t="s">
        <v>116</v>
      </c>
      <c r="L127" s="195">
        <v>0.40370769999999989</v>
      </c>
      <c r="M127" s="195" t="s">
        <v>1026</v>
      </c>
      <c r="N127" s="195" t="s">
        <v>117</v>
      </c>
      <c r="O127" s="199"/>
      <c r="P127" s="188"/>
      <c r="Q127" s="174">
        <f>IF(ISNUMBER(VLOOKUP(A127,NotghiID!A:A,1,FALSE)),1,0)</f>
        <v>0</v>
      </c>
    </row>
    <row r="128" spans="1:17" ht="14.25" x14ac:dyDescent="0.2">
      <c r="A128" s="183">
        <v>169</v>
      </c>
      <c r="B128" s="232" t="str">
        <f>IF(AND(A128&lt;&gt;"",ISNUMBER(A128)),VLOOKUP(A128,Studies!A:BR,2,FALSE),"")</f>
        <v>Gammans 1986</v>
      </c>
      <c r="C128" s="232" t="str">
        <f>IF(AND(A128&lt;&gt;"",ISNUMBER(A128)),VLOOKUP(A128,Studies!A:BR,3,FALSE),"")</f>
        <v>https://www.ncbi.nlm.nih.gov/pubmed/16638734</v>
      </c>
      <c r="D128" s="232" t="str">
        <f>IF(AND(A128&lt;&gt;"",ISNUMBER(A128)),VLOOKUP(A128,Studies!A:BR,4,FALSE),"")</f>
        <v>Oral 20 mg (n=8)</v>
      </c>
      <c r="E128" s="206" t="str">
        <f>IF(AND(A128&lt;&gt;"",ISNUMBER(A128)),VLOOKUP(A128,Studies!A:BR,5,FALSE),"")</f>
        <v>Buspirone</v>
      </c>
      <c r="F128" s="207" t="str">
        <f>IF(AND(A128&lt;&gt;"",ISNUMBER(A128)),VLOOKUP(A128,Studies!A:BR,6,FALSE),"")</f>
        <v>Plasma</v>
      </c>
      <c r="G128" s="194">
        <v>5</v>
      </c>
      <c r="H128" s="194" t="s">
        <v>60</v>
      </c>
      <c r="I128" s="187">
        <v>0.22782269999999999</v>
      </c>
      <c r="J128" s="187" t="s">
        <v>1026</v>
      </c>
      <c r="K128" s="187" t="s">
        <v>116</v>
      </c>
      <c r="L128" s="195">
        <v>0.13487900000000003</v>
      </c>
      <c r="M128" s="195" t="s">
        <v>1026</v>
      </c>
      <c r="N128" s="195" t="s">
        <v>117</v>
      </c>
      <c r="O128" s="199"/>
      <c r="P128" s="188"/>
      <c r="Q128" s="174">
        <f>IF(ISNUMBER(VLOOKUP(A128,NotghiID!A:A,1,FALSE)),1,0)</f>
        <v>0</v>
      </c>
    </row>
    <row r="129" spans="1:17" ht="14.25" x14ac:dyDescent="0.2">
      <c r="A129" s="183">
        <v>169</v>
      </c>
      <c r="B129" s="232" t="str">
        <f>IF(AND(A129&lt;&gt;"",ISNUMBER(A129)),VLOOKUP(A129,Studies!A:BR,2,FALSE),"")</f>
        <v>Gammans 1986</v>
      </c>
      <c r="C129" s="232" t="str">
        <f>IF(AND(A129&lt;&gt;"",ISNUMBER(A129)),VLOOKUP(A129,Studies!A:BR,3,FALSE),"")</f>
        <v>https://www.ncbi.nlm.nih.gov/pubmed/16638734</v>
      </c>
      <c r="D129" s="232" t="str">
        <f>IF(AND(A129&lt;&gt;"",ISNUMBER(A129)),VLOOKUP(A129,Studies!A:BR,4,FALSE),"")</f>
        <v>Oral 20 mg (n=8)</v>
      </c>
      <c r="E129" s="206" t="str">
        <f>IF(AND(A129&lt;&gt;"",ISNUMBER(A129)),VLOOKUP(A129,Studies!A:BR,5,FALSE),"")</f>
        <v>Buspirone</v>
      </c>
      <c r="F129" s="207" t="str">
        <f>IF(AND(A129&lt;&gt;"",ISNUMBER(A129)),VLOOKUP(A129,Studies!A:BR,6,FALSE),"")</f>
        <v>Plasma</v>
      </c>
      <c r="G129" s="194">
        <v>7</v>
      </c>
      <c r="H129" s="194" t="s">
        <v>60</v>
      </c>
      <c r="I129" s="187">
        <v>0.12834899999999999</v>
      </c>
      <c r="J129" s="187" t="s">
        <v>1026</v>
      </c>
      <c r="K129" s="187" t="s">
        <v>116</v>
      </c>
      <c r="L129" s="195">
        <v>8.3418100000000023E-2</v>
      </c>
      <c r="M129" s="195" t="s">
        <v>1026</v>
      </c>
      <c r="N129" s="195" t="s">
        <v>117</v>
      </c>
      <c r="O129" s="199"/>
      <c r="P129" s="188"/>
      <c r="Q129" s="174">
        <f>IF(ISNUMBER(VLOOKUP(A129,NotghiID!A:A,1,FALSE)),1,0)</f>
        <v>0</v>
      </c>
    </row>
    <row r="130" spans="1:17" ht="14.25" x14ac:dyDescent="0.2">
      <c r="A130" s="183">
        <v>169</v>
      </c>
      <c r="B130" s="232" t="str">
        <f>IF(AND(A130&lt;&gt;"",ISNUMBER(A130)),VLOOKUP(A130,Studies!A:BR,2,FALSE),"")</f>
        <v>Gammans 1986</v>
      </c>
      <c r="C130" s="232" t="str">
        <f>IF(AND(A130&lt;&gt;"",ISNUMBER(A130)),VLOOKUP(A130,Studies!A:BR,3,FALSE),"")</f>
        <v>https://www.ncbi.nlm.nih.gov/pubmed/16638734</v>
      </c>
      <c r="D130" s="232" t="str">
        <f>IF(AND(A130&lt;&gt;"",ISNUMBER(A130)),VLOOKUP(A130,Studies!A:BR,4,FALSE),"")</f>
        <v>Oral 20 mg (n=8)</v>
      </c>
      <c r="E130" s="206" t="str">
        <f>IF(AND(A130&lt;&gt;"",ISNUMBER(A130)),VLOOKUP(A130,Studies!A:BR,5,FALSE),"")</f>
        <v>Buspirone</v>
      </c>
      <c r="F130" s="207" t="str">
        <f>IF(AND(A130&lt;&gt;"",ISNUMBER(A130)),VLOOKUP(A130,Studies!A:BR,6,FALSE),"")</f>
        <v>Plasma</v>
      </c>
      <c r="G130" s="194">
        <v>8</v>
      </c>
      <c r="H130" s="194" t="s">
        <v>60</v>
      </c>
      <c r="I130" s="187">
        <v>6.9824010000000006E-2</v>
      </c>
      <c r="J130" s="187" t="s">
        <v>1026</v>
      </c>
      <c r="K130" s="187" t="s">
        <v>116</v>
      </c>
      <c r="L130" s="195">
        <v>8.0824789999999994E-2</v>
      </c>
      <c r="M130" s="195" t="s">
        <v>1026</v>
      </c>
      <c r="N130" s="195" t="s">
        <v>117</v>
      </c>
      <c r="O130" s="199"/>
      <c r="P130" s="188"/>
      <c r="Q130" s="174">
        <f>IF(ISNUMBER(VLOOKUP(A130,NotghiID!A:A,1,FALSE)),1,0)</f>
        <v>0</v>
      </c>
    </row>
    <row r="131" spans="1:17" ht="14.25" x14ac:dyDescent="0.2">
      <c r="A131" s="183">
        <v>170</v>
      </c>
      <c r="B131" s="232" t="str">
        <f>IF(AND(A131&lt;&gt;"",ISNUMBER(A131)),VLOOKUP(A131,Studies!A:BR,2,FALSE),"")</f>
        <v>Gammans 1986</v>
      </c>
      <c r="C131" s="232" t="str">
        <f>IF(AND(A131&lt;&gt;"",ISNUMBER(A131)),VLOOKUP(A131,Studies!A:BR,3,FALSE),"")</f>
        <v>https://www.ncbi.nlm.nih.gov/pubmed/16638734</v>
      </c>
      <c r="D131" s="232" t="str">
        <f>IF(AND(A131&lt;&gt;"",ISNUMBER(A131)),VLOOKUP(A131,Studies!A:BR,4,FALSE),"")</f>
        <v>Fig 3</v>
      </c>
      <c r="E131" s="206" t="str">
        <f>IF(AND(A131&lt;&gt;"",ISNUMBER(A131)),VLOOKUP(A131,Studies!A:BR,5,FALSE),"")</f>
        <v>Buspirone</v>
      </c>
      <c r="F131" s="207" t="str">
        <f>IF(AND(A131&lt;&gt;"",ISNUMBER(A131)),VLOOKUP(A131,Studies!A:BR,6,FALSE),"")</f>
        <v>Plasma</v>
      </c>
      <c r="G131" s="194">
        <v>0.25</v>
      </c>
      <c r="H131" s="194" t="s">
        <v>60</v>
      </c>
      <c r="I131" s="187">
        <v>0.6501943</v>
      </c>
      <c r="J131" s="187" t="s">
        <v>1026</v>
      </c>
      <c r="K131" s="187" t="s">
        <v>116</v>
      </c>
      <c r="L131" s="195"/>
      <c r="M131" s="195"/>
      <c r="N131" s="195"/>
      <c r="O131" s="199"/>
      <c r="P131" s="188"/>
      <c r="Q131" s="174">
        <f>IF(ISNUMBER(VLOOKUP(A131,NotghiID!A:A,1,FALSE)),1,0)</f>
        <v>0</v>
      </c>
    </row>
    <row r="132" spans="1:17" ht="14.25" x14ac:dyDescent="0.2">
      <c r="A132" s="183">
        <v>170</v>
      </c>
      <c r="B132" s="232" t="str">
        <f>IF(AND(A132&lt;&gt;"",ISNUMBER(A132)),VLOOKUP(A132,Studies!A:BR,2,FALSE),"")</f>
        <v>Gammans 1986</v>
      </c>
      <c r="C132" s="232" t="str">
        <f>IF(AND(A132&lt;&gt;"",ISNUMBER(A132)),VLOOKUP(A132,Studies!A:BR,3,FALSE),"")</f>
        <v>https://www.ncbi.nlm.nih.gov/pubmed/16638734</v>
      </c>
      <c r="D132" s="232" t="str">
        <f>IF(AND(A132&lt;&gt;"",ISNUMBER(A132)),VLOOKUP(A132,Studies!A:BR,4,FALSE),"")</f>
        <v>Fig 3</v>
      </c>
      <c r="E132" s="206" t="str">
        <f>IF(AND(A132&lt;&gt;"",ISNUMBER(A132)),VLOOKUP(A132,Studies!A:BR,5,FALSE),"")</f>
        <v>Buspirone</v>
      </c>
      <c r="F132" s="207" t="str">
        <f>IF(AND(A132&lt;&gt;"",ISNUMBER(A132)),VLOOKUP(A132,Studies!A:BR,6,FALSE),"")</f>
        <v>Plasma</v>
      </c>
      <c r="G132" s="194">
        <v>0.5</v>
      </c>
      <c r="H132" s="194" t="s">
        <v>60</v>
      </c>
      <c r="I132" s="187">
        <v>1.816754</v>
      </c>
      <c r="J132" s="187" t="s">
        <v>1026</v>
      </c>
      <c r="K132" s="187" t="s">
        <v>116</v>
      </c>
      <c r="L132" s="195"/>
      <c r="M132" s="195"/>
      <c r="N132" s="195"/>
      <c r="O132" s="199"/>
      <c r="P132" s="188"/>
      <c r="Q132" s="174">
        <f>IF(ISNUMBER(VLOOKUP(A132,NotghiID!A:A,1,FALSE)),1,0)</f>
        <v>0</v>
      </c>
    </row>
    <row r="133" spans="1:17" ht="14.25" x14ac:dyDescent="0.2">
      <c r="A133" s="183">
        <v>170</v>
      </c>
      <c r="B133" s="232" t="str">
        <f>IF(AND(A133&lt;&gt;"",ISNUMBER(A133)),VLOOKUP(A133,Studies!A:BR,2,FALSE),"")</f>
        <v>Gammans 1986</v>
      </c>
      <c r="C133" s="232" t="str">
        <f>IF(AND(A133&lt;&gt;"",ISNUMBER(A133)),VLOOKUP(A133,Studies!A:BR,3,FALSE),"")</f>
        <v>https://www.ncbi.nlm.nih.gov/pubmed/16638734</v>
      </c>
      <c r="D133" s="232" t="str">
        <f>IF(AND(A133&lt;&gt;"",ISNUMBER(A133)),VLOOKUP(A133,Studies!A:BR,4,FALSE),"")</f>
        <v>Fig 3</v>
      </c>
      <c r="E133" s="206" t="str">
        <f>IF(AND(A133&lt;&gt;"",ISNUMBER(A133)),VLOOKUP(A133,Studies!A:BR,5,FALSE),"")</f>
        <v>Buspirone</v>
      </c>
      <c r="F133" s="207" t="str">
        <f>IF(AND(A133&lt;&gt;"",ISNUMBER(A133)),VLOOKUP(A133,Studies!A:BR,6,FALSE),"")</f>
        <v>Plasma</v>
      </c>
      <c r="G133" s="194">
        <v>0.75</v>
      </c>
      <c r="H133" s="194" t="s">
        <v>60</v>
      </c>
      <c r="I133" s="187">
        <v>2.1989679999999998</v>
      </c>
      <c r="J133" s="187" t="s">
        <v>1026</v>
      </c>
      <c r="K133" s="187" t="s">
        <v>116</v>
      </c>
      <c r="L133" s="195"/>
      <c r="M133" s="195"/>
      <c r="N133" s="195"/>
      <c r="O133" s="199"/>
      <c r="P133" s="188"/>
      <c r="Q133" s="174">
        <f>IF(ISNUMBER(VLOOKUP(A133,NotghiID!A:A,1,FALSE)),1,0)</f>
        <v>0</v>
      </c>
    </row>
    <row r="134" spans="1:17" ht="14.25" x14ac:dyDescent="0.2">
      <c r="A134" s="183">
        <v>170</v>
      </c>
      <c r="B134" s="232" t="str">
        <f>IF(AND(A134&lt;&gt;"",ISNUMBER(A134)),VLOOKUP(A134,Studies!A:BR,2,FALSE),"")</f>
        <v>Gammans 1986</v>
      </c>
      <c r="C134" s="232" t="str">
        <f>IF(AND(A134&lt;&gt;"",ISNUMBER(A134)),VLOOKUP(A134,Studies!A:BR,3,FALSE),"")</f>
        <v>https://www.ncbi.nlm.nih.gov/pubmed/16638734</v>
      </c>
      <c r="D134" s="232" t="str">
        <f>IF(AND(A134&lt;&gt;"",ISNUMBER(A134)),VLOOKUP(A134,Studies!A:BR,4,FALSE),"")</f>
        <v>Fig 3</v>
      </c>
      <c r="E134" s="206" t="str">
        <f>IF(AND(A134&lt;&gt;"",ISNUMBER(A134)),VLOOKUP(A134,Studies!A:BR,5,FALSE),"")</f>
        <v>Buspirone</v>
      </c>
      <c r="F134" s="207" t="str">
        <f>IF(AND(A134&lt;&gt;"",ISNUMBER(A134)),VLOOKUP(A134,Studies!A:BR,6,FALSE),"")</f>
        <v>Plasma</v>
      </c>
      <c r="G134" s="194">
        <v>1</v>
      </c>
      <c r="H134" s="194" t="s">
        <v>60</v>
      </c>
      <c r="I134" s="187">
        <v>1.7173210000000001</v>
      </c>
      <c r="J134" s="187" t="s">
        <v>1026</v>
      </c>
      <c r="K134" s="187" t="s">
        <v>116</v>
      </c>
      <c r="L134" s="195"/>
      <c r="M134" s="195"/>
      <c r="N134" s="195"/>
      <c r="O134" s="199"/>
      <c r="P134" s="188"/>
      <c r="Q134" s="174">
        <f>IF(ISNUMBER(VLOOKUP(A134,NotghiID!A:A,1,FALSE)),1,0)</f>
        <v>0</v>
      </c>
    </row>
    <row r="135" spans="1:17" ht="14.25" x14ac:dyDescent="0.2">
      <c r="A135" s="183">
        <v>170</v>
      </c>
      <c r="B135" s="232" t="str">
        <f>IF(AND(A135&lt;&gt;"",ISNUMBER(A135)),VLOOKUP(A135,Studies!A:BR,2,FALSE),"")</f>
        <v>Gammans 1986</v>
      </c>
      <c r="C135" s="232" t="str">
        <f>IF(AND(A135&lt;&gt;"",ISNUMBER(A135)),VLOOKUP(A135,Studies!A:BR,3,FALSE),"")</f>
        <v>https://www.ncbi.nlm.nih.gov/pubmed/16638734</v>
      </c>
      <c r="D135" s="232" t="str">
        <f>IF(AND(A135&lt;&gt;"",ISNUMBER(A135)),VLOOKUP(A135,Studies!A:BR,4,FALSE),"")</f>
        <v>Fig 3</v>
      </c>
      <c r="E135" s="206" t="str">
        <f>IF(AND(A135&lt;&gt;"",ISNUMBER(A135)),VLOOKUP(A135,Studies!A:BR,5,FALSE),"")</f>
        <v>Buspirone</v>
      </c>
      <c r="F135" s="207" t="str">
        <f>IF(AND(A135&lt;&gt;"",ISNUMBER(A135)),VLOOKUP(A135,Studies!A:BR,6,FALSE),"")</f>
        <v>Plasma</v>
      </c>
      <c r="G135" s="194">
        <v>2</v>
      </c>
      <c r="H135" s="194" t="s">
        <v>60</v>
      </c>
      <c r="I135" s="187">
        <v>1.1518219999999999</v>
      </c>
      <c r="J135" s="187" t="s">
        <v>1026</v>
      </c>
      <c r="K135" s="187" t="s">
        <v>116</v>
      </c>
      <c r="L135" s="195"/>
      <c r="M135" s="195"/>
      <c r="N135" s="195"/>
      <c r="O135" s="199"/>
      <c r="P135" s="188"/>
      <c r="Q135" s="174">
        <f>IF(ISNUMBER(VLOOKUP(A135,NotghiID!A:A,1,FALSE)),1,0)</f>
        <v>0</v>
      </c>
    </row>
    <row r="136" spans="1:17" ht="14.25" x14ac:dyDescent="0.2">
      <c r="A136" s="183">
        <v>170</v>
      </c>
      <c r="B136" s="232" t="str">
        <f>IF(AND(A136&lt;&gt;"",ISNUMBER(A136)),VLOOKUP(A136,Studies!A:BR,2,FALSE),"")</f>
        <v>Gammans 1986</v>
      </c>
      <c r="C136" s="232" t="str">
        <f>IF(AND(A136&lt;&gt;"",ISNUMBER(A136)),VLOOKUP(A136,Studies!A:BR,3,FALSE),"")</f>
        <v>https://www.ncbi.nlm.nih.gov/pubmed/16638734</v>
      </c>
      <c r="D136" s="232" t="str">
        <f>IF(AND(A136&lt;&gt;"",ISNUMBER(A136)),VLOOKUP(A136,Studies!A:BR,4,FALSE),"")</f>
        <v>Fig 3</v>
      </c>
      <c r="E136" s="206" t="str">
        <f>IF(AND(A136&lt;&gt;"",ISNUMBER(A136)),VLOOKUP(A136,Studies!A:BR,5,FALSE),"")</f>
        <v>Buspirone</v>
      </c>
      <c r="F136" s="207" t="str">
        <f>IF(AND(A136&lt;&gt;"",ISNUMBER(A136)),VLOOKUP(A136,Studies!A:BR,6,FALSE),"")</f>
        <v>Plasma</v>
      </c>
      <c r="G136" s="194">
        <v>3</v>
      </c>
      <c r="H136" s="194" t="s">
        <v>60</v>
      </c>
      <c r="I136" s="187">
        <v>0.8501436</v>
      </c>
      <c r="J136" s="187" t="s">
        <v>1026</v>
      </c>
      <c r="K136" s="187" t="s">
        <v>116</v>
      </c>
      <c r="L136" s="195"/>
      <c r="M136" s="195"/>
      <c r="N136" s="195"/>
      <c r="O136" s="199"/>
      <c r="P136" s="188"/>
      <c r="Q136" s="174">
        <f>IF(ISNUMBER(VLOOKUP(A136,NotghiID!A:A,1,FALSE)),1,0)</f>
        <v>0</v>
      </c>
    </row>
    <row r="137" spans="1:17" ht="14.25" x14ac:dyDescent="0.2">
      <c r="A137" s="183">
        <v>170</v>
      </c>
      <c r="B137" s="232" t="str">
        <f>IF(AND(A137&lt;&gt;"",ISNUMBER(A137)),VLOOKUP(A137,Studies!A:BR,2,FALSE),"")</f>
        <v>Gammans 1986</v>
      </c>
      <c r="C137" s="232" t="str">
        <f>IF(AND(A137&lt;&gt;"",ISNUMBER(A137)),VLOOKUP(A137,Studies!A:BR,3,FALSE),"")</f>
        <v>https://www.ncbi.nlm.nih.gov/pubmed/16638734</v>
      </c>
      <c r="D137" s="232" t="str">
        <f>IF(AND(A137&lt;&gt;"",ISNUMBER(A137)),VLOOKUP(A137,Studies!A:BR,4,FALSE),"")</f>
        <v>Fig 3</v>
      </c>
      <c r="E137" s="206" t="str">
        <f>IF(AND(A137&lt;&gt;"",ISNUMBER(A137)),VLOOKUP(A137,Studies!A:BR,5,FALSE),"")</f>
        <v>Buspirone</v>
      </c>
      <c r="F137" s="207" t="str">
        <f>IF(AND(A137&lt;&gt;"",ISNUMBER(A137)),VLOOKUP(A137,Studies!A:BR,6,FALSE),"")</f>
        <v>Plasma</v>
      </c>
      <c r="G137" s="194">
        <v>4</v>
      </c>
      <c r="H137" s="194" t="s">
        <v>60</v>
      </c>
      <c r="I137" s="187">
        <v>0.58401910000000001</v>
      </c>
      <c r="J137" s="187" t="s">
        <v>1026</v>
      </c>
      <c r="K137" s="187" t="s">
        <v>116</v>
      </c>
      <c r="L137" s="195"/>
      <c r="M137" s="195"/>
      <c r="N137" s="195"/>
      <c r="O137" s="199"/>
      <c r="P137" s="188"/>
      <c r="Q137" s="174">
        <f>IF(ISNUMBER(VLOOKUP(A137,NotghiID!A:A,1,FALSE)),1,0)</f>
        <v>0</v>
      </c>
    </row>
    <row r="138" spans="1:17" ht="14.25" x14ac:dyDescent="0.2">
      <c r="A138" s="183">
        <v>170</v>
      </c>
      <c r="B138" s="232" t="str">
        <f>IF(AND(A138&lt;&gt;"",ISNUMBER(A138)),VLOOKUP(A138,Studies!A:BR,2,FALSE),"")</f>
        <v>Gammans 1986</v>
      </c>
      <c r="C138" s="232" t="str">
        <f>IF(AND(A138&lt;&gt;"",ISNUMBER(A138)),VLOOKUP(A138,Studies!A:BR,3,FALSE),"")</f>
        <v>https://www.ncbi.nlm.nih.gov/pubmed/16638734</v>
      </c>
      <c r="D138" s="232" t="str">
        <f>IF(AND(A138&lt;&gt;"",ISNUMBER(A138)),VLOOKUP(A138,Studies!A:BR,4,FALSE),"")</f>
        <v>Fig 3</v>
      </c>
      <c r="E138" s="206" t="str">
        <f>IF(AND(A138&lt;&gt;"",ISNUMBER(A138)),VLOOKUP(A138,Studies!A:BR,5,FALSE),"")</f>
        <v>Buspirone</v>
      </c>
      <c r="F138" s="207" t="str">
        <f>IF(AND(A138&lt;&gt;"",ISNUMBER(A138)),VLOOKUP(A138,Studies!A:BR,6,FALSE),"")</f>
        <v>Plasma</v>
      </c>
      <c r="G138" s="194">
        <v>6</v>
      </c>
      <c r="H138" s="194" t="s">
        <v>60</v>
      </c>
      <c r="I138" s="187">
        <v>0.37905660000000002</v>
      </c>
      <c r="J138" s="187" t="s">
        <v>1026</v>
      </c>
      <c r="K138" s="187" t="s">
        <v>116</v>
      </c>
      <c r="L138" s="195"/>
      <c r="M138" s="195"/>
      <c r="N138" s="195"/>
      <c r="O138" s="199"/>
      <c r="P138" s="188"/>
      <c r="Q138" s="174">
        <f>IF(ISNUMBER(VLOOKUP(A138,NotghiID!A:A,1,FALSE)),1,0)</f>
        <v>0</v>
      </c>
    </row>
    <row r="139" spans="1:17" ht="14.25" x14ac:dyDescent="0.2">
      <c r="A139" s="183">
        <v>170</v>
      </c>
      <c r="B139" s="232" t="str">
        <f>IF(AND(A139&lt;&gt;"",ISNUMBER(A139)),VLOOKUP(A139,Studies!A:BR,2,FALSE),"")</f>
        <v>Gammans 1986</v>
      </c>
      <c r="C139" s="232" t="str">
        <f>IF(AND(A139&lt;&gt;"",ISNUMBER(A139)),VLOOKUP(A139,Studies!A:BR,3,FALSE),"")</f>
        <v>https://www.ncbi.nlm.nih.gov/pubmed/16638734</v>
      </c>
      <c r="D139" s="232" t="str">
        <f>IF(AND(A139&lt;&gt;"",ISNUMBER(A139)),VLOOKUP(A139,Studies!A:BR,4,FALSE),"")</f>
        <v>Fig 3</v>
      </c>
      <c r="E139" s="206" t="str">
        <f>IF(AND(A139&lt;&gt;"",ISNUMBER(A139)),VLOOKUP(A139,Studies!A:BR,5,FALSE),"")</f>
        <v>Buspirone</v>
      </c>
      <c r="F139" s="207" t="str">
        <f>IF(AND(A139&lt;&gt;"",ISNUMBER(A139)),VLOOKUP(A139,Studies!A:BR,6,FALSE),"")</f>
        <v>Plasma</v>
      </c>
      <c r="G139" s="194">
        <v>8</v>
      </c>
      <c r="H139" s="194" t="s">
        <v>60</v>
      </c>
      <c r="I139" s="187">
        <v>0.25808490000000001</v>
      </c>
      <c r="J139" s="187" t="s">
        <v>1026</v>
      </c>
      <c r="K139" s="187" t="s">
        <v>116</v>
      </c>
      <c r="L139" s="195"/>
      <c r="M139" s="195"/>
      <c r="N139" s="195"/>
      <c r="O139" s="199"/>
      <c r="P139" s="188"/>
      <c r="Q139" s="174">
        <f>IF(ISNUMBER(VLOOKUP(A139,NotghiID!A:A,1,FALSE)),1,0)</f>
        <v>0</v>
      </c>
    </row>
    <row r="140" spans="1:17" ht="14.25" x14ac:dyDescent="0.2">
      <c r="A140" s="183">
        <v>170</v>
      </c>
      <c r="B140" s="232" t="str">
        <f>IF(AND(A140&lt;&gt;"",ISNUMBER(A140)),VLOOKUP(A140,Studies!A:BR,2,FALSE),"")</f>
        <v>Gammans 1986</v>
      </c>
      <c r="C140" s="232" t="str">
        <f>IF(AND(A140&lt;&gt;"",ISNUMBER(A140)),VLOOKUP(A140,Studies!A:BR,3,FALSE),"")</f>
        <v>https://www.ncbi.nlm.nih.gov/pubmed/16638734</v>
      </c>
      <c r="D140" s="232" t="str">
        <f>IF(AND(A140&lt;&gt;"",ISNUMBER(A140)),VLOOKUP(A140,Studies!A:BR,4,FALSE),"")</f>
        <v>Fig 3</v>
      </c>
      <c r="E140" s="206" t="str">
        <f>IF(AND(A140&lt;&gt;"",ISNUMBER(A140)),VLOOKUP(A140,Studies!A:BR,5,FALSE),"")</f>
        <v>Buspirone</v>
      </c>
      <c r="F140" s="207" t="str">
        <f>IF(AND(A140&lt;&gt;"",ISNUMBER(A140)),VLOOKUP(A140,Studies!A:BR,6,FALSE),"")</f>
        <v>Plasma</v>
      </c>
      <c r="G140" s="194">
        <v>10</v>
      </c>
      <c r="H140" s="194" t="s">
        <v>60</v>
      </c>
      <c r="I140" s="187">
        <v>0.18422079999999999</v>
      </c>
      <c r="J140" s="187" t="s">
        <v>1026</v>
      </c>
      <c r="K140" s="187" t="s">
        <v>116</v>
      </c>
      <c r="L140" s="195"/>
      <c r="M140" s="195"/>
      <c r="N140" s="195"/>
      <c r="O140" s="199"/>
      <c r="P140" s="188"/>
      <c r="Q140" s="174">
        <f>IF(ISNUMBER(VLOOKUP(A140,NotghiID!A:A,1,FALSE)),1,0)</f>
        <v>0</v>
      </c>
    </row>
    <row r="141" spans="1:17" ht="14.25" x14ac:dyDescent="0.2">
      <c r="A141" s="183">
        <v>171</v>
      </c>
      <c r="B141" s="232" t="str">
        <f>IF(AND(A141&lt;&gt;"",ISNUMBER(A141)),VLOOKUP(A141,Studies!A:BR,2,FALSE),"")</f>
        <v>Gammans 1986</v>
      </c>
      <c r="C141" s="232" t="str">
        <f>IF(AND(A141&lt;&gt;"",ISNUMBER(A141)),VLOOKUP(A141,Studies!A:BR,3,FALSE),"")</f>
        <v>https://www.ncbi.nlm.nih.gov/pubmed/16638734</v>
      </c>
      <c r="D141" s="232" t="str">
        <f>IF(AND(A141&lt;&gt;"",ISNUMBER(A141)),VLOOKUP(A141,Studies!A:BR,4,FALSE),"")</f>
        <v>Fig 4</v>
      </c>
      <c r="E141" s="206" t="str">
        <f>IF(AND(A141&lt;&gt;"",ISNUMBER(A141)),VLOOKUP(A141,Studies!A:BR,5,FALSE),"")</f>
        <v>Buspirone</v>
      </c>
      <c r="F141" s="207" t="str">
        <f>IF(AND(A141&lt;&gt;"",ISNUMBER(A141)),VLOOKUP(A141,Studies!A:BR,6,FALSE),"")</f>
        <v>Plasma</v>
      </c>
      <c r="G141" s="194">
        <v>0.25</v>
      </c>
      <c r="H141" s="194" t="s">
        <v>60</v>
      </c>
      <c r="I141" s="187">
        <v>0.2696171</v>
      </c>
      <c r="J141" s="187" t="s">
        <v>1026</v>
      </c>
      <c r="K141" s="187" t="s">
        <v>116</v>
      </c>
      <c r="L141" s="195">
        <v>0.17179720000000001</v>
      </c>
      <c r="M141" s="195" t="s">
        <v>1026</v>
      </c>
      <c r="N141" s="195" t="s">
        <v>117</v>
      </c>
      <c r="O141" s="199"/>
      <c r="P141" s="188"/>
      <c r="Q141" s="174">
        <f>IF(ISNUMBER(VLOOKUP(A141,NotghiID!A:A,1,FALSE)),1,0)</f>
        <v>0</v>
      </c>
    </row>
    <row r="142" spans="1:17" ht="14.25" x14ac:dyDescent="0.2">
      <c r="A142" s="183">
        <v>171</v>
      </c>
      <c r="B142" s="232" t="str">
        <f>IF(AND(A142&lt;&gt;"",ISNUMBER(A142)),VLOOKUP(A142,Studies!A:BR,2,FALSE),"")</f>
        <v>Gammans 1986</v>
      </c>
      <c r="C142" s="232" t="str">
        <f>IF(AND(A142&lt;&gt;"",ISNUMBER(A142)),VLOOKUP(A142,Studies!A:BR,3,FALSE),"")</f>
        <v>https://www.ncbi.nlm.nih.gov/pubmed/16638734</v>
      </c>
      <c r="D142" s="232" t="str">
        <f>IF(AND(A142&lt;&gt;"",ISNUMBER(A142)),VLOOKUP(A142,Studies!A:BR,4,FALSE),"")</f>
        <v>Fig 4</v>
      </c>
      <c r="E142" s="206" t="str">
        <f>IF(AND(A142&lt;&gt;"",ISNUMBER(A142)),VLOOKUP(A142,Studies!A:BR,5,FALSE),"")</f>
        <v>Buspirone</v>
      </c>
      <c r="F142" s="207" t="str">
        <f>IF(AND(A142&lt;&gt;"",ISNUMBER(A142)),VLOOKUP(A142,Studies!A:BR,6,FALSE),"")</f>
        <v>Plasma</v>
      </c>
      <c r="G142" s="194">
        <v>0.5</v>
      </c>
      <c r="H142" s="194" t="s">
        <v>60</v>
      </c>
      <c r="I142" s="187">
        <v>1.6939139999999999</v>
      </c>
      <c r="J142" s="187" t="s">
        <v>1026</v>
      </c>
      <c r="K142" s="187" t="s">
        <v>116</v>
      </c>
      <c r="L142" s="195">
        <v>1.478556</v>
      </c>
      <c r="M142" s="195" t="s">
        <v>1026</v>
      </c>
      <c r="N142" s="195" t="s">
        <v>117</v>
      </c>
      <c r="O142" s="199"/>
      <c r="P142" s="188"/>
      <c r="Q142" s="174">
        <f>IF(ISNUMBER(VLOOKUP(A142,NotghiID!A:A,1,FALSE)),1,0)</f>
        <v>0</v>
      </c>
    </row>
    <row r="143" spans="1:17" ht="14.25" x14ac:dyDescent="0.2">
      <c r="A143" s="183">
        <v>171</v>
      </c>
      <c r="B143" s="232" t="str">
        <f>IF(AND(A143&lt;&gt;"",ISNUMBER(A143)),VLOOKUP(A143,Studies!A:BR,2,FALSE),"")</f>
        <v>Gammans 1986</v>
      </c>
      <c r="C143" s="232" t="str">
        <f>IF(AND(A143&lt;&gt;"",ISNUMBER(A143)),VLOOKUP(A143,Studies!A:BR,3,FALSE),"")</f>
        <v>https://www.ncbi.nlm.nih.gov/pubmed/16638734</v>
      </c>
      <c r="D143" s="232" t="str">
        <f>IF(AND(A143&lt;&gt;"",ISNUMBER(A143)),VLOOKUP(A143,Studies!A:BR,4,FALSE),"")</f>
        <v>Fig 4</v>
      </c>
      <c r="E143" s="206" t="str">
        <f>IF(AND(A143&lt;&gt;"",ISNUMBER(A143)),VLOOKUP(A143,Studies!A:BR,5,FALSE),"")</f>
        <v>Buspirone</v>
      </c>
      <c r="F143" s="207" t="str">
        <f>IF(AND(A143&lt;&gt;"",ISNUMBER(A143)),VLOOKUP(A143,Studies!A:BR,6,FALSE),"")</f>
        <v>Plasma</v>
      </c>
      <c r="G143" s="194">
        <v>0.75</v>
      </c>
      <c r="H143" s="194" t="s">
        <v>60</v>
      </c>
      <c r="I143" s="187">
        <v>1.7719830000000001</v>
      </c>
      <c r="J143" s="187" t="s">
        <v>1026</v>
      </c>
      <c r="K143" s="187" t="s">
        <v>116</v>
      </c>
      <c r="L143" s="195">
        <v>1.3309219999999999</v>
      </c>
      <c r="M143" s="195" t="s">
        <v>1026</v>
      </c>
      <c r="N143" s="195" t="s">
        <v>117</v>
      </c>
      <c r="O143" s="199"/>
      <c r="P143" s="188"/>
      <c r="Q143" s="174">
        <f>IF(ISNUMBER(VLOOKUP(A143,NotghiID!A:A,1,FALSE)),1,0)</f>
        <v>0</v>
      </c>
    </row>
    <row r="144" spans="1:17" ht="14.25" x14ac:dyDescent="0.2">
      <c r="A144" s="183">
        <v>171</v>
      </c>
      <c r="B144" s="232" t="str">
        <f>IF(AND(A144&lt;&gt;"",ISNUMBER(A144)),VLOOKUP(A144,Studies!A:BR,2,FALSE),"")</f>
        <v>Gammans 1986</v>
      </c>
      <c r="C144" s="232" t="str">
        <f>IF(AND(A144&lt;&gt;"",ISNUMBER(A144)),VLOOKUP(A144,Studies!A:BR,3,FALSE),"")</f>
        <v>https://www.ncbi.nlm.nih.gov/pubmed/16638734</v>
      </c>
      <c r="D144" s="232" t="str">
        <f>IF(AND(A144&lt;&gt;"",ISNUMBER(A144)),VLOOKUP(A144,Studies!A:BR,4,FALSE),"")</f>
        <v>Fig 4</v>
      </c>
      <c r="E144" s="206" t="str">
        <f>IF(AND(A144&lt;&gt;"",ISNUMBER(A144)),VLOOKUP(A144,Studies!A:BR,5,FALSE),"")</f>
        <v>Buspirone</v>
      </c>
      <c r="F144" s="207" t="str">
        <f>IF(AND(A144&lt;&gt;"",ISNUMBER(A144)),VLOOKUP(A144,Studies!A:BR,6,FALSE),"")</f>
        <v>Plasma</v>
      </c>
      <c r="G144" s="194">
        <v>1</v>
      </c>
      <c r="H144" s="194" t="s">
        <v>60</v>
      </c>
      <c r="I144" s="187">
        <v>1.895715</v>
      </c>
      <c r="J144" s="187" t="s">
        <v>1026</v>
      </c>
      <c r="K144" s="187" t="s">
        <v>116</v>
      </c>
      <c r="L144" s="195">
        <v>1.9015949999999999</v>
      </c>
      <c r="M144" s="195" t="s">
        <v>1026</v>
      </c>
      <c r="N144" s="195" t="s">
        <v>117</v>
      </c>
      <c r="O144" s="199"/>
      <c r="P144" s="188"/>
      <c r="Q144" s="174">
        <f>IF(ISNUMBER(VLOOKUP(A144,NotghiID!A:A,1,FALSE)),1,0)</f>
        <v>0</v>
      </c>
    </row>
    <row r="145" spans="1:17" ht="14.25" x14ac:dyDescent="0.2">
      <c r="A145" s="183">
        <v>171</v>
      </c>
      <c r="B145" s="232" t="str">
        <f>IF(AND(A145&lt;&gt;"",ISNUMBER(A145)),VLOOKUP(A145,Studies!A:BR,2,FALSE),"")</f>
        <v>Gammans 1986</v>
      </c>
      <c r="C145" s="232" t="str">
        <f>IF(AND(A145&lt;&gt;"",ISNUMBER(A145)),VLOOKUP(A145,Studies!A:BR,3,FALSE),"")</f>
        <v>https://www.ncbi.nlm.nih.gov/pubmed/16638734</v>
      </c>
      <c r="D145" s="232" t="str">
        <f>IF(AND(A145&lt;&gt;"",ISNUMBER(A145)),VLOOKUP(A145,Studies!A:BR,4,FALSE),"")</f>
        <v>Fig 4</v>
      </c>
      <c r="E145" s="206" t="str">
        <f>IF(AND(A145&lt;&gt;"",ISNUMBER(A145)),VLOOKUP(A145,Studies!A:BR,5,FALSE),"")</f>
        <v>Buspirone</v>
      </c>
      <c r="F145" s="207" t="str">
        <f>IF(AND(A145&lt;&gt;"",ISNUMBER(A145)),VLOOKUP(A145,Studies!A:BR,6,FALSE),"")</f>
        <v>Plasma</v>
      </c>
      <c r="G145" s="194">
        <v>2</v>
      </c>
      <c r="H145" s="194" t="s">
        <v>60</v>
      </c>
      <c r="I145" s="187">
        <v>1.3865430000000001</v>
      </c>
      <c r="J145" s="187" t="s">
        <v>1026</v>
      </c>
      <c r="K145" s="187" t="s">
        <v>116</v>
      </c>
      <c r="L145" s="195">
        <v>1.6512150000000001</v>
      </c>
      <c r="M145" s="195" t="s">
        <v>1026</v>
      </c>
      <c r="N145" s="195" t="s">
        <v>117</v>
      </c>
      <c r="O145" s="199"/>
      <c r="P145" s="188"/>
      <c r="Q145" s="174">
        <f>IF(ISNUMBER(VLOOKUP(A145,NotghiID!A:A,1,FALSE)),1,0)</f>
        <v>0</v>
      </c>
    </row>
    <row r="146" spans="1:17" ht="14.25" x14ac:dyDescent="0.2">
      <c r="A146" s="183">
        <v>171</v>
      </c>
      <c r="B146" s="232" t="str">
        <f>IF(AND(A146&lt;&gt;"",ISNUMBER(A146)),VLOOKUP(A146,Studies!A:BR,2,FALSE),"")</f>
        <v>Gammans 1986</v>
      </c>
      <c r="C146" s="232" t="str">
        <f>IF(AND(A146&lt;&gt;"",ISNUMBER(A146)),VLOOKUP(A146,Studies!A:BR,3,FALSE),"")</f>
        <v>https://www.ncbi.nlm.nih.gov/pubmed/16638734</v>
      </c>
      <c r="D146" s="232" t="str">
        <f>IF(AND(A146&lt;&gt;"",ISNUMBER(A146)),VLOOKUP(A146,Studies!A:BR,4,FALSE),"")</f>
        <v>Fig 4</v>
      </c>
      <c r="E146" s="206" t="str">
        <f>IF(AND(A146&lt;&gt;"",ISNUMBER(A146)),VLOOKUP(A146,Studies!A:BR,5,FALSE),"")</f>
        <v>Buspirone</v>
      </c>
      <c r="F146" s="207" t="str">
        <f>IF(AND(A146&lt;&gt;"",ISNUMBER(A146)),VLOOKUP(A146,Studies!A:BR,6,FALSE),"")</f>
        <v>Plasma</v>
      </c>
      <c r="G146" s="194">
        <v>3</v>
      </c>
      <c r="H146" s="194" t="s">
        <v>60</v>
      </c>
      <c r="I146" s="187">
        <v>0.84763580000000005</v>
      </c>
      <c r="J146" s="187" t="s">
        <v>1026</v>
      </c>
      <c r="K146" s="187" t="s">
        <v>116</v>
      </c>
      <c r="L146" s="195">
        <v>1.183651</v>
      </c>
      <c r="M146" s="195" t="s">
        <v>1026</v>
      </c>
      <c r="N146" s="195" t="s">
        <v>117</v>
      </c>
      <c r="O146" s="199"/>
      <c r="P146" s="188"/>
      <c r="Q146" s="174">
        <f>IF(ISNUMBER(VLOOKUP(A146,NotghiID!A:A,1,FALSE)),1,0)</f>
        <v>0</v>
      </c>
    </row>
    <row r="147" spans="1:17" ht="14.25" x14ac:dyDescent="0.2">
      <c r="A147" s="183">
        <v>171</v>
      </c>
      <c r="B147" s="232" t="str">
        <f>IF(AND(A147&lt;&gt;"",ISNUMBER(A147)),VLOOKUP(A147,Studies!A:BR,2,FALSE),"")</f>
        <v>Gammans 1986</v>
      </c>
      <c r="C147" s="232" t="str">
        <f>IF(AND(A147&lt;&gt;"",ISNUMBER(A147)),VLOOKUP(A147,Studies!A:BR,3,FALSE),"")</f>
        <v>https://www.ncbi.nlm.nih.gov/pubmed/16638734</v>
      </c>
      <c r="D147" s="232" t="str">
        <f>IF(AND(A147&lt;&gt;"",ISNUMBER(A147)),VLOOKUP(A147,Studies!A:BR,4,FALSE),"")</f>
        <v>Fig 4</v>
      </c>
      <c r="E147" s="206" t="str">
        <f>IF(AND(A147&lt;&gt;"",ISNUMBER(A147)),VLOOKUP(A147,Studies!A:BR,5,FALSE),"")</f>
        <v>Buspirone</v>
      </c>
      <c r="F147" s="207" t="str">
        <f>IF(AND(A147&lt;&gt;"",ISNUMBER(A147)),VLOOKUP(A147,Studies!A:BR,6,FALSE),"")</f>
        <v>Plasma</v>
      </c>
      <c r="G147" s="194">
        <v>5</v>
      </c>
      <c r="H147" s="194" t="s">
        <v>60</v>
      </c>
      <c r="I147" s="187">
        <v>0.2648218</v>
      </c>
      <c r="J147" s="187" t="s">
        <v>1026</v>
      </c>
      <c r="K147" s="187" t="s">
        <v>116</v>
      </c>
      <c r="L147" s="195">
        <v>0.35571920000000001</v>
      </c>
      <c r="M147" s="195" t="s">
        <v>1026</v>
      </c>
      <c r="N147" s="195" t="s">
        <v>117</v>
      </c>
      <c r="O147" s="199"/>
      <c r="P147" s="188"/>
      <c r="Q147" s="174">
        <f>IF(ISNUMBER(VLOOKUP(A147,NotghiID!A:A,1,FALSE)),1,0)</f>
        <v>0</v>
      </c>
    </row>
    <row r="148" spans="1:17" ht="14.25" x14ac:dyDescent="0.2">
      <c r="A148" s="183">
        <v>171</v>
      </c>
      <c r="B148" s="232" t="str">
        <f>IF(AND(A148&lt;&gt;"",ISNUMBER(A148)),VLOOKUP(A148,Studies!A:BR,2,FALSE),"")</f>
        <v>Gammans 1986</v>
      </c>
      <c r="C148" s="232" t="str">
        <f>IF(AND(A148&lt;&gt;"",ISNUMBER(A148)),VLOOKUP(A148,Studies!A:BR,3,FALSE),"")</f>
        <v>https://www.ncbi.nlm.nih.gov/pubmed/16638734</v>
      </c>
      <c r="D148" s="232" t="str">
        <f>IF(AND(A148&lt;&gt;"",ISNUMBER(A148)),VLOOKUP(A148,Studies!A:BR,4,FALSE),"")</f>
        <v>Fig 4</v>
      </c>
      <c r="E148" s="206" t="str">
        <f>IF(AND(A148&lt;&gt;"",ISNUMBER(A148)),VLOOKUP(A148,Studies!A:BR,5,FALSE),"")</f>
        <v>Buspirone</v>
      </c>
      <c r="F148" s="207" t="str">
        <f>IF(AND(A148&lt;&gt;"",ISNUMBER(A148)),VLOOKUP(A148,Studies!A:BR,6,FALSE),"")</f>
        <v>Plasma</v>
      </c>
      <c r="G148" s="194">
        <v>7</v>
      </c>
      <c r="H148" s="194" t="s">
        <v>60</v>
      </c>
      <c r="I148" s="187">
        <v>0.13545570000000001</v>
      </c>
      <c r="J148" s="187" t="s">
        <v>1026</v>
      </c>
      <c r="K148" s="187" t="s">
        <v>116</v>
      </c>
      <c r="L148" s="195">
        <v>0.2195936</v>
      </c>
      <c r="M148" s="195" t="s">
        <v>1026</v>
      </c>
      <c r="N148" s="195" t="s">
        <v>117</v>
      </c>
      <c r="O148" s="199"/>
      <c r="P148" s="188"/>
      <c r="Q148" s="174">
        <f>IF(ISNUMBER(VLOOKUP(A148,NotghiID!A:A,1,FALSE)),1,0)</f>
        <v>0</v>
      </c>
    </row>
    <row r="149" spans="1:17" ht="14.25" x14ac:dyDescent="0.2">
      <c r="A149" s="183">
        <v>171</v>
      </c>
      <c r="B149" s="232" t="str">
        <f>IF(AND(A149&lt;&gt;"",ISNUMBER(A149)),VLOOKUP(A149,Studies!A:BR,2,FALSE),"")</f>
        <v>Gammans 1986</v>
      </c>
      <c r="C149" s="232" t="str">
        <f>IF(AND(A149&lt;&gt;"",ISNUMBER(A149)),VLOOKUP(A149,Studies!A:BR,3,FALSE),"")</f>
        <v>https://www.ncbi.nlm.nih.gov/pubmed/16638734</v>
      </c>
      <c r="D149" s="232" t="str">
        <f>IF(AND(A149&lt;&gt;"",ISNUMBER(A149)),VLOOKUP(A149,Studies!A:BR,4,FALSE),"")</f>
        <v>Fig 4</v>
      </c>
      <c r="E149" s="206" t="str">
        <f>IF(AND(A149&lt;&gt;"",ISNUMBER(A149)),VLOOKUP(A149,Studies!A:BR,5,FALSE),"")</f>
        <v>Buspirone</v>
      </c>
      <c r="F149" s="207" t="str">
        <f>IF(AND(A149&lt;&gt;"",ISNUMBER(A149)),VLOOKUP(A149,Studies!A:BR,6,FALSE),"")</f>
        <v>Plasma</v>
      </c>
      <c r="G149" s="194">
        <v>8</v>
      </c>
      <c r="H149" s="194" t="s">
        <v>60</v>
      </c>
      <c r="I149" s="187">
        <v>8.8569270000000005E-2</v>
      </c>
      <c r="J149" s="187" t="s">
        <v>1026</v>
      </c>
      <c r="K149" s="187" t="s">
        <v>116</v>
      </c>
      <c r="L149" s="195">
        <v>0.1653549</v>
      </c>
      <c r="M149" s="195" t="s">
        <v>1026</v>
      </c>
      <c r="N149" s="195" t="s">
        <v>117</v>
      </c>
      <c r="O149" s="199"/>
      <c r="P149" s="188"/>
      <c r="Q149" s="174">
        <f>IF(ISNUMBER(VLOOKUP(A149,NotghiID!A:A,1,FALSE)),1,0)</f>
        <v>0</v>
      </c>
    </row>
    <row r="150" spans="1:17" ht="14.25" x14ac:dyDescent="0.2">
      <c r="A150" s="183">
        <v>231</v>
      </c>
      <c r="B150" s="232" t="str">
        <f>IF(AND(A150&lt;&gt;"",ISNUMBER(A150)),VLOOKUP(A150,Studies!A:BR,2,FALSE),"")</f>
        <v>Hanley 2013</v>
      </c>
      <c r="C150" s="232" t="str">
        <f>IF(AND(A150&lt;&gt;"",ISNUMBER(A150)),VLOOKUP(A150,Studies!A:BR,3,FALSE),"")</f>
        <v>https://www.ncbi.nlm.nih.gov/pubmed/22943633</v>
      </c>
      <c r="D150" s="232" t="str">
        <f>IF(AND(A150&lt;&gt;"",ISNUMBER(A150)),VLOOKUP(A150,Studies!A:BR,4,FALSE),"")</f>
        <v>with Perpetrator (GFJ)</v>
      </c>
      <c r="E150" s="206" t="str">
        <f>IF(AND(A150&lt;&gt;"",ISNUMBER(A150)),VLOOKUP(A150,Studies!A:BR,5,FALSE),"")</f>
        <v>Buspirone</v>
      </c>
      <c r="F150" s="207" t="str">
        <f>IF(AND(A150&lt;&gt;"",ISNUMBER(A150)),VLOOKUP(A150,Studies!A:BR,6,FALSE),"")</f>
        <v>Plasma</v>
      </c>
      <c r="G150" s="194">
        <v>0.5</v>
      </c>
      <c r="H150" s="194" t="s">
        <v>60</v>
      </c>
      <c r="I150" s="187">
        <v>0.3671642</v>
      </c>
      <c r="J150" s="187" t="s">
        <v>1026</v>
      </c>
      <c r="K150" s="187" t="s">
        <v>116</v>
      </c>
      <c r="L150" s="195">
        <v>0.1208955</v>
      </c>
      <c r="M150" s="195" t="s">
        <v>1026</v>
      </c>
      <c r="N150" s="195" t="s">
        <v>1034</v>
      </c>
      <c r="O150" s="199"/>
      <c r="P150" s="188"/>
      <c r="Q150" s="174">
        <f>IF(ISNUMBER(VLOOKUP(A150,NotghiID!A:A,1,FALSE)),1,0)</f>
        <v>0</v>
      </c>
    </row>
    <row r="151" spans="1:17" ht="14.25" x14ac:dyDescent="0.2">
      <c r="A151" s="183">
        <v>231</v>
      </c>
      <c r="B151" s="232" t="str">
        <f>IF(AND(A151&lt;&gt;"",ISNUMBER(A151)),VLOOKUP(A151,Studies!A:BR,2,FALSE),"")</f>
        <v>Hanley 2013</v>
      </c>
      <c r="C151" s="232" t="str">
        <f>IF(AND(A151&lt;&gt;"",ISNUMBER(A151)),VLOOKUP(A151,Studies!A:BR,3,FALSE),"")</f>
        <v>https://www.ncbi.nlm.nih.gov/pubmed/22943633</v>
      </c>
      <c r="D151" s="232" t="str">
        <f>IF(AND(A151&lt;&gt;"",ISNUMBER(A151)),VLOOKUP(A151,Studies!A:BR,4,FALSE),"")</f>
        <v>with Perpetrator (GFJ)</v>
      </c>
      <c r="E151" s="206" t="str">
        <f>IF(AND(A151&lt;&gt;"",ISNUMBER(A151)),VLOOKUP(A151,Studies!A:BR,5,FALSE),"")</f>
        <v>Buspirone</v>
      </c>
      <c r="F151" s="207" t="str">
        <f>IF(AND(A151&lt;&gt;"",ISNUMBER(A151)),VLOOKUP(A151,Studies!A:BR,6,FALSE),"")</f>
        <v>Plasma</v>
      </c>
      <c r="G151" s="194">
        <v>1</v>
      </c>
      <c r="H151" s="194" t="s">
        <v>60</v>
      </c>
      <c r="I151" s="187">
        <v>1.099254</v>
      </c>
      <c r="J151" s="187" t="s">
        <v>1026</v>
      </c>
      <c r="K151" s="187" t="s">
        <v>116</v>
      </c>
      <c r="L151" s="195">
        <v>0.14104449999999999</v>
      </c>
      <c r="M151" s="195" t="s">
        <v>1026</v>
      </c>
      <c r="N151" s="195" t="s">
        <v>1034</v>
      </c>
      <c r="O151" s="199"/>
      <c r="P151" s="188"/>
      <c r="Q151" s="174">
        <f>IF(ISNUMBER(VLOOKUP(A151,NotghiID!A:A,1,FALSE)),1,0)</f>
        <v>0</v>
      </c>
    </row>
    <row r="152" spans="1:17" ht="14.25" x14ac:dyDescent="0.2">
      <c r="A152" s="183">
        <v>231</v>
      </c>
      <c r="B152" s="232" t="str">
        <f>IF(AND(A152&lt;&gt;"",ISNUMBER(A152)),VLOOKUP(A152,Studies!A:BR,2,FALSE),"")</f>
        <v>Hanley 2013</v>
      </c>
      <c r="C152" s="232" t="str">
        <f>IF(AND(A152&lt;&gt;"",ISNUMBER(A152)),VLOOKUP(A152,Studies!A:BR,3,FALSE),"")</f>
        <v>https://www.ncbi.nlm.nih.gov/pubmed/22943633</v>
      </c>
      <c r="D152" s="232" t="str">
        <f>IF(AND(A152&lt;&gt;"",ISNUMBER(A152)),VLOOKUP(A152,Studies!A:BR,4,FALSE),"")</f>
        <v>with Perpetrator (GFJ)</v>
      </c>
      <c r="E152" s="206" t="str">
        <f>IF(AND(A152&lt;&gt;"",ISNUMBER(A152)),VLOOKUP(A152,Studies!A:BR,5,FALSE),"")</f>
        <v>Buspirone</v>
      </c>
      <c r="F152" s="207" t="str">
        <f>IF(AND(A152&lt;&gt;"",ISNUMBER(A152)),VLOOKUP(A152,Studies!A:BR,6,FALSE),"")</f>
        <v>Plasma</v>
      </c>
      <c r="G152" s="194">
        <v>1.5</v>
      </c>
      <c r="H152" s="194" t="s">
        <v>60</v>
      </c>
      <c r="I152" s="187">
        <v>1.2828360000000001</v>
      </c>
      <c r="J152" s="187" t="s">
        <v>1026</v>
      </c>
      <c r="K152" s="187" t="s">
        <v>116</v>
      </c>
      <c r="L152" s="195">
        <v>0.16791030000000001</v>
      </c>
      <c r="M152" s="195" t="s">
        <v>1026</v>
      </c>
      <c r="N152" s="195" t="s">
        <v>1034</v>
      </c>
      <c r="O152" s="199"/>
      <c r="P152" s="188"/>
      <c r="Q152" s="174">
        <f>IF(ISNUMBER(VLOOKUP(A152,NotghiID!A:A,1,FALSE)),1,0)</f>
        <v>0</v>
      </c>
    </row>
    <row r="153" spans="1:17" ht="14.25" x14ac:dyDescent="0.2">
      <c r="A153" s="183">
        <v>231</v>
      </c>
      <c r="B153" s="232" t="str">
        <f>IF(AND(A153&lt;&gt;"",ISNUMBER(A153)),VLOOKUP(A153,Studies!A:BR,2,FALSE),"")</f>
        <v>Hanley 2013</v>
      </c>
      <c r="C153" s="232" t="str">
        <f>IF(AND(A153&lt;&gt;"",ISNUMBER(A153)),VLOOKUP(A153,Studies!A:BR,3,FALSE),"")</f>
        <v>https://www.ncbi.nlm.nih.gov/pubmed/22943633</v>
      </c>
      <c r="D153" s="232" t="str">
        <f>IF(AND(A153&lt;&gt;"",ISNUMBER(A153)),VLOOKUP(A153,Studies!A:BR,4,FALSE),"")</f>
        <v>with Perpetrator (GFJ)</v>
      </c>
      <c r="E153" s="206" t="str">
        <f>IF(AND(A153&lt;&gt;"",ISNUMBER(A153)),VLOOKUP(A153,Studies!A:BR,5,FALSE),"")</f>
        <v>Buspirone</v>
      </c>
      <c r="F153" s="207" t="str">
        <f>IF(AND(A153&lt;&gt;"",ISNUMBER(A153)),VLOOKUP(A153,Studies!A:BR,6,FALSE),"")</f>
        <v>Plasma</v>
      </c>
      <c r="G153" s="194">
        <v>2</v>
      </c>
      <c r="H153" s="194" t="s">
        <v>60</v>
      </c>
      <c r="I153" s="187">
        <v>1.1910449999999999</v>
      </c>
      <c r="J153" s="187" t="s">
        <v>1026</v>
      </c>
      <c r="K153" s="187" t="s">
        <v>116</v>
      </c>
      <c r="L153" s="195">
        <v>0.2283579</v>
      </c>
      <c r="M153" s="195" t="s">
        <v>1026</v>
      </c>
      <c r="N153" s="195" t="s">
        <v>1034</v>
      </c>
      <c r="O153" s="199"/>
      <c r="P153" s="188"/>
      <c r="Q153" s="174">
        <f>IF(ISNUMBER(VLOOKUP(A153,NotghiID!A:A,1,FALSE)),1,0)</f>
        <v>0</v>
      </c>
    </row>
    <row r="154" spans="1:17" ht="14.25" x14ac:dyDescent="0.2">
      <c r="A154" s="183">
        <v>231</v>
      </c>
      <c r="B154" s="232" t="str">
        <f>IF(AND(A154&lt;&gt;"",ISNUMBER(A154)),VLOOKUP(A154,Studies!A:BR,2,FALSE),"")</f>
        <v>Hanley 2013</v>
      </c>
      <c r="C154" s="232" t="str">
        <f>IF(AND(A154&lt;&gt;"",ISNUMBER(A154)),VLOOKUP(A154,Studies!A:BR,3,FALSE),"")</f>
        <v>https://www.ncbi.nlm.nih.gov/pubmed/22943633</v>
      </c>
      <c r="D154" s="232" t="str">
        <f>IF(AND(A154&lt;&gt;"",ISNUMBER(A154)),VLOOKUP(A154,Studies!A:BR,4,FALSE),"")</f>
        <v>with Perpetrator (GFJ)</v>
      </c>
      <c r="E154" s="206" t="str">
        <f>IF(AND(A154&lt;&gt;"",ISNUMBER(A154)),VLOOKUP(A154,Studies!A:BR,5,FALSE),"")</f>
        <v>Buspirone</v>
      </c>
      <c r="F154" s="207" t="str">
        <f>IF(AND(A154&lt;&gt;"",ISNUMBER(A154)),VLOOKUP(A154,Studies!A:BR,6,FALSE),"")</f>
        <v>Plasma</v>
      </c>
      <c r="G154" s="194">
        <v>3</v>
      </c>
      <c r="H154" s="194" t="s">
        <v>60</v>
      </c>
      <c r="I154" s="187">
        <v>0.96044779999999996</v>
      </c>
      <c r="J154" s="187" t="s">
        <v>1026</v>
      </c>
      <c r="K154" s="187" t="s">
        <v>116</v>
      </c>
      <c r="L154" s="195">
        <v>0.1567163</v>
      </c>
      <c r="M154" s="195" t="s">
        <v>1026</v>
      </c>
      <c r="N154" s="195" t="s">
        <v>1034</v>
      </c>
      <c r="O154" s="199"/>
      <c r="P154" s="188"/>
      <c r="Q154" s="174">
        <f>IF(ISNUMBER(VLOOKUP(A154,NotghiID!A:A,1,FALSE)),1,0)</f>
        <v>0</v>
      </c>
    </row>
    <row r="155" spans="1:17" ht="14.25" x14ac:dyDescent="0.2">
      <c r="A155" s="183">
        <v>231</v>
      </c>
      <c r="B155" s="232" t="str">
        <f>IF(AND(A155&lt;&gt;"",ISNUMBER(A155)),VLOOKUP(A155,Studies!A:BR,2,FALSE),"")</f>
        <v>Hanley 2013</v>
      </c>
      <c r="C155" s="232" t="str">
        <f>IF(AND(A155&lt;&gt;"",ISNUMBER(A155)),VLOOKUP(A155,Studies!A:BR,3,FALSE),"")</f>
        <v>https://www.ncbi.nlm.nih.gov/pubmed/22943633</v>
      </c>
      <c r="D155" s="232" t="str">
        <f>IF(AND(A155&lt;&gt;"",ISNUMBER(A155)),VLOOKUP(A155,Studies!A:BR,4,FALSE),"")</f>
        <v>with Perpetrator (GFJ)</v>
      </c>
      <c r="E155" s="206" t="str">
        <f>IF(AND(A155&lt;&gt;"",ISNUMBER(A155)),VLOOKUP(A155,Studies!A:BR,5,FALSE),"")</f>
        <v>Buspirone</v>
      </c>
      <c r="F155" s="207" t="str">
        <f>IF(AND(A155&lt;&gt;"",ISNUMBER(A155)),VLOOKUP(A155,Studies!A:BR,6,FALSE),"")</f>
        <v>Plasma</v>
      </c>
      <c r="G155" s="194">
        <v>4</v>
      </c>
      <c r="H155" s="194" t="s">
        <v>60</v>
      </c>
      <c r="I155" s="187">
        <v>0.6649254</v>
      </c>
      <c r="J155" s="187" t="s">
        <v>1026</v>
      </c>
      <c r="K155" s="187" t="s">
        <v>116</v>
      </c>
      <c r="L155" s="195">
        <v>0.1320896</v>
      </c>
      <c r="M155" s="195" t="s">
        <v>1026</v>
      </c>
      <c r="N155" s="195" t="s">
        <v>1034</v>
      </c>
      <c r="O155" s="199"/>
      <c r="P155" s="188"/>
      <c r="Q155" s="174">
        <f>IF(ISNUMBER(VLOOKUP(A155,NotghiID!A:A,1,FALSE)),1,0)</f>
        <v>0</v>
      </c>
    </row>
    <row r="156" spans="1:17" ht="14.25" x14ac:dyDescent="0.2">
      <c r="A156" s="183">
        <v>231</v>
      </c>
      <c r="B156" s="232" t="str">
        <f>IF(AND(A156&lt;&gt;"",ISNUMBER(A156)),VLOOKUP(A156,Studies!A:BR,2,FALSE),"")</f>
        <v>Hanley 2013</v>
      </c>
      <c r="C156" s="232" t="str">
        <f>IF(AND(A156&lt;&gt;"",ISNUMBER(A156)),VLOOKUP(A156,Studies!A:BR,3,FALSE),"")</f>
        <v>https://www.ncbi.nlm.nih.gov/pubmed/22943633</v>
      </c>
      <c r="D156" s="232" t="str">
        <f>IF(AND(A156&lt;&gt;"",ISNUMBER(A156)),VLOOKUP(A156,Studies!A:BR,4,FALSE),"")</f>
        <v>with Perpetrator (GFJ)</v>
      </c>
      <c r="E156" s="206" t="str">
        <f>IF(AND(A156&lt;&gt;"",ISNUMBER(A156)),VLOOKUP(A156,Studies!A:BR,5,FALSE),"")</f>
        <v>Buspirone</v>
      </c>
      <c r="F156" s="207" t="str">
        <f>IF(AND(A156&lt;&gt;"",ISNUMBER(A156)),VLOOKUP(A156,Studies!A:BR,6,FALSE),"")</f>
        <v>Plasma</v>
      </c>
      <c r="G156" s="194">
        <v>5</v>
      </c>
      <c r="H156" s="194" t="s">
        <v>60</v>
      </c>
      <c r="I156" s="187">
        <v>0.4858209</v>
      </c>
      <c r="J156" s="187" t="s">
        <v>1026</v>
      </c>
      <c r="K156" s="187" t="s">
        <v>116</v>
      </c>
      <c r="L156" s="195">
        <v>0.1007463</v>
      </c>
      <c r="M156" s="195" t="s">
        <v>1026</v>
      </c>
      <c r="N156" s="195" t="s">
        <v>1034</v>
      </c>
      <c r="O156" s="199"/>
      <c r="P156" s="188"/>
      <c r="Q156" s="174">
        <f>IF(ISNUMBER(VLOOKUP(A156,NotghiID!A:A,1,FALSE)),1,0)</f>
        <v>0</v>
      </c>
    </row>
    <row r="157" spans="1:17" ht="14.25" x14ac:dyDescent="0.2">
      <c r="A157" s="183">
        <v>231</v>
      </c>
      <c r="B157" s="232" t="str">
        <f>IF(AND(A157&lt;&gt;"",ISNUMBER(A157)),VLOOKUP(A157,Studies!A:BR,2,FALSE),"")</f>
        <v>Hanley 2013</v>
      </c>
      <c r="C157" s="232" t="str">
        <f>IF(AND(A157&lt;&gt;"",ISNUMBER(A157)),VLOOKUP(A157,Studies!A:BR,3,FALSE),"")</f>
        <v>https://www.ncbi.nlm.nih.gov/pubmed/22943633</v>
      </c>
      <c r="D157" s="232" t="str">
        <f>IF(AND(A157&lt;&gt;"",ISNUMBER(A157)),VLOOKUP(A157,Studies!A:BR,4,FALSE),"")</f>
        <v>with Perpetrator (GFJ)</v>
      </c>
      <c r="E157" s="206" t="str">
        <f>IF(AND(A157&lt;&gt;"",ISNUMBER(A157)),VLOOKUP(A157,Studies!A:BR,5,FALSE),"")</f>
        <v>Buspirone</v>
      </c>
      <c r="F157" s="207" t="str">
        <f>IF(AND(A157&lt;&gt;"",ISNUMBER(A157)),VLOOKUP(A157,Studies!A:BR,6,FALSE),"")</f>
        <v>Plasma</v>
      </c>
      <c r="G157" s="194">
        <v>6</v>
      </c>
      <c r="H157" s="194" t="s">
        <v>60</v>
      </c>
      <c r="I157" s="187">
        <v>0.33582089999999998</v>
      </c>
      <c r="J157" s="187" t="s">
        <v>1026</v>
      </c>
      <c r="K157" s="187" t="s">
        <v>116</v>
      </c>
      <c r="L157" s="195">
        <v>0.17238800000000001</v>
      </c>
      <c r="M157" s="195" t="s">
        <v>1026</v>
      </c>
      <c r="N157" s="195" t="s">
        <v>1034</v>
      </c>
      <c r="O157" s="199"/>
      <c r="P157" s="188"/>
      <c r="Q157" s="174">
        <f>IF(ISNUMBER(VLOOKUP(A157,NotghiID!A:A,1,FALSE)),1,0)</f>
        <v>0</v>
      </c>
    </row>
    <row r="158" spans="1:17" ht="14.25" x14ac:dyDescent="0.2">
      <c r="A158" s="183">
        <v>231</v>
      </c>
      <c r="B158" s="232" t="str">
        <f>IF(AND(A158&lt;&gt;"",ISNUMBER(A158)),VLOOKUP(A158,Studies!A:BR,2,FALSE),"")</f>
        <v>Hanley 2013</v>
      </c>
      <c r="C158" s="232" t="str">
        <f>IF(AND(A158&lt;&gt;"",ISNUMBER(A158)),VLOOKUP(A158,Studies!A:BR,3,FALSE),"")</f>
        <v>https://www.ncbi.nlm.nih.gov/pubmed/22943633</v>
      </c>
      <c r="D158" s="232" t="str">
        <f>IF(AND(A158&lt;&gt;"",ISNUMBER(A158)),VLOOKUP(A158,Studies!A:BR,4,FALSE),"")</f>
        <v>with Perpetrator (GFJ)</v>
      </c>
      <c r="E158" s="206" t="str">
        <f>IF(AND(A158&lt;&gt;"",ISNUMBER(A158)),VLOOKUP(A158,Studies!A:BR,5,FALSE),"")</f>
        <v>Buspirone</v>
      </c>
      <c r="F158" s="207" t="str">
        <f>IF(AND(A158&lt;&gt;"",ISNUMBER(A158)),VLOOKUP(A158,Studies!A:BR,6,FALSE),"")</f>
        <v>Plasma</v>
      </c>
      <c r="G158" s="194">
        <v>8</v>
      </c>
      <c r="H158" s="194" t="s">
        <v>60</v>
      </c>
      <c r="I158" s="187">
        <v>0.22388060000000001</v>
      </c>
      <c r="J158" s="187" t="s">
        <v>1026</v>
      </c>
      <c r="K158" s="187" t="s">
        <v>116</v>
      </c>
      <c r="L158" s="195">
        <v>4.701491E-2</v>
      </c>
      <c r="M158" s="195" t="s">
        <v>1026</v>
      </c>
      <c r="N158" s="195" t="s">
        <v>1034</v>
      </c>
      <c r="O158" s="199"/>
      <c r="P158" s="188"/>
      <c r="Q158" s="174">
        <f>IF(ISNUMBER(VLOOKUP(A158,NotghiID!A:A,1,FALSE)),1,0)</f>
        <v>0</v>
      </c>
    </row>
    <row r="159" spans="1:17" ht="14.25" x14ac:dyDescent="0.2">
      <c r="A159" s="183">
        <v>231</v>
      </c>
      <c r="B159" s="232" t="str">
        <f>IF(AND(A159&lt;&gt;"",ISNUMBER(A159)),VLOOKUP(A159,Studies!A:BR,2,FALSE),"")</f>
        <v>Hanley 2013</v>
      </c>
      <c r="C159" s="232" t="str">
        <f>IF(AND(A159&lt;&gt;"",ISNUMBER(A159)),VLOOKUP(A159,Studies!A:BR,3,FALSE),"")</f>
        <v>https://www.ncbi.nlm.nih.gov/pubmed/22943633</v>
      </c>
      <c r="D159" s="232" t="str">
        <f>IF(AND(A159&lt;&gt;"",ISNUMBER(A159)),VLOOKUP(A159,Studies!A:BR,4,FALSE),"")</f>
        <v>with Perpetrator (GFJ)</v>
      </c>
      <c r="E159" s="206" t="str">
        <f>IF(AND(A159&lt;&gt;"",ISNUMBER(A159)),VLOOKUP(A159,Studies!A:BR,5,FALSE),"")</f>
        <v>Buspirone</v>
      </c>
      <c r="F159" s="207" t="str">
        <f>IF(AND(A159&lt;&gt;"",ISNUMBER(A159)),VLOOKUP(A159,Studies!A:BR,6,FALSE),"")</f>
        <v>Plasma</v>
      </c>
      <c r="G159" s="194">
        <v>10</v>
      </c>
      <c r="H159" s="194" t="s">
        <v>60</v>
      </c>
      <c r="I159" s="187">
        <v>0.1365672</v>
      </c>
      <c r="J159" s="187" t="s">
        <v>1026</v>
      </c>
      <c r="K159" s="187" t="s">
        <v>116</v>
      </c>
      <c r="L159" s="195">
        <v>2.6865630000000001E-2</v>
      </c>
      <c r="M159" s="195" t="s">
        <v>1026</v>
      </c>
      <c r="N159" s="195" t="s">
        <v>1034</v>
      </c>
      <c r="O159" s="199"/>
      <c r="P159" s="188"/>
      <c r="Q159" s="174">
        <f>IF(ISNUMBER(VLOOKUP(A159,NotghiID!A:A,1,FALSE)),1,0)</f>
        <v>0</v>
      </c>
    </row>
    <row r="160" spans="1:17" ht="14.25" x14ac:dyDescent="0.2">
      <c r="A160" s="183">
        <v>231</v>
      </c>
      <c r="B160" s="232" t="str">
        <f>IF(AND(A160&lt;&gt;"",ISNUMBER(A160)),VLOOKUP(A160,Studies!A:BR,2,FALSE),"")</f>
        <v>Hanley 2013</v>
      </c>
      <c r="C160" s="232" t="str">
        <f>IF(AND(A160&lt;&gt;"",ISNUMBER(A160)),VLOOKUP(A160,Studies!A:BR,3,FALSE),"")</f>
        <v>https://www.ncbi.nlm.nih.gov/pubmed/22943633</v>
      </c>
      <c r="D160" s="232" t="str">
        <f>IF(AND(A160&lt;&gt;"",ISNUMBER(A160)),VLOOKUP(A160,Studies!A:BR,4,FALSE),"")</f>
        <v>with Perpetrator (GFJ)</v>
      </c>
      <c r="E160" s="206" t="str">
        <f>IF(AND(A160&lt;&gt;"",ISNUMBER(A160)),VLOOKUP(A160,Studies!A:BR,5,FALSE),"")</f>
        <v>Buspirone</v>
      </c>
      <c r="F160" s="207" t="str">
        <f>IF(AND(A160&lt;&gt;"",ISNUMBER(A160)),VLOOKUP(A160,Studies!A:BR,6,FALSE),"")</f>
        <v>Plasma</v>
      </c>
      <c r="G160" s="194">
        <v>12</v>
      </c>
      <c r="H160" s="194" t="s">
        <v>60</v>
      </c>
      <c r="I160" s="187">
        <v>8.9552240000000005E-2</v>
      </c>
      <c r="J160" s="187" t="s">
        <v>1026</v>
      </c>
      <c r="K160" s="187" t="s">
        <v>116</v>
      </c>
      <c r="L160" s="195">
        <v>2.014925E-2</v>
      </c>
      <c r="M160" s="195" t="s">
        <v>1026</v>
      </c>
      <c r="N160" s="195" t="s">
        <v>1034</v>
      </c>
      <c r="O160" s="199"/>
      <c r="P160" s="188"/>
      <c r="Q160" s="174">
        <f>IF(ISNUMBER(VLOOKUP(A160,NotghiID!A:A,1,FALSE)),1,0)</f>
        <v>0</v>
      </c>
    </row>
    <row r="161" spans="1:17" ht="14.25" x14ac:dyDescent="0.2">
      <c r="A161" s="183">
        <v>230</v>
      </c>
      <c r="B161" s="232" t="str">
        <f>IF(AND(A161&lt;&gt;"",ISNUMBER(A161)),VLOOKUP(A161,Studies!A:BR,2,FALSE),"")</f>
        <v>Hanley 2013</v>
      </c>
      <c r="C161" s="232" t="str">
        <f>IF(AND(A161&lt;&gt;"",ISNUMBER(A161)),VLOOKUP(A161,Studies!A:BR,3,FALSE),"")</f>
        <v>https://www.ncbi.nlm.nih.gov/pubmed/22943633</v>
      </c>
      <c r="D161" s="232" t="str">
        <f>IF(AND(A161&lt;&gt;"",ISNUMBER(A161)),VLOOKUP(A161,Studies!A:BR,4,FALSE),"")</f>
        <v>Control (Perpetrator Placebo)</v>
      </c>
      <c r="E161" s="206" t="str">
        <f>IF(AND(A161&lt;&gt;"",ISNUMBER(A161)),VLOOKUP(A161,Studies!A:BR,5,FALSE),"")</f>
        <v>Buspirone</v>
      </c>
      <c r="F161" s="207" t="str">
        <f>IF(AND(A161&lt;&gt;"",ISNUMBER(A161)),VLOOKUP(A161,Studies!A:BR,6,FALSE),"")</f>
        <v>Plasma</v>
      </c>
      <c r="G161" s="194">
        <v>0.5</v>
      </c>
      <c r="H161" s="194" t="s">
        <v>60</v>
      </c>
      <c r="I161" s="187">
        <v>0.94029850000000004</v>
      </c>
      <c r="J161" s="187" t="s">
        <v>1026</v>
      </c>
      <c r="K161" s="187" t="s">
        <v>116</v>
      </c>
      <c r="L161" s="195">
        <v>0.24850739999999999</v>
      </c>
      <c r="M161" s="195" t="s">
        <v>1026</v>
      </c>
      <c r="N161" s="195" t="s">
        <v>1034</v>
      </c>
      <c r="O161" s="199"/>
      <c r="P161" s="188"/>
      <c r="Q161" s="174">
        <f>IF(ISNUMBER(VLOOKUP(A161,NotghiID!A:A,1,FALSE)),1,0)</f>
        <v>0</v>
      </c>
    </row>
    <row r="162" spans="1:17" ht="14.25" x14ac:dyDescent="0.2">
      <c r="A162" s="183">
        <v>230</v>
      </c>
      <c r="B162" s="232" t="str">
        <f>IF(AND(A162&lt;&gt;"",ISNUMBER(A162)),VLOOKUP(A162,Studies!A:BR,2,FALSE),"")</f>
        <v>Hanley 2013</v>
      </c>
      <c r="C162" s="232" t="str">
        <f>IF(AND(A162&lt;&gt;"",ISNUMBER(A162)),VLOOKUP(A162,Studies!A:BR,3,FALSE),"")</f>
        <v>https://www.ncbi.nlm.nih.gov/pubmed/22943633</v>
      </c>
      <c r="D162" s="232" t="str">
        <f>IF(AND(A162&lt;&gt;"",ISNUMBER(A162)),VLOOKUP(A162,Studies!A:BR,4,FALSE),"")</f>
        <v>Control (Perpetrator Placebo)</v>
      </c>
      <c r="E162" s="206" t="str">
        <f>IF(AND(A162&lt;&gt;"",ISNUMBER(A162)),VLOOKUP(A162,Studies!A:BR,5,FALSE),"")</f>
        <v>Buspirone</v>
      </c>
      <c r="F162" s="207" t="str">
        <f>IF(AND(A162&lt;&gt;"",ISNUMBER(A162)),VLOOKUP(A162,Studies!A:BR,6,FALSE),"")</f>
        <v>Plasma</v>
      </c>
      <c r="G162" s="194">
        <v>1</v>
      </c>
      <c r="H162" s="194" t="s">
        <v>60</v>
      </c>
      <c r="I162" s="187">
        <v>0.72761200000000004</v>
      </c>
      <c r="J162" s="187" t="s">
        <v>1026</v>
      </c>
      <c r="K162" s="187" t="s">
        <v>116</v>
      </c>
      <c r="L162" s="195">
        <v>0.15223890000000001</v>
      </c>
      <c r="M162" s="195" t="s">
        <v>1026</v>
      </c>
      <c r="N162" s="195" t="s">
        <v>1034</v>
      </c>
      <c r="O162" s="199"/>
      <c r="P162" s="188"/>
      <c r="Q162" s="174">
        <f>IF(ISNUMBER(VLOOKUP(A162,NotghiID!A:A,1,FALSE)),1,0)</f>
        <v>0</v>
      </c>
    </row>
    <row r="163" spans="1:17" ht="14.25" x14ac:dyDescent="0.2">
      <c r="A163" s="183">
        <v>230</v>
      </c>
      <c r="B163" s="232" t="str">
        <f>IF(AND(A163&lt;&gt;"",ISNUMBER(A163)),VLOOKUP(A163,Studies!A:BR,2,FALSE),"")</f>
        <v>Hanley 2013</v>
      </c>
      <c r="C163" s="232" t="str">
        <f>IF(AND(A163&lt;&gt;"",ISNUMBER(A163)),VLOOKUP(A163,Studies!A:BR,3,FALSE),"")</f>
        <v>https://www.ncbi.nlm.nih.gov/pubmed/22943633</v>
      </c>
      <c r="D163" s="232" t="str">
        <f>IF(AND(A163&lt;&gt;"",ISNUMBER(A163)),VLOOKUP(A163,Studies!A:BR,4,FALSE),"")</f>
        <v>Control (Perpetrator Placebo)</v>
      </c>
      <c r="E163" s="206" t="str">
        <f>IF(AND(A163&lt;&gt;"",ISNUMBER(A163)),VLOOKUP(A163,Studies!A:BR,5,FALSE),"")</f>
        <v>Buspirone</v>
      </c>
      <c r="F163" s="207" t="str">
        <f>IF(AND(A163&lt;&gt;"",ISNUMBER(A163)),VLOOKUP(A163,Studies!A:BR,6,FALSE),"")</f>
        <v>Plasma</v>
      </c>
      <c r="G163" s="194">
        <v>1.5</v>
      </c>
      <c r="H163" s="194" t="s">
        <v>60</v>
      </c>
      <c r="I163" s="187">
        <v>0.61567159999999999</v>
      </c>
      <c r="J163" s="187" t="s">
        <v>1026</v>
      </c>
      <c r="K163" s="187" t="s">
        <v>116</v>
      </c>
      <c r="L163" s="195">
        <v>0.1410447</v>
      </c>
      <c r="M163" s="195" t="s">
        <v>1026</v>
      </c>
      <c r="N163" s="195" t="s">
        <v>1034</v>
      </c>
      <c r="O163" s="199"/>
      <c r="P163" s="188"/>
      <c r="Q163" s="174">
        <f>IF(ISNUMBER(VLOOKUP(A163,NotghiID!A:A,1,FALSE)),1,0)</f>
        <v>0</v>
      </c>
    </row>
    <row r="164" spans="1:17" ht="14.25" x14ac:dyDescent="0.2">
      <c r="A164" s="183">
        <v>230</v>
      </c>
      <c r="B164" s="232" t="str">
        <f>IF(AND(A164&lt;&gt;"",ISNUMBER(A164)),VLOOKUP(A164,Studies!A:BR,2,FALSE),"")</f>
        <v>Hanley 2013</v>
      </c>
      <c r="C164" s="232" t="str">
        <f>IF(AND(A164&lt;&gt;"",ISNUMBER(A164)),VLOOKUP(A164,Studies!A:BR,3,FALSE),"")</f>
        <v>https://www.ncbi.nlm.nih.gov/pubmed/22943633</v>
      </c>
      <c r="D164" s="232" t="str">
        <f>IF(AND(A164&lt;&gt;"",ISNUMBER(A164)),VLOOKUP(A164,Studies!A:BR,4,FALSE),"")</f>
        <v>Control (Perpetrator Placebo)</v>
      </c>
      <c r="E164" s="206" t="str">
        <f>IF(AND(A164&lt;&gt;"",ISNUMBER(A164)),VLOOKUP(A164,Studies!A:BR,5,FALSE),"")</f>
        <v>Buspirone</v>
      </c>
      <c r="F164" s="207" t="str">
        <f>IF(AND(A164&lt;&gt;"",ISNUMBER(A164)),VLOOKUP(A164,Studies!A:BR,6,FALSE),"")</f>
        <v>Plasma</v>
      </c>
      <c r="G164" s="194">
        <v>2</v>
      </c>
      <c r="H164" s="194" t="s">
        <v>60</v>
      </c>
      <c r="I164" s="187">
        <v>0.5373135</v>
      </c>
      <c r="J164" s="187" t="s">
        <v>1026</v>
      </c>
      <c r="K164" s="187" t="s">
        <v>116</v>
      </c>
      <c r="L164" s="195">
        <v>0.1231344</v>
      </c>
      <c r="M164" s="195" t="s">
        <v>1026</v>
      </c>
      <c r="N164" s="195" t="s">
        <v>1034</v>
      </c>
      <c r="O164" s="199"/>
      <c r="P164" s="188"/>
      <c r="Q164" s="174">
        <f>IF(ISNUMBER(VLOOKUP(A164,NotghiID!A:A,1,FALSE)),1,0)</f>
        <v>0</v>
      </c>
    </row>
    <row r="165" spans="1:17" ht="14.25" x14ac:dyDescent="0.2">
      <c r="A165" s="183">
        <v>230</v>
      </c>
      <c r="B165" s="232" t="str">
        <f>IF(AND(A165&lt;&gt;"",ISNUMBER(A165)),VLOOKUP(A165,Studies!A:BR,2,FALSE),"")</f>
        <v>Hanley 2013</v>
      </c>
      <c r="C165" s="232" t="str">
        <f>IF(AND(A165&lt;&gt;"",ISNUMBER(A165)),VLOOKUP(A165,Studies!A:BR,3,FALSE),"")</f>
        <v>https://www.ncbi.nlm.nih.gov/pubmed/22943633</v>
      </c>
      <c r="D165" s="232" t="str">
        <f>IF(AND(A165&lt;&gt;"",ISNUMBER(A165)),VLOOKUP(A165,Studies!A:BR,4,FALSE),"")</f>
        <v>Control (Perpetrator Placebo)</v>
      </c>
      <c r="E165" s="206" t="str">
        <f>IF(AND(A165&lt;&gt;"",ISNUMBER(A165)),VLOOKUP(A165,Studies!A:BR,5,FALSE),"")</f>
        <v>Buspirone</v>
      </c>
      <c r="F165" s="207" t="str">
        <f>IF(AND(A165&lt;&gt;"",ISNUMBER(A165)),VLOOKUP(A165,Studies!A:BR,6,FALSE),"")</f>
        <v>Plasma</v>
      </c>
      <c r="G165" s="194">
        <v>3</v>
      </c>
      <c r="H165" s="194" t="s">
        <v>60</v>
      </c>
      <c r="I165" s="187">
        <v>0.33582089999999998</v>
      </c>
      <c r="J165" s="187" t="s">
        <v>1026</v>
      </c>
      <c r="K165" s="187" t="s">
        <v>116</v>
      </c>
      <c r="L165" s="195">
        <v>6.9402989999999998E-2</v>
      </c>
      <c r="M165" s="195" t="s">
        <v>1026</v>
      </c>
      <c r="N165" s="195" t="s">
        <v>1034</v>
      </c>
      <c r="O165" s="199"/>
      <c r="P165" s="188"/>
      <c r="Q165" s="174">
        <f>IF(ISNUMBER(VLOOKUP(A165,NotghiID!A:A,1,FALSE)),1,0)</f>
        <v>0</v>
      </c>
    </row>
    <row r="166" spans="1:17" ht="14.25" x14ac:dyDescent="0.2">
      <c r="A166" s="183">
        <v>230</v>
      </c>
      <c r="B166" s="232" t="str">
        <f>IF(AND(A166&lt;&gt;"",ISNUMBER(A166)),VLOOKUP(A166,Studies!A:BR,2,FALSE),"")</f>
        <v>Hanley 2013</v>
      </c>
      <c r="C166" s="232" t="str">
        <f>IF(AND(A166&lt;&gt;"",ISNUMBER(A166)),VLOOKUP(A166,Studies!A:BR,3,FALSE),"")</f>
        <v>https://www.ncbi.nlm.nih.gov/pubmed/22943633</v>
      </c>
      <c r="D166" s="232" t="str">
        <f>IF(AND(A166&lt;&gt;"",ISNUMBER(A166)),VLOOKUP(A166,Studies!A:BR,4,FALSE),"")</f>
        <v>Control (Perpetrator Placebo)</v>
      </c>
      <c r="E166" s="206" t="str">
        <f>IF(AND(A166&lt;&gt;"",ISNUMBER(A166)),VLOOKUP(A166,Studies!A:BR,5,FALSE),"")</f>
        <v>Buspirone</v>
      </c>
      <c r="F166" s="207" t="str">
        <f>IF(AND(A166&lt;&gt;"",ISNUMBER(A166)),VLOOKUP(A166,Studies!A:BR,6,FALSE),"")</f>
        <v>Plasma</v>
      </c>
      <c r="G166" s="194">
        <v>4</v>
      </c>
      <c r="H166" s="194" t="s">
        <v>60</v>
      </c>
      <c r="I166" s="187">
        <v>0.2552239</v>
      </c>
      <c r="J166" s="187" t="s">
        <v>1026</v>
      </c>
      <c r="K166" s="187" t="s">
        <v>116</v>
      </c>
      <c r="L166" s="195">
        <v>5.149256E-2</v>
      </c>
      <c r="M166" s="195" t="s">
        <v>1026</v>
      </c>
      <c r="N166" s="195" t="s">
        <v>1034</v>
      </c>
      <c r="O166" s="199"/>
      <c r="P166" s="188"/>
      <c r="Q166" s="174">
        <f>IF(ISNUMBER(VLOOKUP(A166,NotghiID!A:A,1,FALSE)),1,0)</f>
        <v>0</v>
      </c>
    </row>
    <row r="167" spans="1:17" ht="14.25" x14ac:dyDescent="0.2">
      <c r="A167" s="183">
        <v>230</v>
      </c>
      <c r="B167" s="232" t="str">
        <f>IF(AND(A167&lt;&gt;"",ISNUMBER(A167)),VLOOKUP(A167,Studies!A:BR,2,FALSE),"")</f>
        <v>Hanley 2013</v>
      </c>
      <c r="C167" s="232" t="str">
        <f>IF(AND(A167&lt;&gt;"",ISNUMBER(A167)),VLOOKUP(A167,Studies!A:BR,3,FALSE),"")</f>
        <v>https://www.ncbi.nlm.nih.gov/pubmed/22943633</v>
      </c>
      <c r="D167" s="232" t="str">
        <f>IF(AND(A167&lt;&gt;"",ISNUMBER(A167)),VLOOKUP(A167,Studies!A:BR,4,FALSE),"")</f>
        <v>Control (Perpetrator Placebo)</v>
      </c>
      <c r="E167" s="206" t="str">
        <f>IF(AND(A167&lt;&gt;"",ISNUMBER(A167)),VLOOKUP(A167,Studies!A:BR,5,FALSE),"")</f>
        <v>Buspirone</v>
      </c>
      <c r="F167" s="207" t="str">
        <f>IF(AND(A167&lt;&gt;"",ISNUMBER(A167)),VLOOKUP(A167,Studies!A:BR,6,FALSE),"")</f>
        <v>Plasma</v>
      </c>
      <c r="G167" s="194">
        <v>5</v>
      </c>
      <c r="H167" s="194" t="s">
        <v>60</v>
      </c>
      <c r="I167" s="187">
        <v>0.1880597</v>
      </c>
      <c r="J167" s="187" t="s">
        <v>1026</v>
      </c>
      <c r="K167" s="187" t="s">
        <v>116</v>
      </c>
      <c r="L167" s="195">
        <v>3.3582090000000002E-2</v>
      </c>
      <c r="M167" s="195" t="s">
        <v>1026</v>
      </c>
      <c r="N167" s="195" t="s">
        <v>1034</v>
      </c>
      <c r="O167" s="199"/>
      <c r="P167" s="188"/>
      <c r="Q167" s="174">
        <f>IF(ISNUMBER(VLOOKUP(A167,NotghiID!A:A,1,FALSE)),1,0)</f>
        <v>0</v>
      </c>
    </row>
    <row r="168" spans="1:17" ht="14.25" x14ac:dyDescent="0.2">
      <c r="A168" s="183">
        <v>230</v>
      </c>
      <c r="B168" s="232" t="str">
        <f>IF(AND(A168&lt;&gt;"",ISNUMBER(A168)),VLOOKUP(A168,Studies!A:BR,2,FALSE),"")</f>
        <v>Hanley 2013</v>
      </c>
      <c r="C168" s="232" t="str">
        <f>IF(AND(A168&lt;&gt;"",ISNUMBER(A168)),VLOOKUP(A168,Studies!A:BR,3,FALSE),"")</f>
        <v>https://www.ncbi.nlm.nih.gov/pubmed/22943633</v>
      </c>
      <c r="D168" s="232" t="str">
        <f>IF(AND(A168&lt;&gt;"",ISNUMBER(A168)),VLOOKUP(A168,Studies!A:BR,4,FALSE),"")</f>
        <v>Control (Perpetrator Placebo)</v>
      </c>
      <c r="E168" s="206" t="str">
        <f>IF(AND(A168&lt;&gt;"",ISNUMBER(A168)),VLOOKUP(A168,Studies!A:BR,5,FALSE),"")</f>
        <v>Buspirone</v>
      </c>
      <c r="F168" s="207" t="str">
        <f>IF(AND(A168&lt;&gt;"",ISNUMBER(A168)),VLOOKUP(A168,Studies!A:BR,6,FALSE),"")</f>
        <v>Plasma</v>
      </c>
      <c r="G168" s="194">
        <v>6</v>
      </c>
      <c r="H168" s="194" t="s">
        <v>60</v>
      </c>
      <c r="I168" s="187">
        <v>0.12537309999999999</v>
      </c>
      <c r="J168" s="187" t="s">
        <v>1026</v>
      </c>
      <c r="K168" s="187" t="s">
        <v>116</v>
      </c>
      <c r="L168" s="195">
        <v>2.2388020000000002E-2</v>
      </c>
      <c r="M168" s="195" t="s">
        <v>1026</v>
      </c>
      <c r="N168" s="195" t="s">
        <v>1034</v>
      </c>
      <c r="O168" s="199"/>
      <c r="P168" s="188"/>
      <c r="Q168" s="174">
        <f>IF(ISNUMBER(VLOOKUP(A168,NotghiID!A:A,1,FALSE)),1,0)</f>
        <v>0</v>
      </c>
    </row>
    <row r="169" spans="1:17" ht="14.25" x14ac:dyDescent="0.2">
      <c r="A169" s="183">
        <v>230</v>
      </c>
      <c r="B169" s="232" t="str">
        <f>IF(AND(A169&lt;&gt;"",ISNUMBER(A169)),VLOOKUP(A169,Studies!A:BR,2,FALSE),"")</f>
        <v>Hanley 2013</v>
      </c>
      <c r="C169" s="232" t="str">
        <f>IF(AND(A169&lt;&gt;"",ISNUMBER(A169)),VLOOKUP(A169,Studies!A:BR,3,FALSE),"")</f>
        <v>https://www.ncbi.nlm.nih.gov/pubmed/22943633</v>
      </c>
      <c r="D169" s="232" t="str">
        <f>IF(AND(A169&lt;&gt;"",ISNUMBER(A169)),VLOOKUP(A169,Studies!A:BR,4,FALSE),"")</f>
        <v>Control (Perpetrator Placebo)</v>
      </c>
      <c r="E169" s="206" t="str">
        <f>IF(AND(A169&lt;&gt;"",ISNUMBER(A169)),VLOOKUP(A169,Studies!A:BR,5,FALSE),"")</f>
        <v>Buspirone</v>
      </c>
      <c r="F169" s="207" t="str">
        <f>IF(AND(A169&lt;&gt;"",ISNUMBER(A169)),VLOOKUP(A169,Studies!A:BR,6,FALSE),"")</f>
        <v>Plasma</v>
      </c>
      <c r="G169" s="194">
        <v>8</v>
      </c>
      <c r="H169" s="194" t="s">
        <v>60</v>
      </c>
      <c r="I169" s="187">
        <v>7.6119400000000004E-2</v>
      </c>
      <c r="J169" s="187" t="s">
        <v>1026</v>
      </c>
      <c r="K169" s="187" t="s">
        <v>116</v>
      </c>
      <c r="L169" s="195">
        <v>1.1194030000000001E-2</v>
      </c>
      <c r="M169" s="195" t="s">
        <v>1026</v>
      </c>
      <c r="N169" s="195" t="s">
        <v>1034</v>
      </c>
      <c r="O169" s="199"/>
      <c r="P169" s="188"/>
      <c r="Q169" s="174">
        <f>IF(ISNUMBER(VLOOKUP(A169,NotghiID!A:A,1,FALSE)),1,0)</f>
        <v>0</v>
      </c>
    </row>
    <row r="170" spans="1:17" ht="14.25" x14ac:dyDescent="0.2">
      <c r="A170" s="183">
        <v>230</v>
      </c>
      <c r="B170" s="232" t="str">
        <f>IF(AND(A170&lt;&gt;"",ISNUMBER(A170)),VLOOKUP(A170,Studies!A:BR,2,FALSE),"")</f>
        <v>Hanley 2013</v>
      </c>
      <c r="C170" s="232" t="str">
        <f>IF(AND(A170&lt;&gt;"",ISNUMBER(A170)),VLOOKUP(A170,Studies!A:BR,3,FALSE),"")</f>
        <v>https://www.ncbi.nlm.nih.gov/pubmed/22943633</v>
      </c>
      <c r="D170" s="232" t="str">
        <f>IF(AND(A170&lt;&gt;"",ISNUMBER(A170)),VLOOKUP(A170,Studies!A:BR,4,FALSE),"")</f>
        <v>Control (Perpetrator Placebo)</v>
      </c>
      <c r="E170" s="206" t="str">
        <f>IF(AND(A170&lt;&gt;"",ISNUMBER(A170)),VLOOKUP(A170,Studies!A:BR,5,FALSE),"")</f>
        <v>Buspirone</v>
      </c>
      <c r="F170" s="207" t="str">
        <f>IF(AND(A170&lt;&gt;"",ISNUMBER(A170)),VLOOKUP(A170,Studies!A:BR,6,FALSE),"")</f>
        <v>Plasma</v>
      </c>
      <c r="G170" s="194">
        <v>10</v>
      </c>
      <c r="H170" s="194" t="s">
        <v>60</v>
      </c>
      <c r="I170" s="187">
        <v>5.1492540000000003E-2</v>
      </c>
      <c r="J170" s="187" t="s">
        <v>1026</v>
      </c>
      <c r="K170" s="187" t="s">
        <v>116</v>
      </c>
      <c r="L170" s="195">
        <v>1.343284E-2</v>
      </c>
      <c r="M170" s="195" t="s">
        <v>1026</v>
      </c>
      <c r="N170" s="195" t="s">
        <v>1034</v>
      </c>
      <c r="O170" s="199"/>
      <c r="P170" s="188"/>
      <c r="Q170" s="174">
        <f>IF(ISNUMBER(VLOOKUP(A170,NotghiID!A:A,1,FALSE)),1,0)</f>
        <v>0</v>
      </c>
    </row>
    <row r="171" spans="1:17" ht="14.25" x14ac:dyDescent="0.2">
      <c r="A171" s="183">
        <v>230</v>
      </c>
      <c r="B171" s="232" t="str">
        <f>IF(AND(A171&lt;&gt;"",ISNUMBER(A171)),VLOOKUP(A171,Studies!A:BR,2,FALSE),"")</f>
        <v>Hanley 2013</v>
      </c>
      <c r="C171" s="232" t="str">
        <f>IF(AND(A171&lt;&gt;"",ISNUMBER(A171)),VLOOKUP(A171,Studies!A:BR,3,FALSE),"")</f>
        <v>https://www.ncbi.nlm.nih.gov/pubmed/22943633</v>
      </c>
      <c r="D171" s="232" t="str">
        <f>IF(AND(A171&lt;&gt;"",ISNUMBER(A171)),VLOOKUP(A171,Studies!A:BR,4,FALSE),"")</f>
        <v>Control (Perpetrator Placebo)</v>
      </c>
      <c r="E171" s="206" t="str">
        <f>IF(AND(A171&lt;&gt;"",ISNUMBER(A171)),VLOOKUP(A171,Studies!A:BR,5,FALSE),"")</f>
        <v>Buspirone</v>
      </c>
      <c r="F171" s="207" t="str">
        <f>IF(AND(A171&lt;&gt;"",ISNUMBER(A171)),VLOOKUP(A171,Studies!A:BR,6,FALSE),"")</f>
        <v>Plasma</v>
      </c>
      <c r="G171" s="194">
        <v>12</v>
      </c>
      <c r="H171" s="194" t="s">
        <v>60</v>
      </c>
      <c r="I171" s="187">
        <v>4.2537310000000002E-2</v>
      </c>
      <c r="J171" s="187" t="s">
        <v>1026</v>
      </c>
      <c r="K171" s="187" t="s">
        <v>116</v>
      </c>
      <c r="L171" s="195">
        <v>1.791044E-2</v>
      </c>
      <c r="M171" s="195" t="s">
        <v>1026</v>
      </c>
      <c r="N171" s="195" t="s">
        <v>1034</v>
      </c>
      <c r="O171" s="199"/>
      <c r="P171" s="188"/>
      <c r="Q171" s="174">
        <f>IF(ISNUMBER(VLOOKUP(A171,NotghiID!A:A,1,FALSE)),1,0)</f>
        <v>0</v>
      </c>
    </row>
    <row r="172" spans="1:17" ht="14.25" x14ac:dyDescent="0.2">
      <c r="A172" s="183">
        <v>317</v>
      </c>
      <c r="B172" s="232" t="str">
        <f>IF(AND(A172&lt;&gt;"",ISNUMBER(A172)),VLOOKUP(A172,Studies!A:BR,2,FALSE),"")</f>
        <v>Kivistö 1997</v>
      </c>
      <c r="C172" s="232" t="str">
        <f>IF(AND(A172&lt;&gt;"",ISNUMBER(A172)),VLOOKUP(A172,Studies!A:BR,3,FALSE),"")</f>
        <v>https://www.ncbi.nlm.nih.gov/pubmed/9333111</v>
      </c>
      <c r="D172" s="232" t="str">
        <f>IF(AND(A172&lt;&gt;"",ISNUMBER(A172)),VLOOKUP(A172,Studies!A:BR,4,FALSE),"")</f>
        <v>Control (Perpetrator Placebo)</v>
      </c>
      <c r="E172" s="206" t="str">
        <f>IF(AND(A172&lt;&gt;"",ISNUMBER(A172)),VLOOKUP(A172,Studies!A:BR,5,FALSE),"")</f>
        <v>Buspirone</v>
      </c>
      <c r="F172" s="207" t="str">
        <f>IF(AND(A172&lt;&gt;"",ISNUMBER(A172)),VLOOKUP(A172,Studies!A:BR,6,FALSE),"")</f>
        <v>Plasma</v>
      </c>
      <c r="G172" s="194">
        <v>0.5</v>
      </c>
      <c r="H172" s="194" t="s">
        <v>60</v>
      </c>
      <c r="I172" s="187">
        <v>0.1161311</v>
      </c>
      <c r="J172" s="187" t="s">
        <v>1026</v>
      </c>
      <c r="K172" s="187" t="s">
        <v>116</v>
      </c>
      <c r="L172" s="195">
        <v>0.1148328</v>
      </c>
      <c r="M172" s="195" t="s">
        <v>1026</v>
      </c>
      <c r="N172" s="195" t="s">
        <v>1034</v>
      </c>
      <c r="O172" s="199"/>
      <c r="P172" s="188"/>
      <c r="Q172" s="174">
        <f>IF(ISNUMBER(VLOOKUP(A172,NotghiID!A:A,1,FALSE)),1,0)</f>
        <v>0</v>
      </c>
    </row>
    <row r="173" spans="1:17" ht="14.25" x14ac:dyDescent="0.2">
      <c r="A173" s="183">
        <v>317</v>
      </c>
      <c r="B173" s="232" t="str">
        <f>IF(AND(A173&lt;&gt;"",ISNUMBER(A173)),VLOOKUP(A173,Studies!A:BR,2,FALSE),"")</f>
        <v>Kivistö 1997</v>
      </c>
      <c r="C173" s="232" t="str">
        <f>IF(AND(A173&lt;&gt;"",ISNUMBER(A173)),VLOOKUP(A173,Studies!A:BR,3,FALSE),"")</f>
        <v>https://www.ncbi.nlm.nih.gov/pubmed/9333111</v>
      </c>
      <c r="D173" s="232" t="str">
        <f>IF(AND(A173&lt;&gt;"",ISNUMBER(A173)),VLOOKUP(A173,Studies!A:BR,4,FALSE),"")</f>
        <v>Control (Perpetrator Placebo)</v>
      </c>
      <c r="E173" s="206" t="str">
        <f>IF(AND(A173&lt;&gt;"",ISNUMBER(A173)),VLOOKUP(A173,Studies!A:BR,5,FALSE),"")</f>
        <v>Buspirone</v>
      </c>
      <c r="F173" s="207" t="str">
        <f>IF(AND(A173&lt;&gt;"",ISNUMBER(A173)),VLOOKUP(A173,Studies!A:BR,6,FALSE),"")</f>
        <v>Plasma</v>
      </c>
      <c r="G173" s="194">
        <v>1</v>
      </c>
      <c r="H173" s="194" t="s">
        <v>60</v>
      </c>
      <c r="I173" s="187">
        <v>0.40374199999999999</v>
      </c>
      <c r="J173" s="187" t="s">
        <v>1026</v>
      </c>
      <c r="K173" s="187" t="s">
        <v>116</v>
      </c>
      <c r="L173" s="195">
        <v>0.17224919999999999</v>
      </c>
      <c r="M173" s="195" t="s">
        <v>1026</v>
      </c>
      <c r="N173" s="195" t="s">
        <v>1034</v>
      </c>
      <c r="O173" s="199"/>
      <c r="P173" s="188"/>
      <c r="Q173" s="174">
        <f>IF(ISNUMBER(VLOOKUP(A173,NotghiID!A:A,1,FALSE)),1,0)</f>
        <v>0</v>
      </c>
    </row>
    <row r="174" spans="1:17" ht="14.25" x14ac:dyDescent="0.2">
      <c r="A174" s="183">
        <v>317</v>
      </c>
      <c r="B174" s="232" t="str">
        <f>IF(AND(A174&lt;&gt;"",ISNUMBER(A174)),VLOOKUP(A174,Studies!A:BR,2,FALSE),"")</f>
        <v>Kivistö 1997</v>
      </c>
      <c r="C174" s="232" t="str">
        <f>IF(AND(A174&lt;&gt;"",ISNUMBER(A174)),VLOOKUP(A174,Studies!A:BR,3,FALSE),"")</f>
        <v>https://www.ncbi.nlm.nih.gov/pubmed/9333111</v>
      </c>
      <c r="D174" s="232" t="str">
        <f>IF(AND(A174&lt;&gt;"",ISNUMBER(A174)),VLOOKUP(A174,Studies!A:BR,4,FALSE),"")</f>
        <v>Control (Perpetrator Placebo)</v>
      </c>
      <c r="E174" s="206" t="str">
        <f>IF(AND(A174&lt;&gt;"",ISNUMBER(A174)),VLOOKUP(A174,Studies!A:BR,5,FALSE),"")</f>
        <v>Buspirone</v>
      </c>
      <c r="F174" s="207" t="str">
        <f>IF(AND(A174&lt;&gt;"",ISNUMBER(A174)),VLOOKUP(A174,Studies!A:BR,6,FALSE),"")</f>
        <v>Plasma</v>
      </c>
      <c r="G174" s="194">
        <v>1.5</v>
      </c>
      <c r="H174" s="194" t="s">
        <v>60</v>
      </c>
      <c r="I174" s="187">
        <v>0.4234098</v>
      </c>
      <c r="J174" s="187" t="s">
        <v>1026</v>
      </c>
      <c r="K174" s="187" t="s">
        <v>116</v>
      </c>
      <c r="L174" s="195">
        <v>0.1148327</v>
      </c>
      <c r="M174" s="195" t="s">
        <v>1026</v>
      </c>
      <c r="N174" s="195" t="s">
        <v>1034</v>
      </c>
      <c r="O174" s="199"/>
      <c r="P174" s="188"/>
      <c r="Q174" s="174">
        <f>IF(ISNUMBER(VLOOKUP(A174,NotghiID!A:A,1,FALSE)),1,0)</f>
        <v>0</v>
      </c>
    </row>
    <row r="175" spans="1:17" ht="14.25" x14ac:dyDescent="0.2">
      <c r="A175" s="183">
        <v>317</v>
      </c>
      <c r="B175" s="232" t="str">
        <f>IF(AND(A175&lt;&gt;"",ISNUMBER(A175)),VLOOKUP(A175,Studies!A:BR,2,FALSE),"")</f>
        <v>Kivistö 1997</v>
      </c>
      <c r="C175" s="232" t="str">
        <f>IF(AND(A175&lt;&gt;"",ISNUMBER(A175)),VLOOKUP(A175,Studies!A:BR,3,FALSE),"")</f>
        <v>https://www.ncbi.nlm.nih.gov/pubmed/9333111</v>
      </c>
      <c r="D175" s="232" t="str">
        <f>IF(AND(A175&lt;&gt;"",ISNUMBER(A175)),VLOOKUP(A175,Studies!A:BR,4,FALSE),"")</f>
        <v>Control (Perpetrator Placebo)</v>
      </c>
      <c r="E175" s="206" t="str">
        <f>IF(AND(A175&lt;&gt;"",ISNUMBER(A175)),VLOOKUP(A175,Studies!A:BR,5,FALSE),"")</f>
        <v>Buspirone</v>
      </c>
      <c r="F175" s="207" t="str">
        <f>IF(AND(A175&lt;&gt;"",ISNUMBER(A175)),VLOOKUP(A175,Studies!A:BR,6,FALSE),"")</f>
        <v>Plasma</v>
      </c>
      <c r="G175" s="194">
        <v>2</v>
      </c>
      <c r="H175" s="194" t="s">
        <v>60</v>
      </c>
      <c r="I175" s="187">
        <v>0.51963269999999995</v>
      </c>
      <c r="J175" s="187" t="s">
        <v>1026</v>
      </c>
      <c r="K175" s="187" t="s">
        <v>116</v>
      </c>
      <c r="L175" s="195">
        <v>0.1148568</v>
      </c>
      <c r="M175" s="195" t="s">
        <v>1026</v>
      </c>
      <c r="N175" s="195" t="s">
        <v>1034</v>
      </c>
      <c r="O175" s="199"/>
      <c r="P175" s="188"/>
      <c r="Q175" s="174">
        <f>IF(ISNUMBER(VLOOKUP(A175,NotghiID!A:A,1,FALSE)),1,0)</f>
        <v>0</v>
      </c>
    </row>
    <row r="176" spans="1:17" ht="14.25" x14ac:dyDescent="0.2">
      <c r="A176" s="183">
        <v>317</v>
      </c>
      <c r="B176" s="232" t="str">
        <f>IF(AND(A176&lt;&gt;"",ISNUMBER(A176)),VLOOKUP(A176,Studies!A:BR,2,FALSE),"")</f>
        <v>Kivistö 1997</v>
      </c>
      <c r="C176" s="232" t="str">
        <f>IF(AND(A176&lt;&gt;"",ISNUMBER(A176)),VLOOKUP(A176,Studies!A:BR,3,FALSE),"")</f>
        <v>https://www.ncbi.nlm.nih.gov/pubmed/9333111</v>
      </c>
      <c r="D176" s="232" t="str">
        <f>IF(AND(A176&lt;&gt;"",ISNUMBER(A176)),VLOOKUP(A176,Studies!A:BR,4,FALSE),"")</f>
        <v>Control (Perpetrator Placebo)</v>
      </c>
      <c r="E176" s="206" t="str">
        <f>IF(AND(A176&lt;&gt;"",ISNUMBER(A176)),VLOOKUP(A176,Studies!A:BR,5,FALSE),"")</f>
        <v>Buspirone</v>
      </c>
      <c r="F176" s="207" t="str">
        <f>IF(AND(A176&lt;&gt;"",ISNUMBER(A176)),VLOOKUP(A176,Studies!A:BR,6,FALSE),"")</f>
        <v>Plasma</v>
      </c>
      <c r="G176" s="194">
        <v>3</v>
      </c>
      <c r="H176" s="194" t="s">
        <v>60</v>
      </c>
      <c r="I176" s="187">
        <v>0.78860969999999997</v>
      </c>
      <c r="J176" s="187" t="s">
        <v>1026</v>
      </c>
      <c r="K176" s="187" t="s">
        <v>116</v>
      </c>
      <c r="L176" s="195">
        <v>0.34449829999999998</v>
      </c>
      <c r="M176" s="195" t="s">
        <v>1026</v>
      </c>
      <c r="N176" s="195" t="s">
        <v>1034</v>
      </c>
      <c r="O176" s="199"/>
      <c r="P176" s="188"/>
      <c r="Q176" s="174">
        <f>IF(ISNUMBER(VLOOKUP(A176,NotghiID!A:A,1,FALSE)),1,0)</f>
        <v>0</v>
      </c>
    </row>
    <row r="177" spans="1:17" ht="14.25" x14ac:dyDescent="0.2">
      <c r="A177" s="183">
        <v>317</v>
      </c>
      <c r="B177" s="232" t="str">
        <f>IF(AND(A177&lt;&gt;"",ISNUMBER(A177)),VLOOKUP(A177,Studies!A:BR,2,FALSE),"")</f>
        <v>Kivistö 1997</v>
      </c>
      <c r="C177" s="232" t="str">
        <f>IF(AND(A177&lt;&gt;"",ISNUMBER(A177)),VLOOKUP(A177,Studies!A:BR,3,FALSE),"")</f>
        <v>https://www.ncbi.nlm.nih.gov/pubmed/9333111</v>
      </c>
      <c r="D177" s="232" t="str">
        <f>IF(AND(A177&lt;&gt;"",ISNUMBER(A177)),VLOOKUP(A177,Studies!A:BR,4,FALSE),"")</f>
        <v>Control (Perpetrator Placebo)</v>
      </c>
      <c r="E177" s="206" t="str">
        <f>IF(AND(A177&lt;&gt;"",ISNUMBER(A177)),VLOOKUP(A177,Studies!A:BR,5,FALSE),"")</f>
        <v>Buspirone</v>
      </c>
      <c r="F177" s="207" t="str">
        <f>IF(AND(A177&lt;&gt;"",ISNUMBER(A177)),VLOOKUP(A177,Studies!A:BR,6,FALSE),"")</f>
        <v>Plasma</v>
      </c>
      <c r="G177" s="194">
        <v>4</v>
      </c>
      <c r="H177" s="194" t="s">
        <v>60</v>
      </c>
      <c r="I177" s="187">
        <v>0.57916489999999998</v>
      </c>
      <c r="J177" s="187" t="s">
        <v>1026</v>
      </c>
      <c r="K177" s="187" t="s">
        <v>116</v>
      </c>
      <c r="L177" s="195">
        <v>0.36361310000000002</v>
      </c>
      <c r="M177" s="195" t="s">
        <v>1026</v>
      </c>
      <c r="N177" s="195" t="s">
        <v>1034</v>
      </c>
      <c r="O177" s="199"/>
      <c r="P177" s="188"/>
      <c r="Q177" s="174">
        <f>IF(ISNUMBER(VLOOKUP(A177,NotghiID!A:A,1,FALSE)),1,0)</f>
        <v>0</v>
      </c>
    </row>
    <row r="178" spans="1:17" ht="14.25" x14ac:dyDescent="0.2">
      <c r="A178" s="183">
        <v>317</v>
      </c>
      <c r="B178" s="232" t="str">
        <f>IF(AND(A178&lt;&gt;"",ISNUMBER(A178)),VLOOKUP(A178,Studies!A:BR,2,FALSE),"")</f>
        <v>Kivistö 1997</v>
      </c>
      <c r="C178" s="232" t="str">
        <f>IF(AND(A178&lt;&gt;"",ISNUMBER(A178)),VLOOKUP(A178,Studies!A:BR,3,FALSE),"")</f>
        <v>https://www.ncbi.nlm.nih.gov/pubmed/9333111</v>
      </c>
      <c r="D178" s="232" t="str">
        <f>IF(AND(A178&lt;&gt;"",ISNUMBER(A178)),VLOOKUP(A178,Studies!A:BR,4,FALSE),"")</f>
        <v>Control (Perpetrator Placebo)</v>
      </c>
      <c r="E178" s="206" t="str">
        <f>IF(AND(A178&lt;&gt;"",ISNUMBER(A178)),VLOOKUP(A178,Studies!A:BR,5,FALSE),"")</f>
        <v>Buspirone</v>
      </c>
      <c r="F178" s="207" t="str">
        <f>IF(AND(A178&lt;&gt;"",ISNUMBER(A178)),VLOOKUP(A178,Studies!A:BR,6,FALSE),"")</f>
        <v>Plasma</v>
      </c>
      <c r="G178" s="194">
        <v>5</v>
      </c>
      <c r="H178" s="194" t="s">
        <v>60</v>
      </c>
      <c r="I178" s="187">
        <v>0.42711250000000001</v>
      </c>
      <c r="J178" s="187" t="s">
        <v>1026</v>
      </c>
      <c r="K178" s="187" t="s">
        <v>116</v>
      </c>
      <c r="L178" s="195">
        <v>0.22968959999999999</v>
      </c>
      <c r="M178" s="195" t="s">
        <v>1026</v>
      </c>
      <c r="N178" s="195" t="s">
        <v>1034</v>
      </c>
      <c r="O178" s="199"/>
      <c r="P178" s="188"/>
      <c r="Q178" s="174">
        <f>IF(ISNUMBER(VLOOKUP(A178,NotghiID!A:A,1,FALSE)),1,0)</f>
        <v>0</v>
      </c>
    </row>
    <row r="179" spans="1:17" ht="14.25" x14ac:dyDescent="0.2">
      <c r="A179" s="183">
        <v>317</v>
      </c>
      <c r="B179" s="232" t="str">
        <f>IF(AND(A179&lt;&gt;"",ISNUMBER(A179)),VLOOKUP(A179,Studies!A:BR,2,FALSE),"")</f>
        <v>Kivistö 1997</v>
      </c>
      <c r="C179" s="232" t="str">
        <f>IF(AND(A179&lt;&gt;"",ISNUMBER(A179)),VLOOKUP(A179,Studies!A:BR,3,FALSE),"")</f>
        <v>https://www.ncbi.nlm.nih.gov/pubmed/9333111</v>
      </c>
      <c r="D179" s="232" t="str">
        <f>IF(AND(A179&lt;&gt;"",ISNUMBER(A179)),VLOOKUP(A179,Studies!A:BR,4,FALSE),"")</f>
        <v>Control (Perpetrator Placebo)</v>
      </c>
      <c r="E179" s="206" t="str">
        <f>IF(AND(A179&lt;&gt;"",ISNUMBER(A179)),VLOOKUP(A179,Studies!A:BR,5,FALSE),"")</f>
        <v>Buspirone</v>
      </c>
      <c r="F179" s="207" t="str">
        <f>IF(AND(A179&lt;&gt;"",ISNUMBER(A179)),VLOOKUP(A179,Studies!A:BR,6,FALSE),"")</f>
        <v>Plasma</v>
      </c>
      <c r="G179" s="194">
        <v>6</v>
      </c>
      <c r="H179" s="194" t="s">
        <v>60</v>
      </c>
      <c r="I179" s="187">
        <v>0.29419879999999998</v>
      </c>
      <c r="J179" s="187" t="s">
        <v>1026</v>
      </c>
      <c r="K179" s="187" t="s">
        <v>116</v>
      </c>
      <c r="L179" s="195">
        <v>0.1339957</v>
      </c>
      <c r="M179" s="195" t="s">
        <v>1026</v>
      </c>
      <c r="N179" s="195" t="s">
        <v>1034</v>
      </c>
      <c r="O179" s="199"/>
      <c r="P179" s="188"/>
      <c r="Q179" s="174">
        <f>IF(ISNUMBER(VLOOKUP(A179,NotghiID!A:A,1,FALSE)),1,0)</f>
        <v>0</v>
      </c>
    </row>
    <row r="180" spans="1:17" ht="14.25" x14ac:dyDescent="0.2">
      <c r="A180" s="183">
        <v>317</v>
      </c>
      <c r="B180" s="232" t="str">
        <f>IF(AND(A180&lt;&gt;"",ISNUMBER(A180)),VLOOKUP(A180,Studies!A:BR,2,FALSE),"")</f>
        <v>Kivistö 1997</v>
      </c>
      <c r="C180" s="232" t="str">
        <f>IF(AND(A180&lt;&gt;"",ISNUMBER(A180)),VLOOKUP(A180,Studies!A:BR,3,FALSE),"")</f>
        <v>https://www.ncbi.nlm.nih.gov/pubmed/9333111</v>
      </c>
      <c r="D180" s="232" t="str">
        <f>IF(AND(A180&lt;&gt;"",ISNUMBER(A180)),VLOOKUP(A180,Studies!A:BR,4,FALSE),"")</f>
        <v>Control (Perpetrator Placebo)</v>
      </c>
      <c r="E180" s="206" t="str">
        <f>IF(AND(A180&lt;&gt;"",ISNUMBER(A180)),VLOOKUP(A180,Studies!A:BR,5,FALSE),"")</f>
        <v>Buspirone</v>
      </c>
      <c r="F180" s="207" t="str">
        <f>IF(AND(A180&lt;&gt;"",ISNUMBER(A180)),VLOOKUP(A180,Studies!A:BR,6,FALSE),"")</f>
        <v>Plasma</v>
      </c>
      <c r="G180" s="194">
        <v>8</v>
      </c>
      <c r="H180" s="194" t="s">
        <v>60</v>
      </c>
      <c r="I180" s="187">
        <v>0.14320430000000001</v>
      </c>
      <c r="J180" s="187" t="s">
        <v>1026</v>
      </c>
      <c r="K180" s="187" t="s">
        <v>116</v>
      </c>
      <c r="L180" s="195">
        <v>0.21055080000000001</v>
      </c>
      <c r="M180" s="195" t="s">
        <v>1026</v>
      </c>
      <c r="N180" s="195" t="s">
        <v>1034</v>
      </c>
      <c r="O180" s="199"/>
      <c r="P180" s="188"/>
      <c r="Q180" s="174">
        <f>IF(ISNUMBER(VLOOKUP(A180,NotghiID!A:A,1,FALSE)),1,0)</f>
        <v>0</v>
      </c>
    </row>
    <row r="181" spans="1:17" ht="14.25" x14ac:dyDescent="0.2">
      <c r="A181" s="183">
        <v>317</v>
      </c>
      <c r="B181" s="232" t="str">
        <f>IF(AND(A181&lt;&gt;"",ISNUMBER(A181)),VLOOKUP(A181,Studies!A:BR,2,FALSE),"")</f>
        <v>Kivistö 1997</v>
      </c>
      <c r="C181" s="232" t="str">
        <f>IF(AND(A181&lt;&gt;"",ISNUMBER(A181)),VLOOKUP(A181,Studies!A:BR,3,FALSE),"")</f>
        <v>https://www.ncbi.nlm.nih.gov/pubmed/9333111</v>
      </c>
      <c r="D181" s="232" t="str">
        <f>IF(AND(A181&lt;&gt;"",ISNUMBER(A181)),VLOOKUP(A181,Studies!A:BR,4,FALSE),"")</f>
        <v>Control (Perpetrator Placebo)</v>
      </c>
      <c r="E181" s="206" t="str">
        <f>IF(AND(A181&lt;&gt;"",ISNUMBER(A181)),VLOOKUP(A181,Studies!A:BR,5,FALSE),"")</f>
        <v>Buspirone</v>
      </c>
      <c r="F181" s="207" t="str">
        <f>IF(AND(A181&lt;&gt;"",ISNUMBER(A181)),VLOOKUP(A181,Studies!A:BR,6,FALSE),"")</f>
        <v>Plasma</v>
      </c>
      <c r="G181" s="194">
        <v>18</v>
      </c>
      <c r="H181" s="194" t="s">
        <v>60</v>
      </c>
      <c r="I181" s="187">
        <v>1.988415E-2</v>
      </c>
      <c r="J181" s="187" t="s">
        <v>1026</v>
      </c>
      <c r="K181" s="187" t="s">
        <v>116</v>
      </c>
      <c r="L181" s="195">
        <v>0.1339716</v>
      </c>
      <c r="M181" s="195" t="s">
        <v>1026</v>
      </c>
      <c r="N181" s="195" t="s">
        <v>1034</v>
      </c>
      <c r="O181" s="199"/>
      <c r="P181" s="188"/>
      <c r="Q181" s="174">
        <f>IF(ISNUMBER(VLOOKUP(A181,NotghiID!A:A,1,FALSE)),1,0)</f>
        <v>0</v>
      </c>
    </row>
    <row r="182" spans="1:17" ht="14.25" x14ac:dyDescent="0.2">
      <c r="A182" s="183">
        <v>318</v>
      </c>
      <c r="B182" s="232" t="str">
        <f>IF(AND(A182&lt;&gt;"",ISNUMBER(A182)),VLOOKUP(A182,Studies!A:BR,2,FALSE),"")</f>
        <v>Kivistö 1997</v>
      </c>
      <c r="C182" s="232" t="str">
        <f>IF(AND(A182&lt;&gt;"",ISNUMBER(A182)),VLOOKUP(A182,Studies!A:BR,3,FALSE),"")</f>
        <v>https://www.ncbi.nlm.nih.gov/pubmed/9333111</v>
      </c>
      <c r="D182" s="232" t="str">
        <f>IF(AND(A182&lt;&gt;"",ISNUMBER(A182)),VLOOKUP(A182,Studies!A:BR,4,FALSE),"")</f>
        <v>with Perpetrator (Erythromycin)</v>
      </c>
      <c r="E182" s="206" t="str">
        <f>IF(AND(A182&lt;&gt;"",ISNUMBER(A182)),VLOOKUP(A182,Studies!A:BR,5,FALSE),"")</f>
        <v>Buspirone</v>
      </c>
      <c r="F182" s="207" t="str">
        <f>IF(AND(A182&lt;&gt;"",ISNUMBER(A182)),VLOOKUP(A182,Studies!A:BR,6,FALSE),"")</f>
        <v>Plasma</v>
      </c>
      <c r="G182" s="194">
        <v>79.5</v>
      </c>
      <c r="H182" s="194" t="s">
        <v>60</v>
      </c>
      <c r="I182" s="187">
        <v>2.2979539999999998</v>
      </c>
      <c r="J182" s="187" t="s">
        <v>1026</v>
      </c>
      <c r="K182" s="187" t="s">
        <v>116</v>
      </c>
      <c r="L182" s="195">
        <v>0.93780039999999998</v>
      </c>
      <c r="M182" s="195" t="s">
        <v>1026</v>
      </c>
      <c r="N182" s="195" t="s">
        <v>1034</v>
      </c>
      <c r="O182" s="199"/>
      <c r="P182" s="188"/>
      <c r="Q182" s="174">
        <f>IF(ISNUMBER(VLOOKUP(A182,NotghiID!A:A,1,FALSE)),1,0)</f>
        <v>0</v>
      </c>
    </row>
    <row r="183" spans="1:17" ht="14.25" x14ac:dyDescent="0.2">
      <c r="A183" s="183">
        <v>318</v>
      </c>
      <c r="B183" s="232" t="str">
        <f>IF(AND(A183&lt;&gt;"",ISNUMBER(A183)),VLOOKUP(A183,Studies!A:BR,2,FALSE),"")</f>
        <v>Kivistö 1997</v>
      </c>
      <c r="C183" s="232" t="str">
        <f>IF(AND(A183&lt;&gt;"",ISNUMBER(A183)),VLOOKUP(A183,Studies!A:BR,3,FALSE),"")</f>
        <v>https://www.ncbi.nlm.nih.gov/pubmed/9333111</v>
      </c>
      <c r="D183" s="232" t="str">
        <f>IF(AND(A183&lt;&gt;"",ISNUMBER(A183)),VLOOKUP(A183,Studies!A:BR,4,FALSE),"")</f>
        <v>with Perpetrator (Erythromycin)</v>
      </c>
      <c r="E183" s="206" t="str">
        <f>IF(AND(A183&lt;&gt;"",ISNUMBER(A183)),VLOOKUP(A183,Studies!A:BR,5,FALSE),"")</f>
        <v>Buspirone</v>
      </c>
      <c r="F183" s="207" t="str">
        <f>IF(AND(A183&lt;&gt;"",ISNUMBER(A183)),VLOOKUP(A183,Studies!A:BR,6,FALSE),"")</f>
        <v>Plasma</v>
      </c>
      <c r="G183" s="194">
        <v>80</v>
      </c>
      <c r="H183" s="194" t="s">
        <v>60</v>
      </c>
      <c r="I183" s="187">
        <v>3.4276710000000001</v>
      </c>
      <c r="J183" s="187" t="s">
        <v>1026</v>
      </c>
      <c r="K183" s="187" t="s">
        <v>116</v>
      </c>
      <c r="L183" s="195">
        <v>0.5358868</v>
      </c>
      <c r="M183" s="195" t="s">
        <v>1026</v>
      </c>
      <c r="N183" s="195" t="s">
        <v>1034</v>
      </c>
      <c r="O183" s="199"/>
      <c r="P183" s="188"/>
      <c r="Q183" s="174">
        <f>IF(ISNUMBER(VLOOKUP(A183,NotghiID!A:A,1,FALSE)),1,0)</f>
        <v>0</v>
      </c>
    </row>
    <row r="184" spans="1:17" ht="14.25" x14ac:dyDescent="0.2">
      <c r="A184" s="183">
        <v>318</v>
      </c>
      <c r="B184" s="232" t="str">
        <f>IF(AND(A184&lt;&gt;"",ISNUMBER(A184)),VLOOKUP(A184,Studies!A:BR,2,FALSE),"")</f>
        <v>Kivistö 1997</v>
      </c>
      <c r="C184" s="232" t="str">
        <f>IF(AND(A184&lt;&gt;"",ISNUMBER(A184)),VLOOKUP(A184,Studies!A:BR,3,FALSE),"")</f>
        <v>https://www.ncbi.nlm.nih.gov/pubmed/9333111</v>
      </c>
      <c r="D184" s="232" t="str">
        <f>IF(AND(A184&lt;&gt;"",ISNUMBER(A184)),VLOOKUP(A184,Studies!A:BR,4,FALSE),"")</f>
        <v>with Perpetrator (Erythromycin)</v>
      </c>
      <c r="E184" s="206" t="str">
        <f>IF(AND(A184&lt;&gt;"",ISNUMBER(A184)),VLOOKUP(A184,Studies!A:BR,5,FALSE),"")</f>
        <v>Buspirone</v>
      </c>
      <c r="F184" s="207" t="str">
        <f>IF(AND(A184&lt;&gt;"",ISNUMBER(A184)),VLOOKUP(A184,Studies!A:BR,6,FALSE),"")</f>
        <v>Plasma</v>
      </c>
      <c r="G184" s="194">
        <v>80.5</v>
      </c>
      <c r="H184" s="194" t="s">
        <v>60</v>
      </c>
      <c r="I184" s="187">
        <v>4.270308</v>
      </c>
      <c r="J184" s="187" t="s">
        <v>1026</v>
      </c>
      <c r="K184" s="187" t="s">
        <v>116</v>
      </c>
      <c r="L184" s="195">
        <v>0.76550289999999999</v>
      </c>
      <c r="M184" s="195" t="s">
        <v>1026</v>
      </c>
      <c r="N184" s="195" t="s">
        <v>1034</v>
      </c>
      <c r="O184" s="199"/>
      <c r="P184" s="188"/>
      <c r="Q184" s="174">
        <f>IF(ISNUMBER(VLOOKUP(A184,NotghiID!A:A,1,FALSE)),1,0)</f>
        <v>0</v>
      </c>
    </row>
    <row r="185" spans="1:17" ht="14.25" x14ac:dyDescent="0.2">
      <c r="A185" s="183">
        <v>318</v>
      </c>
      <c r="B185" s="232" t="str">
        <f>IF(AND(A185&lt;&gt;"",ISNUMBER(A185)),VLOOKUP(A185,Studies!A:BR,2,FALSE),"")</f>
        <v>Kivistö 1997</v>
      </c>
      <c r="C185" s="232" t="str">
        <f>IF(AND(A185&lt;&gt;"",ISNUMBER(A185)),VLOOKUP(A185,Studies!A:BR,3,FALSE),"")</f>
        <v>https://www.ncbi.nlm.nih.gov/pubmed/9333111</v>
      </c>
      <c r="D185" s="232" t="str">
        <f>IF(AND(A185&lt;&gt;"",ISNUMBER(A185)),VLOOKUP(A185,Studies!A:BR,4,FALSE),"")</f>
        <v>with Perpetrator (Erythromycin)</v>
      </c>
      <c r="E185" s="206" t="str">
        <f>IF(AND(A185&lt;&gt;"",ISNUMBER(A185)),VLOOKUP(A185,Studies!A:BR,5,FALSE),"")</f>
        <v>Buspirone</v>
      </c>
      <c r="F185" s="207" t="str">
        <f>IF(AND(A185&lt;&gt;"",ISNUMBER(A185)),VLOOKUP(A185,Studies!A:BR,6,FALSE),"")</f>
        <v>Plasma</v>
      </c>
      <c r="G185" s="194">
        <v>81</v>
      </c>
      <c r="H185" s="194" t="s">
        <v>60</v>
      </c>
      <c r="I185" s="187">
        <v>3.9263379999999999</v>
      </c>
      <c r="J185" s="187" t="s">
        <v>1026</v>
      </c>
      <c r="K185" s="187" t="s">
        <v>116</v>
      </c>
      <c r="L185" s="195">
        <v>0.861294</v>
      </c>
      <c r="M185" s="195" t="s">
        <v>1026</v>
      </c>
      <c r="N185" s="195" t="s">
        <v>1034</v>
      </c>
      <c r="O185" s="199"/>
      <c r="P185" s="188"/>
      <c r="Q185" s="174">
        <f>IF(ISNUMBER(VLOOKUP(A185,NotghiID!A:A,1,FALSE)),1,0)</f>
        <v>0</v>
      </c>
    </row>
    <row r="186" spans="1:17" ht="14.25" x14ac:dyDescent="0.2">
      <c r="A186" s="183">
        <v>318</v>
      </c>
      <c r="B186" s="232" t="str">
        <f>IF(AND(A186&lt;&gt;"",ISNUMBER(A186)),VLOOKUP(A186,Studies!A:BR,2,FALSE),"")</f>
        <v>Kivistö 1997</v>
      </c>
      <c r="C186" s="232" t="str">
        <f>IF(AND(A186&lt;&gt;"",ISNUMBER(A186)),VLOOKUP(A186,Studies!A:BR,3,FALSE),"")</f>
        <v>https://www.ncbi.nlm.nih.gov/pubmed/9333111</v>
      </c>
      <c r="D186" s="232" t="str">
        <f>IF(AND(A186&lt;&gt;"",ISNUMBER(A186)),VLOOKUP(A186,Studies!A:BR,4,FALSE),"")</f>
        <v>with Perpetrator (Erythromycin)</v>
      </c>
      <c r="E186" s="206" t="str">
        <f>IF(AND(A186&lt;&gt;"",ISNUMBER(A186)),VLOOKUP(A186,Studies!A:BR,5,FALSE),"")</f>
        <v>Buspirone</v>
      </c>
      <c r="F186" s="207" t="str">
        <f>IF(AND(A186&lt;&gt;"",ISNUMBER(A186)),VLOOKUP(A186,Studies!A:BR,6,FALSE),"")</f>
        <v>Plasma</v>
      </c>
      <c r="G186" s="194">
        <v>82</v>
      </c>
      <c r="H186" s="194" t="s">
        <v>60</v>
      </c>
      <c r="I186" s="187">
        <v>3.027873</v>
      </c>
      <c r="J186" s="187" t="s">
        <v>1026</v>
      </c>
      <c r="K186" s="187" t="s">
        <v>116</v>
      </c>
      <c r="L186" s="195">
        <v>0.7272499</v>
      </c>
      <c r="M186" s="195" t="s">
        <v>1026</v>
      </c>
      <c r="N186" s="195" t="s">
        <v>1034</v>
      </c>
      <c r="O186" s="199"/>
      <c r="P186" s="188"/>
      <c r="Q186" s="174">
        <f>IF(ISNUMBER(VLOOKUP(A186,NotghiID!A:A,1,FALSE)),1,0)</f>
        <v>0</v>
      </c>
    </row>
    <row r="187" spans="1:17" ht="14.25" x14ac:dyDescent="0.2">
      <c r="A187" s="183">
        <v>318</v>
      </c>
      <c r="B187" s="232" t="str">
        <f>IF(AND(A187&lt;&gt;"",ISNUMBER(A187)),VLOOKUP(A187,Studies!A:BR,2,FALSE),"")</f>
        <v>Kivistö 1997</v>
      </c>
      <c r="C187" s="232" t="str">
        <f>IF(AND(A187&lt;&gt;"",ISNUMBER(A187)),VLOOKUP(A187,Studies!A:BR,3,FALSE),"")</f>
        <v>https://www.ncbi.nlm.nih.gov/pubmed/9333111</v>
      </c>
      <c r="D187" s="232" t="str">
        <f>IF(AND(A187&lt;&gt;"",ISNUMBER(A187)),VLOOKUP(A187,Studies!A:BR,4,FALSE),"")</f>
        <v>with Perpetrator (Erythromycin)</v>
      </c>
      <c r="E187" s="206" t="str">
        <f>IF(AND(A187&lt;&gt;"",ISNUMBER(A187)),VLOOKUP(A187,Studies!A:BR,5,FALSE),"")</f>
        <v>Buspirone</v>
      </c>
      <c r="F187" s="207" t="str">
        <f>IF(AND(A187&lt;&gt;"",ISNUMBER(A187)),VLOOKUP(A187,Studies!A:BR,6,FALSE),"")</f>
        <v>Plasma</v>
      </c>
      <c r="G187" s="194">
        <v>83</v>
      </c>
      <c r="H187" s="194" t="s">
        <v>60</v>
      </c>
      <c r="I187" s="187">
        <v>1.842325</v>
      </c>
      <c r="J187" s="187" t="s">
        <v>1026</v>
      </c>
      <c r="K187" s="187" t="s">
        <v>116</v>
      </c>
      <c r="L187" s="195">
        <v>0.5167718</v>
      </c>
      <c r="M187" s="195" t="s">
        <v>1026</v>
      </c>
      <c r="N187" s="195" t="s">
        <v>1034</v>
      </c>
      <c r="O187" s="199"/>
      <c r="P187" s="188"/>
      <c r="Q187" s="174">
        <f>IF(ISNUMBER(VLOOKUP(A187,NotghiID!A:A,1,FALSE)),1,0)</f>
        <v>0</v>
      </c>
    </row>
    <row r="188" spans="1:17" ht="14.25" x14ac:dyDescent="0.2">
      <c r="A188" s="183">
        <v>318</v>
      </c>
      <c r="B188" s="232" t="str">
        <f>IF(AND(A188&lt;&gt;"",ISNUMBER(A188)),VLOOKUP(A188,Studies!A:BR,2,FALSE),"")</f>
        <v>Kivistö 1997</v>
      </c>
      <c r="C188" s="232" t="str">
        <f>IF(AND(A188&lt;&gt;"",ISNUMBER(A188)),VLOOKUP(A188,Studies!A:BR,3,FALSE),"")</f>
        <v>https://www.ncbi.nlm.nih.gov/pubmed/9333111</v>
      </c>
      <c r="D188" s="232" t="str">
        <f>IF(AND(A188&lt;&gt;"",ISNUMBER(A188)),VLOOKUP(A188,Studies!A:BR,4,FALSE),"")</f>
        <v>with Perpetrator (Erythromycin)</v>
      </c>
      <c r="E188" s="206" t="str">
        <f>IF(AND(A188&lt;&gt;"",ISNUMBER(A188)),VLOOKUP(A188,Studies!A:BR,5,FALSE),"")</f>
        <v>Buspirone</v>
      </c>
      <c r="F188" s="207" t="str">
        <f>IF(AND(A188&lt;&gt;"",ISNUMBER(A188)),VLOOKUP(A188,Studies!A:BR,6,FALSE),"")</f>
        <v>Plasma</v>
      </c>
      <c r="G188" s="194">
        <v>84</v>
      </c>
      <c r="H188" s="194" t="s">
        <v>60</v>
      </c>
      <c r="I188" s="187">
        <v>1.4414689999999999</v>
      </c>
      <c r="J188" s="187" t="s">
        <v>1026</v>
      </c>
      <c r="K188" s="187" t="s">
        <v>116</v>
      </c>
      <c r="L188" s="195">
        <v>0.45933069999999998</v>
      </c>
      <c r="M188" s="195" t="s">
        <v>1026</v>
      </c>
      <c r="N188" s="195" t="s">
        <v>1034</v>
      </c>
      <c r="O188" s="199"/>
      <c r="P188" s="188"/>
      <c r="Q188" s="174">
        <f>IF(ISNUMBER(VLOOKUP(A188,NotghiID!A:A,1,FALSE)),1,0)</f>
        <v>0</v>
      </c>
    </row>
    <row r="189" spans="1:17" ht="14.25" x14ac:dyDescent="0.2">
      <c r="A189" s="183">
        <v>318</v>
      </c>
      <c r="B189" s="232" t="str">
        <f>IF(AND(A189&lt;&gt;"",ISNUMBER(A189)),VLOOKUP(A189,Studies!A:BR,2,FALSE),"")</f>
        <v>Kivistö 1997</v>
      </c>
      <c r="C189" s="232" t="str">
        <f>IF(AND(A189&lt;&gt;"",ISNUMBER(A189)),VLOOKUP(A189,Studies!A:BR,3,FALSE),"")</f>
        <v>https://www.ncbi.nlm.nih.gov/pubmed/9333111</v>
      </c>
      <c r="D189" s="232" t="str">
        <f>IF(AND(A189&lt;&gt;"",ISNUMBER(A189)),VLOOKUP(A189,Studies!A:BR,4,FALSE),"")</f>
        <v>with Perpetrator (Erythromycin)</v>
      </c>
      <c r="E189" s="206" t="str">
        <f>IF(AND(A189&lt;&gt;"",ISNUMBER(A189)),VLOOKUP(A189,Studies!A:BR,5,FALSE),"")</f>
        <v>Buspirone</v>
      </c>
      <c r="F189" s="207" t="str">
        <f>IF(AND(A189&lt;&gt;"",ISNUMBER(A189)),VLOOKUP(A189,Studies!A:BR,6,FALSE),"")</f>
        <v>Plasma</v>
      </c>
      <c r="G189" s="194">
        <v>85</v>
      </c>
      <c r="H189" s="194" t="s">
        <v>60</v>
      </c>
      <c r="I189" s="187">
        <v>1.117143</v>
      </c>
      <c r="J189" s="187" t="s">
        <v>1026</v>
      </c>
      <c r="K189" s="187" t="s">
        <v>116</v>
      </c>
      <c r="L189" s="195">
        <v>0.3445222</v>
      </c>
      <c r="M189" s="195" t="s">
        <v>1026</v>
      </c>
      <c r="N189" s="195" t="s">
        <v>1034</v>
      </c>
      <c r="O189" s="199"/>
      <c r="P189" s="188"/>
      <c r="Q189" s="174">
        <f>IF(ISNUMBER(VLOOKUP(A189,NotghiID!A:A,1,FALSE)),1,0)</f>
        <v>0</v>
      </c>
    </row>
    <row r="190" spans="1:17" ht="14.25" x14ac:dyDescent="0.2">
      <c r="A190" s="183">
        <v>318</v>
      </c>
      <c r="B190" s="232" t="str">
        <f>IF(AND(A190&lt;&gt;"",ISNUMBER(A190)),VLOOKUP(A190,Studies!A:BR,2,FALSE),"")</f>
        <v>Kivistö 1997</v>
      </c>
      <c r="C190" s="232" t="str">
        <f>IF(AND(A190&lt;&gt;"",ISNUMBER(A190)),VLOOKUP(A190,Studies!A:BR,3,FALSE),"")</f>
        <v>https://www.ncbi.nlm.nih.gov/pubmed/9333111</v>
      </c>
      <c r="D190" s="232" t="str">
        <f>IF(AND(A190&lt;&gt;"",ISNUMBER(A190)),VLOOKUP(A190,Studies!A:BR,4,FALSE),"")</f>
        <v>with Perpetrator (Erythromycin)</v>
      </c>
      <c r="E190" s="206" t="str">
        <f>IF(AND(A190&lt;&gt;"",ISNUMBER(A190)),VLOOKUP(A190,Studies!A:BR,5,FALSE),"")</f>
        <v>Buspirone</v>
      </c>
      <c r="F190" s="207" t="str">
        <f>IF(AND(A190&lt;&gt;"",ISNUMBER(A190)),VLOOKUP(A190,Studies!A:BR,6,FALSE),"")</f>
        <v>Plasma</v>
      </c>
      <c r="G190" s="194">
        <v>87</v>
      </c>
      <c r="H190" s="194" t="s">
        <v>60</v>
      </c>
      <c r="I190" s="187">
        <v>0.67911460000000001</v>
      </c>
      <c r="J190" s="187" t="s">
        <v>1026</v>
      </c>
      <c r="K190" s="187" t="s">
        <v>116</v>
      </c>
      <c r="L190" s="195">
        <v>0.28710599999999997</v>
      </c>
      <c r="M190" s="195" t="s">
        <v>1026</v>
      </c>
      <c r="N190" s="195" t="s">
        <v>1034</v>
      </c>
      <c r="O190" s="199"/>
      <c r="P190" s="188"/>
      <c r="Q190" s="174">
        <f>IF(ISNUMBER(VLOOKUP(A190,NotghiID!A:A,1,FALSE)),1,0)</f>
        <v>0</v>
      </c>
    </row>
    <row r="191" spans="1:17" ht="14.25" x14ac:dyDescent="0.2">
      <c r="A191" s="183">
        <v>318</v>
      </c>
      <c r="B191" s="232" t="str">
        <f>IF(AND(A191&lt;&gt;"",ISNUMBER(A191)),VLOOKUP(A191,Studies!A:BR,2,FALSE),"")</f>
        <v>Kivistö 1997</v>
      </c>
      <c r="C191" s="232" t="str">
        <f>IF(AND(A191&lt;&gt;"",ISNUMBER(A191)),VLOOKUP(A191,Studies!A:BR,3,FALSE),"")</f>
        <v>https://www.ncbi.nlm.nih.gov/pubmed/9333111</v>
      </c>
      <c r="D191" s="232" t="str">
        <f>IF(AND(A191&lt;&gt;"",ISNUMBER(A191)),VLOOKUP(A191,Studies!A:BR,4,FALSE),"")</f>
        <v>with Perpetrator (Erythromycin)</v>
      </c>
      <c r="E191" s="206" t="str">
        <f>IF(AND(A191&lt;&gt;"",ISNUMBER(A191)),VLOOKUP(A191,Studies!A:BR,5,FALSE),"")</f>
        <v>Buspirone</v>
      </c>
      <c r="F191" s="207" t="str">
        <f>IF(AND(A191&lt;&gt;"",ISNUMBER(A191)),VLOOKUP(A191,Studies!A:BR,6,FALSE),"")</f>
        <v>Plasma</v>
      </c>
      <c r="G191" s="194">
        <v>97</v>
      </c>
      <c r="H191" s="194" t="s">
        <v>60</v>
      </c>
      <c r="I191" s="187">
        <v>0.15385570000000001</v>
      </c>
      <c r="J191" s="187" t="s">
        <v>1026</v>
      </c>
      <c r="K191" s="187" t="s">
        <v>116</v>
      </c>
      <c r="L191" s="195"/>
      <c r="M191" s="195"/>
      <c r="N191" s="195"/>
      <c r="O191" s="199"/>
      <c r="P191" s="188"/>
      <c r="Q191" s="174">
        <f>IF(ISNUMBER(VLOOKUP(A191,NotghiID!A:A,1,FALSE)),1,0)</f>
        <v>0</v>
      </c>
    </row>
    <row r="192" spans="1:17" ht="14.25" x14ac:dyDescent="0.2">
      <c r="A192" s="183">
        <v>320</v>
      </c>
      <c r="B192" s="232" t="str">
        <f>IF(AND(A192&lt;&gt;"",ISNUMBER(A192)),VLOOKUP(A192,Studies!A:BR,2,FALSE),"")</f>
        <v>Kivistö 1997</v>
      </c>
      <c r="C192" s="232" t="str">
        <f>IF(AND(A192&lt;&gt;"",ISNUMBER(A192)),VLOOKUP(A192,Studies!A:BR,3,FALSE),"")</f>
        <v>https://www.ncbi.nlm.nih.gov/pubmed/9333111</v>
      </c>
      <c r="D192" s="232" t="str">
        <f>IF(AND(A192&lt;&gt;"",ISNUMBER(A192)),VLOOKUP(A192,Studies!A:BR,4,FALSE),"")</f>
        <v>with Perpetrator (Itraconazole)</v>
      </c>
      <c r="E192" s="206" t="str">
        <f>IF(AND(A192&lt;&gt;"",ISNUMBER(A192)),VLOOKUP(A192,Studies!A:BR,5,FALSE),"")</f>
        <v>Buspirone</v>
      </c>
      <c r="F192" s="207" t="str">
        <f>IF(AND(A192&lt;&gt;"",ISNUMBER(A192)),VLOOKUP(A192,Studies!A:BR,6,FALSE),"")</f>
        <v>Plasma</v>
      </c>
      <c r="G192" s="194">
        <v>79.5</v>
      </c>
      <c r="H192" s="194" t="s">
        <v>60</v>
      </c>
      <c r="I192" s="187">
        <v>5.8768599999999998</v>
      </c>
      <c r="J192" s="187" t="s">
        <v>1026</v>
      </c>
      <c r="K192" s="187" t="s">
        <v>116</v>
      </c>
      <c r="L192" s="195">
        <v>2.6794549999999999</v>
      </c>
      <c r="M192" s="195" t="s">
        <v>1026</v>
      </c>
      <c r="N192" s="195" t="s">
        <v>1034</v>
      </c>
      <c r="O192" s="199"/>
      <c r="P192" s="188"/>
      <c r="Q192" s="174">
        <f>IF(ISNUMBER(VLOOKUP(A192,NotghiID!A:A,1,FALSE)),1,0)</f>
        <v>0</v>
      </c>
    </row>
    <row r="193" spans="1:17" ht="14.25" x14ac:dyDescent="0.2">
      <c r="A193" s="183">
        <v>320</v>
      </c>
      <c r="B193" s="232" t="str">
        <f>IF(AND(A193&lt;&gt;"",ISNUMBER(A193)),VLOOKUP(A193,Studies!A:BR,2,FALSE),"")</f>
        <v>Kivistö 1997</v>
      </c>
      <c r="C193" s="232" t="str">
        <f>IF(AND(A193&lt;&gt;"",ISNUMBER(A193)),VLOOKUP(A193,Studies!A:BR,3,FALSE),"")</f>
        <v>https://www.ncbi.nlm.nih.gov/pubmed/9333111</v>
      </c>
      <c r="D193" s="232" t="str">
        <f>IF(AND(A193&lt;&gt;"",ISNUMBER(A193)),VLOOKUP(A193,Studies!A:BR,4,FALSE),"")</f>
        <v>with Perpetrator (Itraconazole)</v>
      </c>
      <c r="E193" s="206" t="str">
        <f>IF(AND(A193&lt;&gt;"",ISNUMBER(A193)),VLOOKUP(A193,Studies!A:BR,5,FALSE),"")</f>
        <v>Buspirone</v>
      </c>
      <c r="F193" s="207" t="str">
        <f>IF(AND(A193&lt;&gt;"",ISNUMBER(A193)),VLOOKUP(A193,Studies!A:BR,6,FALSE),"")</f>
        <v>Plasma</v>
      </c>
      <c r="G193" s="194">
        <v>80</v>
      </c>
      <c r="H193" s="194" t="s">
        <v>60</v>
      </c>
      <c r="I193" s="187">
        <v>7.6764599999999996</v>
      </c>
      <c r="J193" s="187" t="s">
        <v>1026</v>
      </c>
      <c r="K193" s="187" t="s">
        <v>116</v>
      </c>
      <c r="L193" s="195">
        <v>1.6076589999999999</v>
      </c>
      <c r="M193" s="195" t="s">
        <v>1026</v>
      </c>
      <c r="N193" s="195" t="s">
        <v>1034</v>
      </c>
      <c r="O193" s="199"/>
      <c r="P193" s="188"/>
      <c r="Q193" s="174">
        <f>IF(ISNUMBER(VLOOKUP(A193,NotghiID!A:A,1,FALSE)),1,0)</f>
        <v>0</v>
      </c>
    </row>
    <row r="194" spans="1:17" ht="14.25" x14ac:dyDescent="0.2">
      <c r="A194" s="183">
        <v>320</v>
      </c>
      <c r="B194" s="232" t="str">
        <f>IF(AND(A194&lt;&gt;"",ISNUMBER(A194)),VLOOKUP(A194,Studies!A:BR,2,FALSE),"")</f>
        <v>Kivistö 1997</v>
      </c>
      <c r="C194" s="232" t="str">
        <f>IF(AND(A194&lt;&gt;"",ISNUMBER(A194)),VLOOKUP(A194,Studies!A:BR,3,FALSE),"")</f>
        <v>https://www.ncbi.nlm.nih.gov/pubmed/9333111</v>
      </c>
      <c r="D194" s="232" t="str">
        <f>IF(AND(A194&lt;&gt;"",ISNUMBER(A194)),VLOOKUP(A194,Studies!A:BR,4,FALSE),"")</f>
        <v>with Perpetrator (Itraconazole)</v>
      </c>
      <c r="E194" s="206" t="str">
        <f>IF(AND(A194&lt;&gt;"",ISNUMBER(A194)),VLOOKUP(A194,Studies!A:BR,5,FALSE),"")</f>
        <v>Buspirone</v>
      </c>
      <c r="F194" s="207" t="str">
        <f>IF(AND(A194&lt;&gt;"",ISNUMBER(A194)),VLOOKUP(A194,Studies!A:BR,6,FALSE),"")</f>
        <v>Plasma</v>
      </c>
      <c r="G194" s="194">
        <v>80.5</v>
      </c>
      <c r="H194" s="194" t="s">
        <v>60</v>
      </c>
      <c r="I194" s="187">
        <v>7.0645480000000003</v>
      </c>
      <c r="J194" s="187" t="s">
        <v>1026</v>
      </c>
      <c r="K194" s="187" t="s">
        <v>116</v>
      </c>
      <c r="L194" s="195">
        <v>1.1291640000000001</v>
      </c>
      <c r="M194" s="195" t="s">
        <v>1026</v>
      </c>
      <c r="N194" s="195" t="s">
        <v>1034</v>
      </c>
      <c r="O194" s="199"/>
      <c r="P194" s="188"/>
      <c r="Q194" s="174">
        <f>IF(ISNUMBER(VLOOKUP(A194,NotghiID!A:A,1,FALSE)),1,0)</f>
        <v>0</v>
      </c>
    </row>
    <row r="195" spans="1:17" ht="14.25" x14ac:dyDescent="0.2">
      <c r="A195" s="183">
        <v>320</v>
      </c>
      <c r="B195" s="232" t="str">
        <f>IF(AND(A195&lt;&gt;"",ISNUMBER(A195)),VLOOKUP(A195,Studies!A:BR,2,FALSE),"")</f>
        <v>Kivistö 1997</v>
      </c>
      <c r="C195" s="232" t="str">
        <f>IF(AND(A195&lt;&gt;"",ISNUMBER(A195)),VLOOKUP(A195,Studies!A:BR,3,FALSE),"")</f>
        <v>https://www.ncbi.nlm.nih.gov/pubmed/9333111</v>
      </c>
      <c r="D195" s="232" t="str">
        <f>IF(AND(A195&lt;&gt;"",ISNUMBER(A195)),VLOOKUP(A195,Studies!A:BR,4,FALSE),"")</f>
        <v>with Perpetrator (Itraconazole)</v>
      </c>
      <c r="E195" s="206" t="str">
        <f>IF(AND(A195&lt;&gt;"",ISNUMBER(A195)),VLOOKUP(A195,Studies!A:BR,5,FALSE),"")</f>
        <v>Buspirone</v>
      </c>
      <c r="F195" s="207" t="str">
        <f>IF(AND(A195&lt;&gt;"",ISNUMBER(A195)),VLOOKUP(A195,Studies!A:BR,6,FALSE),"")</f>
        <v>Plasma</v>
      </c>
      <c r="G195" s="194">
        <v>81</v>
      </c>
      <c r="H195" s="194" t="s">
        <v>60</v>
      </c>
      <c r="I195" s="187">
        <v>7.9837150000000001</v>
      </c>
      <c r="J195" s="187" t="s">
        <v>1026</v>
      </c>
      <c r="K195" s="187" t="s">
        <v>116</v>
      </c>
      <c r="L195" s="195">
        <v>0.88043210000000005</v>
      </c>
      <c r="M195" s="195" t="s">
        <v>1026</v>
      </c>
      <c r="N195" s="195" t="s">
        <v>1034</v>
      </c>
      <c r="O195" s="199"/>
      <c r="P195" s="188"/>
      <c r="Q195" s="174">
        <f>IF(ISNUMBER(VLOOKUP(A195,NotghiID!A:A,1,FALSE)),1,0)</f>
        <v>0</v>
      </c>
    </row>
    <row r="196" spans="1:17" ht="14.25" x14ac:dyDescent="0.2">
      <c r="A196" s="183">
        <v>320</v>
      </c>
      <c r="B196" s="232" t="str">
        <f>IF(AND(A196&lt;&gt;"",ISNUMBER(A196)),VLOOKUP(A196,Studies!A:BR,2,FALSE),"")</f>
        <v>Kivistö 1997</v>
      </c>
      <c r="C196" s="232" t="str">
        <f>IF(AND(A196&lt;&gt;"",ISNUMBER(A196)),VLOOKUP(A196,Studies!A:BR,3,FALSE),"")</f>
        <v>https://www.ncbi.nlm.nih.gov/pubmed/9333111</v>
      </c>
      <c r="D196" s="232" t="str">
        <f>IF(AND(A196&lt;&gt;"",ISNUMBER(A196)),VLOOKUP(A196,Studies!A:BR,4,FALSE),"")</f>
        <v>with Perpetrator (Itraconazole)</v>
      </c>
      <c r="E196" s="206" t="str">
        <f>IF(AND(A196&lt;&gt;"",ISNUMBER(A196)),VLOOKUP(A196,Studies!A:BR,5,FALSE),"")</f>
        <v>Buspirone</v>
      </c>
      <c r="F196" s="207" t="str">
        <f>IF(AND(A196&lt;&gt;"",ISNUMBER(A196)),VLOOKUP(A196,Studies!A:BR,6,FALSE),"")</f>
        <v>Plasma</v>
      </c>
      <c r="G196" s="194">
        <v>82</v>
      </c>
      <c r="H196" s="194" t="s">
        <v>60</v>
      </c>
      <c r="I196" s="187">
        <v>8.9800140000000006</v>
      </c>
      <c r="J196" s="187" t="s">
        <v>1026</v>
      </c>
      <c r="K196" s="187" t="s">
        <v>116</v>
      </c>
      <c r="L196" s="195">
        <v>1.492826</v>
      </c>
      <c r="M196" s="195" t="s">
        <v>1026</v>
      </c>
      <c r="N196" s="195" t="s">
        <v>1034</v>
      </c>
      <c r="O196" s="199"/>
      <c r="P196" s="188"/>
      <c r="Q196" s="174">
        <f>IF(ISNUMBER(VLOOKUP(A196,NotghiID!A:A,1,FALSE)),1,0)</f>
        <v>0</v>
      </c>
    </row>
    <row r="197" spans="1:17" ht="14.25" x14ac:dyDescent="0.2">
      <c r="A197" s="183">
        <v>320</v>
      </c>
      <c r="B197" s="232" t="str">
        <f>IF(AND(A197&lt;&gt;"",ISNUMBER(A197)),VLOOKUP(A197,Studies!A:BR,2,FALSE),"")</f>
        <v>Kivistö 1997</v>
      </c>
      <c r="C197" s="232" t="str">
        <f>IF(AND(A197&lt;&gt;"",ISNUMBER(A197)),VLOOKUP(A197,Studies!A:BR,3,FALSE),"")</f>
        <v>https://www.ncbi.nlm.nih.gov/pubmed/9333111</v>
      </c>
      <c r="D197" s="232" t="str">
        <f>IF(AND(A197&lt;&gt;"",ISNUMBER(A197)),VLOOKUP(A197,Studies!A:BR,4,FALSE),"")</f>
        <v>with Perpetrator (Itraconazole)</v>
      </c>
      <c r="E197" s="206" t="str">
        <f>IF(AND(A197&lt;&gt;"",ISNUMBER(A197)),VLOOKUP(A197,Studies!A:BR,5,FALSE),"")</f>
        <v>Buspirone</v>
      </c>
      <c r="F197" s="207" t="str">
        <f>IF(AND(A197&lt;&gt;"",ISNUMBER(A197)),VLOOKUP(A197,Studies!A:BR,6,FALSE),"")</f>
        <v>Plasma</v>
      </c>
      <c r="G197" s="194">
        <v>83</v>
      </c>
      <c r="H197" s="194" t="s">
        <v>60</v>
      </c>
      <c r="I197" s="187">
        <v>8.2920750000000005</v>
      </c>
      <c r="J197" s="187" t="s">
        <v>1026</v>
      </c>
      <c r="K197" s="187" t="s">
        <v>116</v>
      </c>
      <c r="L197" s="195">
        <v>1.971295</v>
      </c>
      <c r="M197" s="195" t="s">
        <v>1026</v>
      </c>
      <c r="N197" s="195" t="s">
        <v>1034</v>
      </c>
      <c r="O197" s="199"/>
      <c r="P197" s="188"/>
      <c r="Q197" s="174">
        <f>IF(ISNUMBER(VLOOKUP(A197,NotghiID!A:A,1,FALSE)),1,0)</f>
        <v>0</v>
      </c>
    </row>
    <row r="198" spans="1:17" ht="14.25" x14ac:dyDescent="0.2">
      <c r="A198" s="183">
        <v>320</v>
      </c>
      <c r="B198" s="232" t="str">
        <f>IF(AND(A198&lt;&gt;"",ISNUMBER(A198)),VLOOKUP(A198,Studies!A:BR,2,FALSE),"")</f>
        <v>Kivistö 1997</v>
      </c>
      <c r="C198" s="232" t="str">
        <f>IF(AND(A198&lt;&gt;"",ISNUMBER(A198)),VLOOKUP(A198,Studies!A:BR,3,FALSE),"")</f>
        <v>https://www.ncbi.nlm.nih.gov/pubmed/9333111</v>
      </c>
      <c r="D198" s="232" t="str">
        <f>IF(AND(A198&lt;&gt;"",ISNUMBER(A198)),VLOOKUP(A198,Studies!A:BR,4,FALSE),"")</f>
        <v>with Perpetrator (Itraconazole)</v>
      </c>
      <c r="E198" s="206" t="str">
        <f>IF(AND(A198&lt;&gt;"",ISNUMBER(A198)),VLOOKUP(A198,Studies!A:BR,5,FALSE),"")</f>
        <v>Buspirone</v>
      </c>
      <c r="F198" s="207" t="str">
        <f>IF(AND(A198&lt;&gt;"",ISNUMBER(A198)),VLOOKUP(A198,Studies!A:BR,6,FALSE),"")</f>
        <v>Plasma</v>
      </c>
      <c r="G198" s="194">
        <v>84</v>
      </c>
      <c r="H198" s="194" t="s">
        <v>60</v>
      </c>
      <c r="I198" s="187">
        <v>5.996454</v>
      </c>
      <c r="J198" s="187" t="s">
        <v>1026</v>
      </c>
      <c r="K198" s="187" t="s">
        <v>116</v>
      </c>
      <c r="L198" s="195">
        <v>1.473735</v>
      </c>
      <c r="M198" s="195" t="s">
        <v>1026</v>
      </c>
      <c r="N198" s="195" t="s">
        <v>1034</v>
      </c>
      <c r="O198" s="199"/>
      <c r="P198" s="188"/>
      <c r="Q198" s="174">
        <f>IF(ISNUMBER(VLOOKUP(A198,NotghiID!A:A,1,FALSE)),1,0)</f>
        <v>0</v>
      </c>
    </row>
    <row r="199" spans="1:17" ht="14.25" x14ac:dyDescent="0.2">
      <c r="A199" s="183">
        <v>320</v>
      </c>
      <c r="B199" s="232" t="str">
        <f>IF(AND(A199&lt;&gt;"",ISNUMBER(A199)),VLOOKUP(A199,Studies!A:BR,2,FALSE),"")</f>
        <v>Kivistö 1997</v>
      </c>
      <c r="C199" s="232" t="str">
        <f>IF(AND(A199&lt;&gt;"",ISNUMBER(A199)),VLOOKUP(A199,Studies!A:BR,3,FALSE),"")</f>
        <v>https://www.ncbi.nlm.nih.gov/pubmed/9333111</v>
      </c>
      <c r="D199" s="232" t="str">
        <f>IF(AND(A199&lt;&gt;"",ISNUMBER(A199)),VLOOKUP(A199,Studies!A:BR,4,FALSE),"")</f>
        <v>with Perpetrator (Itraconazole)</v>
      </c>
      <c r="E199" s="206" t="str">
        <f>IF(AND(A199&lt;&gt;"",ISNUMBER(A199)),VLOOKUP(A199,Studies!A:BR,5,FALSE),"")</f>
        <v>Buspirone</v>
      </c>
      <c r="F199" s="207" t="str">
        <f>IF(AND(A199&lt;&gt;"",ISNUMBER(A199)),VLOOKUP(A199,Studies!A:BR,6,FALSE),"")</f>
        <v>Plasma</v>
      </c>
      <c r="G199" s="194">
        <v>85</v>
      </c>
      <c r="H199" s="194" t="s">
        <v>60</v>
      </c>
      <c r="I199" s="187">
        <v>4.504734</v>
      </c>
      <c r="J199" s="187" t="s">
        <v>1026</v>
      </c>
      <c r="K199" s="187" t="s">
        <v>116</v>
      </c>
      <c r="L199" s="195">
        <v>1.0717479999999999</v>
      </c>
      <c r="M199" s="195" t="s">
        <v>1026</v>
      </c>
      <c r="N199" s="195" t="s">
        <v>1034</v>
      </c>
      <c r="O199" s="199"/>
      <c r="P199" s="188"/>
      <c r="Q199" s="174">
        <f>IF(ISNUMBER(VLOOKUP(A199,NotghiID!A:A,1,FALSE)),1,0)</f>
        <v>0</v>
      </c>
    </row>
    <row r="200" spans="1:17" ht="14.25" x14ac:dyDescent="0.2">
      <c r="A200" s="183">
        <v>320</v>
      </c>
      <c r="B200" s="232" t="str">
        <f>IF(AND(A200&lt;&gt;"",ISNUMBER(A200)),VLOOKUP(A200,Studies!A:BR,2,FALSE),"")</f>
        <v>Kivistö 1997</v>
      </c>
      <c r="C200" s="232" t="str">
        <f>IF(AND(A200&lt;&gt;"",ISNUMBER(A200)),VLOOKUP(A200,Studies!A:BR,3,FALSE),"")</f>
        <v>https://www.ncbi.nlm.nih.gov/pubmed/9333111</v>
      </c>
      <c r="D200" s="232" t="str">
        <f>IF(AND(A200&lt;&gt;"",ISNUMBER(A200)),VLOOKUP(A200,Studies!A:BR,4,FALSE),"")</f>
        <v>with Perpetrator (Itraconazole)</v>
      </c>
      <c r="E200" s="206" t="str">
        <f>IF(AND(A200&lt;&gt;"",ISNUMBER(A200)),VLOOKUP(A200,Studies!A:BR,5,FALSE),"")</f>
        <v>Buspirone</v>
      </c>
      <c r="F200" s="207" t="str">
        <f>IF(AND(A200&lt;&gt;"",ISNUMBER(A200)),VLOOKUP(A200,Studies!A:BR,6,FALSE),"")</f>
        <v>Plasma</v>
      </c>
      <c r="G200" s="194">
        <v>87</v>
      </c>
      <c r="H200" s="194" t="s">
        <v>60</v>
      </c>
      <c r="I200" s="187">
        <v>2.612133</v>
      </c>
      <c r="J200" s="187" t="s">
        <v>1026</v>
      </c>
      <c r="K200" s="187" t="s">
        <v>116</v>
      </c>
      <c r="L200" s="195">
        <v>0.63160419999999995</v>
      </c>
      <c r="M200" s="195" t="s">
        <v>1026</v>
      </c>
      <c r="N200" s="195" t="s">
        <v>1034</v>
      </c>
      <c r="O200" s="199"/>
      <c r="P200" s="188"/>
      <c r="Q200" s="174">
        <f>IF(ISNUMBER(VLOOKUP(A200,NotghiID!A:A,1,FALSE)),1,0)</f>
        <v>0</v>
      </c>
    </row>
    <row r="201" spans="1:17" ht="14.25" x14ac:dyDescent="0.2">
      <c r="A201" s="183">
        <v>320</v>
      </c>
      <c r="B201" s="232" t="str">
        <f>IF(AND(A201&lt;&gt;"",ISNUMBER(A201)),VLOOKUP(A201,Studies!A:BR,2,FALSE),"")</f>
        <v>Kivistö 1997</v>
      </c>
      <c r="C201" s="232" t="str">
        <f>IF(AND(A201&lt;&gt;"",ISNUMBER(A201)),VLOOKUP(A201,Studies!A:BR,3,FALSE),"")</f>
        <v>https://www.ncbi.nlm.nih.gov/pubmed/9333111</v>
      </c>
      <c r="D201" s="232" t="str">
        <f>IF(AND(A201&lt;&gt;"",ISNUMBER(A201)),VLOOKUP(A201,Studies!A:BR,4,FALSE),"")</f>
        <v>with Perpetrator (Itraconazole)</v>
      </c>
      <c r="E201" s="206" t="str">
        <f>IF(AND(A201&lt;&gt;"",ISNUMBER(A201)),VLOOKUP(A201,Studies!A:BR,5,FALSE),"")</f>
        <v>Buspirone</v>
      </c>
      <c r="F201" s="207" t="str">
        <f>IF(AND(A201&lt;&gt;"",ISNUMBER(A201)),VLOOKUP(A201,Studies!A:BR,6,FALSE),"")</f>
        <v>Plasma</v>
      </c>
      <c r="G201" s="194">
        <v>97</v>
      </c>
      <c r="H201" s="194" t="s">
        <v>60</v>
      </c>
      <c r="I201" s="187">
        <v>0.42179879999999997</v>
      </c>
      <c r="J201" s="187" t="s">
        <v>1026</v>
      </c>
      <c r="K201" s="187" t="s">
        <v>116</v>
      </c>
      <c r="L201" s="195">
        <v>0.13399559999999999</v>
      </c>
      <c r="M201" s="195" t="s">
        <v>1026</v>
      </c>
      <c r="N201" s="195" t="s">
        <v>1034</v>
      </c>
      <c r="O201" s="199"/>
      <c r="P201" s="188"/>
      <c r="Q201" s="174">
        <f>IF(ISNUMBER(VLOOKUP(A201,NotghiID!A:A,1,FALSE)),1,0)</f>
        <v>0</v>
      </c>
    </row>
    <row r="202" spans="1:17" ht="14.25" x14ac:dyDescent="0.2">
      <c r="A202" s="183">
        <v>322</v>
      </c>
      <c r="B202" s="232" t="str">
        <f>IF(AND(A202&lt;&gt;"",ISNUMBER(A202)),VLOOKUP(A202,Studies!A:BR,2,FALSE),"")</f>
        <v>Kranke 2012</v>
      </c>
      <c r="C202" s="232" t="str">
        <f>IF(AND(A202&lt;&gt;"",ISNUMBER(A202)),VLOOKUP(A202,Studies!A:BR,3,FALSE),"")</f>
        <v>https://www.ncbi.nlm.nih.gov/pubmed/22546895</v>
      </c>
      <c r="D202" s="232" t="str">
        <f>IF(AND(A202&lt;&gt;"",ISNUMBER(A202)),VLOOKUP(A202,Studies!A:BR,4,FALSE),"")</f>
        <v>Patients @ 0.3 mg</v>
      </c>
      <c r="E202" s="206" t="str">
        <f>IF(AND(A202&lt;&gt;"",ISNUMBER(A202)),VLOOKUP(A202,Studies!A:BR,5,FALSE),"")</f>
        <v>Buspirone</v>
      </c>
      <c r="F202" s="207" t="str">
        <f>IF(AND(A202&lt;&gt;"",ISNUMBER(A202)),VLOOKUP(A202,Studies!A:BR,6,FALSE),"")</f>
        <v>Plasma</v>
      </c>
      <c r="G202" s="194">
        <v>8.3333333333333329E-2</v>
      </c>
      <c r="H202" s="194" t="s">
        <v>60</v>
      </c>
      <c r="I202" s="187">
        <v>15.09221</v>
      </c>
      <c r="J202" s="187" t="s">
        <v>1026</v>
      </c>
      <c r="K202" s="187" t="s">
        <v>116</v>
      </c>
      <c r="L202" s="195"/>
      <c r="M202" s="195"/>
      <c r="N202" s="195"/>
      <c r="O202" s="199"/>
      <c r="P202" s="188"/>
      <c r="Q202" s="174">
        <f>IF(ISNUMBER(VLOOKUP(A202,NotghiID!A:A,1,FALSE)),1,0)</f>
        <v>0</v>
      </c>
    </row>
    <row r="203" spans="1:17" ht="14.25" x14ac:dyDescent="0.2">
      <c r="A203" s="183">
        <v>322</v>
      </c>
      <c r="B203" s="232" t="str">
        <f>IF(AND(A203&lt;&gt;"",ISNUMBER(A203)),VLOOKUP(A203,Studies!A:BR,2,FALSE),"")</f>
        <v>Kranke 2012</v>
      </c>
      <c r="C203" s="232" t="str">
        <f>IF(AND(A203&lt;&gt;"",ISNUMBER(A203)),VLOOKUP(A203,Studies!A:BR,3,FALSE),"")</f>
        <v>https://www.ncbi.nlm.nih.gov/pubmed/22546895</v>
      </c>
      <c r="D203" s="232" t="str">
        <f>IF(AND(A203&lt;&gt;"",ISNUMBER(A203)),VLOOKUP(A203,Studies!A:BR,4,FALSE),"")</f>
        <v>Patients @ 0.3 mg</v>
      </c>
      <c r="E203" s="206" t="str">
        <f>IF(AND(A203&lt;&gt;"",ISNUMBER(A203)),VLOOKUP(A203,Studies!A:BR,5,FALSE),"")</f>
        <v>Buspirone</v>
      </c>
      <c r="F203" s="207" t="str">
        <f>IF(AND(A203&lt;&gt;"",ISNUMBER(A203)),VLOOKUP(A203,Studies!A:BR,6,FALSE),"")</f>
        <v>Plasma</v>
      </c>
      <c r="G203" s="194">
        <v>0.5</v>
      </c>
      <c r="H203" s="194" t="s">
        <v>60</v>
      </c>
      <c r="I203" s="187">
        <v>4.2509920000000001</v>
      </c>
      <c r="J203" s="187" t="s">
        <v>1026</v>
      </c>
      <c r="K203" s="187" t="s">
        <v>116</v>
      </c>
      <c r="L203" s="195"/>
      <c r="M203" s="195"/>
      <c r="N203" s="195"/>
      <c r="O203" s="199"/>
      <c r="P203" s="188"/>
      <c r="Q203" s="174">
        <f>IF(ISNUMBER(VLOOKUP(A203,NotghiID!A:A,1,FALSE)),1,0)</f>
        <v>0</v>
      </c>
    </row>
    <row r="204" spans="1:17" ht="14.25" x14ac:dyDescent="0.2">
      <c r="A204" s="183">
        <v>322</v>
      </c>
      <c r="B204" s="232" t="str">
        <f>IF(AND(A204&lt;&gt;"",ISNUMBER(A204)),VLOOKUP(A204,Studies!A:BR,2,FALSE),"")</f>
        <v>Kranke 2012</v>
      </c>
      <c r="C204" s="232" t="str">
        <f>IF(AND(A204&lt;&gt;"",ISNUMBER(A204)),VLOOKUP(A204,Studies!A:BR,3,FALSE),"")</f>
        <v>https://www.ncbi.nlm.nih.gov/pubmed/22546895</v>
      </c>
      <c r="D204" s="232" t="str">
        <f>IF(AND(A204&lt;&gt;"",ISNUMBER(A204)),VLOOKUP(A204,Studies!A:BR,4,FALSE),"")</f>
        <v>Patients @ 0.3 mg</v>
      </c>
      <c r="E204" s="206" t="str">
        <f>IF(AND(A204&lt;&gt;"",ISNUMBER(A204)),VLOOKUP(A204,Studies!A:BR,5,FALSE),"")</f>
        <v>Buspirone</v>
      </c>
      <c r="F204" s="207" t="str">
        <f>IF(AND(A204&lt;&gt;"",ISNUMBER(A204)),VLOOKUP(A204,Studies!A:BR,6,FALSE),"")</f>
        <v>Plasma</v>
      </c>
      <c r="G204" s="194">
        <v>1</v>
      </c>
      <c r="H204" s="194" t="s">
        <v>60</v>
      </c>
      <c r="I204" s="187">
        <v>2.1450429999999998</v>
      </c>
      <c r="J204" s="187" t="s">
        <v>1026</v>
      </c>
      <c r="K204" s="187" t="s">
        <v>116</v>
      </c>
      <c r="L204" s="195"/>
      <c r="M204" s="195"/>
      <c r="N204" s="195"/>
      <c r="O204" s="199"/>
      <c r="P204" s="188"/>
      <c r="Q204" s="174">
        <f>IF(ISNUMBER(VLOOKUP(A204,NotghiID!A:A,1,FALSE)),1,0)</f>
        <v>0</v>
      </c>
    </row>
    <row r="205" spans="1:17" ht="14.25" x14ac:dyDescent="0.2">
      <c r="A205" s="183">
        <v>322</v>
      </c>
      <c r="B205" s="232" t="str">
        <f>IF(AND(A205&lt;&gt;"",ISNUMBER(A205)),VLOOKUP(A205,Studies!A:BR,2,FALSE),"")</f>
        <v>Kranke 2012</v>
      </c>
      <c r="C205" s="232" t="str">
        <f>IF(AND(A205&lt;&gt;"",ISNUMBER(A205)),VLOOKUP(A205,Studies!A:BR,3,FALSE),"")</f>
        <v>https://www.ncbi.nlm.nih.gov/pubmed/22546895</v>
      </c>
      <c r="D205" s="232" t="str">
        <f>IF(AND(A205&lt;&gt;"",ISNUMBER(A205)),VLOOKUP(A205,Studies!A:BR,4,FALSE),"")</f>
        <v>Patients @ 0.3 mg</v>
      </c>
      <c r="E205" s="206" t="str">
        <f>IF(AND(A205&lt;&gt;"",ISNUMBER(A205)),VLOOKUP(A205,Studies!A:BR,5,FALSE),"")</f>
        <v>Buspirone</v>
      </c>
      <c r="F205" s="207" t="str">
        <f>IF(AND(A205&lt;&gt;"",ISNUMBER(A205)),VLOOKUP(A205,Studies!A:BR,6,FALSE),"")</f>
        <v>Plasma</v>
      </c>
      <c r="G205" s="194">
        <v>4</v>
      </c>
      <c r="H205" s="194" t="s">
        <v>60</v>
      </c>
      <c r="I205" s="187">
        <v>0.63575820000000005</v>
      </c>
      <c r="J205" s="187" t="s">
        <v>1026</v>
      </c>
      <c r="K205" s="187" t="s">
        <v>116</v>
      </c>
      <c r="L205" s="195"/>
      <c r="M205" s="195"/>
      <c r="N205" s="195"/>
      <c r="O205" s="199"/>
      <c r="P205" s="188"/>
      <c r="Q205" s="174">
        <f>IF(ISNUMBER(VLOOKUP(A205,NotghiID!A:A,1,FALSE)),1,0)</f>
        <v>0</v>
      </c>
    </row>
    <row r="206" spans="1:17" ht="14.25" x14ac:dyDescent="0.2">
      <c r="A206" s="183">
        <v>323</v>
      </c>
      <c r="B206" s="232" t="str">
        <f>IF(AND(A206&lt;&gt;"",ISNUMBER(A206)),VLOOKUP(A206,Studies!A:BR,2,FALSE),"")</f>
        <v>Kranke 2012</v>
      </c>
      <c r="C206" s="232" t="str">
        <f>IF(AND(A206&lt;&gt;"",ISNUMBER(A206)),VLOOKUP(A206,Studies!A:BR,3,FALSE),"")</f>
        <v>https://www.ncbi.nlm.nih.gov/pubmed/22546895</v>
      </c>
      <c r="D206" s="232" t="str">
        <f>IF(AND(A206&lt;&gt;"",ISNUMBER(A206)),VLOOKUP(A206,Studies!A:BR,4,FALSE),"")</f>
        <v>Patients @ 1 mg</v>
      </c>
      <c r="E206" s="206" t="str">
        <f>IF(AND(A206&lt;&gt;"",ISNUMBER(A206)),VLOOKUP(A206,Studies!A:BR,5,FALSE),"")</f>
        <v>Buspirone</v>
      </c>
      <c r="F206" s="207" t="str">
        <f>IF(AND(A206&lt;&gt;"",ISNUMBER(A206)),VLOOKUP(A206,Studies!A:BR,6,FALSE),"")</f>
        <v>Plasma</v>
      </c>
      <c r="G206" s="194">
        <v>8.3333333333333329E-2</v>
      </c>
      <c r="H206" s="194" t="s">
        <v>60</v>
      </c>
      <c r="I206" s="187">
        <v>7.1445889999999999</v>
      </c>
      <c r="J206" s="187" t="s">
        <v>1026</v>
      </c>
      <c r="K206" s="187" t="s">
        <v>116</v>
      </c>
      <c r="L206" s="195"/>
      <c r="M206" s="195"/>
      <c r="N206" s="195"/>
      <c r="O206" s="199"/>
      <c r="P206" s="188"/>
      <c r="Q206" s="174">
        <f>IF(ISNUMBER(VLOOKUP(A206,NotghiID!A:A,1,FALSE)),1,0)</f>
        <v>0</v>
      </c>
    </row>
    <row r="207" spans="1:17" ht="14.25" x14ac:dyDescent="0.2">
      <c r="A207" s="183">
        <v>323</v>
      </c>
      <c r="B207" s="232" t="str">
        <f>IF(AND(A207&lt;&gt;"",ISNUMBER(A207)),VLOOKUP(A207,Studies!A:BR,2,FALSE),"")</f>
        <v>Kranke 2012</v>
      </c>
      <c r="C207" s="232" t="str">
        <f>IF(AND(A207&lt;&gt;"",ISNUMBER(A207)),VLOOKUP(A207,Studies!A:BR,3,FALSE),"")</f>
        <v>https://www.ncbi.nlm.nih.gov/pubmed/22546895</v>
      </c>
      <c r="D207" s="232" t="str">
        <f>IF(AND(A207&lt;&gt;"",ISNUMBER(A207)),VLOOKUP(A207,Studies!A:BR,4,FALSE),"")</f>
        <v>Patients @ 1 mg</v>
      </c>
      <c r="E207" s="206" t="str">
        <f>IF(AND(A207&lt;&gt;"",ISNUMBER(A207)),VLOOKUP(A207,Studies!A:BR,5,FALSE),"")</f>
        <v>Buspirone</v>
      </c>
      <c r="F207" s="207" t="str">
        <f>IF(AND(A207&lt;&gt;"",ISNUMBER(A207)),VLOOKUP(A207,Studies!A:BR,6,FALSE),"")</f>
        <v>Plasma</v>
      </c>
      <c r="G207" s="194">
        <v>0.5</v>
      </c>
      <c r="H207" s="194" t="s">
        <v>60</v>
      </c>
      <c r="I207" s="187">
        <v>1.3907210000000001</v>
      </c>
      <c r="J207" s="187" t="s">
        <v>1026</v>
      </c>
      <c r="K207" s="187" t="s">
        <v>116</v>
      </c>
      <c r="L207" s="195"/>
      <c r="M207" s="195"/>
      <c r="N207" s="195"/>
      <c r="O207" s="199"/>
      <c r="P207" s="188"/>
      <c r="Q207" s="174">
        <f>IF(ISNUMBER(VLOOKUP(A207,NotghiID!A:A,1,FALSE)),1,0)</f>
        <v>0</v>
      </c>
    </row>
    <row r="208" spans="1:17" ht="14.25" x14ac:dyDescent="0.2">
      <c r="A208" s="183">
        <v>323</v>
      </c>
      <c r="B208" s="232" t="str">
        <f>IF(AND(A208&lt;&gt;"",ISNUMBER(A208)),VLOOKUP(A208,Studies!A:BR,2,FALSE),"")</f>
        <v>Kranke 2012</v>
      </c>
      <c r="C208" s="232" t="str">
        <f>IF(AND(A208&lt;&gt;"",ISNUMBER(A208)),VLOOKUP(A208,Studies!A:BR,3,FALSE),"")</f>
        <v>https://www.ncbi.nlm.nih.gov/pubmed/22546895</v>
      </c>
      <c r="D208" s="232" t="str">
        <f>IF(AND(A208&lt;&gt;"",ISNUMBER(A208)),VLOOKUP(A208,Studies!A:BR,4,FALSE),"")</f>
        <v>Patients @ 1 mg</v>
      </c>
      <c r="E208" s="206" t="str">
        <f>IF(AND(A208&lt;&gt;"",ISNUMBER(A208)),VLOOKUP(A208,Studies!A:BR,5,FALSE),"")</f>
        <v>Buspirone</v>
      </c>
      <c r="F208" s="207" t="str">
        <f>IF(AND(A208&lt;&gt;"",ISNUMBER(A208)),VLOOKUP(A208,Studies!A:BR,6,FALSE),"")</f>
        <v>Plasma</v>
      </c>
      <c r="G208" s="194">
        <v>1</v>
      </c>
      <c r="H208" s="194" t="s">
        <v>60</v>
      </c>
      <c r="I208" s="187">
        <v>0.87416749999999999</v>
      </c>
      <c r="J208" s="187" t="s">
        <v>1026</v>
      </c>
      <c r="K208" s="187" t="s">
        <v>116</v>
      </c>
      <c r="L208" s="195"/>
      <c r="M208" s="195"/>
      <c r="N208" s="195"/>
      <c r="O208" s="199"/>
      <c r="P208" s="188"/>
      <c r="Q208" s="174">
        <f>IF(ISNUMBER(VLOOKUP(A208,NotghiID!A:A,1,FALSE)),1,0)</f>
        <v>0</v>
      </c>
    </row>
    <row r="209" spans="1:17" ht="14.25" x14ac:dyDescent="0.2">
      <c r="A209" s="183">
        <v>323</v>
      </c>
      <c r="B209" s="232" t="str">
        <f>IF(AND(A209&lt;&gt;"",ISNUMBER(A209)),VLOOKUP(A209,Studies!A:BR,2,FALSE),"")</f>
        <v>Kranke 2012</v>
      </c>
      <c r="C209" s="232" t="str">
        <f>IF(AND(A209&lt;&gt;"",ISNUMBER(A209)),VLOOKUP(A209,Studies!A:BR,3,FALSE),"")</f>
        <v>https://www.ncbi.nlm.nih.gov/pubmed/22546895</v>
      </c>
      <c r="D209" s="232" t="str">
        <f>IF(AND(A209&lt;&gt;"",ISNUMBER(A209)),VLOOKUP(A209,Studies!A:BR,4,FALSE),"")</f>
        <v>Patients @ 1 mg</v>
      </c>
      <c r="E209" s="206" t="str">
        <f>IF(AND(A209&lt;&gt;"",ISNUMBER(A209)),VLOOKUP(A209,Studies!A:BR,5,FALSE),"")</f>
        <v>Buspirone</v>
      </c>
      <c r="F209" s="207" t="str">
        <f>IF(AND(A209&lt;&gt;"",ISNUMBER(A209)),VLOOKUP(A209,Studies!A:BR,6,FALSE),"")</f>
        <v>Plasma</v>
      </c>
      <c r="G209" s="194">
        <v>4</v>
      </c>
      <c r="H209" s="194" t="s">
        <v>60</v>
      </c>
      <c r="I209" s="187">
        <v>0.15958040000000001</v>
      </c>
      <c r="J209" s="187" t="s">
        <v>1026</v>
      </c>
      <c r="K209" s="187" t="s">
        <v>116</v>
      </c>
      <c r="L209" s="195"/>
      <c r="M209" s="195"/>
      <c r="N209" s="195"/>
      <c r="O209" s="199"/>
      <c r="P209" s="188"/>
      <c r="Q209" s="174">
        <f>IF(ISNUMBER(VLOOKUP(A209,NotghiID!A:A,1,FALSE)),1,0)</f>
        <v>0</v>
      </c>
    </row>
    <row r="210" spans="1:17" ht="14.25" x14ac:dyDescent="0.2">
      <c r="A210" s="183">
        <v>324</v>
      </c>
      <c r="B210" s="232" t="str">
        <f>IF(AND(A210&lt;&gt;"",ISNUMBER(A210)),VLOOKUP(A210,Studies!A:BR,2,FALSE),"")</f>
        <v>Kranke 2012</v>
      </c>
      <c r="C210" s="232" t="str">
        <f>IF(AND(A210&lt;&gt;"",ISNUMBER(A210)),VLOOKUP(A210,Studies!A:BR,3,FALSE),"")</f>
        <v>https://www.ncbi.nlm.nih.gov/pubmed/22546895</v>
      </c>
      <c r="D210" s="232" t="str">
        <f>IF(AND(A210&lt;&gt;"",ISNUMBER(A210)),VLOOKUP(A210,Studies!A:BR,4,FALSE),"")</f>
        <v>Patients @ 2 mg</v>
      </c>
      <c r="E210" s="206" t="str">
        <f>IF(AND(A210&lt;&gt;"",ISNUMBER(A210)),VLOOKUP(A210,Studies!A:BR,5,FALSE),"")</f>
        <v>Buspirone</v>
      </c>
      <c r="F210" s="207" t="str">
        <f>IF(AND(A210&lt;&gt;"",ISNUMBER(A210)),VLOOKUP(A210,Studies!A:BR,6,FALSE),"")</f>
        <v>Plasma</v>
      </c>
      <c r="G210" s="194">
        <v>8.3333333333333329E-2</v>
      </c>
      <c r="H210" s="194" t="s">
        <v>60</v>
      </c>
      <c r="I210" s="187">
        <v>64.68262</v>
      </c>
      <c r="J210" s="187" t="s">
        <v>1026</v>
      </c>
      <c r="K210" s="187" t="s">
        <v>116</v>
      </c>
      <c r="L210" s="195"/>
      <c r="M210" s="195"/>
      <c r="N210" s="195"/>
      <c r="O210" s="199"/>
      <c r="P210" s="188"/>
      <c r="Q210" s="174">
        <f>IF(ISNUMBER(VLOOKUP(A210,NotghiID!A:A,1,FALSE)),1,0)</f>
        <v>0</v>
      </c>
    </row>
    <row r="211" spans="1:17" ht="14.25" x14ac:dyDescent="0.2">
      <c r="A211" s="183">
        <v>324</v>
      </c>
      <c r="B211" s="232" t="str">
        <f>IF(AND(A211&lt;&gt;"",ISNUMBER(A211)),VLOOKUP(A211,Studies!A:BR,2,FALSE),"")</f>
        <v>Kranke 2012</v>
      </c>
      <c r="C211" s="232" t="str">
        <f>IF(AND(A211&lt;&gt;"",ISNUMBER(A211)),VLOOKUP(A211,Studies!A:BR,3,FALSE),"")</f>
        <v>https://www.ncbi.nlm.nih.gov/pubmed/22546895</v>
      </c>
      <c r="D211" s="232" t="str">
        <f>IF(AND(A211&lt;&gt;"",ISNUMBER(A211)),VLOOKUP(A211,Studies!A:BR,4,FALSE),"")</f>
        <v>Patients @ 2 mg</v>
      </c>
      <c r="E211" s="206" t="str">
        <f>IF(AND(A211&lt;&gt;"",ISNUMBER(A211)),VLOOKUP(A211,Studies!A:BR,5,FALSE),"")</f>
        <v>Buspirone</v>
      </c>
      <c r="F211" s="207" t="str">
        <f>IF(AND(A211&lt;&gt;"",ISNUMBER(A211)),VLOOKUP(A211,Studies!A:BR,6,FALSE),"")</f>
        <v>Plasma</v>
      </c>
      <c r="G211" s="194">
        <v>0.5</v>
      </c>
      <c r="H211" s="194" t="s">
        <v>60</v>
      </c>
      <c r="I211" s="187">
        <v>13.15161</v>
      </c>
      <c r="J211" s="187" t="s">
        <v>1026</v>
      </c>
      <c r="K211" s="187" t="s">
        <v>116</v>
      </c>
      <c r="L211" s="195"/>
      <c r="M211" s="195"/>
      <c r="N211" s="195"/>
      <c r="O211" s="199"/>
      <c r="P211" s="188"/>
      <c r="Q211" s="174">
        <f>IF(ISNUMBER(VLOOKUP(A211,NotghiID!A:A,1,FALSE)),1,0)</f>
        <v>0</v>
      </c>
    </row>
    <row r="212" spans="1:17" ht="14.25" x14ac:dyDescent="0.2">
      <c r="A212" s="183">
        <v>324</v>
      </c>
      <c r="B212" s="232" t="str">
        <f>IF(AND(A212&lt;&gt;"",ISNUMBER(A212)),VLOOKUP(A212,Studies!A:BR,2,FALSE),"")</f>
        <v>Kranke 2012</v>
      </c>
      <c r="C212" s="232" t="str">
        <f>IF(AND(A212&lt;&gt;"",ISNUMBER(A212)),VLOOKUP(A212,Studies!A:BR,3,FALSE),"")</f>
        <v>https://www.ncbi.nlm.nih.gov/pubmed/22546895</v>
      </c>
      <c r="D212" s="232" t="str">
        <f>IF(AND(A212&lt;&gt;"",ISNUMBER(A212)),VLOOKUP(A212,Studies!A:BR,4,FALSE),"")</f>
        <v>Patients @ 2 mg</v>
      </c>
      <c r="E212" s="206" t="str">
        <f>IF(AND(A212&lt;&gt;"",ISNUMBER(A212)),VLOOKUP(A212,Studies!A:BR,5,FALSE),"")</f>
        <v>Buspirone</v>
      </c>
      <c r="F212" s="207" t="str">
        <f>IF(AND(A212&lt;&gt;"",ISNUMBER(A212)),VLOOKUP(A212,Studies!A:BR,6,FALSE),"")</f>
        <v>Plasma</v>
      </c>
      <c r="G212" s="194">
        <v>1</v>
      </c>
      <c r="H212" s="194" t="s">
        <v>60</v>
      </c>
      <c r="I212" s="187">
        <v>5.006596</v>
      </c>
      <c r="J212" s="187" t="s">
        <v>1026</v>
      </c>
      <c r="K212" s="187" t="s">
        <v>116</v>
      </c>
      <c r="L212" s="195"/>
      <c r="M212" s="195"/>
      <c r="N212" s="195"/>
      <c r="O212" s="199"/>
      <c r="P212" s="188"/>
      <c r="Q212" s="174">
        <f>IF(ISNUMBER(VLOOKUP(A212,NotghiID!A:A,1,FALSE)),1,0)</f>
        <v>0</v>
      </c>
    </row>
    <row r="213" spans="1:17" ht="14.25" x14ac:dyDescent="0.2">
      <c r="A213" s="183">
        <v>324</v>
      </c>
      <c r="B213" s="232" t="str">
        <f>IF(AND(A213&lt;&gt;"",ISNUMBER(A213)),VLOOKUP(A213,Studies!A:BR,2,FALSE),"")</f>
        <v>Kranke 2012</v>
      </c>
      <c r="C213" s="232" t="str">
        <f>IF(AND(A213&lt;&gt;"",ISNUMBER(A213)),VLOOKUP(A213,Studies!A:BR,3,FALSE),"")</f>
        <v>https://www.ncbi.nlm.nih.gov/pubmed/22546895</v>
      </c>
      <c r="D213" s="232" t="str">
        <f>IF(AND(A213&lt;&gt;"",ISNUMBER(A213)),VLOOKUP(A213,Studies!A:BR,4,FALSE),"")</f>
        <v>Patients @ 2 mg</v>
      </c>
      <c r="E213" s="206" t="str">
        <f>IF(AND(A213&lt;&gt;"",ISNUMBER(A213)),VLOOKUP(A213,Studies!A:BR,5,FALSE),"")</f>
        <v>Buspirone</v>
      </c>
      <c r="F213" s="207" t="str">
        <f>IF(AND(A213&lt;&gt;"",ISNUMBER(A213)),VLOOKUP(A213,Studies!A:BR,6,FALSE),"")</f>
        <v>Plasma</v>
      </c>
      <c r="G213" s="194">
        <v>4</v>
      </c>
      <c r="H213" s="194" t="s">
        <v>60</v>
      </c>
      <c r="I213" s="187">
        <v>1.2715160000000001</v>
      </c>
      <c r="J213" s="187" t="s">
        <v>1026</v>
      </c>
      <c r="K213" s="187" t="s">
        <v>116</v>
      </c>
      <c r="L213" s="195"/>
      <c r="M213" s="195"/>
      <c r="N213" s="195"/>
      <c r="O213" s="199"/>
      <c r="P213" s="188"/>
      <c r="Q213" s="174">
        <f>IF(ISNUMBER(VLOOKUP(A213,NotghiID!A:A,1,FALSE)),1,0)</f>
        <v>0</v>
      </c>
    </row>
    <row r="214" spans="1:17" ht="14.25" x14ac:dyDescent="0.2">
      <c r="A214" s="183">
        <v>325</v>
      </c>
      <c r="B214" s="232" t="str">
        <f>IF(AND(A214&lt;&gt;"",ISNUMBER(A214)),VLOOKUP(A214,Studies!A:BR,2,FALSE),"")</f>
        <v>Kranke 2012</v>
      </c>
      <c r="C214" s="232" t="str">
        <f>IF(AND(A214&lt;&gt;"",ISNUMBER(A214)),VLOOKUP(A214,Studies!A:BR,3,FALSE),"")</f>
        <v>https://www.ncbi.nlm.nih.gov/pubmed/22546895</v>
      </c>
      <c r="D214" s="232" t="str">
        <f>IF(AND(A214&lt;&gt;"",ISNUMBER(A214)),VLOOKUP(A214,Studies!A:BR,4,FALSE),"")</f>
        <v>Patients @ 3 mg</v>
      </c>
      <c r="E214" s="206" t="str">
        <f>IF(AND(A214&lt;&gt;"",ISNUMBER(A214)),VLOOKUP(A214,Studies!A:BR,5,FALSE),"")</f>
        <v>Buspirone</v>
      </c>
      <c r="F214" s="207" t="str">
        <f>IF(AND(A214&lt;&gt;"",ISNUMBER(A214)),VLOOKUP(A214,Studies!A:BR,6,FALSE),"")</f>
        <v>Plasma</v>
      </c>
      <c r="G214" s="194">
        <v>8.3333333333333329E-2</v>
      </c>
      <c r="H214" s="194" t="s">
        <v>60</v>
      </c>
      <c r="I214" s="187">
        <v>91.382549999999995</v>
      </c>
      <c r="J214" s="187" t="s">
        <v>1026</v>
      </c>
      <c r="K214" s="187" t="s">
        <v>116</v>
      </c>
      <c r="L214" s="195"/>
      <c r="M214" s="195"/>
      <c r="N214" s="195"/>
      <c r="O214" s="199"/>
      <c r="P214" s="188"/>
      <c r="Q214" s="174">
        <f>IF(ISNUMBER(VLOOKUP(A214,NotghiID!A:A,1,FALSE)),1,0)</f>
        <v>0</v>
      </c>
    </row>
    <row r="215" spans="1:17" ht="14.25" x14ac:dyDescent="0.2">
      <c r="A215" s="183">
        <v>325</v>
      </c>
      <c r="B215" s="232" t="str">
        <f>IF(AND(A215&lt;&gt;"",ISNUMBER(A215)),VLOOKUP(A215,Studies!A:BR,2,FALSE),"")</f>
        <v>Kranke 2012</v>
      </c>
      <c r="C215" s="232" t="str">
        <f>IF(AND(A215&lt;&gt;"",ISNUMBER(A215)),VLOOKUP(A215,Studies!A:BR,3,FALSE),"")</f>
        <v>https://www.ncbi.nlm.nih.gov/pubmed/22546895</v>
      </c>
      <c r="D215" s="232" t="str">
        <f>IF(AND(A215&lt;&gt;"",ISNUMBER(A215)),VLOOKUP(A215,Studies!A:BR,4,FALSE),"")</f>
        <v>Patients @ 3 mg</v>
      </c>
      <c r="E215" s="206" t="str">
        <f>IF(AND(A215&lt;&gt;"",ISNUMBER(A215)),VLOOKUP(A215,Studies!A:BR,5,FALSE),"")</f>
        <v>Buspirone</v>
      </c>
      <c r="F215" s="207" t="str">
        <f>IF(AND(A215&lt;&gt;"",ISNUMBER(A215)),VLOOKUP(A215,Studies!A:BR,6,FALSE),"")</f>
        <v>Plasma</v>
      </c>
      <c r="G215" s="194">
        <v>0.5</v>
      </c>
      <c r="H215" s="194" t="s">
        <v>60</v>
      </c>
      <c r="I215" s="187">
        <v>15.85422</v>
      </c>
      <c r="J215" s="187" t="s">
        <v>1026</v>
      </c>
      <c r="K215" s="187" t="s">
        <v>116</v>
      </c>
      <c r="L215" s="195"/>
      <c r="M215" s="195"/>
      <c r="N215" s="195"/>
      <c r="O215" s="199"/>
      <c r="P215" s="188"/>
      <c r="Q215" s="174">
        <f>IF(ISNUMBER(VLOOKUP(A215,NotghiID!A:A,1,FALSE)),1,0)</f>
        <v>0</v>
      </c>
    </row>
    <row r="216" spans="1:17" ht="14.25" x14ac:dyDescent="0.2">
      <c r="A216" s="183">
        <v>325</v>
      </c>
      <c r="B216" s="232" t="str">
        <f>IF(AND(A216&lt;&gt;"",ISNUMBER(A216)),VLOOKUP(A216,Studies!A:BR,2,FALSE),"")</f>
        <v>Kranke 2012</v>
      </c>
      <c r="C216" s="232" t="str">
        <f>IF(AND(A216&lt;&gt;"",ISNUMBER(A216)),VLOOKUP(A216,Studies!A:BR,3,FALSE),"")</f>
        <v>https://www.ncbi.nlm.nih.gov/pubmed/22546895</v>
      </c>
      <c r="D216" s="232" t="str">
        <f>IF(AND(A216&lt;&gt;"",ISNUMBER(A216)),VLOOKUP(A216,Studies!A:BR,4,FALSE),"")</f>
        <v>Patients @ 3 mg</v>
      </c>
      <c r="E216" s="206" t="str">
        <f>IF(AND(A216&lt;&gt;"",ISNUMBER(A216)),VLOOKUP(A216,Studies!A:BR,5,FALSE),"")</f>
        <v>Buspirone</v>
      </c>
      <c r="F216" s="207" t="str">
        <f>IF(AND(A216&lt;&gt;"",ISNUMBER(A216)),VLOOKUP(A216,Studies!A:BR,6,FALSE),"")</f>
        <v>Plasma</v>
      </c>
      <c r="G216" s="194">
        <v>1</v>
      </c>
      <c r="H216" s="194" t="s">
        <v>60</v>
      </c>
      <c r="I216" s="187">
        <v>8.5032650000000007</v>
      </c>
      <c r="J216" s="187" t="s">
        <v>1026</v>
      </c>
      <c r="K216" s="187" t="s">
        <v>116</v>
      </c>
      <c r="L216" s="195"/>
      <c r="M216" s="195"/>
      <c r="N216" s="195"/>
      <c r="O216" s="199"/>
      <c r="P216" s="188"/>
      <c r="Q216" s="174">
        <f>IF(ISNUMBER(VLOOKUP(A216,NotghiID!A:A,1,FALSE)),1,0)</f>
        <v>0</v>
      </c>
    </row>
    <row r="217" spans="1:17" ht="14.25" x14ac:dyDescent="0.2">
      <c r="A217" s="183">
        <v>325</v>
      </c>
      <c r="B217" s="232" t="str">
        <f>IF(AND(A217&lt;&gt;"",ISNUMBER(A217)),VLOOKUP(A217,Studies!A:BR,2,FALSE),"")</f>
        <v>Kranke 2012</v>
      </c>
      <c r="C217" s="232" t="str">
        <f>IF(AND(A217&lt;&gt;"",ISNUMBER(A217)),VLOOKUP(A217,Studies!A:BR,3,FALSE),"")</f>
        <v>https://www.ncbi.nlm.nih.gov/pubmed/22546895</v>
      </c>
      <c r="D217" s="232" t="str">
        <f>IF(AND(A217&lt;&gt;"",ISNUMBER(A217)),VLOOKUP(A217,Studies!A:BR,4,FALSE),"")</f>
        <v>Patients @ 3 mg</v>
      </c>
      <c r="E217" s="206" t="str">
        <f>IF(AND(A217&lt;&gt;"",ISNUMBER(A217)),VLOOKUP(A217,Studies!A:BR,5,FALSE),"")</f>
        <v>Buspirone</v>
      </c>
      <c r="F217" s="207" t="str">
        <f>IF(AND(A217&lt;&gt;"",ISNUMBER(A217)),VLOOKUP(A217,Studies!A:BR,6,FALSE),"")</f>
        <v>Plasma</v>
      </c>
      <c r="G217" s="194">
        <v>4</v>
      </c>
      <c r="H217" s="194" t="s">
        <v>60</v>
      </c>
      <c r="I217" s="187">
        <v>2.5436740000000002</v>
      </c>
      <c r="J217" s="187" t="s">
        <v>1026</v>
      </c>
      <c r="K217" s="187" t="s">
        <v>116</v>
      </c>
      <c r="L217" s="195"/>
      <c r="M217" s="195"/>
      <c r="N217" s="195"/>
      <c r="O217" s="199"/>
      <c r="P217" s="188"/>
      <c r="Q217" s="174">
        <f>IF(ISNUMBER(VLOOKUP(A217,NotghiID!A:A,1,FALSE)),1,0)</f>
        <v>0</v>
      </c>
    </row>
    <row r="218" spans="1:17" ht="14.25" x14ac:dyDescent="0.2">
      <c r="A218" s="183">
        <v>326</v>
      </c>
      <c r="B218" s="232" t="str">
        <f>IF(AND(A218&lt;&gt;"",ISNUMBER(A218)),VLOOKUP(A218,Studies!A:BR,2,FALSE),"")</f>
        <v>Lamberg 1998a</v>
      </c>
      <c r="C218" s="232" t="str">
        <f>IF(AND(A218&lt;&gt;"",ISNUMBER(A218)),VLOOKUP(A218,Studies!A:BR,3,FALSE),"")</f>
        <v>https://www.ncbi.nlm.nih.gov/pubmed/9923581</v>
      </c>
      <c r="D218" s="232" t="str">
        <f>IF(AND(A218&lt;&gt;"",ISNUMBER(A218)),VLOOKUP(A218,Studies!A:BR,4,FALSE),"")</f>
        <v>Control (Perpetrator Placebo)</v>
      </c>
      <c r="E218" s="206" t="str">
        <f>IF(AND(A218&lt;&gt;"",ISNUMBER(A218)),VLOOKUP(A218,Studies!A:BR,5,FALSE),"")</f>
        <v>Buspirone</v>
      </c>
      <c r="F218" s="207" t="str">
        <f>IF(AND(A218&lt;&gt;"",ISNUMBER(A218)),VLOOKUP(A218,Studies!A:BR,6,FALSE),"")</f>
        <v>Plasma</v>
      </c>
      <c r="G218" s="194">
        <v>0.5</v>
      </c>
      <c r="H218" s="194" t="s">
        <v>60</v>
      </c>
      <c r="I218" s="187">
        <v>0.93329150000000005</v>
      </c>
      <c r="J218" s="187" t="s">
        <v>1026</v>
      </c>
      <c r="K218" s="187" t="s">
        <v>116</v>
      </c>
      <c r="L218" s="195">
        <v>0.26798169999999999</v>
      </c>
      <c r="M218" s="195" t="s">
        <v>1026</v>
      </c>
      <c r="N218" s="195" t="s">
        <v>1034</v>
      </c>
      <c r="O218" s="199"/>
      <c r="P218" s="188"/>
      <c r="Q218" s="174">
        <f>IF(ISNUMBER(VLOOKUP(A218,NotghiID!A:A,1,FALSE)),1,0)</f>
        <v>0</v>
      </c>
    </row>
    <row r="219" spans="1:17" ht="14.25" x14ac:dyDescent="0.2">
      <c r="A219" s="183">
        <v>326</v>
      </c>
      <c r="B219" s="232" t="str">
        <f>IF(AND(A219&lt;&gt;"",ISNUMBER(A219)),VLOOKUP(A219,Studies!A:BR,2,FALSE),"")</f>
        <v>Lamberg 1998a</v>
      </c>
      <c r="C219" s="232" t="str">
        <f>IF(AND(A219&lt;&gt;"",ISNUMBER(A219)),VLOOKUP(A219,Studies!A:BR,3,FALSE),"")</f>
        <v>https://www.ncbi.nlm.nih.gov/pubmed/9923581</v>
      </c>
      <c r="D219" s="232" t="str">
        <f>IF(AND(A219&lt;&gt;"",ISNUMBER(A219)),VLOOKUP(A219,Studies!A:BR,4,FALSE),"")</f>
        <v>Control (Perpetrator Placebo)</v>
      </c>
      <c r="E219" s="206" t="str">
        <f>IF(AND(A219&lt;&gt;"",ISNUMBER(A219)),VLOOKUP(A219,Studies!A:BR,5,FALSE),"")</f>
        <v>Buspirone</v>
      </c>
      <c r="F219" s="207" t="str">
        <f>IF(AND(A219&lt;&gt;"",ISNUMBER(A219)),VLOOKUP(A219,Studies!A:BR,6,FALSE),"")</f>
        <v>Plasma</v>
      </c>
      <c r="G219" s="194">
        <v>1</v>
      </c>
      <c r="H219" s="194" t="s">
        <v>60</v>
      </c>
      <c r="I219" s="187">
        <v>1.246804</v>
      </c>
      <c r="J219" s="187" t="s">
        <v>1026</v>
      </c>
      <c r="K219" s="187" t="s">
        <v>116</v>
      </c>
      <c r="L219" s="195">
        <v>0.32158120000000001</v>
      </c>
      <c r="M219" s="195" t="s">
        <v>1026</v>
      </c>
      <c r="N219" s="195" t="s">
        <v>1034</v>
      </c>
      <c r="O219" s="199"/>
      <c r="P219" s="188"/>
      <c r="Q219" s="174">
        <f>IF(ISNUMBER(VLOOKUP(A219,NotghiID!A:A,1,FALSE)),1,0)</f>
        <v>0</v>
      </c>
    </row>
    <row r="220" spans="1:17" ht="14.25" x14ac:dyDescent="0.2">
      <c r="A220" s="183">
        <v>326</v>
      </c>
      <c r="B220" s="232" t="str">
        <f>IF(AND(A220&lt;&gt;"",ISNUMBER(A220)),VLOOKUP(A220,Studies!A:BR,2,FALSE),"")</f>
        <v>Lamberg 1998a</v>
      </c>
      <c r="C220" s="232" t="str">
        <f>IF(AND(A220&lt;&gt;"",ISNUMBER(A220)),VLOOKUP(A220,Studies!A:BR,3,FALSE),"")</f>
        <v>https://www.ncbi.nlm.nih.gov/pubmed/9923581</v>
      </c>
      <c r="D220" s="232" t="str">
        <f>IF(AND(A220&lt;&gt;"",ISNUMBER(A220)),VLOOKUP(A220,Studies!A:BR,4,FALSE),"")</f>
        <v>Control (Perpetrator Placebo)</v>
      </c>
      <c r="E220" s="206" t="str">
        <f>IF(AND(A220&lt;&gt;"",ISNUMBER(A220)),VLOOKUP(A220,Studies!A:BR,5,FALSE),"")</f>
        <v>Buspirone</v>
      </c>
      <c r="F220" s="207" t="str">
        <f>IF(AND(A220&lt;&gt;"",ISNUMBER(A220)),VLOOKUP(A220,Studies!A:BR,6,FALSE),"")</f>
        <v>Plasma</v>
      </c>
      <c r="G220" s="194">
        <v>1.5</v>
      </c>
      <c r="H220" s="194" t="s">
        <v>60</v>
      </c>
      <c r="I220" s="187">
        <v>1.376544</v>
      </c>
      <c r="J220" s="187" t="s">
        <v>1026</v>
      </c>
      <c r="K220" s="187" t="s">
        <v>116</v>
      </c>
      <c r="L220" s="195">
        <v>0.41344979999999998</v>
      </c>
      <c r="M220" s="195" t="s">
        <v>1026</v>
      </c>
      <c r="N220" s="195" t="s">
        <v>1034</v>
      </c>
      <c r="O220" s="199"/>
      <c r="P220" s="188"/>
      <c r="Q220" s="174">
        <f>IF(ISNUMBER(VLOOKUP(A220,NotghiID!A:A,1,FALSE)),1,0)</f>
        <v>0</v>
      </c>
    </row>
    <row r="221" spans="1:17" ht="14.25" x14ac:dyDescent="0.2">
      <c r="A221" s="183">
        <v>326</v>
      </c>
      <c r="B221" s="232" t="str">
        <f>IF(AND(A221&lt;&gt;"",ISNUMBER(A221)),VLOOKUP(A221,Studies!A:BR,2,FALSE),"")</f>
        <v>Lamberg 1998a</v>
      </c>
      <c r="C221" s="232" t="str">
        <f>IF(AND(A221&lt;&gt;"",ISNUMBER(A221)),VLOOKUP(A221,Studies!A:BR,3,FALSE),"")</f>
        <v>https://www.ncbi.nlm.nih.gov/pubmed/9923581</v>
      </c>
      <c r="D221" s="232" t="str">
        <f>IF(AND(A221&lt;&gt;"",ISNUMBER(A221)),VLOOKUP(A221,Studies!A:BR,4,FALSE),"")</f>
        <v>Control (Perpetrator Placebo)</v>
      </c>
      <c r="E221" s="206" t="str">
        <f>IF(AND(A221&lt;&gt;"",ISNUMBER(A221)),VLOOKUP(A221,Studies!A:BR,5,FALSE),"")</f>
        <v>Buspirone</v>
      </c>
      <c r="F221" s="207" t="str">
        <f>IF(AND(A221&lt;&gt;"",ISNUMBER(A221)),VLOOKUP(A221,Studies!A:BR,6,FALSE),"")</f>
        <v>Plasma</v>
      </c>
      <c r="G221" s="194">
        <v>2</v>
      </c>
      <c r="H221" s="194" t="s">
        <v>60</v>
      </c>
      <c r="I221" s="187">
        <v>1.069847</v>
      </c>
      <c r="J221" s="187" t="s">
        <v>1026</v>
      </c>
      <c r="K221" s="187" t="s">
        <v>116</v>
      </c>
      <c r="L221" s="195">
        <v>0.26796340000000002</v>
      </c>
      <c r="M221" s="195" t="s">
        <v>1026</v>
      </c>
      <c r="N221" s="195" t="s">
        <v>1034</v>
      </c>
      <c r="O221" s="199"/>
      <c r="P221" s="188"/>
      <c r="Q221" s="174">
        <f>IF(ISNUMBER(VLOOKUP(A221,NotghiID!A:A,1,FALSE)),1,0)</f>
        <v>0</v>
      </c>
    </row>
    <row r="222" spans="1:17" ht="14.25" x14ac:dyDescent="0.2">
      <c r="A222" s="183">
        <v>326</v>
      </c>
      <c r="B222" s="232" t="str">
        <f>IF(AND(A222&lt;&gt;"",ISNUMBER(A222)),VLOOKUP(A222,Studies!A:BR,2,FALSE),"")</f>
        <v>Lamberg 1998a</v>
      </c>
      <c r="C222" s="232" t="str">
        <f>IF(AND(A222&lt;&gt;"",ISNUMBER(A222)),VLOOKUP(A222,Studies!A:BR,3,FALSE),"")</f>
        <v>https://www.ncbi.nlm.nih.gov/pubmed/9923581</v>
      </c>
      <c r="D222" s="232" t="str">
        <f>IF(AND(A222&lt;&gt;"",ISNUMBER(A222)),VLOOKUP(A222,Studies!A:BR,4,FALSE),"")</f>
        <v>Control (Perpetrator Placebo)</v>
      </c>
      <c r="E222" s="206" t="str">
        <f>IF(AND(A222&lt;&gt;"",ISNUMBER(A222)),VLOOKUP(A222,Studies!A:BR,5,FALSE),"")</f>
        <v>Buspirone</v>
      </c>
      <c r="F222" s="207" t="str">
        <f>IF(AND(A222&lt;&gt;"",ISNUMBER(A222)),VLOOKUP(A222,Studies!A:BR,6,FALSE),"")</f>
        <v>Plasma</v>
      </c>
      <c r="G222" s="194">
        <v>3</v>
      </c>
      <c r="H222" s="194" t="s">
        <v>60</v>
      </c>
      <c r="I222" s="187">
        <v>0.83161479999999999</v>
      </c>
      <c r="J222" s="187" t="s">
        <v>1026</v>
      </c>
      <c r="K222" s="187" t="s">
        <v>116</v>
      </c>
      <c r="L222" s="195">
        <v>0.1991213</v>
      </c>
      <c r="M222" s="195" t="s">
        <v>1026</v>
      </c>
      <c r="N222" s="195" t="s">
        <v>1034</v>
      </c>
      <c r="O222" s="199"/>
      <c r="P222" s="188"/>
      <c r="Q222" s="174">
        <f>IF(ISNUMBER(VLOOKUP(A222,NotghiID!A:A,1,FALSE)),1,0)</f>
        <v>0</v>
      </c>
    </row>
    <row r="223" spans="1:17" ht="14.25" x14ac:dyDescent="0.2">
      <c r="A223" s="183">
        <v>326</v>
      </c>
      <c r="B223" s="232" t="str">
        <f>IF(AND(A223&lt;&gt;"",ISNUMBER(A223)),VLOOKUP(A223,Studies!A:BR,2,FALSE),"")</f>
        <v>Lamberg 1998a</v>
      </c>
      <c r="C223" s="232" t="str">
        <f>IF(AND(A223&lt;&gt;"",ISNUMBER(A223)),VLOOKUP(A223,Studies!A:BR,3,FALSE),"")</f>
        <v>https://www.ncbi.nlm.nih.gov/pubmed/9923581</v>
      </c>
      <c r="D223" s="232" t="str">
        <f>IF(AND(A223&lt;&gt;"",ISNUMBER(A223)),VLOOKUP(A223,Studies!A:BR,4,FALSE),"")</f>
        <v>Control (Perpetrator Placebo)</v>
      </c>
      <c r="E223" s="206" t="str">
        <f>IF(AND(A223&lt;&gt;"",ISNUMBER(A223)),VLOOKUP(A223,Studies!A:BR,5,FALSE),"")</f>
        <v>Buspirone</v>
      </c>
      <c r="F223" s="207" t="str">
        <f>IF(AND(A223&lt;&gt;"",ISNUMBER(A223)),VLOOKUP(A223,Studies!A:BR,6,FALSE),"")</f>
        <v>Plasma</v>
      </c>
      <c r="G223" s="194">
        <v>4</v>
      </c>
      <c r="H223" s="194" t="s">
        <v>60</v>
      </c>
      <c r="I223" s="187">
        <v>0.52448669999999997</v>
      </c>
      <c r="J223" s="187" t="s">
        <v>1026</v>
      </c>
      <c r="K223" s="187" t="s">
        <v>116</v>
      </c>
      <c r="L223" s="195">
        <v>0.1071819</v>
      </c>
      <c r="M223" s="195" t="s">
        <v>1026</v>
      </c>
      <c r="N223" s="195" t="s">
        <v>1034</v>
      </c>
      <c r="O223" s="199"/>
      <c r="P223" s="188"/>
      <c r="Q223" s="174">
        <f>IF(ISNUMBER(VLOOKUP(A223,NotghiID!A:A,1,FALSE)),1,0)</f>
        <v>0</v>
      </c>
    </row>
    <row r="224" spans="1:17" ht="14.25" x14ac:dyDescent="0.2">
      <c r="A224" s="183">
        <v>326</v>
      </c>
      <c r="B224" s="232" t="str">
        <f>IF(AND(A224&lt;&gt;"",ISNUMBER(A224)),VLOOKUP(A224,Studies!A:BR,2,FALSE),"")</f>
        <v>Lamberg 1998a</v>
      </c>
      <c r="C224" s="232" t="str">
        <f>IF(AND(A224&lt;&gt;"",ISNUMBER(A224)),VLOOKUP(A224,Studies!A:BR,3,FALSE),"")</f>
        <v>https://www.ncbi.nlm.nih.gov/pubmed/9923581</v>
      </c>
      <c r="D224" s="232" t="str">
        <f>IF(AND(A224&lt;&gt;"",ISNUMBER(A224)),VLOOKUP(A224,Studies!A:BR,4,FALSE),"")</f>
        <v>Control (Perpetrator Placebo)</v>
      </c>
      <c r="E224" s="206" t="str">
        <f>IF(AND(A224&lt;&gt;"",ISNUMBER(A224)),VLOOKUP(A224,Studies!A:BR,5,FALSE),"")</f>
        <v>Buspirone</v>
      </c>
      <c r="F224" s="207" t="str">
        <f>IF(AND(A224&lt;&gt;"",ISNUMBER(A224)),VLOOKUP(A224,Studies!A:BR,6,FALSE),"")</f>
        <v>Plasma</v>
      </c>
      <c r="G224" s="194">
        <v>5</v>
      </c>
      <c r="H224" s="194" t="s">
        <v>60</v>
      </c>
      <c r="I224" s="187">
        <v>0.32455840000000002</v>
      </c>
      <c r="J224" s="187" t="s">
        <v>1026</v>
      </c>
      <c r="K224" s="187" t="s">
        <v>116</v>
      </c>
      <c r="L224" s="195">
        <v>6.8950059999999994E-2</v>
      </c>
      <c r="M224" s="195" t="s">
        <v>1026</v>
      </c>
      <c r="N224" s="195" t="s">
        <v>1034</v>
      </c>
      <c r="O224" s="199"/>
      <c r="P224" s="188"/>
      <c r="Q224" s="174">
        <f>IF(ISNUMBER(VLOOKUP(A224,NotghiID!A:A,1,FALSE)),1,0)</f>
        <v>0</v>
      </c>
    </row>
    <row r="225" spans="1:17" ht="14.25" x14ac:dyDescent="0.2">
      <c r="A225" s="183">
        <v>326</v>
      </c>
      <c r="B225" s="232" t="str">
        <f>IF(AND(A225&lt;&gt;"",ISNUMBER(A225)),VLOOKUP(A225,Studies!A:BR,2,FALSE),"")</f>
        <v>Lamberg 1998a</v>
      </c>
      <c r="C225" s="232" t="str">
        <f>IF(AND(A225&lt;&gt;"",ISNUMBER(A225)),VLOOKUP(A225,Studies!A:BR,3,FALSE),"")</f>
        <v>https://www.ncbi.nlm.nih.gov/pubmed/9923581</v>
      </c>
      <c r="D225" s="232" t="str">
        <f>IF(AND(A225&lt;&gt;"",ISNUMBER(A225)),VLOOKUP(A225,Studies!A:BR,4,FALSE),"")</f>
        <v>Control (Perpetrator Placebo)</v>
      </c>
      <c r="E225" s="206" t="str">
        <f>IF(AND(A225&lt;&gt;"",ISNUMBER(A225)),VLOOKUP(A225,Studies!A:BR,5,FALSE),"")</f>
        <v>Buspirone</v>
      </c>
      <c r="F225" s="207" t="str">
        <f>IF(AND(A225&lt;&gt;"",ISNUMBER(A225)),VLOOKUP(A225,Studies!A:BR,6,FALSE),"")</f>
        <v>Plasma</v>
      </c>
      <c r="G225" s="194">
        <v>6</v>
      </c>
      <c r="H225" s="194" t="s">
        <v>60</v>
      </c>
      <c r="I225" s="187">
        <v>0.24714430000000001</v>
      </c>
      <c r="J225" s="187" t="s">
        <v>1026</v>
      </c>
      <c r="K225" s="187" t="s">
        <v>116</v>
      </c>
      <c r="L225" s="195">
        <v>3.0610579999999998E-2</v>
      </c>
      <c r="M225" s="195" t="s">
        <v>1026</v>
      </c>
      <c r="N225" s="195" t="s">
        <v>1034</v>
      </c>
      <c r="O225" s="199"/>
      <c r="P225" s="188"/>
      <c r="Q225" s="174">
        <f>IF(ISNUMBER(VLOOKUP(A225,NotghiID!A:A,1,FALSE)),1,0)</f>
        <v>0</v>
      </c>
    </row>
    <row r="226" spans="1:17" ht="14.25" x14ac:dyDescent="0.2">
      <c r="A226" s="183">
        <v>326</v>
      </c>
      <c r="B226" s="232" t="str">
        <f>IF(AND(A226&lt;&gt;"",ISNUMBER(A226)),VLOOKUP(A226,Studies!A:BR,2,FALSE),"")</f>
        <v>Lamberg 1998a</v>
      </c>
      <c r="C226" s="232" t="str">
        <f>IF(AND(A226&lt;&gt;"",ISNUMBER(A226)),VLOOKUP(A226,Studies!A:BR,3,FALSE),"")</f>
        <v>https://www.ncbi.nlm.nih.gov/pubmed/9923581</v>
      </c>
      <c r="D226" s="232" t="str">
        <f>IF(AND(A226&lt;&gt;"",ISNUMBER(A226)),VLOOKUP(A226,Studies!A:BR,4,FALSE),"")</f>
        <v>Control (Perpetrator Placebo)</v>
      </c>
      <c r="E226" s="206" t="str">
        <f>IF(AND(A226&lt;&gt;"",ISNUMBER(A226)),VLOOKUP(A226,Studies!A:BR,5,FALSE),"")</f>
        <v>Buspirone</v>
      </c>
      <c r="F226" s="207" t="str">
        <f>IF(AND(A226&lt;&gt;"",ISNUMBER(A226)),VLOOKUP(A226,Studies!A:BR,6,FALSE),"")</f>
        <v>Plasma</v>
      </c>
      <c r="G226" s="194">
        <v>8</v>
      </c>
      <c r="H226" s="194" t="s">
        <v>60</v>
      </c>
      <c r="I226" s="187">
        <v>0.1535551</v>
      </c>
      <c r="J226" s="187" t="s">
        <v>1026</v>
      </c>
      <c r="K226" s="187" t="s">
        <v>116</v>
      </c>
      <c r="L226" s="195">
        <v>4.592487E-2</v>
      </c>
      <c r="M226" s="195" t="s">
        <v>1026</v>
      </c>
      <c r="N226" s="195" t="s">
        <v>1034</v>
      </c>
      <c r="O226" s="199"/>
      <c r="P226" s="188"/>
      <c r="Q226" s="174">
        <f>IF(ISNUMBER(VLOOKUP(A226,NotghiID!A:A,1,FALSE)),1,0)</f>
        <v>0</v>
      </c>
    </row>
    <row r="227" spans="1:17" ht="14.25" x14ac:dyDescent="0.2">
      <c r="A227" s="183">
        <v>326</v>
      </c>
      <c r="B227" s="232" t="str">
        <f>IF(AND(A227&lt;&gt;"",ISNUMBER(A227)),VLOOKUP(A227,Studies!A:BR,2,FALSE),"")</f>
        <v>Lamberg 1998a</v>
      </c>
      <c r="C227" s="232" t="str">
        <f>IF(AND(A227&lt;&gt;"",ISNUMBER(A227)),VLOOKUP(A227,Studies!A:BR,3,FALSE),"")</f>
        <v>https://www.ncbi.nlm.nih.gov/pubmed/9923581</v>
      </c>
      <c r="D227" s="232" t="str">
        <f>IF(AND(A227&lt;&gt;"",ISNUMBER(A227)),VLOOKUP(A227,Studies!A:BR,4,FALSE),"")</f>
        <v>Control (Perpetrator Placebo)</v>
      </c>
      <c r="E227" s="206" t="str">
        <f>IF(AND(A227&lt;&gt;"",ISNUMBER(A227)),VLOOKUP(A227,Studies!A:BR,5,FALSE),"")</f>
        <v>Buspirone</v>
      </c>
      <c r="F227" s="207" t="str">
        <f>IF(AND(A227&lt;&gt;"",ISNUMBER(A227)),VLOOKUP(A227,Studies!A:BR,6,FALSE),"")</f>
        <v>Plasma</v>
      </c>
      <c r="G227" s="194">
        <v>18</v>
      </c>
      <c r="H227" s="194" t="s">
        <v>60</v>
      </c>
      <c r="I227" s="187"/>
      <c r="J227" s="187"/>
      <c r="K227" s="187"/>
      <c r="L227" s="195"/>
      <c r="M227" s="195"/>
      <c r="N227" s="195"/>
      <c r="O227" s="199"/>
      <c r="P227" s="188"/>
      <c r="Q227" s="174">
        <f>IF(ISNUMBER(VLOOKUP(A227,NotghiID!A:A,1,FALSE)),1,0)</f>
        <v>0</v>
      </c>
    </row>
    <row r="228" spans="1:17" ht="14.25" x14ac:dyDescent="0.2">
      <c r="A228" s="183">
        <v>327</v>
      </c>
      <c r="B228" s="232" t="str">
        <f>IF(AND(A228&lt;&gt;"",ISNUMBER(A228)),VLOOKUP(A228,Studies!A:BR,2,FALSE),"")</f>
        <v>Lamberg 1998a</v>
      </c>
      <c r="C228" s="232" t="str">
        <f>IF(AND(A228&lt;&gt;"",ISNUMBER(A228)),VLOOKUP(A228,Studies!A:BR,3,FALSE),"")</f>
        <v>https://www.ncbi.nlm.nih.gov/pubmed/9923581</v>
      </c>
      <c r="D228" s="232" t="str">
        <f>IF(AND(A228&lt;&gt;"",ISNUMBER(A228)),VLOOKUP(A228,Studies!A:BR,4,FALSE),"")</f>
        <v>with Perpetrator (Fluvoxamine)</v>
      </c>
      <c r="E228" s="206" t="str">
        <f>IF(AND(A228&lt;&gt;"",ISNUMBER(A228)),VLOOKUP(A228,Studies!A:BR,5,FALSE),"")</f>
        <v>Buspirone</v>
      </c>
      <c r="F228" s="207" t="str">
        <f>IF(AND(A228&lt;&gt;"",ISNUMBER(A228)),VLOOKUP(A228,Studies!A:BR,6,FALSE),"")</f>
        <v>Plasma</v>
      </c>
      <c r="G228" s="194">
        <v>114.5</v>
      </c>
      <c r="H228" s="194" t="s">
        <v>60</v>
      </c>
      <c r="I228" s="187">
        <v>2.4340540000000002</v>
      </c>
      <c r="J228" s="187" t="s">
        <v>1026</v>
      </c>
      <c r="K228" s="187" t="s">
        <v>116</v>
      </c>
      <c r="L228" s="195">
        <v>0.81933089999999997</v>
      </c>
      <c r="M228" s="195" t="s">
        <v>1026</v>
      </c>
      <c r="N228" s="195" t="s">
        <v>1034</v>
      </c>
      <c r="O228" s="199"/>
      <c r="P228" s="188"/>
      <c r="Q228" s="174">
        <f>IF(ISNUMBER(VLOOKUP(A228,NotghiID!A:A,1,FALSE)),1,0)</f>
        <v>0</v>
      </c>
    </row>
    <row r="229" spans="1:17" ht="14.25" x14ac:dyDescent="0.2">
      <c r="A229" s="183">
        <v>327</v>
      </c>
      <c r="B229" s="232" t="str">
        <f>IF(AND(A229&lt;&gt;"",ISNUMBER(A229)),VLOOKUP(A229,Studies!A:BR,2,FALSE),"")</f>
        <v>Lamberg 1998a</v>
      </c>
      <c r="C229" s="232" t="str">
        <f>IF(AND(A229&lt;&gt;"",ISNUMBER(A229)),VLOOKUP(A229,Studies!A:BR,3,FALSE),"")</f>
        <v>https://www.ncbi.nlm.nih.gov/pubmed/9923581</v>
      </c>
      <c r="D229" s="232" t="str">
        <f>IF(AND(A229&lt;&gt;"",ISNUMBER(A229)),VLOOKUP(A229,Studies!A:BR,4,FALSE),"")</f>
        <v>with Perpetrator (Fluvoxamine)</v>
      </c>
      <c r="E229" s="206" t="str">
        <f>IF(AND(A229&lt;&gt;"",ISNUMBER(A229)),VLOOKUP(A229,Studies!A:BR,5,FALSE),"")</f>
        <v>Buspirone</v>
      </c>
      <c r="F229" s="207" t="str">
        <f>IF(AND(A229&lt;&gt;"",ISNUMBER(A229)),VLOOKUP(A229,Studies!A:BR,6,FALSE),"")</f>
        <v>Plasma</v>
      </c>
      <c r="G229" s="194">
        <v>115</v>
      </c>
      <c r="H229" s="194" t="s">
        <v>60</v>
      </c>
      <c r="I229" s="187">
        <v>3.375451</v>
      </c>
      <c r="J229" s="187" t="s">
        <v>1026</v>
      </c>
      <c r="K229" s="187" t="s">
        <v>116</v>
      </c>
      <c r="L229" s="195">
        <v>0.84992310000000004</v>
      </c>
      <c r="M229" s="195" t="s">
        <v>1026</v>
      </c>
      <c r="N229" s="195" t="s">
        <v>1034</v>
      </c>
      <c r="O229" s="199"/>
      <c r="P229" s="188"/>
      <c r="Q229" s="174">
        <f>IF(ISNUMBER(VLOOKUP(A229,NotghiID!A:A,1,FALSE)),1,0)</f>
        <v>0</v>
      </c>
    </row>
    <row r="230" spans="1:17" ht="14.25" x14ac:dyDescent="0.2">
      <c r="A230" s="183">
        <v>327</v>
      </c>
      <c r="B230" s="232" t="str">
        <f>IF(AND(A230&lt;&gt;"",ISNUMBER(A230)),VLOOKUP(A230,Studies!A:BR,2,FALSE),"")</f>
        <v>Lamberg 1998a</v>
      </c>
      <c r="C230" s="232" t="str">
        <f>IF(AND(A230&lt;&gt;"",ISNUMBER(A230)),VLOOKUP(A230,Studies!A:BR,3,FALSE),"")</f>
        <v>https://www.ncbi.nlm.nih.gov/pubmed/9923581</v>
      </c>
      <c r="D230" s="232" t="str">
        <f>IF(AND(A230&lt;&gt;"",ISNUMBER(A230)),VLOOKUP(A230,Studies!A:BR,4,FALSE),"")</f>
        <v>with Perpetrator (Fluvoxamine)</v>
      </c>
      <c r="E230" s="206" t="str">
        <f>IF(AND(A230&lt;&gt;"",ISNUMBER(A230)),VLOOKUP(A230,Studies!A:BR,5,FALSE),"")</f>
        <v>Buspirone</v>
      </c>
      <c r="F230" s="207" t="str">
        <f>IF(AND(A230&lt;&gt;"",ISNUMBER(A230)),VLOOKUP(A230,Studies!A:BR,6,FALSE),"")</f>
        <v>Plasma</v>
      </c>
      <c r="G230" s="194">
        <v>115.5</v>
      </c>
      <c r="H230" s="194" t="s">
        <v>60</v>
      </c>
      <c r="I230" s="187">
        <v>3.0074779999999999</v>
      </c>
      <c r="J230" s="187" t="s">
        <v>1026</v>
      </c>
      <c r="K230" s="187" t="s">
        <v>116</v>
      </c>
      <c r="L230" s="195">
        <v>0.68912390000000001</v>
      </c>
      <c r="M230" s="195" t="s">
        <v>1026</v>
      </c>
      <c r="N230" s="195" t="s">
        <v>1034</v>
      </c>
      <c r="O230" s="199"/>
      <c r="P230" s="188"/>
      <c r="Q230" s="174">
        <f>IF(ISNUMBER(VLOOKUP(A230,NotghiID!A:A,1,FALSE)),1,0)</f>
        <v>0</v>
      </c>
    </row>
    <row r="231" spans="1:17" ht="14.25" x14ac:dyDescent="0.2">
      <c r="A231" s="183">
        <v>327</v>
      </c>
      <c r="B231" s="232" t="str">
        <f>IF(AND(A231&lt;&gt;"",ISNUMBER(A231)),VLOOKUP(A231,Studies!A:BR,2,FALSE),"")</f>
        <v>Lamberg 1998a</v>
      </c>
      <c r="C231" s="232" t="str">
        <f>IF(AND(A231&lt;&gt;"",ISNUMBER(A231)),VLOOKUP(A231,Studies!A:BR,3,FALSE),"")</f>
        <v>https://www.ncbi.nlm.nih.gov/pubmed/9923581</v>
      </c>
      <c r="D231" s="232" t="str">
        <f>IF(AND(A231&lt;&gt;"",ISNUMBER(A231)),VLOOKUP(A231,Studies!A:BR,4,FALSE),"")</f>
        <v>with Perpetrator (Fluvoxamine)</v>
      </c>
      <c r="E231" s="206" t="str">
        <f>IF(AND(A231&lt;&gt;"",ISNUMBER(A231)),VLOOKUP(A231,Studies!A:BR,5,FALSE),"")</f>
        <v>Buspirone</v>
      </c>
      <c r="F231" s="207" t="str">
        <f>IF(AND(A231&lt;&gt;"",ISNUMBER(A231)),VLOOKUP(A231,Studies!A:BR,6,FALSE),"")</f>
        <v>Plasma</v>
      </c>
      <c r="G231" s="194">
        <v>116</v>
      </c>
      <c r="H231" s="194" t="s">
        <v>60</v>
      </c>
      <c r="I231" s="187">
        <v>2.4098090000000001</v>
      </c>
      <c r="J231" s="187" t="s">
        <v>1026</v>
      </c>
      <c r="K231" s="187" t="s">
        <v>116</v>
      </c>
      <c r="L231" s="195">
        <v>0.55895260000000002</v>
      </c>
      <c r="M231" s="195" t="s">
        <v>1026</v>
      </c>
      <c r="N231" s="195" t="s">
        <v>1034</v>
      </c>
      <c r="O231" s="199"/>
      <c r="P231" s="188"/>
      <c r="Q231" s="174">
        <f>IF(ISNUMBER(VLOOKUP(A231,NotghiID!A:A,1,FALSE)),1,0)</f>
        <v>0</v>
      </c>
    </row>
    <row r="232" spans="1:17" ht="14.25" x14ac:dyDescent="0.2">
      <c r="A232" s="183">
        <v>327</v>
      </c>
      <c r="B232" s="232" t="str">
        <f>IF(AND(A232&lt;&gt;"",ISNUMBER(A232)),VLOOKUP(A232,Studies!A:BR,2,FALSE),"")</f>
        <v>Lamberg 1998a</v>
      </c>
      <c r="C232" s="232" t="str">
        <f>IF(AND(A232&lt;&gt;"",ISNUMBER(A232)),VLOOKUP(A232,Studies!A:BR,3,FALSE),"")</f>
        <v>https://www.ncbi.nlm.nih.gov/pubmed/9923581</v>
      </c>
      <c r="D232" s="232" t="str">
        <f>IF(AND(A232&lt;&gt;"",ISNUMBER(A232)),VLOOKUP(A232,Studies!A:BR,4,FALSE),"")</f>
        <v>with Perpetrator (Fluvoxamine)</v>
      </c>
      <c r="E232" s="206" t="str">
        <f>IF(AND(A232&lt;&gt;"",ISNUMBER(A232)),VLOOKUP(A232,Studies!A:BR,5,FALSE),"")</f>
        <v>Buspirone</v>
      </c>
      <c r="F232" s="207" t="str">
        <f>IF(AND(A232&lt;&gt;"",ISNUMBER(A232)),VLOOKUP(A232,Studies!A:BR,6,FALSE),"")</f>
        <v>Plasma</v>
      </c>
      <c r="G232" s="194">
        <v>117</v>
      </c>
      <c r="H232" s="194" t="s">
        <v>60</v>
      </c>
      <c r="I232" s="187">
        <v>1.467157</v>
      </c>
      <c r="J232" s="187" t="s">
        <v>1026</v>
      </c>
      <c r="K232" s="187" t="s">
        <v>116</v>
      </c>
      <c r="L232" s="195">
        <v>0.3598671</v>
      </c>
      <c r="M232" s="195" t="s">
        <v>1026</v>
      </c>
      <c r="N232" s="195" t="s">
        <v>1034</v>
      </c>
      <c r="O232" s="199"/>
      <c r="P232" s="188"/>
      <c r="Q232" s="174">
        <f>IF(ISNUMBER(VLOOKUP(A232,NotghiID!A:A,1,FALSE)),1,0)</f>
        <v>0</v>
      </c>
    </row>
    <row r="233" spans="1:17" ht="14.25" x14ac:dyDescent="0.2">
      <c r="A233" s="183">
        <v>327</v>
      </c>
      <c r="B233" s="232" t="str">
        <f>IF(AND(A233&lt;&gt;"",ISNUMBER(A233)),VLOOKUP(A233,Studies!A:BR,2,FALSE),"")</f>
        <v>Lamberg 1998a</v>
      </c>
      <c r="C233" s="232" t="str">
        <f>IF(AND(A233&lt;&gt;"",ISNUMBER(A233)),VLOOKUP(A233,Studies!A:BR,3,FALSE),"")</f>
        <v>https://www.ncbi.nlm.nih.gov/pubmed/9923581</v>
      </c>
      <c r="D233" s="232" t="str">
        <f>IF(AND(A233&lt;&gt;"",ISNUMBER(A233)),VLOOKUP(A233,Studies!A:BR,4,FALSE),"")</f>
        <v>with Perpetrator (Fluvoxamine)</v>
      </c>
      <c r="E233" s="206" t="str">
        <f>IF(AND(A233&lt;&gt;"",ISNUMBER(A233)),VLOOKUP(A233,Studies!A:BR,5,FALSE),"")</f>
        <v>Buspirone</v>
      </c>
      <c r="F233" s="207" t="str">
        <f>IF(AND(A233&lt;&gt;"",ISNUMBER(A233)),VLOOKUP(A233,Studies!A:BR,6,FALSE),"")</f>
        <v>Plasma</v>
      </c>
      <c r="G233" s="194">
        <v>118</v>
      </c>
      <c r="H233" s="194" t="s">
        <v>60</v>
      </c>
      <c r="I233" s="187">
        <v>0.88438989999999995</v>
      </c>
      <c r="J233" s="187" t="s">
        <v>1026</v>
      </c>
      <c r="K233" s="187" t="s">
        <v>116</v>
      </c>
      <c r="L233" s="195">
        <v>0.18377109999999999</v>
      </c>
      <c r="M233" s="195" t="s">
        <v>1026</v>
      </c>
      <c r="N233" s="195" t="s">
        <v>1034</v>
      </c>
      <c r="O233" s="199"/>
      <c r="P233" s="188"/>
      <c r="Q233" s="174">
        <f>IF(ISNUMBER(VLOOKUP(A233,NotghiID!A:A,1,FALSE)),1,0)</f>
        <v>0</v>
      </c>
    </row>
    <row r="234" spans="1:17" ht="14.25" x14ac:dyDescent="0.2">
      <c r="A234" s="183">
        <v>327</v>
      </c>
      <c r="B234" s="232" t="str">
        <f>IF(AND(A234&lt;&gt;"",ISNUMBER(A234)),VLOOKUP(A234,Studies!A:BR,2,FALSE),"")</f>
        <v>Lamberg 1998a</v>
      </c>
      <c r="C234" s="232" t="str">
        <f>IF(AND(A234&lt;&gt;"",ISNUMBER(A234)),VLOOKUP(A234,Studies!A:BR,3,FALSE),"")</f>
        <v>https://www.ncbi.nlm.nih.gov/pubmed/9923581</v>
      </c>
      <c r="D234" s="232" t="str">
        <f>IF(AND(A234&lt;&gt;"",ISNUMBER(A234)),VLOOKUP(A234,Studies!A:BR,4,FALSE),"")</f>
        <v>with Perpetrator (Fluvoxamine)</v>
      </c>
      <c r="E234" s="206" t="str">
        <f>IF(AND(A234&lt;&gt;"",ISNUMBER(A234)),VLOOKUP(A234,Studies!A:BR,5,FALSE),"")</f>
        <v>Buspirone</v>
      </c>
      <c r="F234" s="207" t="str">
        <f>IF(AND(A234&lt;&gt;"",ISNUMBER(A234)),VLOOKUP(A234,Studies!A:BR,6,FALSE),"")</f>
        <v>Plasma</v>
      </c>
      <c r="G234" s="194">
        <v>119</v>
      </c>
      <c r="H234" s="194" t="s">
        <v>60</v>
      </c>
      <c r="I234" s="187">
        <v>0.63084370000000001</v>
      </c>
      <c r="J234" s="187" t="s">
        <v>1026</v>
      </c>
      <c r="K234" s="187" t="s">
        <v>116</v>
      </c>
      <c r="L234" s="195">
        <v>9.9506860000000003E-2</v>
      </c>
      <c r="M234" s="195" t="s">
        <v>1026</v>
      </c>
      <c r="N234" s="195" t="s">
        <v>1034</v>
      </c>
      <c r="O234" s="199"/>
      <c r="P234" s="188"/>
      <c r="Q234" s="174">
        <f>IF(ISNUMBER(VLOOKUP(A234,NotghiID!A:A,1,FALSE)),1,0)</f>
        <v>0</v>
      </c>
    </row>
    <row r="235" spans="1:17" ht="14.25" x14ac:dyDescent="0.2">
      <c r="A235" s="183">
        <v>327</v>
      </c>
      <c r="B235" s="232" t="str">
        <f>IF(AND(A235&lt;&gt;"",ISNUMBER(A235)),VLOOKUP(A235,Studies!A:BR,2,FALSE),"")</f>
        <v>Lamberg 1998a</v>
      </c>
      <c r="C235" s="232" t="str">
        <f>IF(AND(A235&lt;&gt;"",ISNUMBER(A235)),VLOOKUP(A235,Studies!A:BR,3,FALSE),"")</f>
        <v>https://www.ncbi.nlm.nih.gov/pubmed/9923581</v>
      </c>
      <c r="D235" s="232" t="str">
        <f>IF(AND(A235&lt;&gt;"",ISNUMBER(A235)),VLOOKUP(A235,Studies!A:BR,4,FALSE),"")</f>
        <v>with Perpetrator (Fluvoxamine)</v>
      </c>
      <c r="E235" s="206" t="str">
        <f>IF(AND(A235&lt;&gt;"",ISNUMBER(A235)),VLOOKUP(A235,Studies!A:BR,5,FALSE),"")</f>
        <v>Buspirone</v>
      </c>
      <c r="F235" s="207" t="str">
        <f>IF(AND(A235&lt;&gt;"",ISNUMBER(A235)),VLOOKUP(A235,Studies!A:BR,6,FALSE),"")</f>
        <v>Plasma</v>
      </c>
      <c r="G235" s="194">
        <v>120</v>
      </c>
      <c r="H235" s="194" t="s">
        <v>60</v>
      </c>
      <c r="I235" s="187">
        <v>0.49217250000000001</v>
      </c>
      <c r="J235" s="187" t="s">
        <v>1026</v>
      </c>
      <c r="K235" s="187" t="s">
        <v>116</v>
      </c>
      <c r="L235" s="195">
        <v>0.114857</v>
      </c>
      <c r="M235" s="195" t="s">
        <v>1026</v>
      </c>
      <c r="N235" s="195" t="s">
        <v>1034</v>
      </c>
      <c r="O235" s="199"/>
      <c r="P235" s="188"/>
      <c r="Q235" s="174">
        <f>IF(ISNUMBER(VLOOKUP(A235,NotghiID!A:A,1,FALSE)),1,0)</f>
        <v>0</v>
      </c>
    </row>
    <row r="236" spans="1:17" ht="14.25" x14ac:dyDescent="0.2">
      <c r="A236" s="183">
        <v>327</v>
      </c>
      <c r="B236" s="232" t="str">
        <f>IF(AND(A236&lt;&gt;"",ISNUMBER(A236)),VLOOKUP(A236,Studies!A:BR,2,FALSE),"")</f>
        <v>Lamberg 1998a</v>
      </c>
      <c r="C236" s="232" t="str">
        <f>IF(AND(A236&lt;&gt;"",ISNUMBER(A236)),VLOOKUP(A236,Studies!A:BR,3,FALSE),"")</f>
        <v>https://www.ncbi.nlm.nih.gov/pubmed/9923581</v>
      </c>
      <c r="D236" s="232" t="str">
        <f>IF(AND(A236&lt;&gt;"",ISNUMBER(A236)),VLOOKUP(A236,Studies!A:BR,4,FALSE),"")</f>
        <v>with Perpetrator (Fluvoxamine)</v>
      </c>
      <c r="E236" s="206" t="str">
        <f>IF(AND(A236&lt;&gt;"",ISNUMBER(A236)),VLOOKUP(A236,Studies!A:BR,5,FALSE),"")</f>
        <v>Buspirone</v>
      </c>
      <c r="F236" s="207" t="str">
        <f>IF(AND(A236&lt;&gt;"",ISNUMBER(A236)),VLOOKUP(A236,Studies!A:BR,6,FALSE),"")</f>
        <v>Plasma</v>
      </c>
      <c r="G236" s="194">
        <v>122</v>
      </c>
      <c r="H236" s="194" t="s">
        <v>60</v>
      </c>
      <c r="I236" s="187">
        <v>0.36033349999999997</v>
      </c>
      <c r="J236" s="187" t="s">
        <v>1026</v>
      </c>
      <c r="K236" s="187" t="s">
        <v>116</v>
      </c>
      <c r="L236" s="195">
        <v>3.8231910000000001E-2</v>
      </c>
      <c r="M236" s="195" t="s">
        <v>1026</v>
      </c>
      <c r="N236" s="195" t="s">
        <v>1034</v>
      </c>
      <c r="O236" s="199"/>
      <c r="P236" s="188"/>
      <c r="Q236" s="174">
        <f>IF(ISNUMBER(VLOOKUP(A236,NotghiID!A:A,1,FALSE)),1,0)</f>
        <v>0</v>
      </c>
    </row>
    <row r="237" spans="1:17" ht="14.25" x14ac:dyDescent="0.2">
      <c r="A237" s="183">
        <v>327</v>
      </c>
      <c r="B237" s="232" t="str">
        <f>IF(AND(A237&lt;&gt;"",ISNUMBER(A237)),VLOOKUP(A237,Studies!A:BR,2,FALSE),"")</f>
        <v>Lamberg 1998a</v>
      </c>
      <c r="C237" s="232" t="str">
        <f>IF(AND(A237&lt;&gt;"",ISNUMBER(A237)),VLOOKUP(A237,Studies!A:BR,3,FALSE),"")</f>
        <v>https://www.ncbi.nlm.nih.gov/pubmed/9923581</v>
      </c>
      <c r="D237" s="232" t="str">
        <f>IF(AND(A237&lt;&gt;"",ISNUMBER(A237)),VLOOKUP(A237,Studies!A:BR,4,FALSE),"")</f>
        <v>with Perpetrator (Fluvoxamine)</v>
      </c>
      <c r="E237" s="206" t="str">
        <f>IF(AND(A237&lt;&gt;"",ISNUMBER(A237)),VLOOKUP(A237,Studies!A:BR,5,FALSE),"")</f>
        <v>Buspirone</v>
      </c>
      <c r="F237" s="207" t="str">
        <f>IF(AND(A237&lt;&gt;"",ISNUMBER(A237)),VLOOKUP(A237,Studies!A:BR,6,FALSE),"")</f>
        <v>Plasma</v>
      </c>
      <c r="G237" s="194">
        <v>132</v>
      </c>
      <c r="H237" s="194" t="s">
        <v>60</v>
      </c>
      <c r="I237" s="187">
        <v>4.5530349999999997E-2</v>
      </c>
      <c r="J237" s="187" t="s">
        <v>1026</v>
      </c>
      <c r="K237" s="187" t="s">
        <v>116</v>
      </c>
      <c r="L237" s="195"/>
      <c r="M237" s="195"/>
      <c r="N237" s="195"/>
      <c r="O237" s="199"/>
      <c r="P237" s="188"/>
      <c r="Q237" s="174">
        <f>IF(ISNUMBER(VLOOKUP(A237,NotghiID!A:A,1,FALSE)),1,0)</f>
        <v>0</v>
      </c>
    </row>
    <row r="238" spans="1:17" ht="14.25" x14ac:dyDescent="0.2">
      <c r="A238" s="183">
        <v>328</v>
      </c>
      <c r="B238" s="232" t="str">
        <f>IF(AND(A238&lt;&gt;"",ISNUMBER(A238)),VLOOKUP(A238,Studies!A:BR,2,FALSE),"")</f>
        <v>Lamberg 1998b</v>
      </c>
      <c r="C238" s="232" t="str">
        <f>IF(AND(A238&lt;&gt;"",ISNUMBER(A238)),VLOOKUP(A238,Studies!A:BR,3,FALSE),"")</f>
        <v>https://www.ncbi.nlm.nih.gov/pubmed/9578186</v>
      </c>
      <c r="D238" s="232" t="str">
        <f>IF(AND(A238&lt;&gt;"",ISNUMBER(A238)),VLOOKUP(A238,Studies!A:BR,4,FALSE),"")</f>
        <v>Control (Perpetrator Placebo)</v>
      </c>
      <c r="E238" s="206" t="str">
        <f>IF(AND(A238&lt;&gt;"",ISNUMBER(A238)),VLOOKUP(A238,Studies!A:BR,5,FALSE),"")</f>
        <v>Buspirone</v>
      </c>
      <c r="F238" s="207" t="str">
        <f>IF(AND(A238&lt;&gt;"",ISNUMBER(A238)),VLOOKUP(A238,Studies!A:BR,6,FALSE),"")</f>
        <v>Plasma</v>
      </c>
      <c r="G238" s="194">
        <v>0.5</v>
      </c>
      <c r="H238" s="194" t="s">
        <v>60</v>
      </c>
      <c r="I238" s="187">
        <v>1.547669</v>
      </c>
      <c r="J238" s="187" t="s">
        <v>1026</v>
      </c>
      <c r="K238" s="187" t="s">
        <v>116</v>
      </c>
      <c r="L238" s="195">
        <v>0.85392369999999995</v>
      </c>
      <c r="M238" s="195" t="s">
        <v>1026</v>
      </c>
      <c r="N238" s="195" t="s">
        <v>1034</v>
      </c>
      <c r="O238" s="199"/>
      <c r="P238" s="188"/>
      <c r="Q238" s="174">
        <f>IF(ISNUMBER(VLOOKUP(A238,NotghiID!A:A,1,FALSE)),1,0)</f>
        <v>0</v>
      </c>
    </row>
    <row r="239" spans="1:17" ht="14.25" x14ac:dyDescent="0.2">
      <c r="A239" s="183">
        <v>328</v>
      </c>
      <c r="B239" s="232" t="str">
        <f>IF(AND(A239&lt;&gt;"",ISNUMBER(A239)),VLOOKUP(A239,Studies!A:BR,2,FALSE),"")</f>
        <v>Lamberg 1998b</v>
      </c>
      <c r="C239" s="232" t="str">
        <f>IF(AND(A239&lt;&gt;"",ISNUMBER(A239)),VLOOKUP(A239,Studies!A:BR,3,FALSE),"")</f>
        <v>https://www.ncbi.nlm.nih.gov/pubmed/9578186</v>
      </c>
      <c r="D239" s="232" t="str">
        <f>IF(AND(A239&lt;&gt;"",ISNUMBER(A239)),VLOOKUP(A239,Studies!A:BR,4,FALSE),"")</f>
        <v>Control (Perpetrator Placebo)</v>
      </c>
      <c r="E239" s="206" t="str">
        <f>IF(AND(A239&lt;&gt;"",ISNUMBER(A239)),VLOOKUP(A239,Studies!A:BR,5,FALSE),"")</f>
        <v>Buspirone</v>
      </c>
      <c r="F239" s="207" t="str">
        <f>IF(AND(A239&lt;&gt;"",ISNUMBER(A239)),VLOOKUP(A239,Studies!A:BR,6,FALSE),"")</f>
        <v>Plasma</v>
      </c>
      <c r="G239" s="194">
        <v>1</v>
      </c>
      <c r="H239" s="194" t="s">
        <v>60</v>
      </c>
      <c r="I239" s="187">
        <v>5.2010810000000003</v>
      </c>
      <c r="J239" s="187" t="s">
        <v>1026</v>
      </c>
      <c r="K239" s="187" t="s">
        <v>116</v>
      </c>
      <c r="L239" s="195">
        <v>1.022661</v>
      </c>
      <c r="M239" s="195" t="s">
        <v>1026</v>
      </c>
      <c r="N239" s="195" t="s">
        <v>1034</v>
      </c>
      <c r="O239" s="199"/>
      <c r="P239" s="188"/>
      <c r="Q239" s="174">
        <f>IF(ISNUMBER(VLOOKUP(A239,NotghiID!A:A,1,FALSE)),1,0)</f>
        <v>0</v>
      </c>
    </row>
    <row r="240" spans="1:17" ht="14.25" x14ac:dyDescent="0.2">
      <c r="A240" s="183">
        <v>328</v>
      </c>
      <c r="B240" s="232" t="str">
        <f>IF(AND(A240&lt;&gt;"",ISNUMBER(A240)),VLOOKUP(A240,Studies!A:BR,2,FALSE),"")</f>
        <v>Lamberg 1998b</v>
      </c>
      <c r="C240" s="232" t="str">
        <f>IF(AND(A240&lt;&gt;"",ISNUMBER(A240)),VLOOKUP(A240,Studies!A:BR,3,FALSE),"")</f>
        <v>https://www.ncbi.nlm.nih.gov/pubmed/9578186</v>
      </c>
      <c r="D240" s="232" t="str">
        <f>IF(AND(A240&lt;&gt;"",ISNUMBER(A240)),VLOOKUP(A240,Studies!A:BR,4,FALSE),"")</f>
        <v>Control (Perpetrator Placebo)</v>
      </c>
      <c r="E240" s="206" t="str">
        <f>IF(AND(A240&lt;&gt;"",ISNUMBER(A240)),VLOOKUP(A240,Studies!A:BR,5,FALSE),"")</f>
        <v>Buspirone</v>
      </c>
      <c r="F240" s="207" t="str">
        <f>IF(AND(A240&lt;&gt;"",ISNUMBER(A240)),VLOOKUP(A240,Studies!A:BR,6,FALSE),"")</f>
        <v>Plasma</v>
      </c>
      <c r="G240" s="194">
        <v>1.5</v>
      </c>
      <c r="H240" s="194" t="s">
        <v>60</v>
      </c>
      <c r="I240" s="187">
        <v>5.1012789999999999</v>
      </c>
      <c r="J240" s="187" t="s">
        <v>1026</v>
      </c>
      <c r="K240" s="187" t="s">
        <v>116</v>
      </c>
      <c r="L240" s="195">
        <v>1.1815260000000001</v>
      </c>
      <c r="M240" s="195" t="s">
        <v>1026</v>
      </c>
      <c r="N240" s="195" t="s">
        <v>1034</v>
      </c>
      <c r="O240" s="199"/>
      <c r="P240" s="188"/>
      <c r="Q240" s="174">
        <f>IF(ISNUMBER(VLOOKUP(A240,NotghiID!A:A,1,FALSE)),1,0)</f>
        <v>0</v>
      </c>
    </row>
    <row r="241" spans="1:17" ht="14.25" x14ac:dyDescent="0.2">
      <c r="A241" s="183">
        <v>328</v>
      </c>
      <c r="B241" s="232" t="str">
        <f>IF(AND(A241&lt;&gt;"",ISNUMBER(A241)),VLOOKUP(A241,Studies!A:BR,2,FALSE),"")</f>
        <v>Lamberg 1998b</v>
      </c>
      <c r="C241" s="232" t="str">
        <f>IF(AND(A241&lt;&gt;"",ISNUMBER(A241)),VLOOKUP(A241,Studies!A:BR,3,FALSE),"")</f>
        <v>https://www.ncbi.nlm.nih.gov/pubmed/9578186</v>
      </c>
      <c r="D241" s="232" t="str">
        <f>IF(AND(A241&lt;&gt;"",ISNUMBER(A241)),VLOOKUP(A241,Studies!A:BR,4,FALSE),"")</f>
        <v>Control (Perpetrator Placebo)</v>
      </c>
      <c r="E241" s="206" t="str">
        <f>IF(AND(A241&lt;&gt;"",ISNUMBER(A241)),VLOOKUP(A241,Studies!A:BR,5,FALSE),"")</f>
        <v>Buspirone</v>
      </c>
      <c r="F241" s="207" t="str">
        <f>IF(AND(A241&lt;&gt;"",ISNUMBER(A241)),VLOOKUP(A241,Studies!A:BR,6,FALSE),"")</f>
        <v>Plasma</v>
      </c>
      <c r="G241" s="194">
        <v>2</v>
      </c>
      <c r="H241" s="194" t="s">
        <v>60</v>
      </c>
      <c r="I241" s="187">
        <v>4.8724220000000003</v>
      </c>
      <c r="J241" s="187" t="s">
        <v>1026</v>
      </c>
      <c r="K241" s="187" t="s">
        <v>116</v>
      </c>
      <c r="L241" s="195">
        <v>1.131926</v>
      </c>
      <c r="M241" s="195" t="s">
        <v>1026</v>
      </c>
      <c r="N241" s="195" t="s">
        <v>1034</v>
      </c>
      <c r="O241" s="199"/>
      <c r="P241" s="188"/>
      <c r="Q241" s="174">
        <f>IF(ISNUMBER(VLOOKUP(A241,NotghiID!A:A,1,FALSE)),1,0)</f>
        <v>0</v>
      </c>
    </row>
    <row r="242" spans="1:17" ht="14.25" x14ac:dyDescent="0.2">
      <c r="A242" s="183">
        <v>328</v>
      </c>
      <c r="B242" s="232" t="str">
        <f>IF(AND(A242&lt;&gt;"",ISNUMBER(A242)),VLOOKUP(A242,Studies!A:BR,2,FALSE),"")</f>
        <v>Lamberg 1998b</v>
      </c>
      <c r="C242" s="232" t="str">
        <f>IF(AND(A242&lt;&gt;"",ISNUMBER(A242)),VLOOKUP(A242,Studies!A:BR,3,FALSE),"")</f>
        <v>https://www.ncbi.nlm.nih.gov/pubmed/9578186</v>
      </c>
      <c r="D242" s="232" t="str">
        <f>IF(AND(A242&lt;&gt;"",ISNUMBER(A242)),VLOOKUP(A242,Studies!A:BR,4,FALSE),"")</f>
        <v>Control (Perpetrator Placebo)</v>
      </c>
      <c r="E242" s="206" t="str">
        <f>IF(AND(A242&lt;&gt;"",ISNUMBER(A242)),VLOOKUP(A242,Studies!A:BR,5,FALSE),"")</f>
        <v>Buspirone</v>
      </c>
      <c r="F242" s="207" t="str">
        <f>IF(AND(A242&lt;&gt;"",ISNUMBER(A242)),VLOOKUP(A242,Studies!A:BR,6,FALSE),"")</f>
        <v>Plasma</v>
      </c>
      <c r="G242" s="194">
        <v>3</v>
      </c>
      <c r="H242" s="194" t="s">
        <v>60</v>
      </c>
      <c r="I242" s="187">
        <v>4.0076039999999997</v>
      </c>
      <c r="J242" s="187" t="s">
        <v>1026</v>
      </c>
      <c r="K242" s="187" t="s">
        <v>116</v>
      </c>
      <c r="L242" s="195">
        <v>1.0723400000000001</v>
      </c>
      <c r="M242" s="195" t="s">
        <v>1026</v>
      </c>
      <c r="N242" s="195" t="s">
        <v>1034</v>
      </c>
      <c r="O242" s="199"/>
      <c r="P242" s="188"/>
      <c r="Q242" s="174">
        <f>IF(ISNUMBER(VLOOKUP(A242,NotghiID!A:A,1,FALSE)),1,0)</f>
        <v>0</v>
      </c>
    </row>
    <row r="243" spans="1:17" ht="14.25" x14ac:dyDescent="0.2">
      <c r="A243" s="183">
        <v>328</v>
      </c>
      <c r="B243" s="232" t="str">
        <f>IF(AND(A243&lt;&gt;"",ISNUMBER(A243)),VLOOKUP(A243,Studies!A:BR,2,FALSE),"")</f>
        <v>Lamberg 1998b</v>
      </c>
      <c r="C243" s="232" t="str">
        <f>IF(AND(A243&lt;&gt;"",ISNUMBER(A243)),VLOOKUP(A243,Studies!A:BR,3,FALSE),"")</f>
        <v>https://www.ncbi.nlm.nih.gov/pubmed/9578186</v>
      </c>
      <c r="D243" s="232" t="str">
        <f>IF(AND(A243&lt;&gt;"",ISNUMBER(A243)),VLOOKUP(A243,Studies!A:BR,4,FALSE),"")</f>
        <v>Control (Perpetrator Placebo)</v>
      </c>
      <c r="E243" s="206" t="str">
        <f>IF(AND(A243&lt;&gt;"",ISNUMBER(A243)),VLOOKUP(A243,Studies!A:BR,5,FALSE),"")</f>
        <v>Buspirone</v>
      </c>
      <c r="F243" s="207" t="str">
        <f>IF(AND(A243&lt;&gt;"",ISNUMBER(A243)),VLOOKUP(A243,Studies!A:BR,6,FALSE),"")</f>
        <v>Plasma</v>
      </c>
      <c r="G243" s="194">
        <v>4</v>
      </c>
      <c r="H243" s="194" t="s">
        <v>60</v>
      </c>
      <c r="I243" s="187">
        <v>2.5867460000000002</v>
      </c>
      <c r="J243" s="187" t="s">
        <v>1026</v>
      </c>
      <c r="K243" s="187" t="s">
        <v>116</v>
      </c>
      <c r="L243" s="195">
        <v>0.72482250000000004</v>
      </c>
      <c r="M243" s="195" t="s">
        <v>1026</v>
      </c>
      <c r="N243" s="195" t="s">
        <v>1034</v>
      </c>
      <c r="O243" s="199"/>
      <c r="P243" s="188"/>
      <c r="Q243" s="174">
        <f>IF(ISNUMBER(VLOOKUP(A243,NotghiID!A:A,1,FALSE)),1,0)</f>
        <v>0</v>
      </c>
    </row>
    <row r="244" spans="1:17" ht="14.25" x14ac:dyDescent="0.2">
      <c r="A244" s="183">
        <v>328</v>
      </c>
      <c r="B244" s="232" t="str">
        <f>IF(AND(A244&lt;&gt;"",ISNUMBER(A244)),VLOOKUP(A244,Studies!A:BR,2,FALSE),"")</f>
        <v>Lamberg 1998b</v>
      </c>
      <c r="C244" s="232" t="str">
        <f>IF(AND(A244&lt;&gt;"",ISNUMBER(A244)),VLOOKUP(A244,Studies!A:BR,3,FALSE),"")</f>
        <v>https://www.ncbi.nlm.nih.gov/pubmed/9578186</v>
      </c>
      <c r="D244" s="232" t="str">
        <f>IF(AND(A244&lt;&gt;"",ISNUMBER(A244)),VLOOKUP(A244,Studies!A:BR,4,FALSE),"")</f>
        <v>Control (Perpetrator Placebo)</v>
      </c>
      <c r="E244" s="206" t="str">
        <f>IF(AND(A244&lt;&gt;"",ISNUMBER(A244)),VLOOKUP(A244,Studies!A:BR,5,FALSE),"")</f>
        <v>Buspirone</v>
      </c>
      <c r="F244" s="207" t="str">
        <f>IF(AND(A244&lt;&gt;"",ISNUMBER(A244)),VLOOKUP(A244,Studies!A:BR,6,FALSE),"")</f>
        <v>Plasma</v>
      </c>
      <c r="G244" s="194">
        <v>5</v>
      </c>
      <c r="H244" s="194" t="s">
        <v>60</v>
      </c>
      <c r="I244" s="187">
        <v>1.543228</v>
      </c>
      <c r="J244" s="187" t="s">
        <v>1026</v>
      </c>
      <c r="K244" s="187" t="s">
        <v>116</v>
      </c>
      <c r="L244" s="195">
        <v>0.42696149999999999</v>
      </c>
      <c r="M244" s="195" t="s">
        <v>1026</v>
      </c>
      <c r="N244" s="195" t="s">
        <v>1034</v>
      </c>
      <c r="O244" s="199"/>
      <c r="P244" s="188"/>
      <c r="Q244" s="174">
        <f>IF(ISNUMBER(VLOOKUP(A244,NotghiID!A:A,1,FALSE)),1,0)</f>
        <v>0</v>
      </c>
    </row>
    <row r="245" spans="1:17" ht="14.25" x14ac:dyDescent="0.2">
      <c r="A245" s="183">
        <v>328</v>
      </c>
      <c r="B245" s="232" t="str">
        <f>IF(AND(A245&lt;&gt;"",ISNUMBER(A245)),VLOOKUP(A245,Studies!A:BR,2,FALSE),"")</f>
        <v>Lamberg 1998b</v>
      </c>
      <c r="C245" s="232" t="str">
        <f>IF(AND(A245&lt;&gt;"",ISNUMBER(A245)),VLOOKUP(A245,Studies!A:BR,3,FALSE),"")</f>
        <v>https://www.ncbi.nlm.nih.gov/pubmed/9578186</v>
      </c>
      <c r="D245" s="232" t="str">
        <f>IF(AND(A245&lt;&gt;"",ISNUMBER(A245)),VLOOKUP(A245,Studies!A:BR,4,FALSE),"")</f>
        <v>Control (Perpetrator Placebo)</v>
      </c>
      <c r="E245" s="206" t="str">
        <f>IF(AND(A245&lt;&gt;"",ISNUMBER(A245)),VLOOKUP(A245,Studies!A:BR,5,FALSE),"")</f>
        <v>Buspirone</v>
      </c>
      <c r="F245" s="207" t="str">
        <f>IF(AND(A245&lt;&gt;"",ISNUMBER(A245)),VLOOKUP(A245,Studies!A:BR,6,FALSE),"")</f>
        <v>Plasma</v>
      </c>
      <c r="G245" s="194">
        <v>6</v>
      </c>
      <c r="H245" s="194" t="s">
        <v>60</v>
      </c>
      <c r="I245" s="187">
        <v>1.0159750000000001</v>
      </c>
      <c r="J245" s="187" t="s">
        <v>1026</v>
      </c>
      <c r="K245" s="187" t="s">
        <v>116</v>
      </c>
      <c r="L245" s="195">
        <v>0.25814429999999999</v>
      </c>
      <c r="M245" s="195" t="s">
        <v>1026</v>
      </c>
      <c r="N245" s="195" t="s">
        <v>1034</v>
      </c>
      <c r="O245" s="199"/>
      <c r="P245" s="188"/>
      <c r="Q245" s="174">
        <f>IF(ISNUMBER(VLOOKUP(A245,NotghiID!A:A,1,FALSE)),1,0)</f>
        <v>0</v>
      </c>
    </row>
    <row r="246" spans="1:17" ht="14.25" x14ac:dyDescent="0.2">
      <c r="A246" s="183">
        <v>328</v>
      </c>
      <c r="B246" s="232" t="str">
        <f>IF(AND(A246&lt;&gt;"",ISNUMBER(A246)),VLOOKUP(A246,Studies!A:BR,2,FALSE),"")</f>
        <v>Lamberg 1998b</v>
      </c>
      <c r="C246" s="232" t="str">
        <f>IF(AND(A246&lt;&gt;"",ISNUMBER(A246)),VLOOKUP(A246,Studies!A:BR,3,FALSE),"")</f>
        <v>https://www.ncbi.nlm.nih.gov/pubmed/9578186</v>
      </c>
      <c r="D246" s="232" t="str">
        <f>IF(AND(A246&lt;&gt;"",ISNUMBER(A246)),VLOOKUP(A246,Studies!A:BR,4,FALSE),"")</f>
        <v>Control (Perpetrator Placebo)</v>
      </c>
      <c r="E246" s="206" t="str">
        <f>IF(AND(A246&lt;&gt;"",ISNUMBER(A246)),VLOOKUP(A246,Studies!A:BR,5,FALSE),"")</f>
        <v>Buspirone</v>
      </c>
      <c r="F246" s="207" t="str">
        <f>IF(AND(A246&lt;&gt;"",ISNUMBER(A246)),VLOOKUP(A246,Studies!A:BR,6,FALSE),"")</f>
        <v>Plasma</v>
      </c>
      <c r="G246" s="194">
        <v>8</v>
      </c>
      <c r="H246" s="194" t="s">
        <v>60</v>
      </c>
      <c r="I246" s="187">
        <v>0.56721310000000003</v>
      </c>
      <c r="J246" s="187" t="s">
        <v>1026</v>
      </c>
      <c r="K246" s="187" t="s">
        <v>116</v>
      </c>
      <c r="L246" s="195">
        <v>0.1191489</v>
      </c>
      <c r="M246" s="195" t="s">
        <v>1026</v>
      </c>
      <c r="N246" s="195" t="s">
        <v>1034</v>
      </c>
      <c r="O246" s="199"/>
      <c r="P246" s="188"/>
      <c r="Q246" s="174">
        <f>IF(ISNUMBER(VLOOKUP(A246,NotghiID!A:A,1,FALSE)),1,0)</f>
        <v>0</v>
      </c>
    </row>
    <row r="247" spans="1:17" ht="14.25" x14ac:dyDescent="0.2">
      <c r="A247" s="183">
        <v>328</v>
      </c>
      <c r="B247" s="232" t="str">
        <f>IF(AND(A247&lt;&gt;"",ISNUMBER(A247)),VLOOKUP(A247,Studies!A:BR,2,FALSE),"")</f>
        <v>Lamberg 1998b</v>
      </c>
      <c r="C247" s="232" t="str">
        <f>IF(AND(A247&lt;&gt;"",ISNUMBER(A247)),VLOOKUP(A247,Studies!A:BR,3,FALSE),"")</f>
        <v>https://www.ncbi.nlm.nih.gov/pubmed/9578186</v>
      </c>
      <c r="D247" s="232" t="str">
        <f>IF(AND(A247&lt;&gt;"",ISNUMBER(A247)),VLOOKUP(A247,Studies!A:BR,4,FALSE),"")</f>
        <v>Control (Perpetrator Placebo)</v>
      </c>
      <c r="E247" s="206" t="str">
        <f>IF(AND(A247&lt;&gt;"",ISNUMBER(A247)),VLOOKUP(A247,Studies!A:BR,5,FALSE),"")</f>
        <v>Buspirone</v>
      </c>
      <c r="F247" s="207" t="str">
        <f>IF(AND(A247&lt;&gt;"",ISNUMBER(A247)),VLOOKUP(A247,Studies!A:BR,6,FALSE),"")</f>
        <v>Plasma</v>
      </c>
      <c r="G247" s="194">
        <v>10</v>
      </c>
      <c r="H247" s="194" t="s">
        <v>60</v>
      </c>
      <c r="I247" s="187">
        <v>0.36664340000000001</v>
      </c>
      <c r="J247" s="187" t="s">
        <v>1026</v>
      </c>
      <c r="K247" s="187" t="s">
        <v>116</v>
      </c>
      <c r="L247" s="195">
        <v>9.9325689999999994E-2</v>
      </c>
      <c r="M247" s="195" t="s">
        <v>1026</v>
      </c>
      <c r="N247" s="195" t="s">
        <v>1034</v>
      </c>
      <c r="O247" s="199"/>
      <c r="P247" s="188"/>
      <c r="Q247" s="174">
        <f>IF(ISNUMBER(VLOOKUP(A247,NotghiID!A:A,1,FALSE)),1,0)</f>
        <v>0</v>
      </c>
    </row>
    <row r="248" spans="1:17" ht="14.25" x14ac:dyDescent="0.2">
      <c r="A248" s="183">
        <v>329</v>
      </c>
      <c r="B248" s="232" t="str">
        <f>IF(AND(A248&lt;&gt;"",ISNUMBER(A248)),VLOOKUP(A248,Studies!A:BR,2,FALSE),"")</f>
        <v>Lamberg 1998b</v>
      </c>
      <c r="C248" s="232" t="str">
        <f>IF(AND(A248&lt;&gt;"",ISNUMBER(A248)),VLOOKUP(A248,Studies!A:BR,3,FALSE),"")</f>
        <v>https://www.ncbi.nlm.nih.gov/pubmed/9578186</v>
      </c>
      <c r="D248" s="232" t="str">
        <f>IF(AND(A248&lt;&gt;"",ISNUMBER(A248)),VLOOKUP(A248,Studies!A:BR,4,FALSE),"")</f>
        <v>with Perpetrator (Rifampicin)</v>
      </c>
      <c r="E248" s="206" t="str">
        <f>IF(AND(A248&lt;&gt;"",ISNUMBER(A248)),VLOOKUP(A248,Studies!A:BR,5,FALSE),"")</f>
        <v>Buspirone</v>
      </c>
      <c r="F248" s="207" t="str">
        <f>IF(AND(A248&lt;&gt;"",ISNUMBER(A248)),VLOOKUP(A248,Studies!A:BR,6,FALSE),"")</f>
        <v>Plasma</v>
      </c>
      <c r="G248" s="194">
        <v>113.5</v>
      </c>
      <c r="H248" s="194" t="s">
        <v>60</v>
      </c>
      <c r="I248" s="187">
        <v>0.69379139999999995</v>
      </c>
      <c r="J248" s="187" t="s">
        <v>1026</v>
      </c>
      <c r="K248" s="187" t="s">
        <v>116</v>
      </c>
      <c r="L248" s="195">
        <v>0.129078</v>
      </c>
      <c r="M248" s="195" t="s">
        <v>1026</v>
      </c>
      <c r="N248" s="195" t="s">
        <v>1034</v>
      </c>
      <c r="O248" s="199"/>
      <c r="P248" s="188"/>
      <c r="Q248" s="174">
        <f>IF(ISNUMBER(VLOOKUP(A248,NotghiID!A:A,1,FALSE)),1,0)</f>
        <v>0</v>
      </c>
    </row>
    <row r="249" spans="1:17" ht="14.25" x14ac:dyDescent="0.2">
      <c r="A249" s="183">
        <v>329</v>
      </c>
      <c r="B249" s="232" t="str">
        <f>IF(AND(A249&lt;&gt;"",ISNUMBER(A249)),VLOOKUP(A249,Studies!A:BR,2,FALSE),"")</f>
        <v>Lamberg 1998b</v>
      </c>
      <c r="C249" s="232" t="str">
        <f>IF(AND(A249&lt;&gt;"",ISNUMBER(A249)),VLOOKUP(A249,Studies!A:BR,3,FALSE),"")</f>
        <v>https://www.ncbi.nlm.nih.gov/pubmed/9578186</v>
      </c>
      <c r="D249" s="232" t="str">
        <f>IF(AND(A249&lt;&gt;"",ISNUMBER(A249)),VLOOKUP(A249,Studies!A:BR,4,FALSE),"")</f>
        <v>with Perpetrator (Rifampicin)</v>
      </c>
      <c r="E249" s="206" t="str">
        <f>IF(AND(A249&lt;&gt;"",ISNUMBER(A249)),VLOOKUP(A249,Studies!A:BR,5,FALSE),"")</f>
        <v>Buspirone</v>
      </c>
      <c r="F249" s="207" t="str">
        <f>IF(AND(A249&lt;&gt;"",ISNUMBER(A249)),VLOOKUP(A249,Studies!A:BR,6,FALSE),"")</f>
        <v>Plasma</v>
      </c>
      <c r="G249" s="194">
        <v>114</v>
      </c>
      <c r="H249" s="194" t="s">
        <v>60</v>
      </c>
      <c r="I249" s="187">
        <v>0.66351590000000005</v>
      </c>
      <c r="J249" s="187" t="s">
        <v>1026</v>
      </c>
      <c r="K249" s="187" t="s">
        <v>116</v>
      </c>
      <c r="L249" s="195">
        <v>9.9290729999999994E-2</v>
      </c>
      <c r="M249" s="195" t="s">
        <v>1026</v>
      </c>
      <c r="N249" s="195" t="s">
        <v>1034</v>
      </c>
      <c r="O249" s="199"/>
      <c r="P249" s="188"/>
      <c r="Q249" s="174">
        <f>IF(ISNUMBER(VLOOKUP(A249,NotghiID!A:A,1,FALSE)),1,0)</f>
        <v>0</v>
      </c>
    </row>
    <row r="250" spans="1:17" ht="14.25" x14ac:dyDescent="0.2">
      <c r="A250" s="183">
        <v>329</v>
      </c>
      <c r="B250" s="232" t="str">
        <f>IF(AND(A250&lt;&gt;"",ISNUMBER(A250)),VLOOKUP(A250,Studies!A:BR,2,FALSE),"")</f>
        <v>Lamberg 1998b</v>
      </c>
      <c r="C250" s="232" t="str">
        <f>IF(AND(A250&lt;&gt;"",ISNUMBER(A250)),VLOOKUP(A250,Studies!A:BR,3,FALSE),"")</f>
        <v>https://www.ncbi.nlm.nih.gov/pubmed/9578186</v>
      </c>
      <c r="D250" s="232" t="str">
        <f>IF(AND(A250&lt;&gt;"",ISNUMBER(A250)),VLOOKUP(A250,Studies!A:BR,4,FALSE),"")</f>
        <v>with Perpetrator (Rifampicin)</v>
      </c>
      <c r="E250" s="206" t="str">
        <f>IF(AND(A250&lt;&gt;"",ISNUMBER(A250)),VLOOKUP(A250,Studies!A:BR,5,FALSE),"")</f>
        <v>Buspirone</v>
      </c>
      <c r="F250" s="207" t="str">
        <f>IF(AND(A250&lt;&gt;"",ISNUMBER(A250)),VLOOKUP(A250,Studies!A:BR,6,FALSE),"")</f>
        <v>Plasma</v>
      </c>
      <c r="G250" s="194">
        <v>114.5</v>
      </c>
      <c r="H250" s="194" t="s">
        <v>60</v>
      </c>
      <c r="I250" s="187">
        <v>0.50416229999999995</v>
      </c>
      <c r="J250" s="187" t="s">
        <v>1026</v>
      </c>
      <c r="K250" s="187" t="s">
        <v>116</v>
      </c>
      <c r="L250" s="195">
        <v>4.9622119999999999E-2</v>
      </c>
      <c r="M250" s="195" t="s">
        <v>1026</v>
      </c>
      <c r="N250" s="195" t="s">
        <v>1034</v>
      </c>
      <c r="O250" s="199"/>
      <c r="P250" s="188"/>
      <c r="Q250" s="174">
        <f>IF(ISNUMBER(VLOOKUP(A250,NotghiID!A:A,1,FALSE)),1,0)</f>
        <v>0</v>
      </c>
    </row>
    <row r="251" spans="1:17" ht="14.25" x14ac:dyDescent="0.2">
      <c r="A251" s="183">
        <v>329</v>
      </c>
      <c r="B251" s="232" t="str">
        <f>IF(AND(A251&lt;&gt;"",ISNUMBER(A251)),VLOOKUP(A251,Studies!A:BR,2,FALSE),"")</f>
        <v>Lamberg 1998b</v>
      </c>
      <c r="C251" s="232" t="str">
        <f>IF(AND(A251&lt;&gt;"",ISNUMBER(A251)),VLOOKUP(A251,Studies!A:BR,3,FALSE),"")</f>
        <v>https://www.ncbi.nlm.nih.gov/pubmed/9578186</v>
      </c>
      <c r="D251" s="232" t="str">
        <f>IF(AND(A251&lt;&gt;"",ISNUMBER(A251)),VLOOKUP(A251,Studies!A:BR,4,FALSE),"")</f>
        <v>with Perpetrator (Rifampicin)</v>
      </c>
      <c r="E251" s="206" t="str">
        <f>IF(AND(A251&lt;&gt;"",ISNUMBER(A251)),VLOOKUP(A251,Studies!A:BR,5,FALSE),"")</f>
        <v>Buspirone</v>
      </c>
      <c r="F251" s="207" t="str">
        <f>IF(AND(A251&lt;&gt;"",ISNUMBER(A251)),VLOOKUP(A251,Studies!A:BR,6,FALSE),"")</f>
        <v>Plasma</v>
      </c>
      <c r="G251" s="194">
        <v>115</v>
      </c>
      <c r="H251" s="194" t="s">
        <v>60</v>
      </c>
      <c r="I251" s="187">
        <v>0.35472619999999999</v>
      </c>
      <c r="J251" s="187" t="s">
        <v>1026</v>
      </c>
      <c r="K251" s="187" t="s">
        <v>116</v>
      </c>
      <c r="L251" s="195">
        <v>4.9610500000000002E-2</v>
      </c>
      <c r="M251" s="195" t="s">
        <v>1026</v>
      </c>
      <c r="N251" s="195" t="s">
        <v>1034</v>
      </c>
      <c r="O251" s="199"/>
      <c r="P251" s="188"/>
      <c r="Q251" s="174">
        <f>IF(ISNUMBER(VLOOKUP(A251,NotghiID!A:A,1,FALSE)),1,0)</f>
        <v>0</v>
      </c>
    </row>
    <row r="252" spans="1:17" ht="14.25" x14ac:dyDescent="0.2">
      <c r="A252" s="183">
        <v>329</v>
      </c>
      <c r="B252" s="232" t="str">
        <f>IF(AND(A252&lt;&gt;"",ISNUMBER(A252)),VLOOKUP(A252,Studies!A:BR,2,FALSE),"")</f>
        <v>Lamberg 1998b</v>
      </c>
      <c r="C252" s="232" t="str">
        <f>IF(AND(A252&lt;&gt;"",ISNUMBER(A252)),VLOOKUP(A252,Studies!A:BR,3,FALSE),"")</f>
        <v>https://www.ncbi.nlm.nih.gov/pubmed/9578186</v>
      </c>
      <c r="D252" s="232" t="str">
        <f>IF(AND(A252&lt;&gt;"",ISNUMBER(A252)),VLOOKUP(A252,Studies!A:BR,4,FALSE),"")</f>
        <v>with Perpetrator (Rifampicin)</v>
      </c>
      <c r="E252" s="206" t="str">
        <f>IF(AND(A252&lt;&gt;"",ISNUMBER(A252)),VLOOKUP(A252,Studies!A:BR,5,FALSE),"")</f>
        <v>Buspirone</v>
      </c>
      <c r="F252" s="207" t="str">
        <f>IF(AND(A252&lt;&gt;"",ISNUMBER(A252)),VLOOKUP(A252,Studies!A:BR,6,FALSE),"")</f>
        <v>Plasma</v>
      </c>
      <c r="G252" s="194">
        <v>116</v>
      </c>
      <c r="H252" s="194" t="s">
        <v>60</v>
      </c>
      <c r="I252" s="187">
        <v>0.2047785</v>
      </c>
      <c r="J252" s="187" t="s">
        <v>1026</v>
      </c>
      <c r="K252" s="187" t="s">
        <v>116</v>
      </c>
      <c r="L252" s="195">
        <v>4.9633759999999999E-2</v>
      </c>
      <c r="M252" s="195" t="s">
        <v>1026</v>
      </c>
      <c r="N252" s="195" t="s">
        <v>1034</v>
      </c>
      <c r="O252" s="199"/>
      <c r="P252" s="188"/>
      <c r="Q252" s="174">
        <f>IF(ISNUMBER(VLOOKUP(A252,NotghiID!A:A,1,FALSE)),1,0)</f>
        <v>0</v>
      </c>
    </row>
    <row r="253" spans="1:17" ht="14.25" x14ac:dyDescent="0.2">
      <c r="A253" s="183">
        <v>329</v>
      </c>
      <c r="B253" s="232" t="str">
        <f>IF(AND(A253&lt;&gt;"",ISNUMBER(A253)),VLOOKUP(A253,Studies!A:BR,2,FALSE),"")</f>
        <v>Lamberg 1998b</v>
      </c>
      <c r="C253" s="232" t="str">
        <f>IF(AND(A253&lt;&gt;"",ISNUMBER(A253)),VLOOKUP(A253,Studies!A:BR,3,FALSE),"")</f>
        <v>https://www.ncbi.nlm.nih.gov/pubmed/9578186</v>
      </c>
      <c r="D253" s="232" t="str">
        <f>IF(AND(A253&lt;&gt;"",ISNUMBER(A253)),VLOOKUP(A253,Studies!A:BR,4,FALSE),"")</f>
        <v>with Perpetrator (Rifampicin)</v>
      </c>
      <c r="E253" s="206" t="str">
        <f>IF(AND(A253&lt;&gt;"",ISNUMBER(A253)),VLOOKUP(A253,Studies!A:BR,5,FALSE),"")</f>
        <v>Buspirone</v>
      </c>
      <c r="F253" s="207" t="str">
        <f>IF(AND(A253&lt;&gt;"",ISNUMBER(A253)),VLOOKUP(A253,Studies!A:BR,6,FALSE),"")</f>
        <v>Plasma</v>
      </c>
      <c r="G253" s="194">
        <v>117</v>
      </c>
      <c r="H253" s="194" t="s">
        <v>60</v>
      </c>
      <c r="I253" s="187">
        <v>0.1144053</v>
      </c>
      <c r="J253" s="187" t="s">
        <v>1026</v>
      </c>
      <c r="K253" s="187" t="s">
        <v>116</v>
      </c>
      <c r="L253" s="195">
        <v>4.9633759999999999E-2</v>
      </c>
      <c r="M253" s="195" t="s">
        <v>1026</v>
      </c>
      <c r="N253" s="195" t="s">
        <v>1034</v>
      </c>
      <c r="O253" s="199"/>
      <c r="P253" s="188"/>
      <c r="Q253" s="174">
        <f>IF(ISNUMBER(VLOOKUP(A253,NotghiID!A:A,1,FALSE)),1,0)</f>
        <v>0</v>
      </c>
    </row>
    <row r="254" spans="1:17" ht="14.25" x14ac:dyDescent="0.2">
      <c r="A254" s="183">
        <v>329</v>
      </c>
      <c r="B254" s="232" t="str">
        <f>IF(AND(A254&lt;&gt;"",ISNUMBER(A254)),VLOOKUP(A254,Studies!A:BR,2,FALSE),"")</f>
        <v>Lamberg 1998b</v>
      </c>
      <c r="C254" s="232" t="str">
        <f>IF(AND(A254&lt;&gt;"",ISNUMBER(A254)),VLOOKUP(A254,Studies!A:BR,3,FALSE),"")</f>
        <v>https://www.ncbi.nlm.nih.gov/pubmed/9578186</v>
      </c>
      <c r="D254" s="232" t="str">
        <f>IF(AND(A254&lt;&gt;"",ISNUMBER(A254)),VLOOKUP(A254,Studies!A:BR,4,FALSE),"")</f>
        <v>with Perpetrator (Rifampicin)</v>
      </c>
      <c r="E254" s="206" t="str">
        <f>IF(AND(A254&lt;&gt;"",ISNUMBER(A254)),VLOOKUP(A254,Studies!A:BR,5,FALSE),"")</f>
        <v>Buspirone</v>
      </c>
      <c r="F254" s="207" t="str">
        <f>IF(AND(A254&lt;&gt;"",ISNUMBER(A254)),VLOOKUP(A254,Studies!A:BR,6,FALSE),"")</f>
        <v>Plasma</v>
      </c>
      <c r="G254" s="194">
        <v>118</v>
      </c>
      <c r="H254" s="194" t="s">
        <v>60</v>
      </c>
      <c r="I254" s="187">
        <v>6.3794909999999996E-2</v>
      </c>
      <c r="J254" s="187" t="s">
        <v>1026</v>
      </c>
      <c r="K254" s="187" t="s">
        <v>116</v>
      </c>
      <c r="L254" s="195">
        <v>3.9727930000000002E-2</v>
      </c>
      <c r="M254" s="195" t="s">
        <v>1026</v>
      </c>
      <c r="N254" s="195" t="s">
        <v>1034</v>
      </c>
      <c r="O254" s="199"/>
      <c r="P254" s="188"/>
      <c r="Q254" s="174">
        <f>IF(ISNUMBER(VLOOKUP(A254,NotghiID!A:A,1,FALSE)),1,0)</f>
        <v>0</v>
      </c>
    </row>
    <row r="255" spans="1:17" ht="14.25" x14ac:dyDescent="0.2">
      <c r="A255" s="183">
        <v>330</v>
      </c>
      <c r="B255" s="232" t="str">
        <f>IF(AND(A255&lt;&gt;"",ISNUMBER(A255)),VLOOKUP(A255,Studies!A:BR,2,FALSE),"")</f>
        <v>Lamberg 1998c</v>
      </c>
      <c r="C255" s="232" t="str">
        <f>IF(AND(A255&lt;&gt;"",ISNUMBER(A255)),VLOOKUP(A255,Studies!A:BR,3,FALSE),"")</f>
        <v>https://www.ncbi.nlm.nih.gov/pubmed/9663178</v>
      </c>
      <c r="D255" s="232" t="str">
        <f>IF(AND(A255&lt;&gt;"",ISNUMBER(A255)),VLOOKUP(A255,Studies!A:BR,4,FALSE),"")</f>
        <v>Control (Perpetrator Placebo)</v>
      </c>
      <c r="E255" s="206" t="str">
        <f>IF(AND(A255&lt;&gt;"",ISNUMBER(A255)),VLOOKUP(A255,Studies!A:BR,5,FALSE),"")</f>
        <v>Buspirone</v>
      </c>
      <c r="F255" s="207" t="str">
        <f>IF(AND(A255&lt;&gt;"",ISNUMBER(A255)),VLOOKUP(A255,Studies!A:BR,6,FALSE),"")</f>
        <v>Plasma</v>
      </c>
      <c r="G255" s="194">
        <v>0.5</v>
      </c>
      <c r="H255" s="194" t="s">
        <v>60</v>
      </c>
      <c r="I255" s="187">
        <v>1.8282989999999999</v>
      </c>
      <c r="J255" s="187" t="s">
        <v>1026</v>
      </c>
      <c r="K255" s="187" t="s">
        <v>116</v>
      </c>
      <c r="L255" s="195">
        <v>0.52464219999999995</v>
      </c>
      <c r="M255" s="195" t="s">
        <v>1026</v>
      </c>
      <c r="N255" s="195" t="s">
        <v>1034</v>
      </c>
      <c r="O255" s="199"/>
      <c r="P255" s="188"/>
      <c r="Q255" s="174">
        <f>IF(ISNUMBER(VLOOKUP(A255,NotghiID!A:A,1,FALSE)),1,0)</f>
        <v>0</v>
      </c>
    </row>
    <row r="256" spans="1:17" ht="14.25" x14ac:dyDescent="0.2">
      <c r="A256" s="183">
        <v>330</v>
      </c>
      <c r="B256" s="232" t="str">
        <f>IF(AND(A256&lt;&gt;"",ISNUMBER(A256)),VLOOKUP(A256,Studies!A:BR,2,FALSE),"")</f>
        <v>Lamberg 1998c</v>
      </c>
      <c r="C256" s="232" t="str">
        <f>IF(AND(A256&lt;&gt;"",ISNUMBER(A256)),VLOOKUP(A256,Studies!A:BR,3,FALSE),"")</f>
        <v>https://www.ncbi.nlm.nih.gov/pubmed/9663178</v>
      </c>
      <c r="D256" s="232" t="str">
        <f>IF(AND(A256&lt;&gt;"",ISNUMBER(A256)),VLOOKUP(A256,Studies!A:BR,4,FALSE),"")</f>
        <v>Control (Perpetrator Placebo)</v>
      </c>
      <c r="E256" s="206" t="str">
        <f>IF(AND(A256&lt;&gt;"",ISNUMBER(A256)),VLOOKUP(A256,Studies!A:BR,5,FALSE),"")</f>
        <v>Buspirone</v>
      </c>
      <c r="F256" s="207" t="str">
        <f>IF(AND(A256&lt;&gt;"",ISNUMBER(A256)),VLOOKUP(A256,Studies!A:BR,6,FALSE),"")</f>
        <v>Plasma</v>
      </c>
      <c r="G256" s="194">
        <v>1</v>
      </c>
      <c r="H256" s="194" t="s">
        <v>60</v>
      </c>
      <c r="I256" s="187">
        <v>1.9872810000000001</v>
      </c>
      <c r="J256" s="187" t="s">
        <v>1026</v>
      </c>
      <c r="K256" s="187" t="s">
        <v>116</v>
      </c>
      <c r="L256" s="195">
        <v>0.30206719999999998</v>
      </c>
      <c r="M256" s="195" t="s">
        <v>1026</v>
      </c>
      <c r="N256" s="195" t="s">
        <v>1034</v>
      </c>
      <c r="O256" s="199"/>
      <c r="P256" s="188"/>
      <c r="Q256" s="174">
        <f>IF(ISNUMBER(VLOOKUP(A256,NotghiID!A:A,1,FALSE)),1,0)</f>
        <v>0</v>
      </c>
    </row>
    <row r="257" spans="1:17" ht="14.25" x14ac:dyDescent="0.2">
      <c r="A257" s="183">
        <v>330</v>
      </c>
      <c r="B257" s="232" t="str">
        <f>IF(AND(A257&lt;&gt;"",ISNUMBER(A257)),VLOOKUP(A257,Studies!A:BR,2,FALSE),"")</f>
        <v>Lamberg 1998c</v>
      </c>
      <c r="C257" s="232" t="str">
        <f>IF(AND(A257&lt;&gt;"",ISNUMBER(A257)),VLOOKUP(A257,Studies!A:BR,3,FALSE),"")</f>
        <v>https://www.ncbi.nlm.nih.gov/pubmed/9663178</v>
      </c>
      <c r="D257" s="232" t="str">
        <f>IF(AND(A257&lt;&gt;"",ISNUMBER(A257)),VLOOKUP(A257,Studies!A:BR,4,FALSE),"")</f>
        <v>Control (Perpetrator Placebo)</v>
      </c>
      <c r="E257" s="206" t="str">
        <f>IF(AND(A257&lt;&gt;"",ISNUMBER(A257)),VLOOKUP(A257,Studies!A:BR,5,FALSE),"")</f>
        <v>Buspirone</v>
      </c>
      <c r="F257" s="207" t="str">
        <f>IF(AND(A257&lt;&gt;"",ISNUMBER(A257)),VLOOKUP(A257,Studies!A:BR,6,FALSE),"")</f>
        <v>Plasma</v>
      </c>
      <c r="G257" s="194">
        <v>1.5</v>
      </c>
      <c r="H257" s="194" t="s">
        <v>60</v>
      </c>
      <c r="I257" s="187">
        <v>1.8282989999999999</v>
      </c>
      <c r="J257" s="187" t="s">
        <v>1026</v>
      </c>
      <c r="K257" s="187" t="s">
        <v>116</v>
      </c>
      <c r="L257" s="195">
        <v>0.17488049999999999</v>
      </c>
      <c r="M257" s="195" t="s">
        <v>1026</v>
      </c>
      <c r="N257" s="195" t="s">
        <v>1034</v>
      </c>
      <c r="O257" s="199"/>
      <c r="P257" s="188"/>
      <c r="Q257" s="174">
        <f>IF(ISNUMBER(VLOOKUP(A257,NotghiID!A:A,1,FALSE)),1,0)</f>
        <v>0</v>
      </c>
    </row>
    <row r="258" spans="1:17" ht="14.25" x14ac:dyDescent="0.2">
      <c r="A258" s="183">
        <v>330</v>
      </c>
      <c r="B258" s="232" t="str">
        <f>IF(AND(A258&lt;&gt;"",ISNUMBER(A258)),VLOOKUP(A258,Studies!A:BR,2,FALSE),"")</f>
        <v>Lamberg 1998c</v>
      </c>
      <c r="C258" s="232" t="str">
        <f>IF(AND(A258&lt;&gt;"",ISNUMBER(A258)),VLOOKUP(A258,Studies!A:BR,3,FALSE),"")</f>
        <v>https://www.ncbi.nlm.nih.gov/pubmed/9663178</v>
      </c>
      <c r="D258" s="232" t="str">
        <f>IF(AND(A258&lt;&gt;"",ISNUMBER(A258)),VLOOKUP(A258,Studies!A:BR,4,FALSE),"")</f>
        <v>Control (Perpetrator Placebo)</v>
      </c>
      <c r="E258" s="206" t="str">
        <f>IF(AND(A258&lt;&gt;"",ISNUMBER(A258)),VLOOKUP(A258,Studies!A:BR,5,FALSE),"")</f>
        <v>Buspirone</v>
      </c>
      <c r="F258" s="207" t="str">
        <f>IF(AND(A258&lt;&gt;"",ISNUMBER(A258)),VLOOKUP(A258,Studies!A:BR,6,FALSE),"")</f>
        <v>Plasma</v>
      </c>
      <c r="G258" s="194">
        <v>2</v>
      </c>
      <c r="H258" s="194" t="s">
        <v>60</v>
      </c>
      <c r="I258" s="187">
        <v>1.4467410000000001</v>
      </c>
      <c r="J258" s="187" t="s">
        <v>1026</v>
      </c>
      <c r="K258" s="187" t="s">
        <v>116</v>
      </c>
      <c r="L258" s="195">
        <v>0.1907789</v>
      </c>
      <c r="M258" s="195" t="s">
        <v>1026</v>
      </c>
      <c r="N258" s="195" t="s">
        <v>1034</v>
      </c>
      <c r="O258" s="199"/>
      <c r="P258" s="188"/>
      <c r="Q258" s="174">
        <f>IF(ISNUMBER(VLOOKUP(A258,NotghiID!A:A,1,FALSE)),1,0)</f>
        <v>0</v>
      </c>
    </row>
    <row r="259" spans="1:17" ht="14.25" x14ac:dyDescent="0.2">
      <c r="A259" s="183">
        <v>330</v>
      </c>
      <c r="B259" s="232" t="str">
        <f>IF(AND(A259&lt;&gt;"",ISNUMBER(A259)),VLOOKUP(A259,Studies!A:BR,2,FALSE),"")</f>
        <v>Lamberg 1998c</v>
      </c>
      <c r="C259" s="232" t="str">
        <f>IF(AND(A259&lt;&gt;"",ISNUMBER(A259)),VLOOKUP(A259,Studies!A:BR,3,FALSE),"")</f>
        <v>https://www.ncbi.nlm.nih.gov/pubmed/9663178</v>
      </c>
      <c r="D259" s="232" t="str">
        <f>IF(AND(A259&lt;&gt;"",ISNUMBER(A259)),VLOOKUP(A259,Studies!A:BR,4,FALSE),"")</f>
        <v>Control (Perpetrator Placebo)</v>
      </c>
      <c r="E259" s="206" t="str">
        <f>IF(AND(A259&lt;&gt;"",ISNUMBER(A259)),VLOOKUP(A259,Studies!A:BR,5,FALSE),"")</f>
        <v>Buspirone</v>
      </c>
      <c r="F259" s="207" t="str">
        <f>IF(AND(A259&lt;&gt;"",ISNUMBER(A259)),VLOOKUP(A259,Studies!A:BR,6,FALSE),"")</f>
        <v>Plasma</v>
      </c>
      <c r="G259" s="194">
        <v>3</v>
      </c>
      <c r="H259" s="194" t="s">
        <v>60</v>
      </c>
      <c r="I259" s="187">
        <v>0.87440379999999995</v>
      </c>
      <c r="J259" s="187" t="s">
        <v>1026</v>
      </c>
      <c r="K259" s="187" t="s">
        <v>116</v>
      </c>
      <c r="L259" s="195">
        <v>9.5389539999999995E-2</v>
      </c>
      <c r="M259" s="195" t="s">
        <v>1026</v>
      </c>
      <c r="N259" s="195" t="s">
        <v>1034</v>
      </c>
      <c r="O259" s="199"/>
      <c r="P259" s="188"/>
      <c r="Q259" s="174">
        <f>IF(ISNUMBER(VLOOKUP(A259,NotghiID!A:A,1,FALSE)),1,0)</f>
        <v>0</v>
      </c>
    </row>
    <row r="260" spans="1:17" ht="14.25" x14ac:dyDescent="0.2">
      <c r="A260" s="183">
        <v>330</v>
      </c>
      <c r="B260" s="232" t="str">
        <f>IF(AND(A260&lt;&gt;"",ISNUMBER(A260)),VLOOKUP(A260,Studies!A:BR,2,FALSE),"")</f>
        <v>Lamberg 1998c</v>
      </c>
      <c r="C260" s="232" t="str">
        <f>IF(AND(A260&lt;&gt;"",ISNUMBER(A260)),VLOOKUP(A260,Studies!A:BR,3,FALSE),"")</f>
        <v>https://www.ncbi.nlm.nih.gov/pubmed/9663178</v>
      </c>
      <c r="D260" s="232" t="str">
        <f>IF(AND(A260&lt;&gt;"",ISNUMBER(A260)),VLOOKUP(A260,Studies!A:BR,4,FALSE),"")</f>
        <v>Control (Perpetrator Placebo)</v>
      </c>
      <c r="E260" s="206" t="str">
        <f>IF(AND(A260&lt;&gt;"",ISNUMBER(A260)),VLOOKUP(A260,Studies!A:BR,5,FALSE),"")</f>
        <v>Buspirone</v>
      </c>
      <c r="F260" s="207" t="str">
        <f>IF(AND(A260&lt;&gt;"",ISNUMBER(A260)),VLOOKUP(A260,Studies!A:BR,6,FALSE),"")</f>
        <v>Plasma</v>
      </c>
      <c r="G260" s="194">
        <v>4</v>
      </c>
      <c r="H260" s="194" t="s">
        <v>60</v>
      </c>
      <c r="I260" s="187">
        <v>0.57233699999999998</v>
      </c>
      <c r="J260" s="187" t="s">
        <v>1026</v>
      </c>
      <c r="K260" s="187" t="s">
        <v>116</v>
      </c>
      <c r="L260" s="195">
        <v>7.9491320000000004E-2</v>
      </c>
      <c r="M260" s="195" t="s">
        <v>1026</v>
      </c>
      <c r="N260" s="195" t="s">
        <v>1034</v>
      </c>
      <c r="O260" s="199"/>
      <c r="P260" s="188"/>
      <c r="Q260" s="174">
        <f>IF(ISNUMBER(VLOOKUP(A260,NotghiID!A:A,1,FALSE)),1,0)</f>
        <v>0</v>
      </c>
    </row>
    <row r="261" spans="1:17" ht="14.25" x14ac:dyDescent="0.2">
      <c r="A261" s="183">
        <v>330</v>
      </c>
      <c r="B261" s="232" t="str">
        <f>IF(AND(A261&lt;&gt;"",ISNUMBER(A261)),VLOOKUP(A261,Studies!A:BR,2,FALSE),"")</f>
        <v>Lamberg 1998c</v>
      </c>
      <c r="C261" s="232" t="str">
        <f>IF(AND(A261&lt;&gt;"",ISNUMBER(A261)),VLOOKUP(A261,Studies!A:BR,3,FALSE),"")</f>
        <v>https://www.ncbi.nlm.nih.gov/pubmed/9663178</v>
      </c>
      <c r="D261" s="232" t="str">
        <f>IF(AND(A261&lt;&gt;"",ISNUMBER(A261)),VLOOKUP(A261,Studies!A:BR,4,FALSE),"")</f>
        <v>Control (Perpetrator Placebo)</v>
      </c>
      <c r="E261" s="206" t="str">
        <f>IF(AND(A261&lt;&gt;"",ISNUMBER(A261)),VLOOKUP(A261,Studies!A:BR,5,FALSE),"")</f>
        <v>Buspirone</v>
      </c>
      <c r="F261" s="207" t="str">
        <f>IF(AND(A261&lt;&gt;"",ISNUMBER(A261)),VLOOKUP(A261,Studies!A:BR,6,FALSE),"")</f>
        <v>Plasma</v>
      </c>
      <c r="G261" s="194">
        <v>5</v>
      </c>
      <c r="H261" s="194" t="s">
        <v>60</v>
      </c>
      <c r="I261" s="187">
        <v>0.41335450000000001</v>
      </c>
      <c r="J261" s="187" t="s">
        <v>1026</v>
      </c>
      <c r="K261" s="187" t="s">
        <v>116</v>
      </c>
      <c r="L261" s="195">
        <v>0.11128780000000001</v>
      </c>
      <c r="M261" s="195" t="s">
        <v>1026</v>
      </c>
      <c r="N261" s="195" t="s">
        <v>1034</v>
      </c>
      <c r="O261" s="199"/>
      <c r="P261" s="188"/>
      <c r="Q261" s="174">
        <f>IF(ISNUMBER(VLOOKUP(A261,NotghiID!A:A,1,FALSE)),1,0)</f>
        <v>0</v>
      </c>
    </row>
    <row r="262" spans="1:17" ht="14.25" x14ac:dyDescent="0.2">
      <c r="A262" s="183">
        <v>330</v>
      </c>
      <c r="B262" s="232" t="str">
        <f>IF(AND(A262&lt;&gt;"",ISNUMBER(A262)),VLOOKUP(A262,Studies!A:BR,2,FALSE),"")</f>
        <v>Lamberg 1998c</v>
      </c>
      <c r="C262" s="232" t="str">
        <f>IF(AND(A262&lt;&gt;"",ISNUMBER(A262)),VLOOKUP(A262,Studies!A:BR,3,FALSE),"")</f>
        <v>https://www.ncbi.nlm.nih.gov/pubmed/9663178</v>
      </c>
      <c r="D262" s="232" t="str">
        <f>IF(AND(A262&lt;&gt;"",ISNUMBER(A262)),VLOOKUP(A262,Studies!A:BR,4,FALSE),"")</f>
        <v>Control (Perpetrator Placebo)</v>
      </c>
      <c r="E262" s="206" t="str">
        <f>IF(AND(A262&lt;&gt;"",ISNUMBER(A262)),VLOOKUP(A262,Studies!A:BR,5,FALSE),"")</f>
        <v>Buspirone</v>
      </c>
      <c r="F262" s="207" t="str">
        <f>IF(AND(A262&lt;&gt;"",ISNUMBER(A262)),VLOOKUP(A262,Studies!A:BR,6,FALSE),"")</f>
        <v>Plasma</v>
      </c>
      <c r="G262" s="194">
        <v>6</v>
      </c>
      <c r="H262" s="194" t="s">
        <v>60</v>
      </c>
      <c r="I262" s="187">
        <v>0.30206680000000002</v>
      </c>
      <c r="J262" s="187" t="s">
        <v>1026</v>
      </c>
      <c r="K262" s="187" t="s">
        <v>116</v>
      </c>
      <c r="L262" s="195">
        <v>6.3592969999999999E-2</v>
      </c>
      <c r="M262" s="195" t="s">
        <v>1026</v>
      </c>
      <c r="N262" s="195" t="s">
        <v>1034</v>
      </c>
      <c r="O262" s="199"/>
      <c r="P262" s="188"/>
      <c r="Q262" s="174">
        <f>IF(ISNUMBER(VLOOKUP(A262,NotghiID!A:A,1,FALSE)),1,0)</f>
        <v>0</v>
      </c>
    </row>
    <row r="263" spans="1:17" ht="14.25" x14ac:dyDescent="0.2">
      <c r="A263" s="183">
        <v>330</v>
      </c>
      <c r="B263" s="232" t="str">
        <f>IF(AND(A263&lt;&gt;"",ISNUMBER(A263)),VLOOKUP(A263,Studies!A:BR,2,FALSE),"")</f>
        <v>Lamberg 1998c</v>
      </c>
      <c r="C263" s="232" t="str">
        <f>IF(AND(A263&lt;&gt;"",ISNUMBER(A263)),VLOOKUP(A263,Studies!A:BR,3,FALSE),"")</f>
        <v>https://www.ncbi.nlm.nih.gov/pubmed/9663178</v>
      </c>
      <c r="D263" s="232" t="str">
        <f>IF(AND(A263&lt;&gt;"",ISNUMBER(A263)),VLOOKUP(A263,Studies!A:BR,4,FALSE),"")</f>
        <v>Control (Perpetrator Placebo)</v>
      </c>
      <c r="E263" s="206" t="str">
        <f>IF(AND(A263&lt;&gt;"",ISNUMBER(A263)),VLOOKUP(A263,Studies!A:BR,5,FALSE),"")</f>
        <v>Buspirone</v>
      </c>
      <c r="F263" s="207" t="str">
        <f>IF(AND(A263&lt;&gt;"",ISNUMBER(A263)),VLOOKUP(A263,Studies!A:BR,6,FALSE),"")</f>
        <v>Plasma</v>
      </c>
      <c r="G263" s="194">
        <v>8</v>
      </c>
      <c r="H263" s="194" t="s">
        <v>60</v>
      </c>
      <c r="I263" s="187">
        <v>0.20667730000000001</v>
      </c>
      <c r="J263" s="187" t="s">
        <v>1026</v>
      </c>
      <c r="K263" s="187" t="s">
        <v>116</v>
      </c>
      <c r="L263" s="195"/>
      <c r="M263" s="195"/>
      <c r="N263" s="195"/>
      <c r="O263" s="199"/>
      <c r="P263" s="188"/>
      <c r="Q263" s="174">
        <f>IF(ISNUMBER(VLOOKUP(A263,NotghiID!A:A,1,FALSE)),1,0)</f>
        <v>0</v>
      </c>
    </row>
    <row r="264" spans="1:17" ht="14.25" x14ac:dyDescent="0.2">
      <c r="A264" s="183">
        <v>330</v>
      </c>
      <c r="B264" s="232" t="str">
        <f>IF(AND(A264&lt;&gt;"",ISNUMBER(A264)),VLOOKUP(A264,Studies!A:BR,2,FALSE),"")</f>
        <v>Lamberg 1998c</v>
      </c>
      <c r="C264" s="232" t="str">
        <f>IF(AND(A264&lt;&gt;"",ISNUMBER(A264)),VLOOKUP(A264,Studies!A:BR,3,FALSE),"")</f>
        <v>https://www.ncbi.nlm.nih.gov/pubmed/9663178</v>
      </c>
      <c r="D264" s="232" t="str">
        <f>IF(AND(A264&lt;&gt;"",ISNUMBER(A264)),VLOOKUP(A264,Studies!A:BR,4,FALSE),"")</f>
        <v>Control (Perpetrator Placebo)</v>
      </c>
      <c r="E264" s="206" t="str">
        <f>IF(AND(A264&lt;&gt;"",ISNUMBER(A264)),VLOOKUP(A264,Studies!A:BR,5,FALSE),"")</f>
        <v>Buspirone</v>
      </c>
      <c r="F264" s="207" t="str">
        <f>IF(AND(A264&lt;&gt;"",ISNUMBER(A264)),VLOOKUP(A264,Studies!A:BR,6,FALSE),"")</f>
        <v>Plasma</v>
      </c>
      <c r="G264" s="194">
        <v>18</v>
      </c>
      <c r="H264" s="194" t="s">
        <v>60</v>
      </c>
      <c r="I264" s="187"/>
      <c r="J264" s="187"/>
      <c r="K264" s="187"/>
      <c r="L264" s="195"/>
      <c r="M264" s="195"/>
      <c r="N264" s="195"/>
      <c r="O264" s="199"/>
      <c r="P264" s="188"/>
      <c r="Q264" s="174">
        <f>IF(ISNUMBER(VLOOKUP(A264,NotghiID!A:A,1,FALSE)),1,0)</f>
        <v>0</v>
      </c>
    </row>
    <row r="265" spans="1:17" ht="14.25" x14ac:dyDescent="0.2">
      <c r="A265" s="183">
        <v>333</v>
      </c>
      <c r="B265" s="232" t="str">
        <f>IF(AND(A265&lt;&gt;"",ISNUMBER(A265)),VLOOKUP(A265,Studies!A:BR,2,FALSE),"")</f>
        <v>Lamberg 1998c</v>
      </c>
      <c r="C265" s="232" t="str">
        <f>IF(AND(A265&lt;&gt;"",ISNUMBER(A265)),VLOOKUP(A265,Studies!A:BR,3,FALSE),"")</f>
        <v>https://www.ncbi.nlm.nih.gov/pubmed/9663178</v>
      </c>
      <c r="D265" s="232" t="str">
        <f>IF(AND(A265&lt;&gt;"",ISNUMBER(A265)),VLOOKUP(A265,Studies!A:BR,4,FALSE),"")</f>
        <v>with Perpetrator (Diltiazem)</v>
      </c>
      <c r="E265" s="206" t="str">
        <f>IF(AND(A265&lt;&gt;"",ISNUMBER(A265)),VLOOKUP(A265,Studies!A:BR,5,FALSE),"")</f>
        <v>Buspirone</v>
      </c>
      <c r="F265" s="207" t="str">
        <f>IF(AND(A265&lt;&gt;"",ISNUMBER(A265)),VLOOKUP(A265,Studies!A:BR,6,FALSE),"")</f>
        <v>Plasma</v>
      </c>
      <c r="G265" s="194">
        <v>30.5</v>
      </c>
      <c r="H265" s="194" t="s">
        <v>60</v>
      </c>
      <c r="I265" s="187">
        <v>5.3736090000000001</v>
      </c>
      <c r="J265" s="187" t="s">
        <v>1026</v>
      </c>
      <c r="K265" s="187" t="s">
        <v>116</v>
      </c>
      <c r="L265" s="195"/>
      <c r="M265" s="195"/>
      <c r="N265" s="195"/>
      <c r="O265" s="199"/>
      <c r="P265" s="188"/>
      <c r="Q265" s="174">
        <f>IF(ISNUMBER(VLOOKUP(A265,NotghiID!A:A,1,FALSE)),1,0)</f>
        <v>0</v>
      </c>
    </row>
    <row r="266" spans="1:17" ht="14.25" x14ac:dyDescent="0.2">
      <c r="A266" s="183">
        <v>333</v>
      </c>
      <c r="B266" s="232" t="str">
        <f>IF(AND(A266&lt;&gt;"",ISNUMBER(A266)),VLOOKUP(A266,Studies!A:BR,2,FALSE),"")</f>
        <v>Lamberg 1998c</v>
      </c>
      <c r="C266" s="232" t="str">
        <f>IF(AND(A266&lt;&gt;"",ISNUMBER(A266)),VLOOKUP(A266,Studies!A:BR,3,FALSE),"")</f>
        <v>https://www.ncbi.nlm.nih.gov/pubmed/9663178</v>
      </c>
      <c r="D266" s="232" t="str">
        <f>IF(AND(A266&lt;&gt;"",ISNUMBER(A266)),VLOOKUP(A266,Studies!A:BR,4,FALSE),"")</f>
        <v>with Perpetrator (Diltiazem)</v>
      </c>
      <c r="E266" s="206" t="str">
        <f>IF(AND(A266&lt;&gt;"",ISNUMBER(A266)),VLOOKUP(A266,Studies!A:BR,5,FALSE),"")</f>
        <v>Buspirone</v>
      </c>
      <c r="F266" s="207" t="str">
        <f>IF(AND(A266&lt;&gt;"",ISNUMBER(A266)),VLOOKUP(A266,Studies!A:BR,6,FALSE),"")</f>
        <v>Plasma</v>
      </c>
      <c r="G266" s="194">
        <v>31</v>
      </c>
      <c r="H266" s="194" t="s">
        <v>60</v>
      </c>
      <c r="I266" s="187">
        <v>8.0922099999999997</v>
      </c>
      <c r="J266" s="187" t="s">
        <v>1026</v>
      </c>
      <c r="K266" s="187" t="s">
        <v>116</v>
      </c>
      <c r="L266" s="195">
        <v>1.5103340000000001</v>
      </c>
      <c r="M266" s="195" t="s">
        <v>1026</v>
      </c>
      <c r="N266" s="195" t="s">
        <v>1034</v>
      </c>
      <c r="O266" s="199"/>
      <c r="P266" s="188"/>
      <c r="Q266" s="174">
        <f>IF(ISNUMBER(VLOOKUP(A266,NotghiID!A:A,1,FALSE)),1,0)</f>
        <v>0</v>
      </c>
    </row>
    <row r="267" spans="1:17" ht="14.25" x14ac:dyDescent="0.2">
      <c r="A267" s="183">
        <v>333</v>
      </c>
      <c r="B267" s="232" t="str">
        <f>IF(AND(A267&lt;&gt;"",ISNUMBER(A267)),VLOOKUP(A267,Studies!A:BR,2,FALSE),"")</f>
        <v>Lamberg 1998c</v>
      </c>
      <c r="C267" s="232" t="str">
        <f>IF(AND(A267&lt;&gt;"",ISNUMBER(A267)),VLOOKUP(A267,Studies!A:BR,3,FALSE),"")</f>
        <v>https://www.ncbi.nlm.nih.gov/pubmed/9663178</v>
      </c>
      <c r="D267" s="232" t="str">
        <f>IF(AND(A267&lt;&gt;"",ISNUMBER(A267)),VLOOKUP(A267,Studies!A:BR,4,FALSE),"")</f>
        <v>with Perpetrator (Diltiazem)</v>
      </c>
      <c r="E267" s="206" t="str">
        <f>IF(AND(A267&lt;&gt;"",ISNUMBER(A267)),VLOOKUP(A267,Studies!A:BR,5,FALSE),"")</f>
        <v>Buspirone</v>
      </c>
      <c r="F267" s="207" t="str">
        <f>IF(AND(A267&lt;&gt;"",ISNUMBER(A267)),VLOOKUP(A267,Studies!A:BR,6,FALSE),"")</f>
        <v>Plasma</v>
      </c>
      <c r="G267" s="194">
        <v>31.5</v>
      </c>
      <c r="H267" s="194" t="s">
        <v>60</v>
      </c>
      <c r="I267" s="187">
        <v>7.5516690000000004</v>
      </c>
      <c r="J267" s="187" t="s">
        <v>1026</v>
      </c>
      <c r="K267" s="187" t="s">
        <v>116</v>
      </c>
      <c r="L267" s="195">
        <v>1.3672489999999999</v>
      </c>
      <c r="M267" s="195" t="s">
        <v>1026</v>
      </c>
      <c r="N267" s="195" t="s">
        <v>1034</v>
      </c>
      <c r="O267" s="199"/>
      <c r="P267" s="188"/>
      <c r="Q267" s="174">
        <f>IF(ISNUMBER(VLOOKUP(A267,NotghiID!A:A,1,FALSE)),1,0)</f>
        <v>0</v>
      </c>
    </row>
    <row r="268" spans="1:17" ht="14.25" x14ac:dyDescent="0.2">
      <c r="A268" s="183">
        <v>333</v>
      </c>
      <c r="B268" s="232" t="str">
        <f>IF(AND(A268&lt;&gt;"",ISNUMBER(A268)),VLOOKUP(A268,Studies!A:BR,2,FALSE),"")</f>
        <v>Lamberg 1998c</v>
      </c>
      <c r="C268" s="232" t="str">
        <f>IF(AND(A268&lt;&gt;"",ISNUMBER(A268)),VLOOKUP(A268,Studies!A:BR,3,FALSE),"")</f>
        <v>https://www.ncbi.nlm.nih.gov/pubmed/9663178</v>
      </c>
      <c r="D268" s="232" t="str">
        <f>IF(AND(A268&lt;&gt;"",ISNUMBER(A268)),VLOOKUP(A268,Studies!A:BR,4,FALSE),"")</f>
        <v>with Perpetrator (Diltiazem)</v>
      </c>
      <c r="E268" s="206" t="str">
        <f>IF(AND(A268&lt;&gt;"",ISNUMBER(A268)),VLOOKUP(A268,Studies!A:BR,5,FALSE),"")</f>
        <v>Buspirone</v>
      </c>
      <c r="F268" s="207" t="str">
        <f>IF(AND(A268&lt;&gt;"",ISNUMBER(A268)),VLOOKUP(A268,Studies!A:BR,6,FALSE),"")</f>
        <v>Plasma</v>
      </c>
      <c r="G268" s="194">
        <v>32</v>
      </c>
      <c r="H268" s="194" t="s">
        <v>60</v>
      </c>
      <c r="I268" s="187">
        <v>6.9952310000000004</v>
      </c>
      <c r="J268" s="187" t="s">
        <v>1026</v>
      </c>
      <c r="K268" s="187" t="s">
        <v>116</v>
      </c>
      <c r="L268" s="195">
        <v>1.335453</v>
      </c>
      <c r="M268" s="195" t="s">
        <v>1026</v>
      </c>
      <c r="N268" s="195" t="s">
        <v>1034</v>
      </c>
      <c r="O268" s="199"/>
      <c r="P268" s="188"/>
      <c r="Q268" s="174">
        <f>IF(ISNUMBER(VLOOKUP(A268,NotghiID!A:A,1,FALSE)),1,0)</f>
        <v>0</v>
      </c>
    </row>
    <row r="269" spans="1:17" ht="14.25" x14ac:dyDescent="0.2">
      <c r="A269" s="183">
        <v>333</v>
      </c>
      <c r="B269" s="232" t="str">
        <f>IF(AND(A269&lt;&gt;"",ISNUMBER(A269)),VLOOKUP(A269,Studies!A:BR,2,FALSE),"")</f>
        <v>Lamberg 1998c</v>
      </c>
      <c r="C269" s="232" t="str">
        <f>IF(AND(A269&lt;&gt;"",ISNUMBER(A269)),VLOOKUP(A269,Studies!A:BR,3,FALSE),"")</f>
        <v>https://www.ncbi.nlm.nih.gov/pubmed/9663178</v>
      </c>
      <c r="D269" s="232" t="str">
        <f>IF(AND(A269&lt;&gt;"",ISNUMBER(A269)),VLOOKUP(A269,Studies!A:BR,4,FALSE),"")</f>
        <v>with Perpetrator (Diltiazem)</v>
      </c>
      <c r="E269" s="206" t="str">
        <f>IF(AND(A269&lt;&gt;"",ISNUMBER(A269)),VLOOKUP(A269,Studies!A:BR,5,FALSE),"")</f>
        <v>Buspirone</v>
      </c>
      <c r="F269" s="207" t="str">
        <f>IF(AND(A269&lt;&gt;"",ISNUMBER(A269)),VLOOKUP(A269,Studies!A:BR,6,FALSE),"")</f>
        <v>Plasma</v>
      </c>
      <c r="G269" s="194">
        <v>33</v>
      </c>
      <c r="H269" s="194" t="s">
        <v>60</v>
      </c>
      <c r="I269" s="187">
        <v>5.612082</v>
      </c>
      <c r="J269" s="187" t="s">
        <v>1026</v>
      </c>
      <c r="K269" s="187" t="s">
        <v>116</v>
      </c>
      <c r="L269" s="195">
        <v>1.049285</v>
      </c>
      <c r="M269" s="195" t="s">
        <v>1026</v>
      </c>
      <c r="N269" s="195" t="s">
        <v>1034</v>
      </c>
      <c r="O269" s="199"/>
      <c r="P269" s="188"/>
      <c r="Q269" s="174">
        <f>IF(ISNUMBER(VLOOKUP(A269,NotghiID!A:A,1,FALSE)),1,0)</f>
        <v>0</v>
      </c>
    </row>
    <row r="270" spans="1:17" ht="14.25" x14ac:dyDescent="0.2">
      <c r="A270" s="183">
        <v>333</v>
      </c>
      <c r="B270" s="232" t="str">
        <f>IF(AND(A270&lt;&gt;"",ISNUMBER(A270)),VLOOKUP(A270,Studies!A:BR,2,FALSE),"")</f>
        <v>Lamberg 1998c</v>
      </c>
      <c r="C270" s="232" t="str">
        <f>IF(AND(A270&lt;&gt;"",ISNUMBER(A270)),VLOOKUP(A270,Studies!A:BR,3,FALSE),"")</f>
        <v>https://www.ncbi.nlm.nih.gov/pubmed/9663178</v>
      </c>
      <c r="D270" s="232" t="str">
        <f>IF(AND(A270&lt;&gt;"",ISNUMBER(A270)),VLOOKUP(A270,Studies!A:BR,4,FALSE),"")</f>
        <v>with Perpetrator (Diltiazem)</v>
      </c>
      <c r="E270" s="206" t="str">
        <f>IF(AND(A270&lt;&gt;"",ISNUMBER(A270)),VLOOKUP(A270,Studies!A:BR,5,FALSE),"")</f>
        <v>Buspirone</v>
      </c>
      <c r="F270" s="207" t="str">
        <f>IF(AND(A270&lt;&gt;"",ISNUMBER(A270)),VLOOKUP(A270,Studies!A:BR,6,FALSE),"")</f>
        <v>Plasma</v>
      </c>
      <c r="G270" s="194">
        <v>34</v>
      </c>
      <c r="H270" s="194" t="s">
        <v>60</v>
      </c>
      <c r="I270" s="187">
        <v>3.7042929999999998</v>
      </c>
      <c r="J270" s="187" t="s">
        <v>1026</v>
      </c>
      <c r="K270" s="187" t="s">
        <v>116</v>
      </c>
      <c r="L270" s="195">
        <v>0.65182810000000002</v>
      </c>
      <c r="M270" s="195" t="s">
        <v>1026</v>
      </c>
      <c r="N270" s="195" t="s">
        <v>1034</v>
      </c>
      <c r="O270" s="199"/>
      <c r="P270" s="188"/>
      <c r="Q270" s="174">
        <f>IF(ISNUMBER(VLOOKUP(A270,NotghiID!A:A,1,FALSE)),1,0)</f>
        <v>0</v>
      </c>
    </row>
    <row r="271" spans="1:17" ht="14.25" x14ac:dyDescent="0.2">
      <c r="A271" s="183">
        <v>333</v>
      </c>
      <c r="B271" s="232" t="str">
        <f>IF(AND(A271&lt;&gt;"",ISNUMBER(A271)),VLOOKUP(A271,Studies!A:BR,2,FALSE),"")</f>
        <v>Lamberg 1998c</v>
      </c>
      <c r="C271" s="232" t="str">
        <f>IF(AND(A271&lt;&gt;"",ISNUMBER(A271)),VLOOKUP(A271,Studies!A:BR,3,FALSE),"")</f>
        <v>https://www.ncbi.nlm.nih.gov/pubmed/9663178</v>
      </c>
      <c r="D271" s="232" t="str">
        <f>IF(AND(A271&lt;&gt;"",ISNUMBER(A271)),VLOOKUP(A271,Studies!A:BR,4,FALSE),"")</f>
        <v>with Perpetrator (Diltiazem)</v>
      </c>
      <c r="E271" s="206" t="str">
        <f>IF(AND(A271&lt;&gt;"",ISNUMBER(A271)),VLOOKUP(A271,Studies!A:BR,5,FALSE),"")</f>
        <v>Buspirone</v>
      </c>
      <c r="F271" s="207" t="str">
        <f>IF(AND(A271&lt;&gt;"",ISNUMBER(A271)),VLOOKUP(A271,Studies!A:BR,6,FALSE),"")</f>
        <v>Plasma</v>
      </c>
      <c r="G271" s="194">
        <v>35</v>
      </c>
      <c r="H271" s="194" t="s">
        <v>60</v>
      </c>
      <c r="I271" s="187">
        <v>2.3688400000000001</v>
      </c>
      <c r="J271" s="187" t="s">
        <v>1026</v>
      </c>
      <c r="K271" s="187" t="s">
        <v>116</v>
      </c>
      <c r="L271" s="195">
        <v>0.42925210000000003</v>
      </c>
      <c r="M271" s="195" t="s">
        <v>1026</v>
      </c>
      <c r="N271" s="195" t="s">
        <v>1034</v>
      </c>
      <c r="O271" s="199"/>
      <c r="P271" s="188"/>
      <c r="Q271" s="174">
        <f>IF(ISNUMBER(VLOOKUP(A271,NotghiID!A:A,1,FALSE)),1,0)</f>
        <v>0</v>
      </c>
    </row>
    <row r="272" spans="1:17" ht="14.25" x14ac:dyDescent="0.2">
      <c r="A272" s="183">
        <v>333</v>
      </c>
      <c r="B272" s="232" t="str">
        <f>IF(AND(A272&lt;&gt;"",ISNUMBER(A272)),VLOOKUP(A272,Studies!A:BR,2,FALSE),"")</f>
        <v>Lamberg 1998c</v>
      </c>
      <c r="C272" s="232" t="str">
        <f>IF(AND(A272&lt;&gt;"",ISNUMBER(A272)),VLOOKUP(A272,Studies!A:BR,3,FALSE),"")</f>
        <v>https://www.ncbi.nlm.nih.gov/pubmed/9663178</v>
      </c>
      <c r="D272" s="232" t="str">
        <f>IF(AND(A272&lt;&gt;"",ISNUMBER(A272)),VLOOKUP(A272,Studies!A:BR,4,FALSE),"")</f>
        <v>with Perpetrator (Diltiazem)</v>
      </c>
      <c r="E272" s="206" t="str">
        <f>IF(AND(A272&lt;&gt;"",ISNUMBER(A272)),VLOOKUP(A272,Studies!A:BR,5,FALSE),"")</f>
        <v>Buspirone</v>
      </c>
      <c r="F272" s="207" t="str">
        <f>IF(AND(A272&lt;&gt;"",ISNUMBER(A272)),VLOOKUP(A272,Studies!A:BR,6,FALSE),"")</f>
        <v>Plasma</v>
      </c>
      <c r="G272" s="194">
        <v>36</v>
      </c>
      <c r="H272" s="194" t="s">
        <v>60</v>
      </c>
      <c r="I272" s="187">
        <v>1.7647060000000001</v>
      </c>
      <c r="J272" s="187" t="s">
        <v>1026</v>
      </c>
      <c r="K272" s="187" t="s">
        <v>116</v>
      </c>
      <c r="L272" s="195">
        <v>0.30206670000000002</v>
      </c>
      <c r="M272" s="195" t="s">
        <v>1026</v>
      </c>
      <c r="N272" s="195" t="s">
        <v>1034</v>
      </c>
      <c r="O272" s="199"/>
      <c r="P272" s="188"/>
      <c r="Q272" s="174">
        <f>IF(ISNUMBER(VLOOKUP(A272,NotghiID!A:A,1,FALSE)),1,0)</f>
        <v>0</v>
      </c>
    </row>
    <row r="273" spans="1:17" ht="14.25" x14ac:dyDescent="0.2">
      <c r="A273" s="183">
        <v>333</v>
      </c>
      <c r="B273" s="232" t="str">
        <f>IF(AND(A273&lt;&gt;"",ISNUMBER(A273)),VLOOKUP(A273,Studies!A:BR,2,FALSE),"")</f>
        <v>Lamberg 1998c</v>
      </c>
      <c r="C273" s="232" t="str">
        <f>IF(AND(A273&lt;&gt;"",ISNUMBER(A273)),VLOOKUP(A273,Studies!A:BR,3,FALSE),"")</f>
        <v>https://www.ncbi.nlm.nih.gov/pubmed/9663178</v>
      </c>
      <c r="D273" s="232" t="str">
        <f>IF(AND(A273&lt;&gt;"",ISNUMBER(A273)),VLOOKUP(A273,Studies!A:BR,4,FALSE),"")</f>
        <v>with Perpetrator (Diltiazem)</v>
      </c>
      <c r="E273" s="206" t="str">
        <f>IF(AND(A273&lt;&gt;"",ISNUMBER(A273)),VLOOKUP(A273,Studies!A:BR,5,FALSE),"")</f>
        <v>Buspirone</v>
      </c>
      <c r="F273" s="207" t="str">
        <f>IF(AND(A273&lt;&gt;"",ISNUMBER(A273)),VLOOKUP(A273,Studies!A:BR,6,FALSE),"")</f>
        <v>Plasma</v>
      </c>
      <c r="G273" s="194">
        <v>38</v>
      </c>
      <c r="H273" s="194" t="s">
        <v>60</v>
      </c>
      <c r="I273" s="187">
        <v>0.98569150000000005</v>
      </c>
      <c r="J273" s="187" t="s">
        <v>1026</v>
      </c>
      <c r="K273" s="187" t="s">
        <v>116</v>
      </c>
      <c r="L273" s="195">
        <v>0.1748808</v>
      </c>
      <c r="M273" s="195" t="s">
        <v>1026</v>
      </c>
      <c r="N273" s="195" t="s">
        <v>1034</v>
      </c>
      <c r="O273" s="199"/>
      <c r="P273" s="188"/>
      <c r="Q273" s="174">
        <f>IF(ISNUMBER(VLOOKUP(A273,NotghiID!A:A,1,FALSE)),1,0)</f>
        <v>0</v>
      </c>
    </row>
    <row r="274" spans="1:17" ht="14.25" x14ac:dyDescent="0.2">
      <c r="A274" s="183">
        <v>333</v>
      </c>
      <c r="B274" s="232" t="str">
        <f>IF(AND(A274&lt;&gt;"",ISNUMBER(A274)),VLOOKUP(A274,Studies!A:BR,2,FALSE),"")</f>
        <v>Lamberg 1998c</v>
      </c>
      <c r="C274" s="232" t="str">
        <f>IF(AND(A274&lt;&gt;"",ISNUMBER(A274)),VLOOKUP(A274,Studies!A:BR,3,FALSE),"")</f>
        <v>https://www.ncbi.nlm.nih.gov/pubmed/9663178</v>
      </c>
      <c r="D274" s="232" t="str">
        <f>IF(AND(A274&lt;&gt;"",ISNUMBER(A274)),VLOOKUP(A274,Studies!A:BR,4,FALSE),"")</f>
        <v>with Perpetrator (Diltiazem)</v>
      </c>
      <c r="E274" s="206" t="str">
        <f>IF(AND(A274&lt;&gt;"",ISNUMBER(A274)),VLOOKUP(A274,Studies!A:BR,5,FALSE),"")</f>
        <v>Buspirone</v>
      </c>
      <c r="F274" s="207" t="str">
        <f>IF(AND(A274&lt;&gt;"",ISNUMBER(A274)),VLOOKUP(A274,Studies!A:BR,6,FALSE),"")</f>
        <v>Plasma</v>
      </c>
      <c r="G274" s="194">
        <v>48</v>
      </c>
      <c r="H274" s="194" t="s">
        <v>60</v>
      </c>
      <c r="I274" s="187">
        <v>0.22257550000000001</v>
      </c>
      <c r="J274" s="187" t="s">
        <v>1026</v>
      </c>
      <c r="K274" s="187" t="s">
        <v>116</v>
      </c>
      <c r="L274" s="195"/>
      <c r="M274" s="195"/>
      <c r="N274" s="195"/>
      <c r="O274" s="199"/>
      <c r="P274" s="188"/>
      <c r="Q274" s="174">
        <f>IF(ISNUMBER(VLOOKUP(A274,NotghiID!A:A,1,FALSE)),1,0)</f>
        <v>0</v>
      </c>
    </row>
    <row r="275" spans="1:17" ht="14.25" x14ac:dyDescent="0.2">
      <c r="A275" s="183">
        <v>331</v>
      </c>
      <c r="B275" s="232" t="str">
        <f>IF(AND(A275&lt;&gt;"",ISNUMBER(A275)),VLOOKUP(A275,Studies!A:BR,2,FALSE),"")</f>
        <v>Lamberg 1998c</v>
      </c>
      <c r="C275" s="232" t="str">
        <f>IF(AND(A275&lt;&gt;"",ISNUMBER(A275)),VLOOKUP(A275,Studies!A:BR,3,FALSE),"")</f>
        <v>https://www.ncbi.nlm.nih.gov/pubmed/9663178</v>
      </c>
      <c r="D275" s="232" t="str">
        <f>IF(AND(A275&lt;&gt;"",ISNUMBER(A275)),VLOOKUP(A275,Studies!A:BR,4,FALSE),"")</f>
        <v>with Perpetrator (Verapamil)</v>
      </c>
      <c r="E275" s="206" t="str">
        <f>IF(AND(A275&lt;&gt;"",ISNUMBER(A275)),VLOOKUP(A275,Studies!A:BR,5,FALSE),"")</f>
        <v>Buspirone</v>
      </c>
      <c r="F275" s="207" t="str">
        <f>IF(AND(A275&lt;&gt;"",ISNUMBER(A275)),VLOOKUP(A275,Studies!A:BR,6,FALSE),"")</f>
        <v>Plasma</v>
      </c>
      <c r="G275" s="194">
        <v>30.5</v>
      </c>
      <c r="H275" s="194" t="s">
        <v>60</v>
      </c>
      <c r="I275" s="187">
        <v>6.7090620000000003</v>
      </c>
      <c r="J275" s="187" t="s">
        <v>1026</v>
      </c>
      <c r="K275" s="187" t="s">
        <v>116</v>
      </c>
      <c r="L275" s="195"/>
      <c r="M275" s="195"/>
      <c r="N275" s="195"/>
      <c r="O275" s="199"/>
      <c r="P275" s="188"/>
      <c r="Q275" s="174">
        <f>IF(ISNUMBER(VLOOKUP(A275,NotghiID!A:A,1,FALSE)),1,0)</f>
        <v>0</v>
      </c>
    </row>
    <row r="276" spans="1:17" ht="14.25" x14ac:dyDescent="0.2">
      <c r="A276" s="183">
        <v>331</v>
      </c>
      <c r="B276" s="232" t="str">
        <f>IF(AND(A276&lt;&gt;"",ISNUMBER(A276)),VLOOKUP(A276,Studies!A:BR,2,FALSE),"")</f>
        <v>Lamberg 1998c</v>
      </c>
      <c r="C276" s="232" t="str">
        <f>IF(AND(A276&lt;&gt;"",ISNUMBER(A276)),VLOOKUP(A276,Studies!A:BR,3,FALSE),"")</f>
        <v>https://www.ncbi.nlm.nih.gov/pubmed/9663178</v>
      </c>
      <c r="D276" s="232" t="str">
        <f>IF(AND(A276&lt;&gt;"",ISNUMBER(A276)),VLOOKUP(A276,Studies!A:BR,4,FALSE),"")</f>
        <v>with Perpetrator (Verapamil)</v>
      </c>
      <c r="E276" s="206" t="str">
        <f>IF(AND(A276&lt;&gt;"",ISNUMBER(A276)),VLOOKUP(A276,Studies!A:BR,5,FALSE),"")</f>
        <v>Buspirone</v>
      </c>
      <c r="F276" s="207" t="str">
        <f>IF(AND(A276&lt;&gt;"",ISNUMBER(A276)),VLOOKUP(A276,Studies!A:BR,6,FALSE),"")</f>
        <v>Plasma</v>
      </c>
      <c r="G276" s="194">
        <v>31</v>
      </c>
      <c r="H276" s="194" t="s">
        <v>60</v>
      </c>
      <c r="I276" s="187">
        <v>6.8362480000000003</v>
      </c>
      <c r="J276" s="187" t="s">
        <v>1026</v>
      </c>
      <c r="K276" s="187" t="s">
        <v>116</v>
      </c>
      <c r="L276" s="195">
        <v>2.0985689999999999</v>
      </c>
      <c r="M276" s="195" t="s">
        <v>1026</v>
      </c>
      <c r="N276" s="195" t="s">
        <v>1034</v>
      </c>
      <c r="O276" s="199"/>
      <c r="P276" s="188"/>
      <c r="Q276" s="174">
        <f>IF(ISNUMBER(VLOOKUP(A276,NotghiID!A:A,1,FALSE)),1,0)</f>
        <v>0</v>
      </c>
    </row>
    <row r="277" spans="1:17" ht="14.25" x14ac:dyDescent="0.2">
      <c r="A277" s="183">
        <v>331</v>
      </c>
      <c r="B277" s="232" t="str">
        <f>IF(AND(A277&lt;&gt;"",ISNUMBER(A277)),VLOOKUP(A277,Studies!A:BR,2,FALSE),"")</f>
        <v>Lamberg 1998c</v>
      </c>
      <c r="C277" s="232" t="str">
        <f>IF(AND(A277&lt;&gt;"",ISNUMBER(A277)),VLOOKUP(A277,Studies!A:BR,3,FALSE),"")</f>
        <v>https://www.ncbi.nlm.nih.gov/pubmed/9663178</v>
      </c>
      <c r="D277" s="232" t="str">
        <f>IF(AND(A277&lt;&gt;"",ISNUMBER(A277)),VLOOKUP(A277,Studies!A:BR,4,FALSE),"")</f>
        <v>with Perpetrator (Verapamil)</v>
      </c>
      <c r="E277" s="206" t="str">
        <f>IF(AND(A277&lt;&gt;"",ISNUMBER(A277)),VLOOKUP(A277,Studies!A:BR,5,FALSE),"")</f>
        <v>Buspirone</v>
      </c>
      <c r="F277" s="207" t="str">
        <f>IF(AND(A277&lt;&gt;"",ISNUMBER(A277)),VLOOKUP(A277,Studies!A:BR,6,FALSE),"")</f>
        <v>Plasma</v>
      </c>
      <c r="G277" s="194">
        <v>31.5</v>
      </c>
      <c r="H277" s="194" t="s">
        <v>60</v>
      </c>
      <c r="I277" s="187">
        <v>5.5484900000000001</v>
      </c>
      <c r="J277" s="187" t="s">
        <v>1026</v>
      </c>
      <c r="K277" s="187" t="s">
        <v>116</v>
      </c>
      <c r="L277" s="195">
        <v>1.6216219999999999</v>
      </c>
      <c r="M277" s="195" t="s">
        <v>1026</v>
      </c>
      <c r="N277" s="195" t="s">
        <v>1034</v>
      </c>
      <c r="O277" s="199"/>
      <c r="P277" s="188"/>
      <c r="Q277" s="174">
        <f>IF(ISNUMBER(VLOOKUP(A277,NotghiID!A:A,1,FALSE)),1,0)</f>
        <v>0</v>
      </c>
    </row>
    <row r="278" spans="1:17" ht="14.25" x14ac:dyDescent="0.2">
      <c r="A278" s="183">
        <v>331</v>
      </c>
      <c r="B278" s="232" t="str">
        <f>IF(AND(A278&lt;&gt;"",ISNUMBER(A278)),VLOOKUP(A278,Studies!A:BR,2,FALSE),"")</f>
        <v>Lamberg 1998c</v>
      </c>
      <c r="C278" s="232" t="str">
        <f>IF(AND(A278&lt;&gt;"",ISNUMBER(A278)),VLOOKUP(A278,Studies!A:BR,3,FALSE),"")</f>
        <v>https://www.ncbi.nlm.nih.gov/pubmed/9663178</v>
      </c>
      <c r="D278" s="232" t="str">
        <f>IF(AND(A278&lt;&gt;"",ISNUMBER(A278)),VLOOKUP(A278,Studies!A:BR,4,FALSE),"")</f>
        <v>with Perpetrator (Verapamil)</v>
      </c>
      <c r="E278" s="206" t="str">
        <f>IF(AND(A278&lt;&gt;"",ISNUMBER(A278)),VLOOKUP(A278,Studies!A:BR,5,FALSE),"")</f>
        <v>Buspirone</v>
      </c>
      <c r="F278" s="207" t="str">
        <f>IF(AND(A278&lt;&gt;"",ISNUMBER(A278)),VLOOKUP(A278,Studies!A:BR,6,FALSE),"")</f>
        <v>Plasma</v>
      </c>
      <c r="G278" s="194">
        <v>32</v>
      </c>
      <c r="H278" s="194" t="s">
        <v>60</v>
      </c>
      <c r="I278" s="187">
        <v>4.721781</v>
      </c>
      <c r="J278" s="187" t="s">
        <v>1026</v>
      </c>
      <c r="K278" s="187" t="s">
        <v>116</v>
      </c>
      <c r="L278" s="195">
        <v>1.319555</v>
      </c>
      <c r="M278" s="195" t="s">
        <v>1026</v>
      </c>
      <c r="N278" s="195" t="s">
        <v>1034</v>
      </c>
      <c r="O278" s="199"/>
      <c r="P278" s="188"/>
      <c r="Q278" s="174">
        <f>IF(ISNUMBER(VLOOKUP(A278,NotghiID!A:A,1,FALSE)),1,0)</f>
        <v>0</v>
      </c>
    </row>
    <row r="279" spans="1:17" ht="14.25" x14ac:dyDescent="0.2">
      <c r="A279" s="183">
        <v>331</v>
      </c>
      <c r="B279" s="232" t="str">
        <f>IF(AND(A279&lt;&gt;"",ISNUMBER(A279)),VLOOKUP(A279,Studies!A:BR,2,FALSE),"")</f>
        <v>Lamberg 1998c</v>
      </c>
      <c r="C279" s="232" t="str">
        <f>IF(AND(A279&lt;&gt;"",ISNUMBER(A279)),VLOOKUP(A279,Studies!A:BR,3,FALSE),"")</f>
        <v>https://www.ncbi.nlm.nih.gov/pubmed/9663178</v>
      </c>
      <c r="D279" s="232" t="str">
        <f>IF(AND(A279&lt;&gt;"",ISNUMBER(A279)),VLOOKUP(A279,Studies!A:BR,4,FALSE),"")</f>
        <v>with Perpetrator (Verapamil)</v>
      </c>
      <c r="E279" s="206" t="str">
        <f>IF(AND(A279&lt;&gt;"",ISNUMBER(A279)),VLOOKUP(A279,Studies!A:BR,5,FALSE),"")</f>
        <v>Buspirone</v>
      </c>
      <c r="F279" s="207" t="str">
        <f>IF(AND(A279&lt;&gt;"",ISNUMBER(A279)),VLOOKUP(A279,Studies!A:BR,6,FALSE),"")</f>
        <v>Plasma</v>
      </c>
      <c r="G279" s="194">
        <v>33</v>
      </c>
      <c r="H279" s="194" t="s">
        <v>60</v>
      </c>
      <c r="I279" s="187">
        <v>3.2273450000000001</v>
      </c>
      <c r="J279" s="187" t="s">
        <v>1026</v>
      </c>
      <c r="K279" s="187" t="s">
        <v>116</v>
      </c>
      <c r="L279" s="195">
        <v>0.87440370000000001</v>
      </c>
      <c r="M279" s="195" t="s">
        <v>1026</v>
      </c>
      <c r="N279" s="195" t="s">
        <v>1034</v>
      </c>
      <c r="O279" s="199"/>
      <c r="P279" s="188"/>
      <c r="Q279" s="174">
        <f>IF(ISNUMBER(VLOOKUP(A279,NotghiID!A:A,1,FALSE)),1,0)</f>
        <v>0</v>
      </c>
    </row>
    <row r="280" spans="1:17" ht="14.25" x14ac:dyDescent="0.2">
      <c r="A280" s="183">
        <v>331</v>
      </c>
      <c r="B280" s="232" t="str">
        <f>IF(AND(A280&lt;&gt;"",ISNUMBER(A280)),VLOOKUP(A280,Studies!A:BR,2,FALSE),"")</f>
        <v>Lamberg 1998c</v>
      </c>
      <c r="C280" s="232" t="str">
        <f>IF(AND(A280&lt;&gt;"",ISNUMBER(A280)),VLOOKUP(A280,Studies!A:BR,3,FALSE),"")</f>
        <v>https://www.ncbi.nlm.nih.gov/pubmed/9663178</v>
      </c>
      <c r="D280" s="232" t="str">
        <f>IF(AND(A280&lt;&gt;"",ISNUMBER(A280)),VLOOKUP(A280,Studies!A:BR,4,FALSE),"")</f>
        <v>with Perpetrator (Verapamil)</v>
      </c>
      <c r="E280" s="206" t="str">
        <f>IF(AND(A280&lt;&gt;"",ISNUMBER(A280)),VLOOKUP(A280,Studies!A:BR,5,FALSE),"")</f>
        <v>Buspirone</v>
      </c>
      <c r="F280" s="207" t="str">
        <f>IF(AND(A280&lt;&gt;"",ISNUMBER(A280)),VLOOKUP(A280,Studies!A:BR,6,FALSE),"")</f>
        <v>Plasma</v>
      </c>
      <c r="G280" s="194">
        <v>34</v>
      </c>
      <c r="H280" s="194" t="s">
        <v>60</v>
      </c>
      <c r="I280" s="187">
        <v>1.9872810000000001</v>
      </c>
      <c r="J280" s="187" t="s">
        <v>1026</v>
      </c>
      <c r="K280" s="187" t="s">
        <v>116</v>
      </c>
      <c r="L280" s="195">
        <v>0.44515060000000001</v>
      </c>
      <c r="M280" s="195" t="s">
        <v>1026</v>
      </c>
      <c r="N280" s="195" t="s">
        <v>1034</v>
      </c>
      <c r="O280" s="199"/>
      <c r="P280" s="188"/>
      <c r="Q280" s="174">
        <f>IF(ISNUMBER(VLOOKUP(A280,NotghiID!A:A,1,FALSE)),1,0)</f>
        <v>0</v>
      </c>
    </row>
    <row r="281" spans="1:17" ht="14.25" x14ac:dyDescent="0.2">
      <c r="A281" s="183">
        <v>331</v>
      </c>
      <c r="B281" s="232" t="str">
        <f>IF(AND(A281&lt;&gt;"",ISNUMBER(A281)),VLOOKUP(A281,Studies!A:BR,2,FALSE),"")</f>
        <v>Lamberg 1998c</v>
      </c>
      <c r="C281" s="232" t="str">
        <f>IF(AND(A281&lt;&gt;"",ISNUMBER(A281)),VLOOKUP(A281,Studies!A:BR,3,FALSE),"")</f>
        <v>https://www.ncbi.nlm.nih.gov/pubmed/9663178</v>
      </c>
      <c r="D281" s="232" t="str">
        <f>IF(AND(A281&lt;&gt;"",ISNUMBER(A281)),VLOOKUP(A281,Studies!A:BR,4,FALSE),"")</f>
        <v>with Perpetrator (Verapamil)</v>
      </c>
      <c r="E281" s="206" t="str">
        <f>IF(AND(A281&lt;&gt;"",ISNUMBER(A281)),VLOOKUP(A281,Studies!A:BR,5,FALSE),"")</f>
        <v>Buspirone</v>
      </c>
      <c r="F281" s="207" t="str">
        <f>IF(AND(A281&lt;&gt;"",ISNUMBER(A281)),VLOOKUP(A281,Studies!A:BR,6,FALSE),"")</f>
        <v>Plasma</v>
      </c>
      <c r="G281" s="194">
        <v>35</v>
      </c>
      <c r="H281" s="194" t="s">
        <v>60</v>
      </c>
      <c r="I281" s="187">
        <v>1.478537</v>
      </c>
      <c r="J281" s="187" t="s">
        <v>1026</v>
      </c>
      <c r="K281" s="187" t="s">
        <v>116</v>
      </c>
      <c r="L281" s="195">
        <v>0.34976109999999999</v>
      </c>
      <c r="M281" s="195" t="s">
        <v>1026</v>
      </c>
      <c r="N281" s="195" t="s">
        <v>1034</v>
      </c>
      <c r="O281" s="199"/>
      <c r="P281" s="188"/>
      <c r="Q281" s="174">
        <f>IF(ISNUMBER(VLOOKUP(A281,NotghiID!A:A,1,FALSE)),1,0)</f>
        <v>0</v>
      </c>
    </row>
    <row r="282" spans="1:17" ht="14.25" x14ac:dyDescent="0.2">
      <c r="A282" s="183">
        <v>331</v>
      </c>
      <c r="B282" s="232" t="str">
        <f>IF(AND(A282&lt;&gt;"",ISNUMBER(A282)),VLOOKUP(A282,Studies!A:BR,2,FALSE),"")</f>
        <v>Lamberg 1998c</v>
      </c>
      <c r="C282" s="232" t="str">
        <f>IF(AND(A282&lt;&gt;"",ISNUMBER(A282)),VLOOKUP(A282,Studies!A:BR,3,FALSE),"")</f>
        <v>https://www.ncbi.nlm.nih.gov/pubmed/9663178</v>
      </c>
      <c r="D282" s="232" t="str">
        <f>IF(AND(A282&lt;&gt;"",ISNUMBER(A282)),VLOOKUP(A282,Studies!A:BR,4,FALSE),"")</f>
        <v>with Perpetrator (Verapamil)</v>
      </c>
      <c r="E282" s="206" t="str">
        <f>IF(AND(A282&lt;&gt;"",ISNUMBER(A282)),VLOOKUP(A282,Studies!A:BR,5,FALSE),"")</f>
        <v>Buspirone</v>
      </c>
      <c r="F282" s="207" t="str">
        <f>IF(AND(A282&lt;&gt;"",ISNUMBER(A282)),VLOOKUP(A282,Studies!A:BR,6,FALSE),"")</f>
        <v>Plasma</v>
      </c>
      <c r="G282" s="194">
        <v>36</v>
      </c>
      <c r="H282" s="194" t="s">
        <v>60</v>
      </c>
      <c r="I282" s="187">
        <v>1.0333859999999999</v>
      </c>
      <c r="J282" s="187" t="s">
        <v>1026</v>
      </c>
      <c r="K282" s="187" t="s">
        <v>116</v>
      </c>
      <c r="L282" s="195">
        <v>0.25437169999999998</v>
      </c>
      <c r="M282" s="195" t="s">
        <v>1026</v>
      </c>
      <c r="N282" s="195" t="s">
        <v>1034</v>
      </c>
      <c r="O282" s="199"/>
      <c r="P282" s="188"/>
      <c r="Q282" s="174">
        <f>IF(ISNUMBER(VLOOKUP(A282,NotghiID!A:A,1,FALSE)),1,0)</f>
        <v>0</v>
      </c>
    </row>
    <row r="283" spans="1:17" ht="14.25" x14ac:dyDescent="0.2">
      <c r="A283" s="183">
        <v>331</v>
      </c>
      <c r="B283" s="232" t="str">
        <f>IF(AND(A283&lt;&gt;"",ISNUMBER(A283)),VLOOKUP(A283,Studies!A:BR,2,FALSE),"")</f>
        <v>Lamberg 1998c</v>
      </c>
      <c r="C283" s="232" t="str">
        <f>IF(AND(A283&lt;&gt;"",ISNUMBER(A283)),VLOOKUP(A283,Studies!A:BR,3,FALSE),"")</f>
        <v>https://www.ncbi.nlm.nih.gov/pubmed/9663178</v>
      </c>
      <c r="D283" s="232" t="str">
        <f>IF(AND(A283&lt;&gt;"",ISNUMBER(A283)),VLOOKUP(A283,Studies!A:BR,4,FALSE),"")</f>
        <v>with Perpetrator (Verapamil)</v>
      </c>
      <c r="E283" s="206" t="str">
        <f>IF(AND(A283&lt;&gt;"",ISNUMBER(A283)),VLOOKUP(A283,Studies!A:BR,5,FALSE),"")</f>
        <v>Buspirone</v>
      </c>
      <c r="F283" s="207" t="str">
        <f>IF(AND(A283&lt;&gt;"",ISNUMBER(A283)),VLOOKUP(A283,Studies!A:BR,6,FALSE),"")</f>
        <v>Plasma</v>
      </c>
      <c r="G283" s="194">
        <v>38</v>
      </c>
      <c r="H283" s="194" t="s">
        <v>60</v>
      </c>
      <c r="I283" s="187">
        <v>0.58823530000000002</v>
      </c>
      <c r="J283" s="187" t="s">
        <v>1026</v>
      </c>
      <c r="K283" s="187" t="s">
        <v>116</v>
      </c>
      <c r="L283" s="195">
        <v>0.12718599999999999</v>
      </c>
      <c r="M283" s="195" t="s">
        <v>1026</v>
      </c>
      <c r="N283" s="195" t="s">
        <v>1034</v>
      </c>
      <c r="O283" s="199"/>
      <c r="P283" s="188"/>
      <c r="Q283" s="174">
        <f>IF(ISNUMBER(VLOOKUP(A283,NotghiID!A:A,1,FALSE)),1,0)</f>
        <v>0</v>
      </c>
    </row>
    <row r="284" spans="1:17" ht="14.25" x14ac:dyDescent="0.2">
      <c r="A284" s="183">
        <v>331</v>
      </c>
      <c r="B284" s="232" t="str">
        <f>IF(AND(A284&lt;&gt;"",ISNUMBER(A284)),VLOOKUP(A284,Studies!A:BR,2,FALSE),"")</f>
        <v>Lamberg 1998c</v>
      </c>
      <c r="C284" s="232" t="str">
        <f>IF(AND(A284&lt;&gt;"",ISNUMBER(A284)),VLOOKUP(A284,Studies!A:BR,3,FALSE),"")</f>
        <v>https://www.ncbi.nlm.nih.gov/pubmed/9663178</v>
      </c>
      <c r="D284" s="232" t="str">
        <f>IF(AND(A284&lt;&gt;"",ISNUMBER(A284)),VLOOKUP(A284,Studies!A:BR,4,FALSE),"")</f>
        <v>with Perpetrator (Verapamil)</v>
      </c>
      <c r="E284" s="206" t="str">
        <f>IF(AND(A284&lt;&gt;"",ISNUMBER(A284)),VLOOKUP(A284,Studies!A:BR,5,FALSE),"")</f>
        <v>Buspirone</v>
      </c>
      <c r="F284" s="207" t="str">
        <f>IF(AND(A284&lt;&gt;"",ISNUMBER(A284)),VLOOKUP(A284,Studies!A:BR,6,FALSE),"")</f>
        <v>Plasma</v>
      </c>
      <c r="G284" s="194">
        <v>48</v>
      </c>
      <c r="H284" s="194" t="s">
        <v>60</v>
      </c>
      <c r="I284" s="187">
        <v>9.5389509999999997E-2</v>
      </c>
      <c r="J284" s="187" t="s">
        <v>1026</v>
      </c>
      <c r="K284" s="187" t="s">
        <v>116</v>
      </c>
      <c r="L284" s="195"/>
      <c r="M284" s="195"/>
      <c r="N284" s="195"/>
      <c r="O284" s="199"/>
      <c r="P284" s="188"/>
      <c r="Q284" s="174">
        <f>IF(ISNUMBER(VLOOKUP(A284,NotghiID!A:A,1,FALSE)),1,0)</f>
        <v>0</v>
      </c>
    </row>
    <row r="285" spans="1:17" ht="14.25" x14ac:dyDescent="0.2">
      <c r="A285" s="183">
        <v>335</v>
      </c>
      <c r="B285" s="232" t="str">
        <f>IF(AND(A285&lt;&gt;"",ISNUMBER(A285)),VLOOKUP(A285,Studies!A:BR,2,FALSE),"")</f>
        <v>Lamberg 1999</v>
      </c>
      <c r="C285" s="232" t="str">
        <f>IF(AND(A285&lt;&gt;"",ISNUMBER(A285)),VLOOKUP(A285,Studies!A:BR,3,FALSE),"")</f>
        <v>https://www.ncbi.nlm.nih.gov/pubmed/10227067</v>
      </c>
      <c r="D285" s="232" t="str">
        <f>IF(AND(A285&lt;&gt;"",ISNUMBER(A285)),VLOOKUP(A285,Studies!A:BR,4,FALSE),"")</f>
        <v>Control (Perpetrator Placebo)</v>
      </c>
      <c r="E285" s="206" t="str">
        <f>IF(AND(A285&lt;&gt;"",ISNUMBER(A285)),VLOOKUP(A285,Studies!A:BR,5,FALSE),"")</f>
        <v>Buspirone</v>
      </c>
      <c r="F285" s="207" t="str">
        <f>IF(AND(A285&lt;&gt;"",ISNUMBER(A285)),VLOOKUP(A285,Studies!A:BR,6,FALSE),"")</f>
        <v>Plasma</v>
      </c>
      <c r="G285" s="194">
        <v>0.5</v>
      </c>
      <c r="H285" s="194" t="s">
        <v>60</v>
      </c>
      <c r="I285" s="187">
        <v>1.112568</v>
      </c>
      <c r="J285" s="187" t="s">
        <v>1026</v>
      </c>
      <c r="K285" s="187" t="s">
        <v>116</v>
      </c>
      <c r="L285" s="195">
        <v>0.3452443</v>
      </c>
      <c r="M285" s="195" t="s">
        <v>1026</v>
      </c>
      <c r="N285" s="195" t="s">
        <v>1034</v>
      </c>
      <c r="O285" s="199"/>
      <c r="P285" s="188"/>
      <c r="Q285" s="174">
        <f>IF(ISNUMBER(VLOOKUP(A285,NotghiID!A:A,1,FALSE)),1,0)</f>
        <v>0</v>
      </c>
    </row>
    <row r="286" spans="1:17" ht="14.25" x14ac:dyDescent="0.2">
      <c r="A286" s="183">
        <v>335</v>
      </c>
      <c r="B286" s="232" t="str">
        <f>IF(AND(A286&lt;&gt;"",ISNUMBER(A286)),VLOOKUP(A286,Studies!A:BR,2,FALSE),"")</f>
        <v>Lamberg 1999</v>
      </c>
      <c r="C286" s="232" t="str">
        <f>IF(AND(A286&lt;&gt;"",ISNUMBER(A286)),VLOOKUP(A286,Studies!A:BR,3,FALSE),"")</f>
        <v>https://www.ncbi.nlm.nih.gov/pubmed/10227067</v>
      </c>
      <c r="D286" s="232" t="str">
        <f>IF(AND(A286&lt;&gt;"",ISNUMBER(A286)),VLOOKUP(A286,Studies!A:BR,4,FALSE),"")</f>
        <v>Control (Perpetrator Placebo)</v>
      </c>
      <c r="E286" s="206" t="str">
        <f>IF(AND(A286&lt;&gt;"",ISNUMBER(A286)),VLOOKUP(A286,Studies!A:BR,5,FALSE),"")</f>
        <v>Buspirone</v>
      </c>
      <c r="F286" s="207" t="str">
        <f>IF(AND(A286&lt;&gt;"",ISNUMBER(A286)),VLOOKUP(A286,Studies!A:BR,6,FALSE),"")</f>
        <v>Plasma</v>
      </c>
      <c r="G286" s="194">
        <v>1</v>
      </c>
      <c r="H286" s="194" t="s">
        <v>60</v>
      </c>
      <c r="I286" s="187">
        <v>2.1281029999999999</v>
      </c>
      <c r="J286" s="187" t="s">
        <v>1026</v>
      </c>
      <c r="K286" s="187" t="s">
        <v>116</v>
      </c>
      <c r="L286" s="195">
        <v>0.38433270000000003</v>
      </c>
      <c r="M286" s="195" t="s">
        <v>1026</v>
      </c>
      <c r="N286" s="195" t="s">
        <v>1034</v>
      </c>
      <c r="O286" s="199"/>
      <c r="P286" s="188"/>
      <c r="Q286" s="174">
        <f>IF(ISNUMBER(VLOOKUP(A286,NotghiID!A:A,1,FALSE)),1,0)</f>
        <v>0</v>
      </c>
    </row>
    <row r="287" spans="1:17" ht="14.25" x14ac:dyDescent="0.2">
      <c r="A287" s="183">
        <v>335</v>
      </c>
      <c r="B287" s="232" t="str">
        <f>IF(AND(A287&lt;&gt;"",ISNUMBER(A287)),VLOOKUP(A287,Studies!A:BR,2,FALSE),"")</f>
        <v>Lamberg 1999</v>
      </c>
      <c r="C287" s="232" t="str">
        <f>IF(AND(A287&lt;&gt;"",ISNUMBER(A287)),VLOOKUP(A287,Studies!A:BR,3,FALSE),"")</f>
        <v>https://www.ncbi.nlm.nih.gov/pubmed/10227067</v>
      </c>
      <c r="D287" s="232" t="str">
        <f>IF(AND(A287&lt;&gt;"",ISNUMBER(A287)),VLOOKUP(A287,Studies!A:BR,4,FALSE),"")</f>
        <v>Control (Perpetrator Placebo)</v>
      </c>
      <c r="E287" s="206" t="str">
        <f>IF(AND(A287&lt;&gt;"",ISNUMBER(A287)),VLOOKUP(A287,Studies!A:BR,5,FALSE),"")</f>
        <v>Buspirone</v>
      </c>
      <c r="F287" s="207" t="str">
        <f>IF(AND(A287&lt;&gt;"",ISNUMBER(A287)),VLOOKUP(A287,Studies!A:BR,6,FALSE),"")</f>
        <v>Plasma</v>
      </c>
      <c r="G287" s="194">
        <v>1.5</v>
      </c>
      <c r="H287" s="194" t="s">
        <v>60</v>
      </c>
      <c r="I287" s="187">
        <v>1.899403</v>
      </c>
      <c r="J287" s="187" t="s">
        <v>1026</v>
      </c>
      <c r="K287" s="187" t="s">
        <v>116</v>
      </c>
      <c r="L287" s="195">
        <v>0.35175899999999999</v>
      </c>
      <c r="M287" s="195" t="s">
        <v>1026</v>
      </c>
      <c r="N287" s="195" t="s">
        <v>1034</v>
      </c>
      <c r="O287" s="199"/>
      <c r="P287" s="188"/>
      <c r="Q287" s="174">
        <f>IF(ISNUMBER(VLOOKUP(A287,NotghiID!A:A,1,FALSE)),1,0)</f>
        <v>0</v>
      </c>
    </row>
    <row r="288" spans="1:17" ht="14.25" x14ac:dyDescent="0.2">
      <c r="A288" s="183">
        <v>335</v>
      </c>
      <c r="B288" s="232" t="str">
        <f>IF(AND(A288&lt;&gt;"",ISNUMBER(A288)),VLOOKUP(A288,Studies!A:BR,2,FALSE),"")</f>
        <v>Lamberg 1999</v>
      </c>
      <c r="C288" s="232" t="str">
        <f>IF(AND(A288&lt;&gt;"",ISNUMBER(A288)),VLOOKUP(A288,Studies!A:BR,3,FALSE),"")</f>
        <v>https://www.ncbi.nlm.nih.gov/pubmed/10227067</v>
      </c>
      <c r="D288" s="232" t="str">
        <f>IF(AND(A288&lt;&gt;"",ISNUMBER(A288)),VLOOKUP(A288,Studies!A:BR,4,FALSE),"")</f>
        <v>Control (Perpetrator Placebo)</v>
      </c>
      <c r="E288" s="206" t="str">
        <f>IF(AND(A288&lt;&gt;"",ISNUMBER(A288)),VLOOKUP(A288,Studies!A:BR,5,FALSE),"")</f>
        <v>Buspirone</v>
      </c>
      <c r="F288" s="207" t="str">
        <f>IF(AND(A288&lt;&gt;"",ISNUMBER(A288)),VLOOKUP(A288,Studies!A:BR,6,FALSE),"")</f>
        <v>Plasma</v>
      </c>
      <c r="G288" s="194">
        <v>2</v>
      </c>
      <c r="H288" s="194" t="s">
        <v>60</v>
      </c>
      <c r="I288" s="187">
        <v>1.5078039999999999</v>
      </c>
      <c r="J288" s="187" t="s">
        <v>1026</v>
      </c>
      <c r="K288" s="187" t="s">
        <v>116</v>
      </c>
      <c r="L288" s="195">
        <v>0.29964150000000001</v>
      </c>
      <c r="M288" s="195" t="s">
        <v>1026</v>
      </c>
      <c r="N288" s="195" t="s">
        <v>1034</v>
      </c>
      <c r="O288" s="199"/>
      <c r="P288" s="188"/>
      <c r="Q288" s="174">
        <f>IF(ISNUMBER(VLOOKUP(A288,NotghiID!A:A,1,FALSE)),1,0)</f>
        <v>0</v>
      </c>
    </row>
    <row r="289" spans="1:17" ht="14.25" x14ac:dyDescent="0.2">
      <c r="A289" s="183">
        <v>335</v>
      </c>
      <c r="B289" s="232" t="str">
        <f>IF(AND(A289&lt;&gt;"",ISNUMBER(A289)),VLOOKUP(A289,Studies!A:BR,2,FALSE),"")</f>
        <v>Lamberg 1999</v>
      </c>
      <c r="C289" s="232" t="str">
        <f>IF(AND(A289&lt;&gt;"",ISNUMBER(A289)),VLOOKUP(A289,Studies!A:BR,3,FALSE),"")</f>
        <v>https://www.ncbi.nlm.nih.gov/pubmed/10227067</v>
      </c>
      <c r="D289" s="232" t="str">
        <f>IF(AND(A289&lt;&gt;"",ISNUMBER(A289)),VLOOKUP(A289,Studies!A:BR,4,FALSE),"")</f>
        <v>Control (Perpetrator Placebo)</v>
      </c>
      <c r="E289" s="206" t="str">
        <f>IF(AND(A289&lt;&gt;"",ISNUMBER(A289)),VLOOKUP(A289,Studies!A:BR,5,FALSE),"")</f>
        <v>Buspirone</v>
      </c>
      <c r="F289" s="207" t="str">
        <f>IF(AND(A289&lt;&gt;"",ISNUMBER(A289)),VLOOKUP(A289,Studies!A:BR,6,FALSE),"")</f>
        <v>Plasma</v>
      </c>
      <c r="G289" s="194">
        <v>3</v>
      </c>
      <c r="H289" s="194" t="s">
        <v>60</v>
      </c>
      <c r="I289" s="187">
        <v>0.97867820000000005</v>
      </c>
      <c r="J289" s="187" t="s">
        <v>1026</v>
      </c>
      <c r="K289" s="187" t="s">
        <v>116</v>
      </c>
      <c r="L289" s="195">
        <v>0.17596120000000001</v>
      </c>
      <c r="M289" s="195" t="s">
        <v>1026</v>
      </c>
      <c r="N289" s="195" t="s">
        <v>1034</v>
      </c>
      <c r="O289" s="199"/>
      <c r="P289" s="188"/>
      <c r="Q289" s="174">
        <f>IF(ISNUMBER(VLOOKUP(A289,NotghiID!A:A,1,FALSE)),1,0)</f>
        <v>0</v>
      </c>
    </row>
    <row r="290" spans="1:17" ht="14.25" x14ac:dyDescent="0.2">
      <c r="A290" s="183">
        <v>335</v>
      </c>
      <c r="B290" s="232" t="str">
        <f>IF(AND(A290&lt;&gt;"",ISNUMBER(A290)),VLOOKUP(A290,Studies!A:BR,2,FALSE),"")</f>
        <v>Lamberg 1999</v>
      </c>
      <c r="C290" s="232" t="str">
        <f>IF(AND(A290&lt;&gt;"",ISNUMBER(A290)),VLOOKUP(A290,Studies!A:BR,3,FALSE),"")</f>
        <v>https://www.ncbi.nlm.nih.gov/pubmed/10227067</v>
      </c>
      <c r="D290" s="232" t="str">
        <f>IF(AND(A290&lt;&gt;"",ISNUMBER(A290)),VLOOKUP(A290,Studies!A:BR,4,FALSE),"")</f>
        <v>Control (Perpetrator Placebo)</v>
      </c>
      <c r="E290" s="206" t="str">
        <f>IF(AND(A290&lt;&gt;"",ISNUMBER(A290)),VLOOKUP(A290,Studies!A:BR,5,FALSE),"")</f>
        <v>Buspirone</v>
      </c>
      <c r="F290" s="207" t="str">
        <f>IF(AND(A290&lt;&gt;"",ISNUMBER(A290)),VLOOKUP(A290,Studies!A:BR,6,FALSE),"")</f>
        <v>Plasma</v>
      </c>
      <c r="G290" s="194">
        <v>4</v>
      </c>
      <c r="H290" s="194" t="s">
        <v>60</v>
      </c>
      <c r="I290" s="187">
        <v>0.60587139999999995</v>
      </c>
      <c r="J290" s="187" t="s">
        <v>1026</v>
      </c>
      <c r="K290" s="187" t="s">
        <v>116</v>
      </c>
      <c r="L290" s="195">
        <v>0.1042019</v>
      </c>
      <c r="M290" s="195" t="s">
        <v>1026</v>
      </c>
      <c r="N290" s="195" t="s">
        <v>1034</v>
      </c>
      <c r="O290" s="199"/>
      <c r="P290" s="188"/>
      <c r="Q290" s="174">
        <f>IF(ISNUMBER(VLOOKUP(A290,NotghiID!A:A,1,FALSE)),1,0)</f>
        <v>0</v>
      </c>
    </row>
    <row r="291" spans="1:17" ht="14.25" x14ac:dyDescent="0.2">
      <c r="A291" s="183">
        <v>335</v>
      </c>
      <c r="B291" s="232" t="str">
        <f>IF(AND(A291&lt;&gt;"",ISNUMBER(A291)),VLOOKUP(A291,Studies!A:BR,2,FALSE),"")</f>
        <v>Lamberg 1999</v>
      </c>
      <c r="C291" s="232" t="str">
        <f>IF(AND(A291&lt;&gt;"",ISNUMBER(A291)),VLOOKUP(A291,Studies!A:BR,3,FALSE),"")</f>
        <v>https://www.ncbi.nlm.nih.gov/pubmed/10227067</v>
      </c>
      <c r="D291" s="232" t="str">
        <f>IF(AND(A291&lt;&gt;"",ISNUMBER(A291)),VLOOKUP(A291,Studies!A:BR,4,FALSE),"")</f>
        <v>Control (Perpetrator Placebo)</v>
      </c>
      <c r="E291" s="206" t="str">
        <f>IF(AND(A291&lt;&gt;"",ISNUMBER(A291)),VLOOKUP(A291,Studies!A:BR,5,FALSE),"")</f>
        <v>Buspirone</v>
      </c>
      <c r="F291" s="207" t="str">
        <f>IF(AND(A291&lt;&gt;"",ISNUMBER(A291)),VLOOKUP(A291,Studies!A:BR,6,FALSE),"")</f>
        <v>Plasma</v>
      </c>
      <c r="G291" s="194">
        <v>5</v>
      </c>
      <c r="H291" s="194" t="s">
        <v>60</v>
      </c>
      <c r="I291" s="187">
        <v>0.40251100000000001</v>
      </c>
      <c r="J291" s="187" t="s">
        <v>1026</v>
      </c>
      <c r="K291" s="187" t="s">
        <v>116</v>
      </c>
      <c r="L291" s="195">
        <v>7.8143149999999995E-2</v>
      </c>
      <c r="M291" s="195" t="s">
        <v>1026</v>
      </c>
      <c r="N291" s="195" t="s">
        <v>1034</v>
      </c>
      <c r="O291" s="199"/>
      <c r="P291" s="188"/>
      <c r="Q291" s="174">
        <f>IF(ISNUMBER(VLOOKUP(A291,NotghiID!A:A,1,FALSE)),1,0)</f>
        <v>0</v>
      </c>
    </row>
    <row r="292" spans="1:17" ht="14.25" x14ac:dyDescent="0.2">
      <c r="A292" s="183">
        <v>335</v>
      </c>
      <c r="B292" s="232" t="str">
        <f>IF(AND(A292&lt;&gt;"",ISNUMBER(A292)),VLOOKUP(A292,Studies!A:BR,2,FALSE),"")</f>
        <v>Lamberg 1999</v>
      </c>
      <c r="C292" s="232" t="str">
        <f>IF(AND(A292&lt;&gt;"",ISNUMBER(A292)),VLOOKUP(A292,Studies!A:BR,3,FALSE),"")</f>
        <v>https://www.ncbi.nlm.nih.gov/pubmed/10227067</v>
      </c>
      <c r="D292" s="232" t="str">
        <f>IF(AND(A292&lt;&gt;"",ISNUMBER(A292)),VLOOKUP(A292,Studies!A:BR,4,FALSE),"")</f>
        <v>Control (Perpetrator Placebo)</v>
      </c>
      <c r="E292" s="206" t="str">
        <f>IF(AND(A292&lt;&gt;"",ISNUMBER(A292)),VLOOKUP(A292,Studies!A:BR,5,FALSE),"")</f>
        <v>Buspirone</v>
      </c>
      <c r="F292" s="207" t="str">
        <f>IF(AND(A292&lt;&gt;"",ISNUMBER(A292)),VLOOKUP(A292,Studies!A:BR,6,FALSE),"")</f>
        <v>Plasma</v>
      </c>
      <c r="G292" s="194">
        <v>6</v>
      </c>
      <c r="H292" s="194" t="s">
        <v>60</v>
      </c>
      <c r="I292" s="187">
        <v>0.25774989999999998</v>
      </c>
      <c r="J292" s="187" t="s">
        <v>1026</v>
      </c>
      <c r="K292" s="187" t="s">
        <v>116</v>
      </c>
      <c r="L292" s="195">
        <v>3.9087879999999998E-2</v>
      </c>
      <c r="M292" s="195" t="s">
        <v>1026</v>
      </c>
      <c r="N292" s="195" t="s">
        <v>1034</v>
      </c>
      <c r="O292" s="199"/>
      <c r="P292" s="188"/>
      <c r="Q292" s="174">
        <f>IF(ISNUMBER(VLOOKUP(A292,NotghiID!A:A,1,FALSE)),1,0)</f>
        <v>0</v>
      </c>
    </row>
    <row r="293" spans="1:17" ht="14.25" x14ac:dyDescent="0.2">
      <c r="A293" s="183">
        <v>335</v>
      </c>
      <c r="B293" s="232" t="str">
        <f>IF(AND(A293&lt;&gt;"",ISNUMBER(A293)),VLOOKUP(A293,Studies!A:BR,2,FALSE),"")</f>
        <v>Lamberg 1999</v>
      </c>
      <c r="C293" s="232" t="str">
        <f>IF(AND(A293&lt;&gt;"",ISNUMBER(A293)),VLOOKUP(A293,Studies!A:BR,3,FALSE),"")</f>
        <v>https://www.ncbi.nlm.nih.gov/pubmed/10227067</v>
      </c>
      <c r="D293" s="232" t="str">
        <f>IF(AND(A293&lt;&gt;"",ISNUMBER(A293)),VLOOKUP(A293,Studies!A:BR,4,FALSE),"")</f>
        <v>Control (Perpetrator Placebo)</v>
      </c>
      <c r="E293" s="206" t="str">
        <f>IF(AND(A293&lt;&gt;"",ISNUMBER(A293)),VLOOKUP(A293,Studies!A:BR,5,FALSE),"")</f>
        <v>Buspirone</v>
      </c>
      <c r="F293" s="207" t="str">
        <f>IF(AND(A293&lt;&gt;"",ISNUMBER(A293)),VLOOKUP(A293,Studies!A:BR,6,FALSE),"")</f>
        <v>Plasma</v>
      </c>
      <c r="G293" s="194">
        <v>8</v>
      </c>
      <c r="H293" s="194" t="s">
        <v>60</v>
      </c>
      <c r="I293" s="187">
        <v>0.14405809999999999</v>
      </c>
      <c r="J293" s="187" t="s">
        <v>1026</v>
      </c>
      <c r="K293" s="187" t="s">
        <v>116</v>
      </c>
      <c r="L293" s="195">
        <v>2.5993200000000001E-2</v>
      </c>
      <c r="M293" s="195" t="s">
        <v>1026</v>
      </c>
      <c r="N293" s="195" t="s">
        <v>1034</v>
      </c>
      <c r="O293" s="199"/>
      <c r="P293" s="188"/>
      <c r="Q293" s="174">
        <f>IF(ISNUMBER(VLOOKUP(A293,NotghiID!A:A,1,FALSE)),1,0)</f>
        <v>0</v>
      </c>
    </row>
    <row r="294" spans="1:17" ht="14.25" x14ac:dyDescent="0.2">
      <c r="A294" s="183">
        <v>339</v>
      </c>
      <c r="B294" s="232" t="str">
        <f>IF(AND(A294&lt;&gt;"",ISNUMBER(A294)),VLOOKUP(A294,Studies!A:BR,2,FALSE),"")</f>
        <v>Lilja 1998</v>
      </c>
      <c r="C294" s="232" t="str">
        <f>IF(AND(A294&lt;&gt;"",ISNUMBER(A294)),VLOOKUP(A294,Studies!A:BR,3,FALSE),"")</f>
        <v>https://www.ncbi.nlm.nih.gov/pubmed/9871430</v>
      </c>
      <c r="D294" s="232" t="str">
        <f>IF(AND(A294&lt;&gt;"",ISNUMBER(A294)),VLOOKUP(A294,Studies!A:BR,4,FALSE),"")</f>
        <v>Control (Perpetrator Placebo)</v>
      </c>
      <c r="E294" s="206" t="str">
        <f>IF(AND(A294&lt;&gt;"",ISNUMBER(A294)),VLOOKUP(A294,Studies!A:BR,5,FALSE),"")</f>
        <v>Buspirone</v>
      </c>
      <c r="F294" s="207" t="str">
        <f>IF(AND(A294&lt;&gt;"",ISNUMBER(A294)),VLOOKUP(A294,Studies!A:BR,6,FALSE),"")</f>
        <v>Plasma</v>
      </c>
      <c r="G294" s="194">
        <v>0.5</v>
      </c>
      <c r="H294" s="194" t="s">
        <v>60</v>
      </c>
      <c r="I294" s="187">
        <v>1.5555829999999999</v>
      </c>
      <c r="J294" s="187" t="s">
        <v>1026</v>
      </c>
      <c r="K294" s="187" t="s">
        <v>116</v>
      </c>
      <c r="L294" s="195">
        <v>0.78846380000000005</v>
      </c>
      <c r="M294" s="195" t="s">
        <v>1026</v>
      </c>
      <c r="N294" s="195" t="s">
        <v>1034</v>
      </c>
      <c r="O294" s="199"/>
      <c r="P294" s="188"/>
      <c r="Q294" s="174">
        <f>IF(ISNUMBER(VLOOKUP(A294,NotghiID!A:A,1,FALSE)),1,0)</f>
        <v>0</v>
      </c>
    </row>
    <row r="295" spans="1:17" ht="14.25" x14ac:dyDescent="0.2">
      <c r="A295" s="183">
        <v>339</v>
      </c>
      <c r="B295" s="232" t="str">
        <f>IF(AND(A295&lt;&gt;"",ISNUMBER(A295)),VLOOKUP(A295,Studies!A:BR,2,FALSE),"")</f>
        <v>Lilja 1998</v>
      </c>
      <c r="C295" s="232" t="str">
        <f>IF(AND(A295&lt;&gt;"",ISNUMBER(A295)),VLOOKUP(A295,Studies!A:BR,3,FALSE),"")</f>
        <v>https://www.ncbi.nlm.nih.gov/pubmed/9871430</v>
      </c>
      <c r="D295" s="232" t="str">
        <f>IF(AND(A295&lt;&gt;"",ISNUMBER(A295)),VLOOKUP(A295,Studies!A:BR,4,FALSE),"")</f>
        <v>Control (Perpetrator Placebo)</v>
      </c>
      <c r="E295" s="206" t="str">
        <f>IF(AND(A295&lt;&gt;"",ISNUMBER(A295)),VLOOKUP(A295,Studies!A:BR,5,FALSE),"")</f>
        <v>Buspirone</v>
      </c>
      <c r="F295" s="207" t="str">
        <f>IF(AND(A295&lt;&gt;"",ISNUMBER(A295)),VLOOKUP(A295,Studies!A:BR,6,FALSE),"")</f>
        <v>Plasma</v>
      </c>
      <c r="G295" s="194">
        <v>1</v>
      </c>
      <c r="H295" s="194" t="s">
        <v>60</v>
      </c>
      <c r="I295" s="187">
        <v>1.420174</v>
      </c>
      <c r="J295" s="187" t="s">
        <v>1026</v>
      </c>
      <c r="K295" s="187" t="s">
        <v>116</v>
      </c>
      <c r="L295" s="195">
        <v>0.42304920000000001</v>
      </c>
      <c r="M295" s="195" t="s">
        <v>1026</v>
      </c>
      <c r="N295" s="195" t="s">
        <v>1034</v>
      </c>
      <c r="O295" s="199"/>
      <c r="P295" s="188"/>
      <c r="Q295" s="174">
        <f>IF(ISNUMBER(VLOOKUP(A295,NotghiID!A:A,1,FALSE)),1,0)</f>
        <v>0</v>
      </c>
    </row>
    <row r="296" spans="1:17" ht="14.25" x14ac:dyDescent="0.2">
      <c r="A296" s="183">
        <v>339</v>
      </c>
      <c r="B296" s="232" t="str">
        <f>IF(AND(A296&lt;&gt;"",ISNUMBER(A296)),VLOOKUP(A296,Studies!A:BR,2,FALSE),"")</f>
        <v>Lilja 1998</v>
      </c>
      <c r="C296" s="232" t="str">
        <f>IF(AND(A296&lt;&gt;"",ISNUMBER(A296)),VLOOKUP(A296,Studies!A:BR,3,FALSE),"")</f>
        <v>https://www.ncbi.nlm.nih.gov/pubmed/9871430</v>
      </c>
      <c r="D296" s="232" t="str">
        <f>IF(AND(A296&lt;&gt;"",ISNUMBER(A296)),VLOOKUP(A296,Studies!A:BR,4,FALSE),"")</f>
        <v>Control (Perpetrator Placebo)</v>
      </c>
      <c r="E296" s="206" t="str">
        <f>IF(AND(A296&lt;&gt;"",ISNUMBER(A296)),VLOOKUP(A296,Studies!A:BR,5,FALSE),"")</f>
        <v>Buspirone</v>
      </c>
      <c r="F296" s="207" t="str">
        <f>IF(AND(A296&lt;&gt;"",ISNUMBER(A296)),VLOOKUP(A296,Studies!A:BR,6,FALSE),"")</f>
        <v>Plasma</v>
      </c>
      <c r="G296" s="194">
        <v>1.5</v>
      </c>
      <c r="H296" s="194" t="s">
        <v>60</v>
      </c>
      <c r="I296" s="187">
        <v>1.0155050000000001</v>
      </c>
      <c r="J296" s="187" t="s">
        <v>1026</v>
      </c>
      <c r="K296" s="187" t="s">
        <v>116</v>
      </c>
      <c r="L296" s="195">
        <v>0.30772270000000002</v>
      </c>
      <c r="M296" s="195" t="s">
        <v>1026</v>
      </c>
      <c r="N296" s="195" t="s">
        <v>1034</v>
      </c>
      <c r="O296" s="199"/>
      <c r="P296" s="188"/>
      <c r="Q296" s="174">
        <f>IF(ISNUMBER(VLOOKUP(A296,NotghiID!A:A,1,FALSE)),1,0)</f>
        <v>0</v>
      </c>
    </row>
    <row r="297" spans="1:17" ht="14.25" x14ac:dyDescent="0.2">
      <c r="A297" s="183">
        <v>339</v>
      </c>
      <c r="B297" s="232" t="str">
        <f>IF(AND(A297&lt;&gt;"",ISNUMBER(A297)),VLOOKUP(A297,Studies!A:BR,2,FALSE),"")</f>
        <v>Lilja 1998</v>
      </c>
      <c r="C297" s="232" t="str">
        <f>IF(AND(A297&lt;&gt;"",ISNUMBER(A297)),VLOOKUP(A297,Studies!A:BR,3,FALSE),"")</f>
        <v>https://www.ncbi.nlm.nih.gov/pubmed/9871430</v>
      </c>
      <c r="D297" s="232" t="str">
        <f>IF(AND(A297&lt;&gt;"",ISNUMBER(A297)),VLOOKUP(A297,Studies!A:BR,4,FALSE),"")</f>
        <v>Control (Perpetrator Placebo)</v>
      </c>
      <c r="E297" s="206" t="str">
        <f>IF(AND(A297&lt;&gt;"",ISNUMBER(A297)),VLOOKUP(A297,Studies!A:BR,5,FALSE),"")</f>
        <v>Buspirone</v>
      </c>
      <c r="F297" s="207" t="str">
        <f>IF(AND(A297&lt;&gt;"",ISNUMBER(A297)),VLOOKUP(A297,Studies!A:BR,6,FALSE),"")</f>
        <v>Plasma</v>
      </c>
      <c r="G297" s="194">
        <v>2</v>
      </c>
      <c r="H297" s="194" t="s">
        <v>60</v>
      </c>
      <c r="I297" s="187">
        <v>0.82240409999999997</v>
      </c>
      <c r="J297" s="187" t="s">
        <v>1026</v>
      </c>
      <c r="K297" s="187" t="s">
        <v>116</v>
      </c>
      <c r="L297" s="195">
        <v>0.2307699</v>
      </c>
      <c r="M297" s="195" t="s">
        <v>1026</v>
      </c>
      <c r="N297" s="195" t="s">
        <v>1034</v>
      </c>
      <c r="O297" s="199"/>
      <c r="P297" s="188"/>
      <c r="Q297" s="174">
        <f>IF(ISNUMBER(VLOOKUP(A297,NotghiID!A:A,1,FALSE)),1,0)</f>
        <v>0</v>
      </c>
    </row>
    <row r="298" spans="1:17" ht="14.25" x14ac:dyDescent="0.2">
      <c r="A298" s="183">
        <v>339</v>
      </c>
      <c r="B298" s="232" t="str">
        <f>IF(AND(A298&lt;&gt;"",ISNUMBER(A298)),VLOOKUP(A298,Studies!A:BR,2,FALSE),"")</f>
        <v>Lilja 1998</v>
      </c>
      <c r="C298" s="232" t="str">
        <f>IF(AND(A298&lt;&gt;"",ISNUMBER(A298)),VLOOKUP(A298,Studies!A:BR,3,FALSE),"")</f>
        <v>https://www.ncbi.nlm.nih.gov/pubmed/9871430</v>
      </c>
      <c r="D298" s="232" t="str">
        <f>IF(AND(A298&lt;&gt;"",ISNUMBER(A298)),VLOOKUP(A298,Studies!A:BR,4,FALSE),"")</f>
        <v>Control (Perpetrator Placebo)</v>
      </c>
      <c r="E298" s="206" t="str">
        <f>IF(AND(A298&lt;&gt;"",ISNUMBER(A298)),VLOOKUP(A298,Studies!A:BR,5,FALSE),"")</f>
        <v>Buspirone</v>
      </c>
      <c r="F298" s="207" t="str">
        <f>IF(AND(A298&lt;&gt;"",ISNUMBER(A298)),VLOOKUP(A298,Studies!A:BR,6,FALSE),"")</f>
        <v>Plasma</v>
      </c>
      <c r="G298" s="194">
        <v>3</v>
      </c>
      <c r="H298" s="194" t="s">
        <v>60</v>
      </c>
      <c r="I298" s="187">
        <v>0.4938652</v>
      </c>
      <c r="J298" s="187" t="s">
        <v>1026</v>
      </c>
      <c r="K298" s="187" t="s">
        <v>116</v>
      </c>
      <c r="L298" s="195">
        <v>0.17310680000000001</v>
      </c>
      <c r="M298" s="195" t="s">
        <v>1026</v>
      </c>
      <c r="N298" s="195" t="s">
        <v>1034</v>
      </c>
      <c r="O298" s="199"/>
      <c r="P298" s="188"/>
      <c r="Q298" s="174">
        <f>IF(ISNUMBER(VLOOKUP(A298,NotghiID!A:A,1,FALSE)),1,0)</f>
        <v>0</v>
      </c>
    </row>
    <row r="299" spans="1:17" ht="14.25" x14ac:dyDescent="0.2">
      <c r="A299" s="183">
        <v>339</v>
      </c>
      <c r="B299" s="232" t="str">
        <f>IF(AND(A299&lt;&gt;"",ISNUMBER(A299)),VLOOKUP(A299,Studies!A:BR,2,FALSE),"")</f>
        <v>Lilja 1998</v>
      </c>
      <c r="C299" s="232" t="str">
        <f>IF(AND(A299&lt;&gt;"",ISNUMBER(A299)),VLOOKUP(A299,Studies!A:BR,3,FALSE),"")</f>
        <v>https://www.ncbi.nlm.nih.gov/pubmed/9871430</v>
      </c>
      <c r="D299" s="232" t="str">
        <f>IF(AND(A299&lt;&gt;"",ISNUMBER(A299)),VLOOKUP(A299,Studies!A:BR,4,FALSE),"")</f>
        <v>Control (Perpetrator Placebo)</v>
      </c>
      <c r="E299" s="206" t="str">
        <f>IF(AND(A299&lt;&gt;"",ISNUMBER(A299)),VLOOKUP(A299,Studies!A:BR,5,FALSE),"")</f>
        <v>Buspirone</v>
      </c>
      <c r="F299" s="207" t="str">
        <f>IF(AND(A299&lt;&gt;"",ISNUMBER(A299)),VLOOKUP(A299,Studies!A:BR,6,FALSE),"")</f>
        <v>Plasma</v>
      </c>
      <c r="G299" s="194">
        <v>4</v>
      </c>
      <c r="H299" s="194" t="s">
        <v>60</v>
      </c>
      <c r="I299" s="187">
        <v>0.33843319999999999</v>
      </c>
      <c r="J299" s="187" t="s">
        <v>1026</v>
      </c>
      <c r="K299" s="187" t="s">
        <v>116</v>
      </c>
      <c r="L299" s="195">
        <v>9.6154089999999998E-2</v>
      </c>
      <c r="M299" s="195" t="s">
        <v>1026</v>
      </c>
      <c r="N299" s="195" t="s">
        <v>1034</v>
      </c>
      <c r="O299" s="199"/>
      <c r="P299" s="188"/>
      <c r="Q299" s="174">
        <f>IF(ISNUMBER(VLOOKUP(A299,NotghiID!A:A,1,FALSE)),1,0)</f>
        <v>0</v>
      </c>
    </row>
    <row r="300" spans="1:17" ht="14.25" x14ac:dyDescent="0.2">
      <c r="A300" s="183">
        <v>339</v>
      </c>
      <c r="B300" s="232" t="str">
        <f>IF(AND(A300&lt;&gt;"",ISNUMBER(A300)),VLOOKUP(A300,Studies!A:BR,2,FALSE),"")</f>
        <v>Lilja 1998</v>
      </c>
      <c r="C300" s="232" t="str">
        <f>IF(AND(A300&lt;&gt;"",ISNUMBER(A300)),VLOOKUP(A300,Studies!A:BR,3,FALSE),"")</f>
        <v>https://www.ncbi.nlm.nih.gov/pubmed/9871430</v>
      </c>
      <c r="D300" s="232" t="str">
        <f>IF(AND(A300&lt;&gt;"",ISNUMBER(A300)),VLOOKUP(A300,Studies!A:BR,4,FALSE),"")</f>
        <v>Control (Perpetrator Placebo)</v>
      </c>
      <c r="E300" s="206" t="str">
        <f>IF(AND(A300&lt;&gt;"",ISNUMBER(A300)),VLOOKUP(A300,Studies!A:BR,5,FALSE),"")</f>
        <v>Buspirone</v>
      </c>
      <c r="F300" s="207" t="str">
        <f>IF(AND(A300&lt;&gt;"",ISNUMBER(A300)),VLOOKUP(A300,Studies!A:BR,6,FALSE),"")</f>
        <v>Plasma</v>
      </c>
      <c r="G300" s="194">
        <v>5</v>
      </c>
      <c r="H300" s="194" t="s">
        <v>60</v>
      </c>
      <c r="I300" s="187">
        <v>0.22140409999999999</v>
      </c>
      <c r="J300" s="187" t="s">
        <v>1026</v>
      </c>
      <c r="K300" s="187" t="s">
        <v>116</v>
      </c>
      <c r="L300" s="195">
        <v>5.7721790000000002E-2</v>
      </c>
      <c r="M300" s="195" t="s">
        <v>1026</v>
      </c>
      <c r="N300" s="195" t="s">
        <v>1034</v>
      </c>
      <c r="O300" s="199"/>
      <c r="P300" s="188"/>
      <c r="Q300" s="174">
        <f>IF(ISNUMBER(VLOOKUP(A300,NotghiID!A:A,1,FALSE)),1,0)</f>
        <v>0</v>
      </c>
    </row>
    <row r="301" spans="1:17" ht="14.25" x14ac:dyDescent="0.2">
      <c r="A301" s="183">
        <v>339</v>
      </c>
      <c r="B301" s="232" t="str">
        <f>IF(AND(A301&lt;&gt;"",ISNUMBER(A301)),VLOOKUP(A301,Studies!A:BR,2,FALSE),"")</f>
        <v>Lilja 1998</v>
      </c>
      <c r="C301" s="232" t="str">
        <f>IF(AND(A301&lt;&gt;"",ISNUMBER(A301)),VLOOKUP(A301,Studies!A:BR,3,FALSE),"")</f>
        <v>https://www.ncbi.nlm.nih.gov/pubmed/9871430</v>
      </c>
      <c r="D301" s="232" t="str">
        <f>IF(AND(A301&lt;&gt;"",ISNUMBER(A301)),VLOOKUP(A301,Studies!A:BR,4,FALSE),"")</f>
        <v>Control (Perpetrator Placebo)</v>
      </c>
      <c r="E301" s="206" t="str">
        <f>IF(AND(A301&lt;&gt;"",ISNUMBER(A301)),VLOOKUP(A301,Studies!A:BR,5,FALSE),"")</f>
        <v>Buspirone</v>
      </c>
      <c r="F301" s="207" t="str">
        <f>IF(AND(A301&lt;&gt;"",ISNUMBER(A301)),VLOOKUP(A301,Studies!A:BR,6,FALSE),"")</f>
        <v>Plasma</v>
      </c>
      <c r="G301" s="194">
        <v>6</v>
      </c>
      <c r="H301" s="194" t="s">
        <v>60</v>
      </c>
      <c r="I301" s="187">
        <v>0.16209680000000001</v>
      </c>
      <c r="J301" s="187" t="s">
        <v>1026</v>
      </c>
      <c r="K301" s="187" t="s">
        <v>116</v>
      </c>
      <c r="L301" s="195">
        <v>5.7692449999999999E-2</v>
      </c>
      <c r="M301" s="195" t="s">
        <v>1026</v>
      </c>
      <c r="N301" s="195" t="s">
        <v>1034</v>
      </c>
      <c r="O301" s="199"/>
      <c r="P301" s="188"/>
      <c r="Q301" s="174">
        <f>IF(ISNUMBER(VLOOKUP(A301,NotghiID!A:A,1,FALSE)),1,0)</f>
        <v>0</v>
      </c>
    </row>
    <row r="302" spans="1:17" ht="14.25" x14ac:dyDescent="0.2">
      <c r="A302" s="183">
        <v>339</v>
      </c>
      <c r="B302" s="232" t="str">
        <f>IF(AND(A302&lt;&gt;"",ISNUMBER(A302)),VLOOKUP(A302,Studies!A:BR,2,FALSE),"")</f>
        <v>Lilja 1998</v>
      </c>
      <c r="C302" s="232" t="str">
        <f>IF(AND(A302&lt;&gt;"",ISNUMBER(A302)),VLOOKUP(A302,Studies!A:BR,3,FALSE),"")</f>
        <v>https://www.ncbi.nlm.nih.gov/pubmed/9871430</v>
      </c>
      <c r="D302" s="232" t="str">
        <f>IF(AND(A302&lt;&gt;"",ISNUMBER(A302)),VLOOKUP(A302,Studies!A:BR,4,FALSE),"")</f>
        <v>Control (Perpetrator Placebo)</v>
      </c>
      <c r="E302" s="206" t="str">
        <f>IF(AND(A302&lt;&gt;"",ISNUMBER(A302)),VLOOKUP(A302,Studies!A:BR,5,FALSE),"")</f>
        <v>Buspirone</v>
      </c>
      <c r="F302" s="207" t="str">
        <f>IF(AND(A302&lt;&gt;"",ISNUMBER(A302)),VLOOKUP(A302,Studies!A:BR,6,FALSE),"")</f>
        <v>Plasma</v>
      </c>
      <c r="G302" s="194">
        <v>8</v>
      </c>
      <c r="H302" s="194" t="s">
        <v>60</v>
      </c>
      <c r="I302" s="187"/>
      <c r="J302" s="187"/>
      <c r="K302" s="187"/>
      <c r="L302" s="195"/>
      <c r="M302" s="195"/>
      <c r="N302" s="195"/>
      <c r="O302" s="199"/>
      <c r="P302" s="188"/>
      <c r="Q302" s="174">
        <f>IF(ISNUMBER(VLOOKUP(A302,NotghiID!A:A,1,FALSE)),1,0)</f>
        <v>0</v>
      </c>
    </row>
    <row r="303" spans="1:17" ht="14.25" x14ac:dyDescent="0.2">
      <c r="A303" s="183">
        <v>339</v>
      </c>
      <c r="B303" s="232" t="str">
        <f>IF(AND(A303&lt;&gt;"",ISNUMBER(A303)),VLOOKUP(A303,Studies!A:BR,2,FALSE),"")</f>
        <v>Lilja 1998</v>
      </c>
      <c r="C303" s="232" t="str">
        <f>IF(AND(A303&lt;&gt;"",ISNUMBER(A303)),VLOOKUP(A303,Studies!A:BR,3,FALSE),"")</f>
        <v>https://www.ncbi.nlm.nih.gov/pubmed/9871430</v>
      </c>
      <c r="D303" s="232" t="str">
        <f>IF(AND(A303&lt;&gt;"",ISNUMBER(A303)),VLOOKUP(A303,Studies!A:BR,4,FALSE),"")</f>
        <v>Control (Perpetrator Placebo)</v>
      </c>
      <c r="E303" s="206" t="str">
        <f>IF(AND(A303&lt;&gt;"",ISNUMBER(A303)),VLOOKUP(A303,Studies!A:BR,5,FALSE),"")</f>
        <v>Buspirone</v>
      </c>
      <c r="F303" s="207" t="str">
        <f>IF(AND(A303&lt;&gt;"",ISNUMBER(A303)),VLOOKUP(A303,Studies!A:BR,6,FALSE),"")</f>
        <v>Plasma</v>
      </c>
      <c r="G303" s="194">
        <v>10</v>
      </c>
      <c r="H303" s="194" t="s">
        <v>60</v>
      </c>
      <c r="I303" s="187"/>
      <c r="J303" s="187"/>
      <c r="K303" s="187"/>
      <c r="L303" s="195"/>
      <c r="M303" s="195"/>
      <c r="N303" s="195"/>
      <c r="O303" s="199"/>
      <c r="P303" s="188"/>
      <c r="Q303" s="174">
        <f>IF(ISNUMBER(VLOOKUP(A303,NotghiID!A:A,1,FALSE)),1,0)</f>
        <v>0</v>
      </c>
    </row>
    <row r="304" spans="1:17" ht="14.25" x14ac:dyDescent="0.2">
      <c r="A304" s="183">
        <v>339</v>
      </c>
      <c r="B304" s="232" t="str">
        <f>IF(AND(A304&lt;&gt;"",ISNUMBER(A304)),VLOOKUP(A304,Studies!A:BR,2,FALSE),"")</f>
        <v>Lilja 1998</v>
      </c>
      <c r="C304" s="232" t="str">
        <f>IF(AND(A304&lt;&gt;"",ISNUMBER(A304)),VLOOKUP(A304,Studies!A:BR,3,FALSE),"")</f>
        <v>https://www.ncbi.nlm.nih.gov/pubmed/9871430</v>
      </c>
      <c r="D304" s="232" t="str">
        <f>IF(AND(A304&lt;&gt;"",ISNUMBER(A304)),VLOOKUP(A304,Studies!A:BR,4,FALSE),"")</f>
        <v>Control (Perpetrator Placebo)</v>
      </c>
      <c r="E304" s="206" t="str">
        <f>IF(AND(A304&lt;&gt;"",ISNUMBER(A304)),VLOOKUP(A304,Studies!A:BR,5,FALSE),"")</f>
        <v>Buspirone</v>
      </c>
      <c r="F304" s="207" t="str">
        <f>IF(AND(A304&lt;&gt;"",ISNUMBER(A304)),VLOOKUP(A304,Studies!A:BR,6,FALSE),"")</f>
        <v>Plasma</v>
      </c>
      <c r="G304" s="194">
        <v>12</v>
      </c>
      <c r="H304" s="194" t="s">
        <v>60</v>
      </c>
      <c r="I304" s="187"/>
      <c r="J304" s="187"/>
      <c r="K304" s="187"/>
      <c r="L304" s="195"/>
      <c r="M304" s="195"/>
      <c r="N304" s="195"/>
      <c r="O304" s="199"/>
      <c r="P304" s="188"/>
      <c r="Q304" s="174">
        <f>IF(ISNUMBER(VLOOKUP(A304,NotghiID!A:A,1,FALSE)),1,0)</f>
        <v>0</v>
      </c>
    </row>
    <row r="305" spans="1:17" ht="14.25" x14ac:dyDescent="0.2">
      <c r="A305" s="183">
        <v>340</v>
      </c>
      <c r="B305" s="232" t="str">
        <f>IF(AND(A305&lt;&gt;"",ISNUMBER(A305)),VLOOKUP(A305,Studies!A:BR,2,FALSE),"")</f>
        <v>Lilja 1998</v>
      </c>
      <c r="C305" s="232" t="str">
        <f>IF(AND(A305&lt;&gt;"",ISNUMBER(A305)),VLOOKUP(A305,Studies!A:BR,3,FALSE),"")</f>
        <v>https://www.ncbi.nlm.nih.gov/pubmed/9871430</v>
      </c>
      <c r="D305" s="232" t="str">
        <f>IF(AND(A305&lt;&gt;"",ISNUMBER(A305)),VLOOKUP(A305,Studies!A:BR,4,FALSE),"")</f>
        <v>with Perpetrator (GFJ)</v>
      </c>
      <c r="E305" s="206" t="str">
        <f>IF(AND(A305&lt;&gt;"",ISNUMBER(A305)),VLOOKUP(A305,Studies!A:BR,5,FALSE),"")</f>
        <v>Buspirone</v>
      </c>
      <c r="F305" s="207" t="str">
        <f>IF(AND(A305&lt;&gt;"",ISNUMBER(A305)),VLOOKUP(A305,Studies!A:BR,6,FALSE),"")</f>
        <v>Plasma</v>
      </c>
      <c r="G305" s="194">
        <v>0.5</v>
      </c>
      <c r="H305" s="194" t="s">
        <v>60</v>
      </c>
      <c r="I305" s="187">
        <v>0.40173340000000002</v>
      </c>
      <c r="J305" s="187" t="s">
        <v>1026</v>
      </c>
      <c r="K305" s="187" t="s">
        <v>116</v>
      </c>
      <c r="L305" s="195">
        <v>0.15387600000000001</v>
      </c>
      <c r="M305" s="195" t="s">
        <v>1026</v>
      </c>
      <c r="N305" s="195" t="s">
        <v>1034</v>
      </c>
      <c r="O305" s="199"/>
      <c r="P305" s="188"/>
      <c r="Q305" s="174">
        <f>IF(ISNUMBER(VLOOKUP(A305,NotghiID!A:A,1,FALSE)),1,0)</f>
        <v>0</v>
      </c>
    </row>
    <row r="306" spans="1:17" ht="14.25" x14ac:dyDescent="0.2">
      <c r="A306" s="183">
        <v>340</v>
      </c>
      <c r="B306" s="232" t="str">
        <f>IF(AND(A306&lt;&gt;"",ISNUMBER(A306)),VLOOKUP(A306,Studies!A:BR,2,FALSE),"")</f>
        <v>Lilja 1998</v>
      </c>
      <c r="C306" s="232" t="str">
        <f>IF(AND(A306&lt;&gt;"",ISNUMBER(A306)),VLOOKUP(A306,Studies!A:BR,3,FALSE),"")</f>
        <v>https://www.ncbi.nlm.nih.gov/pubmed/9871430</v>
      </c>
      <c r="D306" s="232" t="str">
        <f>IF(AND(A306&lt;&gt;"",ISNUMBER(A306)),VLOOKUP(A306,Studies!A:BR,4,FALSE),"")</f>
        <v>with Perpetrator (GFJ)</v>
      </c>
      <c r="E306" s="206" t="str">
        <f>IF(AND(A306&lt;&gt;"",ISNUMBER(A306)),VLOOKUP(A306,Studies!A:BR,5,FALSE),"")</f>
        <v>Buspirone</v>
      </c>
      <c r="F306" s="207" t="str">
        <f>IF(AND(A306&lt;&gt;"",ISNUMBER(A306)),VLOOKUP(A306,Studies!A:BR,6,FALSE),"")</f>
        <v>Plasma</v>
      </c>
      <c r="G306" s="194">
        <v>1</v>
      </c>
      <c r="H306" s="194" t="s">
        <v>60</v>
      </c>
      <c r="I306" s="187">
        <v>2.5163310000000001</v>
      </c>
      <c r="J306" s="187" t="s">
        <v>1026</v>
      </c>
      <c r="K306" s="187" t="s">
        <v>116</v>
      </c>
      <c r="L306" s="195">
        <v>0.96154189999999995</v>
      </c>
      <c r="M306" s="195" t="s">
        <v>1026</v>
      </c>
      <c r="N306" s="195" t="s">
        <v>1034</v>
      </c>
      <c r="O306" s="199"/>
      <c r="P306" s="188"/>
      <c r="Q306" s="174">
        <f>IF(ISNUMBER(VLOOKUP(A306,NotghiID!A:A,1,FALSE)),1,0)</f>
        <v>0</v>
      </c>
    </row>
    <row r="307" spans="1:17" ht="14.25" x14ac:dyDescent="0.2">
      <c r="A307" s="183">
        <v>340</v>
      </c>
      <c r="B307" s="232" t="str">
        <f>IF(AND(A307&lt;&gt;"",ISNUMBER(A307)),VLOOKUP(A307,Studies!A:BR,2,FALSE),"")</f>
        <v>Lilja 1998</v>
      </c>
      <c r="C307" s="232" t="str">
        <f>IF(AND(A307&lt;&gt;"",ISNUMBER(A307)),VLOOKUP(A307,Studies!A:BR,3,FALSE),"")</f>
        <v>https://www.ncbi.nlm.nih.gov/pubmed/9871430</v>
      </c>
      <c r="D307" s="232" t="str">
        <f>IF(AND(A307&lt;&gt;"",ISNUMBER(A307)),VLOOKUP(A307,Studies!A:BR,4,FALSE),"")</f>
        <v>with Perpetrator (GFJ)</v>
      </c>
      <c r="E307" s="206" t="str">
        <f>IF(AND(A307&lt;&gt;"",ISNUMBER(A307)),VLOOKUP(A307,Studies!A:BR,5,FALSE),"")</f>
        <v>Buspirone</v>
      </c>
      <c r="F307" s="207" t="str">
        <f>IF(AND(A307&lt;&gt;"",ISNUMBER(A307)),VLOOKUP(A307,Studies!A:BR,6,FALSE),"")</f>
        <v>Plasma</v>
      </c>
      <c r="G307" s="194">
        <v>1.5</v>
      </c>
      <c r="H307" s="194" t="s">
        <v>60</v>
      </c>
      <c r="I307" s="187">
        <v>4.8040070000000004</v>
      </c>
      <c r="J307" s="187" t="s">
        <v>1026</v>
      </c>
      <c r="K307" s="187" t="s">
        <v>116</v>
      </c>
      <c r="L307" s="195">
        <v>1.19234</v>
      </c>
      <c r="M307" s="195" t="s">
        <v>1026</v>
      </c>
      <c r="N307" s="195" t="s">
        <v>1034</v>
      </c>
      <c r="O307" s="199"/>
      <c r="P307" s="188"/>
      <c r="Q307" s="174">
        <f>IF(ISNUMBER(VLOOKUP(A307,NotghiID!A:A,1,FALSE)),1,0)</f>
        <v>0</v>
      </c>
    </row>
    <row r="308" spans="1:17" ht="14.25" x14ac:dyDescent="0.2">
      <c r="A308" s="183">
        <v>340</v>
      </c>
      <c r="B308" s="232" t="str">
        <f>IF(AND(A308&lt;&gt;"",ISNUMBER(A308)),VLOOKUP(A308,Studies!A:BR,2,FALSE),"")</f>
        <v>Lilja 1998</v>
      </c>
      <c r="C308" s="232" t="str">
        <f>IF(AND(A308&lt;&gt;"",ISNUMBER(A308)),VLOOKUP(A308,Studies!A:BR,3,FALSE),"")</f>
        <v>https://www.ncbi.nlm.nih.gov/pubmed/9871430</v>
      </c>
      <c r="D308" s="232" t="str">
        <f>IF(AND(A308&lt;&gt;"",ISNUMBER(A308)),VLOOKUP(A308,Studies!A:BR,4,FALSE),"")</f>
        <v>with Perpetrator (GFJ)</v>
      </c>
      <c r="E308" s="206" t="str">
        <f>IF(AND(A308&lt;&gt;"",ISNUMBER(A308)),VLOOKUP(A308,Studies!A:BR,5,FALSE),"")</f>
        <v>Buspirone</v>
      </c>
      <c r="F308" s="207" t="str">
        <f>IF(AND(A308&lt;&gt;"",ISNUMBER(A308)),VLOOKUP(A308,Studies!A:BR,6,FALSE),"")</f>
        <v>Plasma</v>
      </c>
      <c r="G308" s="194">
        <v>2</v>
      </c>
      <c r="H308" s="194" t="s">
        <v>60</v>
      </c>
      <c r="I308" s="187">
        <v>6.5339590000000003</v>
      </c>
      <c r="J308" s="187" t="s">
        <v>1026</v>
      </c>
      <c r="K308" s="187" t="s">
        <v>116</v>
      </c>
      <c r="L308" s="195">
        <v>1.6730529999999999</v>
      </c>
      <c r="M308" s="195" t="s">
        <v>1026</v>
      </c>
      <c r="N308" s="195" t="s">
        <v>1034</v>
      </c>
      <c r="O308" s="199"/>
      <c r="P308" s="188"/>
      <c r="Q308" s="174">
        <f>IF(ISNUMBER(VLOOKUP(A308,NotghiID!A:A,1,FALSE)),1,0)</f>
        <v>0</v>
      </c>
    </row>
    <row r="309" spans="1:17" ht="14.25" x14ac:dyDescent="0.2">
      <c r="A309" s="183">
        <v>340</v>
      </c>
      <c r="B309" s="232" t="str">
        <f>IF(AND(A309&lt;&gt;"",ISNUMBER(A309)),VLOOKUP(A309,Studies!A:BR,2,FALSE),"")</f>
        <v>Lilja 1998</v>
      </c>
      <c r="C309" s="232" t="str">
        <f>IF(AND(A309&lt;&gt;"",ISNUMBER(A309)),VLOOKUP(A309,Studies!A:BR,3,FALSE),"")</f>
        <v>https://www.ncbi.nlm.nih.gov/pubmed/9871430</v>
      </c>
      <c r="D309" s="232" t="str">
        <f>IF(AND(A309&lt;&gt;"",ISNUMBER(A309)),VLOOKUP(A309,Studies!A:BR,4,FALSE),"")</f>
        <v>with Perpetrator (GFJ)</v>
      </c>
      <c r="E309" s="206" t="str">
        <f>IF(AND(A309&lt;&gt;"",ISNUMBER(A309)),VLOOKUP(A309,Studies!A:BR,5,FALSE),"")</f>
        <v>Buspirone</v>
      </c>
      <c r="F309" s="207" t="str">
        <f>IF(AND(A309&lt;&gt;"",ISNUMBER(A309)),VLOOKUP(A309,Studies!A:BR,6,FALSE),"")</f>
        <v>Plasma</v>
      </c>
      <c r="G309" s="194">
        <v>3</v>
      </c>
      <c r="H309" s="194" t="s">
        <v>60</v>
      </c>
      <c r="I309" s="187">
        <v>5.5131110000000003</v>
      </c>
      <c r="J309" s="187" t="s">
        <v>1026</v>
      </c>
      <c r="K309" s="187" t="s">
        <v>116</v>
      </c>
      <c r="L309" s="195">
        <v>0.98083070000000006</v>
      </c>
      <c r="M309" s="195" t="s">
        <v>1026</v>
      </c>
      <c r="N309" s="195" t="s">
        <v>1034</v>
      </c>
      <c r="O309" s="199"/>
      <c r="P309" s="188"/>
      <c r="Q309" s="174">
        <f>IF(ISNUMBER(VLOOKUP(A309,NotghiID!A:A,1,FALSE)),1,0)</f>
        <v>0</v>
      </c>
    </row>
    <row r="310" spans="1:17" ht="14.25" x14ac:dyDescent="0.2">
      <c r="A310" s="183">
        <v>340</v>
      </c>
      <c r="B310" s="232" t="str">
        <f>IF(AND(A310&lt;&gt;"",ISNUMBER(A310)),VLOOKUP(A310,Studies!A:BR,2,FALSE),"")</f>
        <v>Lilja 1998</v>
      </c>
      <c r="C310" s="232" t="str">
        <f>IF(AND(A310&lt;&gt;"",ISNUMBER(A310)),VLOOKUP(A310,Studies!A:BR,3,FALSE),"")</f>
        <v>https://www.ncbi.nlm.nih.gov/pubmed/9871430</v>
      </c>
      <c r="D310" s="232" t="str">
        <f>IF(AND(A310&lt;&gt;"",ISNUMBER(A310)),VLOOKUP(A310,Studies!A:BR,4,FALSE),"")</f>
        <v>with Perpetrator (GFJ)</v>
      </c>
      <c r="E310" s="206" t="str">
        <f>IF(AND(A310&lt;&gt;"",ISNUMBER(A310)),VLOOKUP(A310,Studies!A:BR,5,FALSE),"")</f>
        <v>Buspirone</v>
      </c>
      <c r="F310" s="207" t="str">
        <f>IF(AND(A310&lt;&gt;"",ISNUMBER(A310)),VLOOKUP(A310,Studies!A:BR,6,FALSE),"")</f>
        <v>Plasma</v>
      </c>
      <c r="G310" s="194">
        <v>4</v>
      </c>
      <c r="H310" s="194" t="s">
        <v>60</v>
      </c>
      <c r="I310" s="187">
        <v>5.8961420000000002</v>
      </c>
      <c r="J310" s="187" t="s">
        <v>1026</v>
      </c>
      <c r="K310" s="187" t="s">
        <v>116</v>
      </c>
      <c r="L310" s="195">
        <v>1.1537900000000001</v>
      </c>
      <c r="M310" s="195" t="s">
        <v>1026</v>
      </c>
      <c r="N310" s="195" t="s">
        <v>1034</v>
      </c>
      <c r="O310" s="199"/>
      <c r="P310" s="188"/>
      <c r="Q310" s="174">
        <f>IF(ISNUMBER(VLOOKUP(A310,NotghiID!A:A,1,FALSE)),1,0)</f>
        <v>0</v>
      </c>
    </row>
    <row r="311" spans="1:17" ht="14.25" x14ac:dyDescent="0.2">
      <c r="A311" s="183">
        <v>340</v>
      </c>
      <c r="B311" s="232" t="str">
        <f>IF(AND(A311&lt;&gt;"",ISNUMBER(A311)),VLOOKUP(A311,Studies!A:BR,2,FALSE),"")</f>
        <v>Lilja 1998</v>
      </c>
      <c r="C311" s="232" t="str">
        <f>IF(AND(A311&lt;&gt;"",ISNUMBER(A311)),VLOOKUP(A311,Studies!A:BR,3,FALSE),"")</f>
        <v>https://www.ncbi.nlm.nih.gov/pubmed/9871430</v>
      </c>
      <c r="D311" s="232" t="str">
        <f>IF(AND(A311&lt;&gt;"",ISNUMBER(A311)),VLOOKUP(A311,Studies!A:BR,4,FALSE),"")</f>
        <v>with Perpetrator (GFJ)</v>
      </c>
      <c r="E311" s="206" t="str">
        <f>IF(AND(A311&lt;&gt;"",ISNUMBER(A311)),VLOOKUP(A311,Studies!A:BR,5,FALSE),"")</f>
        <v>Buspirone</v>
      </c>
      <c r="F311" s="207" t="str">
        <f>IF(AND(A311&lt;&gt;"",ISNUMBER(A311)),VLOOKUP(A311,Studies!A:BR,6,FALSE),"")</f>
        <v>Plasma</v>
      </c>
      <c r="G311" s="194">
        <v>5</v>
      </c>
      <c r="H311" s="194" t="s">
        <v>60</v>
      </c>
      <c r="I311" s="187">
        <v>3.9906459999999999</v>
      </c>
      <c r="J311" s="187" t="s">
        <v>1026</v>
      </c>
      <c r="K311" s="187" t="s">
        <v>116</v>
      </c>
      <c r="L311" s="195">
        <v>1.000062</v>
      </c>
      <c r="M311" s="195" t="s">
        <v>1026</v>
      </c>
      <c r="N311" s="195" t="s">
        <v>1034</v>
      </c>
      <c r="O311" s="199"/>
      <c r="P311" s="188"/>
      <c r="Q311" s="174">
        <f>IF(ISNUMBER(VLOOKUP(A311,NotghiID!A:A,1,FALSE)),1,0)</f>
        <v>0</v>
      </c>
    </row>
    <row r="312" spans="1:17" ht="14.25" x14ac:dyDescent="0.2">
      <c r="A312" s="183">
        <v>340</v>
      </c>
      <c r="B312" s="232" t="str">
        <f>IF(AND(A312&lt;&gt;"",ISNUMBER(A312)),VLOOKUP(A312,Studies!A:BR,2,FALSE),"")</f>
        <v>Lilja 1998</v>
      </c>
      <c r="C312" s="232" t="str">
        <f>IF(AND(A312&lt;&gt;"",ISNUMBER(A312)),VLOOKUP(A312,Studies!A:BR,3,FALSE),"")</f>
        <v>https://www.ncbi.nlm.nih.gov/pubmed/9871430</v>
      </c>
      <c r="D312" s="232" t="str">
        <f>IF(AND(A312&lt;&gt;"",ISNUMBER(A312)),VLOOKUP(A312,Studies!A:BR,4,FALSE),"")</f>
        <v>with Perpetrator (GFJ)</v>
      </c>
      <c r="E312" s="206" t="str">
        <f>IF(AND(A312&lt;&gt;"",ISNUMBER(A312)),VLOOKUP(A312,Studies!A:BR,5,FALSE),"")</f>
        <v>Buspirone</v>
      </c>
      <c r="F312" s="207" t="str">
        <f>IF(AND(A312&lt;&gt;"",ISNUMBER(A312)),VLOOKUP(A312,Studies!A:BR,6,FALSE),"")</f>
        <v>Plasma</v>
      </c>
      <c r="G312" s="194">
        <v>6</v>
      </c>
      <c r="H312" s="194" t="s">
        <v>60</v>
      </c>
      <c r="I312" s="187">
        <v>2.950596</v>
      </c>
      <c r="J312" s="187" t="s">
        <v>1026</v>
      </c>
      <c r="K312" s="187" t="s">
        <v>116</v>
      </c>
      <c r="L312" s="195">
        <v>0.88461780000000001</v>
      </c>
      <c r="M312" s="195" t="s">
        <v>1026</v>
      </c>
      <c r="N312" s="195" t="s">
        <v>1034</v>
      </c>
      <c r="O312" s="199"/>
      <c r="P312" s="188"/>
      <c r="Q312" s="174">
        <f>IF(ISNUMBER(VLOOKUP(A312,NotghiID!A:A,1,FALSE)),1,0)</f>
        <v>0</v>
      </c>
    </row>
    <row r="313" spans="1:17" ht="14.25" x14ac:dyDescent="0.2">
      <c r="A313" s="183">
        <v>340</v>
      </c>
      <c r="B313" s="232" t="str">
        <f>IF(AND(A313&lt;&gt;"",ISNUMBER(A313)),VLOOKUP(A313,Studies!A:BR,2,FALSE),"")</f>
        <v>Lilja 1998</v>
      </c>
      <c r="C313" s="232" t="str">
        <f>IF(AND(A313&lt;&gt;"",ISNUMBER(A313)),VLOOKUP(A313,Studies!A:BR,3,FALSE),"")</f>
        <v>https://www.ncbi.nlm.nih.gov/pubmed/9871430</v>
      </c>
      <c r="D313" s="232" t="str">
        <f>IF(AND(A313&lt;&gt;"",ISNUMBER(A313)),VLOOKUP(A313,Studies!A:BR,4,FALSE),"")</f>
        <v>with Perpetrator (GFJ)</v>
      </c>
      <c r="E313" s="206" t="str">
        <f>IF(AND(A313&lt;&gt;"",ISNUMBER(A313)),VLOOKUP(A313,Studies!A:BR,5,FALSE),"")</f>
        <v>Buspirone</v>
      </c>
      <c r="F313" s="207" t="str">
        <f>IF(AND(A313&lt;&gt;"",ISNUMBER(A313)),VLOOKUP(A313,Studies!A:BR,6,FALSE),"")</f>
        <v>Plasma</v>
      </c>
      <c r="G313" s="194">
        <v>8</v>
      </c>
      <c r="H313" s="194" t="s">
        <v>60</v>
      </c>
      <c r="I313" s="187">
        <v>1.8896999999999999</v>
      </c>
      <c r="J313" s="187" t="s">
        <v>1026</v>
      </c>
      <c r="K313" s="187" t="s">
        <v>116</v>
      </c>
      <c r="L313" s="195">
        <v>0.69228040000000002</v>
      </c>
      <c r="M313" s="195" t="s">
        <v>1026</v>
      </c>
      <c r="N313" s="195" t="s">
        <v>1034</v>
      </c>
      <c r="O313" s="199"/>
      <c r="P313" s="188"/>
      <c r="Q313" s="174">
        <f>IF(ISNUMBER(VLOOKUP(A313,NotghiID!A:A,1,FALSE)),1,0)</f>
        <v>0</v>
      </c>
    </row>
    <row r="314" spans="1:17" ht="14.25" x14ac:dyDescent="0.2">
      <c r="A314" s="183">
        <v>340</v>
      </c>
      <c r="B314" s="232" t="str">
        <f>IF(AND(A314&lt;&gt;"",ISNUMBER(A314)),VLOOKUP(A314,Studies!A:BR,2,FALSE),"")</f>
        <v>Lilja 1998</v>
      </c>
      <c r="C314" s="232" t="str">
        <f>IF(AND(A314&lt;&gt;"",ISNUMBER(A314)),VLOOKUP(A314,Studies!A:BR,3,FALSE),"")</f>
        <v>https://www.ncbi.nlm.nih.gov/pubmed/9871430</v>
      </c>
      <c r="D314" s="232" t="str">
        <f>IF(AND(A314&lt;&gt;"",ISNUMBER(A314)),VLOOKUP(A314,Studies!A:BR,4,FALSE),"")</f>
        <v>with Perpetrator (GFJ)</v>
      </c>
      <c r="E314" s="206" t="str">
        <f>IF(AND(A314&lt;&gt;"",ISNUMBER(A314)),VLOOKUP(A314,Studies!A:BR,5,FALSE),"")</f>
        <v>Buspirone</v>
      </c>
      <c r="F314" s="207" t="str">
        <f>IF(AND(A314&lt;&gt;"",ISNUMBER(A314)),VLOOKUP(A314,Studies!A:BR,6,FALSE),"")</f>
        <v>Plasma</v>
      </c>
      <c r="G314" s="194">
        <v>10</v>
      </c>
      <c r="H314" s="194" t="s">
        <v>60</v>
      </c>
      <c r="I314" s="187">
        <v>1.2134210000000001</v>
      </c>
      <c r="J314" s="187" t="s">
        <v>1026</v>
      </c>
      <c r="K314" s="187" t="s">
        <v>116</v>
      </c>
      <c r="L314" s="195">
        <v>0.40387679999999998</v>
      </c>
      <c r="M314" s="195" t="s">
        <v>1026</v>
      </c>
      <c r="N314" s="195" t="s">
        <v>1034</v>
      </c>
      <c r="O314" s="199"/>
      <c r="P314" s="188"/>
      <c r="Q314" s="174">
        <f>IF(ISNUMBER(VLOOKUP(A314,NotghiID!A:A,1,FALSE)),1,0)</f>
        <v>0</v>
      </c>
    </row>
    <row r="315" spans="1:17" ht="14.25" x14ac:dyDescent="0.2">
      <c r="A315" s="183">
        <v>340</v>
      </c>
      <c r="B315" s="232" t="str">
        <f>IF(AND(A315&lt;&gt;"",ISNUMBER(A315)),VLOOKUP(A315,Studies!A:BR,2,FALSE),"")</f>
        <v>Lilja 1998</v>
      </c>
      <c r="C315" s="232" t="str">
        <f>IF(AND(A315&lt;&gt;"",ISNUMBER(A315)),VLOOKUP(A315,Studies!A:BR,3,FALSE),"")</f>
        <v>https://www.ncbi.nlm.nih.gov/pubmed/9871430</v>
      </c>
      <c r="D315" s="232" t="str">
        <f>IF(AND(A315&lt;&gt;"",ISNUMBER(A315)),VLOOKUP(A315,Studies!A:BR,4,FALSE),"")</f>
        <v>with Perpetrator (GFJ)</v>
      </c>
      <c r="E315" s="206" t="str">
        <f>IF(AND(A315&lt;&gt;"",ISNUMBER(A315)),VLOOKUP(A315,Studies!A:BR,5,FALSE),"")</f>
        <v>Buspirone</v>
      </c>
      <c r="F315" s="207" t="str">
        <f>IF(AND(A315&lt;&gt;"",ISNUMBER(A315)),VLOOKUP(A315,Studies!A:BR,6,FALSE),"")</f>
        <v>Plasma</v>
      </c>
      <c r="G315" s="194">
        <v>12</v>
      </c>
      <c r="H315" s="194" t="s">
        <v>60</v>
      </c>
      <c r="I315" s="187">
        <v>0.86406590000000005</v>
      </c>
      <c r="J315" s="187" t="s">
        <v>1026</v>
      </c>
      <c r="K315" s="187" t="s">
        <v>116</v>
      </c>
      <c r="L315" s="195">
        <v>0.30775200000000003</v>
      </c>
      <c r="M315" s="195" t="s">
        <v>1026</v>
      </c>
      <c r="N315" s="195" t="s">
        <v>1034</v>
      </c>
      <c r="O315" s="199"/>
      <c r="P315" s="188"/>
      <c r="Q315" s="174">
        <f>IF(ISNUMBER(VLOOKUP(A315,NotghiID!A:A,1,FALSE)),1,0)</f>
        <v>0</v>
      </c>
    </row>
    <row r="316" spans="1:17" ht="14.25" x14ac:dyDescent="0.2">
      <c r="A316" s="183">
        <v>319</v>
      </c>
      <c r="B316" s="232" t="str">
        <f>IF(AND(A316&lt;&gt;"",ISNUMBER(A316)),VLOOKUP(A316,Studies!A:BR,2,FALSE),"")</f>
        <v>Kivistö 1997</v>
      </c>
      <c r="C316" s="232" t="str">
        <f>IF(AND(A316&lt;&gt;"",ISNUMBER(A316)),VLOOKUP(A316,Studies!A:BR,3,FALSE),"")</f>
        <v>https://www.ncbi.nlm.nih.gov/pubmed/9333111</v>
      </c>
      <c r="D316" s="232" t="str">
        <f>IF(AND(A316&lt;&gt;"",ISNUMBER(A316)),VLOOKUP(A316,Studies!A:BR,4,FALSE),"")</f>
        <v>with Perpetrator (Erythromycin)</v>
      </c>
      <c r="E316" s="206" t="str">
        <f>IF(AND(A316&lt;&gt;"",ISNUMBER(A316)),VLOOKUP(A316,Studies!A:BR,5,FALSE),"")</f>
        <v>Erythromycin</v>
      </c>
      <c r="F316" s="207" t="str">
        <f>IF(AND(A316&lt;&gt;"",ISNUMBER(A316)),VLOOKUP(A316,Studies!A:BR,6,FALSE),"")</f>
        <v>Plasma</v>
      </c>
      <c r="G316" s="194">
        <v>79</v>
      </c>
      <c r="H316" s="194" t="s">
        <v>60</v>
      </c>
      <c r="I316" s="187">
        <v>2.2741889999999998</v>
      </c>
      <c r="J316" s="187" t="s">
        <v>1057</v>
      </c>
      <c r="K316" s="187" t="s">
        <v>116</v>
      </c>
      <c r="L316" s="195">
        <v>0.43746639999999998</v>
      </c>
      <c r="M316" s="195" t="s">
        <v>1057</v>
      </c>
      <c r="N316" s="195" t="s">
        <v>1034</v>
      </c>
      <c r="O316" s="199"/>
      <c r="P316" s="188"/>
      <c r="Q316" s="174">
        <f>IF(ISNUMBER(VLOOKUP(A316,NotghiID!A:A,1,FALSE)),1,0)</f>
        <v>0</v>
      </c>
    </row>
    <row r="317" spans="1:17" ht="14.25" x14ac:dyDescent="0.2">
      <c r="A317" s="183">
        <v>319</v>
      </c>
      <c r="B317" s="232" t="str">
        <f>IF(AND(A317&lt;&gt;"",ISNUMBER(A317)),VLOOKUP(A317,Studies!A:BR,2,FALSE),"")</f>
        <v>Kivistö 1997</v>
      </c>
      <c r="C317" s="232" t="str">
        <f>IF(AND(A317&lt;&gt;"",ISNUMBER(A317)),VLOOKUP(A317,Studies!A:BR,3,FALSE),"")</f>
        <v>https://www.ncbi.nlm.nih.gov/pubmed/9333111</v>
      </c>
      <c r="D317" s="232" t="str">
        <f>IF(AND(A317&lt;&gt;"",ISNUMBER(A317)),VLOOKUP(A317,Studies!A:BR,4,FALSE),"")</f>
        <v>with Perpetrator (Erythromycin)</v>
      </c>
      <c r="E317" s="206" t="str">
        <f>IF(AND(A317&lt;&gt;"",ISNUMBER(A317)),VLOOKUP(A317,Studies!A:BR,5,FALSE),"")</f>
        <v>Erythromycin</v>
      </c>
      <c r="F317" s="207" t="str">
        <f>IF(AND(A317&lt;&gt;"",ISNUMBER(A317)),VLOOKUP(A317,Studies!A:BR,6,FALSE),"")</f>
        <v>Plasma</v>
      </c>
      <c r="G317" s="194">
        <v>80</v>
      </c>
      <c r="H317" s="194" t="s">
        <v>60</v>
      </c>
      <c r="I317" s="187">
        <v>1.7418689999999999</v>
      </c>
      <c r="J317" s="187" t="s">
        <v>1057</v>
      </c>
      <c r="K317" s="187" t="s">
        <v>116</v>
      </c>
      <c r="L317" s="195">
        <v>0.3688109</v>
      </c>
      <c r="M317" s="195" t="s">
        <v>1057</v>
      </c>
      <c r="N317" s="195" t="s">
        <v>1034</v>
      </c>
      <c r="O317" s="199"/>
      <c r="P317" s="188"/>
      <c r="Q317" s="174">
        <f>IF(ISNUMBER(VLOOKUP(A317,NotghiID!A:A,1,FALSE)),1,0)</f>
        <v>0</v>
      </c>
    </row>
    <row r="318" spans="1:17" ht="14.25" x14ac:dyDescent="0.2">
      <c r="A318" s="183">
        <v>319</v>
      </c>
      <c r="B318" s="232" t="str">
        <f>IF(AND(A318&lt;&gt;"",ISNUMBER(A318)),VLOOKUP(A318,Studies!A:BR,2,FALSE),"")</f>
        <v>Kivistö 1997</v>
      </c>
      <c r="C318" s="232" t="str">
        <f>IF(AND(A318&lt;&gt;"",ISNUMBER(A318)),VLOOKUP(A318,Studies!A:BR,3,FALSE),"")</f>
        <v>https://www.ncbi.nlm.nih.gov/pubmed/9333111</v>
      </c>
      <c r="D318" s="232" t="str">
        <f>IF(AND(A318&lt;&gt;"",ISNUMBER(A318)),VLOOKUP(A318,Studies!A:BR,4,FALSE),"")</f>
        <v>with Perpetrator (Erythromycin)</v>
      </c>
      <c r="E318" s="206" t="str">
        <f>IF(AND(A318&lt;&gt;"",ISNUMBER(A318)),VLOOKUP(A318,Studies!A:BR,5,FALSE),"")</f>
        <v>Erythromycin</v>
      </c>
      <c r="F318" s="207" t="str">
        <f>IF(AND(A318&lt;&gt;"",ISNUMBER(A318)),VLOOKUP(A318,Studies!A:BR,6,FALSE),"")</f>
        <v>Plasma</v>
      </c>
      <c r="G318" s="194">
        <v>81</v>
      </c>
      <c r="H318" s="194" t="s">
        <v>60</v>
      </c>
      <c r="I318" s="187">
        <v>2.215846</v>
      </c>
      <c r="J318" s="187" t="s">
        <v>1057</v>
      </c>
      <c r="K318" s="187" t="s">
        <v>116</v>
      </c>
      <c r="L318" s="195">
        <v>0.50626159999999998</v>
      </c>
      <c r="M318" s="195" t="s">
        <v>1057</v>
      </c>
      <c r="N318" s="195" t="s">
        <v>1034</v>
      </c>
      <c r="O318" s="199"/>
      <c r="P318" s="188"/>
      <c r="Q318" s="174">
        <f>IF(ISNUMBER(VLOOKUP(A318,NotghiID!A:A,1,FALSE)),1,0)</f>
        <v>0</v>
      </c>
    </row>
    <row r="319" spans="1:17" ht="14.25" x14ac:dyDescent="0.2">
      <c r="A319" s="183">
        <v>319</v>
      </c>
      <c r="B319" s="232" t="str">
        <f>IF(AND(A319&lt;&gt;"",ISNUMBER(A319)),VLOOKUP(A319,Studies!A:BR,2,FALSE),"")</f>
        <v>Kivistö 1997</v>
      </c>
      <c r="C319" s="232" t="str">
        <f>IF(AND(A319&lt;&gt;"",ISNUMBER(A319)),VLOOKUP(A319,Studies!A:BR,3,FALSE),"")</f>
        <v>https://www.ncbi.nlm.nih.gov/pubmed/9333111</v>
      </c>
      <c r="D319" s="232" t="str">
        <f>IF(AND(A319&lt;&gt;"",ISNUMBER(A319)),VLOOKUP(A319,Studies!A:BR,4,FALSE),"")</f>
        <v>with Perpetrator (Erythromycin)</v>
      </c>
      <c r="E319" s="206" t="str">
        <f>IF(AND(A319&lt;&gt;"",ISNUMBER(A319)),VLOOKUP(A319,Studies!A:BR,5,FALSE),"")</f>
        <v>Erythromycin</v>
      </c>
      <c r="F319" s="207" t="str">
        <f>IF(AND(A319&lt;&gt;"",ISNUMBER(A319)),VLOOKUP(A319,Studies!A:BR,6,FALSE),"")</f>
        <v>Plasma</v>
      </c>
      <c r="G319" s="194">
        <v>83</v>
      </c>
      <c r="H319" s="194" t="s">
        <v>60</v>
      </c>
      <c r="I319" s="187">
        <v>3.0949589999999998</v>
      </c>
      <c r="J319" s="187" t="s">
        <v>1057</v>
      </c>
      <c r="K319" s="187" t="s">
        <v>116</v>
      </c>
      <c r="L319" s="195">
        <v>0.44380930000000002</v>
      </c>
      <c r="M319" s="195" t="s">
        <v>1057</v>
      </c>
      <c r="N319" s="195" t="s">
        <v>1034</v>
      </c>
      <c r="O319" s="199"/>
      <c r="P319" s="188"/>
      <c r="Q319" s="174">
        <f>IF(ISNUMBER(VLOOKUP(A319,NotghiID!A:A,1,FALSE)),1,0)</f>
        <v>0</v>
      </c>
    </row>
    <row r="320" spans="1:17" ht="14.25" x14ac:dyDescent="0.2">
      <c r="A320" s="183">
        <v>319</v>
      </c>
      <c r="B320" s="232" t="str">
        <f>IF(AND(A320&lt;&gt;"",ISNUMBER(A320)),VLOOKUP(A320,Studies!A:BR,2,FALSE),"")</f>
        <v>Kivistö 1997</v>
      </c>
      <c r="C320" s="232" t="str">
        <f>IF(AND(A320&lt;&gt;"",ISNUMBER(A320)),VLOOKUP(A320,Studies!A:BR,3,FALSE),"")</f>
        <v>https://www.ncbi.nlm.nih.gov/pubmed/9333111</v>
      </c>
      <c r="D320" s="232" t="str">
        <f>IF(AND(A320&lt;&gt;"",ISNUMBER(A320)),VLOOKUP(A320,Studies!A:BR,4,FALSE),"")</f>
        <v>with Perpetrator (Erythromycin)</v>
      </c>
      <c r="E320" s="206" t="str">
        <f>IF(AND(A320&lt;&gt;"",ISNUMBER(A320)),VLOOKUP(A320,Studies!A:BR,5,FALSE),"")</f>
        <v>Erythromycin</v>
      </c>
      <c r="F320" s="207" t="str">
        <f>IF(AND(A320&lt;&gt;"",ISNUMBER(A320)),VLOOKUP(A320,Studies!A:BR,6,FALSE),"")</f>
        <v>Plasma</v>
      </c>
      <c r="G320" s="194">
        <v>87</v>
      </c>
      <c r="H320" s="194" t="s">
        <v>60</v>
      </c>
      <c r="I320" s="187">
        <v>1.1345909999999999</v>
      </c>
      <c r="J320" s="187" t="s">
        <v>1057</v>
      </c>
      <c r="K320" s="187" t="s">
        <v>116</v>
      </c>
      <c r="L320" s="195">
        <v>0.13126950000000001</v>
      </c>
      <c r="M320" s="195" t="s">
        <v>1057</v>
      </c>
      <c r="N320" s="195" t="s">
        <v>1034</v>
      </c>
      <c r="O320" s="199"/>
      <c r="P320" s="188"/>
      <c r="Q320" s="174">
        <f>IF(ISNUMBER(VLOOKUP(A320,NotghiID!A:A,1,FALSE)),1,0)</f>
        <v>0</v>
      </c>
    </row>
    <row r="321" spans="1:17" ht="14.25" x14ac:dyDescent="0.2">
      <c r="A321" s="183">
        <v>319</v>
      </c>
      <c r="B321" s="232" t="str">
        <f>IF(AND(A321&lt;&gt;"",ISNUMBER(A321)),VLOOKUP(A321,Studies!A:BR,2,FALSE),"")</f>
        <v>Kivistö 1997</v>
      </c>
      <c r="C321" s="232" t="str">
        <f>IF(AND(A321&lt;&gt;"",ISNUMBER(A321)),VLOOKUP(A321,Studies!A:BR,3,FALSE),"")</f>
        <v>https://www.ncbi.nlm.nih.gov/pubmed/9333111</v>
      </c>
      <c r="D321" s="232" t="str">
        <f>IF(AND(A321&lt;&gt;"",ISNUMBER(A321)),VLOOKUP(A321,Studies!A:BR,4,FALSE),"")</f>
        <v>with Perpetrator (Erythromycin)</v>
      </c>
      <c r="E321" s="206" t="str">
        <f>IF(AND(A321&lt;&gt;"",ISNUMBER(A321)),VLOOKUP(A321,Studies!A:BR,5,FALSE),"")</f>
        <v>Erythromycin</v>
      </c>
      <c r="F321" s="207" t="str">
        <f>IF(AND(A321&lt;&gt;"",ISNUMBER(A321)),VLOOKUP(A321,Studies!A:BR,6,FALSE),"")</f>
        <v>Plasma</v>
      </c>
      <c r="G321" s="194">
        <v>97</v>
      </c>
      <c r="H321" s="194" t="s">
        <v>60</v>
      </c>
      <c r="I321" s="187">
        <v>0.1616911</v>
      </c>
      <c r="J321" s="187" t="s">
        <v>1057</v>
      </c>
      <c r="K321" s="187" t="s">
        <v>116</v>
      </c>
      <c r="L321" s="195">
        <v>0.1437466</v>
      </c>
      <c r="M321" s="195" t="s">
        <v>1057</v>
      </c>
      <c r="N321" s="195" t="s">
        <v>1034</v>
      </c>
      <c r="O321" s="199"/>
      <c r="P321" s="188"/>
      <c r="Q321" s="174">
        <f>IF(ISNUMBER(VLOOKUP(A321,NotghiID!A:A,1,FALSE)),1,0)</f>
        <v>0</v>
      </c>
    </row>
    <row r="322" spans="1:17" ht="14.25" x14ac:dyDescent="0.2">
      <c r="A322" s="183">
        <v>321</v>
      </c>
      <c r="B322" s="232" t="str">
        <f>IF(AND(A322&lt;&gt;"",ISNUMBER(A322)),VLOOKUP(A322,Studies!A:BR,2,FALSE),"")</f>
        <v>Kivistö 1997</v>
      </c>
      <c r="C322" s="232" t="str">
        <f>IF(AND(A322&lt;&gt;"",ISNUMBER(A322)),VLOOKUP(A322,Studies!A:BR,3,FALSE),"")</f>
        <v>https://www.ncbi.nlm.nih.gov/pubmed/9333111</v>
      </c>
      <c r="D322" s="232" t="str">
        <f>IF(AND(A322&lt;&gt;"",ISNUMBER(A322)),VLOOKUP(A322,Studies!A:BR,4,FALSE),"")</f>
        <v>with Perpetrator (Itraconazole)</v>
      </c>
      <c r="E322" s="206" t="str">
        <f>IF(AND(A322&lt;&gt;"",ISNUMBER(A322)),VLOOKUP(A322,Studies!A:BR,5,FALSE),"")</f>
        <v>Itraconazole</v>
      </c>
      <c r="F322" s="207" t="str">
        <f>IF(AND(A322&lt;&gt;"",ISNUMBER(A322)),VLOOKUP(A322,Studies!A:BR,6,FALSE),"")</f>
        <v>Plasma</v>
      </c>
      <c r="G322" s="194">
        <v>79</v>
      </c>
      <c r="H322" s="194" t="s">
        <v>60</v>
      </c>
      <c r="I322" s="187">
        <v>0.28043829999999997</v>
      </c>
      <c r="J322" s="187" t="s">
        <v>1057</v>
      </c>
      <c r="K322" s="187" t="s">
        <v>116</v>
      </c>
      <c r="L322" s="195">
        <v>3.7522170000000001E-2</v>
      </c>
      <c r="M322" s="195" t="s">
        <v>1057</v>
      </c>
      <c r="N322" s="195" t="s">
        <v>1034</v>
      </c>
      <c r="O322" s="199"/>
      <c r="P322" s="188"/>
      <c r="Q322" s="174">
        <f>IF(ISNUMBER(VLOOKUP(A322,NotghiID!A:A,1,FALSE)),1,0)</f>
        <v>0</v>
      </c>
    </row>
    <row r="323" spans="1:17" ht="14.25" x14ac:dyDescent="0.2">
      <c r="A323" s="183">
        <v>321</v>
      </c>
      <c r="B323" s="232" t="str">
        <f>IF(AND(A323&lt;&gt;"",ISNUMBER(A323)),VLOOKUP(A323,Studies!A:BR,2,FALSE),"")</f>
        <v>Kivistö 1997</v>
      </c>
      <c r="C323" s="232" t="str">
        <f>IF(AND(A323&lt;&gt;"",ISNUMBER(A323)),VLOOKUP(A323,Studies!A:BR,3,FALSE),"")</f>
        <v>https://www.ncbi.nlm.nih.gov/pubmed/9333111</v>
      </c>
      <c r="D323" s="232" t="str">
        <f>IF(AND(A323&lt;&gt;"",ISNUMBER(A323)),VLOOKUP(A323,Studies!A:BR,4,FALSE),"")</f>
        <v>with Perpetrator (Itraconazole)</v>
      </c>
      <c r="E323" s="206" t="str">
        <f>IF(AND(A323&lt;&gt;"",ISNUMBER(A323)),VLOOKUP(A323,Studies!A:BR,5,FALSE),"")</f>
        <v>Itraconazole</v>
      </c>
      <c r="F323" s="207" t="str">
        <f>IF(AND(A323&lt;&gt;"",ISNUMBER(A323)),VLOOKUP(A323,Studies!A:BR,6,FALSE),"")</f>
        <v>Plasma</v>
      </c>
      <c r="G323" s="194">
        <v>80</v>
      </c>
      <c r="H323" s="194" t="s">
        <v>60</v>
      </c>
      <c r="I323" s="187">
        <v>0.31690220000000002</v>
      </c>
      <c r="J323" s="187" t="s">
        <v>1057</v>
      </c>
      <c r="K323" s="187" t="s">
        <v>116</v>
      </c>
      <c r="L323" s="195">
        <v>6.2521610000000005E-2</v>
      </c>
      <c r="M323" s="195" t="s">
        <v>1057</v>
      </c>
      <c r="N323" s="195" t="s">
        <v>1034</v>
      </c>
      <c r="O323" s="199"/>
      <c r="P323" s="188"/>
      <c r="Q323" s="174">
        <f>IF(ISNUMBER(VLOOKUP(A323,NotghiID!A:A,1,FALSE)),1,0)</f>
        <v>0</v>
      </c>
    </row>
    <row r="324" spans="1:17" ht="14.25" x14ac:dyDescent="0.2">
      <c r="A324" s="183">
        <v>321</v>
      </c>
      <c r="B324" s="232" t="str">
        <f>IF(AND(A324&lt;&gt;"",ISNUMBER(A324)),VLOOKUP(A324,Studies!A:BR,2,FALSE),"")</f>
        <v>Kivistö 1997</v>
      </c>
      <c r="C324" s="232" t="str">
        <f>IF(AND(A324&lt;&gt;"",ISNUMBER(A324)),VLOOKUP(A324,Studies!A:BR,3,FALSE),"")</f>
        <v>https://www.ncbi.nlm.nih.gov/pubmed/9333111</v>
      </c>
      <c r="D324" s="232" t="str">
        <f>IF(AND(A324&lt;&gt;"",ISNUMBER(A324)),VLOOKUP(A324,Studies!A:BR,4,FALSE),"")</f>
        <v>with Perpetrator (Itraconazole)</v>
      </c>
      <c r="E324" s="206" t="str">
        <f>IF(AND(A324&lt;&gt;"",ISNUMBER(A324)),VLOOKUP(A324,Studies!A:BR,5,FALSE),"")</f>
        <v>Itraconazole</v>
      </c>
      <c r="F324" s="207" t="str">
        <f>IF(AND(A324&lt;&gt;"",ISNUMBER(A324)),VLOOKUP(A324,Studies!A:BR,6,FALSE),"")</f>
        <v>Plasma</v>
      </c>
      <c r="G324" s="194">
        <v>81</v>
      </c>
      <c r="H324" s="194" t="s">
        <v>60</v>
      </c>
      <c r="I324" s="187">
        <v>0.35959289999999999</v>
      </c>
      <c r="J324" s="187" t="s">
        <v>1057</v>
      </c>
      <c r="K324" s="187" t="s">
        <v>116</v>
      </c>
      <c r="L324" s="195">
        <v>6.2498600000000001E-2</v>
      </c>
      <c r="M324" s="195" t="s">
        <v>1057</v>
      </c>
      <c r="N324" s="195" t="s">
        <v>1034</v>
      </c>
      <c r="O324" s="199"/>
      <c r="P324" s="188"/>
      <c r="Q324" s="174">
        <f>IF(ISNUMBER(VLOOKUP(A324,NotghiID!A:A,1,FALSE)),1,0)</f>
        <v>0</v>
      </c>
    </row>
    <row r="325" spans="1:17" ht="14.25" x14ac:dyDescent="0.2">
      <c r="A325" s="183">
        <v>321</v>
      </c>
      <c r="B325" s="232" t="str">
        <f>IF(AND(A325&lt;&gt;"",ISNUMBER(A325)),VLOOKUP(A325,Studies!A:BR,2,FALSE),"")</f>
        <v>Kivistö 1997</v>
      </c>
      <c r="C325" s="232" t="str">
        <f>IF(AND(A325&lt;&gt;"",ISNUMBER(A325)),VLOOKUP(A325,Studies!A:BR,3,FALSE),"")</f>
        <v>https://www.ncbi.nlm.nih.gov/pubmed/9333111</v>
      </c>
      <c r="D325" s="232" t="str">
        <f>IF(AND(A325&lt;&gt;"",ISNUMBER(A325)),VLOOKUP(A325,Studies!A:BR,4,FALSE),"")</f>
        <v>with Perpetrator (Itraconazole)</v>
      </c>
      <c r="E325" s="206" t="str">
        <f>IF(AND(A325&lt;&gt;"",ISNUMBER(A325)),VLOOKUP(A325,Studies!A:BR,5,FALSE),"")</f>
        <v>Itraconazole</v>
      </c>
      <c r="F325" s="207" t="str">
        <f>IF(AND(A325&lt;&gt;"",ISNUMBER(A325)),VLOOKUP(A325,Studies!A:BR,6,FALSE),"")</f>
        <v>Plasma</v>
      </c>
      <c r="G325" s="194">
        <v>83</v>
      </c>
      <c r="H325" s="194" t="s">
        <v>60</v>
      </c>
      <c r="I325" s="187">
        <v>0.34499970000000002</v>
      </c>
      <c r="J325" s="187" t="s">
        <v>1057</v>
      </c>
      <c r="K325" s="187" t="s">
        <v>116</v>
      </c>
      <c r="L325" s="195">
        <v>5.0021889999999999E-2</v>
      </c>
      <c r="M325" s="195" t="s">
        <v>1057</v>
      </c>
      <c r="N325" s="195" t="s">
        <v>1034</v>
      </c>
      <c r="O325" s="199"/>
      <c r="P325" s="188"/>
      <c r="Q325" s="174">
        <f>IF(ISNUMBER(VLOOKUP(A325,NotghiID!A:A,1,FALSE)),1,0)</f>
        <v>0</v>
      </c>
    </row>
    <row r="326" spans="1:17" ht="14.25" x14ac:dyDescent="0.2">
      <c r="A326" s="183">
        <v>321</v>
      </c>
      <c r="B326" s="232" t="str">
        <f>IF(AND(A326&lt;&gt;"",ISNUMBER(A326)),VLOOKUP(A326,Studies!A:BR,2,FALSE),"")</f>
        <v>Kivistö 1997</v>
      </c>
      <c r="C326" s="232" t="str">
        <f>IF(AND(A326&lt;&gt;"",ISNUMBER(A326)),VLOOKUP(A326,Studies!A:BR,3,FALSE),"")</f>
        <v>https://www.ncbi.nlm.nih.gov/pubmed/9333111</v>
      </c>
      <c r="D326" s="232" t="str">
        <f>IF(AND(A326&lt;&gt;"",ISNUMBER(A326)),VLOOKUP(A326,Studies!A:BR,4,FALSE),"")</f>
        <v>with Perpetrator (Itraconazole)</v>
      </c>
      <c r="E326" s="206" t="str">
        <f>IF(AND(A326&lt;&gt;"",ISNUMBER(A326)),VLOOKUP(A326,Studies!A:BR,5,FALSE),"")</f>
        <v>Itraconazole</v>
      </c>
      <c r="F326" s="207" t="str">
        <f>IF(AND(A326&lt;&gt;"",ISNUMBER(A326)),VLOOKUP(A326,Studies!A:BR,6,FALSE),"")</f>
        <v>Plasma</v>
      </c>
      <c r="G326" s="194">
        <v>87</v>
      </c>
      <c r="H326" s="194" t="s">
        <v>60</v>
      </c>
      <c r="I326" s="187">
        <v>0.23461119999999999</v>
      </c>
      <c r="J326" s="187" t="s">
        <v>1057</v>
      </c>
      <c r="K326" s="187" t="s">
        <v>116</v>
      </c>
      <c r="L326" s="195">
        <v>3.747611E-2</v>
      </c>
      <c r="M326" s="195" t="s">
        <v>1057</v>
      </c>
      <c r="N326" s="195" t="s">
        <v>1034</v>
      </c>
      <c r="O326" s="199"/>
      <c r="P326" s="188"/>
      <c r="Q326" s="174">
        <f>IF(ISNUMBER(VLOOKUP(A326,NotghiID!A:A,1,FALSE)),1,0)</f>
        <v>0</v>
      </c>
    </row>
    <row r="327" spans="1:17" ht="14.25" x14ac:dyDescent="0.2">
      <c r="A327" s="183">
        <v>321</v>
      </c>
      <c r="B327" s="232" t="str">
        <f>IF(AND(A327&lt;&gt;"",ISNUMBER(A327)),VLOOKUP(A327,Studies!A:BR,2,FALSE),"")</f>
        <v>Kivistö 1997</v>
      </c>
      <c r="C327" s="232" t="str">
        <f>IF(AND(A327&lt;&gt;"",ISNUMBER(A327)),VLOOKUP(A327,Studies!A:BR,3,FALSE),"")</f>
        <v>https://www.ncbi.nlm.nih.gov/pubmed/9333111</v>
      </c>
      <c r="D327" s="232" t="str">
        <f>IF(AND(A327&lt;&gt;"",ISNUMBER(A327)),VLOOKUP(A327,Studies!A:BR,4,FALSE),"")</f>
        <v>with Perpetrator (Itraconazole)</v>
      </c>
      <c r="E327" s="206" t="str">
        <f>IF(AND(A327&lt;&gt;"",ISNUMBER(A327)),VLOOKUP(A327,Studies!A:BR,5,FALSE),"")</f>
        <v>Itraconazole</v>
      </c>
      <c r="F327" s="207" t="str">
        <f>IF(AND(A327&lt;&gt;"",ISNUMBER(A327)),VLOOKUP(A327,Studies!A:BR,6,FALSE),"")</f>
        <v>Plasma</v>
      </c>
      <c r="G327" s="194">
        <v>97</v>
      </c>
      <c r="H327" s="194" t="s">
        <v>60</v>
      </c>
      <c r="I327" s="187">
        <v>0.1491913</v>
      </c>
      <c r="J327" s="187" t="s">
        <v>1057</v>
      </c>
      <c r="K327" s="187" t="s">
        <v>116</v>
      </c>
      <c r="L327" s="195">
        <v>2.4953449999999999E-2</v>
      </c>
      <c r="M327" s="195" t="s">
        <v>1057</v>
      </c>
      <c r="N327" s="195" t="s">
        <v>1034</v>
      </c>
      <c r="O327" s="199"/>
      <c r="P327" s="188"/>
      <c r="Q327" s="174">
        <f>IF(ISNUMBER(VLOOKUP(A327,NotghiID!A:A,1,FALSE)),1,0)</f>
        <v>0</v>
      </c>
    </row>
    <row r="328" spans="1:17" ht="14.25" x14ac:dyDescent="0.2">
      <c r="A328" s="183">
        <v>269</v>
      </c>
      <c r="B328" s="232" t="str">
        <f>IF(AND(A328&lt;&gt;"",ISNUMBER(A328)),VLOOKUP(A328,Studies!A:BR,2,FALSE),"")</f>
        <v>Jajoo 1989</v>
      </c>
      <c r="C328" s="232" t="str">
        <f>IF(AND(A328&lt;&gt;"",ISNUMBER(A328)),VLOOKUP(A328,Studies!A:BR,3,FALSE),"")</f>
        <v>https://www.ncbi.nlm.nih.gov/pubmed/2575499</v>
      </c>
      <c r="D328" s="232" t="str">
        <f>IF(AND(A328&lt;&gt;"",ISNUMBER(A328)),VLOOKUP(A328,Studies!A:BR,4,FALSE),"")</f>
        <v>Healthy Volunteers</v>
      </c>
      <c r="E328" s="206" t="str">
        <f>IF(AND(A328&lt;&gt;"",ISNUMBER(A328)),VLOOKUP(A328,Studies!A:BR,5,FALSE),"")</f>
        <v>Buspirone</v>
      </c>
      <c r="F328" s="207" t="str">
        <f>IF(AND(A328&lt;&gt;"",ISNUMBER(A328)),VLOOKUP(A328,Studies!A:BR,6,FALSE),"")</f>
        <v>Urine</v>
      </c>
      <c r="G328" s="194">
        <v>24</v>
      </c>
      <c r="H328" s="194" t="s">
        <v>60</v>
      </c>
      <c r="I328" s="187">
        <v>0.7</v>
      </c>
      <c r="J328" s="187" t="s">
        <v>517</v>
      </c>
      <c r="K328" s="187" t="s">
        <v>116</v>
      </c>
      <c r="L328" s="195"/>
      <c r="M328" s="195"/>
      <c r="N328" s="195"/>
      <c r="O328" s="199"/>
      <c r="P328" s="188"/>
      <c r="Q328" s="174">
        <f>IF(ISNUMBER(VLOOKUP(A328,NotghiID!A:A,1,FALSE)),1,0)</f>
        <v>0</v>
      </c>
    </row>
    <row r="329" spans="1:17" ht="14.25" x14ac:dyDescent="0.2">
      <c r="A329" s="183">
        <v>102</v>
      </c>
      <c r="B329" s="232" t="str">
        <f>IF(AND(A329&lt;&gt;"",ISNUMBER(A329)),VLOOKUP(A329,Studies!A:BR,2,FALSE),"")</f>
        <v>Boekh 1988</v>
      </c>
      <c r="C329" s="232" t="str">
        <f>IF(AND(A329&lt;&gt;"",ISNUMBER(A329)),VLOOKUP(A329,Studies!A:BR,3,FALSE),"")</f>
        <v>https://www.ncbi.nlm.nih.gov/pubmed/3279907</v>
      </c>
      <c r="D329" s="232" t="str">
        <f>IF(AND(A329&lt;&gt;"",ISNUMBER(A329)),VLOOKUP(A329,Studies!A:BR,4,FALSE),"")</f>
        <v>mean 0.5g</v>
      </c>
      <c r="E329" s="206" t="str">
        <f>IF(AND(A329&lt;&gt;"",ISNUMBER(A329)),VLOOKUP(A329,Studies!A:BR,5,FALSE),"")</f>
        <v>vancomycin</v>
      </c>
      <c r="F329" s="207" t="str">
        <f>IF(AND(A329&lt;&gt;"",ISNUMBER(A329)),VLOOKUP(A329,Studies!A:BR,6,FALSE),"")</f>
        <v>Plasma</v>
      </c>
      <c r="G329" s="194">
        <v>60</v>
      </c>
      <c r="H329" s="194" t="s">
        <v>1041</v>
      </c>
      <c r="I329" s="187">
        <v>48.152589999999996</v>
      </c>
      <c r="J329" s="187" t="s">
        <v>1054</v>
      </c>
      <c r="K329" s="187" t="s">
        <v>116</v>
      </c>
      <c r="L329" s="195">
        <v>15.457560000000001</v>
      </c>
      <c r="M329" s="195" t="s">
        <v>1054</v>
      </c>
      <c r="N329" s="195" t="s">
        <v>117</v>
      </c>
      <c r="O329" s="199"/>
      <c r="P329" s="188"/>
      <c r="Q329" s="174">
        <f>IF(ISNUMBER(VLOOKUP(A329,NotghiID!A:A,1,FALSE)),1,0)</f>
        <v>0</v>
      </c>
    </row>
    <row r="330" spans="1:17" ht="14.25" x14ac:dyDescent="0.2">
      <c r="A330" s="183">
        <v>102</v>
      </c>
      <c r="B330" s="232" t="str">
        <f>IF(AND(A330&lt;&gt;"",ISNUMBER(A330)),VLOOKUP(A330,Studies!A:BR,2,FALSE),"")</f>
        <v>Boekh 1988</v>
      </c>
      <c r="C330" s="232" t="str">
        <f>IF(AND(A330&lt;&gt;"",ISNUMBER(A330)),VLOOKUP(A330,Studies!A:BR,3,FALSE),"")</f>
        <v>https://www.ncbi.nlm.nih.gov/pubmed/3279907</v>
      </c>
      <c r="D330" s="232" t="str">
        <f>IF(AND(A330&lt;&gt;"",ISNUMBER(A330)),VLOOKUP(A330,Studies!A:BR,4,FALSE),"")</f>
        <v>mean 0.5g</v>
      </c>
      <c r="E330" s="206" t="str">
        <f>IF(AND(A330&lt;&gt;"",ISNUMBER(A330)),VLOOKUP(A330,Studies!A:BR,5,FALSE),"")</f>
        <v>vancomycin</v>
      </c>
      <c r="F330" s="207" t="str">
        <f>IF(AND(A330&lt;&gt;"",ISNUMBER(A330)),VLOOKUP(A330,Studies!A:BR,6,FALSE),"")</f>
        <v>Plasma</v>
      </c>
      <c r="G330" s="194">
        <v>90</v>
      </c>
      <c r="H330" s="194" t="s">
        <v>1041</v>
      </c>
      <c r="I330" s="187">
        <v>32.837699999999998</v>
      </c>
      <c r="J330" s="187" t="s">
        <v>1054</v>
      </c>
      <c r="K330" s="187" t="s">
        <v>116</v>
      </c>
      <c r="L330" s="195">
        <v>7.1581699999999984</v>
      </c>
      <c r="M330" s="195" t="s">
        <v>1054</v>
      </c>
      <c r="N330" s="195" t="s">
        <v>117</v>
      </c>
      <c r="O330" s="199"/>
      <c r="P330" s="188"/>
      <c r="Q330" s="174">
        <f>IF(ISNUMBER(VLOOKUP(A330,NotghiID!A:A,1,FALSE)),1,0)</f>
        <v>0</v>
      </c>
    </row>
    <row r="331" spans="1:17" ht="14.25" x14ac:dyDescent="0.2">
      <c r="A331" s="183">
        <v>102</v>
      </c>
      <c r="B331" s="232" t="str">
        <f>IF(AND(A331&lt;&gt;"",ISNUMBER(A331)),VLOOKUP(A331,Studies!A:BR,2,FALSE),"")</f>
        <v>Boekh 1988</v>
      </c>
      <c r="C331" s="232" t="str">
        <f>IF(AND(A331&lt;&gt;"",ISNUMBER(A331)),VLOOKUP(A331,Studies!A:BR,3,FALSE),"")</f>
        <v>https://www.ncbi.nlm.nih.gov/pubmed/3279907</v>
      </c>
      <c r="D331" s="232" t="str">
        <f>IF(AND(A331&lt;&gt;"",ISNUMBER(A331)),VLOOKUP(A331,Studies!A:BR,4,FALSE),"")</f>
        <v>mean 0.5g</v>
      </c>
      <c r="E331" s="206" t="str">
        <f>IF(AND(A331&lt;&gt;"",ISNUMBER(A331)),VLOOKUP(A331,Studies!A:BR,5,FALSE),"")</f>
        <v>vancomycin</v>
      </c>
      <c r="F331" s="207" t="str">
        <f>IF(AND(A331&lt;&gt;"",ISNUMBER(A331)),VLOOKUP(A331,Studies!A:BR,6,FALSE),"")</f>
        <v>Plasma</v>
      </c>
      <c r="G331" s="194">
        <v>120</v>
      </c>
      <c r="H331" s="194" t="s">
        <v>1041</v>
      </c>
      <c r="I331" s="187">
        <v>25.73827</v>
      </c>
      <c r="J331" s="187" t="s">
        <v>1054</v>
      </c>
      <c r="K331" s="187" t="s">
        <v>116</v>
      </c>
      <c r="L331" s="195">
        <v>5.6105799999999988</v>
      </c>
      <c r="M331" s="195" t="s">
        <v>1054</v>
      </c>
      <c r="N331" s="195" t="s">
        <v>117</v>
      </c>
      <c r="O331" s="199"/>
      <c r="P331" s="188"/>
      <c r="Q331" s="174">
        <f>IF(ISNUMBER(VLOOKUP(A331,NotghiID!A:A,1,FALSE)),1,0)</f>
        <v>0</v>
      </c>
    </row>
    <row r="332" spans="1:17" ht="14.25" x14ac:dyDescent="0.2">
      <c r="A332" s="183">
        <v>102</v>
      </c>
      <c r="B332" s="232" t="str">
        <f>IF(AND(A332&lt;&gt;"",ISNUMBER(A332)),VLOOKUP(A332,Studies!A:BR,2,FALSE),"")</f>
        <v>Boekh 1988</v>
      </c>
      <c r="C332" s="232" t="str">
        <f>IF(AND(A332&lt;&gt;"",ISNUMBER(A332)),VLOOKUP(A332,Studies!A:BR,3,FALSE),"")</f>
        <v>https://www.ncbi.nlm.nih.gov/pubmed/3279907</v>
      </c>
      <c r="D332" s="232" t="str">
        <f>IF(AND(A332&lt;&gt;"",ISNUMBER(A332)),VLOOKUP(A332,Studies!A:BR,4,FALSE),"")</f>
        <v>mean 0.5g</v>
      </c>
      <c r="E332" s="206" t="str">
        <f>IF(AND(A332&lt;&gt;"",ISNUMBER(A332)),VLOOKUP(A332,Studies!A:BR,5,FALSE),"")</f>
        <v>vancomycin</v>
      </c>
      <c r="F332" s="207" t="str">
        <f>IF(AND(A332&lt;&gt;"",ISNUMBER(A332)),VLOOKUP(A332,Studies!A:BR,6,FALSE),"")</f>
        <v>Plasma</v>
      </c>
      <c r="G332" s="194">
        <v>150</v>
      </c>
      <c r="H332" s="194" t="s">
        <v>1041</v>
      </c>
      <c r="I332" s="187">
        <v>20.888110000000001</v>
      </c>
      <c r="J332" s="187" t="s">
        <v>1054</v>
      </c>
      <c r="K332" s="187" t="s">
        <v>116</v>
      </c>
      <c r="L332" s="195">
        <v>6.0725499999999997</v>
      </c>
      <c r="M332" s="195" t="s">
        <v>1054</v>
      </c>
      <c r="N332" s="195" t="s">
        <v>117</v>
      </c>
      <c r="O332" s="199"/>
      <c r="P332" s="188"/>
      <c r="Q332" s="174">
        <f>IF(ISNUMBER(VLOOKUP(A332,NotghiID!A:A,1,FALSE)),1,0)</f>
        <v>0</v>
      </c>
    </row>
    <row r="333" spans="1:17" ht="14.25" x14ac:dyDescent="0.2">
      <c r="A333" s="183">
        <v>102</v>
      </c>
      <c r="B333" s="232" t="str">
        <f>IF(AND(A333&lt;&gt;"",ISNUMBER(A333)),VLOOKUP(A333,Studies!A:BR,2,FALSE),"")</f>
        <v>Boekh 1988</v>
      </c>
      <c r="C333" s="232" t="str">
        <f>IF(AND(A333&lt;&gt;"",ISNUMBER(A333)),VLOOKUP(A333,Studies!A:BR,3,FALSE),"")</f>
        <v>https://www.ncbi.nlm.nih.gov/pubmed/3279907</v>
      </c>
      <c r="D333" s="232" t="str">
        <f>IF(AND(A333&lt;&gt;"",ISNUMBER(A333)),VLOOKUP(A333,Studies!A:BR,4,FALSE),"")</f>
        <v>mean 0.5g</v>
      </c>
      <c r="E333" s="206" t="str">
        <f>IF(AND(A333&lt;&gt;"",ISNUMBER(A333)),VLOOKUP(A333,Studies!A:BR,5,FALSE),"")</f>
        <v>vancomycin</v>
      </c>
      <c r="F333" s="207" t="str">
        <f>IF(AND(A333&lt;&gt;"",ISNUMBER(A333)),VLOOKUP(A333,Studies!A:BR,6,FALSE),"")</f>
        <v>Plasma</v>
      </c>
      <c r="G333" s="194">
        <v>180</v>
      </c>
      <c r="H333" s="194" t="s">
        <v>1041</v>
      </c>
      <c r="I333" s="187">
        <v>16.756419999999999</v>
      </c>
      <c r="J333" s="187" t="s">
        <v>1054</v>
      </c>
      <c r="K333" s="187" t="s">
        <v>116</v>
      </c>
      <c r="L333" s="195">
        <v>3.1846300000000021</v>
      </c>
      <c r="M333" s="195" t="s">
        <v>1054</v>
      </c>
      <c r="N333" s="195" t="s">
        <v>117</v>
      </c>
      <c r="O333" s="199"/>
      <c r="P333" s="188"/>
      <c r="Q333" s="174">
        <f>IF(ISNUMBER(VLOOKUP(A333,NotghiID!A:A,1,FALSE)),1,0)</f>
        <v>0</v>
      </c>
    </row>
    <row r="334" spans="1:17" ht="14.25" x14ac:dyDescent="0.2">
      <c r="A334" s="183">
        <v>102</v>
      </c>
      <c r="B334" s="232" t="str">
        <f>IF(AND(A334&lt;&gt;"",ISNUMBER(A334)),VLOOKUP(A334,Studies!A:BR,2,FALSE),"")</f>
        <v>Boekh 1988</v>
      </c>
      <c r="C334" s="232" t="str">
        <f>IF(AND(A334&lt;&gt;"",ISNUMBER(A334)),VLOOKUP(A334,Studies!A:BR,3,FALSE),"")</f>
        <v>https://www.ncbi.nlm.nih.gov/pubmed/3279907</v>
      </c>
      <c r="D334" s="232" t="str">
        <f>IF(AND(A334&lt;&gt;"",ISNUMBER(A334)),VLOOKUP(A334,Studies!A:BR,4,FALSE),"")</f>
        <v>mean 0.5g</v>
      </c>
      <c r="E334" s="206" t="str">
        <f>IF(AND(A334&lt;&gt;"",ISNUMBER(A334)),VLOOKUP(A334,Studies!A:BR,5,FALSE),"")</f>
        <v>vancomycin</v>
      </c>
      <c r="F334" s="207" t="str">
        <f>IF(AND(A334&lt;&gt;"",ISNUMBER(A334)),VLOOKUP(A334,Studies!A:BR,6,FALSE),"")</f>
        <v>Plasma</v>
      </c>
      <c r="G334" s="194">
        <v>300</v>
      </c>
      <c r="H334" s="194" t="s">
        <v>1041</v>
      </c>
      <c r="I334" s="187">
        <v>10.175520000000001</v>
      </c>
      <c r="J334" s="187" t="s">
        <v>1054</v>
      </c>
      <c r="K334" s="187" t="s">
        <v>116</v>
      </c>
      <c r="L334" s="195">
        <v>1.5197399999999988</v>
      </c>
      <c r="M334" s="195" t="s">
        <v>1054</v>
      </c>
      <c r="N334" s="195" t="s">
        <v>117</v>
      </c>
      <c r="O334" s="199"/>
      <c r="P334" s="188"/>
      <c r="Q334" s="174">
        <f>IF(ISNUMBER(VLOOKUP(A334,NotghiID!A:A,1,FALSE)),1,0)</f>
        <v>0</v>
      </c>
    </row>
    <row r="335" spans="1:17" ht="14.25" x14ac:dyDescent="0.2">
      <c r="A335" s="183">
        <v>102</v>
      </c>
      <c r="B335" s="232" t="str">
        <f>IF(AND(A335&lt;&gt;"",ISNUMBER(A335)),VLOOKUP(A335,Studies!A:BR,2,FALSE),"")</f>
        <v>Boekh 1988</v>
      </c>
      <c r="C335" s="232" t="str">
        <f>IF(AND(A335&lt;&gt;"",ISNUMBER(A335)),VLOOKUP(A335,Studies!A:BR,3,FALSE),"")</f>
        <v>https://www.ncbi.nlm.nih.gov/pubmed/3279907</v>
      </c>
      <c r="D335" s="232" t="str">
        <f>IF(AND(A335&lt;&gt;"",ISNUMBER(A335)),VLOOKUP(A335,Studies!A:BR,4,FALSE),"")</f>
        <v>mean 0.5g</v>
      </c>
      <c r="E335" s="206" t="str">
        <f>IF(AND(A335&lt;&gt;"",ISNUMBER(A335)),VLOOKUP(A335,Studies!A:BR,5,FALSE),"")</f>
        <v>vancomycin</v>
      </c>
      <c r="F335" s="207" t="str">
        <f>IF(AND(A335&lt;&gt;"",ISNUMBER(A335)),VLOOKUP(A335,Studies!A:BR,6,FALSE),"")</f>
        <v>Plasma</v>
      </c>
      <c r="G335" s="194">
        <v>420</v>
      </c>
      <c r="H335" s="194" t="s">
        <v>1041</v>
      </c>
      <c r="I335" s="187">
        <v>7.1849400000000001</v>
      </c>
      <c r="J335" s="187" t="s">
        <v>1054</v>
      </c>
      <c r="K335" s="187" t="s">
        <v>116</v>
      </c>
      <c r="L335" s="195">
        <v>1.3655280000000003</v>
      </c>
      <c r="M335" s="195" t="s">
        <v>1054</v>
      </c>
      <c r="N335" s="195" t="s">
        <v>117</v>
      </c>
      <c r="O335" s="199"/>
      <c r="P335" s="188"/>
      <c r="Q335" s="174">
        <f>IF(ISNUMBER(VLOOKUP(A335,NotghiID!A:A,1,FALSE)),1,0)</f>
        <v>0</v>
      </c>
    </row>
    <row r="336" spans="1:17" ht="14.25" x14ac:dyDescent="0.2">
      <c r="A336" s="183">
        <v>102</v>
      </c>
      <c r="B336" s="232" t="str">
        <f>IF(AND(A336&lt;&gt;"",ISNUMBER(A336)),VLOOKUP(A336,Studies!A:BR,2,FALSE),"")</f>
        <v>Boekh 1988</v>
      </c>
      <c r="C336" s="232" t="str">
        <f>IF(AND(A336&lt;&gt;"",ISNUMBER(A336)),VLOOKUP(A336,Studies!A:BR,3,FALSE),"")</f>
        <v>https://www.ncbi.nlm.nih.gov/pubmed/3279907</v>
      </c>
      <c r="D336" s="232" t="str">
        <f>IF(AND(A336&lt;&gt;"",ISNUMBER(A336)),VLOOKUP(A336,Studies!A:BR,4,FALSE),"")</f>
        <v>mean 0.5g</v>
      </c>
      <c r="E336" s="206" t="str">
        <f>IF(AND(A336&lt;&gt;"",ISNUMBER(A336)),VLOOKUP(A336,Studies!A:BR,5,FALSE),"")</f>
        <v>vancomycin</v>
      </c>
      <c r="F336" s="207" t="str">
        <f>IF(AND(A336&lt;&gt;"",ISNUMBER(A336)),VLOOKUP(A336,Studies!A:BR,6,FALSE),"")</f>
        <v>Plasma</v>
      </c>
      <c r="G336" s="194">
        <v>540</v>
      </c>
      <c r="H336" s="194" t="s">
        <v>1041</v>
      </c>
      <c r="I336" s="187">
        <v>5.1923649999999997</v>
      </c>
      <c r="J336" s="187" t="s">
        <v>1054</v>
      </c>
      <c r="K336" s="187" t="s">
        <v>116</v>
      </c>
      <c r="L336" s="195">
        <v>1.43222</v>
      </c>
      <c r="M336" s="195" t="s">
        <v>1054</v>
      </c>
      <c r="N336" s="195" t="s">
        <v>117</v>
      </c>
      <c r="O336" s="199"/>
      <c r="P336" s="188"/>
      <c r="Q336" s="174">
        <f>IF(ISNUMBER(VLOOKUP(A336,NotghiID!A:A,1,FALSE)),1,0)</f>
        <v>0</v>
      </c>
    </row>
    <row r="337" spans="1:17" ht="14.25" x14ac:dyDescent="0.2">
      <c r="A337" s="183">
        <v>102</v>
      </c>
      <c r="B337" s="232" t="str">
        <f>IF(AND(A337&lt;&gt;"",ISNUMBER(A337)),VLOOKUP(A337,Studies!A:BR,2,FALSE),"")</f>
        <v>Boekh 1988</v>
      </c>
      <c r="C337" s="232" t="str">
        <f>IF(AND(A337&lt;&gt;"",ISNUMBER(A337)),VLOOKUP(A337,Studies!A:BR,3,FALSE),"")</f>
        <v>https://www.ncbi.nlm.nih.gov/pubmed/3279907</v>
      </c>
      <c r="D337" s="232" t="str">
        <f>IF(AND(A337&lt;&gt;"",ISNUMBER(A337)),VLOOKUP(A337,Studies!A:BR,4,FALSE),"")</f>
        <v>mean 0.5g</v>
      </c>
      <c r="E337" s="206" t="str">
        <f>IF(AND(A337&lt;&gt;"",ISNUMBER(A337)),VLOOKUP(A337,Studies!A:BR,5,FALSE),"")</f>
        <v>vancomycin</v>
      </c>
      <c r="F337" s="207" t="str">
        <f>IF(AND(A337&lt;&gt;"",ISNUMBER(A337)),VLOOKUP(A337,Studies!A:BR,6,FALSE),"")</f>
        <v>Plasma</v>
      </c>
      <c r="G337" s="194">
        <v>780</v>
      </c>
      <c r="H337" s="194" t="s">
        <v>1041</v>
      </c>
      <c r="I337" s="187">
        <v>3.0101589999999998</v>
      </c>
      <c r="J337" s="187" t="s">
        <v>1054</v>
      </c>
      <c r="K337" s="187" t="s">
        <v>116</v>
      </c>
      <c r="L337" s="195">
        <v>1.5601929999999999</v>
      </c>
      <c r="M337" s="195" t="s">
        <v>1054</v>
      </c>
      <c r="N337" s="195" t="s">
        <v>117</v>
      </c>
      <c r="O337" s="199"/>
      <c r="P337" s="188"/>
      <c r="Q337" s="174">
        <f>IF(ISNUMBER(VLOOKUP(A337,NotghiID!A:A,1,FALSE)),1,0)</f>
        <v>0</v>
      </c>
    </row>
    <row r="338" spans="1:17" ht="14.25" x14ac:dyDescent="0.2">
      <c r="A338" s="183">
        <v>103</v>
      </c>
      <c r="B338" s="232" t="str">
        <f>IF(AND(A338&lt;&gt;"",ISNUMBER(A338)),VLOOKUP(A338,Studies!A:BR,2,FALSE),"")</f>
        <v>Boekh 1988</v>
      </c>
      <c r="C338" s="232" t="str">
        <f>IF(AND(A338&lt;&gt;"",ISNUMBER(A338)),VLOOKUP(A338,Studies!A:BR,3,FALSE),"")</f>
        <v>https://www.ncbi.nlm.nih.gov/pubmed/3279907</v>
      </c>
      <c r="D338" s="232" t="str">
        <f>IF(AND(A338&lt;&gt;"",ISNUMBER(A338)),VLOOKUP(A338,Studies!A:BR,4,FALSE),"")</f>
        <v>mean 1g</v>
      </c>
      <c r="E338" s="206" t="str">
        <f>IF(AND(A338&lt;&gt;"",ISNUMBER(A338)),VLOOKUP(A338,Studies!A:BR,5,FALSE),"")</f>
        <v>vancomycin</v>
      </c>
      <c r="F338" s="207" t="str">
        <f>IF(AND(A338&lt;&gt;"",ISNUMBER(A338)),VLOOKUP(A338,Studies!A:BR,6,FALSE),"")</f>
        <v>Plasma</v>
      </c>
      <c r="G338" s="194">
        <v>0</v>
      </c>
      <c r="H338" s="194" t="s">
        <v>1041</v>
      </c>
      <c r="I338" s="187">
        <v>48.152589999999996</v>
      </c>
      <c r="J338" s="187" t="s">
        <v>1054</v>
      </c>
      <c r="K338" s="187" t="s">
        <v>116</v>
      </c>
      <c r="L338" s="195">
        <v>15.457560000000001</v>
      </c>
      <c r="M338" s="195" t="s">
        <v>1054</v>
      </c>
      <c r="N338" s="195" t="s">
        <v>117</v>
      </c>
      <c r="O338" s="199"/>
      <c r="P338" s="188"/>
      <c r="Q338" s="174">
        <f>IF(ISNUMBER(VLOOKUP(A338,NotghiID!A:A,1,FALSE)),1,0)</f>
        <v>0</v>
      </c>
    </row>
    <row r="339" spans="1:17" ht="14.25" x14ac:dyDescent="0.2">
      <c r="A339" s="183">
        <v>103</v>
      </c>
      <c r="B339" s="232" t="str">
        <f>IF(AND(A339&lt;&gt;"",ISNUMBER(A339)),VLOOKUP(A339,Studies!A:BR,2,FALSE),"")</f>
        <v>Boekh 1988</v>
      </c>
      <c r="C339" s="232" t="str">
        <f>IF(AND(A339&lt;&gt;"",ISNUMBER(A339)),VLOOKUP(A339,Studies!A:BR,3,FALSE),"")</f>
        <v>https://www.ncbi.nlm.nih.gov/pubmed/3279907</v>
      </c>
      <c r="D339" s="232" t="str">
        <f>IF(AND(A339&lt;&gt;"",ISNUMBER(A339)),VLOOKUP(A339,Studies!A:BR,4,FALSE),"")</f>
        <v>mean 1g</v>
      </c>
      <c r="E339" s="206" t="str">
        <f>IF(AND(A339&lt;&gt;"",ISNUMBER(A339)),VLOOKUP(A339,Studies!A:BR,5,FALSE),"")</f>
        <v>vancomycin</v>
      </c>
      <c r="F339" s="207" t="str">
        <f>IF(AND(A339&lt;&gt;"",ISNUMBER(A339)),VLOOKUP(A339,Studies!A:BR,6,FALSE),"")</f>
        <v>Plasma</v>
      </c>
      <c r="G339" s="194">
        <v>30</v>
      </c>
      <c r="H339" s="194" t="s">
        <v>1041</v>
      </c>
      <c r="I339" s="187">
        <v>32.837699999999998</v>
      </c>
      <c r="J339" s="187" t="s">
        <v>1054</v>
      </c>
      <c r="K339" s="187" t="s">
        <v>116</v>
      </c>
      <c r="L339" s="195">
        <v>7.1581699999999984</v>
      </c>
      <c r="M339" s="195" t="s">
        <v>1054</v>
      </c>
      <c r="N339" s="195" t="s">
        <v>117</v>
      </c>
      <c r="O339" s="199"/>
      <c r="P339" s="188"/>
      <c r="Q339" s="174">
        <f>IF(ISNUMBER(VLOOKUP(A339,NotghiID!A:A,1,FALSE)),1,0)</f>
        <v>0</v>
      </c>
    </row>
    <row r="340" spans="1:17" ht="14.25" x14ac:dyDescent="0.2">
      <c r="A340" s="183">
        <v>103</v>
      </c>
      <c r="B340" s="232" t="str">
        <f>IF(AND(A340&lt;&gt;"",ISNUMBER(A340)),VLOOKUP(A340,Studies!A:BR,2,FALSE),"")</f>
        <v>Boekh 1988</v>
      </c>
      <c r="C340" s="232" t="str">
        <f>IF(AND(A340&lt;&gt;"",ISNUMBER(A340)),VLOOKUP(A340,Studies!A:BR,3,FALSE),"")</f>
        <v>https://www.ncbi.nlm.nih.gov/pubmed/3279907</v>
      </c>
      <c r="D340" s="232" t="str">
        <f>IF(AND(A340&lt;&gt;"",ISNUMBER(A340)),VLOOKUP(A340,Studies!A:BR,4,FALSE),"")</f>
        <v>mean 1g</v>
      </c>
      <c r="E340" s="206" t="str">
        <f>IF(AND(A340&lt;&gt;"",ISNUMBER(A340)),VLOOKUP(A340,Studies!A:BR,5,FALSE),"")</f>
        <v>vancomycin</v>
      </c>
      <c r="F340" s="207" t="str">
        <f>IF(AND(A340&lt;&gt;"",ISNUMBER(A340)),VLOOKUP(A340,Studies!A:BR,6,FALSE),"")</f>
        <v>Plasma</v>
      </c>
      <c r="G340" s="194">
        <v>60</v>
      </c>
      <c r="H340" s="194" t="s">
        <v>1041</v>
      </c>
      <c r="I340" s="187">
        <v>25.73827</v>
      </c>
      <c r="J340" s="187" t="s">
        <v>1054</v>
      </c>
      <c r="K340" s="187" t="s">
        <v>116</v>
      </c>
      <c r="L340" s="195">
        <v>5.6105799999999988</v>
      </c>
      <c r="M340" s="195" t="s">
        <v>1054</v>
      </c>
      <c r="N340" s="195" t="s">
        <v>117</v>
      </c>
      <c r="O340" s="199"/>
      <c r="P340" s="188"/>
      <c r="Q340" s="174">
        <f>IF(ISNUMBER(VLOOKUP(A340,NotghiID!A:A,1,FALSE)),1,0)</f>
        <v>0</v>
      </c>
    </row>
    <row r="341" spans="1:17" ht="14.25" x14ac:dyDescent="0.2">
      <c r="A341" s="183">
        <v>103</v>
      </c>
      <c r="B341" s="232" t="str">
        <f>IF(AND(A341&lt;&gt;"",ISNUMBER(A341)),VLOOKUP(A341,Studies!A:BR,2,FALSE),"")</f>
        <v>Boekh 1988</v>
      </c>
      <c r="C341" s="232" t="str">
        <f>IF(AND(A341&lt;&gt;"",ISNUMBER(A341)),VLOOKUP(A341,Studies!A:BR,3,FALSE),"")</f>
        <v>https://www.ncbi.nlm.nih.gov/pubmed/3279907</v>
      </c>
      <c r="D341" s="232" t="str">
        <f>IF(AND(A341&lt;&gt;"",ISNUMBER(A341)),VLOOKUP(A341,Studies!A:BR,4,FALSE),"")</f>
        <v>mean 1g</v>
      </c>
      <c r="E341" s="206" t="str">
        <f>IF(AND(A341&lt;&gt;"",ISNUMBER(A341)),VLOOKUP(A341,Studies!A:BR,5,FALSE),"")</f>
        <v>vancomycin</v>
      </c>
      <c r="F341" s="207" t="str">
        <f>IF(AND(A341&lt;&gt;"",ISNUMBER(A341)),VLOOKUP(A341,Studies!A:BR,6,FALSE),"")</f>
        <v>Plasma</v>
      </c>
      <c r="G341" s="194">
        <v>90</v>
      </c>
      <c r="H341" s="194" t="s">
        <v>1041</v>
      </c>
      <c r="I341" s="187">
        <v>20.888110000000001</v>
      </c>
      <c r="J341" s="187" t="s">
        <v>1054</v>
      </c>
      <c r="K341" s="187" t="s">
        <v>116</v>
      </c>
      <c r="L341" s="195">
        <v>6.0725499999999997</v>
      </c>
      <c r="M341" s="195" t="s">
        <v>1054</v>
      </c>
      <c r="N341" s="195" t="s">
        <v>117</v>
      </c>
      <c r="O341" s="199"/>
      <c r="P341" s="188"/>
      <c r="Q341" s="174">
        <f>IF(ISNUMBER(VLOOKUP(A341,NotghiID!A:A,1,FALSE)),1,0)</f>
        <v>0</v>
      </c>
    </row>
    <row r="342" spans="1:17" ht="14.25" x14ac:dyDescent="0.2">
      <c r="A342" s="183">
        <v>103</v>
      </c>
      <c r="B342" s="232" t="str">
        <f>IF(AND(A342&lt;&gt;"",ISNUMBER(A342)),VLOOKUP(A342,Studies!A:BR,2,FALSE),"")</f>
        <v>Boekh 1988</v>
      </c>
      <c r="C342" s="232" t="str">
        <f>IF(AND(A342&lt;&gt;"",ISNUMBER(A342)),VLOOKUP(A342,Studies!A:BR,3,FALSE),"")</f>
        <v>https://www.ncbi.nlm.nih.gov/pubmed/3279907</v>
      </c>
      <c r="D342" s="232" t="str">
        <f>IF(AND(A342&lt;&gt;"",ISNUMBER(A342)),VLOOKUP(A342,Studies!A:BR,4,FALSE),"")</f>
        <v>mean 1g</v>
      </c>
      <c r="E342" s="206" t="str">
        <f>IF(AND(A342&lt;&gt;"",ISNUMBER(A342)),VLOOKUP(A342,Studies!A:BR,5,FALSE),"")</f>
        <v>vancomycin</v>
      </c>
      <c r="F342" s="207" t="str">
        <f>IF(AND(A342&lt;&gt;"",ISNUMBER(A342)),VLOOKUP(A342,Studies!A:BR,6,FALSE),"")</f>
        <v>Plasma</v>
      </c>
      <c r="G342" s="194">
        <v>120</v>
      </c>
      <c r="H342" s="194" t="s">
        <v>1041</v>
      </c>
      <c r="I342" s="187">
        <v>16.756419999999999</v>
      </c>
      <c r="J342" s="187" t="s">
        <v>1054</v>
      </c>
      <c r="K342" s="187" t="s">
        <v>116</v>
      </c>
      <c r="L342" s="195">
        <v>3.1846300000000021</v>
      </c>
      <c r="M342" s="195" t="s">
        <v>1054</v>
      </c>
      <c r="N342" s="195" t="s">
        <v>117</v>
      </c>
      <c r="O342" s="199"/>
      <c r="P342" s="188"/>
      <c r="Q342" s="174">
        <f>IF(ISNUMBER(VLOOKUP(A342,NotghiID!A:A,1,FALSE)),1,0)</f>
        <v>0</v>
      </c>
    </row>
    <row r="343" spans="1:17" ht="14.25" x14ac:dyDescent="0.2">
      <c r="A343" s="183">
        <v>103</v>
      </c>
      <c r="B343" s="232" t="str">
        <f>IF(AND(A343&lt;&gt;"",ISNUMBER(A343)),VLOOKUP(A343,Studies!A:BR,2,FALSE),"")</f>
        <v>Boekh 1988</v>
      </c>
      <c r="C343" s="232" t="str">
        <f>IF(AND(A343&lt;&gt;"",ISNUMBER(A343)),VLOOKUP(A343,Studies!A:BR,3,FALSE),"")</f>
        <v>https://www.ncbi.nlm.nih.gov/pubmed/3279907</v>
      </c>
      <c r="D343" s="232" t="str">
        <f>IF(AND(A343&lt;&gt;"",ISNUMBER(A343)),VLOOKUP(A343,Studies!A:BR,4,FALSE),"")</f>
        <v>mean 1g</v>
      </c>
      <c r="E343" s="206" t="str">
        <f>IF(AND(A343&lt;&gt;"",ISNUMBER(A343)),VLOOKUP(A343,Studies!A:BR,5,FALSE),"")</f>
        <v>vancomycin</v>
      </c>
      <c r="F343" s="207" t="str">
        <f>IF(AND(A343&lt;&gt;"",ISNUMBER(A343)),VLOOKUP(A343,Studies!A:BR,6,FALSE),"")</f>
        <v>Plasma</v>
      </c>
      <c r="G343" s="194">
        <v>240</v>
      </c>
      <c r="H343" s="194" t="s">
        <v>1041</v>
      </c>
      <c r="I343" s="187">
        <v>10.175520000000001</v>
      </c>
      <c r="J343" s="187" t="s">
        <v>1054</v>
      </c>
      <c r="K343" s="187" t="s">
        <v>116</v>
      </c>
      <c r="L343" s="195">
        <v>1.5197399999999988</v>
      </c>
      <c r="M343" s="195" t="s">
        <v>1054</v>
      </c>
      <c r="N343" s="195" t="s">
        <v>117</v>
      </c>
      <c r="O343" s="199"/>
      <c r="P343" s="188"/>
      <c r="Q343" s="174">
        <f>IF(ISNUMBER(VLOOKUP(A343,NotghiID!A:A,1,FALSE)),1,0)</f>
        <v>0</v>
      </c>
    </row>
    <row r="344" spans="1:17" ht="14.25" x14ac:dyDescent="0.2">
      <c r="A344" s="183">
        <v>103</v>
      </c>
      <c r="B344" s="232" t="str">
        <f>IF(AND(A344&lt;&gt;"",ISNUMBER(A344)),VLOOKUP(A344,Studies!A:BR,2,FALSE),"")</f>
        <v>Boekh 1988</v>
      </c>
      <c r="C344" s="232" t="str">
        <f>IF(AND(A344&lt;&gt;"",ISNUMBER(A344)),VLOOKUP(A344,Studies!A:BR,3,FALSE),"")</f>
        <v>https://www.ncbi.nlm.nih.gov/pubmed/3279907</v>
      </c>
      <c r="D344" s="232" t="str">
        <f>IF(AND(A344&lt;&gt;"",ISNUMBER(A344)),VLOOKUP(A344,Studies!A:BR,4,FALSE),"")</f>
        <v>mean 1g</v>
      </c>
      <c r="E344" s="206" t="str">
        <f>IF(AND(A344&lt;&gt;"",ISNUMBER(A344)),VLOOKUP(A344,Studies!A:BR,5,FALSE),"")</f>
        <v>vancomycin</v>
      </c>
      <c r="F344" s="207" t="str">
        <f>IF(AND(A344&lt;&gt;"",ISNUMBER(A344)),VLOOKUP(A344,Studies!A:BR,6,FALSE),"")</f>
        <v>Plasma</v>
      </c>
      <c r="G344" s="194">
        <v>360</v>
      </c>
      <c r="H344" s="194" t="s">
        <v>1041</v>
      </c>
      <c r="I344" s="187">
        <v>7.1849400000000001</v>
      </c>
      <c r="J344" s="187" t="s">
        <v>1054</v>
      </c>
      <c r="K344" s="187" t="s">
        <v>116</v>
      </c>
      <c r="L344" s="195">
        <v>1.3655280000000003</v>
      </c>
      <c r="M344" s="195" t="s">
        <v>1054</v>
      </c>
      <c r="N344" s="195" t="s">
        <v>117</v>
      </c>
      <c r="O344" s="199"/>
      <c r="P344" s="188"/>
      <c r="Q344" s="174">
        <f>IF(ISNUMBER(VLOOKUP(A344,NotghiID!A:A,1,FALSE)),1,0)</f>
        <v>0</v>
      </c>
    </row>
    <row r="345" spans="1:17" ht="14.25" x14ac:dyDescent="0.2">
      <c r="A345" s="183">
        <v>103</v>
      </c>
      <c r="B345" s="232" t="str">
        <f>IF(AND(A345&lt;&gt;"",ISNUMBER(A345)),VLOOKUP(A345,Studies!A:BR,2,FALSE),"")</f>
        <v>Boekh 1988</v>
      </c>
      <c r="C345" s="232" t="str">
        <f>IF(AND(A345&lt;&gt;"",ISNUMBER(A345)),VLOOKUP(A345,Studies!A:BR,3,FALSE),"")</f>
        <v>https://www.ncbi.nlm.nih.gov/pubmed/3279907</v>
      </c>
      <c r="D345" s="232" t="str">
        <f>IF(AND(A345&lt;&gt;"",ISNUMBER(A345)),VLOOKUP(A345,Studies!A:BR,4,FALSE),"")</f>
        <v>mean 1g</v>
      </c>
      <c r="E345" s="206" t="str">
        <f>IF(AND(A345&lt;&gt;"",ISNUMBER(A345)),VLOOKUP(A345,Studies!A:BR,5,FALSE),"")</f>
        <v>vancomycin</v>
      </c>
      <c r="F345" s="207" t="str">
        <f>IF(AND(A345&lt;&gt;"",ISNUMBER(A345)),VLOOKUP(A345,Studies!A:BR,6,FALSE),"")</f>
        <v>Plasma</v>
      </c>
      <c r="G345" s="194">
        <v>480</v>
      </c>
      <c r="H345" s="194" t="s">
        <v>1041</v>
      </c>
      <c r="I345" s="187">
        <v>5.1923649999999997</v>
      </c>
      <c r="J345" s="187" t="s">
        <v>1054</v>
      </c>
      <c r="K345" s="187" t="s">
        <v>116</v>
      </c>
      <c r="L345" s="195">
        <v>1.43222</v>
      </c>
      <c r="M345" s="195" t="s">
        <v>1054</v>
      </c>
      <c r="N345" s="195" t="s">
        <v>117</v>
      </c>
      <c r="O345" s="199"/>
      <c r="P345" s="188"/>
      <c r="Q345" s="174">
        <f>IF(ISNUMBER(VLOOKUP(A345,NotghiID!A:A,1,FALSE)),1,0)</f>
        <v>0</v>
      </c>
    </row>
    <row r="346" spans="1:17" ht="14.25" x14ac:dyDescent="0.2">
      <c r="A346" s="183">
        <v>103</v>
      </c>
      <c r="B346" s="232" t="str">
        <f>IF(AND(A346&lt;&gt;"",ISNUMBER(A346)),VLOOKUP(A346,Studies!A:BR,2,FALSE),"")</f>
        <v>Boekh 1988</v>
      </c>
      <c r="C346" s="232" t="str">
        <f>IF(AND(A346&lt;&gt;"",ISNUMBER(A346)),VLOOKUP(A346,Studies!A:BR,3,FALSE),"")</f>
        <v>https://www.ncbi.nlm.nih.gov/pubmed/3279907</v>
      </c>
      <c r="D346" s="232" t="str">
        <f>IF(AND(A346&lt;&gt;"",ISNUMBER(A346)),VLOOKUP(A346,Studies!A:BR,4,FALSE),"")</f>
        <v>mean 1g</v>
      </c>
      <c r="E346" s="206" t="str">
        <f>IF(AND(A346&lt;&gt;"",ISNUMBER(A346)),VLOOKUP(A346,Studies!A:BR,5,FALSE),"")</f>
        <v>vancomycin</v>
      </c>
      <c r="F346" s="207" t="str">
        <f>IF(AND(A346&lt;&gt;"",ISNUMBER(A346)),VLOOKUP(A346,Studies!A:BR,6,FALSE),"")</f>
        <v>Plasma</v>
      </c>
      <c r="G346" s="194">
        <v>720</v>
      </c>
      <c r="H346" s="194" t="s">
        <v>1041</v>
      </c>
      <c r="I346" s="187">
        <v>3.0101589999999998</v>
      </c>
      <c r="J346" s="187" t="s">
        <v>1054</v>
      </c>
      <c r="K346" s="187" t="s">
        <v>116</v>
      </c>
      <c r="L346" s="195">
        <v>1.5601929999999999</v>
      </c>
      <c r="M346" s="195" t="s">
        <v>1054</v>
      </c>
      <c r="N346" s="195" t="s">
        <v>117</v>
      </c>
      <c r="O346" s="199"/>
      <c r="P346" s="188"/>
      <c r="Q346" s="174">
        <f>IF(ISNUMBER(VLOOKUP(A346,NotghiID!A:A,1,FALSE)),1,0)</f>
        <v>0</v>
      </c>
    </row>
    <row r="347" spans="1:17" ht="14.25" x14ac:dyDescent="0.2">
      <c r="A347" s="183">
        <v>241</v>
      </c>
      <c r="B347" s="232" t="str">
        <f>IF(AND(A347&lt;&gt;"",ISNUMBER(A347)),VLOOKUP(A347,Studies!A:BR,2,FALSE),"")</f>
        <v>Healy 1987</v>
      </c>
      <c r="C347" s="232" t="str">
        <f>IF(AND(A347&lt;&gt;"",ISNUMBER(A347)),VLOOKUP(A347,Studies!A:BR,3,FALSE),"")</f>
        <v>https://www.ncbi.nlm.nih.gov/pubmed/3579256</v>
      </c>
      <c r="D347" s="232" t="str">
        <f>IF(AND(A347&lt;&gt;"",ISNUMBER(A347)),VLOOKUP(A347,Studies!A:BR,4,FALSE),"")</f>
        <v>mean 0.5g</v>
      </c>
      <c r="E347" s="206" t="str">
        <f>IF(AND(A347&lt;&gt;"",ISNUMBER(A347)),VLOOKUP(A347,Studies!A:BR,5,FALSE),"")</f>
        <v>vancomycin</v>
      </c>
      <c r="F347" s="207" t="str">
        <f>IF(AND(A347&lt;&gt;"",ISNUMBER(A347)),VLOOKUP(A347,Studies!A:BR,6,FALSE),"")</f>
        <v>Plasma</v>
      </c>
      <c r="G347" s="194">
        <v>0</v>
      </c>
      <c r="H347" s="194" t="s">
        <v>60</v>
      </c>
      <c r="I347" s="187">
        <v>0</v>
      </c>
      <c r="J347" s="187" t="s">
        <v>1054</v>
      </c>
      <c r="K347" s="187" t="s">
        <v>116</v>
      </c>
      <c r="L347" s="195"/>
      <c r="M347" s="195"/>
      <c r="N347" s="195"/>
      <c r="O347" s="199"/>
      <c r="P347" s="188" t="s">
        <v>1113</v>
      </c>
      <c r="Q347" s="174">
        <f>IF(ISNUMBER(VLOOKUP(A347,NotghiID!A:A,1,FALSE)),1,0)</f>
        <v>0</v>
      </c>
    </row>
    <row r="348" spans="1:17" ht="14.25" x14ac:dyDescent="0.2">
      <c r="A348" s="183">
        <v>241</v>
      </c>
      <c r="B348" s="232" t="str">
        <f>IF(AND(A348&lt;&gt;"",ISNUMBER(A348)),VLOOKUP(A348,Studies!A:BR,2,FALSE),"")</f>
        <v>Healy 1987</v>
      </c>
      <c r="C348" s="232" t="str">
        <f>IF(AND(A348&lt;&gt;"",ISNUMBER(A348)),VLOOKUP(A348,Studies!A:BR,3,FALSE),"")</f>
        <v>https://www.ncbi.nlm.nih.gov/pubmed/3579256</v>
      </c>
      <c r="D348" s="232" t="str">
        <f>IF(AND(A348&lt;&gt;"",ISNUMBER(A348)),VLOOKUP(A348,Studies!A:BR,4,FALSE),"")</f>
        <v>mean 0.5g</v>
      </c>
      <c r="E348" s="206" t="str">
        <f>IF(AND(A348&lt;&gt;"",ISNUMBER(A348)),VLOOKUP(A348,Studies!A:BR,5,FALSE),"")</f>
        <v>vancomycin</v>
      </c>
      <c r="F348" s="207" t="str">
        <f>IF(AND(A348&lt;&gt;"",ISNUMBER(A348)),VLOOKUP(A348,Studies!A:BR,6,FALSE),"")</f>
        <v>Plasma</v>
      </c>
      <c r="G348" s="194">
        <v>0.80267560000000004</v>
      </c>
      <c r="H348" s="194" t="s">
        <v>60</v>
      </c>
      <c r="I348" s="187">
        <v>32.210529999999999</v>
      </c>
      <c r="J348" s="187" t="s">
        <v>1054</v>
      </c>
      <c r="K348" s="187" t="s">
        <v>116</v>
      </c>
      <c r="L348" s="195"/>
      <c r="M348" s="195"/>
      <c r="N348" s="195"/>
      <c r="O348" s="199"/>
      <c r="P348" s="188" t="s">
        <v>1113</v>
      </c>
      <c r="Q348" s="174">
        <f>IF(ISNUMBER(VLOOKUP(A348,NotghiID!A:A,1,FALSE)),1,0)</f>
        <v>0</v>
      </c>
    </row>
    <row r="349" spans="1:17" ht="14.25" x14ac:dyDescent="0.2">
      <c r="A349" s="183">
        <v>241</v>
      </c>
      <c r="B349" s="232" t="str">
        <f>IF(AND(A349&lt;&gt;"",ISNUMBER(A349)),VLOOKUP(A349,Studies!A:BR,2,FALSE),"")</f>
        <v>Healy 1987</v>
      </c>
      <c r="C349" s="232" t="str">
        <f>IF(AND(A349&lt;&gt;"",ISNUMBER(A349)),VLOOKUP(A349,Studies!A:BR,3,FALSE),"")</f>
        <v>https://www.ncbi.nlm.nih.gov/pubmed/3579256</v>
      </c>
      <c r="D349" s="232" t="str">
        <f>IF(AND(A349&lt;&gt;"",ISNUMBER(A349)),VLOOKUP(A349,Studies!A:BR,4,FALSE),"")</f>
        <v>mean 0.5g</v>
      </c>
      <c r="E349" s="206" t="str">
        <f>IF(AND(A349&lt;&gt;"",ISNUMBER(A349)),VLOOKUP(A349,Studies!A:BR,5,FALSE),"")</f>
        <v>vancomycin</v>
      </c>
      <c r="F349" s="207" t="str">
        <f>IF(AND(A349&lt;&gt;"",ISNUMBER(A349)),VLOOKUP(A349,Studies!A:BR,6,FALSE),"")</f>
        <v>Plasma</v>
      </c>
      <c r="G349" s="194">
        <v>0.90300999999999998</v>
      </c>
      <c r="H349" s="194" t="s">
        <v>60</v>
      </c>
      <c r="I349" s="187">
        <v>27.56842</v>
      </c>
      <c r="J349" s="187" t="s">
        <v>1054</v>
      </c>
      <c r="K349" s="187" t="s">
        <v>116</v>
      </c>
      <c r="L349" s="195"/>
      <c r="M349" s="195"/>
      <c r="N349" s="195"/>
      <c r="O349" s="199"/>
      <c r="P349" s="188" t="s">
        <v>1113</v>
      </c>
      <c r="Q349" s="174">
        <f>IF(ISNUMBER(VLOOKUP(A349,NotghiID!A:A,1,FALSE)),1,0)</f>
        <v>0</v>
      </c>
    </row>
    <row r="350" spans="1:17" ht="14.25" x14ac:dyDescent="0.2">
      <c r="A350" s="183">
        <v>241</v>
      </c>
      <c r="B350" s="232" t="str">
        <f>IF(AND(A350&lt;&gt;"",ISNUMBER(A350)),VLOOKUP(A350,Studies!A:BR,2,FALSE),"")</f>
        <v>Healy 1987</v>
      </c>
      <c r="C350" s="232" t="str">
        <f>IF(AND(A350&lt;&gt;"",ISNUMBER(A350)),VLOOKUP(A350,Studies!A:BR,3,FALSE),"")</f>
        <v>https://www.ncbi.nlm.nih.gov/pubmed/3579256</v>
      </c>
      <c r="D350" s="232" t="str">
        <f>IF(AND(A350&lt;&gt;"",ISNUMBER(A350)),VLOOKUP(A350,Studies!A:BR,4,FALSE),"")</f>
        <v>mean 0.5g</v>
      </c>
      <c r="E350" s="206" t="str">
        <f>IF(AND(A350&lt;&gt;"",ISNUMBER(A350)),VLOOKUP(A350,Studies!A:BR,5,FALSE),"")</f>
        <v>vancomycin</v>
      </c>
      <c r="F350" s="207" t="str">
        <f>IF(AND(A350&lt;&gt;"",ISNUMBER(A350)),VLOOKUP(A350,Studies!A:BR,6,FALSE),"")</f>
        <v>Plasma</v>
      </c>
      <c r="G350" s="194">
        <v>1.3043480000000001</v>
      </c>
      <c r="H350" s="194" t="s">
        <v>60</v>
      </c>
      <c r="I350" s="187">
        <v>23.210529999999999</v>
      </c>
      <c r="J350" s="187" t="s">
        <v>1054</v>
      </c>
      <c r="K350" s="187" t="s">
        <v>116</v>
      </c>
      <c r="L350" s="195"/>
      <c r="M350" s="195"/>
      <c r="N350" s="195"/>
      <c r="O350" s="199"/>
      <c r="P350" s="188" t="s">
        <v>1113</v>
      </c>
      <c r="Q350" s="174">
        <f>IF(ISNUMBER(VLOOKUP(A350,NotghiID!A:A,1,FALSE)),1,0)</f>
        <v>0</v>
      </c>
    </row>
    <row r="351" spans="1:17" ht="14.25" x14ac:dyDescent="0.2">
      <c r="A351" s="183">
        <v>241</v>
      </c>
      <c r="B351" s="232" t="str">
        <f>IF(AND(A351&lt;&gt;"",ISNUMBER(A351)),VLOOKUP(A351,Studies!A:BR,2,FALSE),"")</f>
        <v>Healy 1987</v>
      </c>
      <c r="C351" s="232" t="str">
        <f>IF(AND(A351&lt;&gt;"",ISNUMBER(A351)),VLOOKUP(A351,Studies!A:BR,3,FALSE),"")</f>
        <v>https://www.ncbi.nlm.nih.gov/pubmed/3579256</v>
      </c>
      <c r="D351" s="232" t="str">
        <f>IF(AND(A351&lt;&gt;"",ISNUMBER(A351)),VLOOKUP(A351,Studies!A:BR,4,FALSE),"")</f>
        <v>mean 0.5g</v>
      </c>
      <c r="E351" s="206" t="str">
        <f>IF(AND(A351&lt;&gt;"",ISNUMBER(A351)),VLOOKUP(A351,Studies!A:BR,5,FALSE),"")</f>
        <v>vancomycin</v>
      </c>
      <c r="F351" s="207" t="str">
        <f>IF(AND(A351&lt;&gt;"",ISNUMBER(A351)),VLOOKUP(A351,Studies!A:BR,6,FALSE),"")</f>
        <v>Plasma</v>
      </c>
      <c r="G351" s="194">
        <v>1.505017</v>
      </c>
      <c r="H351" s="194" t="s">
        <v>60</v>
      </c>
      <c r="I351" s="187">
        <v>19.421050000000001</v>
      </c>
      <c r="J351" s="187" t="s">
        <v>1054</v>
      </c>
      <c r="K351" s="187" t="s">
        <v>116</v>
      </c>
      <c r="L351" s="195"/>
      <c r="M351" s="195"/>
      <c r="N351" s="195"/>
      <c r="O351" s="199"/>
      <c r="P351" s="188" t="s">
        <v>1113</v>
      </c>
      <c r="Q351" s="174">
        <f>IF(ISNUMBER(VLOOKUP(A351,NotghiID!A:A,1,FALSE)),1,0)</f>
        <v>0</v>
      </c>
    </row>
    <row r="352" spans="1:17" ht="14.25" x14ac:dyDescent="0.2">
      <c r="A352" s="183">
        <v>241</v>
      </c>
      <c r="B352" s="232" t="str">
        <f>IF(AND(A352&lt;&gt;"",ISNUMBER(A352)),VLOOKUP(A352,Studies!A:BR,2,FALSE),"")</f>
        <v>Healy 1987</v>
      </c>
      <c r="C352" s="232" t="str">
        <f>IF(AND(A352&lt;&gt;"",ISNUMBER(A352)),VLOOKUP(A352,Studies!A:BR,3,FALSE),"")</f>
        <v>https://www.ncbi.nlm.nih.gov/pubmed/3579256</v>
      </c>
      <c r="D352" s="232" t="str">
        <f>IF(AND(A352&lt;&gt;"",ISNUMBER(A352)),VLOOKUP(A352,Studies!A:BR,4,FALSE),"")</f>
        <v>mean 0.5g</v>
      </c>
      <c r="E352" s="206" t="str">
        <f>IF(AND(A352&lt;&gt;"",ISNUMBER(A352)),VLOOKUP(A352,Studies!A:BR,5,FALSE),"")</f>
        <v>vancomycin</v>
      </c>
      <c r="F352" s="207" t="str">
        <f>IF(AND(A352&lt;&gt;"",ISNUMBER(A352)),VLOOKUP(A352,Studies!A:BR,6,FALSE),"")</f>
        <v>Plasma</v>
      </c>
      <c r="G352" s="194">
        <v>1.906355</v>
      </c>
      <c r="H352" s="194" t="s">
        <v>60</v>
      </c>
      <c r="I352" s="187">
        <v>13.92632</v>
      </c>
      <c r="J352" s="187" t="s">
        <v>1054</v>
      </c>
      <c r="K352" s="187" t="s">
        <v>116</v>
      </c>
      <c r="L352" s="195"/>
      <c r="M352" s="195"/>
      <c r="N352" s="195"/>
      <c r="O352" s="199"/>
      <c r="P352" s="188" t="s">
        <v>1113</v>
      </c>
      <c r="Q352" s="174">
        <f>IF(ISNUMBER(VLOOKUP(A352,NotghiID!A:A,1,FALSE)),1,0)</f>
        <v>0</v>
      </c>
    </row>
    <row r="353" spans="1:17" ht="14.25" x14ac:dyDescent="0.2">
      <c r="A353" s="183">
        <v>241</v>
      </c>
      <c r="B353" s="232" t="str">
        <f>IF(AND(A353&lt;&gt;"",ISNUMBER(A353)),VLOOKUP(A353,Studies!A:BR,2,FALSE),"")</f>
        <v>Healy 1987</v>
      </c>
      <c r="C353" s="232" t="str">
        <f>IF(AND(A353&lt;&gt;"",ISNUMBER(A353)),VLOOKUP(A353,Studies!A:BR,3,FALSE),"")</f>
        <v>https://www.ncbi.nlm.nih.gov/pubmed/3579256</v>
      </c>
      <c r="D353" s="232" t="str">
        <f>IF(AND(A353&lt;&gt;"",ISNUMBER(A353)),VLOOKUP(A353,Studies!A:BR,4,FALSE),"")</f>
        <v>mean 0.5g</v>
      </c>
      <c r="E353" s="206" t="str">
        <f>IF(AND(A353&lt;&gt;"",ISNUMBER(A353)),VLOOKUP(A353,Studies!A:BR,5,FALSE),"")</f>
        <v>vancomycin</v>
      </c>
      <c r="F353" s="207" t="str">
        <f>IF(AND(A353&lt;&gt;"",ISNUMBER(A353)),VLOOKUP(A353,Studies!A:BR,6,FALSE),"")</f>
        <v>Plasma</v>
      </c>
      <c r="G353" s="194">
        <v>2.4080270000000001</v>
      </c>
      <c r="H353" s="194" t="s">
        <v>60</v>
      </c>
      <c r="I353" s="187">
        <v>11.93684</v>
      </c>
      <c r="J353" s="187" t="s">
        <v>1054</v>
      </c>
      <c r="K353" s="187" t="s">
        <v>116</v>
      </c>
      <c r="L353" s="195"/>
      <c r="M353" s="195"/>
      <c r="N353" s="195"/>
      <c r="O353" s="199"/>
      <c r="P353" s="188" t="s">
        <v>1113</v>
      </c>
      <c r="Q353" s="174">
        <f>IF(ISNUMBER(VLOOKUP(A353,NotghiID!A:A,1,FALSE)),1,0)</f>
        <v>0</v>
      </c>
    </row>
    <row r="354" spans="1:17" ht="14.25" x14ac:dyDescent="0.2">
      <c r="A354" s="183">
        <v>241</v>
      </c>
      <c r="B354" s="232" t="str">
        <f>IF(AND(A354&lt;&gt;"",ISNUMBER(A354)),VLOOKUP(A354,Studies!A:BR,2,FALSE),"")</f>
        <v>Healy 1987</v>
      </c>
      <c r="C354" s="232" t="str">
        <f>IF(AND(A354&lt;&gt;"",ISNUMBER(A354)),VLOOKUP(A354,Studies!A:BR,3,FALSE),"")</f>
        <v>https://www.ncbi.nlm.nih.gov/pubmed/3579256</v>
      </c>
      <c r="D354" s="232" t="str">
        <f>IF(AND(A354&lt;&gt;"",ISNUMBER(A354)),VLOOKUP(A354,Studies!A:BR,4,FALSE),"")</f>
        <v>mean 0.5g</v>
      </c>
      <c r="E354" s="206" t="str">
        <f>IF(AND(A354&lt;&gt;"",ISNUMBER(A354)),VLOOKUP(A354,Studies!A:BR,5,FALSE),"")</f>
        <v>vancomycin</v>
      </c>
      <c r="F354" s="207" t="str">
        <f>IF(AND(A354&lt;&gt;"",ISNUMBER(A354)),VLOOKUP(A354,Studies!A:BR,6,FALSE),"")</f>
        <v>Plasma</v>
      </c>
      <c r="G354" s="194">
        <v>3.1103679999999998</v>
      </c>
      <c r="H354" s="194" t="s">
        <v>60</v>
      </c>
      <c r="I354" s="187">
        <v>10.042109999999999</v>
      </c>
      <c r="J354" s="187" t="s">
        <v>1054</v>
      </c>
      <c r="K354" s="187" t="s">
        <v>116</v>
      </c>
      <c r="L354" s="195"/>
      <c r="M354" s="195"/>
      <c r="N354" s="195"/>
      <c r="O354" s="199"/>
      <c r="P354" s="188" t="s">
        <v>1113</v>
      </c>
      <c r="Q354" s="174">
        <f>IF(ISNUMBER(VLOOKUP(A354,NotghiID!A:A,1,FALSE)),1,0)</f>
        <v>0</v>
      </c>
    </row>
    <row r="355" spans="1:17" ht="14.25" x14ac:dyDescent="0.2">
      <c r="A355" s="183">
        <v>241</v>
      </c>
      <c r="B355" s="232" t="str">
        <f>IF(AND(A355&lt;&gt;"",ISNUMBER(A355)),VLOOKUP(A355,Studies!A:BR,2,FALSE),"")</f>
        <v>Healy 1987</v>
      </c>
      <c r="C355" s="232" t="str">
        <f>IF(AND(A355&lt;&gt;"",ISNUMBER(A355)),VLOOKUP(A355,Studies!A:BR,3,FALSE),"")</f>
        <v>https://www.ncbi.nlm.nih.gov/pubmed/3579256</v>
      </c>
      <c r="D355" s="232" t="str">
        <f>IF(AND(A355&lt;&gt;"",ISNUMBER(A355)),VLOOKUP(A355,Studies!A:BR,4,FALSE),"")</f>
        <v>mean 0.5g</v>
      </c>
      <c r="E355" s="206" t="str">
        <f>IF(AND(A355&lt;&gt;"",ISNUMBER(A355)),VLOOKUP(A355,Studies!A:BR,5,FALSE),"")</f>
        <v>vancomycin</v>
      </c>
      <c r="F355" s="207" t="str">
        <f>IF(AND(A355&lt;&gt;"",ISNUMBER(A355)),VLOOKUP(A355,Studies!A:BR,6,FALSE),"")</f>
        <v>Plasma</v>
      </c>
      <c r="G355" s="194">
        <v>3.5117060000000002</v>
      </c>
      <c r="H355" s="194" t="s">
        <v>60</v>
      </c>
      <c r="I355" s="187">
        <v>8.7157900000000001</v>
      </c>
      <c r="J355" s="187" t="s">
        <v>1054</v>
      </c>
      <c r="K355" s="187" t="s">
        <v>116</v>
      </c>
      <c r="L355" s="195"/>
      <c r="M355" s="195"/>
      <c r="N355" s="195"/>
      <c r="O355" s="199"/>
      <c r="P355" s="188" t="s">
        <v>1113</v>
      </c>
      <c r="Q355" s="174">
        <f>IF(ISNUMBER(VLOOKUP(A355,NotghiID!A:A,1,FALSE)),1,0)</f>
        <v>0</v>
      </c>
    </row>
    <row r="356" spans="1:17" ht="14.25" x14ac:dyDescent="0.2">
      <c r="A356" s="183">
        <v>241</v>
      </c>
      <c r="B356" s="232" t="str">
        <f>IF(AND(A356&lt;&gt;"",ISNUMBER(A356)),VLOOKUP(A356,Studies!A:BR,2,FALSE),"")</f>
        <v>Healy 1987</v>
      </c>
      <c r="C356" s="232" t="str">
        <f>IF(AND(A356&lt;&gt;"",ISNUMBER(A356)),VLOOKUP(A356,Studies!A:BR,3,FALSE),"")</f>
        <v>https://www.ncbi.nlm.nih.gov/pubmed/3579256</v>
      </c>
      <c r="D356" s="232" t="str">
        <f>IF(AND(A356&lt;&gt;"",ISNUMBER(A356)),VLOOKUP(A356,Studies!A:BR,4,FALSE),"")</f>
        <v>mean 0.5g</v>
      </c>
      <c r="E356" s="206" t="str">
        <f>IF(AND(A356&lt;&gt;"",ISNUMBER(A356)),VLOOKUP(A356,Studies!A:BR,5,FALSE),"")</f>
        <v>vancomycin</v>
      </c>
      <c r="F356" s="207" t="str">
        <f>IF(AND(A356&lt;&gt;"",ISNUMBER(A356)),VLOOKUP(A356,Studies!A:BR,6,FALSE),"")</f>
        <v>Plasma</v>
      </c>
      <c r="G356" s="194">
        <v>3.913043</v>
      </c>
      <c r="H356" s="194" t="s">
        <v>60</v>
      </c>
      <c r="I356" s="187">
        <v>7.6736839999999997</v>
      </c>
      <c r="J356" s="187" t="s">
        <v>1054</v>
      </c>
      <c r="K356" s="187" t="s">
        <v>116</v>
      </c>
      <c r="L356" s="195"/>
      <c r="M356" s="195"/>
      <c r="N356" s="195"/>
      <c r="O356" s="199"/>
      <c r="P356" s="188" t="s">
        <v>1113</v>
      </c>
      <c r="Q356" s="174">
        <f>IF(ISNUMBER(VLOOKUP(A356,NotghiID!A:A,1,FALSE)),1,0)</f>
        <v>0</v>
      </c>
    </row>
    <row r="357" spans="1:17" ht="14.25" x14ac:dyDescent="0.2">
      <c r="A357" s="183">
        <v>241</v>
      </c>
      <c r="B357" s="232" t="str">
        <f>IF(AND(A357&lt;&gt;"",ISNUMBER(A357)),VLOOKUP(A357,Studies!A:BR,2,FALSE),"")</f>
        <v>Healy 1987</v>
      </c>
      <c r="C357" s="232" t="str">
        <f>IF(AND(A357&lt;&gt;"",ISNUMBER(A357)),VLOOKUP(A357,Studies!A:BR,3,FALSE),"")</f>
        <v>https://www.ncbi.nlm.nih.gov/pubmed/3579256</v>
      </c>
      <c r="D357" s="232" t="str">
        <f>IF(AND(A357&lt;&gt;"",ISNUMBER(A357)),VLOOKUP(A357,Studies!A:BR,4,FALSE),"")</f>
        <v>mean 0.5g</v>
      </c>
      <c r="E357" s="206" t="str">
        <f>IF(AND(A357&lt;&gt;"",ISNUMBER(A357)),VLOOKUP(A357,Studies!A:BR,5,FALSE),"")</f>
        <v>vancomycin</v>
      </c>
      <c r="F357" s="207" t="str">
        <f>IF(AND(A357&lt;&gt;"",ISNUMBER(A357)),VLOOKUP(A357,Studies!A:BR,6,FALSE),"")</f>
        <v>Plasma</v>
      </c>
      <c r="G357" s="194">
        <v>4.9163880000000004</v>
      </c>
      <c r="H357" s="194" t="s">
        <v>60</v>
      </c>
      <c r="I357" s="187">
        <v>6.1578949999999999</v>
      </c>
      <c r="J357" s="187" t="s">
        <v>1054</v>
      </c>
      <c r="K357" s="187" t="s">
        <v>116</v>
      </c>
      <c r="L357" s="195"/>
      <c r="M357" s="195"/>
      <c r="N357" s="195"/>
      <c r="O357" s="199"/>
      <c r="P357" s="188" t="s">
        <v>1113</v>
      </c>
      <c r="Q357" s="174">
        <f>IF(ISNUMBER(VLOOKUP(A357,NotghiID!A:A,1,FALSE)),1,0)</f>
        <v>0</v>
      </c>
    </row>
    <row r="358" spans="1:17" ht="14.25" x14ac:dyDescent="0.2">
      <c r="A358" s="183">
        <v>241</v>
      </c>
      <c r="B358" s="232" t="str">
        <f>IF(AND(A358&lt;&gt;"",ISNUMBER(A358)),VLOOKUP(A358,Studies!A:BR,2,FALSE),"")</f>
        <v>Healy 1987</v>
      </c>
      <c r="C358" s="232" t="str">
        <f>IF(AND(A358&lt;&gt;"",ISNUMBER(A358)),VLOOKUP(A358,Studies!A:BR,3,FALSE),"")</f>
        <v>https://www.ncbi.nlm.nih.gov/pubmed/3579256</v>
      </c>
      <c r="D358" s="232" t="str">
        <f>IF(AND(A358&lt;&gt;"",ISNUMBER(A358)),VLOOKUP(A358,Studies!A:BR,4,FALSE),"")</f>
        <v>mean 0.5g</v>
      </c>
      <c r="E358" s="206" t="str">
        <f>IF(AND(A358&lt;&gt;"",ISNUMBER(A358)),VLOOKUP(A358,Studies!A:BR,5,FALSE),"")</f>
        <v>vancomycin</v>
      </c>
      <c r="F358" s="207" t="str">
        <f>IF(AND(A358&lt;&gt;"",ISNUMBER(A358)),VLOOKUP(A358,Studies!A:BR,6,FALSE),"")</f>
        <v>Plasma</v>
      </c>
      <c r="G358" s="194">
        <v>5.9197329999999999</v>
      </c>
      <c r="H358" s="194" t="s">
        <v>60</v>
      </c>
      <c r="I358" s="187">
        <v>5.5894740000000001</v>
      </c>
      <c r="J358" s="187" t="s">
        <v>1054</v>
      </c>
      <c r="K358" s="187" t="s">
        <v>116</v>
      </c>
      <c r="L358" s="195"/>
      <c r="M358" s="195"/>
      <c r="N358" s="195"/>
      <c r="O358" s="199"/>
      <c r="P358" s="188" t="s">
        <v>1113</v>
      </c>
      <c r="Q358" s="174">
        <f>IF(ISNUMBER(VLOOKUP(A358,NotghiID!A:A,1,FALSE)),1,0)</f>
        <v>0</v>
      </c>
    </row>
    <row r="359" spans="1:17" ht="14.25" x14ac:dyDescent="0.2">
      <c r="A359" s="183">
        <v>241</v>
      </c>
      <c r="B359" s="232" t="str">
        <f>IF(AND(A359&lt;&gt;"",ISNUMBER(A359)),VLOOKUP(A359,Studies!A:BR,2,FALSE),"")</f>
        <v>Healy 1987</v>
      </c>
      <c r="C359" s="232" t="str">
        <f>IF(AND(A359&lt;&gt;"",ISNUMBER(A359)),VLOOKUP(A359,Studies!A:BR,3,FALSE),"")</f>
        <v>https://www.ncbi.nlm.nih.gov/pubmed/3579256</v>
      </c>
      <c r="D359" s="232" t="str">
        <f>IF(AND(A359&lt;&gt;"",ISNUMBER(A359)),VLOOKUP(A359,Studies!A:BR,4,FALSE),"")</f>
        <v>mean 0.5g</v>
      </c>
      <c r="E359" s="206" t="str">
        <f>IF(AND(A359&lt;&gt;"",ISNUMBER(A359)),VLOOKUP(A359,Studies!A:BR,5,FALSE),"")</f>
        <v>vancomycin</v>
      </c>
      <c r="F359" s="207" t="str">
        <f>IF(AND(A359&lt;&gt;"",ISNUMBER(A359)),VLOOKUP(A359,Studies!A:BR,6,FALSE),"")</f>
        <v>Plasma</v>
      </c>
      <c r="G359" s="194">
        <v>11.83947</v>
      </c>
      <c r="H359" s="194" t="s">
        <v>60</v>
      </c>
      <c r="I359" s="187">
        <v>7.48421</v>
      </c>
      <c r="J359" s="187" t="s">
        <v>1054</v>
      </c>
      <c r="K359" s="187" t="s">
        <v>116</v>
      </c>
      <c r="L359" s="195"/>
      <c r="M359" s="195"/>
      <c r="N359" s="195"/>
      <c r="O359" s="199"/>
      <c r="P359" s="188" t="s">
        <v>1113</v>
      </c>
      <c r="Q359" s="174">
        <f>IF(ISNUMBER(VLOOKUP(A359,NotghiID!A:A,1,FALSE)),1,0)</f>
        <v>0</v>
      </c>
    </row>
    <row r="360" spans="1:17" ht="14.25" x14ac:dyDescent="0.2">
      <c r="A360" s="183">
        <v>241</v>
      </c>
      <c r="B360" s="232" t="str">
        <f>IF(AND(A360&lt;&gt;"",ISNUMBER(A360)),VLOOKUP(A360,Studies!A:BR,2,FALSE),"")</f>
        <v>Healy 1987</v>
      </c>
      <c r="C360" s="232" t="str">
        <f>IF(AND(A360&lt;&gt;"",ISNUMBER(A360)),VLOOKUP(A360,Studies!A:BR,3,FALSE),"")</f>
        <v>https://www.ncbi.nlm.nih.gov/pubmed/3579256</v>
      </c>
      <c r="D360" s="232" t="str">
        <f>IF(AND(A360&lt;&gt;"",ISNUMBER(A360)),VLOOKUP(A360,Studies!A:BR,4,FALSE),"")</f>
        <v>mean 0.5g</v>
      </c>
      <c r="E360" s="206" t="str">
        <f>IF(AND(A360&lt;&gt;"",ISNUMBER(A360)),VLOOKUP(A360,Studies!A:BR,5,FALSE),"")</f>
        <v>vancomycin</v>
      </c>
      <c r="F360" s="207" t="str">
        <f>IF(AND(A360&lt;&gt;"",ISNUMBER(A360)),VLOOKUP(A360,Studies!A:BR,6,FALSE),"")</f>
        <v>Plasma</v>
      </c>
      <c r="G360" s="194">
        <v>12.94314</v>
      </c>
      <c r="H360" s="194" t="s">
        <v>60</v>
      </c>
      <c r="I360" s="187">
        <v>35.147370000000002</v>
      </c>
      <c r="J360" s="187" t="s">
        <v>1054</v>
      </c>
      <c r="K360" s="187" t="s">
        <v>116</v>
      </c>
      <c r="L360" s="195"/>
      <c r="M360" s="195"/>
      <c r="N360" s="195"/>
      <c r="O360" s="199"/>
      <c r="P360" s="188" t="s">
        <v>1113</v>
      </c>
      <c r="Q360" s="174">
        <f>IF(ISNUMBER(VLOOKUP(A360,NotghiID!A:A,1,FALSE)),1,0)</f>
        <v>0</v>
      </c>
    </row>
    <row r="361" spans="1:17" ht="14.25" x14ac:dyDescent="0.2">
      <c r="A361" s="183">
        <v>241</v>
      </c>
      <c r="B361" s="232" t="str">
        <f>IF(AND(A361&lt;&gt;"",ISNUMBER(A361)),VLOOKUP(A361,Studies!A:BR,2,FALSE),"")</f>
        <v>Healy 1987</v>
      </c>
      <c r="C361" s="232" t="str">
        <f>IF(AND(A361&lt;&gt;"",ISNUMBER(A361)),VLOOKUP(A361,Studies!A:BR,3,FALSE),"")</f>
        <v>https://www.ncbi.nlm.nih.gov/pubmed/3579256</v>
      </c>
      <c r="D361" s="232" t="str">
        <f>IF(AND(A361&lt;&gt;"",ISNUMBER(A361)),VLOOKUP(A361,Studies!A:BR,4,FALSE),"")</f>
        <v>mean 0.5g</v>
      </c>
      <c r="E361" s="206" t="str">
        <f>IF(AND(A361&lt;&gt;"",ISNUMBER(A361)),VLOOKUP(A361,Studies!A:BR,5,FALSE),"")</f>
        <v>vancomycin</v>
      </c>
      <c r="F361" s="207" t="str">
        <f>IF(AND(A361&lt;&gt;"",ISNUMBER(A361)),VLOOKUP(A361,Studies!A:BR,6,FALSE),"")</f>
        <v>Plasma</v>
      </c>
      <c r="G361" s="194">
        <v>13.44482</v>
      </c>
      <c r="H361" s="194" t="s">
        <v>60</v>
      </c>
      <c r="I361" s="187">
        <v>24.25263</v>
      </c>
      <c r="J361" s="187" t="s">
        <v>1054</v>
      </c>
      <c r="K361" s="187" t="s">
        <v>116</v>
      </c>
      <c r="L361" s="195"/>
      <c r="M361" s="195"/>
      <c r="N361" s="195"/>
      <c r="O361" s="199"/>
      <c r="P361" s="188" t="s">
        <v>1113</v>
      </c>
      <c r="Q361" s="174">
        <f>IF(ISNUMBER(VLOOKUP(A361,NotghiID!A:A,1,FALSE)),1,0)</f>
        <v>0</v>
      </c>
    </row>
    <row r="362" spans="1:17" ht="14.25" x14ac:dyDescent="0.2">
      <c r="A362" s="183">
        <v>241</v>
      </c>
      <c r="B362" s="232" t="str">
        <f>IF(AND(A362&lt;&gt;"",ISNUMBER(A362)),VLOOKUP(A362,Studies!A:BR,2,FALSE),"")</f>
        <v>Healy 1987</v>
      </c>
      <c r="C362" s="232" t="str">
        <f>IF(AND(A362&lt;&gt;"",ISNUMBER(A362)),VLOOKUP(A362,Studies!A:BR,3,FALSE),"")</f>
        <v>https://www.ncbi.nlm.nih.gov/pubmed/3579256</v>
      </c>
      <c r="D362" s="232" t="str">
        <f>IF(AND(A362&lt;&gt;"",ISNUMBER(A362)),VLOOKUP(A362,Studies!A:BR,4,FALSE),"")</f>
        <v>mean 0.5g</v>
      </c>
      <c r="E362" s="206" t="str">
        <f>IF(AND(A362&lt;&gt;"",ISNUMBER(A362)),VLOOKUP(A362,Studies!A:BR,5,FALSE),"")</f>
        <v>vancomycin</v>
      </c>
      <c r="F362" s="207" t="str">
        <f>IF(AND(A362&lt;&gt;"",ISNUMBER(A362)),VLOOKUP(A362,Studies!A:BR,6,FALSE),"")</f>
        <v>Plasma</v>
      </c>
      <c r="G362" s="194">
        <v>13.84615</v>
      </c>
      <c r="H362" s="194" t="s">
        <v>60</v>
      </c>
      <c r="I362" s="187">
        <v>20.36842</v>
      </c>
      <c r="J362" s="187" t="s">
        <v>1054</v>
      </c>
      <c r="K362" s="187" t="s">
        <v>116</v>
      </c>
      <c r="L362" s="195"/>
      <c r="M362" s="195"/>
      <c r="N362" s="195"/>
      <c r="O362" s="199"/>
      <c r="P362" s="188" t="s">
        <v>1113</v>
      </c>
      <c r="Q362" s="174">
        <f>IF(ISNUMBER(VLOOKUP(A362,NotghiID!A:A,1,FALSE)),1,0)</f>
        <v>0</v>
      </c>
    </row>
    <row r="363" spans="1:17" ht="14.25" x14ac:dyDescent="0.2">
      <c r="A363" s="183">
        <v>241</v>
      </c>
      <c r="B363" s="232" t="str">
        <f>IF(AND(A363&lt;&gt;"",ISNUMBER(A363)),VLOOKUP(A363,Studies!A:BR,2,FALSE),"")</f>
        <v>Healy 1987</v>
      </c>
      <c r="C363" s="232" t="str">
        <f>IF(AND(A363&lt;&gt;"",ISNUMBER(A363)),VLOOKUP(A363,Studies!A:BR,3,FALSE),"")</f>
        <v>https://www.ncbi.nlm.nih.gov/pubmed/3579256</v>
      </c>
      <c r="D363" s="232" t="str">
        <f>IF(AND(A363&lt;&gt;"",ISNUMBER(A363)),VLOOKUP(A363,Studies!A:BR,4,FALSE),"")</f>
        <v>mean 0.5g</v>
      </c>
      <c r="E363" s="206" t="str">
        <f>IF(AND(A363&lt;&gt;"",ISNUMBER(A363)),VLOOKUP(A363,Studies!A:BR,5,FALSE),"")</f>
        <v>vancomycin</v>
      </c>
      <c r="F363" s="207" t="str">
        <f>IF(AND(A363&lt;&gt;"",ISNUMBER(A363)),VLOOKUP(A363,Studies!A:BR,6,FALSE),"")</f>
        <v>Plasma</v>
      </c>
      <c r="G363" s="194">
        <v>18.060199999999998</v>
      </c>
      <c r="H363" s="194" t="s">
        <v>60</v>
      </c>
      <c r="I363" s="187">
        <v>10.515790000000001</v>
      </c>
      <c r="J363" s="187" t="s">
        <v>1054</v>
      </c>
      <c r="K363" s="187" t="s">
        <v>116</v>
      </c>
      <c r="L363" s="195"/>
      <c r="M363" s="195"/>
      <c r="N363" s="195"/>
      <c r="O363" s="199"/>
      <c r="P363" s="188" t="s">
        <v>1113</v>
      </c>
      <c r="Q363" s="174">
        <f>IF(ISNUMBER(VLOOKUP(A363,NotghiID!A:A,1,FALSE)),1,0)</f>
        <v>0</v>
      </c>
    </row>
    <row r="364" spans="1:17" ht="14.25" x14ac:dyDescent="0.2">
      <c r="A364" s="183">
        <v>241</v>
      </c>
      <c r="B364" s="232" t="str">
        <f>IF(AND(A364&lt;&gt;"",ISNUMBER(A364)),VLOOKUP(A364,Studies!A:BR,2,FALSE),"")</f>
        <v>Healy 1987</v>
      </c>
      <c r="C364" s="232" t="str">
        <f>IF(AND(A364&lt;&gt;"",ISNUMBER(A364)),VLOOKUP(A364,Studies!A:BR,3,FALSE),"")</f>
        <v>https://www.ncbi.nlm.nih.gov/pubmed/3579256</v>
      </c>
      <c r="D364" s="232" t="str">
        <f>IF(AND(A364&lt;&gt;"",ISNUMBER(A364)),VLOOKUP(A364,Studies!A:BR,4,FALSE),"")</f>
        <v>mean 0.5g</v>
      </c>
      <c r="E364" s="206" t="str">
        <f>IF(AND(A364&lt;&gt;"",ISNUMBER(A364)),VLOOKUP(A364,Studies!A:BR,5,FALSE),"")</f>
        <v>vancomycin</v>
      </c>
      <c r="F364" s="207" t="str">
        <f>IF(AND(A364&lt;&gt;"",ISNUMBER(A364)),VLOOKUP(A364,Studies!A:BR,6,FALSE),"")</f>
        <v>Plasma</v>
      </c>
      <c r="G364" s="194">
        <v>23.779260000000001</v>
      </c>
      <c r="H364" s="194" t="s">
        <v>60</v>
      </c>
      <c r="I364" s="187">
        <v>11.17895</v>
      </c>
      <c r="J364" s="187" t="s">
        <v>1054</v>
      </c>
      <c r="K364" s="187" t="s">
        <v>116</v>
      </c>
      <c r="L364" s="195"/>
      <c r="M364" s="195"/>
      <c r="N364" s="195"/>
      <c r="O364" s="199"/>
      <c r="P364" s="188" t="s">
        <v>1113</v>
      </c>
      <c r="Q364" s="174">
        <f>IF(ISNUMBER(VLOOKUP(A364,NotghiID!A:A,1,FALSE)),1,0)</f>
        <v>0</v>
      </c>
    </row>
    <row r="365" spans="1:17" ht="14.25" x14ac:dyDescent="0.2">
      <c r="A365" s="183">
        <v>241</v>
      </c>
      <c r="B365" s="232" t="str">
        <f>IF(AND(A365&lt;&gt;"",ISNUMBER(A365)),VLOOKUP(A365,Studies!A:BR,2,FALSE),"")</f>
        <v>Healy 1987</v>
      </c>
      <c r="C365" s="232" t="str">
        <f>IF(AND(A365&lt;&gt;"",ISNUMBER(A365)),VLOOKUP(A365,Studies!A:BR,3,FALSE),"")</f>
        <v>https://www.ncbi.nlm.nih.gov/pubmed/3579256</v>
      </c>
      <c r="D365" s="232" t="str">
        <f>IF(AND(A365&lt;&gt;"",ISNUMBER(A365)),VLOOKUP(A365,Studies!A:BR,4,FALSE),"")</f>
        <v>mean 0.5g</v>
      </c>
      <c r="E365" s="206" t="str">
        <f>IF(AND(A365&lt;&gt;"",ISNUMBER(A365)),VLOOKUP(A365,Studies!A:BR,5,FALSE),"")</f>
        <v>vancomycin</v>
      </c>
      <c r="F365" s="207" t="str">
        <f>IF(AND(A365&lt;&gt;"",ISNUMBER(A365)),VLOOKUP(A365,Studies!A:BR,6,FALSE),"")</f>
        <v>Plasma</v>
      </c>
      <c r="G365" s="194">
        <v>24.882940000000001</v>
      </c>
      <c r="H365" s="194" t="s">
        <v>60</v>
      </c>
      <c r="I365" s="187">
        <v>40.168419999999998</v>
      </c>
      <c r="J365" s="187" t="s">
        <v>1054</v>
      </c>
      <c r="K365" s="187" t="s">
        <v>116</v>
      </c>
      <c r="L365" s="195"/>
      <c r="M365" s="195"/>
      <c r="N365" s="195"/>
      <c r="O365" s="199"/>
      <c r="P365" s="188" t="s">
        <v>1113</v>
      </c>
      <c r="Q365" s="174">
        <f>IF(ISNUMBER(VLOOKUP(A365,NotghiID!A:A,1,FALSE)),1,0)</f>
        <v>0</v>
      </c>
    </row>
    <row r="366" spans="1:17" ht="14.25" x14ac:dyDescent="0.2">
      <c r="A366" s="183">
        <v>241</v>
      </c>
      <c r="B366" s="232" t="str">
        <f>IF(AND(A366&lt;&gt;"",ISNUMBER(A366)),VLOOKUP(A366,Studies!A:BR,2,FALSE),"")</f>
        <v>Healy 1987</v>
      </c>
      <c r="C366" s="232" t="str">
        <f>IF(AND(A366&lt;&gt;"",ISNUMBER(A366)),VLOOKUP(A366,Studies!A:BR,3,FALSE),"")</f>
        <v>https://www.ncbi.nlm.nih.gov/pubmed/3579256</v>
      </c>
      <c r="D366" s="232" t="str">
        <f>IF(AND(A366&lt;&gt;"",ISNUMBER(A366)),VLOOKUP(A366,Studies!A:BR,4,FALSE),"")</f>
        <v>mean 0.5g</v>
      </c>
      <c r="E366" s="206" t="str">
        <f>IF(AND(A366&lt;&gt;"",ISNUMBER(A366)),VLOOKUP(A366,Studies!A:BR,5,FALSE),"")</f>
        <v>vancomycin</v>
      </c>
      <c r="F366" s="207" t="str">
        <f>IF(AND(A366&lt;&gt;"",ISNUMBER(A366)),VLOOKUP(A366,Studies!A:BR,6,FALSE),"")</f>
        <v>Plasma</v>
      </c>
      <c r="G366" s="194">
        <v>24.983280000000001</v>
      </c>
      <c r="H366" s="194" t="s">
        <v>60</v>
      </c>
      <c r="I366" s="187">
        <v>35.715789999999998</v>
      </c>
      <c r="J366" s="187" t="s">
        <v>1054</v>
      </c>
      <c r="K366" s="187" t="s">
        <v>116</v>
      </c>
      <c r="L366" s="195"/>
      <c r="M366" s="195"/>
      <c r="N366" s="195"/>
      <c r="O366" s="199"/>
      <c r="P366" s="188" t="s">
        <v>1113</v>
      </c>
      <c r="Q366" s="174">
        <f>IF(ISNUMBER(VLOOKUP(A366,NotghiID!A:A,1,FALSE)),1,0)</f>
        <v>0</v>
      </c>
    </row>
    <row r="367" spans="1:17" ht="14.25" x14ac:dyDescent="0.2">
      <c r="A367" s="183">
        <v>241</v>
      </c>
      <c r="B367" s="232" t="str">
        <f>IF(AND(A367&lt;&gt;"",ISNUMBER(A367)),VLOOKUP(A367,Studies!A:BR,2,FALSE),"")</f>
        <v>Healy 1987</v>
      </c>
      <c r="C367" s="232" t="str">
        <f>IF(AND(A367&lt;&gt;"",ISNUMBER(A367)),VLOOKUP(A367,Studies!A:BR,3,FALSE),"")</f>
        <v>https://www.ncbi.nlm.nih.gov/pubmed/3579256</v>
      </c>
      <c r="D367" s="232" t="str">
        <f>IF(AND(A367&lt;&gt;"",ISNUMBER(A367)),VLOOKUP(A367,Studies!A:BR,4,FALSE),"")</f>
        <v>mean 0.5g</v>
      </c>
      <c r="E367" s="206" t="str">
        <f>IF(AND(A367&lt;&gt;"",ISNUMBER(A367)),VLOOKUP(A367,Studies!A:BR,5,FALSE),"")</f>
        <v>vancomycin</v>
      </c>
      <c r="F367" s="207" t="str">
        <f>IF(AND(A367&lt;&gt;"",ISNUMBER(A367)),VLOOKUP(A367,Studies!A:BR,6,FALSE),"")</f>
        <v>Plasma</v>
      </c>
      <c r="G367" s="194">
        <v>25.284279999999999</v>
      </c>
      <c r="H367" s="194" t="s">
        <v>60</v>
      </c>
      <c r="I367" s="187">
        <v>32.115789999999997</v>
      </c>
      <c r="J367" s="187" t="s">
        <v>1054</v>
      </c>
      <c r="K367" s="187" t="s">
        <v>116</v>
      </c>
      <c r="L367" s="195"/>
      <c r="M367" s="195"/>
      <c r="N367" s="195"/>
      <c r="O367" s="199"/>
      <c r="P367" s="188" t="s">
        <v>1113</v>
      </c>
      <c r="Q367" s="174">
        <f>IF(ISNUMBER(VLOOKUP(A367,NotghiID!A:A,1,FALSE)),1,0)</f>
        <v>0</v>
      </c>
    </row>
    <row r="368" spans="1:17" ht="14.25" x14ac:dyDescent="0.2">
      <c r="A368" s="183">
        <v>241</v>
      </c>
      <c r="B368" s="232" t="str">
        <f>IF(AND(A368&lt;&gt;"",ISNUMBER(A368)),VLOOKUP(A368,Studies!A:BR,2,FALSE),"")</f>
        <v>Healy 1987</v>
      </c>
      <c r="C368" s="232" t="str">
        <f>IF(AND(A368&lt;&gt;"",ISNUMBER(A368)),VLOOKUP(A368,Studies!A:BR,3,FALSE),"")</f>
        <v>https://www.ncbi.nlm.nih.gov/pubmed/3579256</v>
      </c>
      <c r="D368" s="232" t="str">
        <f>IF(AND(A368&lt;&gt;"",ISNUMBER(A368)),VLOOKUP(A368,Studies!A:BR,4,FALSE),"")</f>
        <v>mean 0.5g</v>
      </c>
      <c r="E368" s="206" t="str">
        <f>IF(AND(A368&lt;&gt;"",ISNUMBER(A368)),VLOOKUP(A368,Studies!A:BR,5,FALSE),"")</f>
        <v>vancomycin</v>
      </c>
      <c r="F368" s="207" t="str">
        <f>IF(AND(A368&lt;&gt;"",ISNUMBER(A368)),VLOOKUP(A368,Studies!A:BR,6,FALSE),"")</f>
        <v>Plasma</v>
      </c>
      <c r="G368" s="194">
        <v>25.29</v>
      </c>
      <c r="H368" s="194" t="s">
        <v>60</v>
      </c>
      <c r="I368" s="187">
        <v>27.37895</v>
      </c>
      <c r="J368" s="187" t="s">
        <v>1054</v>
      </c>
      <c r="K368" s="187" t="s">
        <v>116</v>
      </c>
      <c r="L368" s="195"/>
      <c r="M368" s="195"/>
      <c r="N368" s="195"/>
      <c r="O368" s="199"/>
      <c r="P368" s="188" t="s">
        <v>1113</v>
      </c>
      <c r="Q368" s="174">
        <f>IF(ISNUMBER(VLOOKUP(A368,NotghiID!A:A,1,FALSE)),1,0)</f>
        <v>0</v>
      </c>
    </row>
    <row r="369" spans="1:17" ht="14.25" x14ac:dyDescent="0.2">
      <c r="A369" s="183">
        <v>241</v>
      </c>
      <c r="B369" s="232" t="str">
        <f>IF(AND(A369&lt;&gt;"",ISNUMBER(A369)),VLOOKUP(A369,Studies!A:BR,2,FALSE),"")</f>
        <v>Healy 1987</v>
      </c>
      <c r="C369" s="232" t="str">
        <f>IF(AND(A369&lt;&gt;"",ISNUMBER(A369)),VLOOKUP(A369,Studies!A:BR,3,FALSE),"")</f>
        <v>https://www.ncbi.nlm.nih.gov/pubmed/3579256</v>
      </c>
      <c r="D369" s="232" t="str">
        <f>IF(AND(A369&lt;&gt;"",ISNUMBER(A369)),VLOOKUP(A369,Studies!A:BR,4,FALSE),"")</f>
        <v>mean 0.5g</v>
      </c>
      <c r="E369" s="206" t="str">
        <f>IF(AND(A369&lt;&gt;"",ISNUMBER(A369)),VLOOKUP(A369,Studies!A:BR,5,FALSE),"")</f>
        <v>vancomycin</v>
      </c>
      <c r="F369" s="207" t="str">
        <f>IF(AND(A369&lt;&gt;"",ISNUMBER(A369)),VLOOKUP(A369,Studies!A:BR,6,FALSE),"")</f>
        <v>Plasma</v>
      </c>
      <c r="G369" s="194">
        <v>26.086960000000001</v>
      </c>
      <c r="H369" s="194" t="s">
        <v>60</v>
      </c>
      <c r="I369" s="187">
        <v>22.357890000000001</v>
      </c>
      <c r="J369" s="187" t="s">
        <v>1054</v>
      </c>
      <c r="K369" s="187" t="s">
        <v>116</v>
      </c>
      <c r="L369" s="195"/>
      <c r="M369" s="195"/>
      <c r="N369" s="195"/>
      <c r="O369" s="199"/>
      <c r="P369" s="188" t="s">
        <v>1113</v>
      </c>
      <c r="Q369" s="174">
        <f>IF(ISNUMBER(VLOOKUP(A369,NotghiID!A:A,1,FALSE)),1,0)</f>
        <v>0</v>
      </c>
    </row>
    <row r="370" spans="1:17" ht="14.25" x14ac:dyDescent="0.2">
      <c r="A370" s="183">
        <v>241</v>
      </c>
      <c r="B370" s="232" t="str">
        <f>IF(AND(A370&lt;&gt;"",ISNUMBER(A370)),VLOOKUP(A370,Studies!A:BR,2,FALSE),"")</f>
        <v>Healy 1987</v>
      </c>
      <c r="C370" s="232" t="str">
        <f>IF(AND(A370&lt;&gt;"",ISNUMBER(A370)),VLOOKUP(A370,Studies!A:BR,3,FALSE),"")</f>
        <v>https://www.ncbi.nlm.nih.gov/pubmed/3579256</v>
      </c>
      <c r="D370" s="232" t="str">
        <f>IF(AND(A370&lt;&gt;"",ISNUMBER(A370)),VLOOKUP(A370,Studies!A:BR,4,FALSE),"")</f>
        <v>mean 0.5g</v>
      </c>
      <c r="E370" s="206" t="str">
        <f>IF(AND(A370&lt;&gt;"",ISNUMBER(A370)),VLOOKUP(A370,Studies!A:BR,5,FALSE),"")</f>
        <v>vancomycin</v>
      </c>
      <c r="F370" s="207" t="str">
        <f>IF(AND(A370&lt;&gt;"",ISNUMBER(A370)),VLOOKUP(A370,Studies!A:BR,6,FALSE),"")</f>
        <v>Plasma</v>
      </c>
      <c r="G370" s="194">
        <v>26.488289999999999</v>
      </c>
      <c r="H370" s="194" t="s">
        <v>60</v>
      </c>
      <c r="I370" s="187">
        <v>19.8</v>
      </c>
      <c r="J370" s="187" t="s">
        <v>1054</v>
      </c>
      <c r="K370" s="187" t="s">
        <v>116</v>
      </c>
      <c r="L370" s="195"/>
      <c r="M370" s="195"/>
      <c r="N370" s="195"/>
      <c r="O370" s="199"/>
      <c r="P370" s="188" t="s">
        <v>1113</v>
      </c>
      <c r="Q370" s="174">
        <f>IF(ISNUMBER(VLOOKUP(A370,NotghiID!A:A,1,FALSE)),1,0)</f>
        <v>0</v>
      </c>
    </row>
    <row r="371" spans="1:17" ht="14.25" x14ac:dyDescent="0.2">
      <c r="A371" s="183">
        <v>241</v>
      </c>
      <c r="B371" s="232" t="str">
        <f>IF(AND(A371&lt;&gt;"",ISNUMBER(A371)),VLOOKUP(A371,Studies!A:BR,2,FALSE),"")</f>
        <v>Healy 1987</v>
      </c>
      <c r="C371" s="232" t="str">
        <f>IF(AND(A371&lt;&gt;"",ISNUMBER(A371)),VLOOKUP(A371,Studies!A:BR,3,FALSE),"")</f>
        <v>https://www.ncbi.nlm.nih.gov/pubmed/3579256</v>
      </c>
      <c r="D371" s="232" t="str">
        <f>IF(AND(A371&lt;&gt;"",ISNUMBER(A371)),VLOOKUP(A371,Studies!A:BR,4,FALSE),"")</f>
        <v>mean 0.5g</v>
      </c>
      <c r="E371" s="206" t="str">
        <f>IF(AND(A371&lt;&gt;"",ISNUMBER(A371)),VLOOKUP(A371,Studies!A:BR,5,FALSE),"")</f>
        <v>vancomycin</v>
      </c>
      <c r="F371" s="207" t="str">
        <f>IF(AND(A371&lt;&gt;"",ISNUMBER(A371)),VLOOKUP(A371,Studies!A:BR,6,FALSE),"")</f>
        <v>Plasma</v>
      </c>
      <c r="G371" s="194">
        <v>26.98997</v>
      </c>
      <c r="H371" s="194" t="s">
        <v>60</v>
      </c>
      <c r="I371" s="187">
        <v>17.24211</v>
      </c>
      <c r="J371" s="187" t="s">
        <v>1054</v>
      </c>
      <c r="K371" s="187" t="s">
        <v>116</v>
      </c>
      <c r="L371" s="195"/>
      <c r="M371" s="195"/>
      <c r="N371" s="195"/>
      <c r="O371" s="199"/>
      <c r="P371" s="188" t="s">
        <v>1113</v>
      </c>
      <c r="Q371" s="174">
        <f>IF(ISNUMBER(VLOOKUP(A371,NotghiID!A:A,1,FALSE)),1,0)</f>
        <v>0</v>
      </c>
    </row>
    <row r="372" spans="1:17" ht="14.25" x14ac:dyDescent="0.2">
      <c r="A372" s="183">
        <v>241</v>
      </c>
      <c r="B372" s="232" t="str">
        <f>IF(AND(A372&lt;&gt;"",ISNUMBER(A372)),VLOOKUP(A372,Studies!A:BR,2,FALSE),"")</f>
        <v>Healy 1987</v>
      </c>
      <c r="C372" s="232" t="str">
        <f>IF(AND(A372&lt;&gt;"",ISNUMBER(A372)),VLOOKUP(A372,Studies!A:BR,3,FALSE),"")</f>
        <v>https://www.ncbi.nlm.nih.gov/pubmed/3579256</v>
      </c>
      <c r="D372" s="232" t="str">
        <f>IF(AND(A372&lt;&gt;"",ISNUMBER(A372)),VLOOKUP(A372,Studies!A:BR,4,FALSE),"")</f>
        <v>mean 0.5g</v>
      </c>
      <c r="E372" s="206" t="str">
        <f>IF(AND(A372&lt;&gt;"",ISNUMBER(A372)),VLOOKUP(A372,Studies!A:BR,5,FALSE),"")</f>
        <v>vancomycin</v>
      </c>
      <c r="F372" s="207" t="str">
        <f>IF(AND(A372&lt;&gt;"",ISNUMBER(A372)),VLOOKUP(A372,Studies!A:BR,6,FALSE),"")</f>
        <v>Plasma</v>
      </c>
      <c r="G372" s="194">
        <v>27.59197</v>
      </c>
      <c r="H372" s="194" t="s">
        <v>60</v>
      </c>
      <c r="I372" s="187">
        <v>15.726319999999999</v>
      </c>
      <c r="J372" s="187" t="s">
        <v>1054</v>
      </c>
      <c r="K372" s="187" t="s">
        <v>116</v>
      </c>
      <c r="L372" s="195"/>
      <c r="M372" s="195"/>
      <c r="N372" s="195"/>
      <c r="O372" s="199"/>
      <c r="P372" s="188" t="s">
        <v>1113</v>
      </c>
      <c r="Q372" s="174">
        <f>IF(ISNUMBER(VLOOKUP(A372,NotghiID!A:A,1,FALSE)),1,0)</f>
        <v>0</v>
      </c>
    </row>
    <row r="373" spans="1:17" ht="14.25" x14ac:dyDescent="0.2">
      <c r="A373" s="183">
        <v>241</v>
      </c>
      <c r="B373" s="232" t="str">
        <f>IF(AND(A373&lt;&gt;"",ISNUMBER(A373)),VLOOKUP(A373,Studies!A:BR,2,FALSE),"")</f>
        <v>Healy 1987</v>
      </c>
      <c r="C373" s="232" t="str">
        <f>IF(AND(A373&lt;&gt;"",ISNUMBER(A373)),VLOOKUP(A373,Studies!A:BR,3,FALSE),"")</f>
        <v>https://www.ncbi.nlm.nih.gov/pubmed/3579256</v>
      </c>
      <c r="D373" s="232" t="str">
        <f>IF(AND(A373&lt;&gt;"",ISNUMBER(A373)),VLOOKUP(A373,Studies!A:BR,4,FALSE),"")</f>
        <v>mean 0.5g</v>
      </c>
      <c r="E373" s="206" t="str">
        <f>IF(AND(A373&lt;&gt;"",ISNUMBER(A373)),VLOOKUP(A373,Studies!A:BR,5,FALSE),"")</f>
        <v>vancomycin</v>
      </c>
      <c r="F373" s="207" t="str">
        <f>IF(AND(A373&lt;&gt;"",ISNUMBER(A373)),VLOOKUP(A373,Studies!A:BR,6,FALSE),"")</f>
        <v>Plasma</v>
      </c>
      <c r="G373" s="194">
        <v>27.792639999999999</v>
      </c>
      <c r="H373" s="194" t="s">
        <v>60</v>
      </c>
      <c r="I373" s="187">
        <v>14.49474</v>
      </c>
      <c r="J373" s="187" t="s">
        <v>1054</v>
      </c>
      <c r="K373" s="187" t="s">
        <v>116</v>
      </c>
      <c r="L373" s="195"/>
      <c r="M373" s="195"/>
      <c r="N373" s="195"/>
      <c r="O373" s="199"/>
      <c r="P373" s="188" t="s">
        <v>1113</v>
      </c>
      <c r="Q373" s="174">
        <f>IF(ISNUMBER(VLOOKUP(A373,NotghiID!A:A,1,FALSE)),1,0)</f>
        <v>0</v>
      </c>
    </row>
    <row r="374" spans="1:17" ht="14.25" x14ac:dyDescent="0.2">
      <c r="A374" s="183">
        <v>241</v>
      </c>
      <c r="B374" s="232" t="str">
        <f>IF(AND(A374&lt;&gt;"",ISNUMBER(A374)),VLOOKUP(A374,Studies!A:BR,2,FALSE),"")</f>
        <v>Healy 1987</v>
      </c>
      <c r="C374" s="232" t="str">
        <f>IF(AND(A374&lt;&gt;"",ISNUMBER(A374)),VLOOKUP(A374,Studies!A:BR,3,FALSE),"")</f>
        <v>https://www.ncbi.nlm.nih.gov/pubmed/3579256</v>
      </c>
      <c r="D374" s="232" t="str">
        <f>IF(AND(A374&lt;&gt;"",ISNUMBER(A374)),VLOOKUP(A374,Studies!A:BR,4,FALSE),"")</f>
        <v>mean 0.5g</v>
      </c>
      <c r="E374" s="206" t="str">
        <f>IF(AND(A374&lt;&gt;"",ISNUMBER(A374)),VLOOKUP(A374,Studies!A:BR,5,FALSE),"")</f>
        <v>vancomycin</v>
      </c>
      <c r="F374" s="207" t="str">
        <f>IF(AND(A374&lt;&gt;"",ISNUMBER(A374)),VLOOKUP(A374,Studies!A:BR,6,FALSE),"")</f>
        <v>Plasma</v>
      </c>
      <c r="G374" s="194">
        <v>28.79599</v>
      </c>
      <c r="H374" s="194" t="s">
        <v>60</v>
      </c>
      <c r="I374" s="187">
        <v>11.74737</v>
      </c>
      <c r="J374" s="187" t="s">
        <v>1054</v>
      </c>
      <c r="K374" s="187" t="s">
        <v>116</v>
      </c>
      <c r="L374" s="195"/>
      <c r="M374" s="195"/>
      <c r="N374" s="195"/>
      <c r="O374" s="199"/>
      <c r="P374" s="188" t="s">
        <v>1113</v>
      </c>
      <c r="Q374" s="174">
        <f>IF(ISNUMBER(VLOOKUP(A374,NotghiID!A:A,1,FALSE)),1,0)</f>
        <v>0</v>
      </c>
    </row>
    <row r="375" spans="1:17" ht="14.25" x14ac:dyDescent="0.2">
      <c r="A375" s="183">
        <v>241</v>
      </c>
      <c r="B375" s="232" t="str">
        <f>IF(AND(A375&lt;&gt;"",ISNUMBER(A375)),VLOOKUP(A375,Studies!A:BR,2,FALSE),"")</f>
        <v>Healy 1987</v>
      </c>
      <c r="C375" s="232" t="str">
        <f>IF(AND(A375&lt;&gt;"",ISNUMBER(A375)),VLOOKUP(A375,Studies!A:BR,3,FALSE),"")</f>
        <v>https://www.ncbi.nlm.nih.gov/pubmed/3579256</v>
      </c>
      <c r="D375" s="232" t="str">
        <f>IF(AND(A375&lt;&gt;"",ISNUMBER(A375)),VLOOKUP(A375,Studies!A:BR,4,FALSE),"")</f>
        <v>mean 0.5g</v>
      </c>
      <c r="E375" s="206" t="str">
        <f>IF(AND(A375&lt;&gt;"",ISNUMBER(A375)),VLOOKUP(A375,Studies!A:BR,5,FALSE),"")</f>
        <v>vancomycin</v>
      </c>
      <c r="F375" s="207" t="str">
        <f>IF(AND(A375&lt;&gt;"",ISNUMBER(A375)),VLOOKUP(A375,Studies!A:BR,6,FALSE),"")</f>
        <v>Plasma</v>
      </c>
      <c r="G375" s="194">
        <v>30.903009999999998</v>
      </c>
      <c r="H375" s="194" t="s">
        <v>60</v>
      </c>
      <c r="I375" s="187">
        <v>9.0947370000000003</v>
      </c>
      <c r="J375" s="187" t="s">
        <v>1054</v>
      </c>
      <c r="K375" s="187" t="s">
        <v>116</v>
      </c>
      <c r="L375" s="195"/>
      <c r="M375" s="195"/>
      <c r="N375" s="195"/>
      <c r="O375" s="199"/>
      <c r="P375" s="188" t="s">
        <v>1113</v>
      </c>
      <c r="Q375" s="174">
        <f>IF(ISNUMBER(VLOOKUP(A375,NotghiID!A:A,1,FALSE)),1,0)</f>
        <v>0</v>
      </c>
    </row>
    <row r="376" spans="1:17" ht="14.25" x14ac:dyDescent="0.2">
      <c r="A376" s="183">
        <v>241</v>
      </c>
      <c r="B376" s="232" t="str">
        <f>IF(AND(A376&lt;&gt;"",ISNUMBER(A376)),VLOOKUP(A376,Studies!A:BR,2,FALSE),"")</f>
        <v>Healy 1987</v>
      </c>
      <c r="C376" s="232" t="str">
        <f>IF(AND(A376&lt;&gt;"",ISNUMBER(A376)),VLOOKUP(A376,Studies!A:BR,3,FALSE),"")</f>
        <v>https://www.ncbi.nlm.nih.gov/pubmed/3579256</v>
      </c>
      <c r="D376" s="232" t="str">
        <f>IF(AND(A376&lt;&gt;"",ISNUMBER(A376)),VLOOKUP(A376,Studies!A:BR,4,FALSE),"")</f>
        <v>mean 0.5g</v>
      </c>
      <c r="E376" s="206" t="str">
        <f>IF(AND(A376&lt;&gt;"",ISNUMBER(A376)),VLOOKUP(A376,Studies!A:BR,5,FALSE),"")</f>
        <v>vancomycin</v>
      </c>
      <c r="F376" s="207" t="str">
        <f>IF(AND(A376&lt;&gt;"",ISNUMBER(A376)),VLOOKUP(A376,Studies!A:BR,6,FALSE),"")</f>
        <v>Plasma</v>
      </c>
      <c r="G376" s="194">
        <v>33.01003</v>
      </c>
      <c r="H376" s="194" t="s">
        <v>60</v>
      </c>
      <c r="I376" s="187">
        <v>6.821053</v>
      </c>
      <c r="J376" s="187" t="s">
        <v>1054</v>
      </c>
      <c r="K376" s="187" t="s">
        <v>116</v>
      </c>
      <c r="L376" s="195"/>
      <c r="M376" s="195"/>
      <c r="N376" s="195"/>
      <c r="O376" s="199"/>
      <c r="P376" s="188" t="s">
        <v>1113</v>
      </c>
      <c r="Q376" s="174">
        <f>IF(ISNUMBER(VLOOKUP(A376,NotghiID!A:A,1,FALSE)),1,0)</f>
        <v>0</v>
      </c>
    </row>
    <row r="377" spans="1:17" ht="14.25" x14ac:dyDescent="0.2">
      <c r="A377" s="183">
        <v>241</v>
      </c>
      <c r="B377" s="232" t="str">
        <f>IF(AND(A377&lt;&gt;"",ISNUMBER(A377)),VLOOKUP(A377,Studies!A:BR,2,FALSE),"")</f>
        <v>Healy 1987</v>
      </c>
      <c r="C377" s="232" t="str">
        <f>IF(AND(A377&lt;&gt;"",ISNUMBER(A377)),VLOOKUP(A377,Studies!A:BR,3,FALSE),"")</f>
        <v>https://www.ncbi.nlm.nih.gov/pubmed/3579256</v>
      </c>
      <c r="D377" s="232" t="str">
        <f>IF(AND(A377&lt;&gt;"",ISNUMBER(A377)),VLOOKUP(A377,Studies!A:BR,4,FALSE),"")</f>
        <v>mean 0.5g</v>
      </c>
      <c r="E377" s="206" t="str">
        <f>IF(AND(A377&lt;&gt;"",ISNUMBER(A377)),VLOOKUP(A377,Studies!A:BR,5,FALSE),"")</f>
        <v>vancomycin</v>
      </c>
      <c r="F377" s="207" t="str">
        <f>IF(AND(A377&lt;&gt;"",ISNUMBER(A377)),VLOOKUP(A377,Studies!A:BR,6,FALSE),"")</f>
        <v>Plasma</v>
      </c>
      <c r="G377" s="194">
        <v>36.923079999999999</v>
      </c>
      <c r="H377" s="194" t="s">
        <v>60</v>
      </c>
      <c r="I377" s="187">
        <v>4.3578950000000001</v>
      </c>
      <c r="J377" s="187" t="s">
        <v>1054</v>
      </c>
      <c r="K377" s="187" t="s">
        <v>116</v>
      </c>
      <c r="L377" s="195"/>
      <c r="M377" s="195"/>
      <c r="N377" s="195"/>
      <c r="O377" s="199"/>
      <c r="P377" s="188" t="s">
        <v>1113</v>
      </c>
      <c r="Q377" s="174">
        <f>IF(ISNUMBER(VLOOKUP(A377,NotghiID!A:A,1,FALSE)),1,0)</f>
        <v>0</v>
      </c>
    </row>
    <row r="378" spans="1:17" ht="14.25" x14ac:dyDescent="0.2">
      <c r="A378" s="183">
        <v>241</v>
      </c>
      <c r="B378" s="232" t="str">
        <f>IF(AND(A378&lt;&gt;"",ISNUMBER(A378)),VLOOKUP(A378,Studies!A:BR,2,FALSE),"")</f>
        <v>Healy 1987</v>
      </c>
      <c r="C378" s="232" t="str">
        <f>IF(AND(A378&lt;&gt;"",ISNUMBER(A378)),VLOOKUP(A378,Studies!A:BR,3,FALSE),"")</f>
        <v>https://www.ncbi.nlm.nih.gov/pubmed/3579256</v>
      </c>
      <c r="D378" s="232" t="str">
        <f>IF(AND(A378&lt;&gt;"",ISNUMBER(A378)),VLOOKUP(A378,Studies!A:BR,4,FALSE),"")</f>
        <v>mean 0.5g</v>
      </c>
      <c r="E378" s="206" t="str">
        <f>IF(AND(A378&lt;&gt;"",ISNUMBER(A378)),VLOOKUP(A378,Studies!A:BR,5,FALSE),"")</f>
        <v>vancomycin</v>
      </c>
      <c r="F378" s="207" t="str">
        <f>IF(AND(A378&lt;&gt;"",ISNUMBER(A378)),VLOOKUP(A378,Studies!A:BR,6,FALSE),"")</f>
        <v>Plasma</v>
      </c>
      <c r="G378" s="194">
        <v>40.735790000000001</v>
      </c>
      <c r="H378" s="194" t="s">
        <v>60</v>
      </c>
      <c r="I378" s="187">
        <v>2.936842</v>
      </c>
      <c r="J378" s="187" t="s">
        <v>1054</v>
      </c>
      <c r="K378" s="187" t="s">
        <v>116</v>
      </c>
      <c r="L378" s="195"/>
      <c r="M378" s="195"/>
      <c r="N378" s="195"/>
      <c r="O378" s="199"/>
      <c r="P378" s="188" t="s">
        <v>1113</v>
      </c>
      <c r="Q378" s="174">
        <f>IF(ISNUMBER(VLOOKUP(A378,NotghiID!A:A,1,FALSE)),1,0)</f>
        <v>0</v>
      </c>
    </row>
    <row r="379" spans="1:17" ht="14.25" x14ac:dyDescent="0.2">
      <c r="A379" s="183">
        <v>241</v>
      </c>
      <c r="B379" s="232" t="str">
        <f>IF(AND(A379&lt;&gt;"",ISNUMBER(A379)),VLOOKUP(A379,Studies!A:BR,2,FALSE),"")</f>
        <v>Healy 1987</v>
      </c>
      <c r="C379" s="232" t="str">
        <f>IF(AND(A379&lt;&gt;"",ISNUMBER(A379)),VLOOKUP(A379,Studies!A:BR,3,FALSE),"")</f>
        <v>https://www.ncbi.nlm.nih.gov/pubmed/3579256</v>
      </c>
      <c r="D379" s="232" t="str">
        <f>IF(AND(A379&lt;&gt;"",ISNUMBER(A379)),VLOOKUP(A379,Studies!A:BR,4,FALSE),"")</f>
        <v>mean 0.5g</v>
      </c>
      <c r="E379" s="206" t="str">
        <f>IF(AND(A379&lt;&gt;"",ISNUMBER(A379)),VLOOKUP(A379,Studies!A:BR,5,FALSE),"")</f>
        <v>vancomycin</v>
      </c>
      <c r="F379" s="207" t="str">
        <f>IF(AND(A379&lt;&gt;"",ISNUMBER(A379)),VLOOKUP(A379,Studies!A:BR,6,FALSE),"")</f>
        <v>Plasma</v>
      </c>
      <c r="G379" s="194">
        <v>48.762540000000001</v>
      </c>
      <c r="H379" s="194" t="s">
        <v>60</v>
      </c>
      <c r="I379" s="187">
        <v>1.6105259999999999</v>
      </c>
      <c r="J379" s="187" t="s">
        <v>1054</v>
      </c>
      <c r="K379" s="187" t="s">
        <v>116</v>
      </c>
      <c r="L379" s="195"/>
      <c r="M379" s="195"/>
      <c r="N379" s="195"/>
      <c r="O379" s="199"/>
      <c r="P379" s="188" t="s">
        <v>1113</v>
      </c>
      <c r="Q379" s="174">
        <f>IF(ISNUMBER(VLOOKUP(A379,NotghiID!A:A,1,FALSE)),1,0)</f>
        <v>0</v>
      </c>
    </row>
    <row r="380" spans="1:17" ht="14.25" x14ac:dyDescent="0.2">
      <c r="A380" s="183">
        <v>241</v>
      </c>
      <c r="B380" s="232" t="str">
        <f>IF(AND(A380&lt;&gt;"",ISNUMBER(A380)),VLOOKUP(A380,Studies!A:BR,2,FALSE),"")</f>
        <v>Healy 1987</v>
      </c>
      <c r="C380" s="232" t="str">
        <f>IF(AND(A380&lt;&gt;"",ISNUMBER(A380)),VLOOKUP(A380,Studies!A:BR,3,FALSE),"")</f>
        <v>https://www.ncbi.nlm.nih.gov/pubmed/3579256</v>
      </c>
      <c r="D380" s="232" t="str">
        <f>IF(AND(A380&lt;&gt;"",ISNUMBER(A380)),VLOOKUP(A380,Studies!A:BR,4,FALSE),"")</f>
        <v>mean 0.5g</v>
      </c>
      <c r="E380" s="206" t="str">
        <f>IF(AND(A380&lt;&gt;"",ISNUMBER(A380)),VLOOKUP(A380,Studies!A:BR,5,FALSE),"")</f>
        <v>vancomycin</v>
      </c>
      <c r="F380" s="207" t="str">
        <f>IF(AND(A380&lt;&gt;"",ISNUMBER(A380)),VLOOKUP(A380,Studies!A:BR,6,FALSE),"")</f>
        <v>Plasma</v>
      </c>
      <c r="G380" s="194">
        <v>54.882939999999998</v>
      </c>
      <c r="H380" s="194" t="s">
        <v>60</v>
      </c>
      <c r="I380" s="187">
        <v>0.85263160000000005</v>
      </c>
      <c r="J380" s="187" t="s">
        <v>1054</v>
      </c>
      <c r="K380" s="187" t="s">
        <v>116</v>
      </c>
      <c r="L380" s="195"/>
      <c r="M380" s="195"/>
      <c r="N380" s="195"/>
      <c r="O380" s="199"/>
      <c r="P380" s="188" t="s">
        <v>1113</v>
      </c>
      <c r="Q380" s="174">
        <f>IF(ISNUMBER(VLOOKUP(A380,NotghiID!A:A,1,FALSE)),1,0)</f>
        <v>0</v>
      </c>
    </row>
    <row r="381" spans="1:17" ht="14.25" x14ac:dyDescent="0.2">
      <c r="A381" s="183">
        <v>241</v>
      </c>
      <c r="B381" s="232" t="str">
        <f>IF(AND(A381&lt;&gt;"",ISNUMBER(A381)),VLOOKUP(A381,Studies!A:BR,2,FALSE),"")</f>
        <v>Healy 1987</v>
      </c>
      <c r="C381" s="232" t="str">
        <f>IF(AND(A381&lt;&gt;"",ISNUMBER(A381)),VLOOKUP(A381,Studies!A:BR,3,FALSE),"")</f>
        <v>https://www.ncbi.nlm.nih.gov/pubmed/3579256</v>
      </c>
      <c r="D381" s="232" t="str">
        <f>IF(AND(A381&lt;&gt;"",ISNUMBER(A381)),VLOOKUP(A381,Studies!A:BR,4,FALSE),"")</f>
        <v>mean 0.5g</v>
      </c>
      <c r="E381" s="206" t="str">
        <f>IF(AND(A381&lt;&gt;"",ISNUMBER(A381)),VLOOKUP(A381,Studies!A:BR,5,FALSE),"")</f>
        <v>vancomycin</v>
      </c>
      <c r="F381" s="207" t="str">
        <f>IF(AND(A381&lt;&gt;"",ISNUMBER(A381)),VLOOKUP(A381,Studies!A:BR,6,FALSE),"")</f>
        <v>Plasma</v>
      </c>
      <c r="G381" s="194">
        <v>61.003349999999998</v>
      </c>
      <c r="H381" s="194" t="s">
        <v>60</v>
      </c>
      <c r="I381" s="187">
        <v>0.4736842</v>
      </c>
      <c r="J381" s="187" t="s">
        <v>1054</v>
      </c>
      <c r="K381" s="187" t="s">
        <v>116</v>
      </c>
      <c r="L381" s="195"/>
      <c r="M381" s="195"/>
      <c r="N381" s="195"/>
      <c r="O381" s="199"/>
      <c r="P381" s="188" t="s">
        <v>1113</v>
      </c>
      <c r="Q381" s="174">
        <f>IF(ISNUMBER(VLOOKUP(A381,NotghiID!A:A,1,FALSE)),1,0)</f>
        <v>0</v>
      </c>
    </row>
    <row r="382" spans="1:17" ht="14.25" x14ac:dyDescent="0.2">
      <c r="A382" s="183">
        <v>242</v>
      </c>
      <c r="B382" s="232" t="str">
        <f>IF(AND(A382&lt;&gt;"",ISNUMBER(A382)),VLOOKUP(A382,Studies!A:BR,2,FALSE),"")</f>
        <v>Healy 1987</v>
      </c>
      <c r="C382" s="232" t="str">
        <f>IF(AND(A382&lt;&gt;"",ISNUMBER(A382)),VLOOKUP(A382,Studies!A:BR,3,FALSE),"")</f>
        <v>https://www.ncbi.nlm.nih.gov/pubmed/3579256</v>
      </c>
      <c r="D382" s="232" t="str">
        <f>IF(AND(A382&lt;&gt;"",ISNUMBER(A382)),VLOOKUP(A382,Studies!A:BR,4,FALSE),"")</f>
        <v>mean 1g</v>
      </c>
      <c r="E382" s="206" t="str">
        <f>IF(AND(A382&lt;&gt;"",ISNUMBER(A382)),VLOOKUP(A382,Studies!A:BR,5,FALSE),"")</f>
        <v>vancomycin</v>
      </c>
      <c r="F382" s="207" t="str">
        <f>IF(AND(A382&lt;&gt;"",ISNUMBER(A382)),VLOOKUP(A382,Studies!A:BR,6,FALSE),"")</f>
        <v>Plasma</v>
      </c>
      <c r="G382" s="194">
        <v>0</v>
      </c>
      <c r="H382" s="194" t="s">
        <v>60</v>
      </c>
      <c r="I382" s="187">
        <v>0.1458333</v>
      </c>
      <c r="J382" s="187" t="s">
        <v>1054</v>
      </c>
      <c r="K382" s="187" t="s">
        <v>116</v>
      </c>
      <c r="L382" s="195"/>
      <c r="M382" s="195"/>
      <c r="N382" s="195"/>
      <c r="O382" s="199"/>
      <c r="P382" s="188" t="s">
        <v>1113</v>
      </c>
      <c r="Q382" s="174">
        <f>IF(ISNUMBER(VLOOKUP(A382,NotghiID!A:A,1,FALSE)),1,0)</f>
        <v>0</v>
      </c>
    </row>
    <row r="383" spans="1:17" ht="14.25" x14ac:dyDescent="0.2">
      <c r="A383" s="183">
        <v>242</v>
      </c>
      <c r="B383" s="232" t="str">
        <f>IF(AND(A383&lt;&gt;"",ISNUMBER(A383)),VLOOKUP(A383,Studies!A:BR,2,FALSE),"")</f>
        <v>Healy 1987</v>
      </c>
      <c r="C383" s="232" t="str">
        <f>IF(AND(A383&lt;&gt;"",ISNUMBER(A383)),VLOOKUP(A383,Studies!A:BR,3,FALSE),"")</f>
        <v>https://www.ncbi.nlm.nih.gov/pubmed/3579256</v>
      </c>
      <c r="D383" s="232" t="str">
        <f>IF(AND(A383&lt;&gt;"",ISNUMBER(A383)),VLOOKUP(A383,Studies!A:BR,4,FALSE),"")</f>
        <v>mean 1g</v>
      </c>
      <c r="E383" s="206" t="str">
        <f>IF(AND(A383&lt;&gt;"",ISNUMBER(A383)),VLOOKUP(A383,Studies!A:BR,5,FALSE),"")</f>
        <v>vancomycin</v>
      </c>
      <c r="F383" s="207" t="str">
        <f>IF(AND(A383&lt;&gt;"",ISNUMBER(A383)),VLOOKUP(A383,Studies!A:BR,6,FALSE),"")</f>
        <v>Plasma</v>
      </c>
      <c r="G383" s="194">
        <v>0.89108909999999997</v>
      </c>
      <c r="H383" s="194" t="s">
        <v>60</v>
      </c>
      <c r="I383" s="187">
        <v>63.4375</v>
      </c>
      <c r="J383" s="187" t="s">
        <v>1054</v>
      </c>
      <c r="K383" s="187" t="s">
        <v>116</v>
      </c>
      <c r="L383" s="195"/>
      <c r="M383" s="195"/>
      <c r="N383" s="195"/>
      <c r="O383" s="199"/>
      <c r="P383" s="188" t="s">
        <v>1113</v>
      </c>
      <c r="Q383" s="174">
        <f>IF(ISNUMBER(VLOOKUP(A383,NotghiID!A:A,1,FALSE)),1,0)</f>
        <v>0</v>
      </c>
    </row>
    <row r="384" spans="1:17" ht="14.25" x14ac:dyDescent="0.2">
      <c r="A384" s="183">
        <v>242</v>
      </c>
      <c r="B384" s="232" t="str">
        <f>IF(AND(A384&lt;&gt;"",ISNUMBER(A384)),VLOOKUP(A384,Studies!A:BR,2,FALSE),"")</f>
        <v>Healy 1987</v>
      </c>
      <c r="C384" s="232" t="str">
        <f>IF(AND(A384&lt;&gt;"",ISNUMBER(A384)),VLOOKUP(A384,Studies!A:BR,3,FALSE),"")</f>
        <v>https://www.ncbi.nlm.nih.gov/pubmed/3579256</v>
      </c>
      <c r="D384" s="232" t="str">
        <f>IF(AND(A384&lt;&gt;"",ISNUMBER(A384)),VLOOKUP(A384,Studies!A:BR,4,FALSE),"")</f>
        <v>mean 1g</v>
      </c>
      <c r="E384" s="206" t="str">
        <f>IF(AND(A384&lt;&gt;"",ISNUMBER(A384)),VLOOKUP(A384,Studies!A:BR,5,FALSE),"")</f>
        <v>vancomycin</v>
      </c>
      <c r="F384" s="207" t="str">
        <f>IF(AND(A384&lt;&gt;"",ISNUMBER(A384)),VLOOKUP(A384,Studies!A:BR,6,FALSE),"")</f>
        <v>Plasma</v>
      </c>
      <c r="G384" s="194">
        <v>0.89600000000000002</v>
      </c>
      <c r="H384" s="194" t="s">
        <v>60</v>
      </c>
      <c r="I384" s="187">
        <v>53.666670000000003</v>
      </c>
      <c r="J384" s="187" t="s">
        <v>1054</v>
      </c>
      <c r="K384" s="187" t="s">
        <v>116</v>
      </c>
      <c r="L384" s="195"/>
      <c r="M384" s="195"/>
      <c r="N384" s="195"/>
      <c r="O384" s="199"/>
      <c r="P384" s="188" t="s">
        <v>1113</v>
      </c>
      <c r="Q384" s="174">
        <f>IF(ISNUMBER(VLOOKUP(A384,NotghiID!A:A,1,FALSE)),1,0)</f>
        <v>0</v>
      </c>
    </row>
    <row r="385" spans="1:17" ht="14.25" x14ac:dyDescent="0.2">
      <c r="A385" s="183">
        <v>242</v>
      </c>
      <c r="B385" s="232" t="str">
        <f>IF(AND(A385&lt;&gt;"",ISNUMBER(A385)),VLOOKUP(A385,Studies!A:BR,2,FALSE),"")</f>
        <v>Healy 1987</v>
      </c>
      <c r="C385" s="232" t="str">
        <f>IF(AND(A385&lt;&gt;"",ISNUMBER(A385)),VLOOKUP(A385,Studies!A:BR,3,FALSE),"")</f>
        <v>https://www.ncbi.nlm.nih.gov/pubmed/3579256</v>
      </c>
      <c r="D385" s="232" t="str">
        <f>IF(AND(A385&lt;&gt;"",ISNUMBER(A385)),VLOOKUP(A385,Studies!A:BR,4,FALSE),"")</f>
        <v>mean 1g</v>
      </c>
      <c r="E385" s="206" t="str">
        <f>IF(AND(A385&lt;&gt;"",ISNUMBER(A385)),VLOOKUP(A385,Studies!A:BR,5,FALSE),"")</f>
        <v>vancomycin</v>
      </c>
      <c r="F385" s="207" t="str">
        <f>IF(AND(A385&lt;&gt;"",ISNUMBER(A385)),VLOOKUP(A385,Studies!A:BR,6,FALSE),"")</f>
        <v>Plasma</v>
      </c>
      <c r="G385" s="194">
        <v>1.386139</v>
      </c>
      <c r="H385" s="194" t="s">
        <v>60</v>
      </c>
      <c r="I385" s="187">
        <v>46.229170000000003</v>
      </c>
      <c r="J385" s="187" t="s">
        <v>1054</v>
      </c>
      <c r="K385" s="187" t="s">
        <v>116</v>
      </c>
      <c r="L385" s="195"/>
      <c r="M385" s="195"/>
      <c r="N385" s="195"/>
      <c r="O385" s="199"/>
      <c r="P385" s="188" t="s">
        <v>1113</v>
      </c>
      <c r="Q385" s="174">
        <f>IF(ISNUMBER(VLOOKUP(A385,NotghiID!A:A,1,FALSE)),1,0)</f>
        <v>0</v>
      </c>
    </row>
    <row r="386" spans="1:17" ht="14.25" x14ac:dyDescent="0.2">
      <c r="A386" s="183">
        <v>242</v>
      </c>
      <c r="B386" s="232" t="str">
        <f>IF(AND(A386&lt;&gt;"",ISNUMBER(A386)),VLOOKUP(A386,Studies!A:BR,2,FALSE),"")</f>
        <v>Healy 1987</v>
      </c>
      <c r="C386" s="232" t="str">
        <f>IF(AND(A386&lt;&gt;"",ISNUMBER(A386)),VLOOKUP(A386,Studies!A:BR,3,FALSE),"")</f>
        <v>https://www.ncbi.nlm.nih.gov/pubmed/3579256</v>
      </c>
      <c r="D386" s="232" t="str">
        <f>IF(AND(A386&lt;&gt;"",ISNUMBER(A386)),VLOOKUP(A386,Studies!A:BR,4,FALSE),"")</f>
        <v>mean 1g</v>
      </c>
      <c r="E386" s="206" t="str">
        <f>IF(AND(A386&lt;&gt;"",ISNUMBER(A386)),VLOOKUP(A386,Studies!A:BR,5,FALSE),"")</f>
        <v>vancomycin</v>
      </c>
      <c r="F386" s="207" t="str">
        <f>IF(AND(A386&lt;&gt;"",ISNUMBER(A386)),VLOOKUP(A386,Studies!A:BR,6,FALSE),"")</f>
        <v>Plasma</v>
      </c>
      <c r="G386" s="194">
        <v>1.4851490000000001</v>
      </c>
      <c r="H386" s="194" t="s">
        <v>60</v>
      </c>
      <c r="I386" s="187">
        <v>38.0625</v>
      </c>
      <c r="J386" s="187" t="s">
        <v>1054</v>
      </c>
      <c r="K386" s="187" t="s">
        <v>116</v>
      </c>
      <c r="L386" s="195"/>
      <c r="M386" s="195"/>
      <c r="N386" s="195"/>
      <c r="O386" s="199"/>
      <c r="P386" s="188" t="s">
        <v>1113</v>
      </c>
      <c r="Q386" s="174">
        <f>IF(ISNUMBER(VLOOKUP(A386,NotghiID!A:A,1,FALSE)),1,0)</f>
        <v>0</v>
      </c>
    </row>
    <row r="387" spans="1:17" ht="14.25" x14ac:dyDescent="0.2">
      <c r="A387" s="183">
        <v>242</v>
      </c>
      <c r="B387" s="232" t="str">
        <f>IF(AND(A387&lt;&gt;"",ISNUMBER(A387)),VLOOKUP(A387,Studies!A:BR,2,FALSE),"")</f>
        <v>Healy 1987</v>
      </c>
      <c r="C387" s="232" t="str">
        <f>IF(AND(A387&lt;&gt;"",ISNUMBER(A387)),VLOOKUP(A387,Studies!A:BR,3,FALSE),"")</f>
        <v>https://www.ncbi.nlm.nih.gov/pubmed/3579256</v>
      </c>
      <c r="D387" s="232" t="str">
        <f>IF(AND(A387&lt;&gt;"",ISNUMBER(A387)),VLOOKUP(A387,Studies!A:BR,4,FALSE),"")</f>
        <v>mean 1g</v>
      </c>
      <c r="E387" s="206" t="str">
        <f>IF(AND(A387&lt;&gt;"",ISNUMBER(A387)),VLOOKUP(A387,Studies!A:BR,5,FALSE),"")</f>
        <v>vancomycin</v>
      </c>
      <c r="F387" s="207" t="str">
        <f>IF(AND(A387&lt;&gt;"",ISNUMBER(A387)),VLOOKUP(A387,Studies!A:BR,6,FALSE),"")</f>
        <v>Plasma</v>
      </c>
      <c r="G387" s="194">
        <v>1.8811880000000001</v>
      </c>
      <c r="H387" s="194" t="s">
        <v>60</v>
      </c>
      <c r="I387" s="187">
        <v>29.02083</v>
      </c>
      <c r="J387" s="187" t="s">
        <v>1054</v>
      </c>
      <c r="K387" s="187" t="s">
        <v>116</v>
      </c>
      <c r="L387" s="195"/>
      <c r="M387" s="195"/>
      <c r="N387" s="195"/>
      <c r="O387" s="199"/>
      <c r="P387" s="188" t="s">
        <v>1113</v>
      </c>
      <c r="Q387" s="174">
        <f>IF(ISNUMBER(VLOOKUP(A387,NotghiID!A:A,1,FALSE)),1,0)</f>
        <v>0</v>
      </c>
    </row>
    <row r="388" spans="1:17" ht="14.25" x14ac:dyDescent="0.2">
      <c r="A388" s="183">
        <v>242</v>
      </c>
      <c r="B388" s="232" t="str">
        <f>IF(AND(A388&lt;&gt;"",ISNUMBER(A388)),VLOOKUP(A388,Studies!A:BR,2,FALSE),"")</f>
        <v>Healy 1987</v>
      </c>
      <c r="C388" s="232" t="str">
        <f>IF(AND(A388&lt;&gt;"",ISNUMBER(A388)),VLOOKUP(A388,Studies!A:BR,3,FALSE),"")</f>
        <v>https://www.ncbi.nlm.nih.gov/pubmed/3579256</v>
      </c>
      <c r="D388" s="232" t="str">
        <f>IF(AND(A388&lt;&gt;"",ISNUMBER(A388)),VLOOKUP(A388,Studies!A:BR,4,FALSE),"")</f>
        <v>mean 1g</v>
      </c>
      <c r="E388" s="206" t="str">
        <f>IF(AND(A388&lt;&gt;"",ISNUMBER(A388)),VLOOKUP(A388,Studies!A:BR,5,FALSE),"")</f>
        <v>vancomycin</v>
      </c>
      <c r="F388" s="207" t="str">
        <f>IF(AND(A388&lt;&gt;"",ISNUMBER(A388)),VLOOKUP(A388,Studies!A:BR,6,FALSE),"")</f>
        <v>Plasma</v>
      </c>
      <c r="G388" s="194">
        <v>2.5742569999999998</v>
      </c>
      <c r="H388" s="194" t="s">
        <v>60</v>
      </c>
      <c r="I388" s="187">
        <v>24.0625</v>
      </c>
      <c r="J388" s="187" t="s">
        <v>1054</v>
      </c>
      <c r="K388" s="187" t="s">
        <v>116</v>
      </c>
      <c r="L388" s="195"/>
      <c r="M388" s="195"/>
      <c r="N388" s="195"/>
      <c r="O388" s="199"/>
      <c r="P388" s="188" t="s">
        <v>1113</v>
      </c>
      <c r="Q388" s="174">
        <f>IF(ISNUMBER(VLOOKUP(A388,NotghiID!A:A,1,FALSE)),1,0)</f>
        <v>0</v>
      </c>
    </row>
    <row r="389" spans="1:17" ht="14.25" x14ac:dyDescent="0.2">
      <c r="A389" s="183">
        <v>242</v>
      </c>
      <c r="B389" s="232" t="str">
        <f>IF(AND(A389&lt;&gt;"",ISNUMBER(A389)),VLOOKUP(A389,Studies!A:BR,2,FALSE),"")</f>
        <v>Healy 1987</v>
      </c>
      <c r="C389" s="232" t="str">
        <f>IF(AND(A389&lt;&gt;"",ISNUMBER(A389)),VLOOKUP(A389,Studies!A:BR,3,FALSE),"")</f>
        <v>https://www.ncbi.nlm.nih.gov/pubmed/3579256</v>
      </c>
      <c r="D389" s="232" t="str">
        <f>IF(AND(A389&lt;&gt;"",ISNUMBER(A389)),VLOOKUP(A389,Studies!A:BR,4,FALSE),"")</f>
        <v>mean 1g</v>
      </c>
      <c r="E389" s="206" t="str">
        <f>IF(AND(A389&lt;&gt;"",ISNUMBER(A389)),VLOOKUP(A389,Studies!A:BR,5,FALSE),"")</f>
        <v>vancomycin</v>
      </c>
      <c r="F389" s="207" t="str">
        <f>IF(AND(A389&lt;&gt;"",ISNUMBER(A389)),VLOOKUP(A389,Studies!A:BR,6,FALSE),"")</f>
        <v>Plasma</v>
      </c>
      <c r="G389" s="194">
        <v>2.8712870000000001</v>
      </c>
      <c r="H389" s="194" t="s">
        <v>60</v>
      </c>
      <c r="I389" s="187">
        <v>20.85417</v>
      </c>
      <c r="J389" s="187" t="s">
        <v>1054</v>
      </c>
      <c r="K389" s="187" t="s">
        <v>116</v>
      </c>
      <c r="L389" s="195"/>
      <c r="M389" s="195"/>
      <c r="N389" s="195"/>
      <c r="O389" s="199"/>
      <c r="P389" s="188" t="s">
        <v>1113</v>
      </c>
      <c r="Q389" s="174">
        <f>IF(ISNUMBER(VLOOKUP(A389,NotghiID!A:A,1,FALSE)),1,0)</f>
        <v>0</v>
      </c>
    </row>
    <row r="390" spans="1:17" ht="14.25" x14ac:dyDescent="0.2">
      <c r="A390" s="183">
        <v>242</v>
      </c>
      <c r="B390" s="232" t="str">
        <f>IF(AND(A390&lt;&gt;"",ISNUMBER(A390)),VLOOKUP(A390,Studies!A:BR,2,FALSE),"")</f>
        <v>Healy 1987</v>
      </c>
      <c r="C390" s="232" t="str">
        <f>IF(AND(A390&lt;&gt;"",ISNUMBER(A390)),VLOOKUP(A390,Studies!A:BR,3,FALSE),"")</f>
        <v>https://www.ncbi.nlm.nih.gov/pubmed/3579256</v>
      </c>
      <c r="D390" s="232" t="str">
        <f>IF(AND(A390&lt;&gt;"",ISNUMBER(A390)),VLOOKUP(A390,Studies!A:BR,4,FALSE),"")</f>
        <v>mean 1g</v>
      </c>
      <c r="E390" s="206" t="str">
        <f>IF(AND(A390&lt;&gt;"",ISNUMBER(A390)),VLOOKUP(A390,Studies!A:BR,5,FALSE),"")</f>
        <v>vancomycin</v>
      </c>
      <c r="F390" s="207" t="str">
        <f>IF(AND(A390&lt;&gt;"",ISNUMBER(A390)),VLOOKUP(A390,Studies!A:BR,6,FALSE),"")</f>
        <v>Plasma</v>
      </c>
      <c r="G390" s="194">
        <v>3.465347</v>
      </c>
      <c r="H390" s="194" t="s">
        <v>60</v>
      </c>
      <c r="I390" s="187">
        <v>18.375</v>
      </c>
      <c r="J390" s="187" t="s">
        <v>1054</v>
      </c>
      <c r="K390" s="187" t="s">
        <v>116</v>
      </c>
      <c r="L390" s="195"/>
      <c r="M390" s="195"/>
      <c r="N390" s="195"/>
      <c r="O390" s="199"/>
      <c r="P390" s="188" t="s">
        <v>1113</v>
      </c>
      <c r="Q390" s="174">
        <f>IF(ISNUMBER(VLOOKUP(A390,NotghiID!A:A,1,FALSE)),1,0)</f>
        <v>0</v>
      </c>
    </row>
    <row r="391" spans="1:17" ht="14.25" x14ac:dyDescent="0.2">
      <c r="A391" s="183">
        <v>242</v>
      </c>
      <c r="B391" s="232" t="str">
        <f>IF(AND(A391&lt;&gt;"",ISNUMBER(A391)),VLOOKUP(A391,Studies!A:BR,2,FALSE),"")</f>
        <v>Healy 1987</v>
      </c>
      <c r="C391" s="232" t="str">
        <f>IF(AND(A391&lt;&gt;"",ISNUMBER(A391)),VLOOKUP(A391,Studies!A:BR,3,FALSE),"")</f>
        <v>https://www.ncbi.nlm.nih.gov/pubmed/3579256</v>
      </c>
      <c r="D391" s="232" t="str">
        <f>IF(AND(A391&lt;&gt;"",ISNUMBER(A391)),VLOOKUP(A391,Studies!A:BR,4,FALSE),"")</f>
        <v>mean 1g</v>
      </c>
      <c r="E391" s="206" t="str">
        <f>IF(AND(A391&lt;&gt;"",ISNUMBER(A391)),VLOOKUP(A391,Studies!A:BR,5,FALSE),"")</f>
        <v>vancomycin</v>
      </c>
      <c r="F391" s="207" t="str">
        <f>IF(AND(A391&lt;&gt;"",ISNUMBER(A391)),VLOOKUP(A391,Studies!A:BR,6,FALSE),"")</f>
        <v>Plasma</v>
      </c>
      <c r="G391" s="194">
        <v>3.9603959999999998</v>
      </c>
      <c r="H391" s="194" t="s">
        <v>60</v>
      </c>
      <c r="I391" s="187">
        <v>15.75</v>
      </c>
      <c r="J391" s="187" t="s">
        <v>1054</v>
      </c>
      <c r="K391" s="187" t="s">
        <v>116</v>
      </c>
      <c r="L391" s="195"/>
      <c r="M391" s="195"/>
      <c r="N391" s="195"/>
      <c r="O391" s="199"/>
      <c r="P391" s="188" t="s">
        <v>1113</v>
      </c>
      <c r="Q391" s="174">
        <f>IF(ISNUMBER(VLOOKUP(A391,NotghiID!A:A,1,FALSE)),1,0)</f>
        <v>0</v>
      </c>
    </row>
    <row r="392" spans="1:17" ht="14.25" x14ac:dyDescent="0.2">
      <c r="A392" s="183">
        <v>242</v>
      </c>
      <c r="B392" s="232" t="str">
        <f>IF(AND(A392&lt;&gt;"",ISNUMBER(A392)),VLOOKUP(A392,Studies!A:BR,2,FALSE),"")</f>
        <v>Healy 1987</v>
      </c>
      <c r="C392" s="232" t="str">
        <f>IF(AND(A392&lt;&gt;"",ISNUMBER(A392)),VLOOKUP(A392,Studies!A:BR,3,FALSE),"")</f>
        <v>https://www.ncbi.nlm.nih.gov/pubmed/3579256</v>
      </c>
      <c r="D392" s="232" t="str">
        <f>IF(AND(A392&lt;&gt;"",ISNUMBER(A392)),VLOOKUP(A392,Studies!A:BR,4,FALSE),"")</f>
        <v>mean 1g</v>
      </c>
      <c r="E392" s="206" t="str">
        <f>IF(AND(A392&lt;&gt;"",ISNUMBER(A392)),VLOOKUP(A392,Studies!A:BR,5,FALSE),"")</f>
        <v>vancomycin</v>
      </c>
      <c r="F392" s="207" t="str">
        <f>IF(AND(A392&lt;&gt;"",ISNUMBER(A392)),VLOOKUP(A392,Studies!A:BR,6,FALSE),"")</f>
        <v>Plasma</v>
      </c>
      <c r="G392" s="194">
        <v>4.9504950000000001</v>
      </c>
      <c r="H392" s="194" t="s">
        <v>60</v>
      </c>
      <c r="I392" s="187">
        <v>12.83333</v>
      </c>
      <c r="J392" s="187" t="s">
        <v>1054</v>
      </c>
      <c r="K392" s="187" t="s">
        <v>116</v>
      </c>
      <c r="L392" s="195"/>
      <c r="M392" s="195"/>
      <c r="N392" s="195"/>
      <c r="O392" s="199"/>
      <c r="P392" s="188" t="s">
        <v>1113</v>
      </c>
      <c r="Q392" s="174">
        <f>IF(ISNUMBER(VLOOKUP(A392,NotghiID!A:A,1,FALSE)),1,0)</f>
        <v>0</v>
      </c>
    </row>
    <row r="393" spans="1:17" ht="14.25" x14ac:dyDescent="0.2">
      <c r="A393" s="183">
        <v>242</v>
      </c>
      <c r="B393" s="232" t="str">
        <f>IF(AND(A393&lt;&gt;"",ISNUMBER(A393)),VLOOKUP(A393,Studies!A:BR,2,FALSE),"")</f>
        <v>Healy 1987</v>
      </c>
      <c r="C393" s="232" t="str">
        <f>IF(AND(A393&lt;&gt;"",ISNUMBER(A393)),VLOOKUP(A393,Studies!A:BR,3,FALSE),"")</f>
        <v>https://www.ncbi.nlm.nih.gov/pubmed/3579256</v>
      </c>
      <c r="D393" s="232" t="str">
        <f>IF(AND(A393&lt;&gt;"",ISNUMBER(A393)),VLOOKUP(A393,Studies!A:BR,4,FALSE),"")</f>
        <v>mean 1g</v>
      </c>
      <c r="E393" s="206" t="str">
        <f>IF(AND(A393&lt;&gt;"",ISNUMBER(A393)),VLOOKUP(A393,Studies!A:BR,5,FALSE),"")</f>
        <v>vancomycin</v>
      </c>
      <c r="F393" s="207" t="str">
        <f>IF(AND(A393&lt;&gt;"",ISNUMBER(A393)),VLOOKUP(A393,Studies!A:BR,6,FALSE),"")</f>
        <v>Plasma</v>
      </c>
      <c r="G393" s="194">
        <v>6.9306929999999998</v>
      </c>
      <c r="H393" s="194" t="s">
        <v>60</v>
      </c>
      <c r="I393" s="187">
        <v>9.4791670000000003</v>
      </c>
      <c r="J393" s="187" t="s">
        <v>1054</v>
      </c>
      <c r="K393" s="187" t="s">
        <v>116</v>
      </c>
      <c r="L393" s="195"/>
      <c r="M393" s="195"/>
      <c r="N393" s="195"/>
      <c r="O393" s="199"/>
      <c r="P393" s="188" t="s">
        <v>1113</v>
      </c>
      <c r="Q393" s="174">
        <f>IF(ISNUMBER(VLOOKUP(A393,NotghiID!A:A,1,FALSE)),1,0)</f>
        <v>0</v>
      </c>
    </row>
    <row r="394" spans="1:17" ht="14.25" x14ac:dyDescent="0.2">
      <c r="A394" s="183">
        <v>242</v>
      </c>
      <c r="B394" s="232" t="str">
        <f>IF(AND(A394&lt;&gt;"",ISNUMBER(A394)),VLOOKUP(A394,Studies!A:BR,2,FALSE),"")</f>
        <v>Healy 1987</v>
      </c>
      <c r="C394" s="232" t="str">
        <f>IF(AND(A394&lt;&gt;"",ISNUMBER(A394)),VLOOKUP(A394,Studies!A:BR,3,FALSE),"")</f>
        <v>https://www.ncbi.nlm.nih.gov/pubmed/3579256</v>
      </c>
      <c r="D394" s="232" t="str">
        <f>IF(AND(A394&lt;&gt;"",ISNUMBER(A394)),VLOOKUP(A394,Studies!A:BR,4,FALSE),"")</f>
        <v>mean 1g</v>
      </c>
      <c r="E394" s="206" t="str">
        <f>IF(AND(A394&lt;&gt;"",ISNUMBER(A394)),VLOOKUP(A394,Studies!A:BR,5,FALSE),"")</f>
        <v>vancomycin</v>
      </c>
      <c r="F394" s="207" t="str">
        <f>IF(AND(A394&lt;&gt;"",ISNUMBER(A394)),VLOOKUP(A394,Studies!A:BR,6,FALSE),"")</f>
        <v>Plasma</v>
      </c>
      <c r="G394" s="194">
        <v>8.8118809999999996</v>
      </c>
      <c r="H394" s="194" t="s">
        <v>60</v>
      </c>
      <c r="I394" s="187">
        <v>6.5625</v>
      </c>
      <c r="J394" s="187" t="s">
        <v>1054</v>
      </c>
      <c r="K394" s="187" t="s">
        <v>116</v>
      </c>
      <c r="L394" s="195"/>
      <c r="M394" s="195"/>
      <c r="N394" s="195"/>
      <c r="O394" s="199"/>
      <c r="P394" s="188" t="s">
        <v>1113</v>
      </c>
      <c r="Q394" s="174">
        <f>IF(ISNUMBER(VLOOKUP(A394,NotghiID!A:A,1,FALSE)),1,0)</f>
        <v>0</v>
      </c>
    </row>
    <row r="395" spans="1:17" ht="14.25" x14ac:dyDescent="0.2">
      <c r="A395" s="183">
        <v>242</v>
      </c>
      <c r="B395" s="232" t="str">
        <f>IF(AND(A395&lt;&gt;"",ISNUMBER(A395)),VLOOKUP(A395,Studies!A:BR,2,FALSE),"")</f>
        <v>Healy 1987</v>
      </c>
      <c r="C395" s="232" t="str">
        <f>IF(AND(A395&lt;&gt;"",ISNUMBER(A395)),VLOOKUP(A395,Studies!A:BR,3,FALSE),"")</f>
        <v>https://www.ncbi.nlm.nih.gov/pubmed/3579256</v>
      </c>
      <c r="D395" s="232" t="str">
        <f>IF(AND(A395&lt;&gt;"",ISNUMBER(A395)),VLOOKUP(A395,Studies!A:BR,4,FALSE),"")</f>
        <v>mean 1g</v>
      </c>
      <c r="E395" s="206" t="str">
        <f>IF(AND(A395&lt;&gt;"",ISNUMBER(A395)),VLOOKUP(A395,Studies!A:BR,5,FALSE),"")</f>
        <v>vancomycin</v>
      </c>
      <c r="F395" s="207" t="str">
        <f>IF(AND(A395&lt;&gt;"",ISNUMBER(A395)),VLOOKUP(A395,Studies!A:BR,6,FALSE),"")</f>
        <v>Plasma</v>
      </c>
      <c r="G395" s="194">
        <v>11.9802</v>
      </c>
      <c r="H395" s="194" t="s">
        <v>60</v>
      </c>
      <c r="I395" s="187">
        <v>4.9583329999999997</v>
      </c>
      <c r="J395" s="187" t="s">
        <v>1054</v>
      </c>
      <c r="K395" s="187" t="s">
        <v>116</v>
      </c>
      <c r="L395" s="195"/>
      <c r="M395" s="195"/>
      <c r="N395" s="195"/>
      <c r="O395" s="199"/>
      <c r="P395" s="188" t="s">
        <v>1113</v>
      </c>
      <c r="Q395" s="174">
        <f>IF(ISNUMBER(VLOOKUP(A395,NotghiID!A:A,1,FALSE)),1,0)</f>
        <v>0</v>
      </c>
    </row>
    <row r="396" spans="1:17" ht="14.25" x14ac:dyDescent="0.2">
      <c r="A396" s="183">
        <v>242</v>
      </c>
      <c r="B396" s="232" t="str">
        <f>IF(AND(A396&lt;&gt;"",ISNUMBER(A396)),VLOOKUP(A396,Studies!A:BR,2,FALSE),"")</f>
        <v>Healy 1987</v>
      </c>
      <c r="C396" s="232" t="str">
        <f>IF(AND(A396&lt;&gt;"",ISNUMBER(A396)),VLOOKUP(A396,Studies!A:BR,3,FALSE),"")</f>
        <v>https://www.ncbi.nlm.nih.gov/pubmed/3579256</v>
      </c>
      <c r="D396" s="232" t="str">
        <f>IF(AND(A396&lt;&gt;"",ISNUMBER(A396)),VLOOKUP(A396,Studies!A:BR,4,FALSE),"")</f>
        <v>mean 1g</v>
      </c>
      <c r="E396" s="206" t="str">
        <f>IF(AND(A396&lt;&gt;"",ISNUMBER(A396)),VLOOKUP(A396,Studies!A:BR,5,FALSE),"")</f>
        <v>vancomycin</v>
      </c>
      <c r="F396" s="207" t="str">
        <f>IF(AND(A396&lt;&gt;"",ISNUMBER(A396)),VLOOKUP(A396,Studies!A:BR,6,FALSE),"")</f>
        <v>Plasma</v>
      </c>
      <c r="G396" s="194">
        <v>12.77228</v>
      </c>
      <c r="H396" s="194" t="s">
        <v>60</v>
      </c>
      <c r="I396" s="187">
        <v>64.604159999999993</v>
      </c>
      <c r="J396" s="187" t="s">
        <v>1054</v>
      </c>
      <c r="K396" s="187" t="s">
        <v>116</v>
      </c>
      <c r="L396" s="195"/>
      <c r="M396" s="195"/>
      <c r="N396" s="195"/>
      <c r="O396" s="199"/>
      <c r="P396" s="188" t="s">
        <v>1113</v>
      </c>
      <c r="Q396" s="174">
        <f>IF(ISNUMBER(VLOOKUP(A396,NotghiID!A:A,1,FALSE)),1,0)</f>
        <v>0</v>
      </c>
    </row>
    <row r="397" spans="1:17" ht="14.25" x14ac:dyDescent="0.2">
      <c r="A397" s="183">
        <v>242</v>
      </c>
      <c r="B397" s="232" t="str">
        <f>IF(AND(A397&lt;&gt;"",ISNUMBER(A397)),VLOOKUP(A397,Studies!A:BR,2,FALSE),"")</f>
        <v>Healy 1987</v>
      </c>
      <c r="C397" s="232" t="str">
        <f>IF(AND(A397&lt;&gt;"",ISNUMBER(A397)),VLOOKUP(A397,Studies!A:BR,3,FALSE),"")</f>
        <v>https://www.ncbi.nlm.nih.gov/pubmed/3579256</v>
      </c>
      <c r="D397" s="232" t="str">
        <f>IF(AND(A397&lt;&gt;"",ISNUMBER(A397)),VLOOKUP(A397,Studies!A:BR,4,FALSE),"")</f>
        <v>mean 1g</v>
      </c>
      <c r="E397" s="206" t="str">
        <f>IF(AND(A397&lt;&gt;"",ISNUMBER(A397)),VLOOKUP(A397,Studies!A:BR,5,FALSE),"")</f>
        <v>vancomycin</v>
      </c>
      <c r="F397" s="207" t="str">
        <f>IF(AND(A397&lt;&gt;"",ISNUMBER(A397)),VLOOKUP(A397,Studies!A:BR,6,FALSE),"")</f>
        <v>Plasma</v>
      </c>
      <c r="G397" s="194">
        <v>13.465350000000001</v>
      </c>
      <c r="H397" s="194" t="s">
        <v>60</v>
      </c>
      <c r="I397" s="187">
        <v>39.958329999999997</v>
      </c>
      <c r="J397" s="187" t="s">
        <v>1054</v>
      </c>
      <c r="K397" s="187" t="s">
        <v>116</v>
      </c>
      <c r="L397" s="195"/>
      <c r="M397" s="195"/>
      <c r="N397" s="195"/>
      <c r="O397" s="199"/>
      <c r="P397" s="188" t="s">
        <v>1113</v>
      </c>
      <c r="Q397" s="174">
        <f>IF(ISNUMBER(VLOOKUP(A397,NotghiID!A:A,1,FALSE)),1,0)</f>
        <v>0</v>
      </c>
    </row>
    <row r="398" spans="1:17" ht="14.25" x14ac:dyDescent="0.2">
      <c r="A398" s="183">
        <v>242</v>
      </c>
      <c r="B398" s="232" t="str">
        <f>IF(AND(A398&lt;&gt;"",ISNUMBER(A398)),VLOOKUP(A398,Studies!A:BR,2,FALSE),"")</f>
        <v>Healy 1987</v>
      </c>
      <c r="C398" s="232" t="str">
        <f>IF(AND(A398&lt;&gt;"",ISNUMBER(A398)),VLOOKUP(A398,Studies!A:BR,3,FALSE),"")</f>
        <v>https://www.ncbi.nlm.nih.gov/pubmed/3579256</v>
      </c>
      <c r="D398" s="232" t="str">
        <f>IF(AND(A398&lt;&gt;"",ISNUMBER(A398)),VLOOKUP(A398,Studies!A:BR,4,FALSE),"")</f>
        <v>mean 1g</v>
      </c>
      <c r="E398" s="206" t="str">
        <f>IF(AND(A398&lt;&gt;"",ISNUMBER(A398)),VLOOKUP(A398,Studies!A:BR,5,FALSE),"")</f>
        <v>vancomycin</v>
      </c>
      <c r="F398" s="207" t="str">
        <f>IF(AND(A398&lt;&gt;"",ISNUMBER(A398)),VLOOKUP(A398,Studies!A:BR,6,FALSE),"")</f>
        <v>Plasma</v>
      </c>
      <c r="G398" s="194">
        <v>13.86139</v>
      </c>
      <c r="H398" s="194" t="s">
        <v>60</v>
      </c>
      <c r="I398" s="187">
        <v>33.395829999999997</v>
      </c>
      <c r="J398" s="187" t="s">
        <v>1054</v>
      </c>
      <c r="K398" s="187" t="s">
        <v>116</v>
      </c>
      <c r="L398" s="195"/>
      <c r="M398" s="195"/>
      <c r="N398" s="195"/>
      <c r="O398" s="199"/>
      <c r="P398" s="188" t="s">
        <v>1113</v>
      </c>
      <c r="Q398" s="174">
        <f>IF(ISNUMBER(VLOOKUP(A398,NotghiID!A:A,1,FALSE)),1,0)</f>
        <v>0</v>
      </c>
    </row>
    <row r="399" spans="1:17" ht="14.25" x14ac:dyDescent="0.2">
      <c r="A399" s="183">
        <v>242</v>
      </c>
      <c r="B399" s="232" t="str">
        <f>IF(AND(A399&lt;&gt;"",ISNUMBER(A399)),VLOOKUP(A399,Studies!A:BR,2,FALSE),"")</f>
        <v>Healy 1987</v>
      </c>
      <c r="C399" s="232" t="str">
        <f>IF(AND(A399&lt;&gt;"",ISNUMBER(A399)),VLOOKUP(A399,Studies!A:BR,3,FALSE),"")</f>
        <v>https://www.ncbi.nlm.nih.gov/pubmed/3579256</v>
      </c>
      <c r="D399" s="232" t="str">
        <f>IF(AND(A399&lt;&gt;"",ISNUMBER(A399)),VLOOKUP(A399,Studies!A:BR,4,FALSE),"")</f>
        <v>mean 1g</v>
      </c>
      <c r="E399" s="206" t="str">
        <f>IF(AND(A399&lt;&gt;"",ISNUMBER(A399)),VLOOKUP(A399,Studies!A:BR,5,FALSE),"")</f>
        <v>vancomycin</v>
      </c>
      <c r="F399" s="207" t="str">
        <f>IF(AND(A399&lt;&gt;"",ISNUMBER(A399)),VLOOKUP(A399,Studies!A:BR,6,FALSE),"")</f>
        <v>Plasma</v>
      </c>
      <c r="G399" s="194">
        <v>24.653469999999999</v>
      </c>
      <c r="H399" s="194" t="s">
        <v>60</v>
      </c>
      <c r="I399" s="187">
        <v>65.1875</v>
      </c>
      <c r="J399" s="187" t="s">
        <v>1054</v>
      </c>
      <c r="K399" s="187" t="s">
        <v>116</v>
      </c>
      <c r="L399" s="195"/>
      <c r="M399" s="195"/>
      <c r="N399" s="195"/>
      <c r="O399" s="199"/>
      <c r="P399" s="188" t="s">
        <v>1113</v>
      </c>
      <c r="Q399" s="174">
        <f>IF(ISNUMBER(VLOOKUP(A399,NotghiID!A:A,1,FALSE)),1,0)</f>
        <v>0</v>
      </c>
    </row>
    <row r="400" spans="1:17" ht="14.25" x14ac:dyDescent="0.2">
      <c r="A400" s="183">
        <v>242</v>
      </c>
      <c r="B400" s="232" t="str">
        <f>IF(AND(A400&lt;&gt;"",ISNUMBER(A400)),VLOOKUP(A400,Studies!A:BR,2,FALSE),"")</f>
        <v>Healy 1987</v>
      </c>
      <c r="C400" s="232" t="str">
        <f>IF(AND(A400&lt;&gt;"",ISNUMBER(A400)),VLOOKUP(A400,Studies!A:BR,3,FALSE),"")</f>
        <v>https://www.ncbi.nlm.nih.gov/pubmed/3579256</v>
      </c>
      <c r="D400" s="232" t="str">
        <f>IF(AND(A400&lt;&gt;"",ISNUMBER(A400)),VLOOKUP(A400,Studies!A:BR,4,FALSE),"")</f>
        <v>mean 1g</v>
      </c>
      <c r="E400" s="206" t="str">
        <f>IF(AND(A400&lt;&gt;"",ISNUMBER(A400)),VLOOKUP(A400,Studies!A:BR,5,FALSE),"")</f>
        <v>vancomycin</v>
      </c>
      <c r="F400" s="207" t="str">
        <f>IF(AND(A400&lt;&gt;"",ISNUMBER(A400)),VLOOKUP(A400,Studies!A:BR,6,FALSE),"")</f>
        <v>Plasma</v>
      </c>
      <c r="G400" s="194">
        <v>25.148520000000001</v>
      </c>
      <c r="H400" s="194" t="s">
        <v>60</v>
      </c>
      <c r="I400" s="187">
        <v>57.604170000000003</v>
      </c>
      <c r="J400" s="187" t="s">
        <v>1054</v>
      </c>
      <c r="K400" s="187" t="s">
        <v>116</v>
      </c>
      <c r="L400" s="195"/>
      <c r="M400" s="195"/>
      <c r="N400" s="195"/>
      <c r="O400" s="199"/>
      <c r="P400" s="188" t="s">
        <v>1113</v>
      </c>
      <c r="Q400" s="174">
        <f>IF(ISNUMBER(VLOOKUP(A400,NotghiID!A:A,1,FALSE)),1,0)</f>
        <v>0</v>
      </c>
    </row>
    <row r="401" spans="1:17" ht="14.25" x14ac:dyDescent="0.2">
      <c r="A401" s="183">
        <v>242</v>
      </c>
      <c r="B401" s="232" t="str">
        <f>IF(AND(A401&lt;&gt;"",ISNUMBER(A401)),VLOOKUP(A401,Studies!A:BR,2,FALSE),"")</f>
        <v>Healy 1987</v>
      </c>
      <c r="C401" s="232" t="str">
        <f>IF(AND(A401&lt;&gt;"",ISNUMBER(A401)),VLOOKUP(A401,Studies!A:BR,3,FALSE),"")</f>
        <v>https://www.ncbi.nlm.nih.gov/pubmed/3579256</v>
      </c>
      <c r="D401" s="232" t="str">
        <f>IF(AND(A401&lt;&gt;"",ISNUMBER(A401)),VLOOKUP(A401,Studies!A:BR,4,FALSE),"")</f>
        <v>mean 1g</v>
      </c>
      <c r="E401" s="206" t="str">
        <f>IF(AND(A401&lt;&gt;"",ISNUMBER(A401)),VLOOKUP(A401,Studies!A:BR,5,FALSE),"")</f>
        <v>vancomycin</v>
      </c>
      <c r="F401" s="207" t="str">
        <f>IF(AND(A401&lt;&gt;"",ISNUMBER(A401)),VLOOKUP(A401,Studies!A:BR,6,FALSE),"")</f>
        <v>Plasma</v>
      </c>
      <c r="G401" s="194">
        <v>25.15</v>
      </c>
      <c r="H401" s="194" t="s">
        <v>60</v>
      </c>
      <c r="I401" s="187">
        <v>49.875</v>
      </c>
      <c r="J401" s="187" t="s">
        <v>1054</v>
      </c>
      <c r="K401" s="187" t="s">
        <v>116</v>
      </c>
      <c r="L401" s="195"/>
      <c r="M401" s="195"/>
      <c r="N401" s="195"/>
      <c r="O401" s="199"/>
      <c r="P401" s="188" t="s">
        <v>1113</v>
      </c>
      <c r="Q401" s="174">
        <f>IF(ISNUMBER(VLOOKUP(A401,NotghiID!A:A,1,FALSE)),1,0)</f>
        <v>0</v>
      </c>
    </row>
    <row r="402" spans="1:17" ht="14.25" x14ac:dyDescent="0.2">
      <c r="A402" s="183">
        <v>242</v>
      </c>
      <c r="B402" s="232" t="str">
        <f>IF(AND(A402&lt;&gt;"",ISNUMBER(A402)),VLOOKUP(A402,Studies!A:BR,2,FALSE),"")</f>
        <v>Healy 1987</v>
      </c>
      <c r="C402" s="232" t="str">
        <f>IF(AND(A402&lt;&gt;"",ISNUMBER(A402)),VLOOKUP(A402,Studies!A:BR,3,FALSE),"")</f>
        <v>https://www.ncbi.nlm.nih.gov/pubmed/3579256</v>
      </c>
      <c r="D402" s="232" t="str">
        <f>IF(AND(A402&lt;&gt;"",ISNUMBER(A402)),VLOOKUP(A402,Studies!A:BR,4,FALSE),"")</f>
        <v>mean 1g</v>
      </c>
      <c r="E402" s="206" t="str">
        <f>IF(AND(A402&lt;&gt;"",ISNUMBER(A402)),VLOOKUP(A402,Studies!A:BR,5,FALSE),"")</f>
        <v>vancomycin</v>
      </c>
      <c r="F402" s="207" t="str">
        <f>IF(AND(A402&lt;&gt;"",ISNUMBER(A402)),VLOOKUP(A402,Studies!A:BR,6,FALSE),"")</f>
        <v>Plasma</v>
      </c>
      <c r="G402" s="194">
        <v>25.247520000000002</v>
      </c>
      <c r="H402" s="194" t="s">
        <v>60</v>
      </c>
      <c r="I402" s="187">
        <v>40.833329999999997</v>
      </c>
      <c r="J402" s="187" t="s">
        <v>1054</v>
      </c>
      <c r="K402" s="187" t="s">
        <v>116</v>
      </c>
      <c r="L402" s="195"/>
      <c r="M402" s="195"/>
      <c r="N402" s="195"/>
      <c r="O402" s="199"/>
      <c r="P402" s="188" t="s">
        <v>1113</v>
      </c>
      <c r="Q402" s="174">
        <f>IF(ISNUMBER(VLOOKUP(A402,NotghiID!A:A,1,FALSE)),1,0)</f>
        <v>0</v>
      </c>
    </row>
    <row r="403" spans="1:17" ht="14.25" x14ac:dyDescent="0.2">
      <c r="A403" s="183">
        <v>242</v>
      </c>
      <c r="B403" s="232" t="str">
        <f>IF(AND(A403&lt;&gt;"",ISNUMBER(A403)),VLOOKUP(A403,Studies!A:BR,2,FALSE),"")</f>
        <v>Healy 1987</v>
      </c>
      <c r="C403" s="232" t="str">
        <f>IF(AND(A403&lt;&gt;"",ISNUMBER(A403)),VLOOKUP(A403,Studies!A:BR,3,FALSE),"")</f>
        <v>https://www.ncbi.nlm.nih.gov/pubmed/3579256</v>
      </c>
      <c r="D403" s="232" t="str">
        <f>IF(AND(A403&lt;&gt;"",ISNUMBER(A403)),VLOOKUP(A403,Studies!A:BR,4,FALSE),"")</f>
        <v>mean 1g</v>
      </c>
      <c r="E403" s="206" t="str">
        <f>IF(AND(A403&lt;&gt;"",ISNUMBER(A403)),VLOOKUP(A403,Studies!A:BR,5,FALSE),"")</f>
        <v>vancomycin</v>
      </c>
      <c r="F403" s="207" t="str">
        <f>IF(AND(A403&lt;&gt;"",ISNUMBER(A403)),VLOOKUP(A403,Studies!A:BR,6,FALSE),"")</f>
        <v>Plasma</v>
      </c>
      <c r="G403" s="194">
        <v>26.0396</v>
      </c>
      <c r="H403" s="194" t="s">
        <v>60</v>
      </c>
      <c r="I403" s="187">
        <v>33.6875</v>
      </c>
      <c r="J403" s="187" t="s">
        <v>1054</v>
      </c>
      <c r="K403" s="187" t="s">
        <v>116</v>
      </c>
      <c r="L403" s="195"/>
      <c r="M403" s="195"/>
      <c r="N403" s="195"/>
      <c r="O403" s="199"/>
      <c r="P403" s="188" t="s">
        <v>1113</v>
      </c>
      <c r="Q403" s="174">
        <f>IF(ISNUMBER(VLOOKUP(A403,NotghiID!A:A,1,FALSE)),1,0)</f>
        <v>0</v>
      </c>
    </row>
    <row r="404" spans="1:17" ht="14.25" x14ac:dyDescent="0.2">
      <c r="A404" s="183">
        <v>242</v>
      </c>
      <c r="B404" s="232" t="str">
        <f>IF(AND(A404&lt;&gt;"",ISNUMBER(A404)),VLOOKUP(A404,Studies!A:BR,2,FALSE),"")</f>
        <v>Healy 1987</v>
      </c>
      <c r="C404" s="232" t="str">
        <f>IF(AND(A404&lt;&gt;"",ISNUMBER(A404)),VLOOKUP(A404,Studies!A:BR,3,FALSE),"")</f>
        <v>https://www.ncbi.nlm.nih.gov/pubmed/3579256</v>
      </c>
      <c r="D404" s="232" t="str">
        <f>IF(AND(A404&lt;&gt;"",ISNUMBER(A404)),VLOOKUP(A404,Studies!A:BR,4,FALSE),"")</f>
        <v>mean 1g</v>
      </c>
      <c r="E404" s="206" t="str">
        <f>IF(AND(A404&lt;&gt;"",ISNUMBER(A404)),VLOOKUP(A404,Studies!A:BR,5,FALSE),"")</f>
        <v>vancomycin</v>
      </c>
      <c r="F404" s="207" t="str">
        <f>IF(AND(A404&lt;&gt;"",ISNUMBER(A404)),VLOOKUP(A404,Studies!A:BR,6,FALSE),"")</f>
        <v>Plasma</v>
      </c>
      <c r="G404" s="194">
        <v>26.33663</v>
      </c>
      <c r="H404" s="194" t="s">
        <v>60</v>
      </c>
      <c r="I404" s="187">
        <v>28.4375</v>
      </c>
      <c r="J404" s="187" t="s">
        <v>1054</v>
      </c>
      <c r="K404" s="187" t="s">
        <v>116</v>
      </c>
      <c r="L404" s="195"/>
      <c r="M404" s="195"/>
      <c r="N404" s="195"/>
      <c r="O404" s="199"/>
      <c r="P404" s="188" t="s">
        <v>1113</v>
      </c>
      <c r="Q404" s="174">
        <f>IF(ISNUMBER(VLOOKUP(A404,NotghiID!A:A,1,FALSE)),1,0)</f>
        <v>0</v>
      </c>
    </row>
    <row r="405" spans="1:17" ht="14.25" x14ac:dyDescent="0.2">
      <c r="A405" s="183">
        <v>242</v>
      </c>
      <c r="B405" s="232" t="str">
        <f>IF(AND(A405&lt;&gt;"",ISNUMBER(A405)),VLOOKUP(A405,Studies!A:BR,2,FALSE),"")</f>
        <v>Healy 1987</v>
      </c>
      <c r="C405" s="232" t="str">
        <f>IF(AND(A405&lt;&gt;"",ISNUMBER(A405)),VLOOKUP(A405,Studies!A:BR,3,FALSE),"")</f>
        <v>https://www.ncbi.nlm.nih.gov/pubmed/3579256</v>
      </c>
      <c r="D405" s="232" t="str">
        <f>IF(AND(A405&lt;&gt;"",ISNUMBER(A405)),VLOOKUP(A405,Studies!A:BR,4,FALSE),"")</f>
        <v>mean 1g</v>
      </c>
      <c r="E405" s="206" t="str">
        <f>IF(AND(A405&lt;&gt;"",ISNUMBER(A405)),VLOOKUP(A405,Studies!A:BR,5,FALSE),"")</f>
        <v>vancomycin</v>
      </c>
      <c r="F405" s="207" t="str">
        <f>IF(AND(A405&lt;&gt;"",ISNUMBER(A405)),VLOOKUP(A405,Studies!A:BR,6,FALSE),"")</f>
        <v>Plasma</v>
      </c>
      <c r="G405" s="194">
        <v>26.633659999999999</v>
      </c>
      <c r="H405" s="194" t="s">
        <v>60</v>
      </c>
      <c r="I405" s="187">
        <v>25.375</v>
      </c>
      <c r="J405" s="187" t="s">
        <v>1054</v>
      </c>
      <c r="K405" s="187" t="s">
        <v>116</v>
      </c>
      <c r="L405" s="195"/>
      <c r="M405" s="195"/>
      <c r="N405" s="195"/>
      <c r="O405" s="199"/>
      <c r="P405" s="188" t="s">
        <v>1113</v>
      </c>
      <c r="Q405" s="174">
        <f>IF(ISNUMBER(VLOOKUP(A405,NotghiID!A:A,1,FALSE)),1,0)</f>
        <v>0</v>
      </c>
    </row>
    <row r="406" spans="1:17" ht="14.25" x14ac:dyDescent="0.2">
      <c r="A406" s="183">
        <v>242</v>
      </c>
      <c r="B406" s="232" t="str">
        <f>IF(AND(A406&lt;&gt;"",ISNUMBER(A406)),VLOOKUP(A406,Studies!A:BR,2,FALSE),"")</f>
        <v>Healy 1987</v>
      </c>
      <c r="C406" s="232" t="str">
        <f>IF(AND(A406&lt;&gt;"",ISNUMBER(A406)),VLOOKUP(A406,Studies!A:BR,3,FALSE),"")</f>
        <v>https://www.ncbi.nlm.nih.gov/pubmed/3579256</v>
      </c>
      <c r="D406" s="232" t="str">
        <f>IF(AND(A406&lt;&gt;"",ISNUMBER(A406)),VLOOKUP(A406,Studies!A:BR,4,FALSE),"")</f>
        <v>mean 1g</v>
      </c>
      <c r="E406" s="206" t="str">
        <f>IF(AND(A406&lt;&gt;"",ISNUMBER(A406)),VLOOKUP(A406,Studies!A:BR,5,FALSE),"")</f>
        <v>vancomycin</v>
      </c>
      <c r="F406" s="207" t="str">
        <f>IF(AND(A406&lt;&gt;"",ISNUMBER(A406)),VLOOKUP(A406,Studies!A:BR,6,FALSE),"")</f>
        <v>Plasma</v>
      </c>
      <c r="G406" s="194">
        <v>27.326730000000001</v>
      </c>
      <c r="H406" s="194" t="s">
        <v>60</v>
      </c>
      <c r="I406" s="187">
        <v>22.75</v>
      </c>
      <c r="J406" s="187" t="s">
        <v>1054</v>
      </c>
      <c r="K406" s="187" t="s">
        <v>116</v>
      </c>
      <c r="L406" s="195"/>
      <c r="M406" s="195"/>
      <c r="N406" s="195"/>
      <c r="O406" s="199"/>
      <c r="P406" s="188" t="s">
        <v>1113</v>
      </c>
      <c r="Q406" s="174">
        <f>IF(ISNUMBER(VLOOKUP(A406,NotghiID!A:A,1,FALSE)),1,0)</f>
        <v>0</v>
      </c>
    </row>
    <row r="407" spans="1:17" ht="14.25" x14ac:dyDescent="0.2">
      <c r="A407" s="183">
        <v>242</v>
      </c>
      <c r="B407" s="232" t="str">
        <f>IF(AND(A407&lt;&gt;"",ISNUMBER(A407)),VLOOKUP(A407,Studies!A:BR,2,FALSE),"")</f>
        <v>Healy 1987</v>
      </c>
      <c r="C407" s="232" t="str">
        <f>IF(AND(A407&lt;&gt;"",ISNUMBER(A407)),VLOOKUP(A407,Studies!A:BR,3,FALSE),"")</f>
        <v>https://www.ncbi.nlm.nih.gov/pubmed/3579256</v>
      </c>
      <c r="D407" s="232" t="str">
        <f>IF(AND(A407&lt;&gt;"",ISNUMBER(A407)),VLOOKUP(A407,Studies!A:BR,4,FALSE),"")</f>
        <v>mean 1g</v>
      </c>
      <c r="E407" s="206" t="str">
        <f>IF(AND(A407&lt;&gt;"",ISNUMBER(A407)),VLOOKUP(A407,Studies!A:BR,5,FALSE),"")</f>
        <v>vancomycin</v>
      </c>
      <c r="F407" s="207" t="str">
        <f>IF(AND(A407&lt;&gt;"",ISNUMBER(A407)),VLOOKUP(A407,Studies!A:BR,6,FALSE),"")</f>
        <v>Plasma</v>
      </c>
      <c r="G407" s="194">
        <v>27.82178</v>
      </c>
      <c r="H407" s="194" t="s">
        <v>60</v>
      </c>
      <c r="I407" s="187">
        <v>20.85417</v>
      </c>
      <c r="J407" s="187" t="s">
        <v>1054</v>
      </c>
      <c r="K407" s="187" t="s">
        <v>116</v>
      </c>
      <c r="L407" s="195"/>
      <c r="M407" s="195"/>
      <c r="N407" s="195"/>
      <c r="O407" s="199"/>
      <c r="P407" s="188" t="s">
        <v>1113</v>
      </c>
      <c r="Q407" s="174">
        <f>IF(ISNUMBER(VLOOKUP(A407,NotghiID!A:A,1,FALSE)),1,0)</f>
        <v>0</v>
      </c>
    </row>
    <row r="408" spans="1:17" ht="14.25" x14ac:dyDescent="0.2">
      <c r="A408" s="183">
        <v>242</v>
      </c>
      <c r="B408" s="232" t="str">
        <f>IF(AND(A408&lt;&gt;"",ISNUMBER(A408)),VLOOKUP(A408,Studies!A:BR,2,FALSE),"")</f>
        <v>Healy 1987</v>
      </c>
      <c r="C408" s="232" t="str">
        <f>IF(AND(A408&lt;&gt;"",ISNUMBER(A408)),VLOOKUP(A408,Studies!A:BR,3,FALSE),"")</f>
        <v>https://www.ncbi.nlm.nih.gov/pubmed/3579256</v>
      </c>
      <c r="D408" s="232" t="str">
        <f>IF(AND(A408&lt;&gt;"",ISNUMBER(A408)),VLOOKUP(A408,Studies!A:BR,4,FALSE),"")</f>
        <v>mean 1g</v>
      </c>
      <c r="E408" s="206" t="str">
        <f>IF(AND(A408&lt;&gt;"",ISNUMBER(A408)),VLOOKUP(A408,Studies!A:BR,5,FALSE),"")</f>
        <v>vancomycin</v>
      </c>
      <c r="F408" s="207" t="str">
        <f>IF(AND(A408&lt;&gt;"",ISNUMBER(A408)),VLOOKUP(A408,Studies!A:BR,6,FALSE),"")</f>
        <v>Plasma</v>
      </c>
      <c r="G408" s="194">
        <v>28.910889999999998</v>
      </c>
      <c r="H408" s="194" t="s">
        <v>60</v>
      </c>
      <c r="I408" s="187">
        <v>16.91667</v>
      </c>
      <c r="J408" s="187" t="s">
        <v>1054</v>
      </c>
      <c r="K408" s="187" t="s">
        <v>116</v>
      </c>
      <c r="L408" s="195"/>
      <c r="M408" s="195"/>
      <c r="N408" s="195"/>
      <c r="O408" s="199"/>
      <c r="P408" s="188" t="s">
        <v>1113</v>
      </c>
      <c r="Q408" s="174">
        <f>IF(ISNUMBER(VLOOKUP(A408,NotghiID!A:A,1,FALSE)),1,0)</f>
        <v>0</v>
      </c>
    </row>
    <row r="409" spans="1:17" ht="14.25" x14ac:dyDescent="0.2">
      <c r="A409" s="183">
        <v>242</v>
      </c>
      <c r="B409" s="232" t="str">
        <f>IF(AND(A409&lt;&gt;"",ISNUMBER(A409)),VLOOKUP(A409,Studies!A:BR,2,FALSE),"")</f>
        <v>Healy 1987</v>
      </c>
      <c r="C409" s="232" t="str">
        <f>IF(AND(A409&lt;&gt;"",ISNUMBER(A409)),VLOOKUP(A409,Studies!A:BR,3,FALSE),"")</f>
        <v>https://www.ncbi.nlm.nih.gov/pubmed/3579256</v>
      </c>
      <c r="D409" s="232" t="str">
        <f>IF(AND(A409&lt;&gt;"",ISNUMBER(A409)),VLOOKUP(A409,Studies!A:BR,4,FALSE),"")</f>
        <v>mean 1g</v>
      </c>
      <c r="E409" s="206" t="str">
        <f>IF(AND(A409&lt;&gt;"",ISNUMBER(A409)),VLOOKUP(A409,Studies!A:BR,5,FALSE),"")</f>
        <v>vancomycin</v>
      </c>
      <c r="F409" s="207" t="str">
        <f>IF(AND(A409&lt;&gt;"",ISNUMBER(A409)),VLOOKUP(A409,Studies!A:BR,6,FALSE),"")</f>
        <v>Plasma</v>
      </c>
      <c r="G409" s="194">
        <v>30.891089999999998</v>
      </c>
      <c r="H409" s="194" t="s">
        <v>60</v>
      </c>
      <c r="I409" s="187">
        <v>12.97917</v>
      </c>
      <c r="J409" s="187" t="s">
        <v>1054</v>
      </c>
      <c r="K409" s="187" t="s">
        <v>116</v>
      </c>
      <c r="L409" s="195"/>
      <c r="M409" s="195"/>
      <c r="N409" s="195"/>
      <c r="O409" s="199"/>
      <c r="P409" s="188" t="s">
        <v>1113</v>
      </c>
      <c r="Q409" s="174">
        <f>IF(ISNUMBER(VLOOKUP(A409,NotghiID!A:A,1,FALSE)),1,0)</f>
        <v>0</v>
      </c>
    </row>
    <row r="410" spans="1:17" ht="14.25" x14ac:dyDescent="0.2">
      <c r="A410" s="183">
        <v>242</v>
      </c>
      <c r="B410" s="232" t="str">
        <f>IF(AND(A410&lt;&gt;"",ISNUMBER(A410)),VLOOKUP(A410,Studies!A:BR,2,FALSE),"")</f>
        <v>Healy 1987</v>
      </c>
      <c r="C410" s="232" t="str">
        <f>IF(AND(A410&lt;&gt;"",ISNUMBER(A410)),VLOOKUP(A410,Studies!A:BR,3,FALSE),"")</f>
        <v>https://www.ncbi.nlm.nih.gov/pubmed/3579256</v>
      </c>
      <c r="D410" s="232" t="str">
        <f>IF(AND(A410&lt;&gt;"",ISNUMBER(A410)),VLOOKUP(A410,Studies!A:BR,4,FALSE),"")</f>
        <v>mean 1g</v>
      </c>
      <c r="E410" s="206" t="str">
        <f>IF(AND(A410&lt;&gt;"",ISNUMBER(A410)),VLOOKUP(A410,Studies!A:BR,5,FALSE),"")</f>
        <v>vancomycin</v>
      </c>
      <c r="F410" s="207" t="str">
        <f>IF(AND(A410&lt;&gt;"",ISNUMBER(A410)),VLOOKUP(A410,Studies!A:BR,6,FALSE),"")</f>
        <v>Plasma</v>
      </c>
      <c r="G410" s="194">
        <v>33.168320000000001</v>
      </c>
      <c r="H410" s="194" t="s">
        <v>60</v>
      </c>
      <c r="I410" s="187">
        <v>9.625</v>
      </c>
      <c r="J410" s="187" t="s">
        <v>1054</v>
      </c>
      <c r="K410" s="187" t="s">
        <v>116</v>
      </c>
      <c r="L410" s="195"/>
      <c r="M410" s="195"/>
      <c r="N410" s="195"/>
      <c r="O410" s="199"/>
      <c r="P410" s="188" t="s">
        <v>1113</v>
      </c>
      <c r="Q410" s="174">
        <f>IF(ISNUMBER(VLOOKUP(A410,NotghiID!A:A,1,FALSE)),1,0)</f>
        <v>0</v>
      </c>
    </row>
    <row r="411" spans="1:17" ht="14.25" x14ac:dyDescent="0.2">
      <c r="A411" s="183">
        <v>242</v>
      </c>
      <c r="B411" s="232" t="str">
        <f>IF(AND(A411&lt;&gt;"",ISNUMBER(A411)),VLOOKUP(A411,Studies!A:BR,2,FALSE),"")</f>
        <v>Healy 1987</v>
      </c>
      <c r="C411" s="232" t="str">
        <f>IF(AND(A411&lt;&gt;"",ISNUMBER(A411)),VLOOKUP(A411,Studies!A:BR,3,FALSE),"")</f>
        <v>https://www.ncbi.nlm.nih.gov/pubmed/3579256</v>
      </c>
      <c r="D411" s="232" t="str">
        <f>IF(AND(A411&lt;&gt;"",ISNUMBER(A411)),VLOOKUP(A411,Studies!A:BR,4,FALSE),"")</f>
        <v>mean 1g</v>
      </c>
      <c r="E411" s="206" t="str">
        <f>IF(AND(A411&lt;&gt;"",ISNUMBER(A411)),VLOOKUP(A411,Studies!A:BR,5,FALSE),"")</f>
        <v>vancomycin</v>
      </c>
      <c r="F411" s="207" t="str">
        <f>IF(AND(A411&lt;&gt;"",ISNUMBER(A411)),VLOOKUP(A411,Studies!A:BR,6,FALSE),"")</f>
        <v>Plasma</v>
      </c>
      <c r="G411" s="194">
        <v>37.128709999999998</v>
      </c>
      <c r="H411" s="194" t="s">
        <v>60</v>
      </c>
      <c r="I411" s="187">
        <v>5.8333329999999997</v>
      </c>
      <c r="J411" s="187" t="s">
        <v>1054</v>
      </c>
      <c r="K411" s="187" t="s">
        <v>116</v>
      </c>
      <c r="L411" s="195"/>
      <c r="M411" s="195"/>
      <c r="N411" s="195"/>
      <c r="O411" s="199"/>
      <c r="P411" s="188" t="s">
        <v>1113</v>
      </c>
      <c r="Q411" s="174">
        <f>IF(ISNUMBER(VLOOKUP(A411,NotghiID!A:A,1,FALSE)),1,0)</f>
        <v>0</v>
      </c>
    </row>
    <row r="412" spans="1:17" ht="14.25" x14ac:dyDescent="0.2">
      <c r="A412" s="183">
        <v>242</v>
      </c>
      <c r="B412" s="232" t="str">
        <f>IF(AND(A412&lt;&gt;"",ISNUMBER(A412)),VLOOKUP(A412,Studies!A:BR,2,FALSE),"")</f>
        <v>Healy 1987</v>
      </c>
      <c r="C412" s="232" t="str">
        <f>IF(AND(A412&lt;&gt;"",ISNUMBER(A412)),VLOOKUP(A412,Studies!A:BR,3,FALSE),"")</f>
        <v>https://www.ncbi.nlm.nih.gov/pubmed/3579256</v>
      </c>
      <c r="D412" s="232" t="str">
        <f>IF(AND(A412&lt;&gt;"",ISNUMBER(A412)),VLOOKUP(A412,Studies!A:BR,4,FALSE),"")</f>
        <v>mean 1g</v>
      </c>
      <c r="E412" s="206" t="str">
        <f>IF(AND(A412&lt;&gt;"",ISNUMBER(A412)),VLOOKUP(A412,Studies!A:BR,5,FALSE),"")</f>
        <v>vancomycin</v>
      </c>
      <c r="F412" s="207" t="str">
        <f>IF(AND(A412&lt;&gt;"",ISNUMBER(A412)),VLOOKUP(A412,Studies!A:BR,6,FALSE),"")</f>
        <v>Plasma</v>
      </c>
      <c r="G412" s="194">
        <v>41.188119999999998</v>
      </c>
      <c r="H412" s="194" t="s">
        <v>60</v>
      </c>
      <c r="I412" s="187">
        <v>3.5</v>
      </c>
      <c r="J412" s="187" t="s">
        <v>1054</v>
      </c>
      <c r="K412" s="187" t="s">
        <v>116</v>
      </c>
      <c r="L412" s="195"/>
      <c r="M412" s="195"/>
      <c r="N412" s="195"/>
      <c r="O412" s="199"/>
      <c r="P412" s="188" t="s">
        <v>1113</v>
      </c>
      <c r="Q412" s="174">
        <f>IF(ISNUMBER(VLOOKUP(A412,NotghiID!A:A,1,FALSE)),1,0)</f>
        <v>0</v>
      </c>
    </row>
    <row r="413" spans="1:17" ht="14.25" x14ac:dyDescent="0.2">
      <c r="A413" s="183">
        <v>242</v>
      </c>
      <c r="B413" s="232" t="str">
        <f>IF(AND(A413&lt;&gt;"",ISNUMBER(A413)),VLOOKUP(A413,Studies!A:BR,2,FALSE),"")</f>
        <v>Healy 1987</v>
      </c>
      <c r="C413" s="232" t="str">
        <f>IF(AND(A413&lt;&gt;"",ISNUMBER(A413)),VLOOKUP(A413,Studies!A:BR,3,FALSE),"")</f>
        <v>https://www.ncbi.nlm.nih.gov/pubmed/3579256</v>
      </c>
      <c r="D413" s="232" t="str">
        <f>IF(AND(A413&lt;&gt;"",ISNUMBER(A413)),VLOOKUP(A413,Studies!A:BR,4,FALSE),"")</f>
        <v>mean 1g</v>
      </c>
      <c r="E413" s="206" t="str">
        <f>IF(AND(A413&lt;&gt;"",ISNUMBER(A413)),VLOOKUP(A413,Studies!A:BR,5,FALSE),"")</f>
        <v>vancomycin</v>
      </c>
      <c r="F413" s="207" t="str">
        <f>IF(AND(A413&lt;&gt;"",ISNUMBER(A413)),VLOOKUP(A413,Studies!A:BR,6,FALSE),"")</f>
        <v>Plasma</v>
      </c>
      <c r="G413" s="194">
        <v>49.009900000000002</v>
      </c>
      <c r="H413" s="194" t="s">
        <v>60</v>
      </c>
      <c r="I413" s="187">
        <v>1.75</v>
      </c>
      <c r="J413" s="187" t="s">
        <v>1054</v>
      </c>
      <c r="K413" s="187" t="s">
        <v>116</v>
      </c>
      <c r="L413" s="195"/>
      <c r="M413" s="195"/>
      <c r="N413" s="195"/>
      <c r="O413" s="199"/>
      <c r="P413" s="188" t="s">
        <v>1113</v>
      </c>
      <c r="Q413" s="174">
        <f>IF(ISNUMBER(VLOOKUP(A413,NotghiID!A:A,1,FALSE)),1,0)</f>
        <v>0</v>
      </c>
    </row>
    <row r="414" spans="1:17" ht="14.25" x14ac:dyDescent="0.2">
      <c r="A414" s="183">
        <v>242</v>
      </c>
      <c r="B414" s="232" t="str">
        <f>IF(AND(A414&lt;&gt;"",ISNUMBER(A414)),VLOOKUP(A414,Studies!A:BR,2,FALSE),"")</f>
        <v>Healy 1987</v>
      </c>
      <c r="C414" s="232" t="str">
        <f>IF(AND(A414&lt;&gt;"",ISNUMBER(A414)),VLOOKUP(A414,Studies!A:BR,3,FALSE),"")</f>
        <v>https://www.ncbi.nlm.nih.gov/pubmed/3579256</v>
      </c>
      <c r="D414" s="232" t="str">
        <f>IF(AND(A414&lt;&gt;"",ISNUMBER(A414)),VLOOKUP(A414,Studies!A:BR,4,FALSE),"")</f>
        <v>mean 1g</v>
      </c>
      <c r="E414" s="206" t="str">
        <f>IF(AND(A414&lt;&gt;"",ISNUMBER(A414)),VLOOKUP(A414,Studies!A:BR,5,FALSE),"")</f>
        <v>vancomycin</v>
      </c>
      <c r="F414" s="207" t="str">
        <f>IF(AND(A414&lt;&gt;"",ISNUMBER(A414)),VLOOKUP(A414,Studies!A:BR,6,FALSE),"")</f>
        <v>Plasma</v>
      </c>
      <c r="G414" s="194">
        <v>55.049500000000002</v>
      </c>
      <c r="H414" s="194" t="s">
        <v>60</v>
      </c>
      <c r="I414" s="187">
        <v>1.4583330000000001</v>
      </c>
      <c r="J414" s="187" t="s">
        <v>1054</v>
      </c>
      <c r="K414" s="187" t="s">
        <v>116</v>
      </c>
      <c r="L414" s="195"/>
      <c r="M414" s="195"/>
      <c r="N414" s="195"/>
      <c r="O414" s="199"/>
      <c r="P414" s="188" t="s">
        <v>1113</v>
      </c>
      <c r="Q414" s="174">
        <f>IF(ISNUMBER(VLOOKUP(A414,NotghiID!A:A,1,FALSE)),1,0)</f>
        <v>0</v>
      </c>
    </row>
    <row r="415" spans="1:17" ht="14.25" x14ac:dyDescent="0.2">
      <c r="A415" s="183">
        <v>242</v>
      </c>
      <c r="B415" s="232" t="str">
        <f>IF(AND(A415&lt;&gt;"",ISNUMBER(A415)),VLOOKUP(A415,Studies!A:BR,2,FALSE),"")</f>
        <v>Healy 1987</v>
      </c>
      <c r="C415" s="232" t="str">
        <f>IF(AND(A415&lt;&gt;"",ISNUMBER(A415)),VLOOKUP(A415,Studies!A:BR,3,FALSE),"")</f>
        <v>https://www.ncbi.nlm.nih.gov/pubmed/3579256</v>
      </c>
      <c r="D415" s="232" t="str">
        <f>IF(AND(A415&lt;&gt;"",ISNUMBER(A415)),VLOOKUP(A415,Studies!A:BR,4,FALSE),"")</f>
        <v>mean 1g</v>
      </c>
      <c r="E415" s="206" t="str">
        <f>IF(AND(A415&lt;&gt;"",ISNUMBER(A415)),VLOOKUP(A415,Studies!A:BR,5,FALSE),"")</f>
        <v>vancomycin</v>
      </c>
      <c r="F415" s="207" t="str">
        <f>IF(AND(A415&lt;&gt;"",ISNUMBER(A415)),VLOOKUP(A415,Studies!A:BR,6,FALSE),"")</f>
        <v>Plasma</v>
      </c>
      <c r="G415" s="194">
        <v>61.287129999999998</v>
      </c>
      <c r="H415" s="194" t="s">
        <v>60</v>
      </c>
      <c r="I415" s="187">
        <v>0.2916667</v>
      </c>
      <c r="J415" s="187" t="s">
        <v>1054</v>
      </c>
      <c r="K415" s="187" t="s">
        <v>116</v>
      </c>
      <c r="L415" s="195"/>
      <c r="M415" s="195"/>
      <c r="N415" s="195"/>
      <c r="O415" s="199"/>
      <c r="P415" s="188" t="s">
        <v>1113</v>
      </c>
      <c r="Q415" s="174">
        <f>IF(ISNUMBER(VLOOKUP(A415,NotghiID!A:A,1,FALSE)),1,0)</f>
        <v>0</v>
      </c>
    </row>
    <row r="416" spans="1:17" ht="14.25" x14ac:dyDescent="0.2">
      <c r="A416" s="183">
        <v>408</v>
      </c>
      <c r="B416" s="232" t="str">
        <f>IF(AND(A416&lt;&gt;"",ISNUMBER(A416)),VLOOKUP(A416,Studies!A:BR,2,FALSE),"")</f>
        <v>Schaad 1980</v>
      </c>
      <c r="C416" s="232" t="str">
        <f>IF(AND(A416&lt;&gt;"",ISNUMBER(A416)),VLOOKUP(A416,Studies!A:BR,3,FALSE),"")</f>
        <v>https://www.ncbi.nlm.nih.gov/pubmed/7350291</v>
      </c>
      <c r="D416" s="232" t="str">
        <f>IF(AND(A416&lt;&gt;"",ISNUMBER(A416)),VLOOKUP(A416,Studies!A:BR,4,FALSE),"")</f>
        <v>ID 1</v>
      </c>
      <c r="E416" s="206" t="str">
        <f>IF(AND(A416&lt;&gt;"",ISNUMBER(A416)),VLOOKUP(A416,Studies!A:BR,5,FALSE),"")</f>
        <v>vancomycin</v>
      </c>
      <c r="F416" s="207" t="str">
        <f>IF(AND(A416&lt;&gt;"",ISNUMBER(A416)),VLOOKUP(A416,Studies!A:BR,6,FALSE),"")</f>
        <v>Plasma</v>
      </c>
      <c r="G416" s="194">
        <v>0.5</v>
      </c>
      <c r="H416" s="194" t="s">
        <v>60</v>
      </c>
      <c r="I416" s="187">
        <v>29.8</v>
      </c>
      <c r="J416" s="187" t="s">
        <v>1054</v>
      </c>
      <c r="K416" s="187" t="s">
        <v>116</v>
      </c>
      <c r="L416" s="195">
        <v>1.4</v>
      </c>
      <c r="M416" s="195" t="s">
        <v>1054</v>
      </c>
      <c r="N416" s="195" t="s">
        <v>1034</v>
      </c>
      <c r="O416" s="199"/>
      <c r="P416" s="188"/>
      <c r="Q416" s="174">
        <f>IF(ISNUMBER(VLOOKUP(A416,NotghiID!A:A,1,FALSE)),1,0)</f>
        <v>0</v>
      </c>
    </row>
    <row r="417" spans="1:17" ht="14.25" x14ac:dyDescent="0.2">
      <c r="A417" s="183">
        <v>408</v>
      </c>
      <c r="B417" s="232" t="str">
        <f>IF(AND(A417&lt;&gt;"",ISNUMBER(A417)),VLOOKUP(A417,Studies!A:BR,2,FALSE),"")</f>
        <v>Schaad 1980</v>
      </c>
      <c r="C417" s="232" t="str">
        <f>IF(AND(A417&lt;&gt;"",ISNUMBER(A417)),VLOOKUP(A417,Studies!A:BR,3,FALSE),"")</f>
        <v>https://www.ncbi.nlm.nih.gov/pubmed/7350291</v>
      </c>
      <c r="D417" s="232" t="str">
        <f>IF(AND(A417&lt;&gt;"",ISNUMBER(A417)),VLOOKUP(A417,Studies!A:BR,4,FALSE),"")</f>
        <v>ID 1</v>
      </c>
      <c r="E417" s="206" t="str">
        <f>IF(AND(A417&lt;&gt;"",ISNUMBER(A417)),VLOOKUP(A417,Studies!A:BR,5,FALSE),"")</f>
        <v>vancomycin</v>
      </c>
      <c r="F417" s="207" t="str">
        <f>IF(AND(A417&lt;&gt;"",ISNUMBER(A417)),VLOOKUP(A417,Studies!A:BR,6,FALSE),"")</f>
        <v>Plasma</v>
      </c>
      <c r="G417" s="194">
        <v>1</v>
      </c>
      <c r="H417" s="194" t="s">
        <v>60</v>
      </c>
      <c r="I417" s="187">
        <v>22.8</v>
      </c>
      <c r="J417" s="187" t="s">
        <v>1054</v>
      </c>
      <c r="K417" s="187" t="s">
        <v>116</v>
      </c>
      <c r="L417" s="195">
        <v>1.5</v>
      </c>
      <c r="M417" s="195" t="s">
        <v>1054</v>
      </c>
      <c r="N417" s="195" t="s">
        <v>1034</v>
      </c>
      <c r="O417" s="199"/>
      <c r="P417" s="188"/>
      <c r="Q417" s="174">
        <f>IF(ISNUMBER(VLOOKUP(A417,NotghiID!A:A,1,FALSE)),1,0)</f>
        <v>0</v>
      </c>
    </row>
    <row r="418" spans="1:17" ht="14.25" x14ac:dyDescent="0.2">
      <c r="A418" s="183">
        <v>408</v>
      </c>
      <c r="B418" s="232" t="str">
        <f>IF(AND(A418&lt;&gt;"",ISNUMBER(A418)),VLOOKUP(A418,Studies!A:BR,2,FALSE),"")</f>
        <v>Schaad 1980</v>
      </c>
      <c r="C418" s="232" t="str">
        <f>IF(AND(A418&lt;&gt;"",ISNUMBER(A418)),VLOOKUP(A418,Studies!A:BR,3,FALSE),"")</f>
        <v>https://www.ncbi.nlm.nih.gov/pubmed/7350291</v>
      </c>
      <c r="D418" s="232" t="str">
        <f>IF(AND(A418&lt;&gt;"",ISNUMBER(A418)),VLOOKUP(A418,Studies!A:BR,4,FALSE),"")</f>
        <v>ID 1</v>
      </c>
      <c r="E418" s="206" t="str">
        <f>IF(AND(A418&lt;&gt;"",ISNUMBER(A418)),VLOOKUP(A418,Studies!A:BR,5,FALSE),"")</f>
        <v>vancomycin</v>
      </c>
      <c r="F418" s="207" t="str">
        <f>IF(AND(A418&lt;&gt;"",ISNUMBER(A418)),VLOOKUP(A418,Studies!A:BR,6,FALSE),"")</f>
        <v>Plasma</v>
      </c>
      <c r="G418" s="194">
        <v>1.5</v>
      </c>
      <c r="H418" s="194" t="s">
        <v>60</v>
      </c>
      <c r="I418" s="187">
        <v>19.5</v>
      </c>
      <c r="J418" s="187" t="s">
        <v>1054</v>
      </c>
      <c r="K418" s="187" t="s">
        <v>116</v>
      </c>
      <c r="L418" s="195">
        <v>1.1000000000000001</v>
      </c>
      <c r="M418" s="195" t="s">
        <v>1054</v>
      </c>
      <c r="N418" s="195" t="s">
        <v>1034</v>
      </c>
      <c r="O418" s="199"/>
      <c r="P418" s="188"/>
      <c r="Q418" s="174">
        <f>IF(ISNUMBER(VLOOKUP(A418,NotghiID!A:A,1,FALSE)),1,0)</f>
        <v>0</v>
      </c>
    </row>
    <row r="419" spans="1:17" ht="14.25" x14ac:dyDescent="0.2">
      <c r="A419" s="183">
        <v>408</v>
      </c>
      <c r="B419" s="232" t="str">
        <f>IF(AND(A419&lt;&gt;"",ISNUMBER(A419)),VLOOKUP(A419,Studies!A:BR,2,FALSE),"")</f>
        <v>Schaad 1980</v>
      </c>
      <c r="C419" s="232" t="str">
        <f>IF(AND(A419&lt;&gt;"",ISNUMBER(A419)),VLOOKUP(A419,Studies!A:BR,3,FALSE),"")</f>
        <v>https://www.ncbi.nlm.nih.gov/pubmed/7350291</v>
      </c>
      <c r="D419" s="232" t="str">
        <f>IF(AND(A419&lt;&gt;"",ISNUMBER(A419)),VLOOKUP(A419,Studies!A:BR,4,FALSE),"")</f>
        <v>ID 1</v>
      </c>
      <c r="E419" s="206" t="str">
        <f>IF(AND(A419&lt;&gt;"",ISNUMBER(A419)),VLOOKUP(A419,Studies!A:BR,5,FALSE),"")</f>
        <v>vancomycin</v>
      </c>
      <c r="F419" s="207" t="str">
        <f>IF(AND(A419&lt;&gt;"",ISNUMBER(A419)),VLOOKUP(A419,Studies!A:BR,6,FALSE),"")</f>
        <v>Plasma</v>
      </c>
      <c r="G419" s="194">
        <v>2.5</v>
      </c>
      <c r="H419" s="194" t="s">
        <v>60</v>
      </c>
      <c r="I419" s="187">
        <v>17.7</v>
      </c>
      <c r="J419" s="187" t="s">
        <v>1054</v>
      </c>
      <c r="K419" s="187" t="s">
        <v>116</v>
      </c>
      <c r="L419" s="195">
        <v>1.1000000000000001</v>
      </c>
      <c r="M419" s="195" t="s">
        <v>1054</v>
      </c>
      <c r="N419" s="195" t="s">
        <v>1034</v>
      </c>
      <c r="O419" s="199"/>
      <c r="P419" s="188"/>
      <c r="Q419" s="174">
        <f>IF(ISNUMBER(VLOOKUP(A419,NotghiID!A:A,1,FALSE)),1,0)</f>
        <v>0</v>
      </c>
    </row>
    <row r="420" spans="1:17" ht="14.25" x14ac:dyDescent="0.2">
      <c r="A420" s="183">
        <v>408</v>
      </c>
      <c r="B420" s="232" t="str">
        <f>IF(AND(A420&lt;&gt;"",ISNUMBER(A420)),VLOOKUP(A420,Studies!A:BR,2,FALSE),"")</f>
        <v>Schaad 1980</v>
      </c>
      <c r="C420" s="232" t="str">
        <f>IF(AND(A420&lt;&gt;"",ISNUMBER(A420)),VLOOKUP(A420,Studies!A:BR,3,FALSE),"")</f>
        <v>https://www.ncbi.nlm.nih.gov/pubmed/7350291</v>
      </c>
      <c r="D420" s="232" t="str">
        <f>IF(AND(A420&lt;&gt;"",ISNUMBER(A420)),VLOOKUP(A420,Studies!A:BR,4,FALSE),"")</f>
        <v>ID 1</v>
      </c>
      <c r="E420" s="206" t="str">
        <f>IF(AND(A420&lt;&gt;"",ISNUMBER(A420)),VLOOKUP(A420,Studies!A:BR,5,FALSE),"")</f>
        <v>vancomycin</v>
      </c>
      <c r="F420" s="207" t="str">
        <f>IF(AND(A420&lt;&gt;"",ISNUMBER(A420)),VLOOKUP(A420,Studies!A:BR,6,FALSE),"")</f>
        <v>Plasma</v>
      </c>
      <c r="G420" s="194">
        <v>4.5</v>
      </c>
      <c r="H420" s="194" t="s">
        <v>60</v>
      </c>
      <c r="I420" s="187">
        <v>14.2</v>
      </c>
      <c r="J420" s="187" t="s">
        <v>1054</v>
      </c>
      <c r="K420" s="187" t="s">
        <v>116</v>
      </c>
      <c r="L420" s="195">
        <v>1.2</v>
      </c>
      <c r="M420" s="195" t="s">
        <v>1054</v>
      </c>
      <c r="N420" s="195" t="s">
        <v>1034</v>
      </c>
      <c r="O420" s="199"/>
      <c r="P420" s="188"/>
      <c r="Q420" s="174">
        <f>IF(ISNUMBER(VLOOKUP(A420,NotghiID!A:A,1,FALSE)),1,0)</f>
        <v>0</v>
      </c>
    </row>
    <row r="421" spans="1:17" ht="14.25" x14ac:dyDescent="0.2">
      <c r="A421" s="183">
        <v>408</v>
      </c>
      <c r="B421" s="232" t="str">
        <f>IF(AND(A421&lt;&gt;"",ISNUMBER(A421)),VLOOKUP(A421,Studies!A:BR,2,FALSE),"")</f>
        <v>Schaad 1980</v>
      </c>
      <c r="C421" s="232" t="str">
        <f>IF(AND(A421&lt;&gt;"",ISNUMBER(A421)),VLOOKUP(A421,Studies!A:BR,3,FALSE),"")</f>
        <v>https://www.ncbi.nlm.nih.gov/pubmed/7350291</v>
      </c>
      <c r="D421" s="232" t="str">
        <f>IF(AND(A421&lt;&gt;"",ISNUMBER(A421)),VLOOKUP(A421,Studies!A:BR,4,FALSE),"")</f>
        <v>ID 1</v>
      </c>
      <c r="E421" s="206" t="str">
        <f>IF(AND(A421&lt;&gt;"",ISNUMBER(A421)),VLOOKUP(A421,Studies!A:BR,5,FALSE),"")</f>
        <v>vancomycin</v>
      </c>
      <c r="F421" s="207" t="str">
        <f>IF(AND(A421&lt;&gt;"",ISNUMBER(A421)),VLOOKUP(A421,Studies!A:BR,6,FALSE),"")</f>
        <v>Plasma</v>
      </c>
      <c r="G421" s="194">
        <v>6.5</v>
      </c>
      <c r="H421" s="194" t="s">
        <v>60</v>
      </c>
      <c r="I421" s="187">
        <v>11.5</v>
      </c>
      <c r="J421" s="187" t="s">
        <v>1054</v>
      </c>
      <c r="K421" s="187" t="s">
        <v>116</v>
      </c>
      <c r="L421" s="195">
        <v>0.8</v>
      </c>
      <c r="M421" s="195" t="s">
        <v>1054</v>
      </c>
      <c r="N421" s="195" t="s">
        <v>1034</v>
      </c>
      <c r="O421" s="199"/>
      <c r="P421" s="188"/>
      <c r="Q421" s="174">
        <f>IF(ISNUMBER(VLOOKUP(A421,NotghiID!A:A,1,FALSE)),1,0)</f>
        <v>0</v>
      </c>
    </row>
    <row r="422" spans="1:17" ht="14.25" x14ac:dyDescent="0.2">
      <c r="A422" s="183">
        <v>409</v>
      </c>
      <c r="B422" s="232" t="str">
        <f>IF(AND(A422&lt;&gt;"",ISNUMBER(A422)),VLOOKUP(A422,Studies!A:BR,2,FALSE),"")</f>
        <v>Schaad 1980</v>
      </c>
      <c r="C422" s="232" t="str">
        <f>IF(AND(A422&lt;&gt;"",ISNUMBER(A422)),VLOOKUP(A422,Studies!A:BR,3,FALSE),"")</f>
        <v>https://www.ncbi.nlm.nih.gov/pubmed/7350291</v>
      </c>
      <c r="D422" s="232" t="str">
        <f>IF(AND(A422&lt;&gt;"",ISNUMBER(A422)),VLOOKUP(A422,Studies!A:BR,4,FALSE),"")</f>
        <v>ID 2</v>
      </c>
      <c r="E422" s="206" t="str">
        <f>IF(AND(A422&lt;&gt;"",ISNUMBER(A422)),VLOOKUP(A422,Studies!A:BR,5,FALSE),"")</f>
        <v>vancomycin</v>
      </c>
      <c r="F422" s="207" t="str">
        <f>IF(AND(A422&lt;&gt;"",ISNUMBER(A422)),VLOOKUP(A422,Studies!A:BR,6,FALSE),"")</f>
        <v>Plasma</v>
      </c>
      <c r="G422" s="194">
        <v>1</v>
      </c>
      <c r="H422" s="194" t="s">
        <v>60</v>
      </c>
      <c r="I422" s="187">
        <v>26.1</v>
      </c>
      <c r="J422" s="187" t="s">
        <v>1054</v>
      </c>
      <c r="K422" s="187" t="s">
        <v>116</v>
      </c>
      <c r="L422" s="195">
        <v>1.2</v>
      </c>
      <c r="M422" s="195" t="s">
        <v>1054</v>
      </c>
      <c r="N422" s="195" t="s">
        <v>1034</v>
      </c>
      <c r="O422" s="199"/>
      <c r="P422" s="188"/>
      <c r="Q422" s="174">
        <f>IF(ISNUMBER(VLOOKUP(A422,NotghiID!A:A,1,FALSE)),1,0)</f>
        <v>0</v>
      </c>
    </row>
    <row r="423" spans="1:17" ht="14.25" x14ac:dyDescent="0.2">
      <c r="A423" s="183">
        <v>409</v>
      </c>
      <c r="B423" s="232" t="str">
        <f>IF(AND(A423&lt;&gt;"",ISNUMBER(A423)),VLOOKUP(A423,Studies!A:BR,2,FALSE),"")</f>
        <v>Schaad 1980</v>
      </c>
      <c r="C423" s="232" t="str">
        <f>IF(AND(A423&lt;&gt;"",ISNUMBER(A423)),VLOOKUP(A423,Studies!A:BR,3,FALSE),"")</f>
        <v>https://www.ncbi.nlm.nih.gov/pubmed/7350291</v>
      </c>
      <c r="D423" s="232" t="str">
        <f>IF(AND(A423&lt;&gt;"",ISNUMBER(A423)),VLOOKUP(A423,Studies!A:BR,4,FALSE),"")</f>
        <v>ID 2</v>
      </c>
      <c r="E423" s="206" t="str">
        <f>IF(AND(A423&lt;&gt;"",ISNUMBER(A423)),VLOOKUP(A423,Studies!A:BR,5,FALSE),"")</f>
        <v>vancomycin</v>
      </c>
      <c r="F423" s="207" t="str">
        <f>IF(AND(A423&lt;&gt;"",ISNUMBER(A423)),VLOOKUP(A423,Studies!A:BR,6,FALSE),"")</f>
        <v>Plasma</v>
      </c>
      <c r="G423" s="194">
        <v>1.5</v>
      </c>
      <c r="H423" s="194" t="s">
        <v>60</v>
      </c>
      <c r="I423" s="187">
        <v>17.5</v>
      </c>
      <c r="J423" s="187" t="s">
        <v>1054</v>
      </c>
      <c r="K423" s="187" t="s">
        <v>116</v>
      </c>
      <c r="L423" s="195">
        <v>1.4</v>
      </c>
      <c r="M423" s="195" t="s">
        <v>1054</v>
      </c>
      <c r="N423" s="195" t="s">
        <v>1034</v>
      </c>
      <c r="O423" s="199"/>
      <c r="P423" s="188"/>
      <c r="Q423" s="174">
        <f>IF(ISNUMBER(VLOOKUP(A423,NotghiID!A:A,1,FALSE)),1,0)</f>
        <v>0</v>
      </c>
    </row>
    <row r="424" spans="1:17" ht="14.25" x14ac:dyDescent="0.2">
      <c r="A424" s="183">
        <v>409</v>
      </c>
      <c r="B424" s="232" t="str">
        <f>IF(AND(A424&lt;&gt;"",ISNUMBER(A424)),VLOOKUP(A424,Studies!A:BR,2,FALSE),"")</f>
        <v>Schaad 1980</v>
      </c>
      <c r="C424" s="232" t="str">
        <f>IF(AND(A424&lt;&gt;"",ISNUMBER(A424)),VLOOKUP(A424,Studies!A:BR,3,FALSE),"")</f>
        <v>https://www.ncbi.nlm.nih.gov/pubmed/7350291</v>
      </c>
      <c r="D424" s="232" t="str">
        <f>IF(AND(A424&lt;&gt;"",ISNUMBER(A424)),VLOOKUP(A424,Studies!A:BR,4,FALSE),"")</f>
        <v>ID 2</v>
      </c>
      <c r="E424" s="206" t="str">
        <f>IF(AND(A424&lt;&gt;"",ISNUMBER(A424)),VLOOKUP(A424,Studies!A:BR,5,FALSE),"")</f>
        <v>vancomycin</v>
      </c>
      <c r="F424" s="207" t="str">
        <f>IF(AND(A424&lt;&gt;"",ISNUMBER(A424)),VLOOKUP(A424,Studies!A:BR,6,FALSE),"")</f>
        <v>Plasma</v>
      </c>
      <c r="G424" s="194">
        <v>2</v>
      </c>
      <c r="H424" s="194" t="s">
        <v>60</v>
      </c>
      <c r="I424" s="187">
        <v>14.6</v>
      </c>
      <c r="J424" s="187" t="s">
        <v>1054</v>
      </c>
      <c r="K424" s="187" t="s">
        <v>116</v>
      </c>
      <c r="L424" s="195">
        <v>1.2</v>
      </c>
      <c r="M424" s="195" t="s">
        <v>1054</v>
      </c>
      <c r="N424" s="195" t="s">
        <v>1034</v>
      </c>
      <c r="O424" s="199"/>
      <c r="P424" s="188"/>
      <c r="Q424" s="174">
        <f>IF(ISNUMBER(VLOOKUP(A424,NotghiID!A:A,1,FALSE)),1,0)</f>
        <v>0</v>
      </c>
    </row>
    <row r="425" spans="1:17" ht="14.25" x14ac:dyDescent="0.2">
      <c r="A425" s="183">
        <v>409</v>
      </c>
      <c r="B425" s="232" t="str">
        <f>IF(AND(A425&lt;&gt;"",ISNUMBER(A425)),VLOOKUP(A425,Studies!A:BR,2,FALSE),"")</f>
        <v>Schaad 1980</v>
      </c>
      <c r="C425" s="232" t="str">
        <f>IF(AND(A425&lt;&gt;"",ISNUMBER(A425)),VLOOKUP(A425,Studies!A:BR,3,FALSE),"")</f>
        <v>https://www.ncbi.nlm.nih.gov/pubmed/7350291</v>
      </c>
      <c r="D425" s="232" t="str">
        <f>IF(AND(A425&lt;&gt;"",ISNUMBER(A425)),VLOOKUP(A425,Studies!A:BR,4,FALSE),"")</f>
        <v>ID 2</v>
      </c>
      <c r="E425" s="206" t="str">
        <f>IF(AND(A425&lt;&gt;"",ISNUMBER(A425)),VLOOKUP(A425,Studies!A:BR,5,FALSE),"")</f>
        <v>vancomycin</v>
      </c>
      <c r="F425" s="207" t="str">
        <f>IF(AND(A425&lt;&gt;"",ISNUMBER(A425)),VLOOKUP(A425,Studies!A:BR,6,FALSE),"")</f>
        <v>Plasma</v>
      </c>
      <c r="G425" s="194">
        <v>3</v>
      </c>
      <c r="H425" s="194" t="s">
        <v>60</v>
      </c>
      <c r="I425" s="187">
        <v>11.5</v>
      </c>
      <c r="J425" s="187" t="s">
        <v>1054</v>
      </c>
      <c r="K425" s="187" t="s">
        <v>116</v>
      </c>
      <c r="L425" s="195">
        <v>1.1000000000000001</v>
      </c>
      <c r="M425" s="195" t="s">
        <v>1054</v>
      </c>
      <c r="N425" s="195" t="s">
        <v>1034</v>
      </c>
      <c r="O425" s="199"/>
      <c r="P425" s="188"/>
      <c r="Q425" s="174">
        <f>IF(ISNUMBER(VLOOKUP(A425,NotghiID!A:A,1,FALSE)),1,0)</f>
        <v>0</v>
      </c>
    </row>
    <row r="426" spans="1:17" ht="14.25" x14ac:dyDescent="0.2">
      <c r="A426" s="183">
        <v>409</v>
      </c>
      <c r="B426" s="232" t="str">
        <f>IF(AND(A426&lt;&gt;"",ISNUMBER(A426)),VLOOKUP(A426,Studies!A:BR,2,FALSE),"")</f>
        <v>Schaad 1980</v>
      </c>
      <c r="C426" s="232" t="str">
        <f>IF(AND(A426&lt;&gt;"",ISNUMBER(A426)),VLOOKUP(A426,Studies!A:BR,3,FALSE),"")</f>
        <v>https://www.ncbi.nlm.nih.gov/pubmed/7350291</v>
      </c>
      <c r="D426" s="232" t="str">
        <f>IF(AND(A426&lt;&gt;"",ISNUMBER(A426)),VLOOKUP(A426,Studies!A:BR,4,FALSE),"")</f>
        <v>ID 2</v>
      </c>
      <c r="E426" s="206" t="str">
        <f>IF(AND(A426&lt;&gt;"",ISNUMBER(A426)),VLOOKUP(A426,Studies!A:BR,5,FALSE),"")</f>
        <v>vancomycin</v>
      </c>
      <c r="F426" s="207" t="str">
        <f>IF(AND(A426&lt;&gt;"",ISNUMBER(A426)),VLOOKUP(A426,Studies!A:BR,6,FALSE),"")</f>
        <v>Plasma</v>
      </c>
      <c r="G426" s="194">
        <v>5</v>
      </c>
      <c r="H426" s="194" t="s">
        <v>60</v>
      </c>
      <c r="I426" s="187">
        <v>8.3000000000000007</v>
      </c>
      <c r="J426" s="187" t="s">
        <v>1054</v>
      </c>
      <c r="K426" s="187" t="s">
        <v>116</v>
      </c>
      <c r="L426" s="195">
        <v>1.1000000000000001</v>
      </c>
      <c r="M426" s="195" t="s">
        <v>1054</v>
      </c>
      <c r="N426" s="195" t="s">
        <v>1034</v>
      </c>
      <c r="O426" s="199"/>
      <c r="P426" s="188"/>
      <c r="Q426" s="174">
        <f>IF(ISNUMBER(VLOOKUP(A426,NotghiID!A:A,1,FALSE)),1,0)</f>
        <v>0</v>
      </c>
    </row>
    <row r="427" spans="1:17" ht="14.25" x14ac:dyDescent="0.2">
      <c r="A427" s="183">
        <v>409</v>
      </c>
      <c r="B427" s="232" t="str">
        <f>IF(AND(A427&lt;&gt;"",ISNUMBER(A427)),VLOOKUP(A427,Studies!A:BR,2,FALSE),"")</f>
        <v>Schaad 1980</v>
      </c>
      <c r="C427" s="232" t="str">
        <f>IF(AND(A427&lt;&gt;"",ISNUMBER(A427)),VLOOKUP(A427,Studies!A:BR,3,FALSE),"")</f>
        <v>https://www.ncbi.nlm.nih.gov/pubmed/7350291</v>
      </c>
      <c r="D427" s="232" t="str">
        <f>IF(AND(A427&lt;&gt;"",ISNUMBER(A427)),VLOOKUP(A427,Studies!A:BR,4,FALSE),"")</f>
        <v>ID 2</v>
      </c>
      <c r="E427" s="206" t="str">
        <f>IF(AND(A427&lt;&gt;"",ISNUMBER(A427)),VLOOKUP(A427,Studies!A:BR,5,FALSE),"")</f>
        <v>vancomycin</v>
      </c>
      <c r="F427" s="207" t="str">
        <f>IF(AND(A427&lt;&gt;"",ISNUMBER(A427)),VLOOKUP(A427,Studies!A:BR,6,FALSE),"")</f>
        <v>Plasma</v>
      </c>
      <c r="G427" s="194">
        <v>7</v>
      </c>
      <c r="H427" s="194" t="s">
        <v>60</v>
      </c>
      <c r="I427" s="187">
        <v>5.9</v>
      </c>
      <c r="J427" s="187" t="s">
        <v>1054</v>
      </c>
      <c r="K427" s="187" t="s">
        <v>116</v>
      </c>
      <c r="L427" s="195">
        <v>0.8</v>
      </c>
      <c r="M427" s="195" t="s">
        <v>1054</v>
      </c>
      <c r="N427" s="195" t="s">
        <v>1034</v>
      </c>
      <c r="O427" s="199"/>
      <c r="P427" s="188"/>
      <c r="Q427" s="174">
        <f>IF(ISNUMBER(VLOOKUP(A427,NotghiID!A:A,1,FALSE)),1,0)</f>
        <v>0</v>
      </c>
    </row>
    <row r="428" spans="1:17" ht="14.25" x14ac:dyDescent="0.2">
      <c r="A428" s="183">
        <v>410</v>
      </c>
      <c r="B428" s="232" t="str">
        <f>IF(AND(A428&lt;&gt;"",ISNUMBER(A428)),VLOOKUP(A428,Studies!A:BR,2,FALSE),"")</f>
        <v>Schaad 1980</v>
      </c>
      <c r="C428" s="232" t="str">
        <f>IF(AND(A428&lt;&gt;"",ISNUMBER(A428)),VLOOKUP(A428,Studies!A:BR,3,FALSE),"")</f>
        <v>https://www.ncbi.nlm.nih.gov/pubmed/7350291</v>
      </c>
      <c r="D428" s="232" t="str">
        <f>IF(AND(A428&lt;&gt;"",ISNUMBER(A428)),VLOOKUP(A428,Studies!A:BR,4,FALSE),"")</f>
        <v>ID 3</v>
      </c>
      <c r="E428" s="206" t="str">
        <f>IF(AND(A428&lt;&gt;"",ISNUMBER(A428)),VLOOKUP(A428,Studies!A:BR,5,FALSE),"")</f>
        <v>vancomycin</v>
      </c>
      <c r="F428" s="207" t="str">
        <f>IF(AND(A428&lt;&gt;"",ISNUMBER(A428)),VLOOKUP(A428,Studies!A:BR,6,FALSE),"")</f>
        <v>Plasma</v>
      </c>
      <c r="G428" s="194">
        <v>1</v>
      </c>
      <c r="H428" s="194" t="s">
        <v>60</v>
      </c>
      <c r="I428" s="187">
        <v>28</v>
      </c>
      <c r="J428" s="187" t="s">
        <v>1054</v>
      </c>
      <c r="K428" s="187" t="s">
        <v>116</v>
      </c>
      <c r="L428" s="195">
        <v>1.1000000000000001</v>
      </c>
      <c r="M428" s="195" t="s">
        <v>1054</v>
      </c>
      <c r="N428" s="195" t="s">
        <v>1034</v>
      </c>
      <c r="O428" s="199"/>
      <c r="P428" s="188"/>
      <c r="Q428" s="174">
        <f>IF(ISNUMBER(VLOOKUP(A428,NotghiID!A:A,1,FALSE)),1,0)</f>
        <v>0</v>
      </c>
    </row>
    <row r="429" spans="1:17" ht="14.25" x14ac:dyDescent="0.2">
      <c r="A429" s="183">
        <v>410</v>
      </c>
      <c r="B429" s="232" t="str">
        <f>IF(AND(A429&lt;&gt;"",ISNUMBER(A429)),VLOOKUP(A429,Studies!A:BR,2,FALSE),"")</f>
        <v>Schaad 1980</v>
      </c>
      <c r="C429" s="232" t="str">
        <f>IF(AND(A429&lt;&gt;"",ISNUMBER(A429)),VLOOKUP(A429,Studies!A:BR,3,FALSE),"")</f>
        <v>https://www.ncbi.nlm.nih.gov/pubmed/7350291</v>
      </c>
      <c r="D429" s="232" t="str">
        <f>IF(AND(A429&lt;&gt;"",ISNUMBER(A429)),VLOOKUP(A429,Studies!A:BR,4,FALSE),"")</f>
        <v>ID 3</v>
      </c>
      <c r="E429" s="206" t="str">
        <f>IF(AND(A429&lt;&gt;"",ISNUMBER(A429)),VLOOKUP(A429,Studies!A:BR,5,FALSE),"")</f>
        <v>vancomycin</v>
      </c>
      <c r="F429" s="207" t="str">
        <f>IF(AND(A429&lt;&gt;"",ISNUMBER(A429)),VLOOKUP(A429,Studies!A:BR,6,FALSE),"")</f>
        <v>Plasma</v>
      </c>
      <c r="G429" s="194">
        <v>1.5</v>
      </c>
      <c r="H429" s="194" t="s">
        <v>60</v>
      </c>
      <c r="I429" s="187">
        <v>18.5</v>
      </c>
      <c r="J429" s="187" t="s">
        <v>1054</v>
      </c>
      <c r="K429" s="187" t="s">
        <v>116</v>
      </c>
      <c r="L429" s="195">
        <v>1.9</v>
      </c>
      <c r="M429" s="195" t="s">
        <v>1054</v>
      </c>
      <c r="N429" s="195" t="s">
        <v>1034</v>
      </c>
      <c r="O429" s="199"/>
      <c r="P429" s="188"/>
      <c r="Q429" s="174">
        <f>IF(ISNUMBER(VLOOKUP(A429,NotghiID!A:A,1,FALSE)),1,0)</f>
        <v>0</v>
      </c>
    </row>
    <row r="430" spans="1:17" ht="14.25" x14ac:dyDescent="0.2">
      <c r="A430" s="183">
        <v>410</v>
      </c>
      <c r="B430" s="232" t="str">
        <f>IF(AND(A430&lt;&gt;"",ISNUMBER(A430)),VLOOKUP(A430,Studies!A:BR,2,FALSE),"")</f>
        <v>Schaad 1980</v>
      </c>
      <c r="C430" s="232" t="str">
        <f>IF(AND(A430&lt;&gt;"",ISNUMBER(A430)),VLOOKUP(A430,Studies!A:BR,3,FALSE),"")</f>
        <v>https://www.ncbi.nlm.nih.gov/pubmed/7350291</v>
      </c>
      <c r="D430" s="232" t="str">
        <f>IF(AND(A430&lt;&gt;"",ISNUMBER(A430)),VLOOKUP(A430,Studies!A:BR,4,FALSE),"")</f>
        <v>ID 3</v>
      </c>
      <c r="E430" s="206" t="str">
        <f>IF(AND(A430&lt;&gt;"",ISNUMBER(A430)),VLOOKUP(A430,Studies!A:BR,5,FALSE),"")</f>
        <v>vancomycin</v>
      </c>
      <c r="F430" s="207" t="str">
        <f>IF(AND(A430&lt;&gt;"",ISNUMBER(A430)),VLOOKUP(A430,Studies!A:BR,6,FALSE),"")</f>
        <v>Plasma</v>
      </c>
      <c r="G430" s="194">
        <v>2</v>
      </c>
      <c r="H430" s="194" t="s">
        <v>60</v>
      </c>
      <c r="I430" s="187">
        <v>15.6</v>
      </c>
      <c r="J430" s="187" t="s">
        <v>1054</v>
      </c>
      <c r="K430" s="187" t="s">
        <v>116</v>
      </c>
      <c r="L430" s="195">
        <v>1.4</v>
      </c>
      <c r="M430" s="195" t="s">
        <v>1054</v>
      </c>
      <c r="N430" s="195" t="s">
        <v>1034</v>
      </c>
      <c r="O430" s="199"/>
      <c r="P430" s="188"/>
      <c r="Q430" s="174">
        <f>IF(ISNUMBER(VLOOKUP(A430,NotghiID!A:A,1,FALSE)),1,0)</f>
        <v>0</v>
      </c>
    </row>
    <row r="431" spans="1:17" ht="14.25" x14ac:dyDescent="0.2">
      <c r="A431" s="183">
        <v>410</v>
      </c>
      <c r="B431" s="232" t="str">
        <f>IF(AND(A431&lt;&gt;"",ISNUMBER(A431)),VLOOKUP(A431,Studies!A:BR,2,FALSE),"")</f>
        <v>Schaad 1980</v>
      </c>
      <c r="C431" s="232" t="str">
        <f>IF(AND(A431&lt;&gt;"",ISNUMBER(A431)),VLOOKUP(A431,Studies!A:BR,3,FALSE),"")</f>
        <v>https://www.ncbi.nlm.nih.gov/pubmed/7350291</v>
      </c>
      <c r="D431" s="232" t="str">
        <f>IF(AND(A431&lt;&gt;"",ISNUMBER(A431)),VLOOKUP(A431,Studies!A:BR,4,FALSE),"")</f>
        <v>ID 3</v>
      </c>
      <c r="E431" s="206" t="str">
        <f>IF(AND(A431&lt;&gt;"",ISNUMBER(A431)),VLOOKUP(A431,Studies!A:BR,5,FALSE),"")</f>
        <v>vancomycin</v>
      </c>
      <c r="F431" s="207" t="str">
        <f>IF(AND(A431&lt;&gt;"",ISNUMBER(A431)),VLOOKUP(A431,Studies!A:BR,6,FALSE),"")</f>
        <v>Plasma</v>
      </c>
      <c r="G431" s="194">
        <v>3</v>
      </c>
      <c r="H431" s="194" t="s">
        <v>60</v>
      </c>
      <c r="I431" s="187">
        <v>11.1</v>
      </c>
      <c r="J431" s="187" t="s">
        <v>1054</v>
      </c>
      <c r="K431" s="187" t="s">
        <v>116</v>
      </c>
      <c r="L431" s="195">
        <v>2</v>
      </c>
      <c r="M431" s="195" t="s">
        <v>1054</v>
      </c>
      <c r="N431" s="195" t="s">
        <v>1034</v>
      </c>
      <c r="O431" s="199"/>
      <c r="P431" s="188"/>
      <c r="Q431" s="174">
        <f>IF(ISNUMBER(VLOOKUP(A431,NotghiID!A:A,1,FALSE)),1,0)</f>
        <v>0</v>
      </c>
    </row>
    <row r="432" spans="1:17" ht="14.25" x14ac:dyDescent="0.2">
      <c r="A432" s="183">
        <v>410</v>
      </c>
      <c r="B432" s="232" t="str">
        <f>IF(AND(A432&lt;&gt;"",ISNUMBER(A432)),VLOOKUP(A432,Studies!A:BR,2,FALSE),"")</f>
        <v>Schaad 1980</v>
      </c>
      <c r="C432" s="232" t="str">
        <f>IF(AND(A432&lt;&gt;"",ISNUMBER(A432)),VLOOKUP(A432,Studies!A:BR,3,FALSE),"")</f>
        <v>https://www.ncbi.nlm.nih.gov/pubmed/7350291</v>
      </c>
      <c r="D432" s="232" t="str">
        <f>IF(AND(A432&lt;&gt;"",ISNUMBER(A432)),VLOOKUP(A432,Studies!A:BR,4,FALSE),"")</f>
        <v>ID 3</v>
      </c>
      <c r="E432" s="206" t="str">
        <f>IF(AND(A432&lt;&gt;"",ISNUMBER(A432)),VLOOKUP(A432,Studies!A:BR,5,FALSE),"")</f>
        <v>vancomycin</v>
      </c>
      <c r="F432" s="207" t="str">
        <f>IF(AND(A432&lt;&gt;"",ISNUMBER(A432)),VLOOKUP(A432,Studies!A:BR,6,FALSE),"")</f>
        <v>Plasma</v>
      </c>
      <c r="G432" s="194">
        <v>5</v>
      </c>
      <c r="H432" s="194" t="s">
        <v>60</v>
      </c>
      <c r="I432" s="187">
        <v>6.9</v>
      </c>
      <c r="J432" s="187" t="s">
        <v>1054</v>
      </c>
      <c r="K432" s="187" t="s">
        <v>116</v>
      </c>
      <c r="L432" s="195">
        <v>2.1</v>
      </c>
      <c r="M432" s="195" t="s">
        <v>1054</v>
      </c>
      <c r="N432" s="195" t="s">
        <v>1034</v>
      </c>
      <c r="O432" s="199"/>
      <c r="P432" s="188"/>
      <c r="Q432" s="174">
        <f>IF(ISNUMBER(VLOOKUP(A432,NotghiID!A:A,1,FALSE)),1,0)</f>
        <v>0</v>
      </c>
    </row>
    <row r="433" spans="1:17" ht="14.25" x14ac:dyDescent="0.2">
      <c r="A433" s="183">
        <v>410</v>
      </c>
      <c r="B433" s="232" t="str">
        <f>IF(AND(A433&lt;&gt;"",ISNUMBER(A433)),VLOOKUP(A433,Studies!A:BR,2,FALSE),"")</f>
        <v>Schaad 1980</v>
      </c>
      <c r="C433" s="232" t="str">
        <f>IF(AND(A433&lt;&gt;"",ISNUMBER(A433)),VLOOKUP(A433,Studies!A:BR,3,FALSE),"")</f>
        <v>https://www.ncbi.nlm.nih.gov/pubmed/7350291</v>
      </c>
      <c r="D433" s="232" t="str">
        <f>IF(AND(A433&lt;&gt;"",ISNUMBER(A433)),VLOOKUP(A433,Studies!A:BR,4,FALSE),"")</f>
        <v>ID 3</v>
      </c>
      <c r="E433" s="206" t="str">
        <f>IF(AND(A433&lt;&gt;"",ISNUMBER(A433)),VLOOKUP(A433,Studies!A:BR,5,FALSE),"")</f>
        <v>vancomycin</v>
      </c>
      <c r="F433" s="207" t="str">
        <f>IF(AND(A433&lt;&gt;"",ISNUMBER(A433)),VLOOKUP(A433,Studies!A:BR,6,FALSE),"")</f>
        <v>Plasma</v>
      </c>
      <c r="G433" s="194">
        <v>7</v>
      </c>
      <c r="H433" s="194" t="s">
        <v>60</v>
      </c>
      <c r="I433" s="187">
        <v>5.2</v>
      </c>
      <c r="J433" s="187" t="s">
        <v>1054</v>
      </c>
      <c r="K433" s="187" t="s">
        <v>116</v>
      </c>
      <c r="L433" s="195">
        <v>1.5</v>
      </c>
      <c r="M433" s="195" t="s">
        <v>1054</v>
      </c>
      <c r="N433" s="195" t="s">
        <v>1034</v>
      </c>
      <c r="O433" s="199"/>
      <c r="P433" s="188"/>
      <c r="Q433" s="174">
        <f>IF(ISNUMBER(VLOOKUP(A433,NotghiID!A:A,1,FALSE)),1,0)</f>
        <v>0</v>
      </c>
    </row>
    <row r="434" spans="1:17" ht="14.25" x14ac:dyDescent="0.2">
      <c r="A434" s="183">
        <v>411</v>
      </c>
      <c r="B434" s="232" t="str">
        <f>IF(AND(A434&lt;&gt;"",ISNUMBER(A434)),VLOOKUP(A434,Studies!A:BR,2,FALSE),"")</f>
        <v>Schaad 1980</v>
      </c>
      <c r="C434" s="232" t="str">
        <f>IF(AND(A434&lt;&gt;"",ISNUMBER(A434)),VLOOKUP(A434,Studies!A:BR,3,FALSE),"")</f>
        <v>https://www.ncbi.nlm.nih.gov/pubmed/7350291</v>
      </c>
      <c r="D434" s="232" t="str">
        <f>IF(AND(A434&lt;&gt;"",ISNUMBER(A434)),VLOOKUP(A434,Studies!A:BR,4,FALSE),"")</f>
        <v>ID 4</v>
      </c>
      <c r="E434" s="206" t="str">
        <f>IF(AND(A434&lt;&gt;"",ISNUMBER(A434)),VLOOKUP(A434,Studies!A:BR,5,FALSE),"")</f>
        <v>vancomycin</v>
      </c>
      <c r="F434" s="207" t="str">
        <f>IF(AND(A434&lt;&gt;"",ISNUMBER(A434)),VLOOKUP(A434,Studies!A:BR,6,FALSE),"")</f>
        <v>Plasma</v>
      </c>
      <c r="G434" s="194">
        <v>1</v>
      </c>
      <c r="H434" s="194" t="s">
        <v>60</v>
      </c>
      <c r="I434" s="187">
        <v>32.5</v>
      </c>
      <c r="J434" s="187" t="s">
        <v>1054</v>
      </c>
      <c r="K434" s="187" t="s">
        <v>116</v>
      </c>
      <c r="L434" s="195">
        <v>2</v>
      </c>
      <c r="M434" s="195" t="s">
        <v>1054</v>
      </c>
      <c r="N434" s="195" t="s">
        <v>1034</v>
      </c>
      <c r="O434" s="199"/>
      <c r="P434" s="188"/>
      <c r="Q434" s="174">
        <f>IF(ISNUMBER(VLOOKUP(A434,NotghiID!A:A,1,FALSE)),1,0)</f>
        <v>0</v>
      </c>
    </row>
    <row r="435" spans="1:17" ht="14.25" x14ac:dyDescent="0.2">
      <c r="A435" s="183">
        <v>411</v>
      </c>
      <c r="B435" s="232" t="str">
        <f>IF(AND(A435&lt;&gt;"",ISNUMBER(A435)),VLOOKUP(A435,Studies!A:BR,2,FALSE),"")</f>
        <v>Schaad 1980</v>
      </c>
      <c r="C435" s="232" t="str">
        <f>IF(AND(A435&lt;&gt;"",ISNUMBER(A435)),VLOOKUP(A435,Studies!A:BR,3,FALSE),"")</f>
        <v>https://www.ncbi.nlm.nih.gov/pubmed/7350291</v>
      </c>
      <c r="D435" s="232" t="str">
        <f>IF(AND(A435&lt;&gt;"",ISNUMBER(A435)),VLOOKUP(A435,Studies!A:BR,4,FALSE),"")</f>
        <v>ID 4</v>
      </c>
      <c r="E435" s="206" t="str">
        <f>IF(AND(A435&lt;&gt;"",ISNUMBER(A435)),VLOOKUP(A435,Studies!A:BR,5,FALSE),"")</f>
        <v>vancomycin</v>
      </c>
      <c r="F435" s="207" t="str">
        <f>IF(AND(A435&lt;&gt;"",ISNUMBER(A435)),VLOOKUP(A435,Studies!A:BR,6,FALSE),"")</f>
        <v>Plasma</v>
      </c>
      <c r="G435" s="194">
        <v>1.5</v>
      </c>
      <c r="H435" s="194" t="s">
        <v>60</v>
      </c>
      <c r="I435" s="187">
        <v>17.7</v>
      </c>
      <c r="J435" s="187" t="s">
        <v>1054</v>
      </c>
      <c r="K435" s="187" t="s">
        <v>116</v>
      </c>
      <c r="L435" s="195">
        <v>1</v>
      </c>
      <c r="M435" s="195" t="s">
        <v>1054</v>
      </c>
      <c r="N435" s="195" t="s">
        <v>1034</v>
      </c>
      <c r="O435" s="199"/>
      <c r="P435" s="188"/>
      <c r="Q435" s="174">
        <f>IF(ISNUMBER(VLOOKUP(A435,NotghiID!A:A,1,FALSE)),1,0)</f>
        <v>0</v>
      </c>
    </row>
    <row r="436" spans="1:17" ht="14.25" x14ac:dyDescent="0.2">
      <c r="A436" s="183">
        <v>411</v>
      </c>
      <c r="B436" s="232" t="str">
        <f>IF(AND(A436&lt;&gt;"",ISNUMBER(A436)),VLOOKUP(A436,Studies!A:BR,2,FALSE),"")</f>
        <v>Schaad 1980</v>
      </c>
      <c r="C436" s="232" t="str">
        <f>IF(AND(A436&lt;&gt;"",ISNUMBER(A436)),VLOOKUP(A436,Studies!A:BR,3,FALSE),"")</f>
        <v>https://www.ncbi.nlm.nih.gov/pubmed/7350291</v>
      </c>
      <c r="D436" s="232" t="str">
        <f>IF(AND(A436&lt;&gt;"",ISNUMBER(A436)),VLOOKUP(A436,Studies!A:BR,4,FALSE),"")</f>
        <v>ID 4</v>
      </c>
      <c r="E436" s="206" t="str">
        <f>IF(AND(A436&lt;&gt;"",ISNUMBER(A436)),VLOOKUP(A436,Studies!A:BR,5,FALSE),"")</f>
        <v>vancomycin</v>
      </c>
      <c r="F436" s="207" t="str">
        <f>IF(AND(A436&lt;&gt;"",ISNUMBER(A436)),VLOOKUP(A436,Studies!A:BR,6,FALSE),"")</f>
        <v>Plasma</v>
      </c>
      <c r="G436" s="194">
        <v>2</v>
      </c>
      <c r="H436" s="194" t="s">
        <v>60</v>
      </c>
      <c r="I436" s="187">
        <v>13.6</v>
      </c>
      <c r="J436" s="187" t="s">
        <v>1054</v>
      </c>
      <c r="K436" s="187" t="s">
        <v>116</v>
      </c>
      <c r="L436" s="195">
        <v>0.9</v>
      </c>
      <c r="M436" s="195" t="s">
        <v>1054</v>
      </c>
      <c r="N436" s="195" t="s">
        <v>1034</v>
      </c>
      <c r="O436" s="199"/>
      <c r="P436" s="188"/>
      <c r="Q436" s="174">
        <f>IF(ISNUMBER(VLOOKUP(A436,NotghiID!A:A,1,FALSE)),1,0)</f>
        <v>0</v>
      </c>
    </row>
    <row r="437" spans="1:17" ht="14.25" x14ac:dyDescent="0.2">
      <c r="A437" s="183">
        <v>411</v>
      </c>
      <c r="B437" s="232" t="str">
        <f>IF(AND(A437&lt;&gt;"",ISNUMBER(A437)),VLOOKUP(A437,Studies!A:BR,2,FALSE),"")</f>
        <v>Schaad 1980</v>
      </c>
      <c r="C437" s="232" t="str">
        <f>IF(AND(A437&lt;&gt;"",ISNUMBER(A437)),VLOOKUP(A437,Studies!A:BR,3,FALSE),"")</f>
        <v>https://www.ncbi.nlm.nih.gov/pubmed/7350291</v>
      </c>
      <c r="D437" s="232" t="str">
        <f>IF(AND(A437&lt;&gt;"",ISNUMBER(A437)),VLOOKUP(A437,Studies!A:BR,4,FALSE),"")</f>
        <v>ID 4</v>
      </c>
      <c r="E437" s="206" t="str">
        <f>IF(AND(A437&lt;&gt;"",ISNUMBER(A437)),VLOOKUP(A437,Studies!A:BR,5,FALSE),"")</f>
        <v>vancomycin</v>
      </c>
      <c r="F437" s="207" t="str">
        <f>IF(AND(A437&lt;&gt;"",ISNUMBER(A437)),VLOOKUP(A437,Studies!A:BR,6,FALSE),"")</f>
        <v>Plasma</v>
      </c>
      <c r="G437" s="194">
        <v>3</v>
      </c>
      <c r="H437" s="194" t="s">
        <v>60</v>
      </c>
      <c r="I437" s="187">
        <v>9.5</v>
      </c>
      <c r="J437" s="187" t="s">
        <v>1054</v>
      </c>
      <c r="K437" s="187" t="s">
        <v>116</v>
      </c>
      <c r="L437" s="195">
        <v>0.6</v>
      </c>
      <c r="M437" s="195" t="s">
        <v>1054</v>
      </c>
      <c r="N437" s="195" t="s">
        <v>1034</v>
      </c>
      <c r="O437" s="199"/>
      <c r="P437" s="188"/>
      <c r="Q437" s="174">
        <f>IF(ISNUMBER(VLOOKUP(A437,NotghiID!A:A,1,FALSE)),1,0)</f>
        <v>0</v>
      </c>
    </row>
    <row r="438" spans="1:17" ht="14.25" x14ac:dyDescent="0.2">
      <c r="A438" s="183">
        <v>411</v>
      </c>
      <c r="B438" s="232" t="str">
        <f>IF(AND(A438&lt;&gt;"",ISNUMBER(A438)),VLOOKUP(A438,Studies!A:BR,2,FALSE),"")</f>
        <v>Schaad 1980</v>
      </c>
      <c r="C438" s="232" t="str">
        <f>IF(AND(A438&lt;&gt;"",ISNUMBER(A438)),VLOOKUP(A438,Studies!A:BR,3,FALSE),"")</f>
        <v>https://www.ncbi.nlm.nih.gov/pubmed/7350291</v>
      </c>
      <c r="D438" s="232" t="str">
        <f>IF(AND(A438&lt;&gt;"",ISNUMBER(A438)),VLOOKUP(A438,Studies!A:BR,4,FALSE),"")</f>
        <v>ID 4</v>
      </c>
      <c r="E438" s="206" t="str">
        <f>IF(AND(A438&lt;&gt;"",ISNUMBER(A438)),VLOOKUP(A438,Studies!A:BR,5,FALSE),"")</f>
        <v>vancomycin</v>
      </c>
      <c r="F438" s="207" t="str">
        <f>IF(AND(A438&lt;&gt;"",ISNUMBER(A438)),VLOOKUP(A438,Studies!A:BR,6,FALSE),"")</f>
        <v>Plasma</v>
      </c>
      <c r="G438" s="194">
        <v>5</v>
      </c>
      <c r="H438" s="194" t="s">
        <v>60</v>
      </c>
      <c r="I438" s="187">
        <v>5.0999999999999996</v>
      </c>
      <c r="J438" s="187" t="s">
        <v>1054</v>
      </c>
      <c r="K438" s="187" t="s">
        <v>116</v>
      </c>
      <c r="L438" s="195">
        <v>0.5</v>
      </c>
      <c r="M438" s="195" t="s">
        <v>1054</v>
      </c>
      <c r="N438" s="195" t="s">
        <v>1034</v>
      </c>
      <c r="O438" s="199"/>
      <c r="P438" s="188"/>
      <c r="Q438" s="174">
        <f>IF(ISNUMBER(VLOOKUP(A438,NotghiID!A:A,1,FALSE)),1,0)</f>
        <v>0</v>
      </c>
    </row>
    <row r="439" spans="1:17" ht="14.25" x14ac:dyDescent="0.2">
      <c r="A439" s="183">
        <v>411</v>
      </c>
      <c r="B439" s="232" t="str">
        <f>IF(AND(A439&lt;&gt;"",ISNUMBER(A439)),VLOOKUP(A439,Studies!A:BR,2,FALSE),"")</f>
        <v>Schaad 1980</v>
      </c>
      <c r="C439" s="232" t="str">
        <f>IF(AND(A439&lt;&gt;"",ISNUMBER(A439)),VLOOKUP(A439,Studies!A:BR,3,FALSE),"")</f>
        <v>https://www.ncbi.nlm.nih.gov/pubmed/7350291</v>
      </c>
      <c r="D439" s="232" t="str">
        <f>IF(AND(A439&lt;&gt;"",ISNUMBER(A439)),VLOOKUP(A439,Studies!A:BR,4,FALSE),"")</f>
        <v>ID 4</v>
      </c>
      <c r="E439" s="206" t="str">
        <f>IF(AND(A439&lt;&gt;"",ISNUMBER(A439)),VLOOKUP(A439,Studies!A:BR,5,FALSE),"")</f>
        <v>vancomycin</v>
      </c>
      <c r="F439" s="207" t="str">
        <f>IF(AND(A439&lt;&gt;"",ISNUMBER(A439)),VLOOKUP(A439,Studies!A:BR,6,FALSE),"")</f>
        <v>Plasma</v>
      </c>
      <c r="G439" s="194">
        <v>7</v>
      </c>
      <c r="H439" s="194" t="s">
        <v>60</v>
      </c>
      <c r="I439" s="187">
        <v>3</v>
      </c>
      <c r="J439" s="187" t="s">
        <v>1054</v>
      </c>
      <c r="K439" s="187" t="s">
        <v>116</v>
      </c>
      <c r="L439" s="195">
        <v>0.3</v>
      </c>
      <c r="M439" s="195" t="s">
        <v>1054</v>
      </c>
      <c r="N439" s="195" t="s">
        <v>1034</v>
      </c>
      <c r="O439" s="199"/>
      <c r="P439" s="188"/>
      <c r="Q439" s="174">
        <f>IF(ISNUMBER(VLOOKUP(A439,NotghiID!A:A,1,FALSE)),1,0)</f>
        <v>0</v>
      </c>
    </row>
    <row r="440" spans="1:17" ht="14.25" x14ac:dyDescent="0.2">
      <c r="A440" s="183">
        <v>412</v>
      </c>
      <c r="B440" s="232" t="str">
        <f>IF(AND(A440&lt;&gt;"",ISNUMBER(A440)),VLOOKUP(A440,Studies!A:BR,2,FALSE),"")</f>
        <v>Schaad 1980</v>
      </c>
      <c r="C440" s="232" t="str">
        <f>IF(AND(A440&lt;&gt;"",ISNUMBER(A440)),VLOOKUP(A440,Studies!A:BR,3,FALSE),"")</f>
        <v>https://www.ncbi.nlm.nih.gov/pubmed/7350291</v>
      </c>
      <c r="D440" s="232" t="str">
        <f>IF(AND(A440&lt;&gt;"",ISNUMBER(A440)),VLOOKUP(A440,Studies!A:BR,4,FALSE),"")</f>
        <v>ID 5</v>
      </c>
      <c r="E440" s="206" t="str">
        <f>IF(AND(A440&lt;&gt;"",ISNUMBER(A440)),VLOOKUP(A440,Studies!A:BR,5,FALSE),"")</f>
        <v>vancomycin</v>
      </c>
      <c r="F440" s="207" t="str">
        <f>IF(AND(A440&lt;&gt;"",ISNUMBER(A440)),VLOOKUP(A440,Studies!A:BR,6,FALSE),"")</f>
        <v>Plasma</v>
      </c>
      <c r="G440" s="194">
        <v>1</v>
      </c>
      <c r="H440" s="194" t="s">
        <v>60</v>
      </c>
      <c r="I440" s="187">
        <v>27.2</v>
      </c>
      <c r="J440" s="187" t="s">
        <v>1054</v>
      </c>
      <c r="K440" s="187" t="s">
        <v>116</v>
      </c>
      <c r="L440" s="195">
        <v>1.2</v>
      </c>
      <c r="M440" s="195" t="s">
        <v>1054</v>
      </c>
      <c r="N440" s="195" t="s">
        <v>1034</v>
      </c>
      <c r="O440" s="199"/>
      <c r="P440" s="188"/>
      <c r="Q440" s="174">
        <f>IF(ISNUMBER(VLOOKUP(A440,NotghiID!A:A,1,FALSE)),1,0)</f>
        <v>0</v>
      </c>
    </row>
    <row r="441" spans="1:17" ht="14.25" x14ac:dyDescent="0.2">
      <c r="A441" s="183">
        <v>412</v>
      </c>
      <c r="B441" s="232" t="str">
        <f>IF(AND(A441&lt;&gt;"",ISNUMBER(A441)),VLOOKUP(A441,Studies!A:BR,2,FALSE),"")</f>
        <v>Schaad 1980</v>
      </c>
      <c r="C441" s="232" t="str">
        <f>IF(AND(A441&lt;&gt;"",ISNUMBER(A441)),VLOOKUP(A441,Studies!A:BR,3,FALSE),"")</f>
        <v>https://www.ncbi.nlm.nih.gov/pubmed/7350291</v>
      </c>
      <c r="D441" s="232" t="str">
        <f>IF(AND(A441&lt;&gt;"",ISNUMBER(A441)),VLOOKUP(A441,Studies!A:BR,4,FALSE),"")</f>
        <v>ID 5</v>
      </c>
      <c r="E441" s="206" t="str">
        <f>IF(AND(A441&lt;&gt;"",ISNUMBER(A441)),VLOOKUP(A441,Studies!A:BR,5,FALSE),"")</f>
        <v>vancomycin</v>
      </c>
      <c r="F441" s="207" t="str">
        <f>IF(AND(A441&lt;&gt;"",ISNUMBER(A441)),VLOOKUP(A441,Studies!A:BR,6,FALSE),"")</f>
        <v>Plasma</v>
      </c>
      <c r="G441" s="194">
        <v>1.5</v>
      </c>
      <c r="H441" s="194" t="s">
        <v>60</v>
      </c>
      <c r="I441" s="187">
        <v>16.899999999999999</v>
      </c>
      <c r="J441" s="187" t="s">
        <v>1054</v>
      </c>
      <c r="K441" s="187" t="s">
        <v>116</v>
      </c>
      <c r="L441" s="195">
        <v>1.2</v>
      </c>
      <c r="M441" s="195" t="s">
        <v>1054</v>
      </c>
      <c r="N441" s="195" t="s">
        <v>1034</v>
      </c>
      <c r="O441" s="199"/>
      <c r="P441" s="188"/>
      <c r="Q441" s="174">
        <f>IF(ISNUMBER(VLOOKUP(A441,NotghiID!A:A,1,FALSE)),1,0)</f>
        <v>0</v>
      </c>
    </row>
    <row r="442" spans="1:17" ht="14.25" x14ac:dyDescent="0.2">
      <c r="A442" s="183">
        <v>412</v>
      </c>
      <c r="B442" s="232" t="str">
        <f>IF(AND(A442&lt;&gt;"",ISNUMBER(A442)),VLOOKUP(A442,Studies!A:BR,2,FALSE),"")</f>
        <v>Schaad 1980</v>
      </c>
      <c r="C442" s="232" t="str">
        <f>IF(AND(A442&lt;&gt;"",ISNUMBER(A442)),VLOOKUP(A442,Studies!A:BR,3,FALSE),"")</f>
        <v>https://www.ncbi.nlm.nih.gov/pubmed/7350291</v>
      </c>
      <c r="D442" s="232" t="str">
        <f>IF(AND(A442&lt;&gt;"",ISNUMBER(A442)),VLOOKUP(A442,Studies!A:BR,4,FALSE),"")</f>
        <v>ID 5</v>
      </c>
      <c r="E442" s="206" t="str">
        <f>IF(AND(A442&lt;&gt;"",ISNUMBER(A442)),VLOOKUP(A442,Studies!A:BR,5,FALSE),"")</f>
        <v>vancomycin</v>
      </c>
      <c r="F442" s="207" t="str">
        <f>IF(AND(A442&lt;&gt;"",ISNUMBER(A442)),VLOOKUP(A442,Studies!A:BR,6,FALSE),"")</f>
        <v>Plasma</v>
      </c>
      <c r="G442" s="194">
        <v>2</v>
      </c>
      <c r="H442" s="194" t="s">
        <v>60</v>
      </c>
      <c r="I442" s="187">
        <v>12.4</v>
      </c>
      <c r="J442" s="187" t="s">
        <v>1054</v>
      </c>
      <c r="K442" s="187" t="s">
        <v>116</v>
      </c>
      <c r="L442" s="195">
        <v>0.6</v>
      </c>
      <c r="M442" s="195" t="s">
        <v>1054</v>
      </c>
      <c r="N442" s="195" t="s">
        <v>1034</v>
      </c>
      <c r="O442" s="199"/>
      <c r="P442" s="188"/>
      <c r="Q442" s="174">
        <f>IF(ISNUMBER(VLOOKUP(A442,NotghiID!A:A,1,FALSE)),1,0)</f>
        <v>0</v>
      </c>
    </row>
    <row r="443" spans="1:17" ht="14.25" x14ac:dyDescent="0.2">
      <c r="A443" s="183">
        <v>412</v>
      </c>
      <c r="B443" s="232" t="str">
        <f>IF(AND(A443&lt;&gt;"",ISNUMBER(A443)),VLOOKUP(A443,Studies!A:BR,2,FALSE),"")</f>
        <v>Schaad 1980</v>
      </c>
      <c r="C443" s="232" t="str">
        <f>IF(AND(A443&lt;&gt;"",ISNUMBER(A443)),VLOOKUP(A443,Studies!A:BR,3,FALSE),"")</f>
        <v>https://www.ncbi.nlm.nih.gov/pubmed/7350291</v>
      </c>
      <c r="D443" s="232" t="str">
        <f>IF(AND(A443&lt;&gt;"",ISNUMBER(A443)),VLOOKUP(A443,Studies!A:BR,4,FALSE),"")</f>
        <v>ID 5</v>
      </c>
      <c r="E443" s="206" t="str">
        <f>IF(AND(A443&lt;&gt;"",ISNUMBER(A443)),VLOOKUP(A443,Studies!A:BR,5,FALSE),"")</f>
        <v>vancomycin</v>
      </c>
      <c r="F443" s="207" t="str">
        <f>IF(AND(A443&lt;&gt;"",ISNUMBER(A443)),VLOOKUP(A443,Studies!A:BR,6,FALSE),"")</f>
        <v>Plasma</v>
      </c>
      <c r="G443" s="194">
        <v>3</v>
      </c>
      <c r="H443" s="194" t="s">
        <v>60</v>
      </c>
      <c r="I443" s="187">
        <v>7.6</v>
      </c>
      <c r="J443" s="187" t="s">
        <v>1054</v>
      </c>
      <c r="K443" s="187" t="s">
        <v>116</v>
      </c>
      <c r="L443" s="195">
        <v>0.6</v>
      </c>
      <c r="M443" s="195" t="s">
        <v>1054</v>
      </c>
      <c r="N443" s="195" t="s">
        <v>1034</v>
      </c>
      <c r="O443" s="199"/>
      <c r="P443" s="188"/>
      <c r="Q443" s="174">
        <f>IF(ISNUMBER(VLOOKUP(A443,NotghiID!A:A,1,FALSE)),1,0)</f>
        <v>0</v>
      </c>
    </row>
    <row r="444" spans="1:17" ht="14.25" x14ac:dyDescent="0.2">
      <c r="A444" s="183">
        <v>412</v>
      </c>
      <c r="B444" s="232" t="str">
        <f>IF(AND(A444&lt;&gt;"",ISNUMBER(A444)),VLOOKUP(A444,Studies!A:BR,2,FALSE),"")</f>
        <v>Schaad 1980</v>
      </c>
      <c r="C444" s="232" t="str">
        <f>IF(AND(A444&lt;&gt;"",ISNUMBER(A444)),VLOOKUP(A444,Studies!A:BR,3,FALSE),"")</f>
        <v>https://www.ncbi.nlm.nih.gov/pubmed/7350291</v>
      </c>
      <c r="D444" s="232" t="str">
        <f>IF(AND(A444&lt;&gt;"",ISNUMBER(A444)),VLOOKUP(A444,Studies!A:BR,4,FALSE),"")</f>
        <v>ID 5</v>
      </c>
      <c r="E444" s="206" t="str">
        <f>IF(AND(A444&lt;&gt;"",ISNUMBER(A444)),VLOOKUP(A444,Studies!A:BR,5,FALSE),"")</f>
        <v>vancomycin</v>
      </c>
      <c r="F444" s="207" t="str">
        <f>IF(AND(A444&lt;&gt;"",ISNUMBER(A444)),VLOOKUP(A444,Studies!A:BR,6,FALSE),"")</f>
        <v>Plasma</v>
      </c>
      <c r="G444" s="194">
        <v>5</v>
      </c>
      <c r="H444" s="194" t="s">
        <v>60</v>
      </c>
      <c r="I444" s="187">
        <v>4.0999999999999996</v>
      </c>
      <c r="J444" s="187" t="s">
        <v>1054</v>
      </c>
      <c r="K444" s="187" t="s">
        <v>116</v>
      </c>
      <c r="L444" s="195">
        <v>0.4</v>
      </c>
      <c r="M444" s="195" t="s">
        <v>1054</v>
      </c>
      <c r="N444" s="195" t="s">
        <v>1034</v>
      </c>
      <c r="O444" s="199"/>
      <c r="P444" s="188"/>
      <c r="Q444" s="174">
        <f>IF(ISNUMBER(VLOOKUP(A444,NotghiID!A:A,1,FALSE)),1,0)</f>
        <v>0</v>
      </c>
    </row>
    <row r="445" spans="1:17" ht="14.25" x14ac:dyDescent="0.2">
      <c r="A445" s="183">
        <v>412</v>
      </c>
      <c r="B445" s="232" t="str">
        <f>IF(AND(A445&lt;&gt;"",ISNUMBER(A445)),VLOOKUP(A445,Studies!A:BR,2,FALSE),"")</f>
        <v>Schaad 1980</v>
      </c>
      <c r="C445" s="232" t="str">
        <f>IF(AND(A445&lt;&gt;"",ISNUMBER(A445)),VLOOKUP(A445,Studies!A:BR,3,FALSE),"")</f>
        <v>https://www.ncbi.nlm.nih.gov/pubmed/7350291</v>
      </c>
      <c r="D445" s="232" t="str">
        <f>IF(AND(A445&lt;&gt;"",ISNUMBER(A445)),VLOOKUP(A445,Studies!A:BR,4,FALSE),"")</f>
        <v>ID 5</v>
      </c>
      <c r="E445" s="206" t="str">
        <f>IF(AND(A445&lt;&gt;"",ISNUMBER(A445)),VLOOKUP(A445,Studies!A:BR,5,FALSE),"")</f>
        <v>vancomycin</v>
      </c>
      <c r="F445" s="207" t="str">
        <f>IF(AND(A445&lt;&gt;"",ISNUMBER(A445)),VLOOKUP(A445,Studies!A:BR,6,FALSE),"")</f>
        <v>Plasma</v>
      </c>
      <c r="G445" s="194">
        <v>7</v>
      </c>
      <c r="H445" s="194" t="s">
        <v>60</v>
      </c>
      <c r="I445" s="187">
        <v>2.6</v>
      </c>
      <c r="J445" s="187" t="s">
        <v>1054</v>
      </c>
      <c r="K445" s="187" t="s">
        <v>116</v>
      </c>
      <c r="L445" s="195">
        <v>0.4</v>
      </c>
      <c r="M445" s="195" t="s">
        <v>1054</v>
      </c>
      <c r="N445" s="195" t="s">
        <v>1034</v>
      </c>
      <c r="O445" s="199"/>
      <c r="P445" s="188"/>
      <c r="Q445" s="174">
        <f>IF(ISNUMBER(VLOOKUP(A445,NotghiID!A:A,1,FALSE)),1,0)</f>
        <v>0</v>
      </c>
    </row>
    <row r="446" spans="1:17" ht="14.25" x14ac:dyDescent="0.2">
      <c r="A446" s="183">
        <v>413</v>
      </c>
      <c r="B446" s="232" t="str">
        <f>IF(AND(A446&lt;&gt;"",ISNUMBER(A446)),VLOOKUP(A446,Studies!A:BR,2,FALSE),"")</f>
        <v>Schaad 1980</v>
      </c>
      <c r="C446" s="232" t="str">
        <f>IF(AND(A446&lt;&gt;"",ISNUMBER(A446)),VLOOKUP(A446,Studies!A:BR,3,FALSE),"")</f>
        <v>https://www.ncbi.nlm.nih.gov/pubmed/7350291</v>
      </c>
      <c r="D446" s="232" t="str">
        <f>IF(AND(A446&lt;&gt;"",ISNUMBER(A446)),VLOOKUP(A446,Studies!A:BR,4,FALSE),"")</f>
        <v>ID 6</v>
      </c>
      <c r="E446" s="206" t="str">
        <f>IF(AND(A446&lt;&gt;"",ISNUMBER(A446)),VLOOKUP(A446,Studies!A:BR,5,FALSE),"")</f>
        <v>vancomycin</v>
      </c>
      <c r="F446" s="207" t="str">
        <f>IF(AND(A446&lt;&gt;"",ISNUMBER(A446)),VLOOKUP(A446,Studies!A:BR,6,FALSE),"")</f>
        <v>Plasma</v>
      </c>
      <c r="G446" s="194">
        <v>0.5</v>
      </c>
      <c r="H446" s="194" t="s">
        <v>60</v>
      </c>
      <c r="I446" s="187">
        <v>30.5</v>
      </c>
      <c r="J446" s="187" t="s">
        <v>1054</v>
      </c>
      <c r="K446" s="187" t="s">
        <v>116</v>
      </c>
      <c r="L446" s="195">
        <v>3.1</v>
      </c>
      <c r="M446" s="195" t="s">
        <v>1054</v>
      </c>
      <c r="N446" s="195" t="s">
        <v>1034</v>
      </c>
      <c r="O446" s="199"/>
      <c r="P446" s="188"/>
      <c r="Q446" s="174">
        <f>IF(ISNUMBER(VLOOKUP(A446,NotghiID!A:A,1,FALSE)),1,0)</f>
        <v>0</v>
      </c>
    </row>
    <row r="447" spans="1:17" ht="14.25" x14ac:dyDescent="0.2">
      <c r="A447" s="183">
        <v>413</v>
      </c>
      <c r="B447" s="232" t="str">
        <f>IF(AND(A447&lt;&gt;"",ISNUMBER(A447)),VLOOKUP(A447,Studies!A:BR,2,FALSE),"")</f>
        <v>Schaad 1980</v>
      </c>
      <c r="C447" s="232" t="str">
        <f>IF(AND(A447&lt;&gt;"",ISNUMBER(A447)),VLOOKUP(A447,Studies!A:BR,3,FALSE),"")</f>
        <v>https://www.ncbi.nlm.nih.gov/pubmed/7350291</v>
      </c>
      <c r="D447" s="232" t="str">
        <f>IF(AND(A447&lt;&gt;"",ISNUMBER(A447)),VLOOKUP(A447,Studies!A:BR,4,FALSE),"")</f>
        <v>ID 6</v>
      </c>
      <c r="E447" s="206" t="str">
        <f>IF(AND(A447&lt;&gt;"",ISNUMBER(A447)),VLOOKUP(A447,Studies!A:BR,5,FALSE),"")</f>
        <v>vancomycin</v>
      </c>
      <c r="F447" s="207" t="str">
        <f>IF(AND(A447&lt;&gt;"",ISNUMBER(A447)),VLOOKUP(A447,Studies!A:BR,6,FALSE),"")</f>
        <v>Plasma</v>
      </c>
      <c r="G447" s="194">
        <v>1</v>
      </c>
      <c r="H447" s="194" t="s">
        <v>60</v>
      </c>
      <c r="I447" s="187">
        <v>18.2</v>
      </c>
      <c r="J447" s="187" t="s">
        <v>1054</v>
      </c>
      <c r="K447" s="187" t="s">
        <v>116</v>
      </c>
      <c r="L447" s="195">
        <v>1.9</v>
      </c>
      <c r="M447" s="195" t="s">
        <v>1054</v>
      </c>
      <c r="N447" s="195" t="s">
        <v>1034</v>
      </c>
      <c r="O447" s="199"/>
      <c r="P447" s="188"/>
      <c r="Q447" s="174">
        <f>IF(ISNUMBER(VLOOKUP(A447,NotghiID!A:A,1,FALSE)),1,0)</f>
        <v>0</v>
      </c>
    </row>
    <row r="448" spans="1:17" ht="14.25" x14ac:dyDescent="0.2">
      <c r="A448" s="183">
        <v>413</v>
      </c>
      <c r="B448" s="232" t="str">
        <f>IF(AND(A448&lt;&gt;"",ISNUMBER(A448)),VLOOKUP(A448,Studies!A:BR,2,FALSE),"")</f>
        <v>Schaad 1980</v>
      </c>
      <c r="C448" s="232" t="str">
        <f>IF(AND(A448&lt;&gt;"",ISNUMBER(A448)),VLOOKUP(A448,Studies!A:BR,3,FALSE),"")</f>
        <v>https://www.ncbi.nlm.nih.gov/pubmed/7350291</v>
      </c>
      <c r="D448" s="232" t="str">
        <f>IF(AND(A448&lt;&gt;"",ISNUMBER(A448)),VLOOKUP(A448,Studies!A:BR,4,FALSE),"")</f>
        <v>ID 6</v>
      </c>
      <c r="E448" s="206" t="str">
        <f>IF(AND(A448&lt;&gt;"",ISNUMBER(A448)),VLOOKUP(A448,Studies!A:BR,5,FALSE),"")</f>
        <v>vancomycin</v>
      </c>
      <c r="F448" s="207" t="str">
        <f>IF(AND(A448&lt;&gt;"",ISNUMBER(A448)),VLOOKUP(A448,Studies!A:BR,6,FALSE),"")</f>
        <v>Plasma</v>
      </c>
      <c r="G448" s="194">
        <v>1.5</v>
      </c>
      <c r="H448" s="194" t="s">
        <v>60</v>
      </c>
      <c r="I448" s="187">
        <v>14.4</v>
      </c>
      <c r="J448" s="187" t="s">
        <v>1054</v>
      </c>
      <c r="K448" s="187" t="s">
        <v>116</v>
      </c>
      <c r="L448" s="195">
        <v>1.8</v>
      </c>
      <c r="M448" s="195" t="s">
        <v>1054</v>
      </c>
      <c r="N448" s="195" t="s">
        <v>1034</v>
      </c>
      <c r="O448" s="199"/>
      <c r="P448" s="188"/>
      <c r="Q448" s="174">
        <f>IF(ISNUMBER(VLOOKUP(A448,NotghiID!A:A,1,FALSE)),1,0)</f>
        <v>0</v>
      </c>
    </row>
    <row r="449" spans="1:17" ht="14.25" x14ac:dyDescent="0.2">
      <c r="A449" s="183">
        <v>413</v>
      </c>
      <c r="B449" s="232" t="str">
        <f>IF(AND(A449&lt;&gt;"",ISNUMBER(A449)),VLOOKUP(A449,Studies!A:BR,2,FALSE),"")</f>
        <v>Schaad 1980</v>
      </c>
      <c r="C449" s="232" t="str">
        <f>IF(AND(A449&lt;&gt;"",ISNUMBER(A449)),VLOOKUP(A449,Studies!A:BR,3,FALSE),"")</f>
        <v>https://www.ncbi.nlm.nih.gov/pubmed/7350291</v>
      </c>
      <c r="D449" s="232" t="str">
        <f>IF(AND(A449&lt;&gt;"",ISNUMBER(A449)),VLOOKUP(A449,Studies!A:BR,4,FALSE),"")</f>
        <v>ID 6</v>
      </c>
      <c r="E449" s="206" t="str">
        <f>IF(AND(A449&lt;&gt;"",ISNUMBER(A449)),VLOOKUP(A449,Studies!A:BR,5,FALSE),"")</f>
        <v>vancomycin</v>
      </c>
      <c r="F449" s="207" t="str">
        <f>IF(AND(A449&lt;&gt;"",ISNUMBER(A449)),VLOOKUP(A449,Studies!A:BR,6,FALSE),"")</f>
        <v>Plasma</v>
      </c>
      <c r="G449" s="194">
        <v>2.5</v>
      </c>
      <c r="H449" s="194" t="s">
        <v>60</v>
      </c>
      <c r="I449" s="187">
        <v>8.9</v>
      </c>
      <c r="J449" s="187" t="s">
        <v>1054</v>
      </c>
      <c r="K449" s="187" t="s">
        <v>116</v>
      </c>
      <c r="L449" s="195">
        <v>1</v>
      </c>
      <c r="M449" s="195" t="s">
        <v>1054</v>
      </c>
      <c r="N449" s="195" t="s">
        <v>1034</v>
      </c>
      <c r="O449" s="199"/>
      <c r="P449" s="188"/>
      <c r="Q449" s="174">
        <f>IF(ISNUMBER(VLOOKUP(A449,NotghiID!A:A,1,FALSE)),1,0)</f>
        <v>0</v>
      </c>
    </row>
    <row r="450" spans="1:17" ht="14.25" x14ac:dyDescent="0.2">
      <c r="A450" s="183">
        <v>413</v>
      </c>
      <c r="B450" s="232" t="str">
        <f>IF(AND(A450&lt;&gt;"",ISNUMBER(A450)),VLOOKUP(A450,Studies!A:BR,2,FALSE),"")</f>
        <v>Schaad 1980</v>
      </c>
      <c r="C450" s="232" t="str">
        <f>IF(AND(A450&lt;&gt;"",ISNUMBER(A450)),VLOOKUP(A450,Studies!A:BR,3,FALSE),"")</f>
        <v>https://www.ncbi.nlm.nih.gov/pubmed/7350291</v>
      </c>
      <c r="D450" s="232" t="str">
        <f>IF(AND(A450&lt;&gt;"",ISNUMBER(A450)),VLOOKUP(A450,Studies!A:BR,4,FALSE),"")</f>
        <v>ID 6</v>
      </c>
      <c r="E450" s="206" t="str">
        <f>IF(AND(A450&lt;&gt;"",ISNUMBER(A450)),VLOOKUP(A450,Studies!A:BR,5,FALSE),"")</f>
        <v>vancomycin</v>
      </c>
      <c r="F450" s="207" t="str">
        <f>IF(AND(A450&lt;&gt;"",ISNUMBER(A450)),VLOOKUP(A450,Studies!A:BR,6,FALSE),"")</f>
        <v>Plasma</v>
      </c>
      <c r="G450" s="194">
        <v>4.5</v>
      </c>
      <c r="H450" s="194" t="s">
        <v>60</v>
      </c>
      <c r="I450" s="187">
        <v>4.9000000000000004</v>
      </c>
      <c r="J450" s="187" t="s">
        <v>1054</v>
      </c>
      <c r="K450" s="187" t="s">
        <v>116</v>
      </c>
      <c r="L450" s="195">
        <v>0.6</v>
      </c>
      <c r="M450" s="195" t="s">
        <v>1054</v>
      </c>
      <c r="N450" s="195" t="s">
        <v>1034</v>
      </c>
      <c r="O450" s="199"/>
      <c r="P450" s="188"/>
      <c r="Q450" s="174">
        <f>IF(ISNUMBER(VLOOKUP(A450,NotghiID!A:A,1,FALSE)),1,0)</f>
        <v>0</v>
      </c>
    </row>
    <row r="451" spans="1:17" ht="14.25" x14ac:dyDescent="0.2">
      <c r="A451" s="183">
        <v>413</v>
      </c>
      <c r="B451" s="232" t="str">
        <f>IF(AND(A451&lt;&gt;"",ISNUMBER(A451)),VLOOKUP(A451,Studies!A:BR,2,FALSE),"")</f>
        <v>Schaad 1980</v>
      </c>
      <c r="C451" s="232" t="str">
        <f>IF(AND(A451&lt;&gt;"",ISNUMBER(A451)),VLOOKUP(A451,Studies!A:BR,3,FALSE),"")</f>
        <v>https://www.ncbi.nlm.nih.gov/pubmed/7350291</v>
      </c>
      <c r="D451" s="232" t="str">
        <f>IF(AND(A451&lt;&gt;"",ISNUMBER(A451)),VLOOKUP(A451,Studies!A:BR,4,FALSE),"")</f>
        <v>ID 6</v>
      </c>
      <c r="E451" s="206" t="str">
        <f>IF(AND(A451&lt;&gt;"",ISNUMBER(A451)),VLOOKUP(A451,Studies!A:BR,5,FALSE),"")</f>
        <v>vancomycin</v>
      </c>
      <c r="F451" s="207" t="str">
        <f>IF(AND(A451&lt;&gt;"",ISNUMBER(A451)),VLOOKUP(A451,Studies!A:BR,6,FALSE),"")</f>
        <v>Plasma</v>
      </c>
      <c r="G451" s="194">
        <v>6.5</v>
      </c>
      <c r="H451" s="194" t="s">
        <v>60</v>
      </c>
      <c r="I451" s="187">
        <v>2.6</v>
      </c>
      <c r="J451" s="187" t="s">
        <v>1054</v>
      </c>
      <c r="K451" s="187" t="s">
        <v>116</v>
      </c>
      <c r="L451" s="195">
        <v>0.02</v>
      </c>
      <c r="M451" s="195" t="s">
        <v>1054</v>
      </c>
      <c r="N451" s="195" t="s">
        <v>1034</v>
      </c>
      <c r="O451" s="199"/>
      <c r="P451" s="188"/>
      <c r="Q451" s="174">
        <f>IF(ISNUMBER(VLOOKUP(A451,NotghiID!A:A,1,FALSE)),1,0)</f>
        <v>0</v>
      </c>
    </row>
    <row r="452" spans="1:17" ht="14.25" x14ac:dyDescent="0.2">
      <c r="A452" s="183">
        <v>108</v>
      </c>
      <c r="B452" s="232" t="str">
        <f>IF(AND(A452&lt;&gt;"",ISNUMBER(A452)),VLOOKUP(A452,Studies!A:BR,2,FALSE),"")</f>
        <v>Bovill 1984</v>
      </c>
      <c r="C452" s="232" t="str">
        <f>IF(AND(A452&lt;&gt;"",ISNUMBER(A452)),VLOOKUP(A452,Studies!A:BR,3,FALSE),"")</f>
        <v>https://www.ncbi.nlm.nih.gov/pubmed/6238552</v>
      </c>
      <c r="D452" s="232" t="str">
        <f>IF(AND(A452&lt;&gt;"",ISNUMBER(A452)),VLOOKUP(A452,Studies!A:BR,4,FALSE),"")</f>
        <v>mean</v>
      </c>
      <c r="E452" s="206" t="str">
        <f>IF(AND(A452&lt;&gt;"",ISNUMBER(A452)),VLOOKUP(A452,Studies!A:BR,5,FALSE),"")</f>
        <v>Sufentanil</v>
      </c>
      <c r="F452" s="207" t="str">
        <f>IF(AND(A452&lt;&gt;"",ISNUMBER(A452)),VLOOKUP(A452,Studies!A:BR,6,FALSE),"")</f>
        <v>Plasma</v>
      </c>
      <c r="G452" s="194">
        <v>1.67E-2</v>
      </c>
      <c r="H452" s="194" t="s">
        <v>60</v>
      </c>
      <c r="I452" s="187">
        <v>36.087429999999998</v>
      </c>
      <c r="J452" s="187" t="s">
        <v>1026</v>
      </c>
      <c r="K452" s="187" t="s">
        <v>116</v>
      </c>
      <c r="L452" s="195">
        <v>3.8146969999999998E-6</v>
      </c>
      <c r="M452" s="195" t="s">
        <v>1026</v>
      </c>
      <c r="N452" s="195" t="s">
        <v>1034</v>
      </c>
      <c r="O452" s="199"/>
      <c r="P452" s="188"/>
      <c r="Q452" s="174">
        <f>IF(ISNUMBER(VLOOKUP(A452,NotghiID!A:A,1,FALSE)),1,0)</f>
        <v>0</v>
      </c>
    </row>
    <row r="453" spans="1:17" ht="14.25" x14ac:dyDescent="0.2">
      <c r="A453" s="183">
        <v>108</v>
      </c>
      <c r="B453" s="232" t="str">
        <f>IF(AND(A453&lt;&gt;"",ISNUMBER(A453)),VLOOKUP(A453,Studies!A:BR,2,FALSE),"")</f>
        <v>Bovill 1984</v>
      </c>
      <c r="C453" s="232" t="str">
        <f>IF(AND(A453&lt;&gt;"",ISNUMBER(A453)),VLOOKUP(A453,Studies!A:BR,3,FALSE),"")</f>
        <v>https://www.ncbi.nlm.nih.gov/pubmed/6238552</v>
      </c>
      <c r="D453" s="232" t="str">
        <f>IF(AND(A453&lt;&gt;"",ISNUMBER(A453)),VLOOKUP(A453,Studies!A:BR,4,FALSE),"")</f>
        <v>mean</v>
      </c>
      <c r="E453" s="206" t="str">
        <f>IF(AND(A453&lt;&gt;"",ISNUMBER(A453)),VLOOKUP(A453,Studies!A:BR,5,FALSE),"")</f>
        <v>Sufentanil</v>
      </c>
      <c r="F453" s="207" t="str">
        <f>IF(AND(A453&lt;&gt;"",ISNUMBER(A453)),VLOOKUP(A453,Studies!A:BR,6,FALSE),"")</f>
        <v>Plasma</v>
      </c>
      <c r="G453" s="194">
        <v>8.3000000000000004E-2</v>
      </c>
      <c r="H453" s="194" t="s">
        <v>60</v>
      </c>
      <c r="I453" s="187">
        <v>8.0074249999999996</v>
      </c>
      <c r="J453" s="187" t="s">
        <v>1026</v>
      </c>
      <c r="K453" s="187" t="s">
        <v>116</v>
      </c>
      <c r="L453" s="195">
        <v>0.80171820000000005</v>
      </c>
      <c r="M453" s="195" t="s">
        <v>1026</v>
      </c>
      <c r="N453" s="195" t="s">
        <v>1034</v>
      </c>
      <c r="O453" s="199"/>
      <c r="P453" s="188"/>
      <c r="Q453" s="174">
        <f>IF(ISNUMBER(VLOOKUP(A453,NotghiID!A:A,1,FALSE)),1,0)</f>
        <v>0</v>
      </c>
    </row>
    <row r="454" spans="1:17" ht="14.25" x14ac:dyDescent="0.2">
      <c r="A454" s="183">
        <v>108</v>
      </c>
      <c r="B454" s="232" t="str">
        <f>IF(AND(A454&lt;&gt;"",ISNUMBER(A454)),VLOOKUP(A454,Studies!A:BR,2,FALSE),"")</f>
        <v>Bovill 1984</v>
      </c>
      <c r="C454" s="232" t="str">
        <f>IF(AND(A454&lt;&gt;"",ISNUMBER(A454)),VLOOKUP(A454,Studies!A:BR,3,FALSE),"")</f>
        <v>https://www.ncbi.nlm.nih.gov/pubmed/6238552</v>
      </c>
      <c r="D454" s="232" t="str">
        <f>IF(AND(A454&lt;&gt;"",ISNUMBER(A454)),VLOOKUP(A454,Studies!A:BR,4,FALSE),"")</f>
        <v>mean</v>
      </c>
      <c r="E454" s="206" t="str">
        <f>IF(AND(A454&lt;&gt;"",ISNUMBER(A454)),VLOOKUP(A454,Studies!A:BR,5,FALSE),"")</f>
        <v>Sufentanil</v>
      </c>
      <c r="F454" s="207" t="str">
        <f>IF(AND(A454&lt;&gt;"",ISNUMBER(A454)),VLOOKUP(A454,Studies!A:BR,6,FALSE),"")</f>
        <v>Plasma</v>
      </c>
      <c r="G454" s="194">
        <v>0.16700000000000001</v>
      </c>
      <c r="H454" s="194" t="s">
        <v>60</v>
      </c>
      <c r="I454" s="187">
        <v>4.9105749999999997</v>
      </c>
      <c r="J454" s="187" t="s">
        <v>1026</v>
      </c>
      <c r="K454" s="187" t="s">
        <v>116</v>
      </c>
      <c r="L454" s="195">
        <v>0.3628807</v>
      </c>
      <c r="M454" s="195" t="s">
        <v>1026</v>
      </c>
      <c r="N454" s="195" t="s">
        <v>1034</v>
      </c>
      <c r="O454" s="199"/>
      <c r="P454" s="188"/>
      <c r="Q454" s="174">
        <f>IF(ISNUMBER(VLOOKUP(A454,NotghiID!A:A,1,FALSE)),1,0)</f>
        <v>0</v>
      </c>
    </row>
    <row r="455" spans="1:17" ht="14.25" x14ac:dyDescent="0.2">
      <c r="A455" s="183">
        <v>108</v>
      </c>
      <c r="B455" s="232" t="str">
        <f>IF(AND(A455&lt;&gt;"",ISNUMBER(A455)),VLOOKUP(A455,Studies!A:BR,2,FALSE),"")</f>
        <v>Bovill 1984</v>
      </c>
      <c r="C455" s="232" t="str">
        <f>IF(AND(A455&lt;&gt;"",ISNUMBER(A455)),VLOOKUP(A455,Studies!A:BR,3,FALSE),"")</f>
        <v>https://www.ncbi.nlm.nih.gov/pubmed/6238552</v>
      </c>
      <c r="D455" s="232" t="str">
        <f>IF(AND(A455&lt;&gt;"",ISNUMBER(A455)),VLOOKUP(A455,Studies!A:BR,4,FALSE),"")</f>
        <v>mean</v>
      </c>
      <c r="E455" s="206" t="str">
        <f>IF(AND(A455&lt;&gt;"",ISNUMBER(A455)),VLOOKUP(A455,Studies!A:BR,5,FALSE),"")</f>
        <v>Sufentanil</v>
      </c>
      <c r="F455" s="207" t="str">
        <f>IF(AND(A455&lt;&gt;"",ISNUMBER(A455)),VLOOKUP(A455,Studies!A:BR,6,FALSE),"")</f>
        <v>Plasma</v>
      </c>
      <c r="G455" s="194">
        <v>0.25</v>
      </c>
      <c r="H455" s="194" t="s">
        <v>60</v>
      </c>
      <c r="I455" s="187">
        <v>3.6130629999999999</v>
      </c>
      <c r="J455" s="187" t="s">
        <v>1026</v>
      </c>
      <c r="K455" s="187" t="s">
        <v>116</v>
      </c>
      <c r="L455" s="195">
        <v>0.26699810000000002</v>
      </c>
      <c r="M455" s="195" t="s">
        <v>1026</v>
      </c>
      <c r="N455" s="195" t="s">
        <v>1034</v>
      </c>
      <c r="O455" s="199"/>
      <c r="P455" s="188"/>
      <c r="Q455" s="174">
        <f>IF(ISNUMBER(VLOOKUP(A455,NotghiID!A:A,1,FALSE)),1,0)</f>
        <v>0</v>
      </c>
    </row>
    <row r="456" spans="1:17" ht="14.25" x14ac:dyDescent="0.2">
      <c r="A456" s="183">
        <v>108</v>
      </c>
      <c r="B456" s="232" t="str">
        <f>IF(AND(A456&lt;&gt;"",ISNUMBER(A456)),VLOOKUP(A456,Studies!A:BR,2,FALSE),"")</f>
        <v>Bovill 1984</v>
      </c>
      <c r="C456" s="232" t="str">
        <f>IF(AND(A456&lt;&gt;"",ISNUMBER(A456)),VLOOKUP(A456,Studies!A:BR,3,FALSE),"")</f>
        <v>https://www.ncbi.nlm.nih.gov/pubmed/6238552</v>
      </c>
      <c r="D456" s="232" t="str">
        <f>IF(AND(A456&lt;&gt;"",ISNUMBER(A456)),VLOOKUP(A456,Studies!A:BR,4,FALSE),"")</f>
        <v>mean</v>
      </c>
      <c r="E456" s="206" t="str">
        <f>IF(AND(A456&lt;&gt;"",ISNUMBER(A456)),VLOOKUP(A456,Studies!A:BR,5,FALSE),"")</f>
        <v>Sufentanil</v>
      </c>
      <c r="F456" s="207" t="str">
        <f>IF(AND(A456&lt;&gt;"",ISNUMBER(A456)),VLOOKUP(A456,Studies!A:BR,6,FALSE),"")</f>
        <v>Plasma</v>
      </c>
      <c r="G456" s="194">
        <v>0.5</v>
      </c>
      <c r="H456" s="194" t="s">
        <v>60</v>
      </c>
      <c r="I456" s="187">
        <v>2.1739289999999998</v>
      </c>
      <c r="J456" s="187" t="s">
        <v>1026</v>
      </c>
      <c r="K456" s="187" t="s">
        <v>116</v>
      </c>
      <c r="L456" s="195">
        <v>0.19880590000000001</v>
      </c>
      <c r="M456" s="195" t="s">
        <v>1026</v>
      </c>
      <c r="N456" s="195" t="s">
        <v>1034</v>
      </c>
      <c r="O456" s="199"/>
      <c r="P456" s="188"/>
      <c r="Q456" s="174">
        <f>IF(ISNUMBER(VLOOKUP(A456,NotghiID!A:A,1,FALSE)),1,0)</f>
        <v>0</v>
      </c>
    </row>
    <row r="457" spans="1:17" ht="14.25" x14ac:dyDescent="0.2">
      <c r="A457" s="183">
        <v>108</v>
      </c>
      <c r="B457" s="232" t="str">
        <f>IF(AND(A457&lt;&gt;"",ISNUMBER(A457)),VLOOKUP(A457,Studies!A:BR,2,FALSE),"")</f>
        <v>Bovill 1984</v>
      </c>
      <c r="C457" s="232" t="str">
        <f>IF(AND(A457&lt;&gt;"",ISNUMBER(A457)),VLOOKUP(A457,Studies!A:BR,3,FALSE),"")</f>
        <v>https://www.ncbi.nlm.nih.gov/pubmed/6238552</v>
      </c>
      <c r="D457" s="232" t="str">
        <f>IF(AND(A457&lt;&gt;"",ISNUMBER(A457)),VLOOKUP(A457,Studies!A:BR,4,FALSE),"")</f>
        <v>mean</v>
      </c>
      <c r="E457" s="206" t="str">
        <f>IF(AND(A457&lt;&gt;"",ISNUMBER(A457)),VLOOKUP(A457,Studies!A:BR,5,FALSE),"")</f>
        <v>Sufentanil</v>
      </c>
      <c r="F457" s="207" t="str">
        <f>IF(AND(A457&lt;&gt;"",ISNUMBER(A457)),VLOOKUP(A457,Studies!A:BR,6,FALSE),"")</f>
        <v>Plasma</v>
      </c>
      <c r="G457" s="194">
        <v>0.75</v>
      </c>
      <c r="H457" s="194" t="s">
        <v>60</v>
      </c>
      <c r="I457" s="187">
        <v>1.525026</v>
      </c>
      <c r="J457" s="187" t="s">
        <v>1026</v>
      </c>
      <c r="K457" s="187" t="s">
        <v>116</v>
      </c>
      <c r="L457" s="195">
        <v>0.2043372</v>
      </c>
      <c r="M457" s="195" t="s">
        <v>1026</v>
      </c>
      <c r="N457" s="195" t="s">
        <v>1034</v>
      </c>
      <c r="O457" s="199"/>
      <c r="P457" s="188"/>
      <c r="Q457" s="174">
        <f>IF(ISNUMBER(VLOOKUP(A457,NotghiID!A:A,1,FALSE)),1,0)</f>
        <v>0</v>
      </c>
    </row>
    <row r="458" spans="1:17" ht="14.25" x14ac:dyDescent="0.2">
      <c r="A458" s="183">
        <v>108</v>
      </c>
      <c r="B458" s="232" t="str">
        <f>IF(AND(A458&lt;&gt;"",ISNUMBER(A458)),VLOOKUP(A458,Studies!A:BR,2,FALSE),"")</f>
        <v>Bovill 1984</v>
      </c>
      <c r="C458" s="232" t="str">
        <f>IF(AND(A458&lt;&gt;"",ISNUMBER(A458)),VLOOKUP(A458,Studies!A:BR,3,FALSE),"")</f>
        <v>https://www.ncbi.nlm.nih.gov/pubmed/6238552</v>
      </c>
      <c r="D458" s="232" t="str">
        <f>IF(AND(A458&lt;&gt;"",ISNUMBER(A458)),VLOOKUP(A458,Studies!A:BR,4,FALSE),"")</f>
        <v>mean</v>
      </c>
      <c r="E458" s="206" t="str">
        <f>IF(AND(A458&lt;&gt;"",ISNUMBER(A458)),VLOOKUP(A458,Studies!A:BR,5,FALSE),"")</f>
        <v>Sufentanil</v>
      </c>
      <c r="F458" s="207" t="str">
        <f>IF(AND(A458&lt;&gt;"",ISNUMBER(A458)),VLOOKUP(A458,Studies!A:BR,6,FALSE),"")</f>
        <v>Plasma</v>
      </c>
      <c r="G458" s="194">
        <v>1</v>
      </c>
      <c r="H458" s="194" t="s">
        <v>60</v>
      </c>
      <c r="I458" s="187">
        <v>1.2713779999999999</v>
      </c>
      <c r="J458" s="187" t="s">
        <v>1026</v>
      </c>
      <c r="K458" s="187" t="s">
        <v>116</v>
      </c>
      <c r="L458" s="195">
        <v>0.11628579999999999</v>
      </c>
      <c r="M458" s="195" t="s">
        <v>1026</v>
      </c>
      <c r="N458" s="195" t="s">
        <v>1034</v>
      </c>
      <c r="O458" s="199"/>
      <c r="P458" s="188"/>
      <c r="Q458" s="174">
        <f>IF(ISNUMBER(VLOOKUP(A458,NotghiID!A:A,1,FALSE)),1,0)</f>
        <v>0</v>
      </c>
    </row>
    <row r="459" spans="1:17" ht="14.25" x14ac:dyDescent="0.2">
      <c r="A459" s="183">
        <v>108</v>
      </c>
      <c r="B459" s="232" t="str">
        <f>IF(AND(A459&lt;&gt;"",ISNUMBER(A459)),VLOOKUP(A459,Studies!A:BR,2,FALSE),"")</f>
        <v>Bovill 1984</v>
      </c>
      <c r="C459" s="232" t="str">
        <f>IF(AND(A459&lt;&gt;"",ISNUMBER(A459)),VLOOKUP(A459,Studies!A:BR,3,FALSE),"")</f>
        <v>https://www.ncbi.nlm.nih.gov/pubmed/6238552</v>
      </c>
      <c r="D459" s="232" t="str">
        <f>IF(AND(A459&lt;&gt;"",ISNUMBER(A459)),VLOOKUP(A459,Studies!A:BR,4,FALSE),"")</f>
        <v>mean</v>
      </c>
      <c r="E459" s="206" t="str">
        <f>IF(AND(A459&lt;&gt;"",ISNUMBER(A459)),VLOOKUP(A459,Studies!A:BR,5,FALSE),"")</f>
        <v>Sufentanil</v>
      </c>
      <c r="F459" s="207" t="str">
        <f>IF(AND(A459&lt;&gt;"",ISNUMBER(A459)),VLOOKUP(A459,Studies!A:BR,6,FALSE),"")</f>
        <v>Plasma</v>
      </c>
      <c r="G459" s="194">
        <v>2</v>
      </c>
      <c r="H459" s="194" t="s">
        <v>60</v>
      </c>
      <c r="I459" s="187">
        <v>0.66306779999999998</v>
      </c>
      <c r="J459" s="187" t="s">
        <v>1026</v>
      </c>
      <c r="K459" s="187" t="s">
        <v>116</v>
      </c>
      <c r="L459" s="195">
        <v>7.2091939999999993E-2</v>
      </c>
      <c r="M459" s="195" t="s">
        <v>1026</v>
      </c>
      <c r="N459" s="195" t="s">
        <v>1034</v>
      </c>
      <c r="O459" s="199"/>
      <c r="P459" s="188"/>
      <c r="Q459" s="174">
        <f>IF(ISNUMBER(VLOOKUP(A459,NotghiID!A:A,1,FALSE)),1,0)</f>
        <v>0</v>
      </c>
    </row>
    <row r="460" spans="1:17" ht="14.25" x14ac:dyDescent="0.2">
      <c r="A460" s="183">
        <v>108</v>
      </c>
      <c r="B460" s="232" t="str">
        <f>IF(AND(A460&lt;&gt;"",ISNUMBER(A460)),VLOOKUP(A460,Studies!A:BR,2,FALSE),"")</f>
        <v>Bovill 1984</v>
      </c>
      <c r="C460" s="232" t="str">
        <f>IF(AND(A460&lt;&gt;"",ISNUMBER(A460)),VLOOKUP(A460,Studies!A:BR,3,FALSE),"")</f>
        <v>https://www.ncbi.nlm.nih.gov/pubmed/6238552</v>
      </c>
      <c r="D460" s="232" t="str">
        <f>IF(AND(A460&lt;&gt;"",ISNUMBER(A460)),VLOOKUP(A460,Studies!A:BR,4,FALSE),"")</f>
        <v>mean</v>
      </c>
      <c r="E460" s="206" t="str">
        <f>IF(AND(A460&lt;&gt;"",ISNUMBER(A460)),VLOOKUP(A460,Studies!A:BR,5,FALSE),"")</f>
        <v>Sufentanil</v>
      </c>
      <c r="F460" s="207" t="str">
        <f>IF(AND(A460&lt;&gt;"",ISNUMBER(A460)),VLOOKUP(A460,Studies!A:BR,6,FALSE),"")</f>
        <v>Plasma</v>
      </c>
      <c r="G460" s="194">
        <v>3</v>
      </c>
      <c r="H460" s="194" t="s">
        <v>60</v>
      </c>
      <c r="I460" s="187">
        <v>0.44375959999999998</v>
      </c>
      <c r="J460" s="187" t="s">
        <v>1026</v>
      </c>
      <c r="K460" s="187" t="s">
        <v>116</v>
      </c>
      <c r="L460" s="195">
        <v>4.8235390000000003E-2</v>
      </c>
      <c r="M460" s="195" t="s">
        <v>1026</v>
      </c>
      <c r="N460" s="195" t="s">
        <v>1034</v>
      </c>
      <c r="O460" s="199"/>
      <c r="P460" s="188"/>
      <c r="Q460" s="174">
        <f>IF(ISNUMBER(VLOOKUP(A460,NotghiID!A:A,1,FALSE)),1,0)</f>
        <v>0</v>
      </c>
    </row>
    <row r="461" spans="1:17" ht="14.25" x14ac:dyDescent="0.2">
      <c r="A461" s="183">
        <v>108</v>
      </c>
      <c r="B461" s="232" t="str">
        <f>IF(AND(A461&lt;&gt;"",ISNUMBER(A461)),VLOOKUP(A461,Studies!A:BR,2,FALSE),"")</f>
        <v>Bovill 1984</v>
      </c>
      <c r="C461" s="232" t="str">
        <f>IF(AND(A461&lt;&gt;"",ISNUMBER(A461)),VLOOKUP(A461,Studies!A:BR,3,FALSE),"")</f>
        <v>https://www.ncbi.nlm.nih.gov/pubmed/6238552</v>
      </c>
      <c r="D461" s="232" t="str">
        <f>IF(AND(A461&lt;&gt;"",ISNUMBER(A461)),VLOOKUP(A461,Studies!A:BR,4,FALSE),"")</f>
        <v>mean</v>
      </c>
      <c r="E461" s="206" t="str">
        <f>IF(AND(A461&lt;&gt;"",ISNUMBER(A461)),VLOOKUP(A461,Studies!A:BR,5,FALSE),"")</f>
        <v>Sufentanil</v>
      </c>
      <c r="F461" s="207" t="str">
        <f>IF(AND(A461&lt;&gt;"",ISNUMBER(A461)),VLOOKUP(A461,Studies!A:BR,6,FALSE),"")</f>
        <v>Plasma</v>
      </c>
      <c r="G461" s="194">
        <v>4</v>
      </c>
      <c r="H461" s="194" t="s">
        <v>60</v>
      </c>
      <c r="I461" s="187">
        <v>0.34958929999999999</v>
      </c>
      <c r="J461" s="187" t="s">
        <v>1026</v>
      </c>
      <c r="K461" s="187" t="s">
        <v>116</v>
      </c>
      <c r="L461" s="195">
        <v>4.9730900000000001E-2</v>
      </c>
      <c r="M461" s="195" t="s">
        <v>1026</v>
      </c>
      <c r="N461" s="195" t="s">
        <v>1034</v>
      </c>
      <c r="O461" s="199"/>
      <c r="P461" s="188"/>
      <c r="Q461" s="174">
        <f>IF(ISNUMBER(VLOOKUP(A461,NotghiID!A:A,1,FALSE)),1,0)</f>
        <v>0</v>
      </c>
    </row>
    <row r="462" spans="1:17" ht="14.25" x14ac:dyDescent="0.2">
      <c r="A462" s="183">
        <v>108</v>
      </c>
      <c r="B462" s="232" t="str">
        <f>IF(AND(A462&lt;&gt;"",ISNUMBER(A462)),VLOOKUP(A462,Studies!A:BR,2,FALSE),"")</f>
        <v>Bovill 1984</v>
      </c>
      <c r="C462" s="232" t="str">
        <f>IF(AND(A462&lt;&gt;"",ISNUMBER(A462)),VLOOKUP(A462,Studies!A:BR,3,FALSE),"")</f>
        <v>https://www.ncbi.nlm.nih.gov/pubmed/6238552</v>
      </c>
      <c r="D462" s="232" t="str">
        <f>IF(AND(A462&lt;&gt;"",ISNUMBER(A462)),VLOOKUP(A462,Studies!A:BR,4,FALSE),"")</f>
        <v>mean</v>
      </c>
      <c r="E462" s="206" t="str">
        <f>IF(AND(A462&lt;&gt;"",ISNUMBER(A462)),VLOOKUP(A462,Studies!A:BR,5,FALSE),"")</f>
        <v>Sufentanil</v>
      </c>
      <c r="F462" s="207" t="str">
        <f>IF(AND(A462&lt;&gt;"",ISNUMBER(A462)),VLOOKUP(A462,Studies!A:BR,6,FALSE),"")</f>
        <v>Plasma</v>
      </c>
      <c r="G462" s="194">
        <v>5</v>
      </c>
      <c r="H462" s="194" t="s">
        <v>60</v>
      </c>
      <c r="I462" s="187">
        <v>0.27276149999999999</v>
      </c>
      <c r="J462" s="187" t="s">
        <v>1026</v>
      </c>
      <c r="K462" s="187" t="s">
        <v>116</v>
      </c>
      <c r="L462" s="195">
        <v>3.1972529999999999E-2</v>
      </c>
      <c r="M462" s="195" t="s">
        <v>1026</v>
      </c>
      <c r="N462" s="195" t="s">
        <v>1034</v>
      </c>
      <c r="O462" s="199"/>
      <c r="P462" s="188"/>
      <c r="Q462" s="174">
        <f>IF(ISNUMBER(VLOOKUP(A462,NotghiID!A:A,1,FALSE)),1,0)</f>
        <v>0</v>
      </c>
    </row>
    <row r="463" spans="1:17" ht="14.25" x14ac:dyDescent="0.2">
      <c r="A463" s="183">
        <v>108</v>
      </c>
      <c r="B463" s="232" t="str">
        <f>IF(AND(A463&lt;&gt;"",ISNUMBER(A463)),VLOOKUP(A463,Studies!A:BR,2,FALSE),"")</f>
        <v>Bovill 1984</v>
      </c>
      <c r="C463" s="232" t="str">
        <f>IF(AND(A463&lt;&gt;"",ISNUMBER(A463)),VLOOKUP(A463,Studies!A:BR,3,FALSE),"")</f>
        <v>https://www.ncbi.nlm.nih.gov/pubmed/6238552</v>
      </c>
      <c r="D463" s="232" t="str">
        <f>IF(AND(A463&lt;&gt;"",ISNUMBER(A463)),VLOOKUP(A463,Studies!A:BR,4,FALSE),"")</f>
        <v>mean</v>
      </c>
      <c r="E463" s="206" t="str">
        <f>IF(AND(A463&lt;&gt;"",ISNUMBER(A463)),VLOOKUP(A463,Studies!A:BR,5,FALSE),"")</f>
        <v>Sufentanil</v>
      </c>
      <c r="F463" s="207" t="str">
        <f>IF(AND(A463&lt;&gt;"",ISNUMBER(A463)),VLOOKUP(A463,Studies!A:BR,6,FALSE),"")</f>
        <v>Plasma</v>
      </c>
      <c r="G463" s="194">
        <v>6</v>
      </c>
      <c r="H463" s="194" t="s">
        <v>60</v>
      </c>
      <c r="I463" s="187">
        <v>0.1989966</v>
      </c>
      <c r="J463" s="187" t="s">
        <v>1026</v>
      </c>
      <c r="K463" s="187" t="s">
        <v>116</v>
      </c>
      <c r="L463" s="195">
        <v>3.3146750000000003E-2</v>
      </c>
      <c r="M463" s="195" t="s">
        <v>1026</v>
      </c>
      <c r="N463" s="195" t="s">
        <v>1034</v>
      </c>
      <c r="O463" s="199"/>
      <c r="P463" s="188"/>
      <c r="Q463" s="174">
        <f>IF(ISNUMBER(VLOOKUP(A463,NotghiID!A:A,1,FALSE)),1,0)</f>
        <v>0</v>
      </c>
    </row>
    <row r="464" spans="1:17" ht="14.25" x14ac:dyDescent="0.2">
      <c r="A464" s="183">
        <v>108</v>
      </c>
      <c r="B464" s="232" t="str">
        <f>IF(AND(A464&lt;&gt;"",ISNUMBER(A464)),VLOOKUP(A464,Studies!A:BR,2,FALSE),"")</f>
        <v>Bovill 1984</v>
      </c>
      <c r="C464" s="232" t="str">
        <f>IF(AND(A464&lt;&gt;"",ISNUMBER(A464)),VLOOKUP(A464,Studies!A:BR,3,FALSE),"")</f>
        <v>https://www.ncbi.nlm.nih.gov/pubmed/6238552</v>
      </c>
      <c r="D464" s="232" t="str">
        <f>IF(AND(A464&lt;&gt;"",ISNUMBER(A464)),VLOOKUP(A464,Studies!A:BR,4,FALSE),"")</f>
        <v>mean</v>
      </c>
      <c r="E464" s="206" t="str">
        <f>IF(AND(A464&lt;&gt;"",ISNUMBER(A464)),VLOOKUP(A464,Studies!A:BR,5,FALSE),"")</f>
        <v>Sufentanil</v>
      </c>
      <c r="F464" s="207" t="str">
        <f>IF(AND(A464&lt;&gt;"",ISNUMBER(A464)),VLOOKUP(A464,Studies!A:BR,6,FALSE),"")</f>
        <v>Plasma</v>
      </c>
      <c r="G464" s="194">
        <v>7</v>
      </c>
      <c r="H464" s="194" t="s">
        <v>60</v>
      </c>
      <c r="I464" s="187">
        <v>0.15979850000000001</v>
      </c>
      <c r="J464" s="187" t="s">
        <v>1026</v>
      </c>
      <c r="K464" s="187" t="s">
        <v>116</v>
      </c>
      <c r="L464" s="195">
        <v>2.9149769999999998E-2</v>
      </c>
      <c r="M464" s="195" t="s">
        <v>1026</v>
      </c>
      <c r="N464" s="195" t="s">
        <v>1034</v>
      </c>
      <c r="O464" s="199"/>
      <c r="P464" s="188"/>
      <c r="Q464" s="174">
        <f>IF(ISNUMBER(VLOOKUP(A464,NotghiID!A:A,1,FALSE)),1,0)</f>
        <v>0</v>
      </c>
    </row>
    <row r="465" spans="1:17" ht="14.25" x14ac:dyDescent="0.2">
      <c r="A465" s="183">
        <v>108</v>
      </c>
      <c r="B465" s="232" t="str">
        <f>IF(AND(A465&lt;&gt;"",ISNUMBER(A465)),VLOOKUP(A465,Studies!A:BR,2,FALSE),"")</f>
        <v>Bovill 1984</v>
      </c>
      <c r="C465" s="232" t="str">
        <f>IF(AND(A465&lt;&gt;"",ISNUMBER(A465)),VLOOKUP(A465,Studies!A:BR,3,FALSE),"")</f>
        <v>https://www.ncbi.nlm.nih.gov/pubmed/6238552</v>
      </c>
      <c r="D465" s="232" t="str">
        <f>IF(AND(A465&lt;&gt;"",ISNUMBER(A465)),VLOOKUP(A465,Studies!A:BR,4,FALSE),"")</f>
        <v>mean</v>
      </c>
      <c r="E465" s="206" t="str">
        <f>IF(AND(A465&lt;&gt;"",ISNUMBER(A465)),VLOOKUP(A465,Studies!A:BR,5,FALSE),"")</f>
        <v>Sufentanil</v>
      </c>
      <c r="F465" s="207" t="str">
        <f>IF(AND(A465&lt;&gt;"",ISNUMBER(A465)),VLOOKUP(A465,Studies!A:BR,6,FALSE),"")</f>
        <v>Plasma</v>
      </c>
      <c r="G465" s="194">
        <v>8</v>
      </c>
      <c r="H465" s="194" t="s">
        <v>60</v>
      </c>
      <c r="I465" s="187">
        <v>0.13855239999999999</v>
      </c>
      <c r="J465" s="187" t="s">
        <v>1026</v>
      </c>
      <c r="K465" s="187" t="s">
        <v>116</v>
      </c>
      <c r="L465" s="195">
        <v>3.1610199999999998E-2</v>
      </c>
      <c r="M465" s="195" t="s">
        <v>1026</v>
      </c>
      <c r="N465" s="195" t="s">
        <v>1034</v>
      </c>
      <c r="O465" s="199"/>
      <c r="P465" s="188"/>
      <c r="Q465" s="174">
        <f>IF(ISNUMBER(VLOOKUP(A465,NotghiID!A:A,1,FALSE)),1,0)</f>
        <v>0</v>
      </c>
    </row>
    <row r="466" spans="1:17" ht="14.25" x14ac:dyDescent="0.2">
      <c r="A466" s="183">
        <v>467</v>
      </c>
      <c r="B466" s="232" t="str">
        <f>IF(AND(A466&lt;&gt;"",ISNUMBER(A466)),VLOOKUP(A466,Studies!A:BR,2,FALSE),"")</f>
        <v>Willsie 2015</v>
      </c>
      <c r="C466" s="232" t="str">
        <f>IF(AND(A466&lt;&gt;"",ISNUMBER(A466)),VLOOKUP(A466,Studies!A:BR,3,FALSE),"")</f>
        <v>https://www.ncbi.nlm.nih.gov/pubmed/25544247</v>
      </c>
      <c r="D466" s="232" t="str">
        <f>IF(AND(A466&lt;&gt;"",ISNUMBER(A466)),VLOOKUP(A466,Studies!A:BR,4,FALSE),"")</f>
        <v>mean</v>
      </c>
      <c r="E466" s="206" t="str">
        <f>IF(AND(A466&lt;&gt;"",ISNUMBER(A466)),VLOOKUP(A466,Studies!A:BR,5,FALSE),"")</f>
        <v>Sufentanil</v>
      </c>
      <c r="F466" s="207" t="str">
        <f>IF(AND(A466&lt;&gt;"",ISNUMBER(A466)),VLOOKUP(A466,Studies!A:BR,6,FALSE),"")</f>
        <v>Plasma</v>
      </c>
      <c r="G466" s="194">
        <v>1</v>
      </c>
      <c r="H466" s="194" t="s">
        <v>1041</v>
      </c>
      <c r="I466" s="187">
        <v>323.99579999999997</v>
      </c>
      <c r="J466" s="187" t="s">
        <v>1031</v>
      </c>
      <c r="K466" s="187" t="s">
        <v>116</v>
      </c>
      <c r="L466" s="195"/>
      <c r="M466" s="195"/>
      <c r="N466" s="195"/>
      <c r="O466" s="199"/>
      <c r="P466" s="188"/>
      <c r="Q466" s="174">
        <f>IF(ISNUMBER(VLOOKUP(A466,NotghiID!A:A,1,FALSE)),1,0)</f>
        <v>0</v>
      </c>
    </row>
    <row r="467" spans="1:17" ht="14.25" x14ac:dyDescent="0.2">
      <c r="A467" s="183">
        <v>467</v>
      </c>
      <c r="B467" s="232" t="str">
        <f>IF(AND(A467&lt;&gt;"",ISNUMBER(A467)),VLOOKUP(A467,Studies!A:BR,2,FALSE),"")</f>
        <v>Willsie 2015</v>
      </c>
      <c r="C467" s="232" t="str">
        <f>IF(AND(A467&lt;&gt;"",ISNUMBER(A467)),VLOOKUP(A467,Studies!A:BR,3,FALSE),"")</f>
        <v>https://www.ncbi.nlm.nih.gov/pubmed/25544247</v>
      </c>
      <c r="D467" s="232" t="str">
        <f>IF(AND(A467&lt;&gt;"",ISNUMBER(A467)),VLOOKUP(A467,Studies!A:BR,4,FALSE),"")</f>
        <v>mean</v>
      </c>
      <c r="E467" s="206" t="str">
        <f>IF(AND(A467&lt;&gt;"",ISNUMBER(A467)),VLOOKUP(A467,Studies!A:BR,5,FALSE),"")</f>
        <v>Sufentanil</v>
      </c>
      <c r="F467" s="207" t="str">
        <f>IF(AND(A467&lt;&gt;"",ISNUMBER(A467)),VLOOKUP(A467,Studies!A:BR,6,FALSE),"")</f>
        <v>Plasma</v>
      </c>
      <c r="G467" s="194">
        <v>4</v>
      </c>
      <c r="H467" s="194" t="s">
        <v>1041</v>
      </c>
      <c r="I467" s="187">
        <v>274.80040000000002</v>
      </c>
      <c r="J467" s="187" t="s">
        <v>1031</v>
      </c>
      <c r="K467" s="187" t="s">
        <v>116</v>
      </c>
      <c r="L467" s="195"/>
      <c r="M467" s="195"/>
      <c r="N467" s="195"/>
      <c r="O467" s="199"/>
      <c r="P467" s="188"/>
      <c r="Q467" s="174">
        <f>IF(ISNUMBER(VLOOKUP(A467,NotghiID!A:A,1,FALSE)),1,0)</f>
        <v>0</v>
      </c>
    </row>
    <row r="468" spans="1:17" ht="14.25" x14ac:dyDescent="0.2">
      <c r="A468" s="183">
        <v>467</v>
      </c>
      <c r="B468" s="232" t="str">
        <f>IF(AND(A468&lt;&gt;"",ISNUMBER(A468)),VLOOKUP(A468,Studies!A:BR,2,FALSE),"")</f>
        <v>Willsie 2015</v>
      </c>
      <c r="C468" s="232" t="str">
        <f>IF(AND(A468&lt;&gt;"",ISNUMBER(A468)),VLOOKUP(A468,Studies!A:BR,3,FALSE),"")</f>
        <v>https://www.ncbi.nlm.nih.gov/pubmed/25544247</v>
      </c>
      <c r="D468" s="232" t="str">
        <f>IF(AND(A468&lt;&gt;"",ISNUMBER(A468)),VLOOKUP(A468,Studies!A:BR,4,FALSE),"")</f>
        <v>mean</v>
      </c>
      <c r="E468" s="206" t="str">
        <f>IF(AND(A468&lt;&gt;"",ISNUMBER(A468)),VLOOKUP(A468,Studies!A:BR,5,FALSE),"")</f>
        <v>Sufentanil</v>
      </c>
      <c r="F468" s="207" t="str">
        <f>IF(AND(A468&lt;&gt;"",ISNUMBER(A468)),VLOOKUP(A468,Studies!A:BR,6,FALSE),"")</f>
        <v>Plasma</v>
      </c>
      <c r="G468" s="194">
        <v>7</v>
      </c>
      <c r="H468" s="194" t="s">
        <v>1041</v>
      </c>
      <c r="I468" s="187">
        <v>225.60149999999999</v>
      </c>
      <c r="J468" s="187" t="s">
        <v>1031</v>
      </c>
      <c r="K468" s="187" t="s">
        <v>116</v>
      </c>
      <c r="L468" s="195"/>
      <c r="M468" s="195"/>
      <c r="N468" s="195"/>
      <c r="O468" s="199"/>
      <c r="P468" s="188"/>
      <c r="Q468" s="174">
        <f>IF(ISNUMBER(VLOOKUP(A468,NotghiID!A:A,1,FALSE)),1,0)</f>
        <v>0</v>
      </c>
    </row>
    <row r="469" spans="1:17" ht="14.25" x14ac:dyDescent="0.2">
      <c r="A469" s="183">
        <v>467</v>
      </c>
      <c r="B469" s="232" t="str">
        <f>IF(AND(A469&lt;&gt;"",ISNUMBER(A469)),VLOOKUP(A469,Studies!A:BR,2,FALSE),"")</f>
        <v>Willsie 2015</v>
      </c>
      <c r="C469" s="232" t="str">
        <f>IF(AND(A469&lt;&gt;"",ISNUMBER(A469)),VLOOKUP(A469,Studies!A:BR,3,FALSE),"")</f>
        <v>https://www.ncbi.nlm.nih.gov/pubmed/25544247</v>
      </c>
      <c r="D469" s="232" t="str">
        <f>IF(AND(A469&lt;&gt;"",ISNUMBER(A469)),VLOOKUP(A469,Studies!A:BR,4,FALSE),"")</f>
        <v>mean</v>
      </c>
      <c r="E469" s="206" t="str">
        <f>IF(AND(A469&lt;&gt;"",ISNUMBER(A469)),VLOOKUP(A469,Studies!A:BR,5,FALSE),"")</f>
        <v>Sufentanil</v>
      </c>
      <c r="F469" s="207" t="str">
        <f>IF(AND(A469&lt;&gt;"",ISNUMBER(A469)),VLOOKUP(A469,Studies!A:BR,6,FALSE),"")</f>
        <v>Plasma</v>
      </c>
      <c r="G469" s="194">
        <v>10</v>
      </c>
      <c r="H469" s="194" t="s">
        <v>1041</v>
      </c>
      <c r="I469" s="187">
        <v>182.72720000000001</v>
      </c>
      <c r="J469" s="187" t="s">
        <v>1031</v>
      </c>
      <c r="K469" s="187" t="s">
        <v>116</v>
      </c>
      <c r="L469" s="195"/>
      <c r="M469" s="195"/>
      <c r="N469" s="195"/>
      <c r="O469" s="199"/>
      <c r="P469" s="188"/>
      <c r="Q469" s="174">
        <f>IF(ISNUMBER(VLOOKUP(A469,NotghiID!A:A,1,FALSE)),1,0)</f>
        <v>0</v>
      </c>
    </row>
    <row r="470" spans="1:17" ht="14.25" x14ac:dyDescent="0.2">
      <c r="A470" s="183">
        <v>467</v>
      </c>
      <c r="B470" s="232" t="str">
        <f>IF(AND(A470&lt;&gt;"",ISNUMBER(A470)),VLOOKUP(A470,Studies!A:BR,2,FALSE),"")</f>
        <v>Willsie 2015</v>
      </c>
      <c r="C470" s="232" t="str">
        <f>IF(AND(A470&lt;&gt;"",ISNUMBER(A470)),VLOOKUP(A470,Studies!A:BR,3,FALSE),"")</f>
        <v>https://www.ncbi.nlm.nih.gov/pubmed/25544247</v>
      </c>
      <c r="D470" s="232" t="str">
        <f>IF(AND(A470&lt;&gt;"",ISNUMBER(A470)),VLOOKUP(A470,Studies!A:BR,4,FALSE),"")</f>
        <v>mean</v>
      </c>
      <c r="E470" s="206" t="str">
        <f>IF(AND(A470&lt;&gt;"",ISNUMBER(A470)),VLOOKUP(A470,Studies!A:BR,5,FALSE),"")</f>
        <v>Sufentanil</v>
      </c>
      <c r="F470" s="207" t="str">
        <f>IF(AND(A470&lt;&gt;"",ISNUMBER(A470)),VLOOKUP(A470,Studies!A:BR,6,FALSE),"")</f>
        <v>Plasma</v>
      </c>
      <c r="G470" s="194">
        <v>15</v>
      </c>
      <c r="H470" s="194" t="s">
        <v>1041</v>
      </c>
      <c r="I470" s="187">
        <v>113.84950000000001</v>
      </c>
      <c r="J470" s="187" t="s">
        <v>1031</v>
      </c>
      <c r="K470" s="187" t="s">
        <v>116</v>
      </c>
      <c r="L470" s="195"/>
      <c r="M470" s="195"/>
      <c r="N470" s="195"/>
      <c r="O470" s="199"/>
      <c r="P470" s="188"/>
      <c r="Q470" s="174">
        <f>IF(ISNUMBER(VLOOKUP(A470,NotghiID!A:A,1,FALSE)),1,0)</f>
        <v>0</v>
      </c>
    </row>
    <row r="471" spans="1:17" ht="14.25" x14ac:dyDescent="0.2">
      <c r="A471" s="183">
        <v>467</v>
      </c>
      <c r="B471" s="232" t="str">
        <f>IF(AND(A471&lt;&gt;"",ISNUMBER(A471)),VLOOKUP(A471,Studies!A:BR,2,FALSE),"")</f>
        <v>Willsie 2015</v>
      </c>
      <c r="C471" s="232" t="str">
        <f>IF(AND(A471&lt;&gt;"",ISNUMBER(A471)),VLOOKUP(A471,Studies!A:BR,3,FALSE),"")</f>
        <v>https://www.ncbi.nlm.nih.gov/pubmed/25544247</v>
      </c>
      <c r="D471" s="232" t="str">
        <f>IF(AND(A471&lt;&gt;"",ISNUMBER(A471)),VLOOKUP(A471,Studies!A:BR,4,FALSE),"")</f>
        <v>mean</v>
      </c>
      <c r="E471" s="206" t="str">
        <f>IF(AND(A471&lt;&gt;"",ISNUMBER(A471)),VLOOKUP(A471,Studies!A:BR,5,FALSE),"")</f>
        <v>Sufentanil</v>
      </c>
      <c r="F471" s="207" t="str">
        <f>IF(AND(A471&lt;&gt;"",ISNUMBER(A471)),VLOOKUP(A471,Studies!A:BR,6,FALSE),"")</f>
        <v>Plasma</v>
      </c>
      <c r="G471" s="194">
        <v>20</v>
      </c>
      <c r="H471" s="194" t="s">
        <v>1041</v>
      </c>
      <c r="I471" s="187">
        <v>89.951160000000002</v>
      </c>
      <c r="J471" s="187" t="s">
        <v>1031</v>
      </c>
      <c r="K471" s="187" t="s">
        <v>116</v>
      </c>
      <c r="L471" s="195"/>
      <c r="M471" s="195"/>
      <c r="N471" s="195"/>
      <c r="O471" s="199"/>
      <c r="P471" s="188"/>
      <c r="Q471" s="174">
        <f>IF(ISNUMBER(VLOOKUP(A471,NotghiID!A:A,1,FALSE)),1,0)</f>
        <v>0</v>
      </c>
    </row>
    <row r="472" spans="1:17" ht="14.25" x14ac:dyDescent="0.2">
      <c r="A472" s="183">
        <v>467</v>
      </c>
      <c r="B472" s="232" t="str">
        <f>IF(AND(A472&lt;&gt;"",ISNUMBER(A472)),VLOOKUP(A472,Studies!A:BR,2,FALSE),"")</f>
        <v>Willsie 2015</v>
      </c>
      <c r="C472" s="232" t="str">
        <f>IF(AND(A472&lt;&gt;"",ISNUMBER(A472)),VLOOKUP(A472,Studies!A:BR,3,FALSE),"")</f>
        <v>https://www.ncbi.nlm.nih.gov/pubmed/25544247</v>
      </c>
      <c r="D472" s="232" t="str">
        <f>IF(AND(A472&lt;&gt;"",ISNUMBER(A472)),VLOOKUP(A472,Studies!A:BR,4,FALSE),"")</f>
        <v>mean</v>
      </c>
      <c r="E472" s="206" t="str">
        <f>IF(AND(A472&lt;&gt;"",ISNUMBER(A472)),VLOOKUP(A472,Studies!A:BR,5,FALSE),"")</f>
        <v>Sufentanil</v>
      </c>
      <c r="F472" s="207" t="str">
        <f>IF(AND(A472&lt;&gt;"",ISNUMBER(A472)),VLOOKUP(A472,Studies!A:BR,6,FALSE),"")</f>
        <v>Plasma</v>
      </c>
      <c r="G472" s="194">
        <v>30</v>
      </c>
      <c r="H472" s="194" t="s">
        <v>1041</v>
      </c>
      <c r="I472" s="187">
        <v>81.512270000000001</v>
      </c>
      <c r="J472" s="187" t="s">
        <v>1031</v>
      </c>
      <c r="K472" s="187" t="s">
        <v>116</v>
      </c>
      <c r="L472" s="195"/>
      <c r="M472" s="195"/>
      <c r="N472" s="195"/>
      <c r="O472" s="199"/>
      <c r="P472" s="188"/>
      <c r="Q472" s="174">
        <f>IF(ISNUMBER(VLOOKUP(A472,NotghiID!A:A,1,FALSE)),1,0)</f>
        <v>0</v>
      </c>
    </row>
    <row r="473" spans="1:17" ht="14.25" x14ac:dyDescent="0.2">
      <c r="A473" s="183">
        <v>467</v>
      </c>
      <c r="B473" s="232" t="str">
        <f>IF(AND(A473&lt;&gt;"",ISNUMBER(A473)),VLOOKUP(A473,Studies!A:BR,2,FALSE),"")</f>
        <v>Willsie 2015</v>
      </c>
      <c r="C473" s="232" t="str">
        <f>IF(AND(A473&lt;&gt;"",ISNUMBER(A473)),VLOOKUP(A473,Studies!A:BR,3,FALSE),"")</f>
        <v>https://www.ncbi.nlm.nih.gov/pubmed/25544247</v>
      </c>
      <c r="D473" s="232" t="str">
        <f>IF(AND(A473&lt;&gt;"",ISNUMBER(A473)),VLOOKUP(A473,Studies!A:BR,4,FALSE),"")</f>
        <v>mean</v>
      </c>
      <c r="E473" s="206" t="str">
        <f>IF(AND(A473&lt;&gt;"",ISNUMBER(A473)),VLOOKUP(A473,Studies!A:BR,5,FALSE),"")</f>
        <v>Sufentanil</v>
      </c>
      <c r="F473" s="207" t="str">
        <f>IF(AND(A473&lt;&gt;"",ISNUMBER(A473)),VLOOKUP(A473,Studies!A:BR,6,FALSE),"")</f>
        <v>Plasma</v>
      </c>
      <c r="G473" s="194">
        <v>45</v>
      </c>
      <c r="H473" s="194" t="s">
        <v>1041</v>
      </c>
      <c r="I473" s="187">
        <v>58.311689999999999</v>
      </c>
      <c r="J473" s="187" t="s">
        <v>1031</v>
      </c>
      <c r="K473" s="187" t="s">
        <v>116</v>
      </c>
      <c r="L473" s="195"/>
      <c r="M473" s="195"/>
      <c r="N473" s="195"/>
      <c r="O473" s="199"/>
      <c r="P473" s="188"/>
      <c r="Q473" s="174">
        <f>IF(ISNUMBER(VLOOKUP(A473,NotghiID!A:A,1,FALSE)),1,0)</f>
        <v>0</v>
      </c>
    </row>
    <row r="474" spans="1:17" ht="14.25" x14ac:dyDescent="0.2">
      <c r="A474" s="183">
        <v>467</v>
      </c>
      <c r="B474" s="232" t="str">
        <f>IF(AND(A474&lt;&gt;"",ISNUMBER(A474)),VLOOKUP(A474,Studies!A:BR,2,FALSE),"")</f>
        <v>Willsie 2015</v>
      </c>
      <c r="C474" s="232" t="str">
        <f>IF(AND(A474&lt;&gt;"",ISNUMBER(A474)),VLOOKUP(A474,Studies!A:BR,3,FALSE),"")</f>
        <v>https://www.ncbi.nlm.nih.gov/pubmed/25544247</v>
      </c>
      <c r="D474" s="232" t="str">
        <f>IF(AND(A474&lt;&gt;"",ISNUMBER(A474)),VLOOKUP(A474,Studies!A:BR,4,FALSE),"")</f>
        <v>mean</v>
      </c>
      <c r="E474" s="206" t="str">
        <f>IF(AND(A474&lt;&gt;"",ISNUMBER(A474)),VLOOKUP(A474,Studies!A:BR,5,FALSE),"")</f>
        <v>Sufentanil</v>
      </c>
      <c r="F474" s="207" t="str">
        <f>IF(AND(A474&lt;&gt;"",ISNUMBER(A474)),VLOOKUP(A474,Studies!A:BR,6,FALSE),"")</f>
        <v>Plasma</v>
      </c>
      <c r="G474" s="194">
        <v>60</v>
      </c>
      <c r="H474" s="194" t="s">
        <v>1041</v>
      </c>
      <c r="I474" s="187">
        <v>47.762650000000001</v>
      </c>
      <c r="J474" s="187" t="s">
        <v>1031</v>
      </c>
      <c r="K474" s="187" t="s">
        <v>116</v>
      </c>
      <c r="L474" s="195"/>
      <c r="M474" s="195"/>
      <c r="N474" s="195"/>
      <c r="O474" s="199"/>
      <c r="P474" s="188"/>
      <c r="Q474" s="174">
        <f>IF(ISNUMBER(VLOOKUP(A474,NotghiID!A:A,1,FALSE)),1,0)</f>
        <v>0</v>
      </c>
    </row>
    <row r="475" spans="1:17" ht="14.25" x14ac:dyDescent="0.2">
      <c r="A475" s="183">
        <v>467</v>
      </c>
      <c r="B475" s="232" t="str">
        <f>IF(AND(A475&lt;&gt;"",ISNUMBER(A475)),VLOOKUP(A475,Studies!A:BR,2,FALSE),"")</f>
        <v>Willsie 2015</v>
      </c>
      <c r="C475" s="232" t="str">
        <f>IF(AND(A475&lt;&gt;"",ISNUMBER(A475)),VLOOKUP(A475,Studies!A:BR,3,FALSE),"")</f>
        <v>https://www.ncbi.nlm.nih.gov/pubmed/25544247</v>
      </c>
      <c r="D475" s="232" t="str">
        <f>IF(AND(A475&lt;&gt;"",ISNUMBER(A475)),VLOOKUP(A475,Studies!A:BR,4,FALSE),"")</f>
        <v>mean</v>
      </c>
      <c r="E475" s="206" t="str">
        <f>IF(AND(A475&lt;&gt;"",ISNUMBER(A475)),VLOOKUP(A475,Studies!A:BR,5,FALSE),"")</f>
        <v>Sufentanil</v>
      </c>
      <c r="F475" s="207" t="str">
        <f>IF(AND(A475&lt;&gt;"",ISNUMBER(A475)),VLOOKUP(A475,Studies!A:BR,6,FALSE),"")</f>
        <v>Plasma</v>
      </c>
      <c r="G475" s="194">
        <v>90</v>
      </c>
      <c r="H475" s="194" t="s">
        <v>1041</v>
      </c>
      <c r="I475" s="187">
        <v>32.285420000000002</v>
      </c>
      <c r="J475" s="187" t="s">
        <v>1031</v>
      </c>
      <c r="K475" s="187" t="s">
        <v>116</v>
      </c>
      <c r="L475" s="195"/>
      <c r="M475" s="195"/>
      <c r="N475" s="195"/>
      <c r="O475" s="199"/>
      <c r="P475" s="188"/>
      <c r="Q475" s="174">
        <f>IF(ISNUMBER(VLOOKUP(A475,NotghiID!A:A,1,FALSE)),1,0)</f>
        <v>0</v>
      </c>
    </row>
    <row r="476" spans="1:17" ht="14.25" x14ac:dyDescent="0.2">
      <c r="A476" s="183">
        <v>467</v>
      </c>
      <c r="B476" s="232" t="str">
        <f>IF(AND(A476&lt;&gt;"",ISNUMBER(A476)),VLOOKUP(A476,Studies!A:BR,2,FALSE),"")</f>
        <v>Willsie 2015</v>
      </c>
      <c r="C476" s="232" t="str">
        <f>IF(AND(A476&lt;&gt;"",ISNUMBER(A476)),VLOOKUP(A476,Studies!A:BR,3,FALSE),"")</f>
        <v>https://www.ncbi.nlm.nih.gov/pubmed/25544247</v>
      </c>
      <c r="D476" s="232" t="str">
        <f>IF(AND(A476&lt;&gt;"",ISNUMBER(A476)),VLOOKUP(A476,Studies!A:BR,4,FALSE),"")</f>
        <v>mean</v>
      </c>
      <c r="E476" s="206" t="str">
        <f>IF(AND(A476&lt;&gt;"",ISNUMBER(A476)),VLOOKUP(A476,Studies!A:BR,5,FALSE),"")</f>
        <v>Sufentanil</v>
      </c>
      <c r="F476" s="207" t="str">
        <f>IF(AND(A476&lt;&gt;"",ISNUMBER(A476)),VLOOKUP(A476,Studies!A:BR,6,FALSE),"")</f>
        <v>Plasma</v>
      </c>
      <c r="G476" s="194">
        <v>120</v>
      </c>
      <c r="H476" s="194" t="s">
        <v>1041</v>
      </c>
      <c r="I476" s="187">
        <v>25.945640000000001</v>
      </c>
      <c r="J476" s="187" t="s">
        <v>1031</v>
      </c>
      <c r="K476" s="187" t="s">
        <v>116</v>
      </c>
      <c r="L476" s="195"/>
      <c r="M476" s="195"/>
      <c r="N476" s="195"/>
      <c r="O476" s="199"/>
      <c r="P476" s="188"/>
      <c r="Q476" s="174">
        <f>IF(ISNUMBER(VLOOKUP(A476,NotghiID!A:A,1,FALSE)),1,0)</f>
        <v>0</v>
      </c>
    </row>
    <row r="477" spans="1:17" ht="14.25" x14ac:dyDescent="0.2">
      <c r="A477" s="183">
        <v>467</v>
      </c>
      <c r="B477" s="232" t="str">
        <f>IF(AND(A477&lt;&gt;"",ISNUMBER(A477)),VLOOKUP(A477,Studies!A:BR,2,FALSE),"")</f>
        <v>Willsie 2015</v>
      </c>
      <c r="C477" s="232" t="str">
        <f>IF(AND(A477&lt;&gt;"",ISNUMBER(A477)),VLOOKUP(A477,Studies!A:BR,3,FALSE),"")</f>
        <v>https://www.ncbi.nlm.nih.gov/pubmed/25544247</v>
      </c>
      <c r="D477" s="232" t="str">
        <f>IF(AND(A477&lt;&gt;"",ISNUMBER(A477)),VLOOKUP(A477,Studies!A:BR,4,FALSE),"")</f>
        <v>mean</v>
      </c>
      <c r="E477" s="206" t="str">
        <f>IF(AND(A477&lt;&gt;"",ISNUMBER(A477)),VLOOKUP(A477,Studies!A:BR,5,FALSE),"")</f>
        <v>Sufentanil</v>
      </c>
      <c r="F477" s="207" t="str">
        <f>IF(AND(A477&lt;&gt;"",ISNUMBER(A477)),VLOOKUP(A477,Studies!A:BR,6,FALSE),"")</f>
        <v>Plasma</v>
      </c>
      <c r="G477" s="194">
        <v>180</v>
      </c>
      <c r="H477" s="194" t="s">
        <v>1041</v>
      </c>
      <c r="I477" s="187">
        <v>16.780159999999999</v>
      </c>
      <c r="J477" s="187" t="s">
        <v>1031</v>
      </c>
      <c r="K477" s="187" t="s">
        <v>116</v>
      </c>
      <c r="L477" s="195"/>
      <c r="M477" s="195"/>
      <c r="N477" s="195"/>
      <c r="O477" s="199"/>
      <c r="P477" s="188"/>
      <c r="Q477" s="174">
        <f>IF(ISNUMBER(VLOOKUP(A477,NotghiID!A:A,1,FALSE)),1,0)</f>
        <v>0</v>
      </c>
    </row>
    <row r="478" spans="1:17" ht="14.25" x14ac:dyDescent="0.2">
      <c r="A478" s="183">
        <v>467</v>
      </c>
      <c r="B478" s="232" t="str">
        <f>IF(AND(A478&lt;&gt;"",ISNUMBER(A478)),VLOOKUP(A478,Studies!A:BR,2,FALSE),"")</f>
        <v>Willsie 2015</v>
      </c>
      <c r="C478" s="232" t="str">
        <f>IF(AND(A478&lt;&gt;"",ISNUMBER(A478)),VLOOKUP(A478,Studies!A:BR,3,FALSE),"")</f>
        <v>https://www.ncbi.nlm.nih.gov/pubmed/25544247</v>
      </c>
      <c r="D478" s="232" t="str">
        <f>IF(AND(A478&lt;&gt;"",ISNUMBER(A478)),VLOOKUP(A478,Studies!A:BR,4,FALSE),"")</f>
        <v>mean</v>
      </c>
      <c r="E478" s="206" t="str">
        <f>IF(AND(A478&lt;&gt;"",ISNUMBER(A478)),VLOOKUP(A478,Studies!A:BR,5,FALSE),"")</f>
        <v>Sufentanil</v>
      </c>
      <c r="F478" s="207" t="str">
        <f>IF(AND(A478&lt;&gt;"",ISNUMBER(A478)),VLOOKUP(A478,Studies!A:BR,6,FALSE),"")</f>
        <v>Plasma</v>
      </c>
      <c r="G478" s="194">
        <v>240</v>
      </c>
      <c r="H478" s="194" t="s">
        <v>1041</v>
      </c>
      <c r="I478" s="187">
        <v>13.236370000000001</v>
      </c>
      <c r="J478" s="187" t="s">
        <v>1031</v>
      </c>
      <c r="K478" s="187" t="s">
        <v>116</v>
      </c>
      <c r="L478" s="195"/>
      <c r="M478" s="195"/>
      <c r="N478" s="195"/>
      <c r="O478" s="199"/>
      <c r="P478" s="188"/>
      <c r="Q478" s="174">
        <f>IF(ISNUMBER(VLOOKUP(A478,NotghiID!A:A,1,FALSE)),1,0)</f>
        <v>0</v>
      </c>
    </row>
    <row r="479" spans="1:17" ht="14.25" x14ac:dyDescent="0.2">
      <c r="A479" s="183">
        <v>467</v>
      </c>
      <c r="B479" s="232" t="str">
        <f>IF(AND(A479&lt;&gt;"",ISNUMBER(A479)),VLOOKUP(A479,Studies!A:BR,2,FALSE),"")</f>
        <v>Willsie 2015</v>
      </c>
      <c r="C479" s="232" t="str">
        <f>IF(AND(A479&lt;&gt;"",ISNUMBER(A479)),VLOOKUP(A479,Studies!A:BR,3,FALSE),"")</f>
        <v>https://www.ncbi.nlm.nih.gov/pubmed/25544247</v>
      </c>
      <c r="D479" s="232" t="str">
        <f>IF(AND(A479&lt;&gt;"",ISNUMBER(A479)),VLOOKUP(A479,Studies!A:BR,4,FALSE),"")</f>
        <v>mean</v>
      </c>
      <c r="E479" s="206" t="str">
        <f>IF(AND(A479&lt;&gt;"",ISNUMBER(A479)),VLOOKUP(A479,Studies!A:BR,5,FALSE),"")</f>
        <v>Sufentanil</v>
      </c>
      <c r="F479" s="207" t="str">
        <f>IF(AND(A479&lt;&gt;"",ISNUMBER(A479)),VLOOKUP(A479,Studies!A:BR,6,FALSE),"")</f>
        <v>Plasma</v>
      </c>
      <c r="G479" s="194">
        <v>360</v>
      </c>
      <c r="H479" s="194" t="s">
        <v>1041</v>
      </c>
      <c r="I479" s="187">
        <v>6.1504919999999998</v>
      </c>
      <c r="J479" s="187" t="s">
        <v>1031</v>
      </c>
      <c r="K479" s="187" t="s">
        <v>116</v>
      </c>
      <c r="L479" s="195"/>
      <c r="M479" s="195"/>
      <c r="N479" s="195"/>
      <c r="O479" s="199"/>
      <c r="P479" s="188"/>
      <c r="Q479" s="174">
        <f>IF(ISNUMBER(VLOOKUP(A479,NotghiID!A:A,1,FALSE)),1,0)</f>
        <v>0</v>
      </c>
    </row>
    <row r="480" spans="1:17" ht="14.25" x14ac:dyDescent="0.2">
      <c r="A480" s="183">
        <v>467</v>
      </c>
      <c r="B480" s="232" t="str">
        <f>IF(AND(A480&lt;&gt;"",ISNUMBER(A480)),VLOOKUP(A480,Studies!A:BR,2,FALSE),"")</f>
        <v>Willsie 2015</v>
      </c>
      <c r="C480" s="232" t="str">
        <f>IF(AND(A480&lt;&gt;"",ISNUMBER(A480)),VLOOKUP(A480,Studies!A:BR,3,FALSE),"")</f>
        <v>https://www.ncbi.nlm.nih.gov/pubmed/25544247</v>
      </c>
      <c r="D480" s="232" t="str">
        <f>IF(AND(A480&lt;&gt;"",ISNUMBER(A480)),VLOOKUP(A480,Studies!A:BR,4,FALSE),"")</f>
        <v>mean</v>
      </c>
      <c r="E480" s="206" t="str">
        <f>IF(AND(A480&lt;&gt;"",ISNUMBER(A480)),VLOOKUP(A480,Studies!A:BR,5,FALSE),"")</f>
        <v>Sufentanil</v>
      </c>
      <c r="F480" s="207" t="str">
        <f>IF(AND(A480&lt;&gt;"",ISNUMBER(A480)),VLOOKUP(A480,Studies!A:BR,6,FALSE),"")</f>
        <v>Plasma</v>
      </c>
      <c r="G480" s="194">
        <v>480</v>
      </c>
      <c r="H480" s="194" t="s">
        <v>1041</v>
      </c>
      <c r="I480" s="187">
        <v>3.2806579999999999</v>
      </c>
      <c r="J480" s="187" t="s">
        <v>1031</v>
      </c>
      <c r="K480" s="187" t="s">
        <v>116</v>
      </c>
      <c r="L480" s="195"/>
      <c r="M480" s="195"/>
      <c r="N480" s="195"/>
      <c r="O480" s="199"/>
      <c r="P480" s="188"/>
      <c r="Q480" s="174">
        <f>IF(ISNUMBER(VLOOKUP(A480,NotghiID!A:A,1,FALSE)),1,0)</f>
        <v>0</v>
      </c>
    </row>
    <row r="481" spans="1:17" ht="14.25" x14ac:dyDescent="0.2">
      <c r="A481" s="183">
        <v>467</v>
      </c>
      <c r="B481" s="232" t="str">
        <f>IF(AND(A481&lt;&gt;"",ISNUMBER(A481)),VLOOKUP(A481,Studies!A:BR,2,FALSE),"")</f>
        <v>Willsie 2015</v>
      </c>
      <c r="C481" s="232" t="str">
        <f>IF(AND(A481&lt;&gt;"",ISNUMBER(A481)),VLOOKUP(A481,Studies!A:BR,3,FALSE),"")</f>
        <v>https://www.ncbi.nlm.nih.gov/pubmed/25544247</v>
      </c>
      <c r="D481" s="232" t="str">
        <f>IF(AND(A481&lt;&gt;"",ISNUMBER(A481)),VLOOKUP(A481,Studies!A:BR,4,FALSE),"")</f>
        <v>mean</v>
      </c>
      <c r="E481" s="206" t="str">
        <f>IF(AND(A481&lt;&gt;"",ISNUMBER(A481)),VLOOKUP(A481,Studies!A:BR,5,FALSE),"")</f>
        <v>Sufentanil</v>
      </c>
      <c r="F481" s="207" t="str">
        <f>IF(AND(A481&lt;&gt;"",ISNUMBER(A481)),VLOOKUP(A481,Studies!A:BR,6,FALSE),"")</f>
        <v>Plasma</v>
      </c>
      <c r="G481" s="194">
        <v>600</v>
      </c>
      <c r="H481" s="194" t="s">
        <v>1041</v>
      </c>
      <c r="I481" s="187">
        <v>2.5184250000000001</v>
      </c>
      <c r="J481" s="187" t="s">
        <v>1031</v>
      </c>
      <c r="K481" s="187" t="s">
        <v>116</v>
      </c>
      <c r="L481" s="195"/>
      <c r="M481" s="195"/>
      <c r="N481" s="195"/>
      <c r="O481" s="199"/>
      <c r="P481" s="188"/>
      <c r="Q481" s="174">
        <f>IF(ISNUMBER(VLOOKUP(A481,NotghiID!A:A,1,FALSE)),1,0)</f>
        <v>0</v>
      </c>
    </row>
    <row r="482" spans="1:17" ht="14.25" x14ac:dyDescent="0.2">
      <c r="A482" s="183">
        <v>467</v>
      </c>
      <c r="B482" s="232" t="str">
        <f>IF(AND(A482&lt;&gt;"",ISNUMBER(A482)),VLOOKUP(A482,Studies!A:BR,2,FALSE),"")</f>
        <v>Willsie 2015</v>
      </c>
      <c r="C482" s="232" t="str">
        <f>IF(AND(A482&lt;&gt;"",ISNUMBER(A482)),VLOOKUP(A482,Studies!A:BR,3,FALSE),"")</f>
        <v>https://www.ncbi.nlm.nih.gov/pubmed/25544247</v>
      </c>
      <c r="D482" s="232" t="str">
        <f>IF(AND(A482&lt;&gt;"",ISNUMBER(A482)),VLOOKUP(A482,Studies!A:BR,4,FALSE),"")</f>
        <v>mean</v>
      </c>
      <c r="E482" s="206" t="str">
        <f>IF(AND(A482&lt;&gt;"",ISNUMBER(A482)),VLOOKUP(A482,Studies!A:BR,5,FALSE),"")</f>
        <v>Sufentanil</v>
      </c>
      <c r="F482" s="207" t="str">
        <f>IF(AND(A482&lt;&gt;"",ISNUMBER(A482)),VLOOKUP(A482,Studies!A:BR,6,FALSE),"")</f>
        <v>Plasma</v>
      </c>
      <c r="G482" s="194">
        <v>720</v>
      </c>
      <c r="H482" s="194" t="s">
        <v>1041</v>
      </c>
      <c r="I482" s="187">
        <v>2.459857</v>
      </c>
      <c r="J482" s="187" t="s">
        <v>1031</v>
      </c>
      <c r="K482" s="187" t="s">
        <v>116</v>
      </c>
      <c r="L482" s="195"/>
      <c r="M482" s="195"/>
      <c r="N482" s="195"/>
      <c r="O482" s="199"/>
      <c r="P482" s="188"/>
      <c r="Q482" s="174">
        <f>IF(ISNUMBER(VLOOKUP(A482,NotghiID!A:A,1,FALSE)),1,0)</f>
        <v>0</v>
      </c>
    </row>
    <row r="483" spans="1:17" ht="14.25" x14ac:dyDescent="0.2">
      <c r="A483" s="183">
        <v>467</v>
      </c>
      <c r="B483" s="232" t="str">
        <f>IF(AND(A483&lt;&gt;"",ISNUMBER(A483)),VLOOKUP(A483,Studies!A:BR,2,FALSE),"")</f>
        <v>Willsie 2015</v>
      </c>
      <c r="C483" s="232" t="str">
        <f>IF(AND(A483&lt;&gt;"",ISNUMBER(A483)),VLOOKUP(A483,Studies!A:BR,3,FALSE),"")</f>
        <v>https://www.ncbi.nlm.nih.gov/pubmed/25544247</v>
      </c>
      <c r="D483" s="232" t="str">
        <f>IF(AND(A483&lt;&gt;"",ISNUMBER(A483)),VLOOKUP(A483,Studies!A:BR,4,FALSE),"")</f>
        <v>mean</v>
      </c>
      <c r="E483" s="206" t="str">
        <f>IF(AND(A483&lt;&gt;"",ISNUMBER(A483)),VLOOKUP(A483,Studies!A:BR,5,FALSE),"")</f>
        <v>Sufentanil</v>
      </c>
      <c r="F483" s="207" t="str">
        <f>IF(AND(A483&lt;&gt;"",ISNUMBER(A483)),VLOOKUP(A483,Studies!A:BR,6,FALSE),"")</f>
        <v>Plasma</v>
      </c>
      <c r="G483" s="194">
        <v>840</v>
      </c>
      <c r="H483" s="194" t="s">
        <v>1041</v>
      </c>
      <c r="I483" s="187">
        <v>1.699322</v>
      </c>
      <c r="J483" s="187" t="s">
        <v>1031</v>
      </c>
      <c r="K483" s="187" t="s">
        <v>116</v>
      </c>
      <c r="L483" s="195"/>
      <c r="M483" s="195"/>
      <c r="N483" s="195"/>
      <c r="O483" s="199"/>
      <c r="P483" s="188"/>
      <c r="Q483" s="174">
        <f>IF(ISNUMBER(VLOOKUP(A483,NotghiID!A:A,1,FALSE)),1,0)</f>
        <v>0</v>
      </c>
    </row>
    <row r="484" spans="1:17" ht="14.25" x14ac:dyDescent="0.2">
      <c r="A484" s="183">
        <v>467</v>
      </c>
      <c r="B484" s="232" t="str">
        <f>IF(AND(A484&lt;&gt;"",ISNUMBER(A484)),VLOOKUP(A484,Studies!A:BR,2,FALSE),"")</f>
        <v>Willsie 2015</v>
      </c>
      <c r="C484" s="232" t="str">
        <f>IF(AND(A484&lt;&gt;"",ISNUMBER(A484)),VLOOKUP(A484,Studies!A:BR,3,FALSE),"")</f>
        <v>https://www.ncbi.nlm.nih.gov/pubmed/25544247</v>
      </c>
      <c r="D484" s="232" t="str">
        <f>IF(AND(A484&lt;&gt;"",ISNUMBER(A484)),VLOOKUP(A484,Studies!A:BR,4,FALSE),"")</f>
        <v>mean</v>
      </c>
      <c r="E484" s="206" t="str">
        <f>IF(AND(A484&lt;&gt;"",ISNUMBER(A484)),VLOOKUP(A484,Studies!A:BR,5,FALSE),"")</f>
        <v>Sufentanil</v>
      </c>
      <c r="F484" s="207" t="str">
        <f>IF(AND(A484&lt;&gt;"",ISNUMBER(A484)),VLOOKUP(A484,Studies!A:BR,6,FALSE),"")</f>
        <v>Plasma</v>
      </c>
      <c r="G484" s="194">
        <v>1440</v>
      </c>
      <c r="H484" s="194" t="s">
        <v>1041</v>
      </c>
      <c r="I484" s="187">
        <v>2.546436E-3</v>
      </c>
      <c r="J484" s="187" t="s">
        <v>1031</v>
      </c>
      <c r="K484" s="187" t="s">
        <v>116</v>
      </c>
      <c r="L484" s="195"/>
      <c r="M484" s="195"/>
      <c r="N484" s="195"/>
      <c r="O484" s="199"/>
      <c r="P484" s="188"/>
      <c r="Q484" s="174">
        <f>IF(ISNUMBER(VLOOKUP(A484,NotghiID!A:A,1,FALSE)),1,0)</f>
        <v>0</v>
      </c>
    </row>
    <row r="485" spans="1:17" ht="14.25" x14ac:dyDescent="0.2">
      <c r="A485" s="183">
        <v>79</v>
      </c>
      <c r="B485" s="232" t="str">
        <f>IF(AND(A485&lt;&gt;"",ISNUMBER(A485)),VLOOKUP(A485,Studies!A:BR,2,FALSE),"")</f>
        <v>Barone 1993</v>
      </c>
      <c r="C485" s="232" t="str">
        <f>IF(AND(A485&lt;&gt;"",ISNUMBER(A485)),VLOOKUP(A485,Studies!A:BR,3,FALSE),"")</f>
        <v>https://www.ncbi.nlm.nih.gov/pubmed/8388198</v>
      </c>
      <c r="D485" s="232" t="str">
        <f>IF(AND(A485&lt;&gt;"",ISNUMBER(A485)),VLOOKUP(A485,Studies!A:BR,4,FALSE),"")</f>
        <v>day 1 fasted</v>
      </c>
      <c r="E485" s="206" t="str">
        <f>IF(AND(A485&lt;&gt;"",ISNUMBER(A485)),VLOOKUP(A485,Studies!A:BR,5,FALSE),"")</f>
        <v>Itraconazole</v>
      </c>
      <c r="F485" s="207" t="str">
        <f>IF(AND(A485&lt;&gt;"",ISNUMBER(A485)),VLOOKUP(A485,Studies!A:BR,6,FALSE),"")</f>
        <v>Plasma</v>
      </c>
      <c r="G485" s="194">
        <v>0.5</v>
      </c>
      <c r="H485" s="194" t="s">
        <v>60</v>
      </c>
      <c r="I485" s="187">
        <v>0.55592245189473033</v>
      </c>
      <c r="J485" s="187" t="s">
        <v>1026</v>
      </c>
      <c r="K485" s="187" t="s">
        <v>116</v>
      </c>
      <c r="L485" s="195"/>
      <c r="M485" s="195"/>
      <c r="N485" s="195"/>
      <c r="O485" s="199"/>
      <c r="P485" s="188"/>
      <c r="Q485" s="174">
        <f>IF(ISNUMBER(VLOOKUP(A485,NotghiID!A:A,1,FALSE)),1,0)</f>
        <v>0</v>
      </c>
    </row>
    <row r="486" spans="1:17" ht="14.25" x14ac:dyDescent="0.2">
      <c r="A486" s="183">
        <v>79</v>
      </c>
      <c r="B486" s="232" t="str">
        <f>IF(AND(A486&lt;&gt;"",ISNUMBER(A486)),VLOOKUP(A486,Studies!A:BR,2,FALSE),"")</f>
        <v>Barone 1993</v>
      </c>
      <c r="C486" s="232" t="str">
        <f>IF(AND(A486&lt;&gt;"",ISNUMBER(A486)),VLOOKUP(A486,Studies!A:BR,3,FALSE),"")</f>
        <v>https://www.ncbi.nlm.nih.gov/pubmed/8388198</v>
      </c>
      <c r="D486" s="232" t="str">
        <f>IF(AND(A486&lt;&gt;"",ISNUMBER(A486)),VLOOKUP(A486,Studies!A:BR,4,FALSE),"")</f>
        <v>day 1 fasted</v>
      </c>
      <c r="E486" s="206" t="str">
        <f>IF(AND(A486&lt;&gt;"",ISNUMBER(A486)),VLOOKUP(A486,Studies!A:BR,5,FALSE),"")</f>
        <v>Itraconazole</v>
      </c>
      <c r="F486" s="207" t="str">
        <f>IF(AND(A486&lt;&gt;"",ISNUMBER(A486)),VLOOKUP(A486,Studies!A:BR,6,FALSE),"")</f>
        <v>Plasma</v>
      </c>
      <c r="G486" s="194">
        <v>1</v>
      </c>
      <c r="H486" s="194" t="s">
        <v>60</v>
      </c>
      <c r="I486" s="187">
        <v>11.364639736711979</v>
      </c>
      <c r="J486" s="187" t="s">
        <v>1026</v>
      </c>
      <c r="K486" s="187" t="s">
        <v>116</v>
      </c>
      <c r="L486" s="195"/>
      <c r="M486" s="195"/>
      <c r="N486" s="195"/>
      <c r="O486" s="199"/>
      <c r="P486" s="188"/>
      <c r="Q486" s="174">
        <f>IF(ISNUMBER(VLOOKUP(A486,NotghiID!A:A,1,FALSE)),1,0)</f>
        <v>0</v>
      </c>
    </row>
    <row r="487" spans="1:17" ht="14.25" x14ac:dyDescent="0.2">
      <c r="A487" s="183">
        <v>79</v>
      </c>
      <c r="B487" s="232" t="str">
        <f>IF(AND(A487&lt;&gt;"",ISNUMBER(A487)),VLOOKUP(A487,Studies!A:BR,2,FALSE),"")</f>
        <v>Barone 1993</v>
      </c>
      <c r="C487" s="232" t="str">
        <f>IF(AND(A487&lt;&gt;"",ISNUMBER(A487)),VLOOKUP(A487,Studies!A:BR,3,FALSE),"")</f>
        <v>https://www.ncbi.nlm.nih.gov/pubmed/8388198</v>
      </c>
      <c r="D487" s="232" t="str">
        <f>IF(AND(A487&lt;&gt;"",ISNUMBER(A487)),VLOOKUP(A487,Studies!A:BR,4,FALSE),"")</f>
        <v>day 1 fasted</v>
      </c>
      <c r="E487" s="206" t="str">
        <f>IF(AND(A487&lt;&gt;"",ISNUMBER(A487)),VLOOKUP(A487,Studies!A:BR,5,FALSE),"")</f>
        <v>Itraconazole</v>
      </c>
      <c r="F487" s="207" t="str">
        <f>IF(AND(A487&lt;&gt;"",ISNUMBER(A487)),VLOOKUP(A487,Studies!A:BR,6,FALSE),"")</f>
        <v>Plasma</v>
      </c>
      <c r="G487" s="194">
        <v>2</v>
      </c>
      <c r="H487" s="194" t="s">
        <v>60</v>
      </c>
      <c r="I487" s="187">
        <v>72.510160505771637</v>
      </c>
      <c r="J487" s="187" t="s">
        <v>1026</v>
      </c>
      <c r="K487" s="187" t="s">
        <v>116</v>
      </c>
      <c r="L487" s="195"/>
      <c r="M487" s="195"/>
      <c r="N487" s="195"/>
      <c r="O487" s="199"/>
      <c r="P487" s="188"/>
      <c r="Q487" s="174">
        <f>IF(ISNUMBER(VLOOKUP(A487,NotghiID!A:A,1,FALSE)),1,0)</f>
        <v>0</v>
      </c>
    </row>
    <row r="488" spans="1:17" ht="14.25" x14ac:dyDescent="0.2">
      <c r="A488" s="183">
        <v>79</v>
      </c>
      <c r="B488" s="232" t="str">
        <f>IF(AND(A488&lt;&gt;"",ISNUMBER(A488)),VLOOKUP(A488,Studies!A:BR,2,FALSE),"")</f>
        <v>Barone 1993</v>
      </c>
      <c r="C488" s="232" t="str">
        <f>IF(AND(A488&lt;&gt;"",ISNUMBER(A488)),VLOOKUP(A488,Studies!A:BR,3,FALSE),"")</f>
        <v>https://www.ncbi.nlm.nih.gov/pubmed/8388198</v>
      </c>
      <c r="D488" s="232" t="str">
        <f>IF(AND(A488&lt;&gt;"",ISNUMBER(A488)),VLOOKUP(A488,Studies!A:BR,4,FALSE),"")</f>
        <v>day 1 fasted</v>
      </c>
      <c r="E488" s="206" t="str">
        <f>IF(AND(A488&lt;&gt;"",ISNUMBER(A488)),VLOOKUP(A488,Studies!A:BR,5,FALSE),"")</f>
        <v>Itraconazole</v>
      </c>
      <c r="F488" s="207" t="str">
        <f>IF(AND(A488&lt;&gt;"",ISNUMBER(A488)),VLOOKUP(A488,Studies!A:BR,6,FALSE),"")</f>
        <v>Plasma</v>
      </c>
      <c r="G488" s="194">
        <v>3</v>
      </c>
      <c r="H488" s="194" t="s">
        <v>60</v>
      </c>
      <c r="I488" s="187">
        <v>102.32260078191757</v>
      </c>
      <c r="J488" s="187" t="s">
        <v>1026</v>
      </c>
      <c r="K488" s="187" t="s">
        <v>116</v>
      </c>
      <c r="L488" s="195"/>
      <c r="M488" s="195"/>
      <c r="N488" s="195"/>
      <c r="O488" s="199"/>
      <c r="P488" s="188"/>
      <c r="Q488" s="174">
        <f>IF(ISNUMBER(VLOOKUP(A488,NotghiID!A:A,1,FALSE)),1,0)</f>
        <v>0</v>
      </c>
    </row>
    <row r="489" spans="1:17" ht="14.25" x14ac:dyDescent="0.2">
      <c r="A489" s="183">
        <v>79</v>
      </c>
      <c r="B489" s="232" t="str">
        <f>IF(AND(A489&lt;&gt;"",ISNUMBER(A489)),VLOOKUP(A489,Studies!A:BR,2,FALSE),"")</f>
        <v>Barone 1993</v>
      </c>
      <c r="C489" s="232" t="str">
        <f>IF(AND(A489&lt;&gt;"",ISNUMBER(A489)),VLOOKUP(A489,Studies!A:BR,3,FALSE),"")</f>
        <v>https://www.ncbi.nlm.nih.gov/pubmed/8388198</v>
      </c>
      <c r="D489" s="232" t="str">
        <f>IF(AND(A489&lt;&gt;"",ISNUMBER(A489)),VLOOKUP(A489,Studies!A:BR,4,FALSE),"")</f>
        <v>day 1 fasted</v>
      </c>
      <c r="E489" s="206" t="str">
        <f>IF(AND(A489&lt;&gt;"",ISNUMBER(A489)),VLOOKUP(A489,Studies!A:BR,5,FALSE),"")</f>
        <v>Itraconazole</v>
      </c>
      <c r="F489" s="207" t="str">
        <f>IF(AND(A489&lt;&gt;"",ISNUMBER(A489)),VLOOKUP(A489,Studies!A:BR,6,FALSE),"")</f>
        <v>Plasma</v>
      </c>
      <c r="G489" s="194">
        <v>4</v>
      </c>
      <c r="H489" s="194" t="s">
        <v>60</v>
      </c>
      <c r="I489" s="187">
        <v>118.59709769487381</v>
      </c>
      <c r="J489" s="187" t="s">
        <v>1026</v>
      </c>
      <c r="K489" s="187" t="s">
        <v>116</v>
      </c>
      <c r="L489" s="195"/>
      <c r="M489" s="195"/>
      <c r="N489" s="195"/>
      <c r="O489" s="199"/>
      <c r="P489" s="188"/>
      <c r="Q489" s="174">
        <f>IF(ISNUMBER(VLOOKUP(A489,NotghiID!A:A,1,FALSE)),1,0)</f>
        <v>0</v>
      </c>
    </row>
    <row r="490" spans="1:17" ht="14.25" x14ac:dyDescent="0.2">
      <c r="A490" s="183">
        <v>79</v>
      </c>
      <c r="B490" s="232" t="str">
        <f>IF(AND(A490&lt;&gt;"",ISNUMBER(A490)),VLOOKUP(A490,Studies!A:BR,2,FALSE),"")</f>
        <v>Barone 1993</v>
      </c>
      <c r="C490" s="232" t="str">
        <f>IF(AND(A490&lt;&gt;"",ISNUMBER(A490)),VLOOKUP(A490,Studies!A:BR,3,FALSE),"")</f>
        <v>https://www.ncbi.nlm.nih.gov/pubmed/8388198</v>
      </c>
      <c r="D490" s="232" t="str">
        <f>IF(AND(A490&lt;&gt;"",ISNUMBER(A490)),VLOOKUP(A490,Studies!A:BR,4,FALSE),"")</f>
        <v>day 1 fasted</v>
      </c>
      <c r="E490" s="206" t="str">
        <f>IF(AND(A490&lt;&gt;"",ISNUMBER(A490)),VLOOKUP(A490,Studies!A:BR,5,FALSE),"")</f>
        <v>Itraconazole</v>
      </c>
      <c r="F490" s="207" t="str">
        <f>IF(AND(A490&lt;&gt;"",ISNUMBER(A490)),VLOOKUP(A490,Studies!A:BR,6,FALSE),"")</f>
        <v>Plasma</v>
      </c>
      <c r="G490" s="194">
        <v>5</v>
      </c>
      <c r="H490" s="194" t="s">
        <v>60</v>
      </c>
      <c r="I490" s="187">
        <v>118.59709769487381</v>
      </c>
      <c r="J490" s="187" t="s">
        <v>1026</v>
      </c>
      <c r="K490" s="187" t="s">
        <v>116</v>
      </c>
      <c r="L490" s="195"/>
      <c r="M490" s="195"/>
      <c r="N490" s="195"/>
      <c r="O490" s="199"/>
      <c r="P490" s="188"/>
      <c r="Q490" s="174">
        <f>IF(ISNUMBER(VLOOKUP(A490,NotghiID!A:A,1,FALSE)),1,0)</f>
        <v>0</v>
      </c>
    </row>
    <row r="491" spans="1:17" ht="14.25" x14ac:dyDescent="0.2">
      <c r="A491" s="183">
        <v>79</v>
      </c>
      <c r="B491" s="232" t="str">
        <f>IF(AND(A491&lt;&gt;"",ISNUMBER(A491)),VLOOKUP(A491,Studies!A:BR,2,FALSE),"")</f>
        <v>Barone 1993</v>
      </c>
      <c r="C491" s="232" t="str">
        <f>IF(AND(A491&lt;&gt;"",ISNUMBER(A491)),VLOOKUP(A491,Studies!A:BR,3,FALSE),"")</f>
        <v>https://www.ncbi.nlm.nih.gov/pubmed/8388198</v>
      </c>
      <c r="D491" s="232" t="str">
        <f>IF(AND(A491&lt;&gt;"",ISNUMBER(A491)),VLOOKUP(A491,Studies!A:BR,4,FALSE),"")</f>
        <v>day 1 fasted</v>
      </c>
      <c r="E491" s="206" t="str">
        <f>IF(AND(A491&lt;&gt;"",ISNUMBER(A491)),VLOOKUP(A491,Studies!A:BR,5,FALSE),"")</f>
        <v>Itraconazole</v>
      </c>
      <c r="F491" s="207" t="str">
        <f>IF(AND(A491&lt;&gt;"",ISNUMBER(A491)),VLOOKUP(A491,Studies!A:BR,6,FALSE),"")</f>
        <v>Plasma</v>
      </c>
      <c r="G491" s="194">
        <v>6</v>
      </c>
      <c r="H491" s="194" t="s">
        <v>60</v>
      </c>
      <c r="I491" s="187">
        <v>91.225020587444305</v>
      </c>
      <c r="J491" s="187" t="s">
        <v>1026</v>
      </c>
      <c r="K491" s="187" t="s">
        <v>116</v>
      </c>
      <c r="L491" s="195"/>
      <c r="M491" s="195"/>
      <c r="N491" s="195"/>
      <c r="O491" s="199"/>
      <c r="P491" s="188"/>
      <c r="Q491" s="174">
        <f>IF(ISNUMBER(VLOOKUP(A491,NotghiID!A:A,1,FALSE)),1,0)</f>
        <v>0</v>
      </c>
    </row>
    <row r="492" spans="1:17" ht="14.25" x14ac:dyDescent="0.2">
      <c r="A492" s="183">
        <v>79</v>
      </c>
      <c r="B492" s="232" t="str">
        <f>IF(AND(A492&lt;&gt;"",ISNUMBER(A492)),VLOOKUP(A492,Studies!A:BR,2,FALSE),"")</f>
        <v>Barone 1993</v>
      </c>
      <c r="C492" s="232" t="str">
        <f>IF(AND(A492&lt;&gt;"",ISNUMBER(A492)),VLOOKUP(A492,Studies!A:BR,3,FALSE),"")</f>
        <v>https://www.ncbi.nlm.nih.gov/pubmed/8388198</v>
      </c>
      <c r="D492" s="232" t="str">
        <f>IF(AND(A492&lt;&gt;"",ISNUMBER(A492)),VLOOKUP(A492,Studies!A:BR,4,FALSE),"")</f>
        <v>day 1 fasted</v>
      </c>
      <c r="E492" s="206" t="str">
        <f>IF(AND(A492&lt;&gt;"",ISNUMBER(A492)),VLOOKUP(A492,Studies!A:BR,5,FALSE),"")</f>
        <v>Itraconazole</v>
      </c>
      <c r="F492" s="207" t="str">
        <f>IF(AND(A492&lt;&gt;"",ISNUMBER(A492)),VLOOKUP(A492,Studies!A:BR,6,FALSE),"")</f>
        <v>Plasma</v>
      </c>
      <c r="G492" s="194">
        <v>8</v>
      </c>
      <c r="H492" s="194" t="s">
        <v>60</v>
      </c>
      <c r="I492" s="187">
        <v>69.028958678245544</v>
      </c>
      <c r="J492" s="187" t="s">
        <v>1026</v>
      </c>
      <c r="K492" s="187" t="s">
        <v>116</v>
      </c>
      <c r="L492" s="195"/>
      <c r="M492" s="195"/>
      <c r="N492" s="195"/>
      <c r="O492" s="199"/>
      <c r="P492" s="188"/>
      <c r="Q492" s="174">
        <f>IF(ISNUMBER(VLOOKUP(A492,NotghiID!A:A,1,FALSE)),1,0)</f>
        <v>0</v>
      </c>
    </row>
    <row r="493" spans="1:17" ht="14.25" x14ac:dyDescent="0.2">
      <c r="A493" s="183">
        <v>79</v>
      </c>
      <c r="B493" s="232" t="str">
        <f>IF(AND(A493&lt;&gt;"",ISNUMBER(A493)),VLOOKUP(A493,Studies!A:BR,2,FALSE),"")</f>
        <v>Barone 1993</v>
      </c>
      <c r="C493" s="232" t="str">
        <f>IF(AND(A493&lt;&gt;"",ISNUMBER(A493)),VLOOKUP(A493,Studies!A:BR,3,FALSE),"")</f>
        <v>https://www.ncbi.nlm.nih.gov/pubmed/8388198</v>
      </c>
      <c r="D493" s="232" t="str">
        <f>IF(AND(A493&lt;&gt;"",ISNUMBER(A493)),VLOOKUP(A493,Studies!A:BR,4,FALSE),"")</f>
        <v>day 1 fasted</v>
      </c>
      <c r="E493" s="206" t="str">
        <f>IF(AND(A493&lt;&gt;"",ISNUMBER(A493)),VLOOKUP(A493,Studies!A:BR,5,FALSE),"")</f>
        <v>Itraconazole</v>
      </c>
      <c r="F493" s="207" t="str">
        <f>IF(AND(A493&lt;&gt;"",ISNUMBER(A493)),VLOOKUP(A493,Studies!A:BR,6,FALSE),"")</f>
        <v>Plasma</v>
      </c>
      <c r="G493" s="194">
        <v>12</v>
      </c>
      <c r="H493" s="194" t="s">
        <v>60</v>
      </c>
      <c r="I493" s="187">
        <v>42.204238474369049</v>
      </c>
      <c r="J493" s="187" t="s">
        <v>1026</v>
      </c>
      <c r="K493" s="187" t="s">
        <v>116</v>
      </c>
      <c r="L493" s="195"/>
      <c r="M493" s="195"/>
      <c r="N493" s="195"/>
      <c r="O493" s="199"/>
      <c r="P493" s="188"/>
      <c r="Q493" s="174">
        <f>IF(ISNUMBER(VLOOKUP(A493,NotghiID!A:A,1,FALSE)),1,0)</f>
        <v>0</v>
      </c>
    </row>
    <row r="494" spans="1:17" ht="14.25" x14ac:dyDescent="0.2">
      <c r="A494" s="183">
        <v>79</v>
      </c>
      <c r="B494" s="232" t="str">
        <f>IF(AND(A494&lt;&gt;"",ISNUMBER(A494)),VLOOKUP(A494,Studies!A:BR,2,FALSE),"")</f>
        <v>Barone 1993</v>
      </c>
      <c r="C494" s="232" t="str">
        <f>IF(AND(A494&lt;&gt;"",ISNUMBER(A494)),VLOOKUP(A494,Studies!A:BR,3,FALSE),"")</f>
        <v>https://www.ncbi.nlm.nih.gov/pubmed/8388198</v>
      </c>
      <c r="D494" s="232" t="str">
        <f>IF(AND(A494&lt;&gt;"",ISNUMBER(A494)),VLOOKUP(A494,Studies!A:BR,4,FALSE),"")</f>
        <v>day 1 fasted</v>
      </c>
      <c r="E494" s="206" t="str">
        <f>IF(AND(A494&lt;&gt;"",ISNUMBER(A494)),VLOOKUP(A494,Studies!A:BR,5,FALSE),"")</f>
        <v>Itraconazole</v>
      </c>
      <c r="F494" s="207" t="str">
        <f>IF(AND(A494&lt;&gt;"",ISNUMBER(A494)),VLOOKUP(A494,Studies!A:BR,6,FALSE),"")</f>
        <v>Plasma</v>
      </c>
      <c r="G494" s="194">
        <v>24</v>
      </c>
      <c r="H494" s="194" t="s">
        <v>60</v>
      </c>
      <c r="I494" s="187">
        <v>23.772150278091431</v>
      </c>
      <c r="J494" s="187" t="s">
        <v>1026</v>
      </c>
      <c r="K494" s="187" t="s">
        <v>116</v>
      </c>
      <c r="L494" s="195"/>
      <c r="M494" s="195"/>
      <c r="N494" s="195"/>
      <c r="O494" s="199"/>
      <c r="P494" s="188"/>
      <c r="Q494" s="174">
        <f>IF(ISNUMBER(VLOOKUP(A494,NotghiID!A:A,1,FALSE)),1,0)</f>
        <v>0</v>
      </c>
    </row>
    <row r="495" spans="1:17" ht="14.25" x14ac:dyDescent="0.2">
      <c r="A495" s="183">
        <v>79</v>
      </c>
      <c r="B495" s="232" t="str">
        <f>IF(AND(A495&lt;&gt;"",ISNUMBER(A495)),VLOOKUP(A495,Studies!A:BR,2,FALSE),"")</f>
        <v>Barone 1993</v>
      </c>
      <c r="C495" s="232" t="str">
        <f>IF(AND(A495&lt;&gt;"",ISNUMBER(A495)),VLOOKUP(A495,Studies!A:BR,3,FALSE),"")</f>
        <v>https://www.ncbi.nlm.nih.gov/pubmed/8388198</v>
      </c>
      <c r="D495" s="232" t="str">
        <f>IF(AND(A495&lt;&gt;"",ISNUMBER(A495)),VLOOKUP(A495,Studies!A:BR,4,FALSE),"")</f>
        <v>day 1 fasted</v>
      </c>
      <c r="E495" s="206" t="str">
        <f>IF(AND(A495&lt;&gt;"",ISNUMBER(A495)),VLOOKUP(A495,Studies!A:BR,5,FALSE),"")</f>
        <v>Itraconazole</v>
      </c>
      <c r="F495" s="207" t="str">
        <f>IF(AND(A495&lt;&gt;"",ISNUMBER(A495)),VLOOKUP(A495,Studies!A:BR,6,FALSE),"")</f>
        <v>Plasma</v>
      </c>
      <c r="G495" s="194">
        <v>36</v>
      </c>
      <c r="H495" s="194" t="s">
        <v>60</v>
      </c>
      <c r="I495" s="187">
        <v>16.845960170030594</v>
      </c>
      <c r="J495" s="187" t="s">
        <v>1026</v>
      </c>
      <c r="K495" s="187" t="s">
        <v>116</v>
      </c>
      <c r="L495" s="195"/>
      <c r="M495" s="195"/>
      <c r="N495" s="195"/>
      <c r="O495" s="199"/>
      <c r="P495" s="188"/>
      <c r="Q495" s="174">
        <f>IF(ISNUMBER(VLOOKUP(A495,NotghiID!A:A,1,FALSE)),1,0)</f>
        <v>0</v>
      </c>
    </row>
    <row r="496" spans="1:17" ht="14.25" x14ac:dyDescent="0.2">
      <c r="A496" s="183">
        <v>79</v>
      </c>
      <c r="B496" s="232" t="str">
        <f>IF(AND(A496&lt;&gt;"",ISNUMBER(A496)),VLOOKUP(A496,Studies!A:BR,2,FALSE),"")</f>
        <v>Barone 1993</v>
      </c>
      <c r="C496" s="232" t="str">
        <f>IF(AND(A496&lt;&gt;"",ISNUMBER(A496)),VLOOKUP(A496,Studies!A:BR,3,FALSE),"")</f>
        <v>https://www.ncbi.nlm.nih.gov/pubmed/8388198</v>
      </c>
      <c r="D496" s="232" t="str">
        <f>IF(AND(A496&lt;&gt;"",ISNUMBER(A496)),VLOOKUP(A496,Studies!A:BR,4,FALSE),"")</f>
        <v>day 1 fasted</v>
      </c>
      <c r="E496" s="206" t="str">
        <f>IF(AND(A496&lt;&gt;"",ISNUMBER(A496)),VLOOKUP(A496,Studies!A:BR,5,FALSE),"")</f>
        <v>Itraconazole</v>
      </c>
      <c r="F496" s="207" t="str">
        <f>IF(AND(A496&lt;&gt;"",ISNUMBER(A496)),VLOOKUP(A496,Studies!A:BR,6,FALSE),"")</f>
        <v>Plasma</v>
      </c>
      <c r="G496" s="194">
        <v>48</v>
      </c>
      <c r="H496" s="194" t="s">
        <v>60</v>
      </c>
      <c r="I496" s="187">
        <v>10.132070630788803</v>
      </c>
      <c r="J496" s="187" t="s">
        <v>1026</v>
      </c>
      <c r="K496" s="187" t="s">
        <v>116</v>
      </c>
      <c r="L496" s="195"/>
      <c r="M496" s="195"/>
      <c r="N496" s="195"/>
      <c r="O496" s="199"/>
      <c r="P496" s="188"/>
      <c r="Q496" s="174">
        <f>IF(ISNUMBER(VLOOKUP(A496,NotghiID!A:A,1,FALSE)),1,0)</f>
        <v>0</v>
      </c>
    </row>
    <row r="497" spans="1:17" ht="14.25" x14ac:dyDescent="0.2">
      <c r="A497" s="183">
        <v>79</v>
      </c>
      <c r="B497" s="232" t="str">
        <f>IF(AND(A497&lt;&gt;"",ISNUMBER(A497)),VLOOKUP(A497,Studies!A:BR,2,FALSE),"")</f>
        <v>Barone 1993</v>
      </c>
      <c r="C497" s="232" t="str">
        <f>IF(AND(A497&lt;&gt;"",ISNUMBER(A497)),VLOOKUP(A497,Studies!A:BR,3,FALSE),"")</f>
        <v>https://www.ncbi.nlm.nih.gov/pubmed/8388198</v>
      </c>
      <c r="D497" s="232" t="str">
        <f>IF(AND(A497&lt;&gt;"",ISNUMBER(A497)),VLOOKUP(A497,Studies!A:BR,4,FALSE),"")</f>
        <v>day 1 fasted</v>
      </c>
      <c r="E497" s="206" t="str">
        <f>IF(AND(A497&lt;&gt;"",ISNUMBER(A497)),VLOOKUP(A497,Studies!A:BR,5,FALSE),"")</f>
        <v>Itraconazole</v>
      </c>
      <c r="F497" s="207" t="str">
        <f>IF(AND(A497&lt;&gt;"",ISNUMBER(A497)),VLOOKUP(A497,Studies!A:BR,6,FALSE),"")</f>
        <v>Plasma</v>
      </c>
      <c r="G497" s="194">
        <v>72</v>
      </c>
      <c r="H497" s="194" t="s">
        <v>60</v>
      </c>
      <c r="I497" s="187">
        <v>3.7874560803174973</v>
      </c>
      <c r="J497" s="187" t="s">
        <v>1026</v>
      </c>
      <c r="K497" s="187" t="s">
        <v>116</v>
      </c>
      <c r="L497" s="195"/>
      <c r="M497" s="195"/>
      <c r="N497" s="195"/>
      <c r="O497" s="199"/>
      <c r="P497" s="188"/>
      <c r="Q497" s="174">
        <f>IF(ISNUMBER(VLOOKUP(A497,NotghiID!A:A,1,FALSE)),1,0)</f>
        <v>0</v>
      </c>
    </row>
    <row r="498" spans="1:17" ht="14.25" x14ac:dyDescent="0.2">
      <c r="A498" s="183">
        <v>80</v>
      </c>
      <c r="B498" s="232" t="str">
        <f>IF(AND(A498&lt;&gt;"",ISNUMBER(A498)),VLOOKUP(A498,Studies!A:BR,2,FALSE),"")</f>
        <v>Barone 1993</v>
      </c>
      <c r="C498" s="232" t="str">
        <f>IF(AND(A498&lt;&gt;"",ISNUMBER(A498)),VLOOKUP(A498,Studies!A:BR,3,FALSE),"")</f>
        <v>https://www.ncbi.nlm.nih.gov/pubmed/8388198</v>
      </c>
      <c r="D498" s="232" t="str">
        <f>IF(AND(A498&lt;&gt;"",ISNUMBER(A498)),VLOOKUP(A498,Studies!A:BR,4,FALSE),"")</f>
        <v>day 1 fasted</v>
      </c>
      <c r="E498" s="206" t="str">
        <f>IF(AND(A498&lt;&gt;"",ISNUMBER(A498)),VLOOKUP(A498,Studies!A:BR,5,FALSE),"")</f>
        <v>Hydroxy-Itraconazole</v>
      </c>
      <c r="F498" s="207" t="str">
        <f>IF(AND(A498&lt;&gt;"",ISNUMBER(A498)),VLOOKUP(A498,Studies!A:BR,6,FALSE),"")</f>
        <v>Plasma</v>
      </c>
      <c r="G498" s="194">
        <v>0.5</v>
      </c>
      <c r="H498" s="194" t="s">
        <v>60</v>
      </c>
      <c r="I498" s="187">
        <v>0.86560928821563721</v>
      </c>
      <c r="J498" s="187" t="s">
        <v>1026</v>
      </c>
      <c r="K498" s="187" t="s">
        <v>116</v>
      </c>
      <c r="L498" s="195"/>
      <c r="M498" s="195"/>
      <c r="N498" s="195"/>
      <c r="O498" s="199"/>
      <c r="P498" s="188"/>
      <c r="Q498" s="174">
        <f>IF(ISNUMBER(VLOOKUP(A498,NotghiID!A:A,1,FALSE)),1,0)</f>
        <v>0</v>
      </c>
    </row>
    <row r="499" spans="1:17" ht="14.25" x14ac:dyDescent="0.2">
      <c r="A499" s="183">
        <v>80</v>
      </c>
      <c r="B499" s="232" t="str">
        <f>IF(AND(A499&lt;&gt;"",ISNUMBER(A499)),VLOOKUP(A499,Studies!A:BR,2,FALSE),"")</f>
        <v>Barone 1993</v>
      </c>
      <c r="C499" s="232" t="str">
        <f>IF(AND(A499&lt;&gt;"",ISNUMBER(A499)),VLOOKUP(A499,Studies!A:BR,3,FALSE),"")</f>
        <v>https://www.ncbi.nlm.nih.gov/pubmed/8388198</v>
      </c>
      <c r="D499" s="232" t="str">
        <f>IF(AND(A499&lt;&gt;"",ISNUMBER(A499)),VLOOKUP(A499,Studies!A:BR,4,FALSE),"")</f>
        <v>day 1 fasted</v>
      </c>
      <c r="E499" s="206" t="str">
        <f>IF(AND(A499&lt;&gt;"",ISNUMBER(A499)),VLOOKUP(A499,Studies!A:BR,5,FALSE),"")</f>
        <v>Hydroxy-Itraconazole</v>
      </c>
      <c r="F499" s="207" t="str">
        <f>IF(AND(A499&lt;&gt;"",ISNUMBER(A499)),VLOOKUP(A499,Studies!A:BR,6,FALSE),"")</f>
        <v>Plasma</v>
      </c>
      <c r="G499" s="194">
        <v>1</v>
      </c>
      <c r="H499" s="194" t="s">
        <v>60</v>
      </c>
      <c r="I499" s="187">
        <v>19.848180770874023</v>
      </c>
      <c r="J499" s="187" t="s">
        <v>1026</v>
      </c>
      <c r="K499" s="187" t="s">
        <v>116</v>
      </c>
      <c r="L499" s="195"/>
      <c r="M499" s="195"/>
      <c r="N499" s="195"/>
      <c r="O499" s="199"/>
      <c r="P499" s="188"/>
      <c r="Q499" s="174">
        <f>IF(ISNUMBER(VLOOKUP(A499,NotghiID!A:A,1,FALSE)),1,0)</f>
        <v>0</v>
      </c>
    </row>
    <row r="500" spans="1:17" ht="14.25" x14ac:dyDescent="0.2">
      <c r="A500" s="183">
        <v>80</v>
      </c>
      <c r="B500" s="232" t="str">
        <f>IF(AND(A500&lt;&gt;"",ISNUMBER(A500)),VLOOKUP(A500,Studies!A:BR,2,FALSE),"")</f>
        <v>Barone 1993</v>
      </c>
      <c r="C500" s="232" t="str">
        <f>IF(AND(A500&lt;&gt;"",ISNUMBER(A500)),VLOOKUP(A500,Studies!A:BR,3,FALSE),"")</f>
        <v>https://www.ncbi.nlm.nih.gov/pubmed/8388198</v>
      </c>
      <c r="D500" s="232" t="str">
        <f>IF(AND(A500&lt;&gt;"",ISNUMBER(A500)),VLOOKUP(A500,Studies!A:BR,4,FALSE),"")</f>
        <v>day 1 fasted</v>
      </c>
      <c r="E500" s="206" t="str">
        <f>IF(AND(A500&lt;&gt;"",ISNUMBER(A500)),VLOOKUP(A500,Studies!A:BR,5,FALSE),"")</f>
        <v>Hydroxy-Itraconazole</v>
      </c>
      <c r="F500" s="207" t="str">
        <f>IF(AND(A500&lt;&gt;"",ISNUMBER(A500)),VLOOKUP(A500,Studies!A:BR,6,FALSE),"")</f>
        <v>Plasma</v>
      </c>
      <c r="G500" s="194">
        <v>2</v>
      </c>
      <c r="H500" s="194" t="s">
        <v>60</v>
      </c>
      <c r="I500" s="187">
        <v>128.73199462890625</v>
      </c>
      <c r="J500" s="187" t="s">
        <v>1026</v>
      </c>
      <c r="K500" s="187" t="s">
        <v>116</v>
      </c>
      <c r="L500" s="195"/>
      <c r="M500" s="195"/>
      <c r="N500" s="195"/>
      <c r="O500" s="199"/>
      <c r="P500" s="188"/>
      <c r="Q500" s="174">
        <f>IF(ISNUMBER(VLOOKUP(A500,NotghiID!A:A,1,FALSE)),1,0)</f>
        <v>0</v>
      </c>
    </row>
    <row r="501" spans="1:17" ht="14.25" x14ac:dyDescent="0.2">
      <c r="A501" s="183">
        <v>80</v>
      </c>
      <c r="B501" s="232" t="str">
        <f>IF(AND(A501&lt;&gt;"",ISNUMBER(A501)),VLOOKUP(A501,Studies!A:BR,2,FALSE),"")</f>
        <v>Barone 1993</v>
      </c>
      <c r="C501" s="232" t="str">
        <f>IF(AND(A501&lt;&gt;"",ISNUMBER(A501)),VLOOKUP(A501,Studies!A:BR,3,FALSE),"")</f>
        <v>https://www.ncbi.nlm.nih.gov/pubmed/8388198</v>
      </c>
      <c r="D501" s="232" t="str">
        <f>IF(AND(A501&lt;&gt;"",ISNUMBER(A501)),VLOOKUP(A501,Studies!A:BR,4,FALSE),"")</f>
        <v>day 1 fasted</v>
      </c>
      <c r="E501" s="206" t="str">
        <f>IF(AND(A501&lt;&gt;"",ISNUMBER(A501)),VLOOKUP(A501,Studies!A:BR,5,FALSE),"")</f>
        <v>Hydroxy-Itraconazole</v>
      </c>
      <c r="F501" s="207" t="str">
        <f>IF(AND(A501&lt;&gt;"",ISNUMBER(A501)),VLOOKUP(A501,Studies!A:BR,6,FALSE),"")</f>
        <v>Plasma</v>
      </c>
      <c r="G501" s="194">
        <v>3</v>
      </c>
      <c r="H501" s="194" t="s">
        <v>60</v>
      </c>
      <c r="I501" s="187">
        <v>217.57389831542969</v>
      </c>
      <c r="J501" s="187" t="s">
        <v>1026</v>
      </c>
      <c r="K501" s="187" t="s">
        <v>116</v>
      </c>
      <c r="L501" s="195"/>
      <c r="M501" s="195"/>
      <c r="N501" s="195"/>
      <c r="O501" s="199"/>
      <c r="P501" s="188"/>
      <c r="Q501" s="174">
        <f>IF(ISNUMBER(VLOOKUP(A501,NotghiID!A:A,1,FALSE)),1,0)</f>
        <v>0</v>
      </c>
    </row>
    <row r="502" spans="1:17" ht="14.25" x14ac:dyDescent="0.2">
      <c r="A502" s="183">
        <v>80</v>
      </c>
      <c r="B502" s="232" t="str">
        <f>IF(AND(A502&lt;&gt;"",ISNUMBER(A502)),VLOOKUP(A502,Studies!A:BR,2,FALSE),"")</f>
        <v>Barone 1993</v>
      </c>
      <c r="C502" s="232" t="str">
        <f>IF(AND(A502&lt;&gt;"",ISNUMBER(A502)),VLOOKUP(A502,Studies!A:BR,3,FALSE),"")</f>
        <v>https://www.ncbi.nlm.nih.gov/pubmed/8388198</v>
      </c>
      <c r="D502" s="232" t="str">
        <f>IF(AND(A502&lt;&gt;"",ISNUMBER(A502)),VLOOKUP(A502,Studies!A:BR,4,FALSE),"")</f>
        <v>day 1 fasted</v>
      </c>
      <c r="E502" s="206" t="str">
        <f>IF(AND(A502&lt;&gt;"",ISNUMBER(A502)),VLOOKUP(A502,Studies!A:BR,5,FALSE),"")</f>
        <v>Hydroxy-Itraconazole</v>
      </c>
      <c r="F502" s="207" t="str">
        <f>IF(AND(A502&lt;&gt;"",ISNUMBER(A502)),VLOOKUP(A502,Studies!A:BR,6,FALSE),"")</f>
        <v>Plasma</v>
      </c>
      <c r="G502" s="194">
        <v>4</v>
      </c>
      <c r="H502" s="194" t="s">
        <v>60</v>
      </c>
      <c r="I502" s="187">
        <v>260.58798217773437</v>
      </c>
      <c r="J502" s="187" t="s">
        <v>1026</v>
      </c>
      <c r="K502" s="187" t="s">
        <v>116</v>
      </c>
      <c r="L502" s="195"/>
      <c r="M502" s="195"/>
      <c r="N502" s="195"/>
      <c r="O502" s="199"/>
      <c r="P502" s="188"/>
      <c r="Q502" s="174">
        <f>IF(ISNUMBER(VLOOKUP(A502,NotghiID!A:A,1,FALSE)),1,0)</f>
        <v>0</v>
      </c>
    </row>
    <row r="503" spans="1:17" ht="14.25" x14ac:dyDescent="0.2">
      <c r="A503" s="183">
        <v>80</v>
      </c>
      <c r="B503" s="232" t="str">
        <f>IF(AND(A503&lt;&gt;"",ISNUMBER(A503)),VLOOKUP(A503,Studies!A:BR,2,FALSE),"")</f>
        <v>Barone 1993</v>
      </c>
      <c r="C503" s="232" t="str">
        <f>IF(AND(A503&lt;&gt;"",ISNUMBER(A503)),VLOOKUP(A503,Studies!A:BR,3,FALSE),"")</f>
        <v>https://www.ncbi.nlm.nih.gov/pubmed/8388198</v>
      </c>
      <c r="D503" s="232" t="str">
        <f>IF(AND(A503&lt;&gt;"",ISNUMBER(A503)),VLOOKUP(A503,Studies!A:BR,4,FALSE),"")</f>
        <v>day 1 fasted</v>
      </c>
      <c r="E503" s="206" t="str">
        <f>IF(AND(A503&lt;&gt;"",ISNUMBER(A503)),VLOOKUP(A503,Studies!A:BR,5,FALSE),"")</f>
        <v>Hydroxy-Itraconazole</v>
      </c>
      <c r="F503" s="207" t="str">
        <f>IF(AND(A503&lt;&gt;"",ISNUMBER(A503)),VLOOKUP(A503,Studies!A:BR,6,FALSE),"")</f>
        <v>Plasma</v>
      </c>
      <c r="G503" s="194">
        <v>5</v>
      </c>
      <c r="H503" s="194" t="s">
        <v>60</v>
      </c>
      <c r="I503" s="187">
        <v>278.25601196289062</v>
      </c>
      <c r="J503" s="187" t="s">
        <v>1026</v>
      </c>
      <c r="K503" s="187" t="s">
        <v>116</v>
      </c>
      <c r="L503" s="195"/>
      <c r="M503" s="195"/>
      <c r="N503" s="195"/>
      <c r="O503" s="199"/>
      <c r="P503" s="188"/>
      <c r="Q503" s="174">
        <f>IF(ISNUMBER(VLOOKUP(A503,NotghiID!A:A,1,FALSE)),1,0)</f>
        <v>0</v>
      </c>
    </row>
    <row r="504" spans="1:17" ht="14.25" x14ac:dyDescent="0.2">
      <c r="A504" s="183">
        <v>80</v>
      </c>
      <c r="B504" s="232" t="str">
        <f>IF(AND(A504&lt;&gt;"",ISNUMBER(A504)),VLOOKUP(A504,Studies!A:BR,2,FALSE),"")</f>
        <v>Barone 1993</v>
      </c>
      <c r="C504" s="232" t="str">
        <f>IF(AND(A504&lt;&gt;"",ISNUMBER(A504)),VLOOKUP(A504,Studies!A:BR,3,FALSE),"")</f>
        <v>https://www.ncbi.nlm.nih.gov/pubmed/8388198</v>
      </c>
      <c r="D504" s="232" t="str">
        <f>IF(AND(A504&lt;&gt;"",ISNUMBER(A504)),VLOOKUP(A504,Studies!A:BR,4,FALSE),"")</f>
        <v>day 1 fasted</v>
      </c>
      <c r="E504" s="206" t="str">
        <f>IF(AND(A504&lt;&gt;"",ISNUMBER(A504)),VLOOKUP(A504,Studies!A:BR,5,FALSE),"")</f>
        <v>Hydroxy-Itraconazole</v>
      </c>
      <c r="F504" s="207" t="str">
        <f>IF(AND(A504&lt;&gt;"",ISNUMBER(A504)),VLOOKUP(A504,Studies!A:BR,6,FALSE),"")</f>
        <v>Plasma</v>
      </c>
      <c r="G504" s="194">
        <v>6</v>
      </c>
      <c r="H504" s="194" t="s">
        <v>60</v>
      </c>
      <c r="I504" s="187">
        <v>240.07220458984375</v>
      </c>
      <c r="J504" s="187" t="s">
        <v>1026</v>
      </c>
      <c r="K504" s="187" t="s">
        <v>116</v>
      </c>
      <c r="L504" s="195"/>
      <c r="M504" s="195"/>
      <c r="N504" s="195"/>
      <c r="O504" s="199"/>
      <c r="P504" s="188"/>
      <c r="Q504" s="174">
        <f>IF(ISNUMBER(VLOOKUP(A504,NotghiID!A:A,1,FALSE)),1,0)</f>
        <v>0</v>
      </c>
    </row>
    <row r="505" spans="1:17" ht="14.25" x14ac:dyDescent="0.2">
      <c r="A505" s="183">
        <v>80</v>
      </c>
      <c r="B505" s="232" t="str">
        <f>IF(AND(A505&lt;&gt;"",ISNUMBER(A505)),VLOOKUP(A505,Studies!A:BR,2,FALSE),"")</f>
        <v>Barone 1993</v>
      </c>
      <c r="C505" s="232" t="str">
        <f>IF(AND(A505&lt;&gt;"",ISNUMBER(A505)),VLOOKUP(A505,Studies!A:BR,3,FALSE),"")</f>
        <v>https://www.ncbi.nlm.nih.gov/pubmed/8388198</v>
      </c>
      <c r="D505" s="232" t="str">
        <f>IF(AND(A505&lt;&gt;"",ISNUMBER(A505)),VLOOKUP(A505,Studies!A:BR,4,FALSE),"")</f>
        <v>day 1 fasted</v>
      </c>
      <c r="E505" s="206" t="str">
        <f>IF(AND(A505&lt;&gt;"",ISNUMBER(A505)),VLOOKUP(A505,Studies!A:BR,5,FALSE),"")</f>
        <v>Hydroxy-Itraconazole</v>
      </c>
      <c r="F505" s="207" t="str">
        <f>IF(AND(A505&lt;&gt;"",ISNUMBER(A505)),VLOOKUP(A505,Studies!A:BR,6,FALSE),"")</f>
        <v>Plasma</v>
      </c>
      <c r="G505" s="194">
        <v>8</v>
      </c>
      <c r="H505" s="194" t="s">
        <v>60</v>
      </c>
      <c r="I505" s="187">
        <v>207.12818908691406</v>
      </c>
      <c r="J505" s="187" t="s">
        <v>1026</v>
      </c>
      <c r="K505" s="187" t="s">
        <v>116</v>
      </c>
      <c r="L505" s="195"/>
      <c r="M505" s="195"/>
      <c r="N505" s="195"/>
      <c r="O505" s="199"/>
      <c r="P505" s="188"/>
      <c r="Q505" s="174">
        <f>IF(ISNUMBER(VLOOKUP(A505,NotghiID!A:A,1,FALSE)),1,0)</f>
        <v>0</v>
      </c>
    </row>
    <row r="506" spans="1:17" ht="14.25" x14ac:dyDescent="0.2">
      <c r="A506" s="183">
        <v>80</v>
      </c>
      <c r="B506" s="232" t="str">
        <f>IF(AND(A506&lt;&gt;"",ISNUMBER(A506)),VLOOKUP(A506,Studies!A:BR,2,FALSE),"")</f>
        <v>Barone 1993</v>
      </c>
      <c r="C506" s="232" t="str">
        <f>IF(AND(A506&lt;&gt;"",ISNUMBER(A506)),VLOOKUP(A506,Studies!A:BR,3,FALSE),"")</f>
        <v>https://www.ncbi.nlm.nih.gov/pubmed/8388198</v>
      </c>
      <c r="D506" s="232" t="str">
        <f>IF(AND(A506&lt;&gt;"",ISNUMBER(A506)),VLOOKUP(A506,Studies!A:BR,4,FALSE),"")</f>
        <v>day 1 fasted</v>
      </c>
      <c r="E506" s="206" t="str">
        <f>IF(AND(A506&lt;&gt;"",ISNUMBER(A506)),VLOOKUP(A506,Studies!A:BR,5,FALSE),"")</f>
        <v>Hydroxy-Itraconazole</v>
      </c>
      <c r="F506" s="207" t="str">
        <f>IF(AND(A506&lt;&gt;"",ISNUMBER(A506)),VLOOKUP(A506,Studies!A:BR,6,FALSE),"")</f>
        <v>Plasma</v>
      </c>
      <c r="G506" s="194">
        <v>12</v>
      </c>
      <c r="H506" s="194" t="s">
        <v>60</v>
      </c>
      <c r="I506" s="187">
        <v>156.73159790039062</v>
      </c>
      <c r="J506" s="187" t="s">
        <v>1026</v>
      </c>
      <c r="K506" s="187" t="s">
        <v>116</v>
      </c>
      <c r="L506" s="195"/>
      <c r="M506" s="195"/>
      <c r="N506" s="195"/>
      <c r="O506" s="199"/>
      <c r="P506" s="188"/>
      <c r="Q506" s="174">
        <f>IF(ISNUMBER(VLOOKUP(A506,NotghiID!A:A,1,FALSE)),1,0)</f>
        <v>0</v>
      </c>
    </row>
    <row r="507" spans="1:17" ht="14.25" x14ac:dyDescent="0.2">
      <c r="A507" s="183">
        <v>80</v>
      </c>
      <c r="B507" s="232" t="str">
        <f>IF(AND(A507&lt;&gt;"",ISNUMBER(A507)),VLOOKUP(A507,Studies!A:BR,2,FALSE),"")</f>
        <v>Barone 1993</v>
      </c>
      <c r="C507" s="232" t="str">
        <f>IF(AND(A507&lt;&gt;"",ISNUMBER(A507)),VLOOKUP(A507,Studies!A:BR,3,FALSE),"")</f>
        <v>https://www.ncbi.nlm.nih.gov/pubmed/8388198</v>
      </c>
      <c r="D507" s="232" t="str">
        <f>IF(AND(A507&lt;&gt;"",ISNUMBER(A507)),VLOOKUP(A507,Studies!A:BR,4,FALSE),"")</f>
        <v>day 1 fasted</v>
      </c>
      <c r="E507" s="206" t="str">
        <f>IF(AND(A507&lt;&gt;"",ISNUMBER(A507)),VLOOKUP(A507,Studies!A:BR,5,FALSE),"")</f>
        <v>Hydroxy-Itraconazole</v>
      </c>
      <c r="F507" s="207" t="str">
        <f>IF(AND(A507&lt;&gt;"",ISNUMBER(A507)),VLOOKUP(A507,Studies!A:BR,6,FALSE),"")</f>
        <v>Plasma</v>
      </c>
      <c r="G507" s="194">
        <v>24</v>
      </c>
      <c r="H507" s="194" t="s">
        <v>60</v>
      </c>
      <c r="I507" s="187">
        <v>78.706642150878906</v>
      </c>
      <c r="J507" s="187" t="s">
        <v>1026</v>
      </c>
      <c r="K507" s="187" t="s">
        <v>116</v>
      </c>
      <c r="L507" s="195"/>
      <c r="M507" s="195"/>
      <c r="N507" s="195"/>
      <c r="O507" s="199"/>
      <c r="P507" s="188"/>
      <c r="Q507" s="174">
        <f>IF(ISNUMBER(VLOOKUP(A507,NotghiID!A:A,1,FALSE)),1,0)</f>
        <v>0</v>
      </c>
    </row>
    <row r="508" spans="1:17" ht="14.25" x14ac:dyDescent="0.2">
      <c r="A508" s="183">
        <v>80</v>
      </c>
      <c r="B508" s="232" t="str">
        <f>IF(AND(A508&lt;&gt;"",ISNUMBER(A508)),VLOOKUP(A508,Studies!A:BR,2,FALSE),"")</f>
        <v>Barone 1993</v>
      </c>
      <c r="C508" s="232" t="str">
        <f>IF(AND(A508&lt;&gt;"",ISNUMBER(A508)),VLOOKUP(A508,Studies!A:BR,3,FALSE),"")</f>
        <v>https://www.ncbi.nlm.nih.gov/pubmed/8388198</v>
      </c>
      <c r="D508" s="232" t="str">
        <f>IF(AND(A508&lt;&gt;"",ISNUMBER(A508)),VLOOKUP(A508,Studies!A:BR,4,FALSE),"")</f>
        <v>day 1 fasted</v>
      </c>
      <c r="E508" s="206" t="str">
        <f>IF(AND(A508&lt;&gt;"",ISNUMBER(A508)),VLOOKUP(A508,Studies!A:BR,5,FALSE),"")</f>
        <v>Hydroxy-Itraconazole</v>
      </c>
      <c r="F508" s="207" t="str">
        <f>IF(AND(A508&lt;&gt;"",ISNUMBER(A508)),VLOOKUP(A508,Studies!A:BR,6,FALSE),"")</f>
        <v>Plasma</v>
      </c>
      <c r="G508" s="194">
        <v>36</v>
      </c>
      <c r="H508" s="194" t="s">
        <v>60</v>
      </c>
      <c r="I508" s="187">
        <v>39.524478912353516</v>
      </c>
      <c r="J508" s="187" t="s">
        <v>1026</v>
      </c>
      <c r="K508" s="187" t="s">
        <v>116</v>
      </c>
      <c r="L508" s="195"/>
      <c r="M508" s="195"/>
      <c r="N508" s="195"/>
      <c r="O508" s="199"/>
      <c r="P508" s="188"/>
      <c r="Q508" s="174">
        <f>IF(ISNUMBER(VLOOKUP(A508,NotghiID!A:A,1,FALSE)),1,0)</f>
        <v>0</v>
      </c>
    </row>
    <row r="509" spans="1:17" ht="14.25" x14ac:dyDescent="0.2">
      <c r="A509" s="183">
        <v>80</v>
      </c>
      <c r="B509" s="232" t="str">
        <f>IF(AND(A509&lt;&gt;"",ISNUMBER(A509)),VLOOKUP(A509,Studies!A:BR,2,FALSE),"")</f>
        <v>Barone 1993</v>
      </c>
      <c r="C509" s="232" t="str">
        <f>IF(AND(A509&lt;&gt;"",ISNUMBER(A509)),VLOOKUP(A509,Studies!A:BR,3,FALSE),"")</f>
        <v>https://www.ncbi.nlm.nih.gov/pubmed/8388198</v>
      </c>
      <c r="D509" s="232" t="str">
        <f>IF(AND(A509&lt;&gt;"",ISNUMBER(A509)),VLOOKUP(A509,Studies!A:BR,4,FALSE),"")</f>
        <v>day 1 fasted</v>
      </c>
      <c r="E509" s="206" t="str">
        <f>IF(AND(A509&lt;&gt;"",ISNUMBER(A509)),VLOOKUP(A509,Studies!A:BR,5,FALSE),"")</f>
        <v>Hydroxy-Itraconazole</v>
      </c>
      <c r="F509" s="207" t="str">
        <f>IF(AND(A509&lt;&gt;"",ISNUMBER(A509)),VLOOKUP(A509,Studies!A:BR,6,FALSE),"")</f>
        <v>Plasma</v>
      </c>
      <c r="G509" s="194">
        <v>48</v>
      </c>
      <c r="H509" s="194" t="s">
        <v>60</v>
      </c>
      <c r="I509" s="187">
        <v>19.207719802856445</v>
      </c>
      <c r="J509" s="187" t="s">
        <v>1026</v>
      </c>
      <c r="K509" s="187" t="s">
        <v>116</v>
      </c>
      <c r="L509" s="195"/>
      <c r="M509" s="195"/>
      <c r="N509" s="195"/>
      <c r="O509" s="199"/>
      <c r="P509" s="188"/>
      <c r="Q509" s="174">
        <f>IF(ISNUMBER(VLOOKUP(A509,NotghiID!A:A,1,FALSE)),1,0)</f>
        <v>0</v>
      </c>
    </row>
    <row r="510" spans="1:17" ht="14.25" x14ac:dyDescent="0.2">
      <c r="A510" s="183">
        <v>80</v>
      </c>
      <c r="B510" s="232" t="str">
        <f>IF(AND(A510&lt;&gt;"",ISNUMBER(A510)),VLOOKUP(A510,Studies!A:BR,2,FALSE),"")</f>
        <v>Barone 1993</v>
      </c>
      <c r="C510" s="232" t="str">
        <f>IF(AND(A510&lt;&gt;"",ISNUMBER(A510)),VLOOKUP(A510,Studies!A:BR,3,FALSE),"")</f>
        <v>https://www.ncbi.nlm.nih.gov/pubmed/8388198</v>
      </c>
      <c r="D510" s="232" t="str">
        <f>IF(AND(A510&lt;&gt;"",ISNUMBER(A510)),VLOOKUP(A510,Studies!A:BR,4,FALSE),"")</f>
        <v>day 1 fasted</v>
      </c>
      <c r="E510" s="206" t="str">
        <f>IF(AND(A510&lt;&gt;"",ISNUMBER(A510)),VLOOKUP(A510,Studies!A:BR,5,FALSE),"")</f>
        <v>Hydroxy-Itraconazole</v>
      </c>
      <c r="F510" s="207" t="str">
        <f>IF(AND(A510&lt;&gt;"",ISNUMBER(A510)),VLOOKUP(A510,Studies!A:BR,6,FALSE),"")</f>
        <v>Plasma</v>
      </c>
      <c r="G510" s="194">
        <v>72</v>
      </c>
      <c r="H510" s="194" t="s">
        <v>60</v>
      </c>
      <c r="I510" s="187">
        <v>2.9614880084991455</v>
      </c>
      <c r="J510" s="187" t="s">
        <v>1026</v>
      </c>
      <c r="K510" s="187" t="s">
        <v>116</v>
      </c>
      <c r="L510" s="195"/>
      <c r="M510" s="195"/>
      <c r="N510" s="195"/>
      <c r="O510" s="199"/>
      <c r="P510" s="188"/>
      <c r="Q510" s="174">
        <f>IF(ISNUMBER(VLOOKUP(A510,NotghiID!A:A,1,FALSE)),1,0)</f>
        <v>0</v>
      </c>
    </row>
    <row r="511" spans="1:17" ht="14.25" x14ac:dyDescent="0.2">
      <c r="A511" s="183">
        <v>81</v>
      </c>
      <c r="B511" s="232" t="str">
        <f>IF(AND(A511&lt;&gt;"",ISNUMBER(A511)),VLOOKUP(A511,Studies!A:BR,2,FALSE),"")</f>
        <v>Barone 1993</v>
      </c>
      <c r="C511" s="232" t="str">
        <f>IF(AND(A511&lt;&gt;"",ISNUMBER(A511)),VLOOKUP(A511,Studies!A:BR,3,FALSE),"")</f>
        <v>https://www.ncbi.nlm.nih.gov/pubmed/8388198</v>
      </c>
      <c r="D511" s="232" t="str">
        <f>IF(AND(A511&lt;&gt;"",ISNUMBER(A511)),VLOOKUP(A511,Studies!A:BR,4,FALSE),"")</f>
        <v>day 1 fed</v>
      </c>
      <c r="E511" s="206" t="str">
        <f>IF(AND(A511&lt;&gt;"",ISNUMBER(A511)),VLOOKUP(A511,Studies!A:BR,5,FALSE),"")</f>
        <v>Itraconazole</v>
      </c>
      <c r="F511" s="207" t="str">
        <f>IF(AND(A511&lt;&gt;"",ISNUMBER(A511)),VLOOKUP(A511,Studies!A:BR,6,FALSE),"")</f>
        <v>Plasma</v>
      </c>
      <c r="G511" s="194">
        <v>1</v>
      </c>
      <c r="H511" s="194" t="s">
        <v>60</v>
      </c>
      <c r="I511" s="187">
        <v>14.77460004389286</v>
      </c>
      <c r="J511" s="187" t="s">
        <v>1026</v>
      </c>
      <c r="K511" s="187" t="s">
        <v>116</v>
      </c>
      <c r="L511" s="195"/>
      <c r="M511" s="195"/>
      <c r="N511" s="195"/>
      <c r="O511" s="199"/>
      <c r="P511" s="188"/>
      <c r="Q511" s="174">
        <f>IF(ISNUMBER(VLOOKUP(A511,NotghiID!A:A,1,FALSE)),1,0)</f>
        <v>0</v>
      </c>
    </row>
    <row r="512" spans="1:17" ht="14.25" x14ac:dyDescent="0.2">
      <c r="A512" s="183">
        <v>81</v>
      </c>
      <c r="B512" s="232" t="str">
        <f>IF(AND(A512&lt;&gt;"",ISNUMBER(A512)),VLOOKUP(A512,Studies!A:BR,2,FALSE),"")</f>
        <v>Barone 1993</v>
      </c>
      <c r="C512" s="232" t="str">
        <f>IF(AND(A512&lt;&gt;"",ISNUMBER(A512)),VLOOKUP(A512,Studies!A:BR,3,FALSE),"")</f>
        <v>https://www.ncbi.nlm.nih.gov/pubmed/8388198</v>
      </c>
      <c r="D512" s="232" t="str">
        <f>IF(AND(A512&lt;&gt;"",ISNUMBER(A512)),VLOOKUP(A512,Studies!A:BR,4,FALSE),"")</f>
        <v>day 1 fed</v>
      </c>
      <c r="E512" s="206" t="str">
        <f>IF(AND(A512&lt;&gt;"",ISNUMBER(A512)),VLOOKUP(A512,Studies!A:BR,5,FALSE),"")</f>
        <v>Itraconazole</v>
      </c>
      <c r="F512" s="207" t="str">
        <f>IF(AND(A512&lt;&gt;"",ISNUMBER(A512)),VLOOKUP(A512,Studies!A:BR,6,FALSE),"")</f>
        <v>Plasma</v>
      </c>
      <c r="G512" s="194">
        <v>2</v>
      </c>
      <c r="H512" s="194" t="s">
        <v>60</v>
      </c>
      <c r="I512" s="187">
        <v>78.706644475460052</v>
      </c>
      <c r="J512" s="187" t="s">
        <v>1026</v>
      </c>
      <c r="K512" s="187" t="s">
        <v>116</v>
      </c>
      <c r="L512" s="195"/>
      <c r="M512" s="195"/>
      <c r="N512" s="195"/>
      <c r="O512" s="199"/>
      <c r="P512" s="188"/>
      <c r="Q512" s="174">
        <f>IF(ISNUMBER(VLOOKUP(A512,NotghiID!A:A,1,FALSE)),1,0)</f>
        <v>0</v>
      </c>
    </row>
    <row r="513" spans="1:17" ht="14.25" x14ac:dyDescent="0.2">
      <c r="A513" s="183">
        <v>81</v>
      </c>
      <c r="B513" s="232" t="str">
        <f>IF(AND(A513&lt;&gt;"",ISNUMBER(A513)),VLOOKUP(A513,Studies!A:BR,2,FALSE),"")</f>
        <v>Barone 1993</v>
      </c>
      <c r="C513" s="232" t="str">
        <f>IF(AND(A513&lt;&gt;"",ISNUMBER(A513)),VLOOKUP(A513,Studies!A:BR,3,FALSE),"")</f>
        <v>https://www.ncbi.nlm.nih.gov/pubmed/8388198</v>
      </c>
      <c r="D513" s="232" t="str">
        <f>IF(AND(A513&lt;&gt;"",ISNUMBER(A513)),VLOOKUP(A513,Studies!A:BR,4,FALSE),"")</f>
        <v>day 1 fed</v>
      </c>
      <c r="E513" s="206" t="str">
        <f>IF(AND(A513&lt;&gt;"",ISNUMBER(A513)),VLOOKUP(A513,Studies!A:BR,5,FALSE),"")</f>
        <v>Itraconazole</v>
      </c>
      <c r="F513" s="207" t="str">
        <f>IF(AND(A513&lt;&gt;"",ISNUMBER(A513)),VLOOKUP(A513,Studies!A:BR,6,FALSE),"")</f>
        <v>Plasma</v>
      </c>
      <c r="G513" s="194">
        <v>3</v>
      </c>
      <c r="H513" s="194" t="s">
        <v>60</v>
      </c>
      <c r="I513" s="187">
        <v>151.67419612407684</v>
      </c>
      <c r="J513" s="187" t="s">
        <v>1026</v>
      </c>
      <c r="K513" s="187" t="s">
        <v>116</v>
      </c>
      <c r="L513" s="195"/>
      <c r="M513" s="195"/>
      <c r="N513" s="195"/>
      <c r="O513" s="199"/>
      <c r="P513" s="188"/>
      <c r="Q513" s="174">
        <f>IF(ISNUMBER(VLOOKUP(A513,NotghiID!A:A,1,FALSE)),1,0)</f>
        <v>0</v>
      </c>
    </row>
    <row r="514" spans="1:17" ht="14.25" x14ac:dyDescent="0.2">
      <c r="A514" s="183">
        <v>81</v>
      </c>
      <c r="B514" s="232" t="str">
        <f>IF(AND(A514&lt;&gt;"",ISNUMBER(A514)),VLOOKUP(A514,Studies!A:BR,2,FALSE),"")</f>
        <v>Barone 1993</v>
      </c>
      <c r="C514" s="232" t="str">
        <f>IF(AND(A514&lt;&gt;"",ISNUMBER(A514)),VLOOKUP(A514,Studies!A:BR,3,FALSE),"")</f>
        <v>https://www.ncbi.nlm.nih.gov/pubmed/8388198</v>
      </c>
      <c r="D514" s="232" t="str">
        <f>IF(AND(A514&lt;&gt;"",ISNUMBER(A514)),VLOOKUP(A514,Studies!A:BR,4,FALSE),"")</f>
        <v>day 1 fed</v>
      </c>
      <c r="E514" s="206" t="str">
        <f>IF(AND(A514&lt;&gt;"",ISNUMBER(A514)),VLOOKUP(A514,Studies!A:BR,5,FALSE),"")</f>
        <v>Itraconazole</v>
      </c>
      <c r="F514" s="207" t="str">
        <f>IF(AND(A514&lt;&gt;"",ISNUMBER(A514)),VLOOKUP(A514,Studies!A:BR,6,FALSE),"")</f>
        <v>Plasma</v>
      </c>
      <c r="G514" s="194">
        <v>4</v>
      </c>
      <c r="H514" s="194" t="s">
        <v>60</v>
      </c>
      <c r="I514" s="187">
        <v>203.75899970531464</v>
      </c>
      <c r="J514" s="187" t="s">
        <v>1026</v>
      </c>
      <c r="K514" s="187" t="s">
        <v>116</v>
      </c>
      <c r="L514" s="195"/>
      <c r="M514" s="195"/>
      <c r="N514" s="195"/>
      <c r="O514" s="199"/>
      <c r="P514" s="188"/>
      <c r="Q514" s="174">
        <f>IF(ISNUMBER(VLOOKUP(A514,NotghiID!A:A,1,FALSE)),1,0)</f>
        <v>0</v>
      </c>
    </row>
    <row r="515" spans="1:17" ht="14.25" x14ac:dyDescent="0.2">
      <c r="A515" s="183">
        <v>81</v>
      </c>
      <c r="B515" s="232" t="str">
        <f>IF(AND(A515&lt;&gt;"",ISNUMBER(A515)),VLOOKUP(A515,Studies!A:BR,2,FALSE),"")</f>
        <v>Barone 1993</v>
      </c>
      <c r="C515" s="232" t="str">
        <f>IF(AND(A515&lt;&gt;"",ISNUMBER(A515)),VLOOKUP(A515,Studies!A:BR,3,FALSE),"")</f>
        <v>https://www.ncbi.nlm.nih.gov/pubmed/8388198</v>
      </c>
      <c r="D515" s="232" t="str">
        <f>IF(AND(A515&lt;&gt;"",ISNUMBER(A515)),VLOOKUP(A515,Studies!A:BR,4,FALSE),"")</f>
        <v>day 1 fed</v>
      </c>
      <c r="E515" s="206" t="str">
        <f>IF(AND(A515&lt;&gt;"",ISNUMBER(A515)),VLOOKUP(A515,Studies!A:BR,5,FALSE),"")</f>
        <v>Itraconazole</v>
      </c>
      <c r="F515" s="207" t="str">
        <f>IF(AND(A515&lt;&gt;"",ISNUMBER(A515)),VLOOKUP(A515,Studies!A:BR,6,FALSE),"")</f>
        <v>Plasma</v>
      </c>
      <c r="G515" s="194">
        <v>5</v>
      </c>
      <c r="H515" s="194" t="s">
        <v>60</v>
      </c>
      <c r="I515" s="187">
        <v>203.75899970531464</v>
      </c>
      <c r="J515" s="187" t="s">
        <v>1026</v>
      </c>
      <c r="K515" s="187" t="s">
        <v>116</v>
      </c>
      <c r="L515" s="195"/>
      <c r="M515" s="195"/>
      <c r="N515" s="195"/>
      <c r="O515" s="199"/>
      <c r="P515" s="188"/>
      <c r="Q515" s="174">
        <f>IF(ISNUMBER(VLOOKUP(A515,NotghiID!A:A,1,FALSE)),1,0)</f>
        <v>0</v>
      </c>
    </row>
    <row r="516" spans="1:17" ht="14.25" x14ac:dyDescent="0.2">
      <c r="A516" s="183">
        <v>81</v>
      </c>
      <c r="B516" s="232" t="str">
        <f>IF(AND(A516&lt;&gt;"",ISNUMBER(A516)),VLOOKUP(A516,Studies!A:BR,2,FALSE),"")</f>
        <v>Barone 1993</v>
      </c>
      <c r="C516" s="232" t="str">
        <f>IF(AND(A516&lt;&gt;"",ISNUMBER(A516)),VLOOKUP(A516,Studies!A:BR,3,FALSE),"")</f>
        <v>https://www.ncbi.nlm.nih.gov/pubmed/8388198</v>
      </c>
      <c r="D516" s="232" t="str">
        <f>IF(AND(A516&lt;&gt;"",ISNUMBER(A516)),VLOOKUP(A516,Studies!A:BR,4,FALSE),"")</f>
        <v>day 1 fed</v>
      </c>
      <c r="E516" s="206" t="str">
        <f>IF(AND(A516&lt;&gt;"",ISNUMBER(A516)),VLOOKUP(A516,Studies!A:BR,5,FALSE),"")</f>
        <v>Itraconazole</v>
      </c>
      <c r="F516" s="207" t="str">
        <f>IF(AND(A516&lt;&gt;"",ISNUMBER(A516)),VLOOKUP(A516,Studies!A:BR,6,FALSE),"")</f>
        <v>Plasma</v>
      </c>
      <c r="G516" s="194">
        <v>6</v>
      </c>
      <c r="H516" s="194" t="s">
        <v>60</v>
      </c>
      <c r="I516" s="187">
        <v>167.35810041427612</v>
      </c>
      <c r="J516" s="187" t="s">
        <v>1026</v>
      </c>
      <c r="K516" s="187" t="s">
        <v>116</v>
      </c>
      <c r="L516" s="195"/>
      <c r="M516" s="195"/>
      <c r="N516" s="195"/>
      <c r="O516" s="199"/>
      <c r="P516" s="188"/>
      <c r="Q516" s="174">
        <f>IF(ISNUMBER(VLOOKUP(A516,NotghiID!A:A,1,FALSE)),1,0)</f>
        <v>0</v>
      </c>
    </row>
    <row r="517" spans="1:17" ht="14.25" x14ac:dyDescent="0.2">
      <c r="A517" s="183">
        <v>81</v>
      </c>
      <c r="B517" s="232" t="str">
        <f>IF(AND(A517&lt;&gt;"",ISNUMBER(A517)),VLOOKUP(A517,Studies!A:BR,2,FALSE),"")</f>
        <v>Barone 1993</v>
      </c>
      <c r="C517" s="232" t="str">
        <f>IF(AND(A517&lt;&gt;"",ISNUMBER(A517)),VLOOKUP(A517,Studies!A:BR,3,FALSE),"")</f>
        <v>https://www.ncbi.nlm.nih.gov/pubmed/8388198</v>
      </c>
      <c r="D517" s="232" t="str">
        <f>IF(AND(A517&lt;&gt;"",ISNUMBER(A517)),VLOOKUP(A517,Studies!A:BR,4,FALSE),"")</f>
        <v>day 1 fed</v>
      </c>
      <c r="E517" s="206" t="str">
        <f>IF(AND(A517&lt;&gt;"",ISNUMBER(A517)),VLOOKUP(A517,Studies!A:BR,5,FALSE),"")</f>
        <v>Itraconazole</v>
      </c>
      <c r="F517" s="207" t="str">
        <f>IF(AND(A517&lt;&gt;"",ISNUMBER(A517)),VLOOKUP(A517,Studies!A:BR,6,FALSE),"")</f>
        <v>Plasma</v>
      </c>
      <c r="G517" s="194">
        <v>8</v>
      </c>
      <c r="H517" s="194" t="s">
        <v>60</v>
      </c>
      <c r="I517" s="187">
        <v>124.57809597253799</v>
      </c>
      <c r="J517" s="187" t="s">
        <v>1026</v>
      </c>
      <c r="K517" s="187" t="s">
        <v>116</v>
      </c>
      <c r="L517" s="195"/>
      <c r="M517" s="195"/>
      <c r="N517" s="195"/>
      <c r="O517" s="199"/>
      <c r="P517" s="188"/>
      <c r="Q517" s="174">
        <f>IF(ISNUMBER(VLOOKUP(A517,NotghiID!A:A,1,FALSE)),1,0)</f>
        <v>0</v>
      </c>
    </row>
    <row r="518" spans="1:17" ht="14.25" x14ac:dyDescent="0.2">
      <c r="A518" s="183">
        <v>81</v>
      </c>
      <c r="B518" s="232" t="str">
        <f>IF(AND(A518&lt;&gt;"",ISNUMBER(A518)),VLOOKUP(A518,Studies!A:BR,2,FALSE),"")</f>
        <v>Barone 1993</v>
      </c>
      <c r="C518" s="232" t="str">
        <f>IF(AND(A518&lt;&gt;"",ISNUMBER(A518)),VLOOKUP(A518,Studies!A:BR,3,FALSE),"")</f>
        <v>https://www.ncbi.nlm.nih.gov/pubmed/8388198</v>
      </c>
      <c r="D518" s="232" t="str">
        <f>IF(AND(A518&lt;&gt;"",ISNUMBER(A518)),VLOOKUP(A518,Studies!A:BR,4,FALSE),"")</f>
        <v>day 1 fed</v>
      </c>
      <c r="E518" s="206" t="str">
        <f>IF(AND(A518&lt;&gt;"",ISNUMBER(A518)),VLOOKUP(A518,Studies!A:BR,5,FALSE),"")</f>
        <v>Itraconazole</v>
      </c>
      <c r="F518" s="207" t="str">
        <f>IF(AND(A518&lt;&gt;"",ISNUMBER(A518)),VLOOKUP(A518,Studies!A:BR,6,FALSE),"")</f>
        <v>Plasma</v>
      </c>
      <c r="G518" s="194">
        <v>12</v>
      </c>
      <c r="H518" s="194" t="s">
        <v>60</v>
      </c>
      <c r="I518" s="187">
        <v>76.166920363903046</v>
      </c>
      <c r="J518" s="187" t="s">
        <v>1026</v>
      </c>
      <c r="K518" s="187" t="s">
        <v>116</v>
      </c>
      <c r="L518" s="195"/>
      <c r="M518" s="195"/>
      <c r="N518" s="195"/>
      <c r="O518" s="199"/>
      <c r="P518" s="188"/>
      <c r="Q518" s="174">
        <f>IF(ISNUMBER(VLOOKUP(A518,NotghiID!A:A,1,FALSE)),1,0)</f>
        <v>0</v>
      </c>
    </row>
    <row r="519" spans="1:17" ht="14.25" x14ac:dyDescent="0.2">
      <c r="A519" s="183">
        <v>81</v>
      </c>
      <c r="B519" s="232" t="str">
        <f>IF(AND(A519&lt;&gt;"",ISNUMBER(A519)),VLOOKUP(A519,Studies!A:BR,2,FALSE),"")</f>
        <v>Barone 1993</v>
      </c>
      <c r="C519" s="232" t="str">
        <f>IF(AND(A519&lt;&gt;"",ISNUMBER(A519)),VLOOKUP(A519,Studies!A:BR,3,FALSE),"")</f>
        <v>https://www.ncbi.nlm.nih.gov/pubmed/8388198</v>
      </c>
      <c r="D519" s="232" t="str">
        <f>IF(AND(A519&lt;&gt;"",ISNUMBER(A519)),VLOOKUP(A519,Studies!A:BR,4,FALSE),"")</f>
        <v>day 1 fed</v>
      </c>
      <c r="E519" s="206" t="str">
        <f>IF(AND(A519&lt;&gt;"",ISNUMBER(A519)),VLOOKUP(A519,Studies!A:BR,5,FALSE),"")</f>
        <v>Itraconazole</v>
      </c>
      <c r="F519" s="207" t="str">
        <f>IF(AND(A519&lt;&gt;"",ISNUMBER(A519)),VLOOKUP(A519,Studies!A:BR,6,FALSE),"")</f>
        <v>Plasma</v>
      </c>
      <c r="G519" s="194">
        <v>24</v>
      </c>
      <c r="H519" s="194" t="s">
        <v>60</v>
      </c>
      <c r="I519" s="187">
        <v>37.626910954713821</v>
      </c>
      <c r="J519" s="187" t="s">
        <v>1026</v>
      </c>
      <c r="K519" s="187" t="s">
        <v>116</v>
      </c>
      <c r="L519" s="195"/>
      <c r="M519" s="195"/>
      <c r="N519" s="195"/>
      <c r="O519" s="199"/>
      <c r="P519" s="188"/>
      <c r="Q519" s="174">
        <f>IF(ISNUMBER(VLOOKUP(A519,NotghiID!A:A,1,FALSE)),1,0)</f>
        <v>0</v>
      </c>
    </row>
    <row r="520" spans="1:17" ht="14.25" x14ac:dyDescent="0.2">
      <c r="A520" s="183">
        <v>81</v>
      </c>
      <c r="B520" s="232" t="str">
        <f>IF(AND(A520&lt;&gt;"",ISNUMBER(A520)),VLOOKUP(A520,Studies!A:BR,2,FALSE),"")</f>
        <v>Barone 1993</v>
      </c>
      <c r="C520" s="232" t="str">
        <f>IF(AND(A520&lt;&gt;"",ISNUMBER(A520)),VLOOKUP(A520,Studies!A:BR,3,FALSE),"")</f>
        <v>https://www.ncbi.nlm.nih.gov/pubmed/8388198</v>
      </c>
      <c r="D520" s="232" t="str">
        <f>IF(AND(A520&lt;&gt;"",ISNUMBER(A520)),VLOOKUP(A520,Studies!A:BR,4,FALSE),"")</f>
        <v>day 1 fed</v>
      </c>
      <c r="E520" s="206" t="str">
        <f>IF(AND(A520&lt;&gt;"",ISNUMBER(A520)),VLOOKUP(A520,Studies!A:BR,5,FALSE),"")</f>
        <v>Itraconazole</v>
      </c>
      <c r="F520" s="207" t="str">
        <f>IF(AND(A520&lt;&gt;"",ISNUMBER(A520)),VLOOKUP(A520,Studies!A:BR,6,FALSE),"")</f>
        <v>Plasma</v>
      </c>
      <c r="G520" s="194">
        <v>36</v>
      </c>
      <c r="H520" s="194" t="s">
        <v>60</v>
      </c>
      <c r="I520" s="187">
        <v>25.803640484809875</v>
      </c>
      <c r="J520" s="187" t="s">
        <v>1026</v>
      </c>
      <c r="K520" s="187" t="s">
        <v>116</v>
      </c>
      <c r="L520" s="195"/>
      <c r="M520" s="195"/>
      <c r="N520" s="195"/>
      <c r="O520" s="199"/>
      <c r="P520" s="188"/>
      <c r="Q520" s="174">
        <f>IF(ISNUMBER(VLOOKUP(A520,NotghiID!A:A,1,FALSE)),1,0)</f>
        <v>0</v>
      </c>
    </row>
    <row r="521" spans="1:17" ht="14.25" x14ac:dyDescent="0.2">
      <c r="A521" s="183">
        <v>81</v>
      </c>
      <c r="B521" s="232" t="str">
        <f>IF(AND(A521&lt;&gt;"",ISNUMBER(A521)),VLOOKUP(A521,Studies!A:BR,2,FALSE),"")</f>
        <v>Barone 1993</v>
      </c>
      <c r="C521" s="232" t="str">
        <f>IF(AND(A521&lt;&gt;"",ISNUMBER(A521)),VLOOKUP(A521,Studies!A:BR,3,FALSE),"")</f>
        <v>https://www.ncbi.nlm.nih.gov/pubmed/8388198</v>
      </c>
      <c r="D521" s="232" t="str">
        <f>IF(AND(A521&lt;&gt;"",ISNUMBER(A521)),VLOOKUP(A521,Studies!A:BR,4,FALSE),"")</f>
        <v>day 1 fed</v>
      </c>
      <c r="E521" s="206" t="str">
        <f>IF(AND(A521&lt;&gt;"",ISNUMBER(A521)),VLOOKUP(A521,Studies!A:BR,5,FALSE),"")</f>
        <v>Itraconazole</v>
      </c>
      <c r="F521" s="207" t="str">
        <f>IF(AND(A521&lt;&gt;"",ISNUMBER(A521)),VLOOKUP(A521,Studies!A:BR,6,FALSE),"")</f>
        <v>Plasma</v>
      </c>
      <c r="G521" s="194">
        <v>48</v>
      </c>
      <c r="H521" s="194" t="s">
        <v>60</v>
      </c>
      <c r="I521" s="187">
        <v>18.587920814752579</v>
      </c>
      <c r="J521" s="187" t="s">
        <v>1026</v>
      </c>
      <c r="K521" s="187" t="s">
        <v>116</v>
      </c>
      <c r="L521" s="195"/>
      <c r="M521" s="195"/>
      <c r="N521" s="195"/>
      <c r="O521" s="199"/>
      <c r="P521" s="188"/>
      <c r="Q521" s="174">
        <f>IF(ISNUMBER(VLOOKUP(A521,NotghiID!A:A,1,FALSE)),1,0)</f>
        <v>0</v>
      </c>
    </row>
    <row r="522" spans="1:17" ht="14.25" x14ac:dyDescent="0.2">
      <c r="A522" s="183">
        <v>81</v>
      </c>
      <c r="B522" s="232" t="str">
        <f>IF(AND(A522&lt;&gt;"",ISNUMBER(A522)),VLOOKUP(A522,Studies!A:BR,2,FALSE),"")</f>
        <v>Barone 1993</v>
      </c>
      <c r="C522" s="232" t="str">
        <f>IF(AND(A522&lt;&gt;"",ISNUMBER(A522)),VLOOKUP(A522,Studies!A:BR,3,FALSE),"")</f>
        <v>https://www.ncbi.nlm.nih.gov/pubmed/8388198</v>
      </c>
      <c r="D522" s="232" t="str">
        <f>IF(AND(A522&lt;&gt;"",ISNUMBER(A522)),VLOOKUP(A522,Studies!A:BR,4,FALSE),"")</f>
        <v>day 1 fed</v>
      </c>
      <c r="E522" s="206" t="str">
        <f>IF(AND(A522&lt;&gt;"",ISNUMBER(A522)),VLOOKUP(A522,Studies!A:BR,5,FALSE),"")</f>
        <v>Itraconazole</v>
      </c>
      <c r="F522" s="207" t="str">
        <f>IF(AND(A522&lt;&gt;"",ISNUMBER(A522)),VLOOKUP(A522,Studies!A:BR,6,FALSE),"")</f>
        <v>Plasma</v>
      </c>
      <c r="G522" s="194">
        <v>72</v>
      </c>
      <c r="H522" s="194" t="s">
        <v>60</v>
      </c>
      <c r="I522" s="187">
        <v>8.0534685403108597</v>
      </c>
      <c r="J522" s="187" t="s">
        <v>1026</v>
      </c>
      <c r="K522" s="187" t="s">
        <v>116</v>
      </c>
      <c r="L522" s="195"/>
      <c r="M522" s="195"/>
      <c r="N522" s="195"/>
      <c r="O522" s="199"/>
      <c r="P522" s="188"/>
      <c r="Q522" s="174">
        <f>IF(ISNUMBER(VLOOKUP(A522,NotghiID!A:A,1,FALSE)),1,0)</f>
        <v>0</v>
      </c>
    </row>
    <row r="523" spans="1:17" ht="14.25" x14ac:dyDescent="0.2">
      <c r="A523" s="183">
        <v>82</v>
      </c>
      <c r="B523" s="232" t="str">
        <f>IF(AND(A523&lt;&gt;"",ISNUMBER(A523)),VLOOKUP(A523,Studies!A:BR,2,FALSE),"")</f>
        <v>Barone 1993</v>
      </c>
      <c r="C523" s="232" t="str">
        <f>IF(AND(A523&lt;&gt;"",ISNUMBER(A523)),VLOOKUP(A523,Studies!A:BR,3,FALSE),"")</f>
        <v>https://www.ncbi.nlm.nih.gov/pubmed/8388198</v>
      </c>
      <c r="D523" s="232" t="str">
        <f>IF(AND(A523&lt;&gt;"",ISNUMBER(A523)),VLOOKUP(A523,Studies!A:BR,4,FALSE),"")</f>
        <v>day 1 fed</v>
      </c>
      <c r="E523" s="206" t="str">
        <f>IF(AND(A523&lt;&gt;"",ISNUMBER(A523)),VLOOKUP(A523,Studies!A:BR,5,FALSE),"")</f>
        <v>Hydroxy-Itraconazole</v>
      </c>
      <c r="F523" s="207" t="str">
        <f>IF(AND(A523&lt;&gt;"",ISNUMBER(A523)),VLOOKUP(A523,Studies!A:BR,6,FALSE),"")</f>
        <v>Plasma</v>
      </c>
      <c r="G523" s="194">
        <v>1</v>
      </c>
      <c r="H523" s="194" t="s">
        <v>60</v>
      </c>
      <c r="I523" s="187">
        <v>42.204238474369049</v>
      </c>
      <c r="J523" s="187" t="s">
        <v>1026</v>
      </c>
      <c r="K523" s="187" t="s">
        <v>116</v>
      </c>
      <c r="L523" s="195"/>
      <c r="M523" s="195"/>
      <c r="N523" s="195"/>
      <c r="O523" s="199"/>
      <c r="P523" s="188"/>
      <c r="Q523" s="174">
        <f>IF(ISNUMBER(VLOOKUP(A523,NotghiID!A:A,1,FALSE)),1,0)</f>
        <v>0</v>
      </c>
    </row>
    <row r="524" spans="1:17" ht="14.25" x14ac:dyDescent="0.2">
      <c r="A524" s="183">
        <v>82</v>
      </c>
      <c r="B524" s="232" t="str">
        <f>IF(AND(A524&lt;&gt;"",ISNUMBER(A524)),VLOOKUP(A524,Studies!A:BR,2,FALSE),"")</f>
        <v>Barone 1993</v>
      </c>
      <c r="C524" s="232" t="str">
        <f>IF(AND(A524&lt;&gt;"",ISNUMBER(A524)),VLOOKUP(A524,Studies!A:BR,3,FALSE),"")</f>
        <v>https://www.ncbi.nlm.nih.gov/pubmed/8388198</v>
      </c>
      <c r="D524" s="232" t="str">
        <f>IF(AND(A524&lt;&gt;"",ISNUMBER(A524)),VLOOKUP(A524,Studies!A:BR,4,FALSE),"")</f>
        <v>day 1 fed</v>
      </c>
      <c r="E524" s="206" t="str">
        <f>IF(AND(A524&lt;&gt;"",ISNUMBER(A524)),VLOOKUP(A524,Studies!A:BR,5,FALSE),"")</f>
        <v>Hydroxy-Itraconazole</v>
      </c>
      <c r="F524" s="207" t="str">
        <f>IF(AND(A524&lt;&gt;"",ISNUMBER(A524)),VLOOKUP(A524,Studies!A:BR,6,FALSE),"")</f>
        <v>Plasma</v>
      </c>
      <c r="G524" s="194">
        <v>2</v>
      </c>
      <c r="H524" s="194" t="s">
        <v>60</v>
      </c>
      <c r="I524" s="187">
        <v>146.77989482879639</v>
      </c>
      <c r="J524" s="187" t="s">
        <v>1026</v>
      </c>
      <c r="K524" s="187" t="s">
        <v>116</v>
      </c>
      <c r="L524" s="195"/>
      <c r="M524" s="195"/>
      <c r="N524" s="195"/>
      <c r="O524" s="199"/>
      <c r="P524" s="188"/>
      <c r="Q524" s="174">
        <f>IF(ISNUMBER(VLOOKUP(A524,NotghiID!A:A,1,FALSE)),1,0)</f>
        <v>0</v>
      </c>
    </row>
    <row r="525" spans="1:17" ht="14.25" x14ac:dyDescent="0.2">
      <c r="A525" s="183">
        <v>82</v>
      </c>
      <c r="B525" s="232" t="str">
        <f>IF(AND(A525&lt;&gt;"",ISNUMBER(A525)),VLOOKUP(A525,Studies!A:BR,2,FALSE),"")</f>
        <v>Barone 1993</v>
      </c>
      <c r="C525" s="232" t="str">
        <f>IF(AND(A525&lt;&gt;"",ISNUMBER(A525)),VLOOKUP(A525,Studies!A:BR,3,FALSE),"")</f>
        <v>https://www.ncbi.nlm.nih.gov/pubmed/8388198</v>
      </c>
      <c r="D525" s="232" t="str">
        <f>IF(AND(A525&lt;&gt;"",ISNUMBER(A525)),VLOOKUP(A525,Studies!A:BR,4,FALSE),"")</f>
        <v>day 1 fed</v>
      </c>
      <c r="E525" s="206" t="str">
        <f>IF(AND(A525&lt;&gt;"",ISNUMBER(A525)),VLOOKUP(A525,Studies!A:BR,5,FALSE),"")</f>
        <v>Hydroxy-Itraconazole</v>
      </c>
      <c r="F525" s="207" t="str">
        <f>IF(AND(A525&lt;&gt;"",ISNUMBER(A525)),VLOOKUP(A525,Studies!A:BR,6,FALSE),"")</f>
        <v>Plasma</v>
      </c>
      <c r="G525" s="194">
        <v>3</v>
      </c>
      <c r="H525" s="194" t="s">
        <v>60</v>
      </c>
      <c r="I525" s="187">
        <v>264.89689946174622</v>
      </c>
      <c r="J525" s="187" t="s">
        <v>1026</v>
      </c>
      <c r="K525" s="187" t="s">
        <v>116</v>
      </c>
      <c r="L525" s="195"/>
      <c r="M525" s="195"/>
      <c r="N525" s="195"/>
      <c r="O525" s="199"/>
      <c r="P525" s="188"/>
      <c r="Q525" s="174">
        <f>IF(ISNUMBER(VLOOKUP(A525,NotghiID!A:A,1,FALSE)),1,0)</f>
        <v>0</v>
      </c>
    </row>
    <row r="526" spans="1:17" ht="14.25" x14ac:dyDescent="0.2">
      <c r="A526" s="183">
        <v>82</v>
      </c>
      <c r="B526" s="232" t="str">
        <f>IF(AND(A526&lt;&gt;"",ISNUMBER(A526)),VLOOKUP(A526,Studies!A:BR,2,FALSE),"")</f>
        <v>Barone 1993</v>
      </c>
      <c r="C526" s="232" t="str">
        <f>IF(AND(A526&lt;&gt;"",ISNUMBER(A526)),VLOOKUP(A526,Studies!A:BR,3,FALSE),"")</f>
        <v>https://www.ncbi.nlm.nih.gov/pubmed/8388198</v>
      </c>
      <c r="D526" s="232" t="str">
        <f>IF(AND(A526&lt;&gt;"",ISNUMBER(A526)),VLOOKUP(A526,Studies!A:BR,4,FALSE),"")</f>
        <v>day 1 fed</v>
      </c>
      <c r="E526" s="206" t="str">
        <f>IF(AND(A526&lt;&gt;"",ISNUMBER(A526)),VLOOKUP(A526,Studies!A:BR,5,FALSE),"")</f>
        <v>Hydroxy-Itraconazole</v>
      </c>
      <c r="F526" s="207" t="str">
        <f>IF(AND(A526&lt;&gt;"",ISNUMBER(A526)),VLOOKUP(A526,Studies!A:BR,6,FALSE),"")</f>
        <v>Plasma</v>
      </c>
      <c r="G526" s="194">
        <v>4</v>
      </c>
      <c r="H526" s="194" t="s">
        <v>60</v>
      </c>
      <c r="I526" s="187">
        <v>361.74669861793518</v>
      </c>
      <c r="J526" s="187" t="s">
        <v>1026</v>
      </c>
      <c r="K526" s="187" t="s">
        <v>116</v>
      </c>
      <c r="L526" s="195"/>
      <c r="M526" s="195"/>
      <c r="N526" s="195"/>
      <c r="O526" s="199"/>
      <c r="P526" s="188"/>
      <c r="Q526" s="174">
        <f>IF(ISNUMBER(VLOOKUP(A526,NotghiID!A:A,1,FALSE)),1,0)</f>
        <v>0</v>
      </c>
    </row>
    <row r="527" spans="1:17" ht="14.25" x14ac:dyDescent="0.2">
      <c r="A527" s="183">
        <v>82</v>
      </c>
      <c r="B527" s="232" t="str">
        <f>IF(AND(A527&lt;&gt;"",ISNUMBER(A527)),VLOOKUP(A527,Studies!A:BR,2,FALSE),"")</f>
        <v>Barone 1993</v>
      </c>
      <c r="C527" s="232" t="str">
        <f>IF(AND(A527&lt;&gt;"",ISNUMBER(A527)),VLOOKUP(A527,Studies!A:BR,3,FALSE),"")</f>
        <v>https://www.ncbi.nlm.nih.gov/pubmed/8388198</v>
      </c>
      <c r="D527" s="232" t="str">
        <f>IF(AND(A527&lt;&gt;"",ISNUMBER(A527)),VLOOKUP(A527,Studies!A:BR,4,FALSE),"")</f>
        <v>day 1 fed</v>
      </c>
      <c r="E527" s="206" t="str">
        <f>IF(AND(A527&lt;&gt;"",ISNUMBER(A527)),VLOOKUP(A527,Studies!A:BR,5,FALSE),"")</f>
        <v>Hydroxy-Itraconazole</v>
      </c>
      <c r="F527" s="207" t="str">
        <f>IF(AND(A527&lt;&gt;"",ISNUMBER(A527)),VLOOKUP(A527,Studies!A:BR,6,FALSE),"")</f>
        <v>Plasma</v>
      </c>
      <c r="G527" s="194">
        <v>5</v>
      </c>
      <c r="H527" s="194" t="s">
        <v>60</v>
      </c>
      <c r="I527" s="187">
        <v>373.80880117416382</v>
      </c>
      <c r="J527" s="187" t="s">
        <v>1026</v>
      </c>
      <c r="K527" s="187" t="s">
        <v>116</v>
      </c>
      <c r="L527" s="195"/>
      <c r="M527" s="195"/>
      <c r="N527" s="195"/>
      <c r="O527" s="199"/>
      <c r="P527" s="188"/>
      <c r="Q527" s="174">
        <f>IF(ISNUMBER(VLOOKUP(A527,NotghiID!A:A,1,FALSE)),1,0)</f>
        <v>0</v>
      </c>
    </row>
    <row r="528" spans="1:17" ht="14.25" x14ac:dyDescent="0.2">
      <c r="A528" s="183">
        <v>82</v>
      </c>
      <c r="B528" s="232" t="str">
        <f>IF(AND(A528&lt;&gt;"",ISNUMBER(A528)),VLOOKUP(A528,Studies!A:BR,2,FALSE),"")</f>
        <v>Barone 1993</v>
      </c>
      <c r="C528" s="232" t="str">
        <f>IF(AND(A528&lt;&gt;"",ISNUMBER(A528)),VLOOKUP(A528,Studies!A:BR,3,FALSE),"")</f>
        <v>https://www.ncbi.nlm.nih.gov/pubmed/8388198</v>
      </c>
      <c r="D528" s="232" t="str">
        <f>IF(AND(A528&lt;&gt;"",ISNUMBER(A528)),VLOOKUP(A528,Studies!A:BR,4,FALSE),"")</f>
        <v>day 1 fed</v>
      </c>
      <c r="E528" s="206" t="str">
        <f>IF(AND(A528&lt;&gt;"",ISNUMBER(A528)),VLOOKUP(A528,Studies!A:BR,5,FALSE),"")</f>
        <v>Hydroxy-Itraconazole</v>
      </c>
      <c r="F528" s="207" t="str">
        <f>IF(AND(A528&lt;&gt;"",ISNUMBER(A528)),VLOOKUP(A528,Studies!A:BR,6,FALSE),"")</f>
        <v>Plasma</v>
      </c>
      <c r="G528" s="194">
        <v>6</v>
      </c>
      <c r="H528" s="194" t="s">
        <v>60</v>
      </c>
      <c r="I528" s="187">
        <v>355.86240887641907</v>
      </c>
      <c r="J528" s="187" t="s">
        <v>1026</v>
      </c>
      <c r="K528" s="187" t="s">
        <v>116</v>
      </c>
      <c r="L528" s="195"/>
      <c r="M528" s="195"/>
      <c r="N528" s="195"/>
      <c r="O528" s="199"/>
      <c r="P528" s="188"/>
      <c r="Q528" s="174">
        <f>IF(ISNUMBER(VLOOKUP(A528,NotghiID!A:A,1,FALSE)),1,0)</f>
        <v>0</v>
      </c>
    </row>
    <row r="529" spans="1:17" ht="14.25" x14ac:dyDescent="0.2">
      <c r="A529" s="183">
        <v>82</v>
      </c>
      <c r="B529" s="232" t="str">
        <f>IF(AND(A529&lt;&gt;"",ISNUMBER(A529)),VLOOKUP(A529,Studies!A:BR,2,FALSE),"")</f>
        <v>Barone 1993</v>
      </c>
      <c r="C529" s="232" t="str">
        <f>IF(AND(A529&lt;&gt;"",ISNUMBER(A529)),VLOOKUP(A529,Studies!A:BR,3,FALSE),"")</f>
        <v>https://www.ncbi.nlm.nih.gov/pubmed/8388198</v>
      </c>
      <c r="D529" s="232" t="str">
        <f>IF(AND(A529&lt;&gt;"",ISNUMBER(A529)),VLOOKUP(A529,Studies!A:BR,4,FALSE),"")</f>
        <v>day 1 fed</v>
      </c>
      <c r="E529" s="206" t="str">
        <f>IF(AND(A529&lt;&gt;"",ISNUMBER(A529)),VLOOKUP(A529,Studies!A:BR,5,FALSE),"")</f>
        <v>Hydroxy-Itraconazole</v>
      </c>
      <c r="F529" s="207" t="str">
        <f>IF(AND(A529&lt;&gt;"",ISNUMBER(A529)),VLOOKUP(A529,Studies!A:BR,6,FALSE),"")</f>
        <v>Plasma</v>
      </c>
      <c r="G529" s="194">
        <v>8</v>
      </c>
      <c r="H529" s="194" t="s">
        <v>60</v>
      </c>
      <c r="I529" s="187">
        <v>322.51277565956116</v>
      </c>
      <c r="J529" s="187" t="s">
        <v>1026</v>
      </c>
      <c r="K529" s="187" t="s">
        <v>116</v>
      </c>
      <c r="L529" s="195"/>
      <c r="M529" s="195"/>
      <c r="N529" s="195"/>
      <c r="O529" s="199"/>
      <c r="P529" s="188"/>
      <c r="Q529" s="174">
        <f>IF(ISNUMBER(VLOOKUP(A529,NotghiID!A:A,1,FALSE)),1,0)</f>
        <v>0</v>
      </c>
    </row>
    <row r="530" spans="1:17" ht="14.25" x14ac:dyDescent="0.2">
      <c r="A530" s="183">
        <v>82</v>
      </c>
      <c r="B530" s="232" t="str">
        <f>IF(AND(A530&lt;&gt;"",ISNUMBER(A530)),VLOOKUP(A530,Studies!A:BR,2,FALSE),"")</f>
        <v>Barone 1993</v>
      </c>
      <c r="C530" s="232" t="str">
        <f>IF(AND(A530&lt;&gt;"",ISNUMBER(A530)),VLOOKUP(A530,Studies!A:BR,3,FALSE),"")</f>
        <v>https://www.ncbi.nlm.nih.gov/pubmed/8388198</v>
      </c>
      <c r="D530" s="232" t="str">
        <f>IF(AND(A530&lt;&gt;"",ISNUMBER(A530)),VLOOKUP(A530,Studies!A:BR,4,FALSE),"")</f>
        <v>day 1 fed</v>
      </c>
      <c r="E530" s="206" t="str">
        <f>IF(AND(A530&lt;&gt;"",ISNUMBER(A530)),VLOOKUP(A530,Studies!A:BR,5,FALSE),"")</f>
        <v>Hydroxy-Itraconazole</v>
      </c>
      <c r="F530" s="207" t="str">
        <f>IF(AND(A530&lt;&gt;"",ISNUMBER(A530)),VLOOKUP(A530,Studies!A:BR,6,FALSE),"")</f>
        <v>Plasma</v>
      </c>
      <c r="G530" s="194">
        <v>12</v>
      </c>
      <c r="H530" s="194" t="s">
        <v>60</v>
      </c>
      <c r="I530" s="187">
        <v>252.17929482460022</v>
      </c>
      <c r="J530" s="187" t="s">
        <v>1026</v>
      </c>
      <c r="K530" s="187" t="s">
        <v>116</v>
      </c>
      <c r="L530" s="195"/>
      <c r="M530" s="195"/>
      <c r="N530" s="195"/>
      <c r="O530" s="199"/>
      <c r="P530" s="188"/>
      <c r="Q530" s="174">
        <f>IF(ISNUMBER(VLOOKUP(A530,NotghiID!A:A,1,FALSE)),1,0)</f>
        <v>0</v>
      </c>
    </row>
    <row r="531" spans="1:17" ht="14.25" x14ac:dyDescent="0.2">
      <c r="A531" s="183">
        <v>82</v>
      </c>
      <c r="B531" s="232" t="str">
        <f>IF(AND(A531&lt;&gt;"",ISNUMBER(A531)),VLOOKUP(A531,Studies!A:BR,2,FALSE),"")</f>
        <v>Barone 1993</v>
      </c>
      <c r="C531" s="232" t="str">
        <f>IF(AND(A531&lt;&gt;"",ISNUMBER(A531)),VLOOKUP(A531,Studies!A:BR,3,FALSE),"")</f>
        <v>https://www.ncbi.nlm.nih.gov/pubmed/8388198</v>
      </c>
      <c r="D531" s="232" t="str">
        <f>IF(AND(A531&lt;&gt;"",ISNUMBER(A531)),VLOOKUP(A531,Studies!A:BR,4,FALSE),"")</f>
        <v>day 1 fed</v>
      </c>
      <c r="E531" s="206" t="str">
        <f>IF(AND(A531&lt;&gt;"",ISNUMBER(A531)),VLOOKUP(A531,Studies!A:BR,5,FALSE),"")</f>
        <v>Hydroxy-Itraconazole</v>
      </c>
      <c r="F531" s="207" t="str">
        <f>IF(AND(A531&lt;&gt;"",ISNUMBER(A531)),VLOOKUP(A531,Studies!A:BR,6,FALSE),"")</f>
        <v>Plasma</v>
      </c>
      <c r="G531" s="194">
        <v>24</v>
      </c>
      <c r="H531" s="194" t="s">
        <v>60</v>
      </c>
      <c r="I531" s="187">
        <v>133.02449882030487</v>
      </c>
      <c r="J531" s="187" t="s">
        <v>1026</v>
      </c>
      <c r="K531" s="187" t="s">
        <v>116</v>
      </c>
      <c r="L531" s="195"/>
      <c r="M531" s="195"/>
      <c r="N531" s="195"/>
      <c r="O531" s="199"/>
      <c r="P531" s="188"/>
      <c r="Q531" s="174">
        <f>IF(ISNUMBER(VLOOKUP(A531,NotghiID!A:A,1,FALSE)),1,0)</f>
        <v>0</v>
      </c>
    </row>
    <row r="532" spans="1:17" ht="14.25" x14ac:dyDescent="0.2">
      <c r="A532" s="183">
        <v>82</v>
      </c>
      <c r="B532" s="232" t="str">
        <f>IF(AND(A532&lt;&gt;"",ISNUMBER(A532)),VLOOKUP(A532,Studies!A:BR,2,FALSE),"")</f>
        <v>Barone 1993</v>
      </c>
      <c r="C532" s="232" t="str">
        <f>IF(AND(A532&lt;&gt;"",ISNUMBER(A532)),VLOOKUP(A532,Studies!A:BR,3,FALSE),"")</f>
        <v>https://www.ncbi.nlm.nih.gov/pubmed/8388198</v>
      </c>
      <c r="D532" s="232" t="str">
        <f>IF(AND(A532&lt;&gt;"",ISNUMBER(A532)),VLOOKUP(A532,Studies!A:BR,4,FALSE),"")</f>
        <v>day 1 fed</v>
      </c>
      <c r="E532" s="206" t="str">
        <f>IF(AND(A532&lt;&gt;"",ISNUMBER(A532)),VLOOKUP(A532,Studies!A:BR,5,FALSE),"")</f>
        <v>Hydroxy-Itraconazole</v>
      </c>
      <c r="F532" s="207" t="str">
        <f>IF(AND(A532&lt;&gt;"",ISNUMBER(A532)),VLOOKUP(A532,Studies!A:BR,6,FALSE),"")</f>
        <v>Plasma</v>
      </c>
      <c r="G532" s="194">
        <v>36</v>
      </c>
      <c r="H532" s="194" t="s">
        <v>60</v>
      </c>
      <c r="I532" s="187">
        <v>66.801510751247406</v>
      </c>
      <c r="J532" s="187" t="s">
        <v>1026</v>
      </c>
      <c r="K532" s="187" t="s">
        <v>116</v>
      </c>
      <c r="L532" s="195"/>
      <c r="M532" s="195"/>
      <c r="N532" s="195"/>
      <c r="O532" s="199"/>
      <c r="P532" s="188"/>
      <c r="Q532" s="174">
        <f>IF(ISNUMBER(VLOOKUP(A532,NotghiID!A:A,1,FALSE)),1,0)</f>
        <v>0</v>
      </c>
    </row>
    <row r="533" spans="1:17" ht="14.25" x14ac:dyDescent="0.2">
      <c r="A533" s="183">
        <v>82</v>
      </c>
      <c r="B533" s="232" t="str">
        <f>IF(AND(A533&lt;&gt;"",ISNUMBER(A533)),VLOOKUP(A533,Studies!A:BR,2,FALSE),"")</f>
        <v>Barone 1993</v>
      </c>
      <c r="C533" s="232" t="str">
        <f>IF(AND(A533&lt;&gt;"",ISNUMBER(A533)),VLOOKUP(A533,Studies!A:BR,3,FALSE),"")</f>
        <v>https://www.ncbi.nlm.nih.gov/pubmed/8388198</v>
      </c>
      <c r="D533" s="232" t="str">
        <f>IF(AND(A533&lt;&gt;"",ISNUMBER(A533)),VLOOKUP(A533,Studies!A:BR,4,FALSE),"")</f>
        <v>day 1 fed</v>
      </c>
      <c r="E533" s="206" t="str">
        <f>IF(AND(A533&lt;&gt;"",ISNUMBER(A533)),VLOOKUP(A533,Studies!A:BR,5,FALSE),"")</f>
        <v>Hydroxy-Itraconazole</v>
      </c>
      <c r="F533" s="207" t="str">
        <f>IF(AND(A533&lt;&gt;"",ISNUMBER(A533)),VLOOKUP(A533,Studies!A:BR,6,FALSE),"")</f>
        <v>Plasma</v>
      </c>
      <c r="G533" s="194">
        <v>48</v>
      </c>
      <c r="H533" s="194" t="s">
        <v>60</v>
      </c>
      <c r="I533" s="187">
        <v>31.935479491949081</v>
      </c>
      <c r="J533" s="187" t="s">
        <v>1026</v>
      </c>
      <c r="K533" s="187" t="s">
        <v>116</v>
      </c>
      <c r="L533" s="195"/>
      <c r="M533" s="195"/>
      <c r="N533" s="195"/>
      <c r="O533" s="199"/>
      <c r="P533" s="188"/>
      <c r="Q533" s="174">
        <f>IF(ISNUMBER(VLOOKUP(A533,NotghiID!A:A,1,FALSE)),1,0)</f>
        <v>0</v>
      </c>
    </row>
    <row r="534" spans="1:17" ht="14.25" x14ac:dyDescent="0.2">
      <c r="A534" s="183">
        <v>82</v>
      </c>
      <c r="B534" s="232" t="str">
        <f>IF(AND(A534&lt;&gt;"",ISNUMBER(A534)),VLOOKUP(A534,Studies!A:BR,2,FALSE),"")</f>
        <v>Barone 1993</v>
      </c>
      <c r="C534" s="232" t="str">
        <f>IF(AND(A534&lt;&gt;"",ISNUMBER(A534)),VLOOKUP(A534,Studies!A:BR,3,FALSE),"")</f>
        <v>https://www.ncbi.nlm.nih.gov/pubmed/8388198</v>
      </c>
      <c r="D534" s="232" t="str">
        <f>IF(AND(A534&lt;&gt;"",ISNUMBER(A534)),VLOOKUP(A534,Studies!A:BR,4,FALSE),"")</f>
        <v>day 1 fed</v>
      </c>
      <c r="E534" s="206" t="str">
        <f>IF(AND(A534&lt;&gt;"",ISNUMBER(A534)),VLOOKUP(A534,Studies!A:BR,5,FALSE),"")</f>
        <v>Hydroxy-Itraconazole</v>
      </c>
      <c r="F534" s="207" t="str">
        <f>IF(AND(A534&lt;&gt;"",ISNUMBER(A534)),VLOOKUP(A534,Studies!A:BR,6,FALSE),"")</f>
        <v>Plasma</v>
      </c>
      <c r="G534" s="194">
        <v>72</v>
      </c>
      <c r="H534" s="194" t="s">
        <v>60</v>
      </c>
      <c r="I534" s="187">
        <v>3.4325160086154938</v>
      </c>
      <c r="J534" s="187" t="s">
        <v>1026</v>
      </c>
      <c r="K534" s="187" t="s">
        <v>116</v>
      </c>
      <c r="L534" s="195"/>
      <c r="M534" s="195"/>
      <c r="N534" s="195"/>
      <c r="O534" s="199"/>
      <c r="P534" s="188"/>
      <c r="Q534" s="174">
        <f>IF(ISNUMBER(VLOOKUP(A534,NotghiID!A:A,1,FALSE)),1,0)</f>
        <v>0</v>
      </c>
    </row>
    <row r="535" spans="1:17" ht="14.25" x14ac:dyDescent="0.2">
      <c r="A535" s="183">
        <v>83</v>
      </c>
      <c r="B535" s="232" t="str">
        <f>IF(AND(A535&lt;&gt;"",ISNUMBER(A535)),VLOOKUP(A535,Studies!A:BR,2,FALSE),"")</f>
        <v>Barone 1993</v>
      </c>
      <c r="C535" s="232" t="str">
        <f>IF(AND(A535&lt;&gt;"",ISNUMBER(A535)),VLOOKUP(A535,Studies!A:BR,3,FALSE),"")</f>
        <v>https://www.ncbi.nlm.nih.gov/pubmed/8388198</v>
      </c>
      <c r="D535" s="232" t="str">
        <f>IF(AND(A535&lt;&gt;"",ISNUMBER(A535)),VLOOKUP(A535,Studies!A:BR,4,FALSE),"")</f>
        <v>day 15 fed</v>
      </c>
      <c r="E535" s="206" t="str">
        <f>IF(AND(A535&lt;&gt;"",ISNUMBER(A535)),VLOOKUP(A535,Studies!A:BR,5,FALSE),"")</f>
        <v>Itraconazole</v>
      </c>
      <c r="F535" s="207" t="str">
        <f>IF(AND(A535&lt;&gt;"",ISNUMBER(A535)),VLOOKUP(A535,Studies!A:BR,6,FALSE),"")</f>
        <v>Plasma</v>
      </c>
      <c r="G535" s="194">
        <v>168</v>
      </c>
      <c r="H535" s="194" t="s">
        <v>60</v>
      </c>
      <c r="I535" s="187">
        <v>697.71957397460938</v>
      </c>
      <c r="J535" s="187" t="s">
        <v>1026</v>
      </c>
      <c r="K535" s="187" t="s">
        <v>116</v>
      </c>
      <c r="L535" s="195"/>
      <c r="M535" s="195"/>
      <c r="N535" s="195"/>
      <c r="O535" s="199"/>
      <c r="P535" s="188"/>
      <c r="Q535" s="174">
        <f>IF(ISNUMBER(VLOOKUP(A535,NotghiID!A:A,1,FALSE)),1,0)</f>
        <v>0</v>
      </c>
    </row>
    <row r="536" spans="1:17" ht="14.25" x14ac:dyDescent="0.2">
      <c r="A536" s="183">
        <v>83</v>
      </c>
      <c r="B536" s="232" t="str">
        <f>IF(AND(A536&lt;&gt;"",ISNUMBER(A536)),VLOOKUP(A536,Studies!A:BR,2,FALSE),"")</f>
        <v>Barone 1993</v>
      </c>
      <c r="C536" s="232" t="str">
        <f>IF(AND(A536&lt;&gt;"",ISNUMBER(A536)),VLOOKUP(A536,Studies!A:BR,3,FALSE),"")</f>
        <v>https://www.ncbi.nlm.nih.gov/pubmed/8388198</v>
      </c>
      <c r="D536" s="232" t="str">
        <f>IF(AND(A536&lt;&gt;"",ISNUMBER(A536)),VLOOKUP(A536,Studies!A:BR,4,FALSE),"")</f>
        <v>day 15 fed</v>
      </c>
      <c r="E536" s="206" t="str">
        <f>IF(AND(A536&lt;&gt;"",ISNUMBER(A536)),VLOOKUP(A536,Studies!A:BR,5,FALSE),"")</f>
        <v>Itraconazole</v>
      </c>
      <c r="F536" s="207" t="str">
        <f>IF(AND(A536&lt;&gt;"",ISNUMBER(A536)),VLOOKUP(A536,Studies!A:BR,6,FALSE),"")</f>
        <v>Plasma</v>
      </c>
      <c r="G536" s="194">
        <v>240</v>
      </c>
      <c r="H536" s="194" t="s">
        <v>60</v>
      </c>
      <c r="I536" s="187">
        <v>1154.3169021606445</v>
      </c>
      <c r="J536" s="187" t="s">
        <v>1026</v>
      </c>
      <c r="K536" s="187" t="s">
        <v>116</v>
      </c>
      <c r="L536" s="195"/>
      <c r="M536" s="195"/>
      <c r="N536" s="195"/>
      <c r="O536" s="199"/>
      <c r="P536" s="188"/>
      <c r="Q536" s="174">
        <f>IF(ISNUMBER(VLOOKUP(A536,NotghiID!A:A,1,FALSE)),1,0)</f>
        <v>0</v>
      </c>
    </row>
    <row r="537" spans="1:17" ht="14.25" x14ac:dyDescent="0.2">
      <c r="A537" s="183">
        <v>83</v>
      </c>
      <c r="B537" s="232" t="str">
        <f>IF(AND(A537&lt;&gt;"",ISNUMBER(A537)),VLOOKUP(A537,Studies!A:BR,2,FALSE),"")</f>
        <v>Barone 1993</v>
      </c>
      <c r="C537" s="232" t="str">
        <f>IF(AND(A537&lt;&gt;"",ISNUMBER(A537)),VLOOKUP(A537,Studies!A:BR,3,FALSE),"")</f>
        <v>https://www.ncbi.nlm.nih.gov/pubmed/8388198</v>
      </c>
      <c r="D537" s="232" t="str">
        <f>IF(AND(A537&lt;&gt;"",ISNUMBER(A537)),VLOOKUP(A537,Studies!A:BR,4,FALSE),"")</f>
        <v>day 15 fed</v>
      </c>
      <c r="E537" s="206" t="str">
        <f>IF(AND(A537&lt;&gt;"",ISNUMBER(A537)),VLOOKUP(A537,Studies!A:BR,5,FALSE),"")</f>
        <v>Itraconazole</v>
      </c>
      <c r="F537" s="207" t="str">
        <f>IF(AND(A537&lt;&gt;"",ISNUMBER(A537)),VLOOKUP(A537,Studies!A:BR,6,FALSE),"")</f>
        <v>Plasma</v>
      </c>
      <c r="G537" s="194">
        <v>312</v>
      </c>
      <c r="H537" s="194" t="s">
        <v>60</v>
      </c>
      <c r="I537" s="187">
        <v>1528.8288593292236</v>
      </c>
      <c r="J537" s="187" t="s">
        <v>1026</v>
      </c>
      <c r="K537" s="187" t="s">
        <v>116</v>
      </c>
      <c r="L537" s="195"/>
      <c r="M537" s="195"/>
      <c r="N537" s="195"/>
      <c r="O537" s="199"/>
      <c r="P537" s="188"/>
      <c r="Q537" s="174">
        <f>IF(ISNUMBER(VLOOKUP(A537,NotghiID!A:A,1,FALSE)),1,0)</f>
        <v>0</v>
      </c>
    </row>
    <row r="538" spans="1:17" ht="14.25" x14ac:dyDescent="0.2">
      <c r="A538" s="183">
        <v>83</v>
      </c>
      <c r="B538" s="232" t="str">
        <f>IF(AND(A538&lt;&gt;"",ISNUMBER(A538)),VLOOKUP(A538,Studies!A:BR,2,FALSE),"")</f>
        <v>Barone 1993</v>
      </c>
      <c r="C538" s="232" t="str">
        <f>IF(AND(A538&lt;&gt;"",ISNUMBER(A538)),VLOOKUP(A538,Studies!A:BR,3,FALSE),"")</f>
        <v>https://www.ncbi.nlm.nih.gov/pubmed/8388198</v>
      </c>
      <c r="D538" s="232" t="str">
        <f>IF(AND(A538&lt;&gt;"",ISNUMBER(A538)),VLOOKUP(A538,Studies!A:BR,4,FALSE),"")</f>
        <v>day 15 fed</v>
      </c>
      <c r="E538" s="206" t="str">
        <f>IF(AND(A538&lt;&gt;"",ISNUMBER(A538)),VLOOKUP(A538,Studies!A:BR,5,FALSE),"")</f>
        <v>Itraconazole</v>
      </c>
      <c r="F538" s="207" t="str">
        <f>IF(AND(A538&lt;&gt;"",ISNUMBER(A538)),VLOOKUP(A538,Studies!A:BR,6,FALSE),"")</f>
        <v>Plasma</v>
      </c>
      <c r="G538" s="194">
        <v>384</v>
      </c>
      <c r="H538" s="194" t="s">
        <v>60</v>
      </c>
      <c r="I538" s="187">
        <v>1759.4455480575562</v>
      </c>
      <c r="J538" s="187" t="s">
        <v>1026</v>
      </c>
      <c r="K538" s="187" t="s">
        <v>116</v>
      </c>
      <c r="L538" s="195"/>
      <c r="M538" s="195"/>
      <c r="N538" s="195"/>
      <c r="O538" s="199"/>
      <c r="P538" s="188"/>
      <c r="Q538" s="174">
        <f>IF(ISNUMBER(VLOOKUP(A538,NotghiID!A:A,1,FALSE)),1,0)</f>
        <v>0</v>
      </c>
    </row>
    <row r="539" spans="1:17" ht="14.25" x14ac:dyDescent="0.2">
      <c r="A539" s="183">
        <v>83</v>
      </c>
      <c r="B539" s="232" t="str">
        <f>IF(AND(A539&lt;&gt;"",ISNUMBER(A539)),VLOOKUP(A539,Studies!A:BR,2,FALSE),"")</f>
        <v>Barone 1993</v>
      </c>
      <c r="C539" s="232" t="str">
        <f>IF(AND(A539&lt;&gt;"",ISNUMBER(A539)),VLOOKUP(A539,Studies!A:BR,3,FALSE),"")</f>
        <v>https://www.ncbi.nlm.nih.gov/pubmed/8388198</v>
      </c>
      <c r="D539" s="232" t="str">
        <f>IF(AND(A539&lt;&gt;"",ISNUMBER(A539)),VLOOKUP(A539,Studies!A:BR,4,FALSE),"")</f>
        <v>day 15 fed</v>
      </c>
      <c r="E539" s="206" t="str">
        <f>IF(AND(A539&lt;&gt;"",ISNUMBER(A539)),VLOOKUP(A539,Studies!A:BR,5,FALSE),"")</f>
        <v>Itraconazole</v>
      </c>
      <c r="F539" s="207" t="str">
        <f>IF(AND(A539&lt;&gt;"",ISNUMBER(A539)),VLOOKUP(A539,Studies!A:BR,6,FALSE),"")</f>
        <v>Plasma</v>
      </c>
      <c r="G539" s="194">
        <v>408</v>
      </c>
      <c r="H539" s="194" t="s">
        <v>60</v>
      </c>
      <c r="I539" s="187">
        <v>1887.4886035919189</v>
      </c>
      <c r="J539" s="187" t="s">
        <v>1026</v>
      </c>
      <c r="K539" s="187" t="s">
        <v>116</v>
      </c>
      <c r="L539" s="195"/>
      <c r="M539" s="195"/>
      <c r="N539" s="195"/>
      <c r="O539" s="199"/>
      <c r="P539" s="188"/>
      <c r="Q539" s="174">
        <f>IF(ISNUMBER(VLOOKUP(A539,NotghiID!A:A,1,FALSE)),1,0)</f>
        <v>0</v>
      </c>
    </row>
    <row r="540" spans="1:17" ht="14.25" x14ac:dyDescent="0.2">
      <c r="A540" s="183">
        <v>83</v>
      </c>
      <c r="B540" s="232" t="str">
        <f>IF(AND(A540&lt;&gt;"",ISNUMBER(A540)),VLOOKUP(A540,Studies!A:BR,2,FALSE),"")</f>
        <v>Barone 1993</v>
      </c>
      <c r="C540" s="232" t="str">
        <f>IF(AND(A540&lt;&gt;"",ISNUMBER(A540)),VLOOKUP(A540,Studies!A:BR,3,FALSE),"")</f>
        <v>https://www.ncbi.nlm.nih.gov/pubmed/8388198</v>
      </c>
      <c r="D540" s="232" t="str">
        <f>IF(AND(A540&lt;&gt;"",ISNUMBER(A540)),VLOOKUP(A540,Studies!A:BR,4,FALSE),"")</f>
        <v>day 15 fed</v>
      </c>
      <c r="E540" s="206" t="str">
        <f>IF(AND(A540&lt;&gt;"",ISNUMBER(A540)),VLOOKUP(A540,Studies!A:BR,5,FALSE),"")</f>
        <v>Itraconazole</v>
      </c>
      <c r="F540" s="207" t="str">
        <f>IF(AND(A540&lt;&gt;"",ISNUMBER(A540)),VLOOKUP(A540,Studies!A:BR,6,FALSE),"")</f>
        <v>Plasma</v>
      </c>
      <c r="G540" s="194">
        <v>432</v>
      </c>
      <c r="H540" s="194" t="s">
        <v>60</v>
      </c>
      <c r="I540" s="187">
        <v>1801.1308908462524</v>
      </c>
      <c r="J540" s="187" t="s">
        <v>1026</v>
      </c>
      <c r="K540" s="187" t="s">
        <v>116</v>
      </c>
      <c r="L540" s="195"/>
      <c r="M540" s="195"/>
      <c r="N540" s="195"/>
      <c r="O540" s="199"/>
      <c r="P540" s="188"/>
      <c r="Q540" s="174">
        <f>IF(ISNUMBER(VLOOKUP(A540,NotghiID!A:A,1,FALSE)),1,0)</f>
        <v>0</v>
      </c>
    </row>
    <row r="541" spans="1:17" ht="14.25" x14ac:dyDescent="0.2">
      <c r="A541" s="183">
        <v>83</v>
      </c>
      <c r="B541" s="232" t="str">
        <f>IF(AND(A541&lt;&gt;"",ISNUMBER(A541)),VLOOKUP(A541,Studies!A:BR,2,FALSE),"")</f>
        <v>Barone 1993</v>
      </c>
      <c r="C541" s="232" t="str">
        <f>IF(AND(A541&lt;&gt;"",ISNUMBER(A541)),VLOOKUP(A541,Studies!A:BR,3,FALSE),"")</f>
        <v>https://www.ncbi.nlm.nih.gov/pubmed/8388198</v>
      </c>
      <c r="D541" s="232" t="str">
        <f>IF(AND(A541&lt;&gt;"",ISNUMBER(A541)),VLOOKUP(A541,Studies!A:BR,4,FALSE),"")</f>
        <v>day 15 fed</v>
      </c>
      <c r="E541" s="206" t="str">
        <f>IF(AND(A541&lt;&gt;"",ISNUMBER(A541)),VLOOKUP(A541,Studies!A:BR,5,FALSE),"")</f>
        <v>Itraconazole</v>
      </c>
      <c r="F541" s="207" t="str">
        <f>IF(AND(A541&lt;&gt;"",ISNUMBER(A541)),VLOOKUP(A541,Studies!A:BR,6,FALSE),"")</f>
        <v>Plasma</v>
      </c>
      <c r="G541" s="194">
        <v>432.5</v>
      </c>
      <c r="H541" s="194" t="s">
        <v>60</v>
      </c>
      <c r="I541" s="187">
        <v>1620.9985017776489</v>
      </c>
      <c r="J541" s="187" t="s">
        <v>1026</v>
      </c>
      <c r="K541" s="187" t="s">
        <v>116</v>
      </c>
      <c r="L541" s="195"/>
      <c r="M541" s="195"/>
      <c r="N541" s="195"/>
      <c r="O541" s="199"/>
      <c r="P541" s="188"/>
      <c r="Q541" s="174">
        <f>IF(ISNUMBER(VLOOKUP(A541,NotghiID!A:A,1,FALSE)),1,0)</f>
        <v>0</v>
      </c>
    </row>
    <row r="542" spans="1:17" ht="14.25" x14ac:dyDescent="0.2">
      <c r="A542" s="183">
        <v>83</v>
      </c>
      <c r="B542" s="232" t="str">
        <f>IF(AND(A542&lt;&gt;"",ISNUMBER(A542)),VLOOKUP(A542,Studies!A:BR,2,FALSE),"")</f>
        <v>Barone 1993</v>
      </c>
      <c r="C542" s="232" t="str">
        <f>IF(AND(A542&lt;&gt;"",ISNUMBER(A542)),VLOOKUP(A542,Studies!A:BR,3,FALSE),"")</f>
        <v>https://www.ncbi.nlm.nih.gov/pubmed/8388198</v>
      </c>
      <c r="D542" s="232" t="str">
        <f>IF(AND(A542&lt;&gt;"",ISNUMBER(A542)),VLOOKUP(A542,Studies!A:BR,4,FALSE),"")</f>
        <v>day 15 fed</v>
      </c>
      <c r="E542" s="206" t="str">
        <f>IF(AND(A542&lt;&gt;"",ISNUMBER(A542)),VLOOKUP(A542,Studies!A:BR,5,FALSE),"")</f>
        <v>Itraconazole</v>
      </c>
      <c r="F542" s="207" t="str">
        <f>IF(AND(A542&lt;&gt;"",ISNUMBER(A542)),VLOOKUP(A542,Studies!A:BR,6,FALSE),"")</f>
        <v>Plasma</v>
      </c>
      <c r="G542" s="194">
        <v>435</v>
      </c>
      <c r="H542" s="194" t="s">
        <v>60</v>
      </c>
      <c r="I542" s="187">
        <v>2097.2344875335693</v>
      </c>
      <c r="J542" s="187" t="s">
        <v>1026</v>
      </c>
      <c r="K542" s="187" t="s">
        <v>116</v>
      </c>
      <c r="L542" s="195"/>
      <c r="M542" s="195"/>
      <c r="N542" s="195"/>
      <c r="O542" s="199"/>
      <c r="P542" s="188"/>
      <c r="Q542" s="174">
        <f>IF(ISNUMBER(VLOOKUP(A542,NotghiID!A:A,1,FALSE)),1,0)</f>
        <v>0</v>
      </c>
    </row>
    <row r="543" spans="1:17" ht="14.25" x14ac:dyDescent="0.2">
      <c r="A543" s="183">
        <v>83</v>
      </c>
      <c r="B543" s="232" t="str">
        <f>IF(AND(A543&lt;&gt;"",ISNUMBER(A543)),VLOOKUP(A543,Studies!A:BR,2,FALSE),"")</f>
        <v>Barone 1993</v>
      </c>
      <c r="C543" s="232" t="str">
        <f>IF(AND(A543&lt;&gt;"",ISNUMBER(A543)),VLOOKUP(A543,Studies!A:BR,3,FALSE),"")</f>
        <v>https://www.ncbi.nlm.nih.gov/pubmed/8388198</v>
      </c>
      <c r="D543" s="232" t="str">
        <f>IF(AND(A543&lt;&gt;"",ISNUMBER(A543)),VLOOKUP(A543,Studies!A:BR,4,FALSE),"")</f>
        <v>day 15 fed</v>
      </c>
      <c r="E543" s="206" t="str">
        <f>IF(AND(A543&lt;&gt;"",ISNUMBER(A543)),VLOOKUP(A543,Studies!A:BR,5,FALSE),"")</f>
        <v>Itraconazole</v>
      </c>
      <c r="F543" s="207" t="str">
        <f>IF(AND(A543&lt;&gt;"",ISNUMBER(A543)),VLOOKUP(A543,Studies!A:BR,6,FALSE),"")</f>
        <v>Plasma</v>
      </c>
      <c r="G543" s="194">
        <v>438</v>
      </c>
      <c r="H543" s="194" t="s">
        <v>60</v>
      </c>
      <c r="I543" s="187">
        <v>1954.9634456634521</v>
      </c>
      <c r="J543" s="187" t="s">
        <v>1026</v>
      </c>
      <c r="K543" s="187" t="s">
        <v>116</v>
      </c>
      <c r="L543" s="195"/>
      <c r="M543" s="195"/>
      <c r="N543" s="195"/>
      <c r="O543" s="199"/>
      <c r="P543" s="188"/>
      <c r="Q543" s="174">
        <f>IF(ISNUMBER(VLOOKUP(A543,NotghiID!A:A,1,FALSE)),1,0)</f>
        <v>0</v>
      </c>
    </row>
    <row r="544" spans="1:17" ht="14.25" x14ac:dyDescent="0.2">
      <c r="A544" s="183">
        <v>83</v>
      </c>
      <c r="B544" s="232" t="str">
        <f>IF(AND(A544&lt;&gt;"",ISNUMBER(A544)),VLOOKUP(A544,Studies!A:BR,2,FALSE),"")</f>
        <v>Barone 1993</v>
      </c>
      <c r="C544" s="232" t="str">
        <f>IF(AND(A544&lt;&gt;"",ISNUMBER(A544)),VLOOKUP(A544,Studies!A:BR,3,FALSE),"")</f>
        <v>https://www.ncbi.nlm.nih.gov/pubmed/8388198</v>
      </c>
      <c r="D544" s="232" t="str">
        <f>IF(AND(A544&lt;&gt;"",ISNUMBER(A544)),VLOOKUP(A544,Studies!A:BR,4,FALSE),"")</f>
        <v>day 15 fed</v>
      </c>
      <c r="E544" s="206" t="str">
        <f>IF(AND(A544&lt;&gt;"",ISNUMBER(A544)),VLOOKUP(A544,Studies!A:BR,5,FALSE),"")</f>
        <v>Itraconazole</v>
      </c>
      <c r="F544" s="207" t="str">
        <f>IF(AND(A544&lt;&gt;"",ISNUMBER(A544)),VLOOKUP(A544,Studies!A:BR,6,FALSE),"")</f>
        <v>Plasma</v>
      </c>
      <c r="G544" s="194">
        <v>440</v>
      </c>
      <c r="H544" s="194" t="s">
        <v>60</v>
      </c>
      <c r="I544" s="187">
        <v>1801.1308908462524</v>
      </c>
      <c r="J544" s="187" t="s">
        <v>1026</v>
      </c>
      <c r="K544" s="187" t="s">
        <v>116</v>
      </c>
      <c r="L544" s="195"/>
      <c r="M544" s="195"/>
      <c r="N544" s="195"/>
      <c r="O544" s="199"/>
      <c r="P544" s="188"/>
      <c r="Q544" s="174">
        <f>IF(ISNUMBER(VLOOKUP(A544,NotghiID!A:A,1,FALSE)),1,0)</f>
        <v>0</v>
      </c>
    </row>
    <row r="545" spans="1:17" ht="14.25" x14ac:dyDescent="0.2">
      <c r="A545" s="183">
        <v>83</v>
      </c>
      <c r="B545" s="232" t="str">
        <f>IF(AND(A545&lt;&gt;"",ISNUMBER(A545)),VLOOKUP(A545,Studies!A:BR,2,FALSE),"")</f>
        <v>Barone 1993</v>
      </c>
      <c r="C545" s="232" t="str">
        <f>IF(AND(A545&lt;&gt;"",ISNUMBER(A545)),VLOOKUP(A545,Studies!A:BR,3,FALSE),"")</f>
        <v>https://www.ncbi.nlm.nih.gov/pubmed/8388198</v>
      </c>
      <c r="D545" s="232" t="str">
        <f>IF(AND(A545&lt;&gt;"",ISNUMBER(A545)),VLOOKUP(A545,Studies!A:BR,4,FALSE),"")</f>
        <v>day 15 fed</v>
      </c>
      <c r="E545" s="206" t="str">
        <f>IF(AND(A545&lt;&gt;"",ISNUMBER(A545)),VLOOKUP(A545,Studies!A:BR,5,FALSE),"")</f>
        <v>Itraconazole</v>
      </c>
      <c r="F545" s="207" t="str">
        <f>IF(AND(A545&lt;&gt;"",ISNUMBER(A545)),VLOOKUP(A545,Studies!A:BR,6,FALSE),"")</f>
        <v>Plasma</v>
      </c>
      <c r="G545" s="194">
        <v>444</v>
      </c>
      <c r="H545" s="194" t="s">
        <v>60</v>
      </c>
      <c r="I545" s="187">
        <v>1659.4038009643555</v>
      </c>
      <c r="J545" s="187" t="s">
        <v>1026</v>
      </c>
      <c r="K545" s="187" t="s">
        <v>116</v>
      </c>
      <c r="L545" s="195"/>
      <c r="M545" s="195"/>
      <c r="N545" s="195"/>
      <c r="O545" s="199"/>
      <c r="P545" s="188"/>
      <c r="Q545" s="174">
        <f>IF(ISNUMBER(VLOOKUP(A545,NotghiID!A:A,1,FALSE)),1,0)</f>
        <v>0</v>
      </c>
    </row>
    <row r="546" spans="1:17" ht="14.25" x14ac:dyDescent="0.2">
      <c r="A546" s="183">
        <v>83</v>
      </c>
      <c r="B546" s="232" t="str">
        <f>IF(AND(A546&lt;&gt;"",ISNUMBER(A546)),VLOOKUP(A546,Studies!A:BR,2,FALSE),"")</f>
        <v>Barone 1993</v>
      </c>
      <c r="C546" s="232" t="str">
        <f>IF(AND(A546&lt;&gt;"",ISNUMBER(A546)),VLOOKUP(A546,Studies!A:BR,3,FALSE),"")</f>
        <v>https://www.ncbi.nlm.nih.gov/pubmed/8388198</v>
      </c>
      <c r="D546" s="232" t="str">
        <f>IF(AND(A546&lt;&gt;"",ISNUMBER(A546)),VLOOKUP(A546,Studies!A:BR,4,FALSE),"")</f>
        <v>day 15 fed</v>
      </c>
      <c r="E546" s="206" t="str">
        <f>IF(AND(A546&lt;&gt;"",ISNUMBER(A546)),VLOOKUP(A546,Studies!A:BR,5,FALSE),"")</f>
        <v>Itraconazole</v>
      </c>
      <c r="F546" s="207" t="str">
        <f>IF(AND(A546&lt;&gt;"",ISNUMBER(A546)),VLOOKUP(A546,Studies!A:BR,6,FALSE),"")</f>
        <v>Plasma</v>
      </c>
      <c r="G546" s="194">
        <v>456</v>
      </c>
      <c r="H546" s="194" t="s">
        <v>60</v>
      </c>
      <c r="I546" s="187">
        <v>1476.0624170303345</v>
      </c>
      <c r="J546" s="187" t="s">
        <v>1026</v>
      </c>
      <c r="K546" s="187" t="s">
        <v>116</v>
      </c>
      <c r="L546" s="195"/>
      <c r="M546" s="195"/>
      <c r="N546" s="195"/>
      <c r="O546" s="199"/>
      <c r="P546" s="188"/>
      <c r="Q546" s="174">
        <f>IF(ISNUMBER(VLOOKUP(A546,NotghiID!A:A,1,FALSE)),1,0)</f>
        <v>0</v>
      </c>
    </row>
    <row r="547" spans="1:17" ht="14.25" x14ac:dyDescent="0.2">
      <c r="A547" s="183">
        <v>83</v>
      </c>
      <c r="B547" s="232" t="str">
        <f>IF(AND(A547&lt;&gt;"",ISNUMBER(A547)),VLOOKUP(A547,Studies!A:BR,2,FALSE),"")</f>
        <v>Barone 1993</v>
      </c>
      <c r="C547" s="232" t="str">
        <f>IF(AND(A547&lt;&gt;"",ISNUMBER(A547)),VLOOKUP(A547,Studies!A:BR,3,FALSE),"")</f>
        <v>https://www.ncbi.nlm.nih.gov/pubmed/8388198</v>
      </c>
      <c r="D547" s="232" t="str">
        <f>IF(AND(A547&lt;&gt;"",ISNUMBER(A547)),VLOOKUP(A547,Studies!A:BR,4,FALSE),"")</f>
        <v>day 15 fed</v>
      </c>
      <c r="E547" s="206" t="str">
        <f>IF(AND(A547&lt;&gt;"",ISNUMBER(A547)),VLOOKUP(A547,Studies!A:BR,5,FALSE),"")</f>
        <v>Itraconazole</v>
      </c>
      <c r="F547" s="207" t="str">
        <f>IF(AND(A547&lt;&gt;"",ISNUMBER(A547)),VLOOKUP(A547,Studies!A:BR,6,FALSE),"")</f>
        <v>Plasma</v>
      </c>
      <c r="G547" s="194">
        <v>468</v>
      </c>
      <c r="H547" s="194" t="s">
        <v>60</v>
      </c>
      <c r="I547" s="187">
        <v>1267.6606178283691</v>
      </c>
      <c r="J547" s="187" t="s">
        <v>1026</v>
      </c>
      <c r="K547" s="187" t="s">
        <v>116</v>
      </c>
      <c r="L547" s="195"/>
      <c r="M547" s="195"/>
      <c r="N547" s="195"/>
      <c r="O547" s="199"/>
      <c r="P547" s="188"/>
      <c r="Q547" s="174">
        <f>IF(ISNUMBER(VLOOKUP(A547,NotghiID!A:A,1,FALSE)),1,0)</f>
        <v>0</v>
      </c>
    </row>
    <row r="548" spans="1:17" ht="14.25" x14ac:dyDescent="0.2">
      <c r="A548" s="183">
        <v>83</v>
      </c>
      <c r="B548" s="232" t="str">
        <f>IF(AND(A548&lt;&gt;"",ISNUMBER(A548)),VLOOKUP(A548,Studies!A:BR,2,FALSE),"")</f>
        <v>Barone 1993</v>
      </c>
      <c r="C548" s="232" t="str">
        <f>IF(AND(A548&lt;&gt;"",ISNUMBER(A548)),VLOOKUP(A548,Studies!A:BR,3,FALSE),"")</f>
        <v>https://www.ncbi.nlm.nih.gov/pubmed/8388198</v>
      </c>
      <c r="D548" s="232" t="str">
        <f>IF(AND(A548&lt;&gt;"",ISNUMBER(A548)),VLOOKUP(A548,Studies!A:BR,4,FALSE),"")</f>
        <v>day 15 fed</v>
      </c>
      <c r="E548" s="206" t="str">
        <f>IF(AND(A548&lt;&gt;"",ISNUMBER(A548)),VLOOKUP(A548,Studies!A:BR,5,FALSE),"")</f>
        <v>Itraconazole</v>
      </c>
      <c r="F548" s="207" t="str">
        <f>IF(AND(A548&lt;&gt;"",ISNUMBER(A548)),VLOOKUP(A548,Studies!A:BR,6,FALSE),"")</f>
        <v>Plasma</v>
      </c>
      <c r="G548" s="194">
        <v>480</v>
      </c>
      <c r="H548" s="194" t="s">
        <v>60</v>
      </c>
      <c r="I548" s="187">
        <v>1195.5815553665161</v>
      </c>
      <c r="J548" s="187" t="s">
        <v>1026</v>
      </c>
      <c r="K548" s="187" t="s">
        <v>116</v>
      </c>
      <c r="L548" s="195"/>
      <c r="M548" s="195"/>
      <c r="N548" s="195"/>
      <c r="O548" s="199"/>
      <c r="P548" s="188"/>
      <c r="Q548" s="174">
        <f>IF(ISNUMBER(VLOOKUP(A548,NotghiID!A:A,1,FALSE)),1,0)</f>
        <v>0</v>
      </c>
    </row>
    <row r="549" spans="1:17" ht="14.25" x14ac:dyDescent="0.2">
      <c r="A549" s="183">
        <v>83</v>
      </c>
      <c r="B549" s="232" t="str">
        <f>IF(AND(A549&lt;&gt;"",ISNUMBER(A549)),VLOOKUP(A549,Studies!A:BR,2,FALSE),"")</f>
        <v>Barone 1993</v>
      </c>
      <c r="C549" s="232" t="str">
        <f>IF(AND(A549&lt;&gt;"",ISNUMBER(A549)),VLOOKUP(A549,Studies!A:BR,3,FALSE),"")</f>
        <v>https://www.ncbi.nlm.nih.gov/pubmed/8388198</v>
      </c>
      <c r="D549" s="232" t="str">
        <f>IF(AND(A549&lt;&gt;"",ISNUMBER(A549)),VLOOKUP(A549,Studies!A:BR,4,FALSE),"")</f>
        <v>day 15 fed</v>
      </c>
      <c r="E549" s="206" t="str">
        <f>IF(AND(A549&lt;&gt;"",ISNUMBER(A549)),VLOOKUP(A549,Studies!A:BR,5,FALSE),"")</f>
        <v>Itraconazole</v>
      </c>
      <c r="F549" s="207" t="str">
        <f>IF(AND(A549&lt;&gt;"",ISNUMBER(A549)),VLOOKUP(A549,Studies!A:BR,6,FALSE),"")</f>
        <v>Plasma</v>
      </c>
      <c r="G549" s="194">
        <v>504</v>
      </c>
      <c r="H549" s="194" t="s">
        <v>60</v>
      </c>
      <c r="I549" s="187">
        <v>1088.6826515197754</v>
      </c>
      <c r="J549" s="187" t="s">
        <v>1026</v>
      </c>
      <c r="K549" s="187" t="s">
        <v>116</v>
      </c>
      <c r="L549" s="195"/>
      <c r="M549" s="195"/>
      <c r="N549" s="195"/>
      <c r="O549" s="199"/>
      <c r="P549" s="188"/>
      <c r="Q549" s="174">
        <f>IF(ISNUMBER(VLOOKUP(A549,NotghiID!A:A,1,FALSE)),1,0)</f>
        <v>0</v>
      </c>
    </row>
    <row r="550" spans="1:17" ht="14.25" x14ac:dyDescent="0.2">
      <c r="A550" s="183">
        <v>83</v>
      </c>
      <c r="B550" s="232" t="str">
        <f>IF(AND(A550&lt;&gt;"",ISNUMBER(A550)),VLOOKUP(A550,Studies!A:BR,2,FALSE),"")</f>
        <v>Barone 1993</v>
      </c>
      <c r="C550" s="232" t="str">
        <f>IF(AND(A550&lt;&gt;"",ISNUMBER(A550)),VLOOKUP(A550,Studies!A:BR,3,FALSE),"")</f>
        <v>https://www.ncbi.nlm.nih.gov/pubmed/8388198</v>
      </c>
      <c r="D550" s="232" t="str">
        <f>IF(AND(A550&lt;&gt;"",ISNUMBER(A550)),VLOOKUP(A550,Studies!A:BR,4,FALSE),"")</f>
        <v>day 15 fed</v>
      </c>
      <c r="E550" s="206" t="str">
        <f>IF(AND(A550&lt;&gt;"",ISNUMBER(A550)),VLOOKUP(A550,Studies!A:BR,5,FALSE),"")</f>
        <v>Itraconazole</v>
      </c>
      <c r="F550" s="207" t="str">
        <f>IF(AND(A550&lt;&gt;"",ISNUMBER(A550)),VLOOKUP(A550,Studies!A:BR,6,FALSE),"")</f>
        <v>Plasma</v>
      </c>
      <c r="G550" s="194">
        <v>528</v>
      </c>
      <c r="H550" s="194" t="s">
        <v>60</v>
      </c>
      <c r="I550" s="187">
        <v>881.81167840957642</v>
      </c>
      <c r="J550" s="187" t="s">
        <v>1026</v>
      </c>
      <c r="K550" s="187" t="s">
        <v>116</v>
      </c>
      <c r="L550" s="195"/>
      <c r="M550" s="195"/>
      <c r="N550" s="195"/>
      <c r="O550" s="199"/>
      <c r="P550" s="188"/>
      <c r="Q550" s="174">
        <f>IF(ISNUMBER(VLOOKUP(A550,NotghiID!A:A,1,FALSE)),1,0)</f>
        <v>0</v>
      </c>
    </row>
    <row r="551" spans="1:17" ht="14.25" x14ac:dyDescent="0.2">
      <c r="A551" s="183">
        <v>83</v>
      </c>
      <c r="B551" s="232" t="str">
        <f>IF(AND(A551&lt;&gt;"",ISNUMBER(A551)),VLOOKUP(A551,Studies!A:BR,2,FALSE),"")</f>
        <v>Barone 1993</v>
      </c>
      <c r="C551" s="232" t="str">
        <f>IF(AND(A551&lt;&gt;"",ISNUMBER(A551)),VLOOKUP(A551,Studies!A:BR,3,FALSE),"")</f>
        <v>https://www.ncbi.nlm.nih.gov/pubmed/8388198</v>
      </c>
      <c r="D551" s="232" t="str">
        <f>IF(AND(A551&lt;&gt;"",ISNUMBER(A551)),VLOOKUP(A551,Studies!A:BR,4,FALSE),"")</f>
        <v>day 15 fed</v>
      </c>
      <c r="E551" s="206" t="str">
        <f>IF(AND(A551&lt;&gt;"",ISNUMBER(A551)),VLOOKUP(A551,Studies!A:BR,5,FALSE),"")</f>
        <v>Itraconazole</v>
      </c>
      <c r="F551" s="207" t="str">
        <f>IF(AND(A551&lt;&gt;"",ISNUMBER(A551)),VLOOKUP(A551,Studies!A:BR,6,FALSE),"")</f>
        <v>Plasma</v>
      </c>
      <c r="G551" s="194">
        <v>600</v>
      </c>
      <c r="H551" s="194" t="s">
        <v>60</v>
      </c>
      <c r="I551" s="187">
        <v>502.69907712936401</v>
      </c>
      <c r="J551" s="187" t="s">
        <v>1026</v>
      </c>
      <c r="K551" s="187" t="s">
        <v>116</v>
      </c>
      <c r="L551" s="195"/>
      <c r="M551" s="195"/>
      <c r="N551" s="195"/>
      <c r="O551" s="199"/>
      <c r="P551" s="188"/>
      <c r="Q551" s="174">
        <f>IF(ISNUMBER(VLOOKUP(A551,NotghiID!A:A,1,FALSE)),1,0)</f>
        <v>0</v>
      </c>
    </row>
    <row r="552" spans="1:17" ht="14.25" x14ac:dyDescent="0.2">
      <c r="A552" s="183">
        <v>83</v>
      </c>
      <c r="B552" s="232" t="str">
        <f>IF(AND(A552&lt;&gt;"",ISNUMBER(A552)),VLOOKUP(A552,Studies!A:BR,2,FALSE),"")</f>
        <v>Barone 1993</v>
      </c>
      <c r="C552" s="232" t="str">
        <f>IF(AND(A552&lt;&gt;"",ISNUMBER(A552)),VLOOKUP(A552,Studies!A:BR,3,FALSE),"")</f>
        <v>https://www.ncbi.nlm.nih.gov/pubmed/8388198</v>
      </c>
      <c r="D552" s="232" t="str">
        <f>IF(AND(A552&lt;&gt;"",ISNUMBER(A552)),VLOOKUP(A552,Studies!A:BR,4,FALSE),"")</f>
        <v>day 15 fed</v>
      </c>
      <c r="E552" s="206" t="str">
        <f>IF(AND(A552&lt;&gt;"",ISNUMBER(A552)),VLOOKUP(A552,Studies!A:BR,5,FALSE),"")</f>
        <v>Itraconazole</v>
      </c>
      <c r="F552" s="207" t="str">
        <f>IF(AND(A552&lt;&gt;"",ISNUMBER(A552)),VLOOKUP(A552,Studies!A:BR,6,FALSE),"")</f>
        <v>Plasma</v>
      </c>
      <c r="G552" s="194">
        <v>672</v>
      </c>
      <c r="H552" s="194" t="s">
        <v>60</v>
      </c>
      <c r="I552" s="187">
        <v>194.73488628864288</v>
      </c>
      <c r="J552" s="187" t="s">
        <v>1026</v>
      </c>
      <c r="K552" s="187" t="s">
        <v>116</v>
      </c>
      <c r="L552" s="195"/>
      <c r="M552" s="195"/>
      <c r="N552" s="195"/>
      <c r="O552" s="199"/>
      <c r="P552" s="188"/>
      <c r="Q552" s="174">
        <f>IF(ISNUMBER(VLOOKUP(A552,NotghiID!A:A,1,FALSE)),1,0)</f>
        <v>0</v>
      </c>
    </row>
    <row r="553" spans="1:17" ht="14.25" x14ac:dyDescent="0.2">
      <c r="A553" s="183">
        <v>83</v>
      </c>
      <c r="B553" s="232" t="str">
        <f>IF(AND(A553&lt;&gt;"",ISNUMBER(A553)),VLOOKUP(A553,Studies!A:BR,2,FALSE),"")</f>
        <v>Barone 1993</v>
      </c>
      <c r="C553" s="232" t="str">
        <f>IF(AND(A553&lt;&gt;"",ISNUMBER(A553)),VLOOKUP(A553,Studies!A:BR,3,FALSE),"")</f>
        <v>https://www.ncbi.nlm.nih.gov/pubmed/8388198</v>
      </c>
      <c r="D553" s="232" t="str">
        <f>IF(AND(A553&lt;&gt;"",ISNUMBER(A553)),VLOOKUP(A553,Studies!A:BR,4,FALSE),"")</f>
        <v>day 15 fed</v>
      </c>
      <c r="E553" s="206" t="str">
        <f>IF(AND(A553&lt;&gt;"",ISNUMBER(A553)),VLOOKUP(A553,Studies!A:BR,5,FALSE),"")</f>
        <v>Itraconazole</v>
      </c>
      <c r="F553" s="207" t="str">
        <f>IF(AND(A553&lt;&gt;"",ISNUMBER(A553)),VLOOKUP(A553,Studies!A:BR,6,FALSE),"")</f>
        <v>Plasma</v>
      </c>
      <c r="G553" s="194">
        <v>792</v>
      </c>
      <c r="H553" s="194" t="s">
        <v>60</v>
      </c>
      <c r="I553" s="187">
        <v>40.559045970439911</v>
      </c>
      <c r="J553" s="187" t="s">
        <v>1026</v>
      </c>
      <c r="K553" s="187" t="s">
        <v>116</v>
      </c>
      <c r="L553" s="195"/>
      <c r="M553" s="195"/>
      <c r="N553" s="195"/>
      <c r="O553" s="199"/>
      <c r="P553" s="188"/>
      <c r="Q553" s="174">
        <f>IF(ISNUMBER(VLOOKUP(A553,NotghiID!A:A,1,FALSE)),1,0)</f>
        <v>0</v>
      </c>
    </row>
    <row r="554" spans="1:17" ht="14.25" x14ac:dyDescent="0.2">
      <c r="A554" s="183">
        <v>84</v>
      </c>
      <c r="B554" s="232" t="str">
        <f>IF(AND(A554&lt;&gt;"",ISNUMBER(A554)),VLOOKUP(A554,Studies!A:BR,2,FALSE),"")</f>
        <v>Barone 1993</v>
      </c>
      <c r="C554" s="232" t="str">
        <f>IF(AND(A554&lt;&gt;"",ISNUMBER(A554)),VLOOKUP(A554,Studies!A:BR,3,FALSE),"")</f>
        <v>https://www.ncbi.nlm.nih.gov/pubmed/8388198</v>
      </c>
      <c r="D554" s="232" t="str">
        <f>IF(AND(A554&lt;&gt;"",ISNUMBER(A554)),VLOOKUP(A554,Studies!A:BR,4,FALSE),"")</f>
        <v>day 15 fed</v>
      </c>
      <c r="E554" s="206" t="str">
        <f>IF(AND(A554&lt;&gt;"",ISNUMBER(A554)),VLOOKUP(A554,Studies!A:BR,5,FALSE),"")</f>
        <v>Hydroxy-Itraconazole</v>
      </c>
      <c r="F554" s="207" t="str">
        <f>IF(AND(A554&lt;&gt;"",ISNUMBER(A554)),VLOOKUP(A554,Studies!A:BR,6,FALSE),"")</f>
        <v>Plasma</v>
      </c>
      <c r="G554" s="194">
        <v>168</v>
      </c>
      <c r="H554" s="194" t="s">
        <v>60</v>
      </c>
      <c r="I554" s="187">
        <v>1437.150390625</v>
      </c>
      <c r="J554" s="187" t="s">
        <v>1026</v>
      </c>
      <c r="K554" s="187" t="s">
        <v>116</v>
      </c>
      <c r="L554" s="195"/>
      <c r="M554" s="195"/>
      <c r="N554" s="195"/>
      <c r="O554" s="199"/>
      <c r="P554" s="188"/>
      <c r="Q554" s="174">
        <f>IF(ISNUMBER(VLOOKUP(A554,NotghiID!A:A,1,FALSE)),1,0)</f>
        <v>0</v>
      </c>
    </row>
    <row r="555" spans="1:17" ht="14.25" x14ac:dyDescent="0.2">
      <c r="A555" s="183">
        <v>84</v>
      </c>
      <c r="B555" s="232" t="str">
        <f>IF(AND(A555&lt;&gt;"",ISNUMBER(A555)),VLOOKUP(A555,Studies!A:BR,2,FALSE),"")</f>
        <v>Barone 1993</v>
      </c>
      <c r="C555" s="232" t="str">
        <f>IF(AND(A555&lt;&gt;"",ISNUMBER(A555)),VLOOKUP(A555,Studies!A:BR,3,FALSE),"")</f>
        <v>https://www.ncbi.nlm.nih.gov/pubmed/8388198</v>
      </c>
      <c r="D555" s="232" t="str">
        <f>IF(AND(A555&lt;&gt;"",ISNUMBER(A555)),VLOOKUP(A555,Studies!A:BR,4,FALSE),"")</f>
        <v>day 15 fed</v>
      </c>
      <c r="E555" s="206" t="str">
        <f>IF(AND(A555&lt;&gt;"",ISNUMBER(A555)),VLOOKUP(A555,Studies!A:BR,5,FALSE),"")</f>
        <v>Hydroxy-Itraconazole</v>
      </c>
      <c r="F555" s="207" t="str">
        <f>IF(AND(A555&lt;&gt;"",ISNUMBER(A555)),VLOOKUP(A555,Studies!A:BR,6,FALSE),"")</f>
        <v>Plasma</v>
      </c>
      <c r="G555" s="194">
        <v>240</v>
      </c>
      <c r="H555" s="194" t="s">
        <v>60</v>
      </c>
      <c r="I555" s="187">
        <v>2324.50634765625</v>
      </c>
      <c r="J555" s="187" t="s">
        <v>1026</v>
      </c>
      <c r="K555" s="187" t="s">
        <v>116</v>
      </c>
      <c r="L555" s="195"/>
      <c r="M555" s="195"/>
      <c r="N555" s="195"/>
      <c r="O555" s="199"/>
      <c r="P555" s="188"/>
      <c r="Q555" s="174">
        <f>IF(ISNUMBER(VLOOKUP(A555,NotghiID!A:A,1,FALSE)),1,0)</f>
        <v>0</v>
      </c>
    </row>
    <row r="556" spans="1:17" ht="14.25" x14ac:dyDescent="0.2">
      <c r="A556" s="183">
        <v>84</v>
      </c>
      <c r="B556" s="232" t="str">
        <f>IF(AND(A556&lt;&gt;"",ISNUMBER(A556)),VLOOKUP(A556,Studies!A:BR,2,FALSE),"")</f>
        <v>Barone 1993</v>
      </c>
      <c r="C556" s="232" t="str">
        <f>IF(AND(A556&lt;&gt;"",ISNUMBER(A556)),VLOOKUP(A556,Studies!A:BR,3,FALSE),"")</f>
        <v>https://www.ncbi.nlm.nih.gov/pubmed/8388198</v>
      </c>
      <c r="D556" s="232" t="str">
        <f>IF(AND(A556&lt;&gt;"",ISNUMBER(A556)),VLOOKUP(A556,Studies!A:BR,4,FALSE),"")</f>
        <v>day 15 fed</v>
      </c>
      <c r="E556" s="206" t="str">
        <f>IF(AND(A556&lt;&gt;"",ISNUMBER(A556)),VLOOKUP(A556,Studies!A:BR,5,FALSE),"")</f>
        <v>Hydroxy-Itraconazole</v>
      </c>
      <c r="F556" s="207" t="str">
        <f>IF(AND(A556&lt;&gt;"",ISNUMBER(A556)),VLOOKUP(A556,Studies!A:BR,6,FALSE),"")</f>
        <v>Plasma</v>
      </c>
      <c r="G556" s="194">
        <v>312</v>
      </c>
      <c r="H556" s="194" t="s">
        <v>60</v>
      </c>
      <c r="I556" s="187">
        <v>2973.662841796875</v>
      </c>
      <c r="J556" s="187" t="s">
        <v>1026</v>
      </c>
      <c r="K556" s="187" t="s">
        <v>116</v>
      </c>
      <c r="L556" s="195"/>
      <c r="M556" s="195"/>
      <c r="N556" s="195"/>
      <c r="O556" s="199"/>
      <c r="P556" s="188"/>
      <c r="Q556" s="174">
        <f>IF(ISNUMBER(VLOOKUP(A556,NotghiID!A:A,1,FALSE)),1,0)</f>
        <v>0</v>
      </c>
    </row>
    <row r="557" spans="1:17" ht="14.25" x14ac:dyDescent="0.2">
      <c r="A557" s="183">
        <v>84</v>
      </c>
      <c r="B557" s="232" t="str">
        <f>IF(AND(A557&lt;&gt;"",ISNUMBER(A557)),VLOOKUP(A557,Studies!A:BR,2,FALSE),"")</f>
        <v>Barone 1993</v>
      </c>
      <c r="C557" s="232" t="str">
        <f>IF(AND(A557&lt;&gt;"",ISNUMBER(A557)),VLOOKUP(A557,Studies!A:BR,3,FALSE),"")</f>
        <v>https://www.ncbi.nlm.nih.gov/pubmed/8388198</v>
      </c>
      <c r="D557" s="232" t="str">
        <f>IF(AND(A557&lt;&gt;"",ISNUMBER(A557)),VLOOKUP(A557,Studies!A:BR,4,FALSE),"")</f>
        <v>day 15 fed</v>
      </c>
      <c r="E557" s="206" t="str">
        <f>IF(AND(A557&lt;&gt;"",ISNUMBER(A557)),VLOOKUP(A557,Studies!A:BR,5,FALSE),"")</f>
        <v>Hydroxy-Itraconazole</v>
      </c>
      <c r="F557" s="207" t="str">
        <f>IF(AND(A557&lt;&gt;"",ISNUMBER(A557)),VLOOKUP(A557,Studies!A:BR,6,FALSE),"")</f>
        <v>Plasma</v>
      </c>
      <c r="G557" s="194">
        <v>384</v>
      </c>
      <c r="H557" s="194" t="s">
        <v>60</v>
      </c>
      <c r="I557" s="187">
        <v>3423.0419921875</v>
      </c>
      <c r="J557" s="187" t="s">
        <v>1026</v>
      </c>
      <c r="K557" s="187" t="s">
        <v>116</v>
      </c>
      <c r="L557" s="195"/>
      <c r="M557" s="195"/>
      <c r="N557" s="195"/>
      <c r="O557" s="199"/>
      <c r="P557" s="188"/>
      <c r="Q557" s="174">
        <f>IF(ISNUMBER(VLOOKUP(A557,NotghiID!A:A,1,FALSE)),1,0)</f>
        <v>0</v>
      </c>
    </row>
    <row r="558" spans="1:17" ht="14.25" x14ac:dyDescent="0.2">
      <c r="A558" s="183">
        <v>84</v>
      </c>
      <c r="B558" s="232" t="str">
        <f>IF(AND(A558&lt;&gt;"",ISNUMBER(A558)),VLOOKUP(A558,Studies!A:BR,2,FALSE),"")</f>
        <v>Barone 1993</v>
      </c>
      <c r="C558" s="232" t="str">
        <f>IF(AND(A558&lt;&gt;"",ISNUMBER(A558)),VLOOKUP(A558,Studies!A:BR,3,FALSE),"")</f>
        <v>https://www.ncbi.nlm.nih.gov/pubmed/8388198</v>
      </c>
      <c r="D558" s="232" t="str">
        <f>IF(AND(A558&lt;&gt;"",ISNUMBER(A558)),VLOOKUP(A558,Studies!A:BR,4,FALSE),"")</f>
        <v>day 15 fed</v>
      </c>
      <c r="E558" s="206" t="str">
        <f>IF(AND(A558&lt;&gt;"",ISNUMBER(A558)),VLOOKUP(A558,Studies!A:BR,5,FALSE),"")</f>
        <v>Hydroxy-Itraconazole</v>
      </c>
      <c r="F558" s="207" t="str">
        <f>IF(AND(A558&lt;&gt;"",ISNUMBER(A558)),VLOOKUP(A558,Studies!A:BR,6,FALSE),"")</f>
        <v>Plasma</v>
      </c>
      <c r="G558" s="194">
        <v>408</v>
      </c>
      <c r="H558" s="194" t="s">
        <v>60</v>
      </c>
      <c r="I558" s="187">
        <v>3545.621337890625</v>
      </c>
      <c r="J558" s="187" t="s">
        <v>1026</v>
      </c>
      <c r="K558" s="187" t="s">
        <v>116</v>
      </c>
      <c r="L558" s="195"/>
      <c r="M558" s="195"/>
      <c r="N558" s="195"/>
      <c r="O558" s="199"/>
      <c r="P558" s="188"/>
      <c r="Q558" s="174">
        <f>IF(ISNUMBER(VLOOKUP(A558,NotghiID!A:A,1,FALSE)),1,0)</f>
        <v>0</v>
      </c>
    </row>
    <row r="559" spans="1:17" ht="14.25" x14ac:dyDescent="0.2">
      <c r="A559" s="183">
        <v>84</v>
      </c>
      <c r="B559" s="232" t="str">
        <f>IF(AND(A559&lt;&gt;"",ISNUMBER(A559)),VLOOKUP(A559,Studies!A:BR,2,FALSE),"")</f>
        <v>Barone 1993</v>
      </c>
      <c r="C559" s="232" t="str">
        <f>IF(AND(A559&lt;&gt;"",ISNUMBER(A559)),VLOOKUP(A559,Studies!A:BR,3,FALSE),"")</f>
        <v>https://www.ncbi.nlm.nih.gov/pubmed/8388198</v>
      </c>
      <c r="D559" s="232" t="str">
        <f>IF(AND(A559&lt;&gt;"",ISNUMBER(A559)),VLOOKUP(A559,Studies!A:BR,4,FALSE),"")</f>
        <v>day 15 fed</v>
      </c>
      <c r="E559" s="206" t="str">
        <f>IF(AND(A559&lt;&gt;"",ISNUMBER(A559)),VLOOKUP(A559,Studies!A:BR,5,FALSE),"")</f>
        <v>Hydroxy-Itraconazole</v>
      </c>
      <c r="F559" s="207" t="str">
        <f>IF(AND(A559&lt;&gt;"",ISNUMBER(A559)),VLOOKUP(A559,Studies!A:BR,6,FALSE),"")</f>
        <v>Plasma</v>
      </c>
      <c r="G559" s="194">
        <v>432</v>
      </c>
      <c r="H559" s="194" t="s">
        <v>60</v>
      </c>
      <c r="I559" s="187">
        <v>3266.169677734375</v>
      </c>
      <c r="J559" s="187" t="s">
        <v>1026</v>
      </c>
      <c r="K559" s="187" t="s">
        <v>116</v>
      </c>
      <c r="L559" s="195"/>
      <c r="M559" s="195"/>
      <c r="N559" s="195"/>
      <c r="O559" s="199"/>
      <c r="P559" s="188"/>
      <c r="Q559" s="174">
        <f>IF(ISNUMBER(VLOOKUP(A559,NotghiID!A:A,1,FALSE)),1,0)</f>
        <v>0</v>
      </c>
    </row>
    <row r="560" spans="1:17" ht="14.25" x14ac:dyDescent="0.2">
      <c r="A560" s="183">
        <v>84</v>
      </c>
      <c r="B560" s="232" t="str">
        <f>IF(AND(A560&lt;&gt;"",ISNUMBER(A560)),VLOOKUP(A560,Studies!A:BR,2,FALSE),"")</f>
        <v>Barone 1993</v>
      </c>
      <c r="C560" s="232" t="str">
        <f>IF(AND(A560&lt;&gt;"",ISNUMBER(A560)),VLOOKUP(A560,Studies!A:BR,3,FALSE),"")</f>
        <v>https://www.ncbi.nlm.nih.gov/pubmed/8388198</v>
      </c>
      <c r="D560" s="232" t="str">
        <f>IF(AND(A560&lt;&gt;"",ISNUMBER(A560)),VLOOKUP(A560,Studies!A:BR,4,FALSE),"")</f>
        <v>day 15 fed</v>
      </c>
      <c r="E560" s="206" t="str">
        <f>IF(AND(A560&lt;&gt;"",ISNUMBER(A560)),VLOOKUP(A560,Studies!A:BR,5,FALSE),"")</f>
        <v>Hydroxy-Itraconazole</v>
      </c>
      <c r="F560" s="207" t="str">
        <f>IF(AND(A560&lt;&gt;"",ISNUMBER(A560)),VLOOKUP(A560,Studies!A:BR,6,FALSE),"")</f>
        <v>Plasma</v>
      </c>
      <c r="G560" s="194">
        <v>435</v>
      </c>
      <c r="H560" s="194" t="s">
        <v>60</v>
      </c>
      <c r="I560" s="187">
        <v>3304.70068359375</v>
      </c>
      <c r="J560" s="187" t="s">
        <v>1026</v>
      </c>
      <c r="K560" s="187" t="s">
        <v>116</v>
      </c>
      <c r="L560" s="195"/>
      <c r="M560" s="195"/>
      <c r="N560" s="195"/>
      <c r="O560" s="199"/>
      <c r="P560" s="188"/>
      <c r="Q560" s="174">
        <f>IF(ISNUMBER(VLOOKUP(A560,NotghiID!A:A,1,FALSE)),1,0)</f>
        <v>0</v>
      </c>
    </row>
    <row r="561" spans="1:17" ht="14.25" x14ac:dyDescent="0.2">
      <c r="A561" s="183">
        <v>84</v>
      </c>
      <c r="B561" s="232" t="str">
        <f>IF(AND(A561&lt;&gt;"",ISNUMBER(A561)),VLOOKUP(A561,Studies!A:BR,2,FALSE),"")</f>
        <v>Barone 1993</v>
      </c>
      <c r="C561" s="232" t="str">
        <f>IF(AND(A561&lt;&gt;"",ISNUMBER(A561)),VLOOKUP(A561,Studies!A:BR,3,FALSE),"")</f>
        <v>https://www.ncbi.nlm.nih.gov/pubmed/8388198</v>
      </c>
      <c r="D561" s="232" t="str">
        <f>IF(AND(A561&lt;&gt;"",ISNUMBER(A561)),VLOOKUP(A561,Studies!A:BR,4,FALSE),"")</f>
        <v>day 15 fed</v>
      </c>
      <c r="E561" s="206" t="str">
        <f>IF(AND(A561&lt;&gt;"",ISNUMBER(A561)),VLOOKUP(A561,Studies!A:BR,5,FALSE),"")</f>
        <v>Hydroxy-Itraconazole</v>
      </c>
      <c r="F561" s="207" t="str">
        <f>IF(AND(A561&lt;&gt;"",ISNUMBER(A561)),VLOOKUP(A561,Studies!A:BR,6,FALSE),"")</f>
        <v>Plasma</v>
      </c>
      <c r="G561" s="194">
        <v>438</v>
      </c>
      <c r="H561" s="194" t="s">
        <v>60</v>
      </c>
      <c r="I561" s="187">
        <v>3304.70068359375</v>
      </c>
      <c r="J561" s="187" t="s">
        <v>1026</v>
      </c>
      <c r="K561" s="187" t="s">
        <v>116</v>
      </c>
      <c r="L561" s="195"/>
      <c r="M561" s="195"/>
      <c r="N561" s="195"/>
      <c r="O561" s="199"/>
      <c r="P561" s="188"/>
      <c r="Q561" s="174">
        <f>IF(ISNUMBER(VLOOKUP(A561,NotghiID!A:A,1,FALSE)),1,0)</f>
        <v>0</v>
      </c>
    </row>
    <row r="562" spans="1:17" ht="14.25" x14ac:dyDescent="0.2">
      <c r="A562" s="183">
        <v>84</v>
      </c>
      <c r="B562" s="232" t="str">
        <f>IF(AND(A562&lt;&gt;"",ISNUMBER(A562)),VLOOKUP(A562,Studies!A:BR,2,FALSE),"")</f>
        <v>Barone 1993</v>
      </c>
      <c r="C562" s="232" t="str">
        <f>IF(AND(A562&lt;&gt;"",ISNUMBER(A562)),VLOOKUP(A562,Studies!A:BR,3,FALSE),"")</f>
        <v>https://www.ncbi.nlm.nih.gov/pubmed/8388198</v>
      </c>
      <c r="D562" s="232" t="str">
        <f>IF(AND(A562&lt;&gt;"",ISNUMBER(A562)),VLOOKUP(A562,Studies!A:BR,4,FALSE),"")</f>
        <v>day 15 fed</v>
      </c>
      <c r="E562" s="206" t="str">
        <f>IF(AND(A562&lt;&gt;"",ISNUMBER(A562)),VLOOKUP(A562,Studies!A:BR,5,FALSE),"")</f>
        <v>Hydroxy-Itraconazole</v>
      </c>
      <c r="F562" s="207" t="str">
        <f>IF(AND(A562&lt;&gt;"",ISNUMBER(A562)),VLOOKUP(A562,Studies!A:BR,6,FALSE),"")</f>
        <v>Plasma</v>
      </c>
      <c r="G562" s="194">
        <v>444</v>
      </c>
      <c r="H562" s="194" t="s">
        <v>60</v>
      </c>
      <c r="I562" s="187">
        <v>3190.450439453125</v>
      </c>
      <c r="J562" s="187" t="s">
        <v>1026</v>
      </c>
      <c r="K562" s="187" t="s">
        <v>116</v>
      </c>
      <c r="L562" s="195"/>
      <c r="M562" s="195"/>
      <c r="N562" s="195"/>
      <c r="O562" s="199"/>
      <c r="P562" s="188"/>
      <c r="Q562" s="174">
        <f>IF(ISNUMBER(VLOOKUP(A562,NotghiID!A:A,1,FALSE)),1,0)</f>
        <v>0</v>
      </c>
    </row>
    <row r="563" spans="1:17" ht="14.25" x14ac:dyDescent="0.2">
      <c r="A563" s="183">
        <v>84</v>
      </c>
      <c r="B563" s="232" t="str">
        <f>IF(AND(A563&lt;&gt;"",ISNUMBER(A563)),VLOOKUP(A563,Studies!A:BR,2,FALSE),"")</f>
        <v>Barone 1993</v>
      </c>
      <c r="C563" s="232" t="str">
        <f>IF(AND(A563&lt;&gt;"",ISNUMBER(A563)),VLOOKUP(A563,Studies!A:BR,3,FALSE),"")</f>
        <v>https://www.ncbi.nlm.nih.gov/pubmed/8388198</v>
      </c>
      <c r="D563" s="232" t="str">
        <f>IF(AND(A563&lt;&gt;"",ISNUMBER(A563)),VLOOKUP(A563,Studies!A:BR,4,FALSE),"")</f>
        <v>day 15 fed</v>
      </c>
      <c r="E563" s="206" t="str">
        <f>IF(AND(A563&lt;&gt;"",ISNUMBER(A563)),VLOOKUP(A563,Studies!A:BR,5,FALSE),"")</f>
        <v>Hydroxy-Itraconazole</v>
      </c>
      <c r="F563" s="207" t="str">
        <f>IF(AND(A563&lt;&gt;"",ISNUMBER(A563)),VLOOKUP(A563,Studies!A:BR,6,FALSE),"")</f>
        <v>Plasma</v>
      </c>
      <c r="G563" s="194">
        <v>456</v>
      </c>
      <c r="H563" s="194" t="s">
        <v>60</v>
      </c>
      <c r="I563" s="187">
        <v>3044.2373046875</v>
      </c>
      <c r="J563" s="187" t="s">
        <v>1026</v>
      </c>
      <c r="K563" s="187" t="s">
        <v>116</v>
      </c>
      <c r="L563" s="195"/>
      <c r="M563" s="195"/>
      <c r="N563" s="195"/>
      <c r="O563" s="199"/>
      <c r="P563" s="188"/>
      <c r="Q563" s="174">
        <f>IF(ISNUMBER(VLOOKUP(A563,NotghiID!A:A,1,FALSE)),1,0)</f>
        <v>0</v>
      </c>
    </row>
    <row r="564" spans="1:17" ht="14.25" x14ac:dyDescent="0.2">
      <c r="A564" s="183">
        <v>84</v>
      </c>
      <c r="B564" s="232" t="str">
        <f>IF(AND(A564&lt;&gt;"",ISNUMBER(A564)),VLOOKUP(A564,Studies!A:BR,2,FALSE),"")</f>
        <v>Barone 1993</v>
      </c>
      <c r="C564" s="232" t="str">
        <f>IF(AND(A564&lt;&gt;"",ISNUMBER(A564)),VLOOKUP(A564,Studies!A:BR,3,FALSE),"")</f>
        <v>https://www.ncbi.nlm.nih.gov/pubmed/8388198</v>
      </c>
      <c r="D564" s="232" t="str">
        <f>IF(AND(A564&lt;&gt;"",ISNUMBER(A564)),VLOOKUP(A564,Studies!A:BR,4,FALSE),"")</f>
        <v>day 15 fed</v>
      </c>
      <c r="E564" s="206" t="str">
        <f>IF(AND(A564&lt;&gt;"",ISNUMBER(A564)),VLOOKUP(A564,Studies!A:BR,5,FALSE),"")</f>
        <v>Hydroxy-Itraconazole</v>
      </c>
      <c r="F564" s="207" t="str">
        <f>IF(AND(A564&lt;&gt;"",ISNUMBER(A564)),VLOOKUP(A564,Studies!A:BR,6,FALSE),"")</f>
        <v>Plasma</v>
      </c>
      <c r="G564" s="194">
        <v>468</v>
      </c>
      <c r="H564" s="194" t="s">
        <v>60</v>
      </c>
      <c r="I564" s="187">
        <v>2938.991943359375</v>
      </c>
      <c r="J564" s="187" t="s">
        <v>1026</v>
      </c>
      <c r="K564" s="187" t="s">
        <v>116</v>
      </c>
      <c r="L564" s="195"/>
      <c r="M564" s="195"/>
      <c r="N564" s="195"/>
      <c r="O564" s="199"/>
      <c r="P564" s="188"/>
      <c r="Q564" s="174">
        <f>IF(ISNUMBER(VLOOKUP(A564,NotghiID!A:A,1,FALSE)),1,0)</f>
        <v>0</v>
      </c>
    </row>
    <row r="565" spans="1:17" ht="14.25" x14ac:dyDescent="0.2">
      <c r="A565" s="183">
        <v>84</v>
      </c>
      <c r="B565" s="232" t="str">
        <f>IF(AND(A565&lt;&gt;"",ISNUMBER(A565)),VLOOKUP(A565,Studies!A:BR,2,FALSE),"")</f>
        <v>Barone 1993</v>
      </c>
      <c r="C565" s="232" t="str">
        <f>IF(AND(A565&lt;&gt;"",ISNUMBER(A565)),VLOOKUP(A565,Studies!A:BR,3,FALSE),"")</f>
        <v>https://www.ncbi.nlm.nih.gov/pubmed/8388198</v>
      </c>
      <c r="D565" s="232" t="str">
        <f>IF(AND(A565&lt;&gt;"",ISNUMBER(A565)),VLOOKUP(A565,Studies!A:BR,4,FALSE),"")</f>
        <v>day 15 fed</v>
      </c>
      <c r="E565" s="206" t="str">
        <f>IF(AND(A565&lt;&gt;"",ISNUMBER(A565)),VLOOKUP(A565,Studies!A:BR,5,FALSE),"")</f>
        <v>Hydroxy-Itraconazole</v>
      </c>
      <c r="F565" s="207" t="str">
        <f>IF(AND(A565&lt;&gt;"",ISNUMBER(A565)),VLOOKUP(A565,Studies!A:BR,6,FALSE),"")</f>
        <v>Plasma</v>
      </c>
      <c r="G565" s="194">
        <v>480</v>
      </c>
      <c r="H565" s="194" t="s">
        <v>60</v>
      </c>
      <c r="I565" s="187">
        <v>2707.351318359375</v>
      </c>
      <c r="J565" s="187" t="s">
        <v>1026</v>
      </c>
      <c r="K565" s="187" t="s">
        <v>116</v>
      </c>
      <c r="L565" s="195"/>
      <c r="M565" s="195"/>
      <c r="N565" s="195"/>
      <c r="O565" s="199"/>
      <c r="P565" s="188"/>
      <c r="Q565" s="174">
        <f>IF(ISNUMBER(VLOOKUP(A565,NotghiID!A:A,1,FALSE)),1,0)</f>
        <v>0</v>
      </c>
    </row>
    <row r="566" spans="1:17" ht="14.25" x14ac:dyDescent="0.2">
      <c r="A566" s="183">
        <v>84</v>
      </c>
      <c r="B566" s="232" t="str">
        <f>IF(AND(A566&lt;&gt;"",ISNUMBER(A566)),VLOOKUP(A566,Studies!A:BR,2,FALSE),"")</f>
        <v>Barone 1993</v>
      </c>
      <c r="C566" s="232" t="str">
        <f>IF(AND(A566&lt;&gt;"",ISNUMBER(A566)),VLOOKUP(A566,Studies!A:BR,3,FALSE),"")</f>
        <v>https://www.ncbi.nlm.nih.gov/pubmed/8388198</v>
      </c>
      <c r="D566" s="232" t="str">
        <f>IF(AND(A566&lt;&gt;"",ISNUMBER(A566)),VLOOKUP(A566,Studies!A:BR,4,FALSE),"")</f>
        <v>day 15 fed</v>
      </c>
      <c r="E566" s="206" t="str">
        <f>IF(AND(A566&lt;&gt;"",ISNUMBER(A566)),VLOOKUP(A566,Studies!A:BR,5,FALSE),"")</f>
        <v>Hydroxy-Itraconazole</v>
      </c>
      <c r="F566" s="207" t="str">
        <f>IF(AND(A566&lt;&gt;"",ISNUMBER(A566)),VLOOKUP(A566,Studies!A:BR,6,FALSE),"")</f>
        <v>Plasma</v>
      </c>
      <c r="G566" s="194">
        <v>504</v>
      </c>
      <c r="H566" s="194" t="s">
        <v>60</v>
      </c>
      <c r="I566" s="187">
        <v>2436.151123046875</v>
      </c>
      <c r="J566" s="187" t="s">
        <v>1026</v>
      </c>
      <c r="K566" s="187" t="s">
        <v>116</v>
      </c>
      <c r="L566" s="195"/>
      <c r="M566" s="195"/>
      <c r="N566" s="195"/>
      <c r="O566" s="199"/>
      <c r="P566" s="188"/>
      <c r="Q566" s="174">
        <f>IF(ISNUMBER(VLOOKUP(A566,NotghiID!A:A,1,FALSE)),1,0)</f>
        <v>0</v>
      </c>
    </row>
    <row r="567" spans="1:17" ht="14.25" x14ac:dyDescent="0.2">
      <c r="A567" s="183">
        <v>84</v>
      </c>
      <c r="B567" s="232" t="str">
        <f>IF(AND(A567&lt;&gt;"",ISNUMBER(A567)),VLOOKUP(A567,Studies!A:BR,2,FALSE),"")</f>
        <v>Barone 1993</v>
      </c>
      <c r="C567" s="232" t="str">
        <f>IF(AND(A567&lt;&gt;"",ISNUMBER(A567)),VLOOKUP(A567,Studies!A:BR,3,FALSE),"")</f>
        <v>https://www.ncbi.nlm.nih.gov/pubmed/8388198</v>
      </c>
      <c r="D567" s="232" t="str">
        <f>IF(AND(A567&lt;&gt;"",ISNUMBER(A567)),VLOOKUP(A567,Studies!A:BR,4,FALSE),"")</f>
        <v>day 15 fed</v>
      </c>
      <c r="E567" s="206" t="str">
        <f>IF(AND(A567&lt;&gt;"",ISNUMBER(A567)),VLOOKUP(A567,Studies!A:BR,5,FALSE),"")</f>
        <v>Hydroxy-Itraconazole</v>
      </c>
      <c r="F567" s="207" t="str">
        <f>IF(AND(A567&lt;&gt;"",ISNUMBER(A567)),VLOOKUP(A567,Studies!A:BR,6,FALSE),"")</f>
        <v>Plasma</v>
      </c>
      <c r="G567" s="194">
        <v>528</v>
      </c>
      <c r="H567" s="194" t="s">
        <v>60</v>
      </c>
      <c r="I567" s="187">
        <v>1972.5286865234375</v>
      </c>
      <c r="J567" s="187" t="s">
        <v>1026</v>
      </c>
      <c r="K567" s="187" t="s">
        <v>116</v>
      </c>
      <c r="L567" s="195"/>
      <c r="M567" s="195"/>
      <c r="N567" s="195"/>
      <c r="O567" s="199"/>
      <c r="P567" s="188"/>
      <c r="Q567" s="174">
        <f>IF(ISNUMBER(VLOOKUP(A567,NotghiID!A:A,1,FALSE)),1,0)</f>
        <v>0</v>
      </c>
    </row>
    <row r="568" spans="1:17" ht="14.25" x14ac:dyDescent="0.2">
      <c r="A568" s="183">
        <v>84</v>
      </c>
      <c r="B568" s="232" t="str">
        <f>IF(AND(A568&lt;&gt;"",ISNUMBER(A568)),VLOOKUP(A568,Studies!A:BR,2,FALSE),"")</f>
        <v>Barone 1993</v>
      </c>
      <c r="C568" s="232" t="str">
        <f>IF(AND(A568&lt;&gt;"",ISNUMBER(A568)),VLOOKUP(A568,Studies!A:BR,3,FALSE),"")</f>
        <v>https://www.ncbi.nlm.nih.gov/pubmed/8388198</v>
      </c>
      <c r="D568" s="232" t="str">
        <f>IF(AND(A568&lt;&gt;"",ISNUMBER(A568)),VLOOKUP(A568,Studies!A:BR,4,FALSE),"")</f>
        <v>day 15 fed</v>
      </c>
      <c r="E568" s="206" t="str">
        <f>IF(AND(A568&lt;&gt;"",ISNUMBER(A568)),VLOOKUP(A568,Studies!A:BR,5,FALSE),"")</f>
        <v>Hydroxy-Itraconazole</v>
      </c>
      <c r="F568" s="207" t="str">
        <f>IF(AND(A568&lt;&gt;"",ISNUMBER(A568)),VLOOKUP(A568,Studies!A:BR,6,FALSE),"")</f>
        <v>Plasma</v>
      </c>
      <c r="G568" s="194">
        <v>600</v>
      </c>
      <c r="H568" s="194" t="s">
        <v>60</v>
      </c>
      <c r="I568" s="187">
        <v>909.62066650390625</v>
      </c>
      <c r="J568" s="187" t="s">
        <v>1026</v>
      </c>
      <c r="K568" s="187" t="s">
        <v>116</v>
      </c>
      <c r="L568" s="195"/>
      <c r="M568" s="195"/>
      <c r="N568" s="195"/>
      <c r="O568" s="199"/>
      <c r="P568" s="188"/>
      <c r="Q568" s="174">
        <f>IF(ISNUMBER(VLOOKUP(A568,NotghiID!A:A,1,FALSE)),1,0)</f>
        <v>0</v>
      </c>
    </row>
    <row r="569" spans="1:17" ht="14.25" x14ac:dyDescent="0.2">
      <c r="A569" s="183">
        <v>84</v>
      </c>
      <c r="B569" s="232" t="str">
        <f>IF(AND(A569&lt;&gt;"",ISNUMBER(A569)),VLOOKUP(A569,Studies!A:BR,2,FALSE),"")</f>
        <v>Barone 1993</v>
      </c>
      <c r="C569" s="232" t="str">
        <f>IF(AND(A569&lt;&gt;"",ISNUMBER(A569)),VLOOKUP(A569,Studies!A:BR,3,FALSE),"")</f>
        <v>https://www.ncbi.nlm.nih.gov/pubmed/8388198</v>
      </c>
      <c r="D569" s="232" t="str">
        <f>IF(AND(A569&lt;&gt;"",ISNUMBER(A569)),VLOOKUP(A569,Studies!A:BR,4,FALSE),"")</f>
        <v>day 15 fed</v>
      </c>
      <c r="E569" s="206" t="str">
        <f>IF(AND(A569&lt;&gt;"",ISNUMBER(A569)),VLOOKUP(A569,Studies!A:BR,5,FALSE),"")</f>
        <v>Hydroxy-Itraconazole</v>
      </c>
      <c r="F569" s="207" t="str">
        <f>IF(AND(A569&lt;&gt;"",ISNUMBER(A569)),VLOOKUP(A569,Studies!A:BR,6,FALSE),"")</f>
        <v>Plasma</v>
      </c>
      <c r="G569" s="194">
        <v>672</v>
      </c>
      <c r="H569" s="194" t="s">
        <v>60</v>
      </c>
      <c r="I569" s="187">
        <v>262.39907836914063</v>
      </c>
      <c r="J569" s="187" t="s">
        <v>1026</v>
      </c>
      <c r="K569" s="187" t="s">
        <v>116</v>
      </c>
      <c r="L569" s="195"/>
      <c r="M569" s="195"/>
      <c r="N569" s="195"/>
      <c r="O569" s="199"/>
      <c r="P569" s="188"/>
      <c r="Q569" s="174">
        <f>IF(ISNUMBER(VLOOKUP(A569,NotghiID!A:A,1,FALSE)),1,0)</f>
        <v>0</v>
      </c>
    </row>
    <row r="570" spans="1:17" ht="14.25" x14ac:dyDescent="0.2">
      <c r="A570" s="183">
        <v>84</v>
      </c>
      <c r="B570" s="232" t="str">
        <f>IF(AND(A570&lt;&gt;"",ISNUMBER(A570)),VLOOKUP(A570,Studies!A:BR,2,FALSE),"")</f>
        <v>Barone 1993</v>
      </c>
      <c r="C570" s="232" t="str">
        <f>IF(AND(A570&lt;&gt;"",ISNUMBER(A570)),VLOOKUP(A570,Studies!A:BR,3,FALSE),"")</f>
        <v>https://www.ncbi.nlm.nih.gov/pubmed/8388198</v>
      </c>
      <c r="D570" s="232" t="str">
        <f>IF(AND(A570&lt;&gt;"",ISNUMBER(A570)),VLOOKUP(A570,Studies!A:BR,4,FALSE),"")</f>
        <v>day 15 fed</v>
      </c>
      <c r="E570" s="206" t="str">
        <f>IF(AND(A570&lt;&gt;"",ISNUMBER(A570)),VLOOKUP(A570,Studies!A:BR,5,FALSE),"")</f>
        <v>Hydroxy-Itraconazole</v>
      </c>
      <c r="F570" s="207" t="str">
        <f>IF(AND(A570&lt;&gt;"",ISNUMBER(A570)),VLOOKUP(A570,Studies!A:BR,6,FALSE),"")</f>
        <v>Plasma</v>
      </c>
      <c r="G570" s="194">
        <v>792</v>
      </c>
      <c r="H570" s="194" t="s">
        <v>60</v>
      </c>
      <c r="I570" s="187">
        <v>41.619976043701172</v>
      </c>
      <c r="J570" s="187" t="s">
        <v>1026</v>
      </c>
      <c r="K570" s="187" t="s">
        <v>116</v>
      </c>
      <c r="L570" s="195"/>
      <c r="M570" s="195"/>
      <c r="N570" s="195"/>
      <c r="O570" s="199"/>
      <c r="P570" s="188"/>
      <c r="Q570" s="174">
        <f>IF(ISNUMBER(VLOOKUP(A570,NotghiID!A:A,1,FALSE)),1,0)</f>
        <v>0</v>
      </c>
    </row>
    <row r="571" spans="1:17" ht="14.25" x14ac:dyDescent="0.2">
      <c r="A571" s="183">
        <v>85</v>
      </c>
      <c r="B571" s="232" t="str">
        <f>IF(AND(A571&lt;&gt;"",ISNUMBER(A571)),VLOOKUP(A571,Studies!A:BR,2,FALSE),"")</f>
        <v>Barone 1998a</v>
      </c>
      <c r="C571" s="232" t="str">
        <f>IF(AND(A571&lt;&gt;"",ISNUMBER(A571)),VLOOKUP(A571,Studies!A:BR,3,FALSE),"")</f>
        <v>https://www.ncbi.nlm.nih.gov/pubmed/9545149</v>
      </c>
      <c r="D571" s="232" t="str">
        <f>IF(AND(A571&lt;&gt;"",ISNUMBER(A571)),VLOOKUP(A571,Studies!A:BR,4,FALSE),"")</f>
        <v>day 1 fasted</v>
      </c>
      <c r="E571" s="206" t="str">
        <f>IF(AND(A571&lt;&gt;"",ISNUMBER(A571)),VLOOKUP(A571,Studies!A:BR,5,FALSE),"")</f>
        <v>Itraconazole</v>
      </c>
      <c r="F571" s="207" t="str">
        <f>IF(AND(A571&lt;&gt;"",ISNUMBER(A571)),VLOOKUP(A571,Studies!A:BR,6,FALSE),"")</f>
        <v>Plasma</v>
      </c>
      <c r="G571" s="194">
        <v>0.5</v>
      </c>
      <c r="H571" s="194" t="s">
        <v>60</v>
      </c>
      <c r="I571" s="187">
        <v>99.518075585365295</v>
      </c>
      <c r="J571" s="187" t="s">
        <v>1026</v>
      </c>
      <c r="K571" s="187" t="s">
        <v>116</v>
      </c>
      <c r="L571" s="195"/>
      <c r="M571" s="195"/>
      <c r="N571" s="195"/>
      <c r="O571" s="199"/>
      <c r="P571" s="188"/>
      <c r="Q571" s="174">
        <f>IF(ISNUMBER(VLOOKUP(A571,NotghiID!A:A,1,FALSE)),1,0)</f>
        <v>0</v>
      </c>
    </row>
    <row r="572" spans="1:17" ht="14.25" x14ac:dyDescent="0.2">
      <c r="A572" s="183">
        <v>85</v>
      </c>
      <c r="B572" s="232" t="str">
        <f>IF(AND(A572&lt;&gt;"",ISNUMBER(A572)),VLOOKUP(A572,Studies!A:BR,2,FALSE),"")</f>
        <v>Barone 1998a</v>
      </c>
      <c r="C572" s="232" t="str">
        <f>IF(AND(A572&lt;&gt;"",ISNUMBER(A572)),VLOOKUP(A572,Studies!A:BR,3,FALSE),"")</f>
        <v>https://www.ncbi.nlm.nih.gov/pubmed/9545149</v>
      </c>
      <c r="D572" s="232" t="str">
        <f>IF(AND(A572&lt;&gt;"",ISNUMBER(A572)),VLOOKUP(A572,Studies!A:BR,4,FALSE),"")</f>
        <v>day 1 fasted</v>
      </c>
      <c r="E572" s="206" t="str">
        <f>IF(AND(A572&lt;&gt;"",ISNUMBER(A572)),VLOOKUP(A572,Studies!A:BR,5,FALSE),"")</f>
        <v>Itraconazole</v>
      </c>
      <c r="F572" s="207" t="str">
        <f>IF(AND(A572&lt;&gt;"",ISNUMBER(A572)),VLOOKUP(A572,Studies!A:BR,6,FALSE),"")</f>
        <v>Plasma</v>
      </c>
      <c r="G572" s="194">
        <v>1</v>
      </c>
      <c r="H572" s="194" t="s">
        <v>60</v>
      </c>
      <c r="I572" s="187">
        <v>381.20481371879578</v>
      </c>
      <c r="J572" s="187" t="s">
        <v>1026</v>
      </c>
      <c r="K572" s="187" t="s">
        <v>116</v>
      </c>
      <c r="L572" s="195"/>
      <c r="M572" s="195"/>
      <c r="N572" s="195"/>
      <c r="O572" s="199"/>
      <c r="P572" s="188"/>
      <c r="Q572" s="174">
        <f>IF(ISNUMBER(VLOOKUP(A572,NotghiID!A:A,1,FALSE)),1,0)</f>
        <v>0</v>
      </c>
    </row>
    <row r="573" spans="1:17" ht="14.25" x14ac:dyDescent="0.2">
      <c r="A573" s="183">
        <v>85</v>
      </c>
      <c r="B573" s="232" t="str">
        <f>IF(AND(A573&lt;&gt;"",ISNUMBER(A573)),VLOOKUP(A573,Studies!A:BR,2,FALSE),"")</f>
        <v>Barone 1998a</v>
      </c>
      <c r="C573" s="232" t="str">
        <f>IF(AND(A573&lt;&gt;"",ISNUMBER(A573)),VLOOKUP(A573,Studies!A:BR,3,FALSE),"")</f>
        <v>https://www.ncbi.nlm.nih.gov/pubmed/9545149</v>
      </c>
      <c r="D573" s="232" t="str">
        <f>IF(AND(A573&lt;&gt;"",ISNUMBER(A573)),VLOOKUP(A573,Studies!A:BR,4,FALSE),"")</f>
        <v>day 1 fasted</v>
      </c>
      <c r="E573" s="206" t="str">
        <f>IF(AND(A573&lt;&gt;"",ISNUMBER(A573)),VLOOKUP(A573,Studies!A:BR,5,FALSE),"")</f>
        <v>Itraconazole</v>
      </c>
      <c r="F573" s="207" t="str">
        <f>IF(AND(A573&lt;&gt;"",ISNUMBER(A573)),VLOOKUP(A573,Studies!A:BR,6,FALSE),"")</f>
        <v>Plasma</v>
      </c>
      <c r="G573" s="194">
        <v>2</v>
      </c>
      <c r="H573" s="194" t="s">
        <v>60</v>
      </c>
      <c r="I573" s="187">
        <v>533.0120325088501</v>
      </c>
      <c r="J573" s="187" t="s">
        <v>1026</v>
      </c>
      <c r="K573" s="187" t="s">
        <v>116</v>
      </c>
      <c r="L573" s="195"/>
      <c r="M573" s="195"/>
      <c r="N573" s="195"/>
      <c r="O573" s="199"/>
      <c r="P573" s="188"/>
      <c r="Q573" s="174">
        <f>IF(ISNUMBER(VLOOKUP(A573,NotghiID!A:A,1,FALSE)),1,0)</f>
        <v>0</v>
      </c>
    </row>
    <row r="574" spans="1:17" ht="14.25" x14ac:dyDescent="0.2">
      <c r="A574" s="183">
        <v>85</v>
      </c>
      <c r="B574" s="232" t="str">
        <f>IF(AND(A574&lt;&gt;"",ISNUMBER(A574)),VLOOKUP(A574,Studies!A:BR,2,FALSE),"")</f>
        <v>Barone 1998a</v>
      </c>
      <c r="C574" s="232" t="str">
        <f>IF(AND(A574&lt;&gt;"",ISNUMBER(A574)),VLOOKUP(A574,Studies!A:BR,3,FALSE),"")</f>
        <v>https://www.ncbi.nlm.nih.gov/pubmed/9545149</v>
      </c>
      <c r="D574" s="232" t="str">
        <f>IF(AND(A574&lt;&gt;"",ISNUMBER(A574)),VLOOKUP(A574,Studies!A:BR,4,FALSE),"")</f>
        <v>day 1 fasted</v>
      </c>
      <c r="E574" s="206" t="str">
        <f>IF(AND(A574&lt;&gt;"",ISNUMBER(A574)),VLOOKUP(A574,Studies!A:BR,5,FALSE),"")</f>
        <v>Itraconazole</v>
      </c>
      <c r="F574" s="207" t="str">
        <f>IF(AND(A574&lt;&gt;"",ISNUMBER(A574)),VLOOKUP(A574,Studies!A:BR,6,FALSE),"")</f>
        <v>Plasma</v>
      </c>
      <c r="G574" s="194">
        <v>3</v>
      </c>
      <c r="H574" s="194" t="s">
        <v>60</v>
      </c>
      <c r="I574" s="187">
        <v>479.03615236282349</v>
      </c>
      <c r="J574" s="187" t="s">
        <v>1026</v>
      </c>
      <c r="K574" s="187" t="s">
        <v>116</v>
      </c>
      <c r="L574" s="195"/>
      <c r="M574" s="195"/>
      <c r="N574" s="195"/>
      <c r="O574" s="199"/>
      <c r="P574" s="188"/>
      <c r="Q574" s="174">
        <f>IF(ISNUMBER(VLOOKUP(A574,NotghiID!A:A,1,FALSE)),1,0)</f>
        <v>0</v>
      </c>
    </row>
    <row r="575" spans="1:17" ht="14.25" x14ac:dyDescent="0.2">
      <c r="A575" s="183">
        <v>85</v>
      </c>
      <c r="B575" s="232" t="str">
        <f>IF(AND(A575&lt;&gt;"",ISNUMBER(A575)),VLOOKUP(A575,Studies!A:BR,2,FALSE),"")</f>
        <v>Barone 1998a</v>
      </c>
      <c r="C575" s="232" t="str">
        <f>IF(AND(A575&lt;&gt;"",ISNUMBER(A575)),VLOOKUP(A575,Studies!A:BR,3,FALSE),"")</f>
        <v>https://www.ncbi.nlm.nih.gov/pubmed/9545149</v>
      </c>
      <c r="D575" s="232" t="str">
        <f>IF(AND(A575&lt;&gt;"",ISNUMBER(A575)),VLOOKUP(A575,Studies!A:BR,4,FALSE),"")</f>
        <v>day 1 fasted</v>
      </c>
      <c r="E575" s="206" t="str">
        <f>IF(AND(A575&lt;&gt;"",ISNUMBER(A575)),VLOOKUP(A575,Studies!A:BR,5,FALSE),"")</f>
        <v>Itraconazole</v>
      </c>
      <c r="F575" s="207" t="str">
        <f>IF(AND(A575&lt;&gt;"",ISNUMBER(A575)),VLOOKUP(A575,Studies!A:BR,6,FALSE),"")</f>
        <v>Plasma</v>
      </c>
      <c r="G575" s="194">
        <v>4</v>
      </c>
      <c r="H575" s="194" t="s">
        <v>60</v>
      </c>
      <c r="I575" s="187">
        <v>413.25297951698303</v>
      </c>
      <c r="J575" s="187" t="s">
        <v>1026</v>
      </c>
      <c r="K575" s="187" t="s">
        <v>116</v>
      </c>
      <c r="L575" s="195"/>
      <c r="M575" s="195"/>
      <c r="N575" s="195"/>
      <c r="O575" s="199"/>
      <c r="P575" s="188"/>
      <c r="Q575" s="174">
        <f>IF(ISNUMBER(VLOOKUP(A575,NotghiID!A:A,1,FALSE)),1,0)</f>
        <v>0</v>
      </c>
    </row>
    <row r="576" spans="1:17" ht="14.25" x14ac:dyDescent="0.2">
      <c r="A576" s="183">
        <v>85</v>
      </c>
      <c r="B576" s="232" t="str">
        <f>IF(AND(A576&lt;&gt;"",ISNUMBER(A576)),VLOOKUP(A576,Studies!A:BR,2,FALSE),"")</f>
        <v>Barone 1998a</v>
      </c>
      <c r="C576" s="232" t="str">
        <f>IF(AND(A576&lt;&gt;"",ISNUMBER(A576)),VLOOKUP(A576,Studies!A:BR,3,FALSE),"")</f>
        <v>https://www.ncbi.nlm.nih.gov/pubmed/9545149</v>
      </c>
      <c r="D576" s="232" t="str">
        <f>IF(AND(A576&lt;&gt;"",ISNUMBER(A576)),VLOOKUP(A576,Studies!A:BR,4,FALSE),"")</f>
        <v>day 1 fasted</v>
      </c>
      <c r="E576" s="206" t="str">
        <f>IF(AND(A576&lt;&gt;"",ISNUMBER(A576)),VLOOKUP(A576,Studies!A:BR,5,FALSE),"")</f>
        <v>Itraconazole</v>
      </c>
      <c r="F576" s="207" t="str">
        <f>IF(AND(A576&lt;&gt;"",ISNUMBER(A576)),VLOOKUP(A576,Studies!A:BR,6,FALSE),"")</f>
        <v>Plasma</v>
      </c>
      <c r="G576" s="194">
        <v>5</v>
      </c>
      <c r="H576" s="194" t="s">
        <v>60</v>
      </c>
      <c r="I576" s="187">
        <v>312.04819679260254</v>
      </c>
      <c r="J576" s="187" t="s">
        <v>1026</v>
      </c>
      <c r="K576" s="187" t="s">
        <v>116</v>
      </c>
      <c r="L576" s="195"/>
      <c r="M576" s="195"/>
      <c r="N576" s="195"/>
      <c r="O576" s="199"/>
      <c r="P576" s="188"/>
      <c r="Q576" s="174">
        <f>IF(ISNUMBER(VLOOKUP(A576,NotghiID!A:A,1,FALSE)),1,0)</f>
        <v>0</v>
      </c>
    </row>
    <row r="577" spans="1:17" ht="14.25" x14ac:dyDescent="0.2">
      <c r="A577" s="183">
        <v>85</v>
      </c>
      <c r="B577" s="232" t="str">
        <f>IF(AND(A577&lt;&gt;"",ISNUMBER(A577)),VLOOKUP(A577,Studies!A:BR,2,FALSE),"")</f>
        <v>Barone 1998a</v>
      </c>
      <c r="C577" s="232" t="str">
        <f>IF(AND(A577&lt;&gt;"",ISNUMBER(A577)),VLOOKUP(A577,Studies!A:BR,3,FALSE),"")</f>
        <v>https://www.ncbi.nlm.nih.gov/pubmed/9545149</v>
      </c>
      <c r="D577" s="232" t="str">
        <f>IF(AND(A577&lt;&gt;"",ISNUMBER(A577)),VLOOKUP(A577,Studies!A:BR,4,FALSE),"")</f>
        <v>day 1 fasted</v>
      </c>
      <c r="E577" s="206" t="str">
        <f>IF(AND(A577&lt;&gt;"",ISNUMBER(A577)),VLOOKUP(A577,Studies!A:BR,5,FALSE),"")</f>
        <v>Itraconazole</v>
      </c>
      <c r="F577" s="207" t="str">
        <f>IF(AND(A577&lt;&gt;"",ISNUMBER(A577)),VLOOKUP(A577,Studies!A:BR,6,FALSE),"")</f>
        <v>Plasma</v>
      </c>
      <c r="G577" s="194">
        <v>6</v>
      </c>
      <c r="H577" s="194" t="s">
        <v>60</v>
      </c>
      <c r="I577" s="187">
        <v>256.38553500175476</v>
      </c>
      <c r="J577" s="187" t="s">
        <v>1026</v>
      </c>
      <c r="K577" s="187" t="s">
        <v>116</v>
      </c>
      <c r="L577" s="195"/>
      <c r="M577" s="195"/>
      <c r="N577" s="195"/>
      <c r="O577" s="199"/>
      <c r="P577" s="188"/>
      <c r="Q577" s="174">
        <f>IF(ISNUMBER(VLOOKUP(A577,NotghiID!A:A,1,FALSE)),1,0)</f>
        <v>0</v>
      </c>
    </row>
    <row r="578" spans="1:17" ht="14.25" x14ac:dyDescent="0.2">
      <c r="A578" s="183">
        <v>85</v>
      </c>
      <c r="B578" s="232" t="str">
        <f>IF(AND(A578&lt;&gt;"",ISNUMBER(A578)),VLOOKUP(A578,Studies!A:BR,2,FALSE),"")</f>
        <v>Barone 1998a</v>
      </c>
      <c r="C578" s="232" t="str">
        <f>IF(AND(A578&lt;&gt;"",ISNUMBER(A578)),VLOOKUP(A578,Studies!A:BR,3,FALSE),"")</f>
        <v>https://www.ncbi.nlm.nih.gov/pubmed/9545149</v>
      </c>
      <c r="D578" s="232" t="str">
        <f>IF(AND(A578&lt;&gt;"",ISNUMBER(A578)),VLOOKUP(A578,Studies!A:BR,4,FALSE),"")</f>
        <v>day 1 fasted</v>
      </c>
      <c r="E578" s="206" t="str">
        <f>IF(AND(A578&lt;&gt;"",ISNUMBER(A578)),VLOOKUP(A578,Studies!A:BR,5,FALSE),"")</f>
        <v>Itraconazole</v>
      </c>
      <c r="F578" s="207" t="str">
        <f>IF(AND(A578&lt;&gt;"",ISNUMBER(A578)),VLOOKUP(A578,Studies!A:BR,6,FALSE),"")</f>
        <v>Plasma</v>
      </c>
      <c r="G578" s="194">
        <v>8</v>
      </c>
      <c r="H578" s="194" t="s">
        <v>60</v>
      </c>
      <c r="I578" s="187">
        <v>202.40963995456696</v>
      </c>
      <c r="J578" s="187" t="s">
        <v>1026</v>
      </c>
      <c r="K578" s="187" t="s">
        <v>116</v>
      </c>
      <c r="L578" s="195"/>
      <c r="M578" s="195"/>
      <c r="N578" s="195"/>
      <c r="O578" s="199"/>
      <c r="P578" s="188"/>
      <c r="Q578" s="174">
        <f>IF(ISNUMBER(VLOOKUP(A578,NotghiID!A:A,1,FALSE)),1,0)</f>
        <v>0</v>
      </c>
    </row>
    <row r="579" spans="1:17" ht="14.25" x14ac:dyDescent="0.2">
      <c r="A579" s="183">
        <v>85</v>
      </c>
      <c r="B579" s="232" t="str">
        <f>IF(AND(A579&lt;&gt;"",ISNUMBER(A579)),VLOOKUP(A579,Studies!A:BR,2,FALSE),"")</f>
        <v>Barone 1998a</v>
      </c>
      <c r="C579" s="232" t="str">
        <f>IF(AND(A579&lt;&gt;"",ISNUMBER(A579)),VLOOKUP(A579,Studies!A:BR,3,FALSE),"")</f>
        <v>https://www.ncbi.nlm.nih.gov/pubmed/9545149</v>
      </c>
      <c r="D579" s="232" t="str">
        <f>IF(AND(A579&lt;&gt;"",ISNUMBER(A579)),VLOOKUP(A579,Studies!A:BR,4,FALSE),"")</f>
        <v>day 1 fasted</v>
      </c>
      <c r="E579" s="206" t="str">
        <f>IF(AND(A579&lt;&gt;"",ISNUMBER(A579)),VLOOKUP(A579,Studies!A:BR,5,FALSE),"")</f>
        <v>Itraconazole</v>
      </c>
      <c r="F579" s="207" t="str">
        <f>IF(AND(A579&lt;&gt;"",ISNUMBER(A579)),VLOOKUP(A579,Studies!A:BR,6,FALSE),"")</f>
        <v>Plasma</v>
      </c>
      <c r="G579" s="194">
        <v>12</v>
      </c>
      <c r="H579" s="194" t="s">
        <v>60</v>
      </c>
      <c r="I579" s="187">
        <v>121.44578248262405</v>
      </c>
      <c r="J579" s="187" t="s">
        <v>1026</v>
      </c>
      <c r="K579" s="187" t="s">
        <v>116</v>
      </c>
      <c r="L579" s="195"/>
      <c r="M579" s="195"/>
      <c r="N579" s="195"/>
      <c r="O579" s="199"/>
      <c r="P579" s="188"/>
      <c r="Q579" s="174">
        <f>IF(ISNUMBER(VLOOKUP(A579,NotghiID!A:A,1,FALSE)),1,0)</f>
        <v>0</v>
      </c>
    </row>
    <row r="580" spans="1:17" ht="14.25" x14ac:dyDescent="0.2">
      <c r="A580" s="183">
        <v>85</v>
      </c>
      <c r="B580" s="232" t="str">
        <f>IF(AND(A580&lt;&gt;"",ISNUMBER(A580)),VLOOKUP(A580,Studies!A:BR,2,FALSE),"")</f>
        <v>Barone 1998a</v>
      </c>
      <c r="C580" s="232" t="str">
        <f>IF(AND(A580&lt;&gt;"",ISNUMBER(A580)),VLOOKUP(A580,Studies!A:BR,3,FALSE),"")</f>
        <v>https://www.ncbi.nlm.nih.gov/pubmed/9545149</v>
      </c>
      <c r="D580" s="232" t="str">
        <f>IF(AND(A580&lt;&gt;"",ISNUMBER(A580)),VLOOKUP(A580,Studies!A:BR,4,FALSE),"")</f>
        <v>day 1 fasted</v>
      </c>
      <c r="E580" s="206" t="str">
        <f>IF(AND(A580&lt;&gt;"",ISNUMBER(A580)),VLOOKUP(A580,Studies!A:BR,5,FALSE),"")</f>
        <v>Itraconazole</v>
      </c>
      <c r="F580" s="207" t="str">
        <f>IF(AND(A580&lt;&gt;"",ISNUMBER(A580)),VLOOKUP(A580,Studies!A:BR,6,FALSE),"")</f>
        <v>Plasma</v>
      </c>
      <c r="G580" s="194">
        <v>24</v>
      </c>
      <c r="H580" s="194" t="s">
        <v>60</v>
      </c>
      <c r="I580" s="187">
        <v>69.156624376773834</v>
      </c>
      <c r="J580" s="187" t="s">
        <v>1026</v>
      </c>
      <c r="K580" s="187" t="s">
        <v>116</v>
      </c>
      <c r="L580" s="195"/>
      <c r="M580" s="195"/>
      <c r="N580" s="195"/>
      <c r="O580" s="199"/>
      <c r="P580" s="188"/>
      <c r="Q580" s="174">
        <f>IF(ISNUMBER(VLOOKUP(A580,NotghiID!A:A,1,FALSE)),1,0)</f>
        <v>0</v>
      </c>
    </row>
    <row r="581" spans="1:17" ht="14.25" x14ac:dyDescent="0.2">
      <c r="A581" s="183">
        <v>86</v>
      </c>
      <c r="B581" s="232" t="str">
        <f>IF(AND(A581&lt;&gt;"",ISNUMBER(A581)),VLOOKUP(A581,Studies!A:BR,2,FALSE),"")</f>
        <v>Barone 1998a</v>
      </c>
      <c r="C581" s="232" t="str">
        <f>IF(AND(A581&lt;&gt;"",ISNUMBER(A581)),VLOOKUP(A581,Studies!A:BR,3,FALSE),"")</f>
        <v>https://www.ncbi.nlm.nih.gov/pubmed/9545149</v>
      </c>
      <c r="D581" s="232" t="str">
        <f>IF(AND(A581&lt;&gt;"",ISNUMBER(A581)),VLOOKUP(A581,Studies!A:BR,4,FALSE),"")</f>
        <v>day 1 fasted</v>
      </c>
      <c r="E581" s="206" t="str">
        <f>IF(AND(A581&lt;&gt;"",ISNUMBER(A581)),VLOOKUP(A581,Studies!A:BR,5,FALSE),"")</f>
        <v>Hydroxy-Itraconazole</v>
      </c>
      <c r="F581" s="207" t="str">
        <f>IF(AND(A581&lt;&gt;"",ISNUMBER(A581)),VLOOKUP(A581,Studies!A:BR,6,FALSE),"")</f>
        <v>Plasma</v>
      </c>
      <c r="G581" s="194">
        <v>0.5</v>
      </c>
      <c r="H581" s="194" t="s">
        <v>60</v>
      </c>
      <c r="I581" s="187">
        <v>91.08433872461319</v>
      </c>
      <c r="J581" s="187" t="s">
        <v>1026</v>
      </c>
      <c r="K581" s="187" t="s">
        <v>116</v>
      </c>
      <c r="L581" s="195"/>
      <c r="M581" s="195"/>
      <c r="N581" s="195"/>
      <c r="O581" s="199"/>
      <c r="P581" s="188"/>
      <c r="Q581" s="174">
        <f>IF(ISNUMBER(VLOOKUP(A581,NotghiID!A:A,1,FALSE)),1,0)</f>
        <v>0</v>
      </c>
    </row>
    <row r="582" spans="1:17" ht="14.25" x14ac:dyDescent="0.2">
      <c r="A582" s="183">
        <v>86</v>
      </c>
      <c r="B582" s="232" t="str">
        <f>IF(AND(A582&lt;&gt;"",ISNUMBER(A582)),VLOOKUP(A582,Studies!A:BR,2,FALSE),"")</f>
        <v>Barone 1998a</v>
      </c>
      <c r="C582" s="232" t="str">
        <f>IF(AND(A582&lt;&gt;"",ISNUMBER(A582)),VLOOKUP(A582,Studies!A:BR,3,FALSE),"")</f>
        <v>https://www.ncbi.nlm.nih.gov/pubmed/9545149</v>
      </c>
      <c r="D582" s="232" t="str">
        <f>IF(AND(A582&lt;&gt;"",ISNUMBER(A582)),VLOOKUP(A582,Studies!A:BR,4,FALSE),"")</f>
        <v>day 1 fasted</v>
      </c>
      <c r="E582" s="206" t="str">
        <f>IF(AND(A582&lt;&gt;"",ISNUMBER(A582)),VLOOKUP(A582,Studies!A:BR,5,FALSE),"")</f>
        <v>Hydroxy-Itraconazole</v>
      </c>
      <c r="F582" s="207" t="str">
        <f>IF(AND(A582&lt;&gt;"",ISNUMBER(A582)),VLOOKUP(A582,Studies!A:BR,6,FALSE),"")</f>
        <v>Plasma</v>
      </c>
      <c r="G582" s="194">
        <v>1</v>
      </c>
      <c r="H582" s="194" t="s">
        <v>60</v>
      </c>
      <c r="I582" s="187">
        <v>333.97588133811951</v>
      </c>
      <c r="J582" s="187" t="s">
        <v>1026</v>
      </c>
      <c r="K582" s="187" t="s">
        <v>116</v>
      </c>
      <c r="L582" s="195"/>
      <c r="M582" s="195"/>
      <c r="N582" s="195"/>
      <c r="O582" s="199"/>
      <c r="P582" s="188"/>
      <c r="Q582" s="174">
        <f>IF(ISNUMBER(VLOOKUP(A582,NotghiID!A:A,1,FALSE)),1,0)</f>
        <v>0</v>
      </c>
    </row>
    <row r="583" spans="1:17" ht="14.25" x14ac:dyDescent="0.2">
      <c r="A583" s="183">
        <v>86</v>
      </c>
      <c r="B583" s="232" t="str">
        <f>IF(AND(A583&lt;&gt;"",ISNUMBER(A583)),VLOOKUP(A583,Studies!A:BR,2,FALSE),"")</f>
        <v>Barone 1998a</v>
      </c>
      <c r="C583" s="232" t="str">
        <f>IF(AND(A583&lt;&gt;"",ISNUMBER(A583)),VLOOKUP(A583,Studies!A:BR,3,FALSE),"")</f>
        <v>https://www.ncbi.nlm.nih.gov/pubmed/9545149</v>
      </c>
      <c r="D583" s="232" t="str">
        <f>IF(AND(A583&lt;&gt;"",ISNUMBER(A583)),VLOOKUP(A583,Studies!A:BR,4,FALSE),"")</f>
        <v>day 1 fasted</v>
      </c>
      <c r="E583" s="206" t="str">
        <f>IF(AND(A583&lt;&gt;"",ISNUMBER(A583)),VLOOKUP(A583,Studies!A:BR,5,FALSE),"")</f>
        <v>Hydroxy-Itraconazole</v>
      </c>
      <c r="F583" s="207" t="str">
        <f>IF(AND(A583&lt;&gt;"",ISNUMBER(A583)),VLOOKUP(A583,Studies!A:BR,6,FALSE),"")</f>
        <v>Plasma</v>
      </c>
      <c r="G583" s="194">
        <v>2</v>
      </c>
      <c r="H583" s="194" t="s">
        <v>60</v>
      </c>
      <c r="I583" s="187">
        <v>565.06025791168213</v>
      </c>
      <c r="J583" s="187" t="s">
        <v>1026</v>
      </c>
      <c r="K583" s="187" t="s">
        <v>116</v>
      </c>
      <c r="L583" s="195"/>
      <c r="M583" s="195"/>
      <c r="N583" s="195"/>
      <c r="O583" s="199"/>
      <c r="P583" s="188"/>
      <c r="Q583" s="174">
        <f>IF(ISNUMBER(VLOOKUP(A583,NotghiID!A:A,1,FALSE)),1,0)</f>
        <v>0</v>
      </c>
    </row>
    <row r="584" spans="1:17" ht="14.25" x14ac:dyDescent="0.2">
      <c r="A584" s="183">
        <v>86</v>
      </c>
      <c r="B584" s="232" t="str">
        <f>IF(AND(A584&lt;&gt;"",ISNUMBER(A584)),VLOOKUP(A584,Studies!A:BR,2,FALSE),"")</f>
        <v>Barone 1998a</v>
      </c>
      <c r="C584" s="232" t="str">
        <f>IF(AND(A584&lt;&gt;"",ISNUMBER(A584)),VLOOKUP(A584,Studies!A:BR,3,FALSE),"")</f>
        <v>https://www.ncbi.nlm.nih.gov/pubmed/9545149</v>
      </c>
      <c r="D584" s="232" t="str">
        <f>IF(AND(A584&lt;&gt;"",ISNUMBER(A584)),VLOOKUP(A584,Studies!A:BR,4,FALSE),"")</f>
        <v>day 1 fasted</v>
      </c>
      <c r="E584" s="206" t="str">
        <f>IF(AND(A584&lt;&gt;"",ISNUMBER(A584)),VLOOKUP(A584,Studies!A:BR,5,FALSE),"")</f>
        <v>Hydroxy-Itraconazole</v>
      </c>
      <c r="F584" s="207" t="str">
        <f>IF(AND(A584&lt;&gt;"",ISNUMBER(A584)),VLOOKUP(A584,Studies!A:BR,6,FALSE),"")</f>
        <v>Plasma</v>
      </c>
      <c r="G584" s="194">
        <v>3</v>
      </c>
      <c r="H584" s="194" t="s">
        <v>60</v>
      </c>
      <c r="I584" s="187">
        <v>603.8554310798645</v>
      </c>
      <c r="J584" s="187" t="s">
        <v>1026</v>
      </c>
      <c r="K584" s="187" t="s">
        <v>116</v>
      </c>
      <c r="L584" s="195"/>
      <c r="M584" s="195"/>
      <c r="N584" s="195"/>
      <c r="O584" s="199"/>
      <c r="P584" s="188"/>
      <c r="Q584" s="174">
        <f>IF(ISNUMBER(VLOOKUP(A584,NotghiID!A:A,1,FALSE)),1,0)</f>
        <v>0</v>
      </c>
    </row>
    <row r="585" spans="1:17" ht="14.25" x14ac:dyDescent="0.2">
      <c r="A585" s="183">
        <v>86</v>
      </c>
      <c r="B585" s="232" t="str">
        <f>IF(AND(A585&lt;&gt;"",ISNUMBER(A585)),VLOOKUP(A585,Studies!A:BR,2,FALSE),"")</f>
        <v>Barone 1998a</v>
      </c>
      <c r="C585" s="232" t="str">
        <f>IF(AND(A585&lt;&gt;"",ISNUMBER(A585)),VLOOKUP(A585,Studies!A:BR,3,FALSE),"")</f>
        <v>https://www.ncbi.nlm.nih.gov/pubmed/9545149</v>
      </c>
      <c r="D585" s="232" t="str">
        <f>IF(AND(A585&lt;&gt;"",ISNUMBER(A585)),VLOOKUP(A585,Studies!A:BR,4,FALSE),"")</f>
        <v>day 1 fasted</v>
      </c>
      <c r="E585" s="206" t="str">
        <f>IF(AND(A585&lt;&gt;"",ISNUMBER(A585)),VLOOKUP(A585,Studies!A:BR,5,FALSE),"")</f>
        <v>Hydroxy-Itraconazole</v>
      </c>
      <c r="F585" s="207" t="str">
        <f>IF(AND(A585&lt;&gt;"",ISNUMBER(A585)),VLOOKUP(A585,Studies!A:BR,6,FALSE),"")</f>
        <v>Plasma</v>
      </c>
      <c r="G585" s="194">
        <v>4</v>
      </c>
      <c r="H585" s="194" t="s">
        <v>60</v>
      </c>
      <c r="I585" s="187">
        <v>603.8554310798645</v>
      </c>
      <c r="J585" s="187" t="s">
        <v>1026</v>
      </c>
      <c r="K585" s="187" t="s">
        <v>116</v>
      </c>
      <c r="L585" s="195"/>
      <c r="M585" s="195"/>
      <c r="N585" s="195"/>
      <c r="O585" s="199"/>
      <c r="P585" s="188"/>
      <c r="Q585" s="174">
        <f>IF(ISNUMBER(VLOOKUP(A585,NotghiID!A:A,1,FALSE)),1,0)</f>
        <v>0</v>
      </c>
    </row>
    <row r="586" spans="1:17" ht="14.25" x14ac:dyDescent="0.2">
      <c r="A586" s="183">
        <v>86</v>
      </c>
      <c r="B586" s="232" t="str">
        <f>IF(AND(A586&lt;&gt;"",ISNUMBER(A586)),VLOOKUP(A586,Studies!A:BR,2,FALSE),"")</f>
        <v>Barone 1998a</v>
      </c>
      <c r="C586" s="232" t="str">
        <f>IF(AND(A586&lt;&gt;"",ISNUMBER(A586)),VLOOKUP(A586,Studies!A:BR,3,FALSE),"")</f>
        <v>https://www.ncbi.nlm.nih.gov/pubmed/9545149</v>
      </c>
      <c r="D586" s="232" t="str">
        <f>IF(AND(A586&lt;&gt;"",ISNUMBER(A586)),VLOOKUP(A586,Studies!A:BR,4,FALSE),"")</f>
        <v>day 1 fasted</v>
      </c>
      <c r="E586" s="206" t="str">
        <f>IF(AND(A586&lt;&gt;"",ISNUMBER(A586)),VLOOKUP(A586,Studies!A:BR,5,FALSE),"")</f>
        <v>Hydroxy-Itraconazole</v>
      </c>
      <c r="F586" s="207" t="str">
        <f>IF(AND(A586&lt;&gt;"",ISNUMBER(A586)),VLOOKUP(A586,Studies!A:BR,6,FALSE),"")</f>
        <v>Plasma</v>
      </c>
      <c r="G586" s="194">
        <v>5</v>
      </c>
      <c r="H586" s="194" t="s">
        <v>60</v>
      </c>
      <c r="I586" s="187">
        <v>556.62643909454346</v>
      </c>
      <c r="J586" s="187" t="s">
        <v>1026</v>
      </c>
      <c r="K586" s="187" t="s">
        <v>116</v>
      </c>
      <c r="L586" s="195"/>
      <c r="M586" s="195"/>
      <c r="N586" s="195"/>
      <c r="O586" s="199"/>
      <c r="P586" s="188"/>
      <c r="Q586" s="174">
        <f>IF(ISNUMBER(VLOOKUP(A586,NotghiID!A:A,1,FALSE)),1,0)</f>
        <v>0</v>
      </c>
    </row>
    <row r="587" spans="1:17" ht="14.25" x14ac:dyDescent="0.2">
      <c r="A587" s="183">
        <v>86</v>
      </c>
      <c r="B587" s="232" t="str">
        <f>IF(AND(A587&lt;&gt;"",ISNUMBER(A587)),VLOOKUP(A587,Studies!A:BR,2,FALSE),"")</f>
        <v>Barone 1998a</v>
      </c>
      <c r="C587" s="232" t="str">
        <f>IF(AND(A587&lt;&gt;"",ISNUMBER(A587)),VLOOKUP(A587,Studies!A:BR,3,FALSE),"")</f>
        <v>https://www.ncbi.nlm.nih.gov/pubmed/9545149</v>
      </c>
      <c r="D587" s="232" t="str">
        <f>IF(AND(A587&lt;&gt;"",ISNUMBER(A587)),VLOOKUP(A587,Studies!A:BR,4,FALSE),"")</f>
        <v>day 1 fasted</v>
      </c>
      <c r="E587" s="206" t="str">
        <f>IF(AND(A587&lt;&gt;"",ISNUMBER(A587)),VLOOKUP(A587,Studies!A:BR,5,FALSE),"")</f>
        <v>Hydroxy-Itraconazole</v>
      </c>
      <c r="F587" s="207" t="str">
        <f>IF(AND(A587&lt;&gt;"",ISNUMBER(A587)),VLOOKUP(A587,Studies!A:BR,6,FALSE),"")</f>
        <v>Plasma</v>
      </c>
      <c r="G587" s="194">
        <v>6</v>
      </c>
      <c r="H587" s="194" t="s">
        <v>60</v>
      </c>
      <c r="I587" s="187">
        <v>522.89152145385742</v>
      </c>
      <c r="J587" s="187" t="s">
        <v>1026</v>
      </c>
      <c r="K587" s="187" t="s">
        <v>116</v>
      </c>
      <c r="L587" s="195"/>
      <c r="M587" s="195"/>
      <c r="N587" s="195"/>
      <c r="O587" s="199"/>
      <c r="P587" s="188"/>
      <c r="Q587" s="174">
        <f>IF(ISNUMBER(VLOOKUP(A587,NotghiID!A:A,1,FALSE)),1,0)</f>
        <v>0</v>
      </c>
    </row>
    <row r="588" spans="1:17" ht="14.25" x14ac:dyDescent="0.2">
      <c r="A588" s="183">
        <v>86</v>
      </c>
      <c r="B588" s="232" t="str">
        <f>IF(AND(A588&lt;&gt;"",ISNUMBER(A588)),VLOOKUP(A588,Studies!A:BR,2,FALSE),"")</f>
        <v>Barone 1998a</v>
      </c>
      <c r="C588" s="232" t="str">
        <f>IF(AND(A588&lt;&gt;"",ISNUMBER(A588)),VLOOKUP(A588,Studies!A:BR,3,FALSE),"")</f>
        <v>https://www.ncbi.nlm.nih.gov/pubmed/9545149</v>
      </c>
      <c r="D588" s="232" t="str">
        <f>IF(AND(A588&lt;&gt;"",ISNUMBER(A588)),VLOOKUP(A588,Studies!A:BR,4,FALSE),"")</f>
        <v>day 1 fasted</v>
      </c>
      <c r="E588" s="206" t="str">
        <f>IF(AND(A588&lt;&gt;"",ISNUMBER(A588)),VLOOKUP(A588,Studies!A:BR,5,FALSE),"")</f>
        <v>Hydroxy-Itraconazole</v>
      </c>
      <c r="F588" s="207" t="str">
        <f>IF(AND(A588&lt;&gt;"",ISNUMBER(A588)),VLOOKUP(A588,Studies!A:BR,6,FALSE),"")</f>
        <v>Plasma</v>
      </c>
      <c r="G588" s="194">
        <v>8</v>
      </c>
      <c r="H588" s="194" t="s">
        <v>60</v>
      </c>
      <c r="I588" s="187">
        <v>484.09634828567505</v>
      </c>
      <c r="J588" s="187" t="s">
        <v>1026</v>
      </c>
      <c r="K588" s="187" t="s">
        <v>116</v>
      </c>
      <c r="L588" s="195"/>
      <c r="M588" s="195"/>
      <c r="N588" s="195"/>
      <c r="O588" s="199"/>
      <c r="P588" s="188"/>
      <c r="Q588" s="174">
        <f>IF(ISNUMBER(VLOOKUP(A588,NotghiID!A:A,1,FALSE)),1,0)</f>
        <v>0</v>
      </c>
    </row>
    <row r="589" spans="1:17" ht="14.25" x14ac:dyDescent="0.2">
      <c r="A589" s="183">
        <v>86</v>
      </c>
      <c r="B589" s="232" t="str">
        <f>IF(AND(A589&lt;&gt;"",ISNUMBER(A589)),VLOOKUP(A589,Studies!A:BR,2,FALSE),"")</f>
        <v>Barone 1998a</v>
      </c>
      <c r="C589" s="232" t="str">
        <f>IF(AND(A589&lt;&gt;"",ISNUMBER(A589)),VLOOKUP(A589,Studies!A:BR,3,FALSE),"")</f>
        <v>https://www.ncbi.nlm.nih.gov/pubmed/9545149</v>
      </c>
      <c r="D589" s="232" t="str">
        <f>IF(AND(A589&lt;&gt;"",ISNUMBER(A589)),VLOOKUP(A589,Studies!A:BR,4,FALSE),"")</f>
        <v>day 1 fasted</v>
      </c>
      <c r="E589" s="206" t="str">
        <f>IF(AND(A589&lt;&gt;"",ISNUMBER(A589)),VLOOKUP(A589,Studies!A:BR,5,FALSE),"")</f>
        <v>Hydroxy-Itraconazole</v>
      </c>
      <c r="F589" s="207" t="str">
        <f>IF(AND(A589&lt;&gt;"",ISNUMBER(A589)),VLOOKUP(A589,Studies!A:BR,6,FALSE),"")</f>
        <v>Plasma</v>
      </c>
      <c r="G589" s="194">
        <v>12</v>
      </c>
      <c r="H589" s="194" t="s">
        <v>60</v>
      </c>
      <c r="I589" s="187">
        <v>389.63854312896729</v>
      </c>
      <c r="J589" s="187" t="s">
        <v>1026</v>
      </c>
      <c r="K589" s="187" t="s">
        <v>116</v>
      </c>
      <c r="L589" s="195"/>
      <c r="M589" s="195"/>
      <c r="N589" s="195"/>
      <c r="O589" s="199"/>
      <c r="P589" s="188"/>
      <c r="Q589" s="174">
        <f>IF(ISNUMBER(VLOOKUP(A589,NotghiID!A:A,1,FALSE)),1,0)</f>
        <v>0</v>
      </c>
    </row>
    <row r="590" spans="1:17" ht="14.25" x14ac:dyDescent="0.2">
      <c r="A590" s="183">
        <v>86</v>
      </c>
      <c r="B590" s="232" t="str">
        <f>IF(AND(A590&lt;&gt;"",ISNUMBER(A590)),VLOOKUP(A590,Studies!A:BR,2,FALSE),"")</f>
        <v>Barone 1998a</v>
      </c>
      <c r="C590" s="232" t="str">
        <f>IF(AND(A590&lt;&gt;"",ISNUMBER(A590)),VLOOKUP(A590,Studies!A:BR,3,FALSE),"")</f>
        <v>https://www.ncbi.nlm.nih.gov/pubmed/9545149</v>
      </c>
      <c r="D590" s="232" t="str">
        <f>IF(AND(A590&lt;&gt;"",ISNUMBER(A590)),VLOOKUP(A590,Studies!A:BR,4,FALSE),"")</f>
        <v>day 1 fasted</v>
      </c>
      <c r="E590" s="206" t="str">
        <f>IF(AND(A590&lt;&gt;"",ISNUMBER(A590)),VLOOKUP(A590,Studies!A:BR,5,FALSE),"")</f>
        <v>Hydroxy-Itraconazole</v>
      </c>
      <c r="F590" s="207" t="str">
        <f>IF(AND(A590&lt;&gt;"",ISNUMBER(A590)),VLOOKUP(A590,Studies!A:BR,6,FALSE),"")</f>
        <v>Plasma</v>
      </c>
      <c r="G590" s="194">
        <v>24</v>
      </c>
      <c r="H590" s="194" t="s">
        <v>60</v>
      </c>
      <c r="I590" s="187">
        <v>251.32530927658081</v>
      </c>
      <c r="J590" s="187" t="s">
        <v>1026</v>
      </c>
      <c r="K590" s="187" t="s">
        <v>116</v>
      </c>
      <c r="L590" s="195"/>
      <c r="M590" s="195"/>
      <c r="N590" s="195"/>
      <c r="O590" s="199"/>
      <c r="P590" s="188"/>
      <c r="Q590" s="174">
        <f>IF(ISNUMBER(VLOOKUP(A590,NotghiID!A:A,1,FALSE)),1,0)</f>
        <v>0</v>
      </c>
    </row>
    <row r="591" spans="1:17" ht="14.25" x14ac:dyDescent="0.2">
      <c r="A591" s="183">
        <v>87</v>
      </c>
      <c r="B591" s="232" t="str">
        <f>IF(AND(A591&lt;&gt;"",ISNUMBER(A591)),VLOOKUP(A591,Studies!A:BR,2,FALSE),"")</f>
        <v>Barone 1998a</v>
      </c>
      <c r="C591" s="232" t="str">
        <f>IF(AND(A591&lt;&gt;"",ISNUMBER(A591)),VLOOKUP(A591,Studies!A:BR,3,FALSE),"")</f>
        <v>https://www.ncbi.nlm.nih.gov/pubmed/9545149</v>
      </c>
      <c r="D591" s="232" t="str">
        <f>IF(AND(A591&lt;&gt;"",ISNUMBER(A591)),VLOOKUP(A591,Studies!A:BR,4,FALSE),"")</f>
        <v>day 15 fasted</v>
      </c>
      <c r="E591" s="206" t="str">
        <f>IF(AND(A591&lt;&gt;"",ISNUMBER(A591)),VLOOKUP(A591,Studies!A:BR,5,FALSE),"")</f>
        <v>Itraconazole</v>
      </c>
      <c r="F591" s="207" t="str">
        <f>IF(AND(A591&lt;&gt;"",ISNUMBER(A591)),VLOOKUP(A591,Studies!A:BR,6,FALSE),"")</f>
        <v>Plasma</v>
      </c>
      <c r="G591" s="194">
        <v>336</v>
      </c>
      <c r="H591" s="194" t="s">
        <v>60</v>
      </c>
      <c r="I591" s="187">
        <v>915.66264629364014</v>
      </c>
      <c r="J591" s="187" t="s">
        <v>1026</v>
      </c>
      <c r="K591" s="187" t="s">
        <v>116</v>
      </c>
      <c r="L591" s="195"/>
      <c r="M591" s="195"/>
      <c r="N591" s="195"/>
      <c r="O591" s="199"/>
      <c r="P591" s="188"/>
      <c r="Q591" s="174">
        <f>IF(ISNUMBER(VLOOKUP(A591,NotghiID!A:A,1,FALSE)),1,0)</f>
        <v>0</v>
      </c>
    </row>
    <row r="592" spans="1:17" ht="14.25" x14ac:dyDescent="0.2">
      <c r="A592" s="183">
        <v>87</v>
      </c>
      <c r="B592" s="232" t="str">
        <f>IF(AND(A592&lt;&gt;"",ISNUMBER(A592)),VLOOKUP(A592,Studies!A:BR,2,FALSE),"")</f>
        <v>Barone 1998a</v>
      </c>
      <c r="C592" s="232" t="str">
        <f>IF(AND(A592&lt;&gt;"",ISNUMBER(A592)),VLOOKUP(A592,Studies!A:BR,3,FALSE),"")</f>
        <v>https://www.ncbi.nlm.nih.gov/pubmed/9545149</v>
      </c>
      <c r="D592" s="232" t="str">
        <f>IF(AND(A592&lt;&gt;"",ISNUMBER(A592)),VLOOKUP(A592,Studies!A:BR,4,FALSE),"")</f>
        <v>day 15 fasted</v>
      </c>
      <c r="E592" s="206" t="str">
        <f>IF(AND(A592&lt;&gt;"",ISNUMBER(A592)),VLOOKUP(A592,Studies!A:BR,5,FALSE),"")</f>
        <v>Itraconazole</v>
      </c>
      <c r="F592" s="207" t="str">
        <f>IF(AND(A592&lt;&gt;"",ISNUMBER(A592)),VLOOKUP(A592,Studies!A:BR,6,FALSE),"")</f>
        <v>Plasma</v>
      </c>
      <c r="G592" s="194">
        <v>336.5</v>
      </c>
      <c r="H592" s="194" t="s">
        <v>60</v>
      </c>
      <c r="I592" s="187">
        <v>1120.4818487167358</v>
      </c>
      <c r="J592" s="187" t="s">
        <v>1026</v>
      </c>
      <c r="K592" s="187" t="s">
        <v>116</v>
      </c>
      <c r="L592" s="195"/>
      <c r="M592" s="195"/>
      <c r="N592" s="195"/>
      <c r="O592" s="199"/>
      <c r="P592" s="188"/>
      <c r="Q592" s="174">
        <f>IF(ISNUMBER(VLOOKUP(A592,NotghiID!A:A,1,FALSE)),1,0)</f>
        <v>0</v>
      </c>
    </row>
    <row r="593" spans="1:17" ht="14.25" x14ac:dyDescent="0.2">
      <c r="A593" s="183">
        <v>87</v>
      </c>
      <c r="B593" s="232" t="str">
        <f>IF(AND(A593&lt;&gt;"",ISNUMBER(A593)),VLOOKUP(A593,Studies!A:BR,2,FALSE),"")</f>
        <v>Barone 1998a</v>
      </c>
      <c r="C593" s="232" t="str">
        <f>IF(AND(A593&lt;&gt;"",ISNUMBER(A593)),VLOOKUP(A593,Studies!A:BR,3,FALSE),"")</f>
        <v>https://www.ncbi.nlm.nih.gov/pubmed/9545149</v>
      </c>
      <c r="D593" s="232" t="str">
        <f>IF(AND(A593&lt;&gt;"",ISNUMBER(A593)),VLOOKUP(A593,Studies!A:BR,4,FALSE),"")</f>
        <v>day 15 fasted</v>
      </c>
      <c r="E593" s="206" t="str">
        <f>IF(AND(A593&lt;&gt;"",ISNUMBER(A593)),VLOOKUP(A593,Studies!A:BR,5,FALSE),"")</f>
        <v>Itraconazole</v>
      </c>
      <c r="F593" s="207" t="str">
        <f>IF(AND(A593&lt;&gt;"",ISNUMBER(A593)),VLOOKUP(A593,Studies!A:BR,6,FALSE),"")</f>
        <v>Plasma</v>
      </c>
      <c r="G593" s="194">
        <v>337</v>
      </c>
      <c r="H593" s="194" t="s">
        <v>60</v>
      </c>
      <c r="I593" s="187">
        <v>1602.4096012115479</v>
      </c>
      <c r="J593" s="187" t="s">
        <v>1026</v>
      </c>
      <c r="K593" s="187" t="s">
        <v>116</v>
      </c>
      <c r="L593" s="195"/>
      <c r="M593" s="195"/>
      <c r="N593" s="195"/>
      <c r="O593" s="199"/>
      <c r="P593" s="188"/>
      <c r="Q593" s="174">
        <f>IF(ISNUMBER(VLOOKUP(A593,NotghiID!A:A,1,FALSE)),1,0)</f>
        <v>0</v>
      </c>
    </row>
    <row r="594" spans="1:17" ht="14.25" x14ac:dyDescent="0.2">
      <c r="A594" s="183">
        <v>87</v>
      </c>
      <c r="B594" s="232" t="str">
        <f>IF(AND(A594&lt;&gt;"",ISNUMBER(A594)),VLOOKUP(A594,Studies!A:BR,2,FALSE),"")</f>
        <v>Barone 1998a</v>
      </c>
      <c r="C594" s="232" t="str">
        <f>IF(AND(A594&lt;&gt;"",ISNUMBER(A594)),VLOOKUP(A594,Studies!A:BR,3,FALSE),"")</f>
        <v>https://www.ncbi.nlm.nih.gov/pubmed/9545149</v>
      </c>
      <c r="D594" s="232" t="str">
        <f>IF(AND(A594&lt;&gt;"",ISNUMBER(A594)),VLOOKUP(A594,Studies!A:BR,4,FALSE),"")</f>
        <v>day 15 fasted</v>
      </c>
      <c r="E594" s="206" t="str">
        <f>IF(AND(A594&lt;&gt;"",ISNUMBER(A594)),VLOOKUP(A594,Studies!A:BR,5,FALSE),"")</f>
        <v>Itraconazole</v>
      </c>
      <c r="F594" s="207" t="str">
        <f>IF(AND(A594&lt;&gt;"",ISNUMBER(A594)),VLOOKUP(A594,Studies!A:BR,6,FALSE),"")</f>
        <v>Plasma</v>
      </c>
      <c r="G594" s="194">
        <v>338</v>
      </c>
      <c r="H594" s="194" t="s">
        <v>60</v>
      </c>
      <c r="I594" s="187">
        <v>1921.6867685317993</v>
      </c>
      <c r="J594" s="187" t="s">
        <v>1026</v>
      </c>
      <c r="K594" s="187" t="s">
        <v>116</v>
      </c>
      <c r="L594" s="195"/>
      <c r="M594" s="195"/>
      <c r="N594" s="195"/>
      <c r="O594" s="199"/>
      <c r="P594" s="188"/>
      <c r="Q594" s="174">
        <f>IF(ISNUMBER(VLOOKUP(A594,NotghiID!A:A,1,FALSE)),1,0)</f>
        <v>0</v>
      </c>
    </row>
    <row r="595" spans="1:17" ht="14.25" x14ac:dyDescent="0.2">
      <c r="A595" s="183">
        <v>87</v>
      </c>
      <c r="B595" s="232" t="str">
        <f>IF(AND(A595&lt;&gt;"",ISNUMBER(A595)),VLOOKUP(A595,Studies!A:BR,2,FALSE),"")</f>
        <v>Barone 1998a</v>
      </c>
      <c r="C595" s="232" t="str">
        <f>IF(AND(A595&lt;&gt;"",ISNUMBER(A595)),VLOOKUP(A595,Studies!A:BR,3,FALSE),"")</f>
        <v>https://www.ncbi.nlm.nih.gov/pubmed/9545149</v>
      </c>
      <c r="D595" s="232" t="str">
        <f>IF(AND(A595&lt;&gt;"",ISNUMBER(A595)),VLOOKUP(A595,Studies!A:BR,4,FALSE),"")</f>
        <v>day 15 fasted</v>
      </c>
      <c r="E595" s="206" t="str">
        <f>IF(AND(A595&lt;&gt;"",ISNUMBER(A595)),VLOOKUP(A595,Studies!A:BR,5,FALSE),"")</f>
        <v>Itraconazole</v>
      </c>
      <c r="F595" s="207" t="str">
        <f>IF(AND(A595&lt;&gt;"",ISNUMBER(A595)),VLOOKUP(A595,Studies!A:BR,6,FALSE),"")</f>
        <v>Plasma</v>
      </c>
      <c r="G595" s="194">
        <v>339</v>
      </c>
      <c r="H595" s="194" t="s">
        <v>60</v>
      </c>
      <c r="I595" s="187">
        <v>1837.349534034729</v>
      </c>
      <c r="J595" s="187" t="s">
        <v>1026</v>
      </c>
      <c r="K595" s="187" t="s">
        <v>116</v>
      </c>
      <c r="L595" s="195"/>
      <c r="M595" s="195"/>
      <c r="N595" s="195"/>
      <c r="O595" s="199"/>
      <c r="P595" s="188"/>
      <c r="Q595" s="174">
        <f>IF(ISNUMBER(VLOOKUP(A595,NotghiID!A:A,1,FALSE)),1,0)</f>
        <v>0</v>
      </c>
    </row>
    <row r="596" spans="1:17" ht="14.25" x14ac:dyDescent="0.2">
      <c r="A596" s="183">
        <v>87</v>
      </c>
      <c r="B596" s="232" t="str">
        <f>IF(AND(A596&lt;&gt;"",ISNUMBER(A596)),VLOOKUP(A596,Studies!A:BR,2,FALSE),"")</f>
        <v>Barone 1998a</v>
      </c>
      <c r="C596" s="232" t="str">
        <f>IF(AND(A596&lt;&gt;"",ISNUMBER(A596)),VLOOKUP(A596,Studies!A:BR,3,FALSE),"")</f>
        <v>https://www.ncbi.nlm.nih.gov/pubmed/9545149</v>
      </c>
      <c r="D596" s="232" t="str">
        <f>IF(AND(A596&lt;&gt;"",ISNUMBER(A596)),VLOOKUP(A596,Studies!A:BR,4,FALSE),"")</f>
        <v>day 15 fasted</v>
      </c>
      <c r="E596" s="206" t="str">
        <f>IF(AND(A596&lt;&gt;"",ISNUMBER(A596)),VLOOKUP(A596,Studies!A:BR,5,FALSE),"")</f>
        <v>Itraconazole</v>
      </c>
      <c r="F596" s="207" t="str">
        <f>IF(AND(A596&lt;&gt;"",ISNUMBER(A596)),VLOOKUP(A596,Studies!A:BR,6,FALSE),"")</f>
        <v>Plasma</v>
      </c>
      <c r="G596" s="194">
        <v>340</v>
      </c>
      <c r="H596" s="194" t="s">
        <v>60</v>
      </c>
      <c r="I596" s="187">
        <v>1596.3855981826782</v>
      </c>
      <c r="J596" s="187" t="s">
        <v>1026</v>
      </c>
      <c r="K596" s="187" t="s">
        <v>116</v>
      </c>
      <c r="L596" s="195"/>
      <c r="M596" s="195"/>
      <c r="N596" s="195"/>
      <c r="O596" s="199"/>
      <c r="P596" s="188"/>
      <c r="Q596" s="174">
        <f>IF(ISNUMBER(VLOOKUP(A596,NotghiID!A:A,1,FALSE)),1,0)</f>
        <v>0</v>
      </c>
    </row>
    <row r="597" spans="1:17" ht="14.25" x14ac:dyDescent="0.2">
      <c r="A597" s="183">
        <v>87</v>
      </c>
      <c r="B597" s="232" t="str">
        <f>IF(AND(A597&lt;&gt;"",ISNUMBER(A597)),VLOOKUP(A597,Studies!A:BR,2,FALSE),"")</f>
        <v>Barone 1998a</v>
      </c>
      <c r="C597" s="232" t="str">
        <f>IF(AND(A597&lt;&gt;"",ISNUMBER(A597)),VLOOKUP(A597,Studies!A:BR,3,FALSE),"")</f>
        <v>https://www.ncbi.nlm.nih.gov/pubmed/9545149</v>
      </c>
      <c r="D597" s="232" t="str">
        <f>IF(AND(A597&lt;&gt;"",ISNUMBER(A597)),VLOOKUP(A597,Studies!A:BR,4,FALSE),"")</f>
        <v>day 15 fasted</v>
      </c>
      <c r="E597" s="206" t="str">
        <f>IF(AND(A597&lt;&gt;"",ISNUMBER(A597)),VLOOKUP(A597,Studies!A:BR,5,FALSE),"")</f>
        <v>Itraconazole</v>
      </c>
      <c r="F597" s="207" t="str">
        <f>IF(AND(A597&lt;&gt;"",ISNUMBER(A597)),VLOOKUP(A597,Studies!A:BR,6,FALSE),"")</f>
        <v>Plasma</v>
      </c>
      <c r="G597" s="194">
        <v>341</v>
      </c>
      <c r="H597" s="194" t="s">
        <v>60</v>
      </c>
      <c r="I597" s="187">
        <v>1560.2409839630127</v>
      </c>
      <c r="J597" s="187" t="s">
        <v>1026</v>
      </c>
      <c r="K597" s="187" t="s">
        <v>116</v>
      </c>
      <c r="L597" s="195"/>
      <c r="M597" s="195"/>
      <c r="N597" s="195"/>
      <c r="O597" s="199"/>
      <c r="P597" s="188"/>
      <c r="Q597" s="174">
        <f>IF(ISNUMBER(VLOOKUP(A597,NotghiID!A:A,1,FALSE)),1,0)</f>
        <v>0</v>
      </c>
    </row>
    <row r="598" spans="1:17" ht="14.25" x14ac:dyDescent="0.2">
      <c r="A598" s="183">
        <v>87</v>
      </c>
      <c r="B598" s="232" t="str">
        <f>IF(AND(A598&lt;&gt;"",ISNUMBER(A598)),VLOOKUP(A598,Studies!A:BR,2,FALSE),"")</f>
        <v>Barone 1998a</v>
      </c>
      <c r="C598" s="232" t="str">
        <f>IF(AND(A598&lt;&gt;"",ISNUMBER(A598)),VLOOKUP(A598,Studies!A:BR,3,FALSE),"")</f>
        <v>https://www.ncbi.nlm.nih.gov/pubmed/9545149</v>
      </c>
      <c r="D598" s="232" t="str">
        <f>IF(AND(A598&lt;&gt;"",ISNUMBER(A598)),VLOOKUP(A598,Studies!A:BR,4,FALSE),"")</f>
        <v>day 15 fasted</v>
      </c>
      <c r="E598" s="206" t="str">
        <f>IF(AND(A598&lt;&gt;"",ISNUMBER(A598)),VLOOKUP(A598,Studies!A:BR,5,FALSE),"")</f>
        <v>Itraconazole</v>
      </c>
      <c r="F598" s="207" t="str">
        <f>IF(AND(A598&lt;&gt;"",ISNUMBER(A598)),VLOOKUP(A598,Studies!A:BR,6,FALSE),"")</f>
        <v>Plasma</v>
      </c>
      <c r="G598" s="194">
        <v>342</v>
      </c>
      <c r="H598" s="194" t="s">
        <v>60</v>
      </c>
      <c r="I598" s="187">
        <v>1433.7348937988281</v>
      </c>
      <c r="J598" s="187" t="s">
        <v>1026</v>
      </c>
      <c r="K598" s="187" t="s">
        <v>116</v>
      </c>
      <c r="L598" s="195"/>
      <c r="M598" s="195"/>
      <c r="N598" s="195"/>
      <c r="O598" s="199"/>
      <c r="P598" s="188"/>
      <c r="Q598" s="174">
        <f>IF(ISNUMBER(VLOOKUP(A598,NotghiID!A:A,1,FALSE)),1,0)</f>
        <v>0</v>
      </c>
    </row>
    <row r="599" spans="1:17" ht="14.25" x14ac:dyDescent="0.2">
      <c r="A599" s="183">
        <v>87</v>
      </c>
      <c r="B599" s="232" t="str">
        <f>IF(AND(A599&lt;&gt;"",ISNUMBER(A599)),VLOOKUP(A599,Studies!A:BR,2,FALSE),"")</f>
        <v>Barone 1998a</v>
      </c>
      <c r="C599" s="232" t="str">
        <f>IF(AND(A599&lt;&gt;"",ISNUMBER(A599)),VLOOKUP(A599,Studies!A:BR,3,FALSE),"")</f>
        <v>https://www.ncbi.nlm.nih.gov/pubmed/9545149</v>
      </c>
      <c r="D599" s="232" t="str">
        <f>IF(AND(A599&lt;&gt;"",ISNUMBER(A599)),VLOOKUP(A599,Studies!A:BR,4,FALSE),"")</f>
        <v>day 15 fasted</v>
      </c>
      <c r="E599" s="206" t="str">
        <f>IF(AND(A599&lt;&gt;"",ISNUMBER(A599)),VLOOKUP(A599,Studies!A:BR,5,FALSE),"")</f>
        <v>Itraconazole</v>
      </c>
      <c r="F599" s="207" t="str">
        <f>IF(AND(A599&lt;&gt;"",ISNUMBER(A599)),VLOOKUP(A599,Studies!A:BR,6,FALSE),"")</f>
        <v>Plasma</v>
      </c>
      <c r="G599" s="194">
        <v>344</v>
      </c>
      <c r="H599" s="194" t="s">
        <v>60</v>
      </c>
      <c r="I599" s="187">
        <v>1295.1807975769043</v>
      </c>
      <c r="J599" s="187" t="s">
        <v>1026</v>
      </c>
      <c r="K599" s="187" t="s">
        <v>116</v>
      </c>
      <c r="L599" s="195"/>
      <c r="M599" s="195"/>
      <c r="N599" s="195"/>
      <c r="O599" s="199"/>
      <c r="P599" s="188"/>
      <c r="Q599" s="174">
        <f>IF(ISNUMBER(VLOOKUP(A599,NotghiID!A:A,1,FALSE)),1,0)</f>
        <v>0</v>
      </c>
    </row>
    <row r="600" spans="1:17" ht="14.25" x14ac:dyDescent="0.2">
      <c r="A600" s="183">
        <v>87</v>
      </c>
      <c r="B600" s="232" t="str">
        <f>IF(AND(A600&lt;&gt;"",ISNUMBER(A600)),VLOOKUP(A600,Studies!A:BR,2,FALSE),"")</f>
        <v>Barone 1998a</v>
      </c>
      <c r="C600" s="232" t="str">
        <f>IF(AND(A600&lt;&gt;"",ISNUMBER(A600)),VLOOKUP(A600,Studies!A:BR,3,FALSE),"")</f>
        <v>https://www.ncbi.nlm.nih.gov/pubmed/9545149</v>
      </c>
      <c r="D600" s="232" t="str">
        <f>IF(AND(A600&lt;&gt;"",ISNUMBER(A600)),VLOOKUP(A600,Studies!A:BR,4,FALSE),"")</f>
        <v>day 15 fasted</v>
      </c>
      <c r="E600" s="206" t="str">
        <f>IF(AND(A600&lt;&gt;"",ISNUMBER(A600)),VLOOKUP(A600,Studies!A:BR,5,FALSE),"")</f>
        <v>Itraconazole</v>
      </c>
      <c r="F600" s="207" t="str">
        <f>IF(AND(A600&lt;&gt;"",ISNUMBER(A600)),VLOOKUP(A600,Studies!A:BR,6,FALSE),"")</f>
        <v>Plasma</v>
      </c>
      <c r="G600" s="194">
        <v>348</v>
      </c>
      <c r="H600" s="194" t="s">
        <v>60</v>
      </c>
      <c r="I600" s="187">
        <v>1066.2651062011719</v>
      </c>
      <c r="J600" s="187" t="s">
        <v>1026</v>
      </c>
      <c r="K600" s="187" t="s">
        <v>116</v>
      </c>
      <c r="L600" s="195"/>
      <c r="M600" s="195"/>
      <c r="N600" s="195"/>
      <c r="O600" s="199"/>
      <c r="P600" s="188"/>
      <c r="Q600" s="174">
        <f>IF(ISNUMBER(VLOOKUP(A600,NotghiID!A:A,1,FALSE)),1,0)</f>
        <v>0</v>
      </c>
    </row>
    <row r="601" spans="1:17" ht="14.25" x14ac:dyDescent="0.2">
      <c r="A601" s="183">
        <v>87</v>
      </c>
      <c r="B601" s="232" t="str">
        <f>IF(AND(A601&lt;&gt;"",ISNUMBER(A601)),VLOOKUP(A601,Studies!A:BR,2,FALSE),"")</f>
        <v>Barone 1998a</v>
      </c>
      <c r="C601" s="232" t="str">
        <f>IF(AND(A601&lt;&gt;"",ISNUMBER(A601)),VLOOKUP(A601,Studies!A:BR,3,FALSE),"")</f>
        <v>https://www.ncbi.nlm.nih.gov/pubmed/9545149</v>
      </c>
      <c r="D601" s="232" t="str">
        <f>IF(AND(A601&lt;&gt;"",ISNUMBER(A601)),VLOOKUP(A601,Studies!A:BR,4,FALSE),"")</f>
        <v>day 15 fasted</v>
      </c>
      <c r="E601" s="206" t="str">
        <f>IF(AND(A601&lt;&gt;"",ISNUMBER(A601)),VLOOKUP(A601,Studies!A:BR,5,FALSE),"")</f>
        <v>Itraconazole</v>
      </c>
      <c r="F601" s="207" t="str">
        <f>IF(AND(A601&lt;&gt;"",ISNUMBER(A601)),VLOOKUP(A601,Studies!A:BR,6,FALSE),"")</f>
        <v>Plasma</v>
      </c>
      <c r="G601" s="194">
        <v>360</v>
      </c>
      <c r="H601" s="194" t="s">
        <v>60</v>
      </c>
      <c r="I601" s="187">
        <v>915.66264629364014</v>
      </c>
      <c r="J601" s="187" t="s">
        <v>1026</v>
      </c>
      <c r="K601" s="187" t="s">
        <v>116</v>
      </c>
      <c r="L601" s="195"/>
      <c r="M601" s="195"/>
      <c r="N601" s="195"/>
      <c r="O601" s="199"/>
      <c r="P601" s="188"/>
      <c r="Q601" s="174">
        <f>IF(ISNUMBER(VLOOKUP(A601,NotghiID!A:A,1,FALSE)),1,0)</f>
        <v>0</v>
      </c>
    </row>
    <row r="602" spans="1:17" ht="14.25" x14ac:dyDescent="0.2">
      <c r="A602" s="183">
        <v>88</v>
      </c>
      <c r="B602" s="232" t="str">
        <f>IF(AND(A602&lt;&gt;"",ISNUMBER(A602)),VLOOKUP(A602,Studies!A:BR,2,FALSE),"")</f>
        <v>Barone 1998a</v>
      </c>
      <c r="C602" s="232" t="str">
        <f>IF(AND(A602&lt;&gt;"",ISNUMBER(A602)),VLOOKUP(A602,Studies!A:BR,3,FALSE),"")</f>
        <v>https://www.ncbi.nlm.nih.gov/pubmed/9545149</v>
      </c>
      <c r="D602" s="232" t="str">
        <f>IF(AND(A602&lt;&gt;"",ISNUMBER(A602)),VLOOKUP(A602,Studies!A:BR,4,FALSE),"")</f>
        <v>day 15 fasted</v>
      </c>
      <c r="E602" s="206" t="str">
        <f>IF(AND(A602&lt;&gt;"",ISNUMBER(A602)),VLOOKUP(A602,Studies!A:BR,5,FALSE),"")</f>
        <v>Hydroxy-Itraconazole</v>
      </c>
      <c r="F602" s="207" t="str">
        <f>IF(AND(A602&lt;&gt;"",ISNUMBER(A602)),VLOOKUP(A602,Studies!A:BR,6,FALSE),"")</f>
        <v>Plasma</v>
      </c>
      <c r="G602" s="194">
        <v>336</v>
      </c>
      <c r="H602" s="194" t="s">
        <v>60</v>
      </c>
      <c r="I602" s="187">
        <v>1783.1325531005859</v>
      </c>
      <c r="J602" s="187" t="s">
        <v>1026</v>
      </c>
      <c r="K602" s="187" t="s">
        <v>116</v>
      </c>
      <c r="L602" s="195"/>
      <c r="M602" s="195"/>
      <c r="N602" s="195"/>
      <c r="O602" s="199"/>
      <c r="P602" s="188"/>
      <c r="Q602" s="174">
        <f>IF(ISNUMBER(VLOOKUP(A602,NotghiID!A:A,1,FALSE)),1,0)</f>
        <v>0</v>
      </c>
    </row>
    <row r="603" spans="1:17" ht="14.25" x14ac:dyDescent="0.2">
      <c r="A603" s="183">
        <v>88</v>
      </c>
      <c r="B603" s="232" t="str">
        <f>IF(AND(A603&lt;&gt;"",ISNUMBER(A603)),VLOOKUP(A603,Studies!A:BR,2,FALSE),"")</f>
        <v>Barone 1998a</v>
      </c>
      <c r="C603" s="232" t="str">
        <f>IF(AND(A603&lt;&gt;"",ISNUMBER(A603)),VLOOKUP(A603,Studies!A:BR,3,FALSE),"")</f>
        <v>https://www.ncbi.nlm.nih.gov/pubmed/9545149</v>
      </c>
      <c r="D603" s="232" t="str">
        <f>IF(AND(A603&lt;&gt;"",ISNUMBER(A603)),VLOOKUP(A603,Studies!A:BR,4,FALSE),"")</f>
        <v>day 15 fasted</v>
      </c>
      <c r="E603" s="206" t="str">
        <f>IF(AND(A603&lt;&gt;"",ISNUMBER(A603)),VLOOKUP(A603,Studies!A:BR,5,FALSE),"")</f>
        <v>Hydroxy-Itraconazole</v>
      </c>
      <c r="F603" s="207" t="str">
        <f>IF(AND(A603&lt;&gt;"",ISNUMBER(A603)),VLOOKUP(A603,Studies!A:BR,6,FALSE),"")</f>
        <v>Plasma</v>
      </c>
      <c r="G603" s="194">
        <v>336.5</v>
      </c>
      <c r="H603" s="194" t="s">
        <v>60</v>
      </c>
      <c r="I603" s="187">
        <v>1807.2289228439331</v>
      </c>
      <c r="J603" s="187" t="s">
        <v>1026</v>
      </c>
      <c r="K603" s="187" t="s">
        <v>116</v>
      </c>
      <c r="L603" s="195"/>
      <c r="M603" s="195"/>
      <c r="N603" s="195"/>
      <c r="O603" s="199"/>
      <c r="P603" s="188"/>
      <c r="Q603" s="174">
        <f>IF(ISNUMBER(VLOOKUP(A603,NotghiID!A:A,1,FALSE)),1,0)</f>
        <v>0</v>
      </c>
    </row>
    <row r="604" spans="1:17" ht="14.25" x14ac:dyDescent="0.2">
      <c r="A604" s="183">
        <v>88</v>
      </c>
      <c r="B604" s="232" t="str">
        <f>IF(AND(A604&lt;&gt;"",ISNUMBER(A604)),VLOOKUP(A604,Studies!A:BR,2,FALSE),"")</f>
        <v>Barone 1998a</v>
      </c>
      <c r="C604" s="232" t="str">
        <f>IF(AND(A604&lt;&gt;"",ISNUMBER(A604)),VLOOKUP(A604,Studies!A:BR,3,FALSE),"")</f>
        <v>https://www.ncbi.nlm.nih.gov/pubmed/9545149</v>
      </c>
      <c r="D604" s="232" t="str">
        <f>IF(AND(A604&lt;&gt;"",ISNUMBER(A604)),VLOOKUP(A604,Studies!A:BR,4,FALSE),"")</f>
        <v>day 15 fasted</v>
      </c>
      <c r="E604" s="206" t="str">
        <f>IF(AND(A604&lt;&gt;"",ISNUMBER(A604)),VLOOKUP(A604,Studies!A:BR,5,FALSE),"")</f>
        <v>Hydroxy-Itraconazole</v>
      </c>
      <c r="F604" s="207" t="str">
        <f>IF(AND(A604&lt;&gt;"",ISNUMBER(A604)),VLOOKUP(A604,Studies!A:BR,6,FALSE),"")</f>
        <v>Plasma</v>
      </c>
      <c r="G604" s="194">
        <v>337</v>
      </c>
      <c r="H604" s="194" t="s">
        <v>60</v>
      </c>
      <c r="I604" s="187">
        <v>1861.4457845687866</v>
      </c>
      <c r="J604" s="187" t="s">
        <v>1026</v>
      </c>
      <c r="K604" s="187" t="s">
        <v>116</v>
      </c>
      <c r="L604" s="195"/>
      <c r="M604" s="195"/>
      <c r="N604" s="195"/>
      <c r="O604" s="199"/>
      <c r="P604" s="188"/>
      <c r="Q604" s="174">
        <f>IF(ISNUMBER(VLOOKUP(A604,NotghiID!A:A,1,FALSE)),1,0)</f>
        <v>0</v>
      </c>
    </row>
    <row r="605" spans="1:17" ht="14.25" x14ac:dyDescent="0.2">
      <c r="A605" s="183">
        <v>88</v>
      </c>
      <c r="B605" s="232" t="str">
        <f>IF(AND(A605&lt;&gt;"",ISNUMBER(A605)),VLOOKUP(A605,Studies!A:BR,2,FALSE),"")</f>
        <v>Barone 1998a</v>
      </c>
      <c r="C605" s="232" t="str">
        <f>IF(AND(A605&lt;&gt;"",ISNUMBER(A605)),VLOOKUP(A605,Studies!A:BR,3,FALSE),"")</f>
        <v>https://www.ncbi.nlm.nih.gov/pubmed/9545149</v>
      </c>
      <c r="D605" s="232" t="str">
        <f>IF(AND(A605&lt;&gt;"",ISNUMBER(A605)),VLOOKUP(A605,Studies!A:BR,4,FALSE),"")</f>
        <v>day 15 fasted</v>
      </c>
      <c r="E605" s="206" t="str">
        <f>IF(AND(A605&lt;&gt;"",ISNUMBER(A605)),VLOOKUP(A605,Studies!A:BR,5,FALSE),"")</f>
        <v>Hydroxy-Itraconazole</v>
      </c>
      <c r="F605" s="207" t="str">
        <f>IF(AND(A605&lt;&gt;"",ISNUMBER(A605)),VLOOKUP(A605,Studies!A:BR,6,FALSE),"")</f>
        <v>Plasma</v>
      </c>
      <c r="G605" s="194">
        <v>338</v>
      </c>
      <c r="H605" s="194" t="s">
        <v>60</v>
      </c>
      <c r="I605" s="187">
        <v>1939.7588968276978</v>
      </c>
      <c r="J605" s="187" t="s">
        <v>1026</v>
      </c>
      <c r="K605" s="187" t="s">
        <v>116</v>
      </c>
      <c r="L605" s="195"/>
      <c r="M605" s="195"/>
      <c r="N605" s="195"/>
      <c r="O605" s="199"/>
      <c r="P605" s="188"/>
      <c r="Q605" s="174">
        <f>IF(ISNUMBER(VLOOKUP(A605,NotghiID!A:A,1,FALSE)),1,0)</f>
        <v>0</v>
      </c>
    </row>
    <row r="606" spans="1:17" ht="14.25" x14ac:dyDescent="0.2">
      <c r="A606" s="183">
        <v>88</v>
      </c>
      <c r="B606" s="232" t="str">
        <f>IF(AND(A606&lt;&gt;"",ISNUMBER(A606)),VLOOKUP(A606,Studies!A:BR,2,FALSE),"")</f>
        <v>Barone 1998a</v>
      </c>
      <c r="C606" s="232" t="str">
        <f>IF(AND(A606&lt;&gt;"",ISNUMBER(A606)),VLOOKUP(A606,Studies!A:BR,3,FALSE),"")</f>
        <v>https://www.ncbi.nlm.nih.gov/pubmed/9545149</v>
      </c>
      <c r="D606" s="232" t="str">
        <f>IF(AND(A606&lt;&gt;"",ISNUMBER(A606)),VLOOKUP(A606,Studies!A:BR,4,FALSE),"")</f>
        <v>day 15 fasted</v>
      </c>
      <c r="E606" s="206" t="str">
        <f>IF(AND(A606&lt;&gt;"",ISNUMBER(A606)),VLOOKUP(A606,Studies!A:BR,5,FALSE),"")</f>
        <v>Hydroxy-Itraconazole</v>
      </c>
      <c r="F606" s="207" t="str">
        <f>IF(AND(A606&lt;&gt;"",ISNUMBER(A606)),VLOOKUP(A606,Studies!A:BR,6,FALSE),"")</f>
        <v>Plasma</v>
      </c>
      <c r="G606" s="194">
        <v>339</v>
      </c>
      <c r="H606" s="194" t="s">
        <v>60</v>
      </c>
      <c r="I606" s="187">
        <v>1957.8312635421753</v>
      </c>
      <c r="J606" s="187" t="s">
        <v>1026</v>
      </c>
      <c r="K606" s="187" t="s">
        <v>116</v>
      </c>
      <c r="L606" s="195"/>
      <c r="M606" s="195"/>
      <c r="N606" s="195"/>
      <c r="O606" s="199"/>
      <c r="P606" s="188"/>
      <c r="Q606" s="174">
        <f>IF(ISNUMBER(VLOOKUP(A606,NotghiID!A:A,1,FALSE)),1,0)</f>
        <v>0</v>
      </c>
    </row>
    <row r="607" spans="1:17" ht="14.25" x14ac:dyDescent="0.2">
      <c r="A607" s="183">
        <v>88</v>
      </c>
      <c r="B607" s="232" t="str">
        <f>IF(AND(A607&lt;&gt;"",ISNUMBER(A607)),VLOOKUP(A607,Studies!A:BR,2,FALSE),"")</f>
        <v>Barone 1998a</v>
      </c>
      <c r="C607" s="232" t="str">
        <f>IF(AND(A607&lt;&gt;"",ISNUMBER(A607)),VLOOKUP(A607,Studies!A:BR,3,FALSE),"")</f>
        <v>https://www.ncbi.nlm.nih.gov/pubmed/9545149</v>
      </c>
      <c r="D607" s="232" t="str">
        <f>IF(AND(A607&lt;&gt;"",ISNUMBER(A607)),VLOOKUP(A607,Studies!A:BR,4,FALSE),"")</f>
        <v>day 15 fasted</v>
      </c>
      <c r="E607" s="206" t="str">
        <f>IF(AND(A607&lt;&gt;"",ISNUMBER(A607)),VLOOKUP(A607,Studies!A:BR,5,FALSE),"")</f>
        <v>Hydroxy-Itraconazole</v>
      </c>
      <c r="F607" s="207" t="str">
        <f>IF(AND(A607&lt;&gt;"",ISNUMBER(A607)),VLOOKUP(A607,Studies!A:BR,6,FALSE),"")</f>
        <v>Plasma</v>
      </c>
      <c r="G607" s="194">
        <v>340</v>
      </c>
      <c r="H607" s="194" t="s">
        <v>60</v>
      </c>
      <c r="I607" s="187">
        <v>2012.0482444763184</v>
      </c>
      <c r="J607" s="187" t="s">
        <v>1026</v>
      </c>
      <c r="K607" s="187" t="s">
        <v>116</v>
      </c>
      <c r="L607" s="195"/>
      <c r="M607" s="195"/>
      <c r="N607" s="195"/>
      <c r="O607" s="199"/>
      <c r="P607" s="188"/>
      <c r="Q607" s="174">
        <f>IF(ISNUMBER(VLOOKUP(A607,NotghiID!A:A,1,FALSE)),1,0)</f>
        <v>0</v>
      </c>
    </row>
    <row r="608" spans="1:17" ht="14.25" x14ac:dyDescent="0.2">
      <c r="A608" s="183">
        <v>88</v>
      </c>
      <c r="B608" s="232" t="str">
        <f>IF(AND(A608&lt;&gt;"",ISNUMBER(A608)),VLOOKUP(A608,Studies!A:BR,2,FALSE),"")</f>
        <v>Barone 1998a</v>
      </c>
      <c r="C608" s="232" t="str">
        <f>IF(AND(A608&lt;&gt;"",ISNUMBER(A608)),VLOOKUP(A608,Studies!A:BR,3,FALSE),"")</f>
        <v>https://www.ncbi.nlm.nih.gov/pubmed/9545149</v>
      </c>
      <c r="D608" s="232" t="str">
        <f>IF(AND(A608&lt;&gt;"",ISNUMBER(A608)),VLOOKUP(A608,Studies!A:BR,4,FALSE),"")</f>
        <v>day 15 fasted</v>
      </c>
      <c r="E608" s="206" t="str">
        <f>IF(AND(A608&lt;&gt;"",ISNUMBER(A608)),VLOOKUP(A608,Studies!A:BR,5,FALSE),"")</f>
        <v>Hydroxy-Itraconazole</v>
      </c>
      <c r="F608" s="207" t="str">
        <f>IF(AND(A608&lt;&gt;"",ISNUMBER(A608)),VLOOKUP(A608,Studies!A:BR,6,FALSE),"")</f>
        <v>Plasma</v>
      </c>
      <c r="G608" s="194">
        <v>341</v>
      </c>
      <c r="H608" s="194" t="s">
        <v>60</v>
      </c>
      <c r="I608" s="187">
        <v>1969.8796272277832</v>
      </c>
      <c r="J608" s="187" t="s">
        <v>1026</v>
      </c>
      <c r="K608" s="187" t="s">
        <v>116</v>
      </c>
      <c r="L608" s="195"/>
      <c r="M608" s="195"/>
      <c r="N608" s="195"/>
      <c r="O608" s="199"/>
      <c r="P608" s="188"/>
      <c r="Q608" s="174">
        <f>IF(ISNUMBER(VLOOKUP(A608,NotghiID!A:A,1,FALSE)),1,0)</f>
        <v>0</v>
      </c>
    </row>
    <row r="609" spans="1:17" ht="14.25" x14ac:dyDescent="0.2">
      <c r="A609" s="183">
        <v>88</v>
      </c>
      <c r="B609" s="232" t="str">
        <f>IF(AND(A609&lt;&gt;"",ISNUMBER(A609)),VLOOKUP(A609,Studies!A:BR,2,FALSE),"")</f>
        <v>Barone 1998a</v>
      </c>
      <c r="C609" s="232" t="str">
        <f>IF(AND(A609&lt;&gt;"",ISNUMBER(A609)),VLOOKUP(A609,Studies!A:BR,3,FALSE),"")</f>
        <v>https://www.ncbi.nlm.nih.gov/pubmed/9545149</v>
      </c>
      <c r="D609" s="232" t="str">
        <f>IF(AND(A609&lt;&gt;"",ISNUMBER(A609)),VLOOKUP(A609,Studies!A:BR,4,FALSE),"")</f>
        <v>day 15 fasted</v>
      </c>
      <c r="E609" s="206" t="str">
        <f>IF(AND(A609&lt;&gt;"",ISNUMBER(A609)),VLOOKUP(A609,Studies!A:BR,5,FALSE),"")</f>
        <v>Hydroxy-Itraconazole</v>
      </c>
      <c r="F609" s="207" t="str">
        <f>IF(AND(A609&lt;&gt;"",ISNUMBER(A609)),VLOOKUP(A609,Studies!A:BR,6,FALSE),"")</f>
        <v>Plasma</v>
      </c>
      <c r="G609" s="194">
        <v>342</v>
      </c>
      <c r="H609" s="194" t="s">
        <v>60</v>
      </c>
      <c r="I609" s="187">
        <v>1933.7348937988281</v>
      </c>
      <c r="J609" s="187" t="s">
        <v>1026</v>
      </c>
      <c r="K609" s="187" t="s">
        <v>116</v>
      </c>
      <c r="L609" s="195"/>
      <c r="M609" s="195"/>
      <c r="N609" s="195"/>
      <c r="O609" s="199"/>
      <c r="P609" s="188"/>
      <c r="Q609" s="174">
        <f>IF(ISNUMBER(VLOOKUP(A609,NotghiID!A:A,1,FALSE)),1,0)</f>
        <v>0</v>
      </c>
    </row>
    <row r="610" spans="1:17" ht="14.25" x14ac:dyDescent="0.2">
      <c r="A610" s="183">
        <v>88</v>
      </c>
      <c r="B610" s="232" t="str">
        <f>IF(AND(A610&lt;&gt;"",ISNUMBER(A610)),VLOOKUP(A610,Studies!A:BR,2,FALSE),"")</f>
        <v>Barone 1998a</v>
      </c>
      <c r="C610" s="232" t="str">
        <f>IF(AND(A610&lt;&gt;"",ISNUMBER(A610)),VLOOKUP(A610,Studies!A:BR,3,FALSE),"")</f>
        <v>https://www.ncbi.nlm.nih.gov/pubmed/9545149</v>
      </c>
      <c r="D610" s="232" t="str">
        <f>IF(AND(A610&lt;&gt;"",ISNUMBER(A610)),VLOOKUP(A610,Studies!A:BR,4,FALSE),"")</f>
        <v>day 15 fasted</v>
      </c>
      <c r="E610" s="206" t="str">
        <f>IF(AND(A610&lt;&gt;"",ISNUMBER(A610)),VLOOKUP(A610,Studies!A:BR,5,FALSE),"")</f>
        <v>Hydroxy-Itraconazole</v>
      </c>
      <c r="F610" s="207" t="str">
        <f>IF(AND(A610&lt;&gt;"",ISNUMBER(A610)),VLOOKUP(A610,Studies!A:BR,6,FALSE),"")</f>
        <v>Plasma</v>
      </c>
      <c r="G610" s="194">
        <v>344</v>
      </c>
      <c r="H610" s="194" t="s">
        <v>60</v>
      </c>
      <c r="I610" s="187">
        <v>1939.7588968276978</v>
      </c>
      <c r="J610" s="187" t="s">
        <v>1026</v>
      </c>
      <c r="K610" s="187" t="s">
        <v>116</v>
      </c>
      <c r="L610" s="195"/>
      <c r="M610" s="195"/>
      <c r="N610" s="195"/>
      <c r="O610" s="199"/>
      <c r="P610" s="188"/>
      <c r="Q610" s="174">
        <f>IF(ISNUMBER(VLOOKUP(A610,NotghiID!A:A,1,FALSE)),1,0)</f>
        <v>0</v>
      </c>
    </row>
    <row r="611" spans="1:17" ht="14.25" x14ac:dyDescent="0.2">
      <c r="A611" s="183">
        <v>88</v>
      </c>
      <c r="B611" s="232" t="str">
        <f>IF(AND(A611&lt;&gt;"",ISNUMBER(A611)),VLOOKUP(A611,Studies!A:BR,2,FALSE),"")</f>
        <v>Barone 1998a</v>
      </c>
      <c r="C611" s="232" t="str">
        <f>IF(AND(A611&lt;&gt;"",ISNUMBER(A611)),VLOOKUP(A611,Studies!A:BR,3,FALSE),"")</f>
        <v>https://www.ncbi.nlm.nih.gov/pubmed/9545149</v>
      </c>
      <c r="D611" s="232" t="str">
        <f>IF(AND(A611&lt;&gt;"",ISNUMBER(A611)),VLOOKUP(A611,Studies!A:BR,4,FALSE),"")</f>
        <v>day 15 fasted</v>
      </c>
      <c r="E611" s="206" t="str">
        <f>IF(AND(A611&lt;&gt;"",ISNUMBER(A611)),VLOOKUP(A611,Studies!A:BR,5,FALSE),"")</f>
        <v>Hydroxy-Itraconazole</v>
      </c>
      <c r="F611" s="207" t="str">
        <f>IF(AND(A611&lt;&gt;"",ISNUMBER(A611)),VLOOKUP(A611,Studies!A:BR,6,FALSE),"")</f>
        <v>Plasma</v>
      </c>
      <c r="G611" s="194">
        <v>348</v>
      </c>
      <c r="H611" s="194" t="s">
        <v>60</v>
      </c>
      <c r="I611" s="187">
        <v>1861.4457845687866</v>
      </c>
      <c r="J611" s="187" t="s">
        <v>1026</v>
      </c>
      <c r="K611" s="187" t="s">
        <v>116</v>
      </c>
      <c r="L611" s="195"/>
      <c r="M611" s="195"/>
      <c r="N611" s="195"/>
      <c r="O611" s="199"/>
      <c r="P611" s="188"/>
      <c r="Q611" s="174">
        <f>IF(ISNUMBER(VLOOKUP(A611,NotghiID!A:A,1,FALSE)),1,0)</f>
        <v>0</v>
      </c>
    </row>
    <row r="612" spans="1:17" ht="14.25" x14ac:dyDescent="0.2">
      <c r="A612" s="183">
        <v>88</v>
      </c>
      <c r="B612" s="232" t="str">
        <f>IF(AND(A612&lt;&gt;"",ISNUMBER(A612)),VLOOKUP(A612,Studies!A:BR,2,FALSE),"")</f>
        <v>Barone 1998a</v>
      </c>
      <c r="C612" s="232" t="str">
        <f>IF(AND(A612&lt;&gt;"",ISNUMBER(A612)),VLOOKUP(A612,Studies!A:BR,3,FALSE),"")</f>
        <v>https://www.ncbi.nlm.nih.gov/pubmed/9545149</v>
      </c>
      <c r="D612" s="232" t="str">
        <f>IF(AND(A612&lt;&gt;"",ISNUMBER(A612)),VLOOKUP(A612,Studies!A:BR,4,FALSE),"")</f>
        <v>day 15 fasted</v>
      </c>
      <c r="E612" s="206" t="str">
        <f>IF(AND(A612&lt;&gt;"",ISNUMBER(A612)),VLOOKUP(A612,Studies!A:BR,5,FALSE),"")</f>
        <v>Hydroxy-Itraconazole</v>
      </c>
      <c r="F612" s="207" t="str">
        <f>IF(AND(A612&lt;&gt;"",ISNUMBER(A612)),VLOOKUP(A612,Studies!A:BR,6,FALSE),"")</f>
        <v>Plasma</v>
      </c>
      <c r="G612" s="194">
        <v>360</v>
      </c>
      <c r="H612" s="194" t="s">
        <v>60</v>
      </c>
      <c r="I612" s="187">
        <v>1801.2048006057739</v>
      </c>
      <c r="J612" s="187" t="s">
        <v>1026</v>
      </c>
      <c r="K612" s="187" t="s">
        <v>116</v>
      </c>
      <c r="L612" s="195"/>
      <c r="M612" s="195"/>
      <c r="N612" s="195"/>
      <c r="O612" s="199"/>
      <c r="P612" s="188"/>
      <c r="Q612" s="174">
        <f>IF(ISNUMBER(VLOOKUP(A612,NotghiID!A:A,1,FALSE)),1,0)</f>
        <v>0</v>
      </c>
    </row>
    <row r="613" spans="1:17" ht="14.25" x14ac:dyDescent="0.2">
      <c r="A613" s="183">
        <v>89</v>
      </c>
      <c r="B613" s="232" t="str">
        <f>IF(AND(A613&lt;&gt;"",ISNUMBER(A613)),VLOOKUP(A613,Studies!A:BR,2,FALSE),"")</f>
        <v>Barone 1998a</v>
      </c>
      <c r="C613" s="232" t="str">
        <f>IF(AND(A613&lt;&gt;"",ISNUMBER(A613)),VLOOKUP(A613,Studies!A:BR,3,FALSE),"")</f>
        <v>https://www.ncbi.nlm.nih.gov/pubmed/9545149</v>
      </c>
      <c r="D613" s="232" t="str">
        <f>IF(AND(A613&lt;&gt;"",ISNUMBER(A613)),VLOOKUP(A613,Studies!A:BR,4,FALSE),"")</f>
        <v>day 1 fed</v>
      </c>
      <c r="E613" s="206" t="str">
        <f>IF(AND(A613&lt;&gt;"",ISNUMBER(A613)),VLOOKUP(A613,Studies!A:BR,5,FALSE),"")</f>
        <v>Itraconazole</v>
      </c>
      <c r="F613" s="207" t="str">
        <f>IF(AND(A613&lt;&gt;"",ISNUMBER(A613)),VLOOKUP(A613,Studies!A:BR,6,FALSE),"")</f>
        <v>Plasma</v>
      </c>
      <c r="G613" s="194">
        <v>0.5</v>
      </c>
      <c r="H613" s="194" t="s">
        <v>60</v>
      </c>
      <c r="I613" s="187">
        <v>16.867469787597656</v>
      </c>
      <c r="J613" s="187" t="s">
        <v>1026</v>
      </c>
      <c r="K613" s="187" t="s">
        <v>116</v>
      </c>
      <c r="L613" s="195"/>
      <c r="M613" s="195"/>
      <c r="N613" s="195"/>
      <c r="O613" s="199"/>
      <c r="P613" s="188"/>
      <c r="Q613" s="174">
        <f>IF(ISNUMBER(VLOOKUP(A613,NotghiID!A:A,1,FALSE)),1,0)</f>
        <v>0</v>
      </c>
    </row>
    <row r="614" spans="1:17" ht="14.25" x14ac:dyDescent="0.2">
      <c r="A614" s="183">
        <v>89</v>
      </c>
      <c r="B614" s="232" t="str">
        <f>IF(AND(A614&lt;&gt;"",ISNUMBER(A614)),VLOOKUP(A614,Studies!A:BR,2,FALSE),"")</f>
        <v>Barone 1998a</v>
      </c>
      <c r="C614" s="232" t="str">
        <f>IF(AND(A614&lt;&gt;"",ISNUMBER(A614)),VLOOKUP(A614,Studies!A:BR,3,FALSE),"")</f>
        <v>https://www.ncbi.nlm.nih.gov/pubmed/9545149</v>
      </c>
      <c r="D614" s="232" t="str">
        <f>IF(AND(A614&lt;&gt;"",ISNUMBER(A614)),VLOOKUP(A614,Studies!A:BR,4,FALSE),"")</f>
        <v>day 1 fed</v>
      </c>
      <c r="E614" s="206" t="str">
        <f>IF(AND(A614&lt;&gt;"",ISNUMBER(A614)),VLOOKUP(A614,Studies!A:BR,5,FALSE),"")</f>
        <v>Itraconazole</v>
      </c>
      <c r="F614" s="207" t="str">
        <f>IF(AND(A614&lt;&gt;"",ISNUMBER(A614)),VLOOKUP(A614,Studies!A:BR,6,FALSE),"")</f>
        <v>Plasma</v>
      </c>
      <c r="G614" s="194">
        <v>1</v>
      </c>
      <c r="H614" s="194" t="s">
        <v>60</v>
      </c>
      <c r="I614" s="187">
        <v>40.481925964355469</v>
      </c>
      <c r="J614" s="187" t="s">
        <v>1026</v>
      </c>
      <c r="K614" s="187" t="s">
        <v>116</v>
      </c>
      <c r="L614" s="195"/>
      <c r="M614" s="195"/>
      <c r="N614" s="195"/>
      <c r="O614" s="199"/>
      <c r="P614" s="188"/>
      <c r="Q614" s="174">
        <f>IF(ISNUMBER(VLOOKUP(A614,NotghiID!A:A,1,FALSE)),1,0)</f>
        <v>0</v>
      </c>
    </row>
    <row r="615" spans="1:17" ht="14.25" x14ac:dyDescent="0.2">
      <c r="A615" s="183">
        <v>89</v>
      </c>
      <c r="B615" s="232" t="str">
        <f>IF(AND(A615&lt;&gt;"",ISNUMBER(A615)),VLOOKUP(A615,Studies!A:BR,2,FALSE),"")</f>
        <v>Barone 1998a</v>
      </c>
      <c r="C615" s="232" t="str">
        <f>IF(AND(A615&lt;&gt;"",ISNUMBER(A615)),VLOOKUP(A615,Studies!A:BR,3,FALSE),"")</f>
        <v>https://www.ncbi.nlm.nih.gov/pubmed/9545149</v>
      </c>
      <c r="D615" s="232" t="str">
        <f>IF(AND(A615&lt;&gt;"",ISNUMBER(A615)),VLOOKUP(A615,Studies!A:BR,4,FALSE),"")</f>
        <v>day 1 fed</v>
      </c>
      <c r="E615" s="206" t="str">
        <f>IF(AND(A615&lt;&gt;"",ISNUMBER(A615)),VLOOKUP(A615,Studies!A:BR,5,FALSE),"")</f>
        <v>Itraconazole</v>
      </c>
      <c r="F615" s="207" t="str">
        <f>IF(AND(A615&lt;&gt;"",ISNUMBER(A615)),VLOOKUP(A615,Studies!A:BR,6,FALSE),"")</f>
        <v>Plasma</v>
      </c>
      <c r="G615" s="194">
        <v>2</v>
      </c>
      <c r="H615" s="194" t="s">
        <v>60</v>
      </c>
      <c r="I615" s="187">
        <v>96.144577026367188</v>
      </c>
      <c r="J615" s="187" t="s">
        <v>1026</v>
      </c>
      <c r="K615" s="187" t="s">
        <v>116</v>
      </c>
      <c r="L615" s="195"/>
      <c r="M615" s="195"/>
      <c r="N615" s="195"/>
      <c r="O615" s="199"/>
      <c r="P615" s="188"/>
      <c r="Q615" s="174">
        <f>IF(ISNUMBER(VLOOKUP(A615,NotghiID!A:A,1,FALSE)),1,0)</f>
        <v>0</v>
      </c>
    </row>
    <row r="616" spans="1:17" ht="14.25" x14ac:dyDescent="0.2">
      <c r="A616" s="183">
        <v>89</v>
      </c>
      <c r="B616" s="232" t="str">
        <f>IF(AND(A616&lt;&gt;"",ISNUMBER(A616)),VLOOKUP(A616,Studies!A:BR,2,FALSE),"")</f>
        <v>Barone 1998a</v>
      </c>
      <c r="C616" s="232" t="str">
        <f>IF(AND(A616&lt;&gt;"",ISNUMBER(A616)),VLOOKUP(A616,Studies!A:BR,3,FALSE),"")</f>
        <v>https://www.ncbi.nlm.nih.gov/pubmed/9545149</v>
      </c>
      <c r="D616" s="232" t="str">
        <f>IF(AND(A616&lt;&gt;"",ISNUMBER(A616)),VLOOKUP(A616,Studies!A:BR,4,FALSE),"")</f>
        <v>day 1 fed</v>
      </c>
      <c r="E616" s="206" t="str">
        <f>IF(AND(A616&lt;&gt;"",ISNUMBER(A616)),VLOOKUP(A616,Studies!A:BR,5,FALSE),"")</f>
        <v>Itraconazole</v>
      </c>
      <c r="F616" s="207" t="str">
        <f>IF(AND(A616&lt;&gt;"",ISNUMBER(A616)),VLOOKUP(A616,Studies!A:BR,6,FALSE),"")</f>
        <v>Plasma</v>
      </c>
      <c r="G616" s="194">
        <v>3</v>
      </c>
      <c r="H616" s="194" t="s">
        <v>60</v>
      </c>
      <c r="I616" s="187">
        <v>172.04818725585937</v>
      </c>
      <c r="J616" s="187" t="s">
        <v>1026</v>
      </c>
      <c r="K616" s="187" t="s">
        <v>116</v>
      </c>
      <c r="L616" s="195"/>
      <c r="M616" s="195"/>
      <c r="N616" s="195"/>
      <c r="O616" s="199"/>
      <c r="P616" s="188"/>
      <c r="Q616" s="174">
        <f>IF(ISNUMBER(VLOOKUP(A616,NotghiID!A:A,1,FALSE)),1,0)</f>
        <v>0</v>
      </c>
    </row>
    <row r="617" spans="1:17" ht="14.25" x14ac:dyDescent="0.2">
      <c r="A617" s="183">
        <v>89</v>
      </c>
      <c r="B617" s="232" t="str">
        <f>IF(AND(A617&lt;&gt;"",ISNUMBER(A617)),VLOOKUP(A617,Studies!A:BR,2,FALSE),"")</f>
        <v>Barone 1998a</v>
      </c>
      <c r="C617" s="232" t="str">
        <f>IF(AND(A617&lt;&gt;"",ISNUMBER(A617)),VLOOKUP(A617,Studies!A:BR,3,FALSE),"")</f>
        <v>https://www.ncbi.nlm.nih.gov/pubmed/9545149</v>
      </c>
      <c r="D617" s="232" t="str">
        <f>IF(AND(A617&lt;&gt;"",ISNUMBER(A617)),VLOOKUP(A617,Studies!A:BR,4,FALSE),"")</f>
        <v>day 1 fed</v>
      </c>
      <c r="E617" s="206" t="str">
        <f>IF(AND(A617&lt;&gt;"",ISNUMBER(A617)),VLOOKUP(A617,Studies!A:BR,5,FALSE),"")</f>
        <v>Itraconazole</v>
      </c>
      <c r="F617" s="207" t="str">
        <f>IF(AND(A617&lt;&gt;"",ISNUMBER(A617)),VLOOKUP(A617,Studies!A:BR,6,FALSE),"")</f>
        <v>Plasma</v>
      </c>
      <c r="G617" s="194">
        <v>4</v>
      </c>
      <c r="H617" s="194" t="s">
        <v>60</v>
      </c>
      <c r="I617" s="187">
        <v>253.01205444335937</v>
      </c>
      <c r="J617" s="187" t="s">
        <v>1026</v>
      </c>
      <c r="K617" s="187" t="s">
        <v>116</v>
      </c>
      <c r="L617" s="195"/>
      <c r="M617" s="195"/>
      <c r="N617" s="195"/>
      <c r="O617" s="199"/>
      <c r="P617" s="188"/>
      <c r="Q617" s="174">
        <f>IF(ISNUMBER(VLOOKUP(A617,NotghiID!A:A,1,FALSE)),1,0)</f>
        <v>0</v>
      </c>
    </row>
    <row r="618" spans="1:17" ht="14.25" x14ac:dyDescent="0.2">
      <c r="A618" s="183">
        <v>89</v>
      </c>
      <c r="B618" s="232" t="str">
        <f>IF(AND(A618&lt;&gt;"",ISNUMBER(A618)),VLOOKUP(A618,Studies!A:BR,2,FALSE),"")</f>
        <v>Barone 1998a</v>
      </c>
      <c r="C618" s="232" t="str">
        <f>IF(AND(A618&lt;&gt;"",ISNUMBER(A618)),VLOOKUP(A618,Studies!A:BR,3,FALSE),"")</f>
        <v>https://www.ncbi.nlm.nih.gov/pubmed/9545149</v>
      </c>
      <c r="D618" s="232" t="str">
        <f>IF(AND(A618&lt;&gt;"",ISNUMBER(A618)),VLOOKUP(A618,Studies!A:BR,4,FALSE),"")</f>
        <v>day 1 fed</v>
      </c>
      <c r="E618" s="206" t="str">
        <f>IF(AND(A618&lt;&gt;"",ISNUMBER(A618)),VLOOKUP(A618,Studies!A:BR,5,FALSE),"")</f>
        <v>Itraconazole</v>
      </c>
      <c r="F618" s="207" t="str">
        <f>IF(AND(A618&lt;&gt;"",ISNUMBER(A618)),VLOOKUP(A618,Studies!A:BR,6,FALSE),"")</f>
        <v>Plasma</v>
      </c>
      <c r="G618" s="194">
        <v>5</v>
      </c>
      <c r="H618" s="194" t="s">
        <v>60</v>
      </c>
      <c r="I618" s="187">
        <v>308.6746826171875</v>
      </c>
      <c r="J618" s="187" t="s">
        <v>1026</v>
      </c>
      <c r="K618" s="187" t="s">
        <v>116</v>
      </c>
      <c r="L618" s="195"/>
      <c r="M618" s="195"/>
      <c r="N618" s="195"/>
      <c r="O618" s="199"/>
      <c r="P618" s="188"/>
      <c r="Q618" s="174">
        <f>IF(ISNUMBER(VLOOKUP(A618,NotghiID!A:A,1,FALSE)),1,0)</f>
        <v>0</v>
      </c>
    </row>
    <row r="619" spans="1:17" ht="14.25" x14ac:dyDescent="0.2">
      <c r="A619" s="183">
        <v>89</v>
      </c>
      <c r="B619" s="232" t="str">
        <f>IF(AND(A619&lt;&gt;"",ISNUMBER(A619)),VLOOKUP(A619,Studies!A:BR,2,FALSE),"")</f>
        <v>Barone 1998a</v>
      </c>
      <c r="C619" s="232" t="str">
        <f>IF(AND(A619&lt;&gt;"",ISNUMBER(A619)),VLOOKUP(A619,Studies!A:BR,3,FALSE),"")</f>
        <v>https://www.ncbi.nlm.nih.gov/pubmed/9545149</v>
      </c>
      <c r="D619" s="232" t="str">
        <f>IF(AND(A619&lt;&gt;"",ISNUMBER(A619)),VLOOKUP(A619,Studies!A:BR,4,FALSE),"")</f>
        <v>day 1 fed</v>
      </c>
      <c r="E619" s="206" t="str">
        <f>IF(AND(A619&lt;&gt;"",ISNUMBER(A619)),VLOOKUP(A619,Studies!A:BR,5,FALSE),"")</f>
        <v>Itraconazole</v>
      </c>
      <c r="F619" s="207" t="str">
        <f>IF(AND(A619&lt;&gt;"",ISNUMBER(A619)),VLOOKUP(A619,Studies!A:BR,6,FALSE),"")</f>
        <v>Plasma</v>
      </c>
      <c r="G619" s="194">
        <v>6</v>
      </c>
      <c r="H619" s="194" t="s">
        <v>60</v>
      </c>
      <c r="I619" s="187">
        <v>256.38552856445312</v>
      </c>
      <c r="J619" s="187" t="s">
        <v>1026</v>
      </c>
      <c r="K619" s="187" t="s">
        <v>116</v>
      </c>
      <c r="L619" s="195"/>
      <c r="M619" s="195"/>
      <c r="N619" s="195"/>
      <c r="O619" s="199"/>
      <c r="P619" s="188"/>
      <c r="Q619" s="174">
        <f>IF(ISNUMBER(VLOOKUP(A619,NotghiID!A:A,1,FALSE)),1,0)</f>
        <v>0</v>
      </c>
    </row>
    <row r="620" spans="1:17" ht="14.25" x14ac:dyDescent="0.2">
      <c r="A620" s="183">
        <v>89</v>
      </c>
      <c r="B620" s="232" t="str">
        <f>IF(AND(A620&lt;&gt;"",ISNUMBER(A620)),VLOOKUP(A620,Studies!A:BR,2,FALSE),"")</f>
        <v>Barone 1998a</v>
      </c>
      <c r="C620" s="232" t="str">
        <f>IF(AND(A620&lt;&gt;"",ISNUMBER(A620)),VLOOKUP(A620,Studies!A:BR,3,FALSE),"")</f>
        <v>https://www.ncbi.nlm.nih.gov/pubmed/9545149</v>
      </c>
      <c r="D620" s="232" t="str">
        <f>IF(AND(A620&lt;&gt;"",ISNUMBER(A620)),VLOOKUP(A620,Studies!A:BR,4,FALSE),"")</f>
        <v>day 1 fed</v>
      </c>
      <c r="E620" s="206" t="str">
        <f>IF(AND(A620&lt;&gt;"",ISNUMBER(A620)),VLOOKUP(A620,Studies!A:BR,5,FALSE),"")</f>
        <v>Itraconazole</v>
      </c>
      <c r="F620" s="207" t="str">
        <f>IF(AND(A620&lt;&gt;"",ISNUMBER(A620)),VLOOKUP(A620,Studies!A:BR,6,FALSE),"")</f>
        <v>Plasma</v>
      </c>
      <c r="G620" s="194">
        <v>8</v>
      </c>
      <c r="H620" s="194" t="s">
        <v>60</v>
      </c>
      <c r="I620" s="187">
        <v>193.97590637207031</v>
      </c>
      <c r="J620" s="187" t="s">
        <v>1026</v>
      </c>
      <c r="K620" s="187" t="s">
        <v>116</v>
      </c>
      <c r="L620" s="195"/>
      <c r="M620" s="195"/>
      <c r="N620" s="195"/>
      <c r="O620" s="199"/>
      <c r="P620" s="188"/>
      <c r="Q620" s="174">
        <f>IF(ISNUMBER(VLOOKUP(A620,NotghiID!A:A,1,FALSE)),1,0)</f>
        <v>0</v>
      </c>
    </row>
    <row r="621" spans="1:17" ht="14.25" x14ac:dyDescent="0.2">
      <c r="A621" s="183">
        <v>89</v>
      </c>
      <c r="B621" s="232" t="str">
        <f>IF(AND(A621&lt;&gt;"",ISNUMBER(A621)),VLOOKUP(A621,Studies!A:BR,2,FALSE),"")</f>
        <v>Barone 1998a</v>
      </c>
      <c r="C621" s="232" t="str">
        <f>IF(AND(A621&lt;&gt;"",ISNUMBER(A621)),VLOOKUP(A621,Studies!A:BR,3,FALSE),"")</f>
        <v>https://www.ncbi.nlm.nih.gov/pubmed/9545149</v>
      </c>
      <c r="D621" s="232" t="str">
        <f>IF(AND(A621&lt;&gt;"",ISNUMBER(A621)),VLOOKUP(A621,Studies!A:BR,4,FALSE),"")</f>
        <v>day 1 fed</v>
      </c>
      <c r="E621" s="206" t="str">
        <f>IF(AND(A621&lt;&gt;"",ISNUMBER(A621)),VLOOKUP(A621,Studies!A:BR,5,FALSE),"")</f>
        <v>Itraconazole</v>
      </c>
      <c r="F621" s="207" t="str">
        <f>IF(AND(A621&lt;&gt;"",ISNUMBER(A621)),VLOOKUP(A621,Studies!A:BR,6,FALSE),"")</f>
        <v>Plasma</v>
      </c>
      <c r="G621" s="194">
        <v>12</v>
      </c>
      <c r="H621" s="194" t="s">
        <v>60</v>
      </c>
      <c r="I621" s="187">
        <v>118.07228851318359</v>
      </c>
      <c r="J621" s="187" t="s">
        <v>1026</v>
      </c>
      <c r="K621" s="187" t="s">
        <v>116</v>
      </c>
      <c r="L621" s="195"/>
      <c r="M621" s="195"/>
      <c r="N621" s="195"/>
      <c r="O621" s="199"/>
      <c r="P621" s="188"/>
      <c r="Q621" s="174">
        <f>IF(ISNUMBER(VLOOKUP(A621,NotghiID!A:A,1,FALSE)),1,0)</f>
        <v>0</v>
      </c>
    </row>
    <row r="622" spans="1:17" ht="14.25" x14ac:dyDescent="0.2">
      <c r="A622" s="183">
        <v>89</v>
      </c>
      <c r="B622" s="232" t="str">
        <f>IF(AND(A622&lt;&gt;"",ISNUMBER(A622)),VLOOKUP(A622,Studies!A:BR,2,FALSE),"")</f>
        <v>Barone 1998a</v>
      </c>
      <c r="C622" s="232" t="str">
        <f>IF(AND(A622&lt;&gt;"",ISNUMBER(A622)),VLOOKUP(A622,Studies!A:BR,3,FALSE),"")</f>
        <v>https://www.ncbi.nlm.nih.gov/pubmed/9545149</v>
      </c>
      <c r="D622" s="232" t="str">
        <f>IF(AND(A622&lt;&gt;"",ISNUMBER(A622)),VLOOKUP(A622,Studies!A:BR,4,FALSE),"")</f>
        <v>day 1 fed</v>
      </c>
      <c r="E622" s="206" t="str">
        <f>IF(AND(A622&lt;&gt;"",ISNUMBER(A622)),VLOOKUP(A622,Studies!A:BR,5,FALSE),"")</f>
        <v>Itraconazole</v>
      </c>
      <c r="F622" s="207" t="str">
        <f>IF(AND(A622&lt;&gt;"",ISNUMBER(A622)),VLOOKUP(A622,Studies!A:BR,6,FALSE),"")</f>
        <v>Plasma</v>
      </c>
      <c r="G622" s="194">
        <v>24</v>
      </c>
      <c r="H622" s="194" t="s">
        <v>60</v>
      </c>
      <c r="I622" s="187">
        <v>70.843368530273438</v>
      </c>
      <c r="J622" s="187" t="s">
        <v>1026</v>
      </c>
      <c r="K622" s="187" t="s">
        <v>116</v>
      </c>
      <c r="L622" s="195"/>
      <c r="M622" s="195"/>
      <c r="N622" s="195"/>
      <c r="O622" s="199"/>
      <c r="P622" s="188"/>
      <c r="Q622" s="174">
        <f>IF(ISNUMBER(VLOOKUP(A622,NotghiID!A:A,1,FALSE)),1,0)</f>
        <v>0</v>
      </c>
    </row>
    <row r="623" spans="1:17" ht="14.25" x14ac:dyDescent="0.2">
      <c r="A623" s="183">
        <v>90</v>
      </c>
      <c r="B623" s="232" t="str">
        <f>IF(AND(A623&lt;&gt;"",ISNUMBER(A623)),VLOOKUP(A623,Studies!A:BR,2,FALSE),"")</f>
        <v>Barone 1998a</v>
      </c>
      <c r="C623" s="232" t="str">
        <f>IF(AND(A623&lt;&gt;"",ISNUMBER(A623)),VLOOKUP(A623,Studies!A:BR,3,FALSE),"")</f>
        <v>https://www.ncbi.nlm.nih.gov/pubmed/9545149</v>
      </c>
      <c r="D623" s="232" t="str">
        <f>IF(AND(A623&lt;&gt;"",ISNUMBER(A623)),VLOOKUP(A623,Studies!A:BR,4,FALSE),"")</f>
        <v>day 1 fed</v>
      </c>
      <c r="E623" s="206" t="str">
        <f>IF(AND(A623&lt;&gt;"",ISNUMBER(A623)),VLOOKUP(A623,Studies!A:BR,5,FALSE),"")</f>
        <v>Hydroxy-Itraconazole</v>
      </c>
      <c r="F623" s="207" t="str">
        <f>IF(AND(A623&lt;&gt;"",ISNUMBER(A623)),VLOOKUP(A623,Studies!A:BR,6,FALSE),"")</f>
        <v>Plasma</v>
      </c>
      <c r="G623" s="194">
        <v>0.5</v>
      </c>
      <c r="H623" s="194" t="s">
        <v>60</v>
      </c>
      <c r="I623" s="187">
        <v>26.987951278686523</v>
      </c>
      <c r="J623" s="187" t="s">
        <v>1026</v>
      </c>
      <c r="K623" s="187" t="s">
        <v>116</v>
      </c>
      <c r="L623" s="195"/>
      <c r="M623" s="195"/>
      <c r="N623" s="195"/>
      <c r="O623" s="199"/>
      <c r="P623" s="188"/>
      <c r="Q623" s="174">
        <f>IF(ISNUMBER(VLOOKUP(A623,NotghiID!A:A,1,FALSE)),1,0)</f>
        <v>0</v>
      </c>
    </row>
    <row r="624" spans="1:17" ht="14.25" x14ac:dyDescent="0.2">
      <c r="A624" s="183">
        <v>90</v>
      </c>
      <c r="B624" s="232" t="str">
        <f>IF(AND(A624&lt;&gt;"",ISNUMBER(A624)),VLOOKUP(A624,Studies!A:BR,2,FALSE),"")</f>
        <v>Barone 1998a</v>
      </c>
      <c r="C624" s="232" t="str">
        <f>IF(AND(A624&lt;&gt;"",ISNUMBER(A624)),VLOOKUP(A624,Studies!A:BR,3,FALSE),"")</f>
        <v>https://www.ncbi.nlm.nih.gov/pubmed/9545149</v>
      </c>
      <c r="D624" s="232" t="str">
        <f>IF(AND(A624&lt;&gt;"",ISNUMBER(A624)),VLOOKUP(A624,Studies!A:BR,4,FALSE),"")</f>
        <v>day 1 fed</v>
      </c>
      <c r="E624" s="206" t="str">
        <f>IF(AND(A624&lt;&gt;"",ISNUMBER(A624)),VLOOKUP(A624,Studies!A:BR,5,FALSE),"")</f>
        <v>Hydroxy-Itraconazole</v>
      </c>
      <c r="F624" s="207" t="str">
        <f>IF(AND(A624&lt;&gt;"",ISNUMBER(A624)),VLOOKUP(A624,Studies!A:BR,6,FALSE),"")</f>
        <v>Plasma</v>
      </c>
      <c r="G624" s="194">
        <v>1</v>
      </c>
      <c r="H624" s="194" t="s">
        <v>60</v>
      </c>
      <c r="I624" s="187">
        <v>70.843368530273438</v>
      </c>
      <c r="J624" s="187" t="s">
        <v>1026</v>
      </c>
      <c r="K624" s="187" t="s">
        <v>116</v>
      </c>
      <c r="L624" s="195"/>
      <c r="M624" s="195"/>
      <c r="N624" s="195"/>
      <c r="O624" s="199"/>
      <c r="P624" s="188"/>
      <c r="Q624" s="174">
        <f>IF(ISNUMBER(VLOOKUP(A624,NotghiID!A:A,1,FALSE)),1,0)</f>
        <v>0</v>
      </c>
    </row>
    <row r="625" spans="1:17" ht="14.25" x14ac:dyDescent="0.2">
      <c r="A625" s="183">
        <v>90</v>
      </c>
      <c r="B625" s="232" t="str">
        <f>IF(AND(A625&lt;&gt;"",ISNUMBER(A625)),VLOOKUP(A625,Studies!A:BR,2,FALSE),"")</f>
        <v>Barone 1998a</v>
      </c>
      <c r="C625" s="232" t="str">
        <f>IF(AND(A625&lt;&gt;"",ISNUMBER(A625)),VLOOKUP(A625,Studies!A:BR,3,FALSE),"")</f>
        <v>https://www.ncbi.nlm.nih.gov/pubmed/9545149</v>
      </c>
      <c r="D625" s="232" t="str">
        <f>IF(AND(A625&lt;&gt;"",ISNUMBER(A625)),VLOOKUP(A625,Studies!A:BR,4,FALSE),"")</f>
        <v>day 1 fed</v>
      </c>
      <c r="E625" s="206" t="str">
        <f>IF(AND(A625&lt;&gt;"",ISNUMBER(A625)),VLOOKUP(A625,Studies!A:BR,5,FALSE),"")</f>
        <v>Hydroxy-Itraconazole</v>
      </c>
      <c r="F625" s="207" t="str">
        <f>IF(AND(A625&lt;&gt;"",ISNUMBER(A625)),VLOOKUP(A625,Studies!A:BR,6,FALSE),"")</f>
        <v>Plasma</v>
      </c>
      <c r="G625" s="194">
        <v>2</v>
      </c>
      <c r="H625" s="194" t="s">
        <v>60</v>
      </c>
      <c r="I625" s="187">
        <v>158.55421447753906</v>
      </c>
      <c r="J625" s="187" t="s">
        <v>1026</v>
      </c>
      <c r="K625" s="187" t="s">
        <v>116</v>
      </c>
      <c r="L625" s="195"/>
      <c r="M625" s="195"/>
      <c r="N625" s="195"/>
      <c r="O625" s="199"/>
      <c r="P625" s="188"/>
      <c r="Q625" s="174">
        <f>IF(ISNUMBER(VLOOKUP(A625,NotghiID!A:A,1,FALSE)),1,0)</f>
        <v>0</v>
      </c>
    </row>
    <row r="626" spans="1:17" ht="14.25" x14ac:dyDescent="0.2">
      <c r="A626" s="183">
        <v>90</v>
      </c>
      <c r="B626" s="232" t="str">
        <f>IF(AND(A626&lt;&gt;"",ISNUMBER(A626)),VLOOKUP(A626,Studies!A:BR,2,FALSE),"")</f>
        <v>Barone 1998a</v>
      </c>
      <c r="C626" s="232" t="str">
        <f>IF(AND(A626&lt;&gt;"",ISNUMBER(A626)),VLOOKUP(A626,Studies!A:BR,3,FALSE),"")</f>
        <v>https://www.ncbi.nlm.nih.gov/pubmed/9545149</v>
      </c>
      <c r="D626" s="232" t="str">
        <f>IF(AND(A626&lt;&gt;"",ISNUMBER(A626)),VLOOKUP(A626,Studies!A:BR,4,FALSE),"")</f>
        <v>day 1 fed</v>
      </c>
      <c r="E626" s="206" t="str">
        <f>IF(AND(A626&lt;&gt;"",ISNUMBER(A626)),VLOOKUP(A626,Studies!A:BR,5,FALSE),"")</f>
        <v>Hydroxy-Itraconazole</v>
      </c>
      <c r="F626" s="207" t="str">
        <f>IF(AND(A626&lt;&gt;"",ISNUMBER(A626)),VLOOKUP(A626,Studies!A:BR,6,FALSE),"")</f>
        <v>Plasma</v>
      </c>
      <c r="G626" s="194">
        <v>3</v>
      </c>
      <c r="H626" s="194" t="s">
        <v>60</v>
      </c>
      <c r="I626" s="187">
        <v>258.07229614257812</v>
      </c>
      <c r="J626" s="187" t="s">
        <v>1026</v>
      </c>
      <c r="K626" s="187" t="s">
        <v>116</v>
      </c>
      <c r="L626" s="195"/>
      <c r="M626" s="195"/>
      <c r="N626" s="195"/>
      <c r="O626" s="199"/>
      <c r="P626" s="188"/>
      <c r="Q626" s="174">
        <f>IF(ISNUMBER(VLOOKUP(A626,NotghiID!A:A,1,FALSE)),1,0)</f>
        <v>0</v>
      </c>
    </row>
    <row r="627" spans="1:17" ht="14.25" x14ac:dyDescent="0.2">
      <c r="A627" s="183">
        <v>90</v>
      </c>
      <c r="B627" s="232" t="str">
        <f>IF(AND(A627&lt;&gt;"",ISNUMBER(A627)),VLOOKUP(A627,Studies!A:BR,2,FALSE),"")</f>
        <v>Barone 1998a</v>
      </c>
      <c r="C627" s="232" t="str">
        <f>IF(AND(A627&lt;&gt;"",ISNUMBER(A627)),VLOOKUP(A627,Studies!A:BR,3,FALSE),"")</f>
        <v>https://www.ncbi.nlm.nih.gov/pubmed/9545149</v>
      </c>
      <c r="D627" s="232" t="str">
        <f>IF(AND(A627&lt;&gt;"",ISNUMBER(A627)),VLOOKUP(A627,Studies!A:BR,4,FALSE),"")</f>
        <v>day 1 fed</v>
      </c>
      <c r="E627" s="206" t="str">
        <f>IF(AND(A627&lt;&gt;"",ISNUMBER(A627)),VLOOKUP(A627,Studies!A:BR,5,FALSE),"")</f>
        <v>Hydroxy-Itraconazole</v>
      </c>
      <c r="F627" s="207" t="str">
        <f>IF(AND(A627&lt;&gt;"",ISNUMBER(A627)),VLOOKUP(A627,Studies!A:BR,6,FALSE),"")</f>
        <v>Plasma</v>
      </c>
      <c r="G627" s="194">
        <v>4</v>
      </c>
      <c r="H627" s="194" t="s">
        <v>60</v>
      </c>
      <c r="I627" s="187">
        <v>360.96383666992187</v>
      </c>
      <c r="J627" s="187" t="s">
        <v>1026</v>
      </c>
      <c r="K627" s="187" t="s">
        <v>116</v>
      </c>
      <c r="L627" s="195"/>
      <c r="M627" s="195"/>
      <c r="N627" s="195"/>
      <c r="O627" s="199"/>
      <c r="P627" s="188"/>
      <c r="Q627" s="174">
        <f>IF(ISNUMBER(VLOOKUP(A627,NotghiID!A:A,1,FALSE)),1,0)</f>
        <v>0</v>
      </c>
    </row>
    <row r="628" spans="1:17" ht="14.25" x14ac:dyDescent="0.2">
      <c r="A628" s="183">
        <v>90</v>
      </c>
      <c r="B628" s="232" t="str">
        <f>IF(AND(A628&lt;&gt;"",ISNUMBER(A628)),VLOOKUP(A628,Studies!A:BR,2,FALSE),"")</f>
        <v>Barone 1998a</v>
      </c>
      <c r="C628" s="232" t="str">
        <f>IF(AND(A628&lt;&gt;"",ISNUMBER(A628)),VLOOKUP(A628,Studies!A:BR,3,FALSE),"")</f>
        <v>https://www.ncbi.nlm.nih.gov/pubmed/9545149</v>
      </c>
      <c r="D628" s="232" t="str">
        <f>IF(AND(A628&lt;&gt;"",ISNUMBER(A628)),VLOOKUP(A628,Studies!A:BR,4,FALSE),"")</f>
        <v>day 1 fed</v>
      </c>
      <c r="E628" s="206" t="str">
        <f>IF(AND(A628&lt;&gt;"",ISNUMBER(A628)),VLOOKUP(A628,Studies!A:BR,5,FALSE),"")</f>
        <v>Hydroxy-Itraconazole</v>
      </c>
      <c r="F628" s="207" t="str">
        <f>IF(AND(A628&lt;&gt;"",ISNUMBER(A628)),VLOOKUP(A628,Studies!A:BR,6,FALSE),"")</f>
        <v>Plasma</v>
      </c>
      <c r="G628" s="194">
        <v>5</v>
      </c>
      <c r="H628" s="194" t="s">
        <v>60</v>
      </c>
      <c r="I628" s="187">
        <v>416.62649536132813</v>
      </c>
      <c r="J628" s="187" t="s">
        <v>1026</v>
      </c>
      <c r="K628" s="187" t="s">
        <v>116</v>
      </c>
      <c r="L628" s="195"/>
      <c r="M628" s="195"/>
      <c r="N628" s="195"/>
      <c r="O628" s="199"/>
      <c r="P628" s="188"/>
      <c r="Q628" s="174">
        <f>IF(ISNUMBER(VLOOKUP(A628,NotghiID!A:A,1,FALSE)),1,0)</f>
        <v>0</v>
      </c>
    </row>
    <row r="629" spans="1:17" ht="14.25" x14ac:dyDescent="0.2">
      <c r="A629" s="183">
        <v>90</v>
      </c>
      <c r="B629" s="232" t="str">
        <f>IF(AND(A629&lt;&gt;"",ISNUMBER(A629)),VLOOKUP(A629,Studies!A:BR,2,FALSE),"")</f>
        <v>Barone 1998a</v>
      </c>
      <c r="C629" s="232" t="str">
        <f>IF(AND(A629&lt;&gt;"",ISNUMBER(A629)),VLOOKUP(A629,Studies!A:BR,3,FALSE),"")</f>
        <v>https://www.ncbi.nlm.nih.gov/pubmed/9545149</v>
      </c>
      <c r="D629" s="232" t="str">
        <f>IF(AND(A629&lt;&gt;"",ISNUMBER(A629)),VLOOKUP(A629,Studies!A:BR,4,FALSE),"")</f>
        <v>day 1 fed</v>
      </c>
      <c r="E629" s="206" t="str">
        <f>IF(AND(A629&lt;&gt;"",ISNUMBER(A629)),VLOOKUP(A629,Studies!A:BR,5,FALSE),"")</f>
        <v>Hydroxy-Itraconazole</v>
      </c>
      <c r="F629" s="207" t="str">
        <f>IF(AND(A629&lt;&gt;"",ISNUMBER(A629)),VLOOKUP(A629,Studies!A:BR,6,FALSE),"")</f>
        <v>Plasma</v>
      </c>
      <c r="G629" s="194">
        <v>6</v>
      </c>
      <c r="H629" s="194" t="s">
        <v>60</v>
      </c>
      <c r="I629" s="187">
        <v>401.44577026367188</v>
      </c>
      <c r="J629" s="187" t="s">
        <v>1026</v>
      </c>
      <c r="K629" s="187" t="s">
        <v>116</v>
      </c>
      <c r="L629" s="195"/>
      <c r="M629" s="195"/>
      <c r="N629" s="195"/>
      <c r="O629" s="199"/>
      <c r="P629" s="188"/>
      <c r="Q629" s="174">
        <f>IF(ISNUMBER(VLOOKUP(A629,NotghiID!A:A,1,FALSE)),1,0)</f>
        <v>0</v>
      </c>
    </row>
    <row r="630" spans="1:17" ht="14.25" x14ac:dyDescent="0.2">
      <c r="A630" s="183">
        <v>90</v>
      </c>
      <c r="B630" s="232" t="str">
        <f>IF(AND(A630&lt;&gt;"",ISNUMBER(A630)),VLOOKUP(A630,Studies!A:BR,2,FALSE),"")</f>
        <v>Barone 1998a</v>
      </c>
      <c r="C630" s="232" t="str">
        <f>IF(AND(A630&lt;&gt;"",ISNUMBER(A630)),VLOOKUP(A630,Studies!A:BR,3,FALSE),"")</f>
        <v>https://www.ncbi.nlm.nih.gov/pubmed/9545149</v>
      </c>
      <c r="D630" s="232" t="str">
        <f>IF(AND(A630&lt;&gt;"",ISNUMBER(A630)),VLOOKUP(A630,Studies!A:BR,4,FALSE),"")</f>
        <v>day 1 fed</v>
      </c>
      <c r="E630" s="206" t="str">
        <f>IF(AND(A630&lt;&gt;"",ISNUMBER(A630)),VLOOKUP(A630,Studies!A:BR,5,FALSE),"")</f>
        <v>Hydroxy-Itraconazole</v>
      </c>
      <c r="F630" s="207" t="str">
        <f>IF(AND(A630&lt;&gt;"",ISNUMBER(A630)),VLOOKUP(A630,Studies!A:BR,6,FALSE),"")</f>
        <v>Plasma</v>
      </c>
      <c r="G630" s="194">
        <v>8</v>
      </c>
      <c r="H630" s="194" t="s">
        <v>60</v>
      </c>
      <c r="I630" s="187">
        <v>384.57830810546875</v>
      </c>
      <c r="J630" s="187" t="s">
        <v>1026</v>
      </c>
      <c r="K630" s="187" t="s">
        <v>116</v>
      </c>
      <c r="L630" s="195"/>
      <c r="M630" s="195"/>
      <c r="N630" s="195"/>
      <c r="O630" s="199"/>
      <c r="P630" s="188"/>
      <c r="Q630" s="174">
        <f>IF(ISNUMBER(VLOOKUP(A630,NotghiID!A:A,1,FALSE)),1,0)</f>
        <v>0</v>
      </c>
    </row>
    <row r="631" spans="1:17" ht="14.25" x14ac:dyDescent="0.2">
      <c r="A631" s="183">
        <v>90</v>
      </c>
      <c r="B631" s="232" t="str">
        <f>IF(AND(A631&lt;&gt;"",ISNUMBER(A631)),VLOOKUP(A631,Studies!A:BR,2,FALSE),"")</f>
        <v>Barone 1998a</v>
      </c>
      <c r="C631" s="232" t="str">
        <f>IF(AND(A631&lt;&gt;"",ISNUMBER(A631)),VLOOKUP(A631,Studies!A:BR,3,FALSE),"")</f>
        <v>https://www.ncbi.nlm.nih.gov/pubmed/9545149</v>
      </c>
      <c r="D631" s="232" t="str">
        <f>IF(AND(A631&lt;&gt;"",ISNUMBER(A631)),VLOOKUP(A631,Studies!A:BR,4,FALSE),"")</f>
        <v>day 1 fed</v>
      </c>
      <c r="E631" s="206" t="str">
        <f>IF(AND(A631&lt;&gt;"",ISNUMBER(A631)),VLOOKUP(A631,Studies!A:BR,5,FALSE),"")</f>
        <v>Hydroxy-Itraconazole</v>
      </c>
      <c r="F631" s="207" t="str">
        <f>IF(AND(A631&lt;&gt;"",ISNUMBER(A631)),VLOOKUP(A631,Studies!A:BR,6,FALSE),"")</f>
        <v>Plasma</v>
      </c>
      <c r="G631" s="194">
        <v>12</v>
      </c>
      <c r="H631" s="194" t="s">
        <v>60</v>
      </c>
      <c r="I631" s="187">
        <v>318.795166015625</v>
      </c>
      <c r="J631" s="187" t="s">
        <v>1026</v>
      </c>
      <c r="K631" s="187" t="s">
        <v>116</v>
      </c>
      <c r="L631" s="195"/>
      <c r="M631" s="195"/>
      <c r="N631" s="195"/>
      <c r="O631" s="199"/>
      <c r="P631" s="188"/>
      <c r="Q631" s="174">
        <f>IF(ISNUMBER(VLOOKUP(A631,NotghiID!A:A,1,FALSE)),1,0)</f>
        <v>0</v>
      </c>
    </row>
    <row r="632" spans="1:17" ht="14.25" x14ac:dyDescent="0.2">
      <c r="A632" s="183">
        <v>90</v>
      </c>
      <c r="B632" s="232" t="str">
        <f>IF(AND(A632&lt;&gt;"",ISNUMBER(A632)),VLOOKUP(A632,Studies!A:BR,2,FALSE),"")</f>
        <v>Barone 1998a</v>
      </c>
      <c r="C632" s="232" t="str">
        <f>IF(AND(A632&lt;&gt;"",ISNUMBER(A632)),VLOOKUP(A632,Studies!A:BR,3,FALSE),"")</f>
        <v>https://www.ncbi.nlm.nih.gov/pubmed/9545149</v>
      </c>
      <c r="D632" s="232" t="str">
        <f>IF(AND(A632&lt;&gt;"",ISNUMBER(A632)),VLOOKUP(A632,Studies!A:BR,4,FALSE),"")</f>
        <v>day 1 fed</v>
      </c>
      <c r="E632" s="206" t="str">
        <f>IF(AND(A632&lt;&gt;"",ISNUMBER(A632)),VLOOKUP(A632,Studies!A:BR,5,FALSE),"")</f>
        <v>Hydroxy-Itraconazole</v>
      </c>
      <c r="F632" s="207" t="str">
        <f>IF(AND(A632&lt;&gt;"",ISNUMBER(A632)),VLOOKUP(A632,Studies!A:BR,6,FALSE),"")</f>
        <v>Plasma</v>
      </c>
      <c r="G632" s="194">
        <v>24</v>
      </c>
      <c r="H632" s="194" t="s">
        <v>60</v>
      </c>
      <c r="I632" s="187">
        <v>214.21685791015625</v>
      </c>
      <c r="J632" s="187" t="s">
        <v>1026</v>
      </c>
      <c r="K632" s="187" t="s">
        <v>116</v>
      </c>
      <c r="L632" s="195"/>
      <c r="M632" s="195"/>
      <c r="N632" s="195"/>
      <c r="O632" s="199"/>
      <c r="P632" s="188"/>
      <c r="Q632" s="174">
        <f>IF(ISNUMBER(VLOOKUP(A632,NotghiID!A:A,1,FALSE)),1,0)</f>
        <v>0</v>
      </c>
    </row>
    <row r="633" spans="1:17" ht="14.25" x14ac:dyDescent="0.2">
      <c r="A633" s="183">
        <v>91</v>
      </c>
      <c r="B633" s="232" t="str">
        <f>IF(AND(A633&lt;&gt;"",ISNUMBER(A633)),VLOOKUP(A633,Studies!A:BR,2,FALSE),"")</f>
        <v>Barone 1998a</v>
      </c>
      <c r="C633" s="232" t="str">
        <f>IF(AND(A633&lt;&gt;"",ISNUMBER(A633)),VLOOKUP(A633,Studies!A:BR,3,FALSE),"")</f>
        <v>https://www.ncbi.nlm.nih.gov/pubmed/9545149</v>
      </c>
      <c r="D633" s="232" t="str">
        <f>IF(AND(A633&lt;&gt;"",ISNUMBER(A633)),VLOOKUP(A633,Studies!A:BR,4,FALSE),"")</f>
        <v>day 15 fed</v>
      </c>
      <c r="E633" s="206" t="str">
        <f>IF(AND(A633&lt;&gt;"",ISNUMBER(A633)),VLOOKUP(A633,Studies!A:BR,5,FALSE),"")</f>
        <v>Itraconazole</v>
      </c>
      <c r="F633" s="207" t="str">
        <f>IF(AND(A633&lt;&gt;"",ISNUMBER(A633)),VLOOKUP(A633,Studies!A:BR,6,FALSE),"")</f>
        <v>Plasma</v>
      </c>
      <c r="G633" s="194">
        <v>336</v>
      </c>
      <c r="H633" s="194" t="s">
        <v>60</v>
      </c>
      <c r="I633" s="187">
        <v>789.1566162109375</v>
      </c>
      <c r="J633" s="187" t="s">
        <v>1026</v>
      </c>
      <c r="K633" s="187" t="s">
        <v>116</v>
      </c>
      <c r="L633" s="195"/>
      <c r="M633" s="195"/>
      <c r="N633" s="195"/>
      <c r="O633" s="199"/>
      <c r="P633" s="188"/>
      <c r="Q633" s="174">
        <f>IF(ISNUMBER(VLOOKUP(A633,NotghiID!A:A,1,FALSE)),1,0)</f>
        <v>0</v>
      </c>
    </row>
    <row r="634" spans="1:17" ht="14.25" x14ac:dyDescent="0.2">
      <c r="A634" s="183">
        <v>91</v>
      </c>
      <c r="B634" s="232" t="str">
        <f>IF(AND(A634&lt;&gt;"",ISNUMBER(A634)),VLOOKUP(A634,Studies!A:BR,2,FALSE),"")</f>
        <v>Barone 1998a</v>
      </c>
      <c r="C634" s="232" t="str">
        <f>IF(AND(A634&lt;&gt;"",ISNUMBER(A634)),VLOOKUP(A634,Studies!A:BR,3,FALSE),"")</f>
        <v>https://www.ncbi.nlm.nih.gov/pubmed/9545149</v>
      </c>
      <c r="D634" s="232" t="str">
        <f>IF(AND(A634&lt;&gt;"",ISNUMBER(A634)),VLOOKUP(A634,Studies!A:BR,4,FALSE),"")</f>
        <v>day 15 fed</v>
      </c>
      <c r="E634" s="206" t="str">
        <f>IF(AND(A634&lt;&gt;"",ISNUMBER(A634)),VLOOKUP(A634,Studies!A:BR,5,FALSE),"")</f>
        <v>Itraconazole</v>
      </c>
      <c r="F634" s="207" t="str">
        <f>IF(AND(A634&lt;&gt;"",ISNUMBER(A634)),VLOOKUP(A634,Studies!A:BR,6,FALSE),"")</f>
        <v>Plasma</v>
      </c>
      <c r="G634" s="194">
        <v>336.5</v>
      </c>
      <c r="H634" s="194" t="s">
        <v>60</v>
      </c>
      <c r="I634" s="187">
        <v>837.34942626953125</v>
      </c>
      <c r="J634" s="187" t="s">
        <v>1026</v>
      </c>
      <c r="K634" s="187" t="s">
        <v>116</v>
      </c>
      <c r="L634" s="195"/>
      <c r="M634" s="195"/>
      <c r="N634" s="195"/>
      <c r="O634" s="199"/>
      <c r="P634" s="188"/>
      <c r="Q634" s="174">
        <f>IF(ISNUMBER(VLOOKUP(A634,NotghiID!A:A,1,FALSE)),1,0)</f>
        <v>0</v>
      </c>
    </row>
    <row r="635" spans="1:17" ht="14.25" x14ac:dyDescent="0.2">
      <c r="A635" s="183">
        <v>91</v>
      </c>
      <c r="B635" s="232" t="str">
        <f>IF(AND(A635&lt;&gt;"",ISNUMBER(A635)),VLOOKUP(A635,Studies!A:BR,2,FALSE),"")</f>
        <v>Barone 1998a</v>
      </c>
      <c r="C635" s="232" t="str">
        <f>IF(AND(A635&lt;&gt;"",ISNUMBER(A635)),VLOOKUP(A635,Studies!A:BR,3,FALSE),"")</f>
        <v>https://www.ncbi.nlm.nih.gov/pubmed/9545149</v>
      </c>
      <c r="D635" s="232" t="str">
        <f>IF(AND(A635&lt;&gt;"",ISNUMBER(A635)),VLOOKUP(A635,Studies!A:BR,4,FALSE),"")</f>
        <v>day 15 fed</v>
      </c>
      <c r="E635" s="206" t="str">
        <f>IF(AND(A635&lt;&gt;"",ISNUMBER(A635)),VLOOKUP(A635,Studies!A:BR,5,FALSE),"")</f>
        <v>Itraconazole</v>
      </c>
      <c r="F635" s="207" t="str">
        <f>IF(AND(A635&lt;&gt;"",ISNUMBER(A635)),VLOOKUP(A635,Studies!A:BR,6,FALSE),"")</f>
        <v>Plasma</v>
      </c>
      <c r="G635" s="194">
        <v>337</v>
      </c>
      <c r="H635" s="194" t="s">
        <v>60</v>
      </c>
      <c r="I635" s="187">
        <v>921.686767578125</v>
      </c>
      <c r="J635" s="187" t="s">
        <v>1026</v>
      </c>
      <c r="K635" s="187" t="s">
        <v>116</v>
      </c>
      <c r="L635" s="195"/>
      <c r="M635" s="195"/>
      <c r="N635" s="195"/>
      <c r="O635" s="199"/>
      <c r="P635" s="188"/>
      <c r="Q635" s="174">
        <f>IF(ISNUMBER(VLOOKUP(A635,NotghiID!A:A,1,FALSE)),1,0)</f>
        <v>0</v>
      </c>
    </row>
    <row r="636" spans="1:17" ht="14.25" x14ac:dyDescent="0.2">
      <c r="A636" s="183">
        <v>91</v>
      </c>
      <c r="B636" s="232" t="str">
        <f>IF(AND(A636&lt;&gt;"",ISNUMBER(A636)),VLOOKUP(A636,Studies!A:BR,2,FALSE),"")</f>
        <v>Barone 1998a</v>
      </c>
      <c r="C636" s="232" t="str">
        <f>IF(AND(A636&lt;&gt;"",ISNUMBER(A636)),VLOOKUP(A636,Studies!A:BR,3,FALSE),"")</f>
        <v>https://www.ncbi.nlm.nih.gov/pubmed/9545149</v>
      </c>
      <c r="D636" s="232" t="str">
        <f>IF(AND(A636&lt;&gt;"",ISNUMBER(A636)),VLOOKUP(A636,Studies!A:BR,4,FALSE),"")</f>
        <v>day 15 fed</v>
      </c>
      <c r="E636" s="206" t="str">
        <f>IF(AND(A636&lt;&gt;"",ISNUMBER(A636)),VLOOKUP(A636,Studies!A:BR,5,FALSE),"")</f>
        <v>Itraconazole</v>
      </c>
      <c r="F636" s="207" t="str">
        <f>IF(AND(A636&lt;&gt;"",ISNUMBER(A636)),VLOOKUP(A636,Studies!A:BR,6,FALSE),"")</f>
        <v>Plasma</v>
      </c>
      <c r="G636" s="194">
        <v>338</v>
      </c>
      <c r="H636" s="194" t="s">
        <v>60</v>
      </c>
      <c r="I636" s="187">
        <v>1108.4337158203125</v>
      </c>
      <c r="J636" s="187" t="s">
        <v>1026</v>
      </c>
      <c r="K636" s="187" t="s">
        <v>116</v>
      </c>
      <c r="L636" s="195"/>
      <c r="M636" s="195"/>
      <c r="N636" s="195"/>
      <c r="O636" s="199"/>
      <c r="P636" s="188"/>
      <c r="Q636" s="174">
        <f>IF(ISNUMBER(VLOOKUP(A636,NotghiID!A:A,1,FALSE)),1,0)</f>
        <v>0</v>
      </c>
    </row>
    <row r="637" spans="1:17" ht="14.25" x14ac:dyDescent="0.2">
      <c r="A637" s="183">
        <v>91</v>
      </c>
      <c r="B637" s="232" t="str">
        <f>IF(AND(A637&lt;&gt;"",ISNUMBER(A637)),VLOOKUP(A637,Studies!A:BR,2,FALSE),"")</f>
        <v>Barone 1998a</v>
      </c>
      <c r="C637" s="232" t="str">
        <f>IF(AND(A637&lt;&gt;"",ISNUMBER(A637)),VLOOKUP(A637,Studies!A:BR,3,FALSE),"")</f>
        <v>https://www.ncbi.nlm.nih.gov/pubmed/9545149</v>
      </c>
      <c r="D637" s="232" t="str">
        <f>IF(AND(A637&lt;&gt;"",ISNUMBER(A637)),VLOOKUP(A637,Studies!A:BR,4,FALSE),"")</f>
        <v>day 15 fed</v>
      </c>
      <c r="E637" s="206" t="str">
        <f>IF(AND(A637&lt;&gt;"",ISNUMBER(A637)),VLOOKUP(A637,Studies!A:BR,5,FALSE),"")</f>
        <v>Itraconazole</v>
      </c>
      <c r="F637" s="207" t="str">
        <f>IF(AND(A637&lt;&gt;"",ISNUMBER(A637)),VLOOKUP(A637,Studies!A:BR,6,FALSE),"")</f>
        <v>Plasma</v>
      </c>
      <c r="G637" s="194">
        <v>339</v>
      </c>
      <c r="H637" s="194" t="s">
        <v>60</v>
      </c>
      <c r="I637" s="187">
        <v>1240.9638671875</v>
      </c>
      <c r="J637" s="187" t="s">
        <v>1026</v>
      </c>
      <c r="K637" s="187" t="s">
        <v>116</v>
      </c>
      <c r="L637" s="195"/>
      <c r="M637" s="195"/>
      <c r="N637" s="195"/>
      <c r="O637" s="199"/>
      <c r="P637" s="188"/>
      <c r="Q637" s="174">
        <f>IF(ISNUMBER(VLOOKUP(A637,NotghiID!A:A,1,FALSE)),1,0)</f>
        <v>0</v>
      </c>
    </row>
    <row r="638" spans="1:17" ht="14.25" x14ac:dyDescent="0.2">
      <c r="A638" s="183">
        <v>91</v>
      </c>
      <c r="B638" s="232" t="str">
        <f>IF(AND(A638&lt;&gt;"",ISNUMBER(A638)),VLOOKUP(A638,Studies!A:BR,2,FALSE),"")</f>
        <v>Barone 1998a</v>
      </c>
      <c r="C638" s="232" t="str">
        <f>IF(AND(A638&lt;&gt;"",ISNUMBER(A638)),VLOOKUP(A638,Studies!A:BR,3,FALSE),"")</f>
        <v>https://www.ncbi.nlm.nih.gov/pubmed/9545149</v>
      </c>
      <c r="D638" s="232" t="str">
        <f>IF(AND(A638&lt;&gt;"",ISNUMBER(A638)),VLOOKUP(A638,Studies!A:BR,4,FALSE),"")</f>
        <v>day 15 fed</v>
      </c>
      <c r="E638" s="206" t="str">
        <f>IF(AND(A638&lt;&gt;"",ISNUMBER(A638)),VLOOKUP(A638,Studies!A:BR,5,FALSE),"")</f>
        <v>Itraconazole</v>
      </c>
      <c r="F638" s="207" t="str">
        <f>IF(AND(A638&lt;&gt;"",ISNUMBER(A638)),VLOOKUP(A638,Studies!A:BR,6,FALSE),"")</f>
        <v>Plasma</v>
      </c>
      <c r="G638" s="194">
        <v>340</v>
      </c>
      <c r="H638" s="194" t="s">
        <v>60</v>
      </c>
      <c r="I638" s="187">
        <v>1373.4940185546875</v>
      </c>
      <c r="J638" s="187" t="s">
        <v>1026</v>
      </c>
      <c r="K638" s="187" t="s">
        <v>116</v>
      </c>
      <c r="L638" s="195"/>
      <c r="M638" s="195"/>
      <c r="N638" s="195"/>
      <c r="O638" s="199"/>
      <c r="P638" s="188"/>
      <c r="Q638" s="174">
        <f>IF(ISNUMBER(VLOOKUP(A638,NotghiID!A:A,1,FALSE)),1,0)</f>
        <v>0</v>
      </c>
    </row>
    <row r="639" spans="1:17" ht="14.25" x14ac:dyDescent="0.2">
      <c r="A639" s="183">
        <v>91</v>
      </c>
      <c r="B639" s="232" t="str">
        <f>IF(AND(A639&lt;&gt;"",ISNUMBER(A639)),VLOOKUP(A639,Studies!A:BR,2,FALSE),"")</f>
        <v>Barone 1998a</v>
      </c>
      <c r="C639" s="232" t="str">
        <f>IF(AND(A639&lt;&gt;"",ISNUMBER(A639)),VLOOKUP(A639,Studies!A:BR,3,FALSE),"")</f>
        <v>https://www.ncbi.nlm.nih.gov/pubmed/9545149</v>
      </c>
      <c r="D639" s="232" t="str">
        <f>IF(AND(A639&lt;&gt;"",ISNUMBER(A639)),VLOOKUP(A639,Studies!A:BR,4,FALSE),"")</f>
        <v>day 15 fed</v>
      </c>
      <c r="E639" s="206" t="str">
        <f>IF(AND(A639&lt;&gt;"",ISNUMBER(A639)),VLOOKUP(A639,Studies!A:BR,5,FALSE),"")</f>
        <v>Itraconazole</v>
      </c>
      <c r="F639" s="207" t="str">
        <f>IF(AND(A639&lt;&gt;"",ISNUMBER(A639)),VLOOKUP(A639,Studies!A:BR,6,FALSE),"")</f>
        <v>Plasma</v>
      </c>
      <c r="G639" s="194">
        <v>341</v>
      </c>
      <c r="H639" s="194" t="s">
        <v>60</v>
      </c>
      <c r="I639" s="187">
        <v>1337.349365234375</v>
      </c>
      <c r="J639" s="187" t="s">
        <v>1026</v>
      </c>
      <c r="K639" s="187" t="s">
        <v>116</v>
      </c>
      <c r="L639" s="195"/>
      <c r="M639" s="195"/>
      <c r="N639" s="195"/>
      <c r="O639" s="199"/>
      <c r="P639" s="188"/>
      <c r="Q639" s="174">
        <f>IF(ISNUMBER(VLOOKUP(A639,NotghiID!A:A,1,FALSE)),1,0)</f>
        <v>0</v>
      </c>
    </row>
    <row r="640" spans="1:17" ht="14.25" x14ac:dyDescent="0.2">
      <c r="A640" s="183">
        <v>91</v>
      </c>
      <c r="B640" s="232" t="str">
        <f>IF(AND(A640&lt;&gt;"",ISNUMBER(A640)),VLOOKUP(A640,Studies!A:BR,2,FALSE),"")</f>
        <v>Barone 1998a</v>
      </c>
      <c r="C640" s="232" t="str">
        <f>IF(AND(A640&lt;&gt;"",ISNUMBER(A640)),VLOOKUP(A640,Studies!A:BR,3,FALSE),"")</f>
        <v>https://www.ncbi.nlm.nih.gov/pubmed/9545149</v>
      </c>
      <c r="D640" s="232" t="str">
        <f>IF(AND(A640&lt;&gt;"",ISNUMBER(A640)),VLOOKUP(A640,Studies!A:BR,4,FALSE),"")</f>
        <v>day 15 fed</v>
      </c>
      <c r="E640" s="206" t="str">
        <f>IF(AND(A640&lt;&gt;"",ISNUMBER(A640)),VLOOKUP(A640,Studies!A:BR,5,FALSE),"")</f>
        <v>Itraconazole</v>
      </c>
      <c r="F640" s="207" t="str">
        <f>IF(AND(A640&lt;&gt;"",ISNUMBER(A640)),VLOOKUP(A640,Studies!A:BR,6,FALSE),"")</f>
        <v>Plasma</v>
      </c>
      <c r="G640" s="194">
        <v>342</v>
      </c>
      <c r="H640" s="194" t="s">
        <v>60</v>
      </c>
      <c r="I640" s="187">
        <v>1216.867431640625</v>
      </c>
      <c r="J640" s="187" t="s">
        <v>1026</v>
      </c>
      <c r="K640" s="187" t="s">
        <v>116</v>
      </c>
      <c r="L640" s="195"/>
      <c r="M640" s="195"/>
      <c r="N640" s="195"/>
      <c r="O640" s="199"/>
      <c r="P640" s="188"/>
      <c r="Q640" s="174">
        <f>IF(ISNUMBER(VLOOKUP(A640,NotghiID!A:A,1,FALSE)),1,0)</f>
        <v>0</v>
      </c>
    </row>
    <row r="641" spans="1:17" ht="14.25" x14ac:dyDescent="0.2">
      <c r="A641" s="183">
        <v>91</v>
      </c>
      <c r="B641" s="232" t="str">
        <f>IF(AND(A641&lt;&gt;"",ISNUMBER(A641)),VLOOKUP(A641,Studies!A:BR,2,FALSE),"")</f>
        <v>Barone 1998a</v>
      </c>
      <c r="C641" s="232" t="str">
        <f>IF(AND(A641&lt;&gt;"",ISNUMBER(A641)),VLOOKUP(A641,Studies!A:BR,3,FALSE),"")</f>
        <v>https://www.ncbi.nlm.nih.gov/pubmed/9545149</v>
      </c>
      <c r="D641" s="232" t="str">
        <f>IF(AND(A641&lt;&gt;"",ISNUMBER(A641)),VLOOKUP(A641,Studies!A:BR,4,FALSE),"")</f>
        <v>day 15 fed</v>
      </c>
      <c r="E641" s="206" t="str">
        <f>IF(AND(A641&lt;&gt;"",ISNUMBER(A641)),VLOOKUP(A641,Studies!A:BR,5,FALSE),"")</f>
        <v>Itraconazole</v>
      </c>
      <c r="F641" s="207" t="str">
        <f>IF(AND(A641&lt;&gt;"",ISNUMBER(A641)),VLOOKUP(A641,Studies!A:BR,6,FALSE),"")</f>
        <v>Plasma</v>
      </c>
      <c r="G641" s="194">
        <v>344</v>
      </c>
      <c r="H641" s="194" t="s">
        <v>60</v>
      </c>
      <c r="I641" s="187">
        <v>1030.1204833984375</v>
      </c>
      <c r="J641" s="187" t="s">
        <v>1026</v>
      </c>
      <c r="K641" s="187" t="s">
        <v>116</v>
      </c>
      <c r="L641" s="195"/>
      <c r="M641" s="195"/>
      <c r="N641" s="195"/>
      <c r="O641" s="199"/>
      <c r="P641" s="188"/>
      <c r="Q641" s="174">
        <f>IF(ISNUMBER(VLOOKUP(A641,NotghiID!A:A,1,FALSE)),1,0)</f>
        <v>0</v>
      </c>
    </row>
    <row r="642" spans="1:17" ht="14.25" x14ac:dyDescent="0.2">
      <c r="A642" s="183">
        <v>91</v>
      </c>
      <c r="B642" s="232" t="str">
        <f>IF(AND(A642&lt;&gt;"",ISNUMBER(A642)),VLOOKUP(A642,Studies!A:BR,2,FALSE),"")</f>
        <v>Barone 1998a</v>
      </c>
      <c r="C642" s="232" t="str">
        <f>IF(AND(A642&lt;&gt;"",ISNUMBER(A642)),VLOOKUP(A642,Studies!A:BR,3,FALSE),"")</f>
        <v>https://www.ncbi.nlm.nih.gov/pubmed/9545149</v>
      </c>
      <c r="D642" s="232" t="str">
        <f>IF(AND(A642&lt;&gt;"",ISNUMBER(A642)),VLOOKUP(A642,Studies!A:BR,4,FALSE),"")</f>
        <v>day 15 fed</v>
      </c>
      <c r="E642" s="206" t="str">
        <f>IF(AND(A642&lt;&gt;"",ISNUMBER(A642)),VLOOKUP(A642,Studies!A:BR,5,FALSE),"")</f>
        <v>Itraconazole</v>
      </c>
      <c r="F642" s="207" t="str">
        <f>IF(AND(A642&lt;&gt;"",ISNUMBER(A642)),VLOOKUP(A642,Studies!A:BR,6,FALSE),"")</f>
        <v>Plasma</v>
      </c>
      <c r="G642" s="194">
        <v>348</v>
      </c>
      <c r="H642" s="194" t="s">
        <v>60</v>
      </c>
      <c r="I642" s="187">
        <v>867.46990966796875</v>
      </c>
      <c r="J642" s="187" t="s">
        <v>1026</v>
      </c>
      <c r="K642" s="187" t="s">
        <v>116</v>
      </c>
      <c r="L642" s="195"/>
      <c r="M642" s="195"/>
      <c r="N642" s="195"/>
      <c r="O642" s="199"/>
      <c r="P642" s="188"/>
      <c r="Q642" s="174">
        <f>IF(ISNUMBER(VLOOKUP(A642,NotghiID!A:A,1,FALSE)),1,0)</f>
        <v>0</v>
      </c>
    </row>
    <row r="643" spans="1:17" ht="14.25" x14ac:dyDescent="0.2">
      <c r="A643" s="183">
        <v>91</v>
      </c>
      <c r="B643" s="232" t="str">
        <f>IF(AND(A643&lt;&gt;"",ISNUMBER(A643)),VLOOKUP(A643,Studies!A:BR,2,FALSE),"")</f>
        <v>Barone 1998a</v>
      </c>
      <c r="C643" s="232" t="str">
        <f>IF(AND(A643&lt;&gt;"",ISNUMBER(A643)),VLOOKUP(A643,Studies!A:BR,3,FALSE),"")</f>
        <v>https://www.ncbi.nlm.nih.gov/pubmed/9545149</v>
      </c>
      <c r="D643" s="232" t="str">
        <f>IF(AND(A643&lt;&gt;"",ISNUMBER(A643)),VLOOKUP(A643,Studies!A:BR,4,FALSE),"")</f>
        <v>day 15 fed</v>
      </c>
      <c r="E643" s="206" t="str">
        <f>IF(AND(A643&lt;&gt;"",ISNUMBER(A643)),VLOOKUP(A643,Studies!A:BR,5,FALSE),"")</f>
        <v>Itraconazole</v>
      </c>
      <c r="F643" s="207" t="str">
        <f>IF(AND(A643&lt;&gt;"",ISNUMBER(A643)),VLOOKUP(A643,Studies!A:BR,6,FALSE),"")</f>
        <v>Plasma</v>
      </c>
      <c r="G643" s="194">
        <v>360</v>
      </c>
      <c r="H643" s="194" t="s">
        <v>60</v>
      </c>
      <c r="I643" s="187">
        <v>746.98797607421875</v>
      </c>
      <c r="J643" s="187" t="s">
        <v>1026</v>
      </c>
      <c r="K643" s="187" t="s">
        <v>116</v>
      </c>
      <c r="L643" s="195"/>
      <c r="M643" s="195"/>
      <c r="N643" s="195"/>
      <c r="O643" s="199"/>
      <c r="P643" s="188"/>
      <c r="Q643" s="174">
        <f>IF(ISNUMBER(VLOOKUP(A643,NotghiID!A:A,1,FALSE)),1,0)</f>
        <v>0</v>
      </c>
    </row>
    <row r="644" spans="1:17" ht="14.25" x14ac:dyDescent="0.2">
      <c r="A644" s="183">
        <v>92</v>
      </c>
      <c r="B644" s="232" t="str">
        <f>IF(AND(A644&lt;&gt;"",ISNUMBER(A644)),VLOOKUP(A644,Studies!A:BR,2,FALSE),"")</f>
        <v>Barone 1998a</v>
      </c>
      <c r="C644" s="232" t="str">
        <f>IF(AND(A644&lt;&gt;"",ISNUMBER(A644)),VLOOKUP(A644,Studies!A:BR,3,FALSE),"")</f>
        <v>https://www.ncbi.nlm.nih.gov/pubmed/9545149</v>
      </c>
      <c r="D644" s="232" t="str">
        <f>IF(AND(A644&lt;&gt;"",ISNUMBER(A644)),VLOOKUP(A644,Studies!A:BR,4,FALSE),"")</f>
        <v>day 15 fed</v>
      </c>
      <c r="E644" s="206" t="str">
        <f>IF(AND(A644&lt;&gt;"",ISNUMBER(A644)),VLOOKUP(A644,Studies!A:BR,5,FALSE),"")</f>
        <v>Hydroxy-Itraconazole</v>
      </c>
      <c r="F644" s="207" t="str">
        <f>IF(AND(A644&lt;&gt;"",ISNUMBER(A644)),VLOOKUP(A644,Studies!A:BR,6,FALSE),"")</f>
        <v>Plasma</v>
      </c>
      <c r="G644" s="194">
        <v>336</v>
      </c>
      <c r="H644" s="194" t="s">
        <v>60</v>
      </c>
      <c r="I644" s="187">
        <v>1572.2891845703125</v>
      </c>
      <c r="J644" s="187" t="s">
        <v>1026</v>
      </c>
      <c r="K644" s="187" t="s">
        <v>116</v>
      </c>
      <c r="L644" s="195"/>
      <c r="M644" s="195"/>
      <c r="N644" s="195"/>
      <c r="O644" s="199"/>
      <c r="P644" s="188"/>
      <c r="Q644" s="174">
        <f>IF(ISNUMBER(VLOOKUP(A644,NotghiID!A:A,1,FALSE)),1,0)</f>
        <v>0</v>
      </c>
    </row>
    <row r="645" spans="1:17" ht="14.25" x14ac:dyDescent="0.2">
      <c r="A645" s="183">
        <v>92</v>
      </c>
      <c r="B645" s="232" t="str">
        <f>IF(AND(A645&lt;&gt;"",ISNUMBER(A645)),VLOOKUP(A645,Studies!A:BR,2,FALSE),"")</f>
        <v>Barone 1998a</v>
      </c>
      <c r="C645" s="232" t="str">
        <f>IF(AND(A645&lt;&gt;"",ISNUMBER(A645)),VLOOKUP(A645,Studies!A:BR,3,FALSE),"")</f>
        <v>https://www.ncbi.nlm.nih.gov/pubmed/9545149</v>
      </c>
      <c r="D645" s="232" t="str">
        <f>IF(AND(A645&lt;&gt;"",ISNUMBER(A645)),VLOOKUP(A645,Studies!A:BR,4,FALSE),"")</f>
        <v>day 15 fed</v>
      </c>
      <c r="E645" s="206" t="str">
        <f>IF(AND(A645&lt;&gt;"",ISNUMBER(A645)),VLOOKUP(A645,Studies!A:BR,5,FALSE),"")</f>
        <v>Hydroxy-Itraconazole</v>
      </c>
      <c r="F645" s="207" t="str">
        <f>IF(AND(A645&lt;&gt;"",ISNUMBER(A645)),VLOOKUP(A645,Studies!A:BR,6,FALSE),"")</f>
        <v>Plasma</v>
      </c>
      <c r="G645" s="194">
        <v>336.5</v>
      </c>
      <c r="H645" s="194" t="s">
        <v>60</v>
      </c>
      <c r="I645" s="187">
        <v>1536.1446533203125</v>
      </c>
      <c r="J645" s="187" t="s">
        <v>1026</v>
      </c>
      <c r="K645" s="187" t="s">
        <v>116</v>
      </c>
      <c r="L645" s="195"/>
      <c r="M645" s="195"/>
      <c r="N645" s="195"/>
      <c r="O645" s="199"/>
      <c r="P645" s="188"/>
      <c r="Q645" s="174">
        <f>IF(ISNUMBER(VLOOKUP(A645,NotghiID!A:A,1,FALSE)),1,0)</f>
        <v>0</v>
      </c>
    </row>
    <row r="646" spans="1:17" ht="14.25" x14ac:dyDescent="0.2">
      <c r="A646" s="183">
        <v>92</v>
      </c>
      <c r="B646" s="232" t="str">
        <f>IF(AND(A646&lt;&gt;"",ISNUMBER(A646)),VLOOKUP(A646,Studies!A:BR,2,FALSE),"")</f>
        <v>Barone 1998a</v>
      </c>
      <c r="C646" s="232" t="str">
        <f>IF(AND(A646&lt;&gt;"",ISNUMBER(A646)),VLOOKUP(A646,Studies!A:BR,3,FALSE),"")</f>
        <v>https://www.ncbi.nlm.nih.gov/pubmed/9545149</v>
      </c>
      <c r="D646" s="232" t="str">
        <f>IF(AND(A646&lt;&gt;"",ISNUMBER(A646)),VLOOKUP(A646,Studies!A:BR,4,FALSE),"")</f>
        <v>day 15 fed</v>
      </c>
      <c r="E646" s="206" t="str">
        <f>IF(AND(A646&lt;&gt;"",ISNUMBER(A646)),VLOOKUP(A646,Studies!A:BR,5,FALSE),"")</f>
        <v>Hydroxy-Itraconazole</v>
      </c>
      <c r="F646" s="207" t="str">
        <f>IF(AND(A646&lt;&gt;"",ISNUMBER(A646)),VLOOKUP(A646,Studies!A:BR,6,FALSE),"")</f>
        <v>Plasma</v>
      </c>
      <c r="G646" s="194">
        <v>337</v>
      </c>
      <c r="H646" s="194" t="s">
        <v>60</v>
      </c>
      <c r="I646" s="187">
        <v>1536.1446533203125</v>
      </c>
      <c r="J646" s="187" t="s">
        <v>1026</v>
      </c>
      <c r="K646" s="187" t="s">
        <v>116</v>
      </c>
      <c r="L646" s="195"/>
      <c r="M646" s="195"/>
      <c r="N646" s="195"/>
      <c r="O646" s="199"/>
      <c r="P646" s="188"/>
      <c r="Q646" s="174">
        <f>IF(ISNUMBER(VLOOKUP(A646,NotghiID!A:A,1,FALSE)),1,0)</f>
        <v>0</v>
      </c>
    </row>
    <row r="647" spans="1:17" ht="14.25" x14ac:dyDescent="0.2">
      <c r="A647" s="183">
        <v>92</v>
      </c>
      <c r="B647" s="232" t="str">
        <f>IF(AND(A647&lt;&gt;"",ISNUMBER(A647)),VLOOKUP(A647,Studies!A:BR,2,FALSE),"")</f>
        <v>Barone 1998a</v>
      </c>
      <c r="C647" s="232" t="str">
        <f>IF(AND(A647&lt;&gt;"",ISNUMBER(A647)),VLOOKUP(A647,Studies!A:BR,3,FALSE),"")</f>
        <v>https://www.ncbi.nlm.nih.gov/pubmed/9545149</v>
      </c>
      <c r="D647" s="232" t="str">
        <f>IF(AND(A647&lt;&gt;"",ISNUMBER(A647)),VLOOKUP(A647,Studies!A:BR,4,FALSE),"")</f>
        <v>day 15 fed</v>
      </c>
      <c r="E647" s="206" t="str">
        <f>IF(AND(A647&lt;&gt;"",ISNUMBER(A647)),VLOOKUP(A647,Studies!A:BR,5,FALSE),"")</f>
        <v>Hydroxy-Itraconazole</v>
      </c>
      <c r="F647" s="207" t="str">
        <f>IF(AND(A647&lt;&gt;"",ISNUMBER(A647)),VLOOKUP(A647,Studies!A:BR,6,FALSE),"")</f>
        <v>Plasma</v>
      </c>
      <c r="G647" s="194">
        <v>338</v>
      </c>
      <c r="H647" s="194" t="s">
        <v>60</v>
      </c>
      <c r="I647" s="187">
        <v>1614.4578857421875</v>
      </c>
      <c r="J647" s="187" t="s">
        <v>1026</v>
      </c>
      <c r="K647" s="187" t="s">
        <v>116</v>
      </c>
      <c r="L647" s="195"/>
      <c r="M647" s="195"/>
      <c r="N647" s="195"/>
      <c r="O647" s="199"/>
      <c r="P647" s="188"/>
      <c r="Q647" s="174">
        <f>IF(ISNUMBER(VLOOKUP(A647,NotghiID!A:A,1,FALSE)),1,0)</f>
        <v>0</v>
      </c>
    </row>
    <row r="648" spans="1:17" ht="14.25" x14ac:dyDescent="0.2">
      <c r="A648" s="183">
        <v>92</v>
      </c>
      <c r="B648" s="232" t="str">
        <f>IF(AND(A648&lt;&gt;"",ISNUMBER(A648)),VLOOKUP(A648,Studies!A:BR,2,FALSE),"")</f>
        <v>Barone 1998a</v>
      </c>
      <c r="C648" s="232" t="str">
        <f>IF(AND(A648&lt;&gt;"",ISNUMBER(A648)),VLOOKUP(A648,Studies!A:BR,3,FALSE),"")</f>
        <v>https://www.ncbi.nlm.nih.gov/pubmed/9545149</v>
      </c>
      <c r="D648" s="232" t="str">
        <f>IF(AND(A648&lt;&gt;"",ISNUMBER(A648)),VLOOKUP(A648,Studies!A:BR,4,FALSE),"")</f>
        <v>day 15 fed</v>
      </c>
      <c r="E648" s="206" t="str">
        <f>IF(AND(A648&lt;&gt;"",ISNUMBER(A648)),VLOOKUP(A648,Studies!A:BR,5,FALSE),"")</f>
        <v>Hydroxy-Itraconazole</v>
      </c>
      <c r="F648" s="207" t="str">
        <f>IF(AND(A648&lt;&gt;"",ISNUMBER(A648)),VLOOKUP(A648,Studies!A:BR,6,FALSE),"")</f>
        <v>Plasma</v>
      </c>
      <c r="G648" s="194">
        <v>339</v>
      </c>
      <c r="H648" s="194" t="s">
        <v>60</v>
      </c>
      <c r="I648" s="187">
        <v>1668.6746826171875</v>
      </c>
      <c r="J648" s="187" t="s">
        <v>1026</v>
      </c>
      <c r="K648" s="187" t="s">
        <v>116</v>
      </c>
      <c r="L648" s="195"/>
      <c r="M648" s="195"/>
      <c r="N648" s="195"/>
      <c r="O648" s="199"/>
      <c r="P648" s="188"/>
      <c r="Q648" s="174">
        <f>IF(ISNUMBER(VLOOKUP(A648,NotghiID!A:A,1,FALSE)),1,0)</f>
        <v>0</v>
      </c>
    </row>
    <row r="649" spans="1:17" ht="14.25" x14ac:dyDescent="0.2">
      <c r="A649" s="183">
        <v>92</v>
      </c>
      <c r="B649" s="232" t="str">
        <f>IF(AND(A649&lt;&gt;"",ISNUMBER(A649)),VLOOKUP(A649,Studies!A:BR,2,FALSE),"")</f>
        <v>Barone 1998a</v>
      </c>
      <c r="C649" s="232" t="str">
        <f>IF(AND(A649&lt;&gt;"",ISNUMBER(A649)),VLOOKUP(A649,Studies!A:BR,3,FALSE),"")</f>
        <v>https://www.ncbi.nlm.nih.gov/pubmed/9545149</v>
      </c>
      <c r="D649" s="232" t="str">
        <f>IF(AND(A649&lt;&gt;"",ISNUMBER(A649)),VLOOKUP(A649,Studies!A:BR,4,FALSE),"")</f>
        <v>day 15 fed</v>
      </c>
      <c r="E649" s="206" t="str">
        <f>IF(AND(A649&lt;&gt;"",ISNUMBER(A649)),VLOOKUP(A649,Studies!A:BR,5,FALSE),"")</f>
        <v>Hydroxy-Itraconazole</v>
      </c>
      <c r="F649" s="207" t="str">
        <f>IF(AND(A649&lt;&gt;"",ISNUMBER(A649)),VLOOKUP(A649,Studies!A:BR,6,FALSE),"")</f>
        <v>Plasma</v>
      </c>
      <c r="G649" s="194">
        <v>340</v>
      </c>
      <c r="H649" s="194" t="s">
        <v>60</v>
      </c>
      <c r="I649" s="187">
        <v>1753.0120849609375</v>
      </c>
      <c r="J649" s="187" t="s">
        <v>1026</v>
      </c>
      <c r="K649" s="187" t="s">
        <v>116</v>
      </c>
      <c r="L649" s="195"/>
      <c r="M649" s="195"/>
      <c r="N649" s="195"/>
      <c r="O649" s="199"/>
      <c r="P649" s="188"/>
      <c r="Q649" s="174">
        <f>IF(ISNUMBER(VLOOKUP(A649,NotghiID!A:A,1,FALSE)),1,0)</f>
        <v>0</v>
      </c>
    </row>
    <row r="650" spans="1:17" ht="14.25" x14ac:dyDescent="0.2">
      <c r="A650" s="183">
        <v>92</v>
      </c>
      <c r="B650" s="232" t="str">
        <f>IF(AND(A650&lt;&gt;"",ISNUMBER(A650)),VLOOKUP(A650,Studies!A:BR,2,FALSE),"")</f>
        <v>Barone 1998a</v>
      </c>
      <c r="C650" s="232" t="str">
        <f>IF(AND(A650&lt;&gt;"",ISNUMBER(A650)),VLOOKUP(A650,Studies!A:BR,3,FALSE),"")</f>
        <v>https://www.ncbi.nlm.nih.gov/pubmed/9545149</v>
      </c>
      <c r="D650" s="232" t="str">
        <f>IF(AND(A650&lt;&gt;"",ISNUMBER(A650)),VLOOKUP(A650,Studies!A:BR,4,FALSE),"")</f>
        <v>day 15 fed</v>
      </c>
      <c r="E650" s="206" t="str">
        <f>IF(AND(A650&lt;&gt;"",ISNUMBER(A650)),VLOOKUP(A650,Studies!A:BR,5,FALSE),"")</f>
        <v>Hydroxy-Itraconazole</v>
      </c>
      <c r="F650" s="207" t="str">
        <f>IF(AND(A650&lt;&gt;"",ISNUMBER(A650)),VLOOKUP(A650,Studies!A:BR,6,FALSE),"")</f>
        <v>Plasma</v>
      </c>
      <c r="G650" s="194">
        <v>341</v>
      </c>
      <c r="H650" s="194" t="s">
        <v>60</v>
      </c>
      <c r="I650" s="187">
        <v>1734.9398193359375</v>
      </c>
      <c r="J650" s="187" t="s">
        <v>1026</v>
      </c>
      <c r="K650" s="187" t="s">
        <v>116</v>
      </c>
      <c r="L650" s="195"/>
      <c r="M650" s="195"/>
      <c r="N650" s="195"/>
      <c r="O650" s="199"/>
      <c r="P650" s="188"/>
      <c r="Q650" s="174">
        <f>IF(ISNUMBER(VLOOKUP(A650,NotghiID!A:A,1,FALSE)),1,0)</f>
        <v>0</v>
      </c>
    </row>
    <row r="651" spans="1:17" ht="14.25" x14ac:dyDescent="0.2">
      <c r="A651" s="183">
        <v>92</v>
      </c>
      <c r="B651" s="232" t="str">
        <f>IF(AND(A651&lt;&gt;"",ISNUMBER(A651)),VLOOKUP(A651,Studies!A:BR,2,FALSE),"")</f>
        <v>Barone 1998a</v>
      </c>
      <c r="C651" s="232" t="str">
        <f>IF(AND(A651&lt;&gt;"",ISNUMBER(A651)),VLOOKUP(A651,Studies!A:BR,3,FALSE),"")</f>
        <v>https://www.ncbi.nlm.nih.gov/pubmed/9545149</v>
      </c>
      <c r="D651" s="232" t="str">
        <f>IF(AND(A651&lt;&gt;"",ISNUMBER(A651)),VLOOKUP(A651,Studies!A:BR,4,FALSE),"")</f>
        <v>day 15 fed</v>
      </c>
      <c r="E651" s="206" t="str">
        <f>IF(AND(A651&lt;&gt;"",ISNUMBER(A651)),VLOOKUP(A651,Studies!A:BR,5,FALSE),"")</f>
        <v>Hydroxy-Itraconazole</v>
      </c>
      <c r="F651" s="207" t="str">
        <f>IF(AND(A651&lt;&gt;"",ISNUMBER(A651)),VLOOKUP(A651,Studies!A:BR,6,FALSE),"")</f>
        <v>Plasma</v>
      </c>
      <c r="G651" s="194">
        <v>342</v>
      </c>
      <c r="H651" s="194" t="s">
        <v>60</v>
      </c>
      <c r="I651" s="187">
        <v>1692.7711181640625</v>
      </c>
      <c r="J651" s="187" t="s">
        <v>1026</v>
      </c>
      <c r="K651" s="187" t="s">
        <v>116</v>
      </c>
      <c r="L651" s="195"/>
      <c r="M651" s="195"/>
      <c r="N651" s="195"/>
      <c r="O651" s="199"/>
      <c r="P651" s="188"/>
      <c r="Q651" s="174">
        <f>IF(ISNUMBER(VLOOKUP(A651,NotghiID!A:A,1,FALSE)),1,0)</f>
        <v>0</v>
      </c>
    </row>
    <row r="652" spans="1:17" ht="14.25" x14ac:dyDescent="0.2">
      <c r="A652" s="183">
        <v>92</v>
      </c>
      <c r="B652" s="232" t="str">
        <f>IF(AND(A652&lt;&gt;"",ISNUMBER(A652)),VLOOKUP(A652,Studies!A:BR,2,FALSE),"")</f>
        <v>Barone 1998a</v>
      </c>
      <c r="C652" s="232" t="str">
        <f>IF(AND(A652&lt;&gt;"",ISNUMBER(A652)),VLOOKUP(A652,Studies!A:BR,3,FALSE),"")</f>
        <v>https://www.ncbi.nlm.nih.gov/pubmed/9545149</v>
      </c>
      <c r="D652" s="232" t="str">
        <f>IF(AND(A652&lt;&gt;"",ISNUMBER(A652)),VLOOKUP(A652,Studies!A:BR,4,FALSE),"")</f>
        <v>day 15 fed</v>
      </c>
      <c r="E652" s="206" t="str">
        <f>IF(AND(A652&lt;&gt;"",ISNUMBER(A652)),VLOOKUP(A652,Studies!A:BR,5,FALSE),"")</f>
        <v>Hydroxy-Itraconazole</v>
      </c>
      <c r="F652" s="207" t="str">
        <f>IF(AND(A652&lt;&gt;"",ISNUMBER(A652)),VLOOKUP(A652,Studies!A:BR,6,FALSE),"")</f>
        <v>Plasma</v>
      </c>
      <c r="G652" s="194">
        <v>344</v>
      </c>
      <c r="H652" s="194" t="s">
        <v>60</v>
      </c>
      <c r="I652" s="187">
        <v>1668.6746826171875</v>
      </c>
      <c r="J652" s="187" t="s">
        <v>1026</v>
      </c>
      <c r="K652" s="187" t="s">
        <v>116</v>
      </c>
      <c r="L652" s="195"/>
      <c r="M652" s="195"/>
      <c r="N652" s="195"/>
      <c r="O652" s="199"/>
      <c r="P652" s="188"/>
      <c r="Q652" s="174">
        <f>IF(ISNUMBER(VLOOKUP(A652,NotghiID!A:A,1,FALSE)),1,0)</f>
        <v>0</v>
      </c>
    </row>
    <row r="653" spans="1:17" ht="14.25" x14ac:dyDescent="0.2">
      <c r="A653" s="183">
        <v>92</v>
      </c>
      <c r="B653" s="232" t="str">
        <f>IF(AND(A653&lt;&gt;"",ISNUMBER(A653)),VLOOKUP(A653,Studies!A:BR,2,FALSE),"")</f>
        <v>Barone 1998a</v>
      </c>
      <c r="C653" s="232" t="str">
        <f>IF(AND(A653&lt;&gt;"",ISNUMBER(A653)),VLOOKUP(A653,Studies!A:BR,3,FALSE),"")</f>
        <v>https://www.ncbi.nlm.nih.gov/pubmed/9545149</v>
      </c>
      <c r="D653" s="232" t="str">
        <f>IF(AND(A653&lt;&gt;"",ISNUMBER(A653)),VLOOKUP(A653,Studies!A:BR,4,FALSE),"")</f>
        <v>day 15 fed</v>
      </c>
      <c r="E653" s="206" t="str">
        <f>IF(AND(A653&lt;&gt;"",ISNUMBER(A653)),VLOOKUP(A653,Studies!A:BR,5,FALSE),"")</f>
        <v>Hydroxy-Itraconazole</v>
      </c>
      <c r="F653" s="207" t="str">
        <f>IF(AND(A653&lt;&gt;"",ISNUMBER(A653)),VLOOKUP(A653,Studies!A:BR,6,FALSE),"")</f>
        <v>Plasma</v>
      </c>
      <c r="G653" s="194">
        <v>348</v>
      </c>
      <c r="H653" s="194" t="s">
        <v>60</v>
      </c>
      <c r="I653" s="187">
        <v>1614.4578857421875</v>
      </c>
      <c r="J653" s="187" t="s">
        <v>1026</v>
      </c>
      <c r="K653" s="187" t="s">
        <v>116</v>
      </c>
      <c r="L653" s="195"/>
      <c r="M653" s="195"/>
      <c r="N653" s="195"/>
      <c r="O653" s="199"/>
      <c r="P653" s="188"/>
      <c r="Q653" s="174">
        <f>IF(ISNUMBER(VLOOKUP(A653,NotghiID!A:A,1,FALSE)),1,0)</f>
        <v>0</v>
      </c>
    </row>
    <row r="654" spans="1:17" ht="14.25" x14ac:dyDescent="0.2">
      <c r="A654" s="183">
        <v>92</v>
      </c>
      <c r="B654" s="232" t="str">
        <f>IF(AND(A654&lt;&gt;"",ISNUMBER(A654)),VLOOKUP(A654,Studies!A:BR,2,FALSE),"")</f>
        <v>Barone 1998a</v>
      </c>
      <c r="C654" s="232" t="str">
        <f>IF(AND(A654&lt;&gt;"",ISNUMBER(A654)),VLOOKUP(A654,Studies!A:BR,3,FALSE),"")</f>
        <v>https://www.ncbi.nlm.nih.gov/pubmed/9545149</v>
      </c>
      <c r="D654" s="232" t="str">
        <f>IF(AND(A654&lt;&gt;"",ISNUMBER(A654)),VLOOKUP(A654,Studies!A:BR,4,FALSE),"")</f>
        <v>day 15 fed</v>
      </c>
      <c r="E654" s="206" t="str">
        <f>IF(AND(A654&lt;&gt;"",ISNUMBER(A654)),VLOOKUP(A654,Studies!A:BR,5,FALSE),"")</f>
        <v>Hydroxy-Itraconazole</v>
      </c>
      <c r="F654" s="207" t="str">
        <f>IF(AND(A654&lt;&gt;"",ISNUMBER(A654)),VLOOKUP(A654,Studies!A:BR,6,FALSE),"")</f>
        <v>Plasma</v>
      </c>
      <c r="G654" s="194">
        <v>360</v>
      </c>
      <c r="H654" s="194" t="s">
        <v>60</v>
      </c>
      <c r="I654" s="187">
        <v>1530.1204833984375</v>
      </c>
      <c r="J654" s="187" t="s">
        <v>1026</v>
      </c>
      <c r="K654" s="187" t="s">
        <v>116</v>
      </c>
      <c r="L654" s="195"/>
      <c r="M654" s="195"/>
      <c r="N654" s="195"/>
      <c r="O654" s="199"/>
      <c r="P654" s="188"/>
      <c r="Q654" s="174">
        <f>IF(ISNUMBER(VLOOKUP(A654,NotghiID!A:A,1,FALSE)),1,0)</f>
        <v>0</v>
      </c>
    </row>
    <row r="655" spans="1:17" ht="14.25" x14ac:dyDescent="0.2">
      <c r="A655" s="183">
        <v>406</v>
      </c>
      <c r="B655" s="232" t="str">
        <f>IF(AND(A655&lt;&gt;"",ISNUMBER(A655)),VLOOKUP(A655,Studies!A:BR,2,FALSE),"")</f>
        <v>sanofi-aventis U.S. LLC. 2013</v>
      </c>
      <c r="C655" s="232" t="str">
        <f>IF(AND(A655&lt;&gt;"",ISNUMBER(A655)),VLOOKUP(A655,Studies!A:BR,3,FALSE),"")</f>
        <v>https://www.accessdata.fda.gov/drugsatfda_docs/label/2013/050420s075,050627s014lbl.pdf</v>
      </c>
      <c r="D655" s="232" t="str">
        <f>IF(AND(A655&lt;&gt;"",ISNUMBER(A655)),VLOOKUP(A655,Studies!A:BR,4,FALSE),"")</f>
        <v>300 mg</v>
      </c>
      <c r="E655" s="206" t="str">
        <f>IF(AND(A655&lt;&gt;"",ISNUMBER(A655)),VLOOKUP(A655,Studies!A:BR,5,FALSE),"")</f>
        <v>Rifampicin</v>
      </c>
      <c r="F655" s="207" t="str">
        <f>IF(AND(A655&lt;&gt;"",ISNUMBER(A655)),VLOOKUP(A655,Studies!A:BR,6,FALSE),"")</f>
        <v>Plasma</v>
      </c>
      <c r="G655" s="194">
        <v>0.5</v>
      </c>
      <c r="H655" s="194" t="s">
        <v>60</v>
      </c>
      <c r="I655" s="187">
        <v>8.9</v>
      </c>
      <c r="J655" s="187" t="s">
        <v>1054</v>
      </c>
      <c r="K655" s="187" t="s">
        <v>116</v>
      </c>
      <c r="L655" s="195">
        <v>2.9</v>
      </c>
      <c r="M655" s="195" t="s">
        <v>1054</v>
      </c>
      <c r="N655" s="195" t="s">
        <v>117</v>
      </c>
      <c r="O655" s="199"/>
      <c r="P655" s="188"/>
      <c r="Q655" s="174">
        <f>IF(ISNUMBER(VLOOKUP(A655,NotghiID!A:A,1,FALSE)),1,0)</f>
        <v>0</v>
      </c>
    </row>
    <row r="656" spans="1:17" ht="14.25" x14ac:dyDescent="0.2">
      <c r="A656" s="183">
        <v>406</v>
      </c>
      <c r="B656" s="232" t="str">
        <f>IF(AND(A656&lt;&gt;"",ISNUMBER(A656)),VLOOKUP(A656,Studies!A:BR,2,FALSE),"")</f>
        <v>sanofi-aventis U.S. LLC. 2013</v>
      </c>
      <c r="C656" s="232" t="str">
        <f>IF(AND(A656&lt;&gt;"",ISNUMBER(A656)),VLOOKUP(A656,Studies!A:BR,3,FALSE),"")</f>
        <v>https://www.accessdata.fda.gov/drugsatfda_docs/label/2013/050420s075,050627s014lbl.pdf</v>
      </c>
      <c r="D656" s="232" t="str">
        <f>IF(AND(A656&lt;&gt;"",ISNUMBER(A656)),VLOOKUP(A656,Studies!A:BR,4,FALSE),"")</f>
        <v>300 mg</v>
      </c>
      <c r="E656" s="206" t="str">
        <f>IF(AND(A656&lt;&gt;"",ISNUMBER(A656)),VLOOKUP(A656,Studies!A:BR,5,FALSE),"")</f>
        <v>Rifampicin</v>
      </c>
      <c r="F656" s="207" t="str">
        <f>IF(AND(A656&lt;&gt;"",ISNUMBER(A656)),VLOOKUP(A656,Studies!A:BR,6,FALSE),"")</f>
        <v>Plasma</v>
      </c>
      <c r="G656" s="194">
        <v>1</v>
      </c>
      <c r="H656" s="194" t="s">
        <v>60</v>
      </c>
      <c r="I656" s="187">
        <v>4.9000000000000004</v>
      </c>
      <c r="J656" s="187" t="s">
        <v>1054</v>
      </c>
      <c r="K656" s="187" t="s">
        <v>116</v>
      </c>
      <c r="L656" s="195">
        <v>1.3</v>
      </c>
      <c r="M656" s="195" t="s">
        <v>1054</v>
      </c>
      <c r="N656" s="195" t="s">
        <v>117</v>
      </c>
      <c r="O656" s="199"/>
      <c r="P656" s="188"/>
      <c r="Q656" s="174">
        <f>IF(ISNUMBER(VLOOKUP(A656,NotghiID!A:A,1,FALSE)),1,0)</f>
        <v>0</v>
      </c>
    </row>
    <row r="657" spans="1:17" ht="14.25" x14ac:dyDescent="0.2">
      <c r="A657" s="183">
        <v>406</v>
      </c>
      <c r="B657" s="232" t="str">
        <f>IF(AND(A657&lt;&gt;"",ISNUMBER(A657)),VLOOKUP(A657,Studies!A:BR,2,FALSE),"")</f>
        <v>sanofi-aventis U.S. LLC. 2013</v>
      </c>
      <c r="C657" s="232" t="str">
        <f>IF(AND(A657&lt;&gt;"",ISNUMBER(A657)),VLOOKUP(A657,Studies!A:BR,3,FALSE),"")</f>
        <v>https://www.accessdata.fda.gov/drugsatfda_docs/label/2013/050420s075,050627s014lbl.pdf</v>
      </c>
      <c r="D657" s="232" t="str">
        <f>IF(AND(A657&lt;&gt;"",ISNUMBER(A657)),VLOOKUP(A657,Studies!A:BR,4,FALSE),"")</f>
        <v>300 mg</v>
      </c>
      <c r="E657" s="206" t="str">
        <f>IF(AND(A657&lt;&gt;"",ISNUMBER(A657)),VLOOKUP(A657,Studies!A:BR,5,FALSE),"")</f>
        <v>Rifampicin</v>
      </c>
      <c r="F657" s="207" t="str">
        <f>IF(AND(A657&lt;&gt;"",ISNUMBER(A657)),VLOOKUP(A657,Studies!A:BR,6,FALSE),"")</f>
        <v>Plasma</v>
      </c>
      <c r="G657" s="194">
        <v>2</v>
      </c>
      <c r="H657" s="194" t="s">
        <v>60</v>
      </c>
      <c r="I657" s="187">
        <v>4</v>
      </c>
      <c r="J657" s="187" t="s">
        <v>1054</v>
      </c>
      <c r="K657" s="187" t="s">
        <v>116</v>
      </c>
      <c r="L657" s="195">
        <v>1.3</v>
      </c>
      <c r="M657" s="195" t="s">
        <v>1054</v>
      </c>
      <c r="N657" s="195" t="s">
        <v>117</v>
      </c>
      <c r="O657" s="199"/>
      <c r="P657" s="188"/>
      <c r="Q657" s="174">
        <f>IF(ISNUMBER(VLOOKUP(A657,NotghiID!A:A,1,FALSE)),1,0)</f>
        <v>0</v>
      </c>
    </row>
    <row r="658" spans="1:17" ht="14.25" x14ac:dyDescent="0.2">
      <c r="A658" s="183">
        <v>406</v>
      </c>
      <c r="B658" s="232" t="str">
        <f>IF(AND(A658&lt;&gt;"",ISNUMBER(A658)),VLOOKUP(A658,Studies!A:BR,2,FALSE),"")</f>
        <v>sanofi-aventis U.S. LLC. 2013</v>
      </c>
      <c r="C658" s="232" t="str">
        <f>IF(AND(A658&lt;&gt;"",ISNUMBER(A658)),VLOOKUP(A658,Studies!A:BR,3,FALSE),"")</f>
        <v>https://www.accessdata.fda.gov/drugsatfda_docs/label/2013/050420s075,050627s014lbl.pdf</v>
      </c>
      <c r="D658" s="232" t="str">
        <f>IF(AND(A658&lt;&gt;"",ISNUMBER(A658)),VLOOKUP(A658,Studies!A:BR,4,FALSE),"")</f>
        <v>300 mg</v>
      </c>
      <c r="E658" s="206" t="str">
        <f>IF(AND(A658&lt;&gt;"",ISNUMBER(A658)),VLOOKUP(A658,Studies!A:BR,5,FALSE),"")</f>
        <v>Rifampicin</v>
      </c>
      <c r="F658" s="207" t="str">
        <f>IF(AND(A658&lt;&gt;"",ISNUMBER(A658)),VLOOKUP(A658,Studies!A:BR,6,FALSE),"")</f>
        <v>Plasma</v>
      </c>
      <c r="G658" s="194">
        <v>4</v>
      </c>
      <c r="H658" s="194" t="s">
        <v>60</v>
      </c>
      <c r="I658" s="187">
        <v>2.5</v>
      </c>
      <c r="J658" s="187" t="s">
        <v>1054</v>
      </c>
      <c r="K658" s="187" t="s">
        <v>116</v>
      </c>
      <c r="L658" s="195">
        <v>1</v>
      </c>
      <c r="M658" s="195" t="s">
        <v>1054</v>
      </c>
      <c r="N658" s="195" t="s">
        <v>117</v>
      </c>
      <c r="O658" s="199"/>
      <c r="P658" s="188"/>
      <c r="Q658" s="174">
        <f>IF(ISNUMBER(VLOOKUP(A658,NotghiID!A:A,1,FALSE)),1,0)</f>
        <v>0</v>
      </c>
    </row>
    <row r="659" spans="1:17" ht="14.25" x14ac:dyDescent="0.2">
      <c r="A659" s="183">
        <v>406</v>
      </c>
      <c r="B659" s="232" t="str">
        <f>IF(AND(A659&lt;&gt;"",ISNUMBER(A659)),VLOOKUP(A659,Studies!A:BR,2,FALSE),"")</f>
        <v>sanofi-aventis U.S. LLC. 2013</v>
      </c>
      <c r="C659" s="232" t="str">
        <f>IF(AND(A659&lt;&gt;"",ISNUMBER(A659)),VLOOKUP(A659,Studies!A:BR,3,FALSE),"")</f>
        <v>https://www.accessdata.fda.gov/drugsatfda_docs/label/2013/050420s075,050627s014lbl.pdf</v>
      </c>
      <c r="D659" s="232" t="str">
        <f>IF(AND(A659&lt;&gt;"",ISNUMBER(A659)),VLOOKUP(A659,Studies!A:BR,4,FALSE),"")</f>
        <v>300 mg</v>
      </c>
      <c r="E659" s="206" t="str">
        <f>IF(AND(A659&lt;&gt;"",ISNUMBER(A659)),VLOOKUP(A659,Studies!A:BR,5,FALSE),"")</f>
        <v>Rifampicin</v>
      </c>
      <c r="F659" s="207" t="str">
        <f>IF(AND(A659&lt;&gt;"",ISNUMBER(A659)),VLOOKUP(A659,Studies!A:BR,6,FALSE),"")</f>
        <v>Plasma</v>
      </c>
      <c r="G659" s="194">
        <v>8</v>
      </c>
      <c r="H659" s="194" t="s">
        <v>60</v>
      </c>
      <c r="I659" s="187">
        <v>1.1000000000000001</v>
      </c>
      <c r="J659" s="187" t="s">
        <v>1054</v>
      </c>
      <c r="K659" s="187" t="s">
        <v>116</v>
      </c>
      <c r="L659" s="195">
        <v>0.6</v>
      </c>
      <c r="M659" s="195" t="s">
        <v>1054</v>
      </c>
      <c r="N659" s="195" t="s">
        <v>117</v>
      </c>
      <c r="O659" s="199"/>
      <c r="P659" s="188"/>
      <c r="Q659" s="174">
        <f>IF(ISNUMBER(VLOOKUP(A659,NotghiID!A:A,1,FALSE)),1,0)</f>
        <v>0</v>
      </c>
    </row>
    <row r="660" spans="1:17" ht="14.25" x14ac:dyDescent="0.2">
      <c r="A660" s="183">
        <v>406</v>
      </c>
      <c r="B660" s="232" t="str">
        <f>IF(AND(A660&lt;&gt;"",ISNUMBER(A660)),VLOOKUP(A660,Studies!A:BR,2,FALSE),"")</f>
        <v>sanofi-aventis U.S. LLC. 2013</v>
      </c>
      <c r="C660" s="232" t="str">
        <f>IF(AND(A660&lt;&gt;"",ISNUMBER(A660)),VLOOKUP(A660,Studies!A:BR,3,FALSE),"")</f>
        <v>https://www.accessdata.fda.gov/drugsatfda_docs/label/2013/050420s075,050627s014lbl.pdf</v>
      </c>
      <c r="D660" s="232" t="str">
        <f>IF(AND(A660&lt;&gt;"",ISNUMBER(A660)),VLOOKUP(A660,Studies!A:BR,4,FALSE),"")</f>
        <v>300 mg</v>
      </c>
      <c r="E660" s="206" t="str">
        <f>IF(AND(A660&lt;&gt;"",ISNUMBER(A660)),VLOOKUP(A660,Studies!A:BR,5,FALSE),"")</f>
        <v>Rifampicin</v>
      </c>
      <c r="F660" s="207" t="str">
        <f>IF(AND(A660&lt;&gt;"",ISNUMBER(A660)),VLOOKUP(A660,Studies!A:BR,6,FALSE),"")</f>
        <v>Plasma</v>
      </c>
      <c r="G660" s="194">
        <v>12</v>
      </c>
      <c r="H660" s="194" t="s">
        <v>60</v>
      </c>
      <c r="I660" s="187" t="s">
        <v>1114</v>
      </c>
      <c r="J660" s="187" t="s">
        <v>1054</v>
      </c>
      <c r="K660" s="187" t="s">
        <v>116</v>
      </c>
      <c r="L660" s="195"/>
      <c r="M660" s="195"/>
      <c r="N660" s="195"/>
      <c r="O660" s="199">
        <v>1</v>
      </c>
      <c r="P660" s="188"/>
      <c r="Q660" s="174">
        <f>IF(ISNUMBER(VLOOKUP(A660,NotghiID!A:A,1,FALSE)),1,0)</f>
        <v>0</v>
      </c>
    </row>
    <row r="661" spans="1:17" ht="14.25" x14ac:dyDescent="0.2">
      <c r="A661" s="183">
        <v>407</v>
      </c>
      <c r="B661" s="232" t="str">
        <f>IF(AND(A661&lt;&gt;"",ISNUMBER(A661)),VLOOKUP(A661,Studies!A:BR,2,FALSE),"")</f>
        <v>sanofi-aventis U.S. LLC. 2013</v>
      </c>
      <c r="C661" s="232" t="str">
        <f>IF(AND(A661&lt;&gt;"",ISNUMBER(A661)),VLOOKUP(A661,Studies!A:BR,3,FALSE),"")</f>
        <v>https://www.accessdata.fda.gov/drugsatfda_docs/label/2013/050420s075,050627s014lbl.pdf</v>
      </c>
      <c r="D661" s="232" t="str">
        <f>IF(AND(A661&lt;&gt;"",ISNUMBER(A661)),VLOOKUP(A661,Studies!A:BR,4,FALSE),"")</f>
        <v>600 mg</v>
      </c>
      <c r="E661" s="206" t="str">
        <f>IF(AND(A661&lt;&gt;"",ISNUMBER(A661)),VLOOKUP(A661,Studies!A:BR,5,FALSE),"")</f>
        <v>Rifampicin</v>
      </c>
      <c r="F661" s="207" t="str">
        <f>IF(AND(A661&lt;&gt;"",ISNUMBER(A661)),VLOOKUP(A661,Studies!A:BR,6,FALSE),"")</f>
        <v>Plasma</v>
      </c>
      <c r="G661" s="194">
        <v>0.5</v>
      </c>
      <c r="H661" s="194" t="s">
        <v>60</v>
      </c>
      <c r="I661" s="187">
        <v>17.399999999999999</v>
      </c>
      <c r="J661" s="187" t="s">
        <v>1054</v>
      </c>
      <c r="K661" s="187" t="s">
        <v>116</v>
      </c>
      <c r="L661" s="195">
        <v>5.0999999999999996</v>
      </c>
      <c r="M661" s="195" t="s">
        <v>1054</v>
      </c>
      <c r="N661" s="195" t="s">
        <v>117</v>
      </c>
      <c r="O661" s="199"/>
      <c r="P661" s="188"/>
      <c r="Q661" s="174">
        <f>IF(ISNUMBER(VLOOKUP(A661,NotghiID!A:A,1,FALSE)),1,0)</f>
        <v>0</v>
      </c>
    </row>
    <row r="662" spans="1:17" ht="14.25" x14ac:dyDescent="0.2">
      <c r="A662" s="183">
        <v>407</v>
      </c>
      <c r="B662" s="232" t="str">
        <f>IF(AND(A662&lt;&gt;"",ISNUMBER(A662)),VLOOKUP(A662,Studies!A:BR,2,FALSE),"")</f>
        <v>sanofi-aventis U.S. LLC. 2013</v>
      </c>
      <c r="C662" s="232" t="str">
        <f>IF(AND(A662&lt;&gt;"",ISNUMBER(A662)),VLOOKUP(A662,Studies!A:BR,3,FALSE),"")</f>
        <v>https://www.accessdata.fda.gov/drugsatfda_docs/label/2013/050420s075,050627s014lbl.pdf</v>
      </c>
      <c r="D662" s="232" t="str">
        <f>IF(AND(A662&lt;&gt;"",ISNUMBER(A662)),VLOOKUP(A662,Studies!A:BR,4,FALSE),"")</f>
        <v>600 mg</v>
      </c>
      <c r="E662" s="206" t="str">
        <f>IF(AND(A662&lt;&gt;"",ISNUMBER(A662)),VLOOKUP(A662,Studies!A:BR,5,FALSE),"")</f>
        <v>Rifampicin</v>
      </c>
      <c r="F662" s="207" t="str">
        <f>IF(AND(A662&lt;&gt;"",ISNUMBER(A662)),VLOOKUP(A662,Studies!A:BR,6,FALSE),"")</f>
        <v>Plasma</v>
      </c>
      <c r="G662" s="194">
        <v>1</v>
      </c>
      <c r="H662" s="194" t="s">
        <v>60</v>
      </c>
      <c r="I662" s="187">
        <v>11.7</v>
      </c>
      <c r="J662" s="187" t="s">
        <v>1054</v>
      </c>
      <c r="K662" s="187" t="s">
        <v>116</v>
      </c>
      <c r="L662" s="195">
        <v>2.8</v>
      </c>
      <c r="M662" s="195" t="s">
        <v>1054</v>
      </c>
      <c r="N662" s="195" t="s">
        <v>117</v>
      </c>
      <c r="O662" s="199"/>
      <c r="P662" s="188"/>
      <c r="Q662" s="174">
        <f>IF(ISNUMBER(VLOOKUP(A662,NotghiID!A:A,1,FALSE)),1,0)</f>
        <v>0</v>
      </c>
    </row>
    <row r="663" spans="1:17" ht="14.25" x14ac:dyDescent="0.2">
      <c r="A663" s="183">
        <v>407</v>
      </c>
      <c r="B663" s="232" t="str">
        <f>IF(AND(A663&lt;&gt;"",ISNUMBER(A663)),VLOOKUP(A663,Studies!A:BR,2,FALSE),"")</f>
        <v>sanofi-aventis U.S. LLC. 2013</v>
      </c>
      <c r="C663" s="232" t="str">
        <f>IF(AND(A663&lt;&gt;"",ISNUMBER(A663)),VLOOKUP(A663,Studies!A:BR,3,FALSE),"")</f>
        <v>https://www.accessdata.fda.gov/drugsatfda_docs/label/2013/050420s075,050627s014lbl.pdf</v>
      </c>
      <c r="D663" s="232" t="str">
        <f>IF(AND(A663&lt;&gt;"",ISNUMBER(A663)),VLOOKUP(A663,Studies!A:BR,4,FALSE),"")</f>
        <v>600 mg</v>
      </c>
      <c r="E663" s="206" t="str">
        <f>IF(AND(A663&lt;&gt;"",ISNUMBER(A663)),VLOOKUP(A663,Studies!A:BR,5,FALSE),"")</f>
        <v>Rifampicin</v>
      </c>
      <c r="F663" s="207" t="str">
        <f>IF(AND(A663&lt;&gt;"",ISNUMBER(A663)),VLOOKUP(A663,Studies!A:BR,6,FALSE),"")</f>
        <v>Plasma</v>
      </c>
      <c r="G663" s="194">
        <v>2</v>
      </c>
      <c r="H663" s="194" t="s">
        <v>60</v>
      </c>
      <c r="I663" s="187">
        <v>9.4</v>
      </c>
      <c r="J663" s="187" t="s">
        <v>1054</v>
      </c>
      <c r="K663" s="187" t="s">
        <v>116</v>
      </c>
      <c r="L663" s="195">
        <v>2.2999999999999998</v>
      </c>
      <c r="M663" s="195" t="s">
        <v>1054</v>
      </c>
      <c r="N663" s="195" t="s">
        <v>117</v>
      </c>
      <c r="O663" s="199"/>
      <c r="P663" s="188"/>
      <c r="Q663" s="174">
        <f>IF(ISNUMBER(VLOOKUP(A663,NotghiID!A:A,1,FALSE)),1,0)</f>
        <v>0</v>
      </c>
    </row>
    <row r="664" spans="1:17" ht="14.25" x14ac:dyDescent="0.2">
      <c r="A664" s="183">
        <v>407</v>
      </c>
      <c r="B664" s="232" t="str">
        <f>IF(AND(A664&lt;&gt;"",ISNUMBER(A664)),VLOOKUP(A664,Studies!A:BR,2,FALSE),"")</f>
        <v>sanofi-aventis U.S. LLC. 2013</v>
      </c>
      <c r="C664" s="232" t="str">
        <f>IF(AND(A664&lt;&gt;"",ISNUMBER(A664)),VLOOKUP(A664,Studies!A:BR,3,FALSE),"")</f>
        <v>https://www.accessdata.fda.gov/drugsatfda_docs/label/2013/050420s075,050627s014lbl.pdf</v>
      </c>
      <c r="D664" s="232" t="str">
        <f>IF(AND(A664&lt;&gt;"",ISNUMBER(A664)),VLOOKUP(A664,Studies!A:BR,4,FALSE),"")</f>
        <v>600 mg</v>
      </c>
      <c r="E664" s="206" t="str">
        <f>IF(AND(A664&lt;&gt;"",ISNUMBER(A664)),VLOOKUP(A664,Studies!A:BR,5,FALSE),"")</f>
        <v>Rifampicin</v>
      </c>
      <c r="F664" s="207" t="str">
        <f>IF(AND(A664&lt;&gt;"",ISNUMBER(A664)),VLOOKUP(A664,Studies!A:BR,6,FALSE),"")</f>
        <v>Plasma</v>
      </c>
      <c r="G664" s="194">
        <v>4</v>
      </c>
      <c r="H664" s="194" t="s">
        <v>60</v>
      </c>
      <c r="I664" s="187">
        <v>6.4</v>
      </c>
      <c r="J664" s="187" t="s">
        <v>1054</v>
      </c>
      <c r="K664" s="187" t="s">
        <v>116</v>
      </c>
      <c r="L664" s="195">
        <v>1.7</v>
      </c>
      <c r="M664" s="195" t="s">
        <v>1054</v>
      </c>
      <c r="N664" s="195" t="s">
        <v>117</v>
      </c>
      <c r="O664" s="199"/>
      <c r="P664" s="188"/>
      <c r="Q664" s="174">
        <f>IF(ISNUMBER(VLOOKUP(A664,NotghiID!A:A,1,FALSE)),1,0)</f>
        <v>0</v>
      </c>
    </row>
    <row r="665" spans="1:17" ht="14.25" x14ac:dyDescent="0.2">
      <c r="A665" s="183">
        <v>407</v>
      </c>
      <c r="B665" s="232" t="str">
        <f>IF(AND(A665&lt;&gt;"",ISNUMBER(A665)),VLOOKUP(A665,Studies!A:BR,2,FALSE),"")</f>
        <v>sanofi-aventis U.S. LLC. 2013</v>
      </c>
      <c r="C665" s="232" t="str">
        <f>IF(AND(A665&lt;&gt;"",ISNUMBER(A665)),VLOOKUP(A665,Studies!A:BR,3,FALSE),"")</f>
        <v>https://www.accessdata.fda.gov/drugsatfda_docs/label/2013/050420s075,050627s014lbl.pdf</v>
      </c>
      <c r="D665" s="232" t="str">
        <f>IF(AND(A665&lt;&gt;"",ISNUMBER(A665)),VLOOKUP(A665,Studies!A:BR,4,FALSE),"")</f>
        <v>600 mg</v>
      </c>
      <c r="E665" s="206" t="str">
        <f>IF(AND(A665&lt;&gt;"",ISNUMBER(A665)),VLOOKUP(A665,Studies!A:BR,5,FALSE),"")</f>
        <v>Rifampicin</v>
      </c>
      <c r="F665" s="207" t="str">
        <f>IF(AND(A665&lt;&gt;"",ISNUMBER(A665)),VLOOKUP(A665,Studies!A:BR,6,FALSE),"")</f>
        <v>Plasma</v>
      </c>
      <c r="G665" s="194">
        <v>8</v>
      </c>
      <c r="H665" s="194" t="s">
        <v>60</v>
      </c>
      <c r="I665" s="187">
        <v>3.5</v>
      </c>
      <c r="J665" s="187" t="s">
        <v>1054</v>
      </c>
      <c r="K665" s="187" t="s">
        <v>116</v>
      </c>
      <c r="L665" s="195">
        <v>1.4</v>
      </c>
      <c r="M665" s="195" t="s">
        <v>1054</v>
      </c>
      <c r="N665" s="195" t="s">
        <v>117</v>
      </c>
      <c r="O665" s="199"/>
      <c r="P665" s="188"/>
      <c r="Q665" s="174">
        <f>IF(ISNUMBER(VLOOKUP(A665,NotghiID!A:A,1,FALSE)),1,0)</f>
        <v>0</v>
      </c>
    </row>
    <row r="666" spans="1:17" ht="14.25" x14ac:dyDescent="0.2">
      <c r="A666" s="183">
        <v>407</v>
      </c>
      <c r="B666" s="232" t="str">
        <f>IF(AND(A666&lt;&gt;"",ISNUMBER(A666)),VLOOKUP(A666,Studies!A:BR,2,FALSE),"")</f>
        <v>sanofi-aventis U.S. LLC. 2013</v>
      </c>
      <c r="C666" s="232" t="str">
        <f>IF(AND(A666&lt;&gt;"",ISNUMBER(A666)),VLOOKUP(A666,Studies!A:BR,3,FALSE),"")</f>
        <v>https://www.accessdata.fda.gov/drugsatfda_docs/label/2013/050420s075,050627s014lbl.pdf</v>
      </c>
      <c r="D666" s="232" t="str">
        <f>IF(AND(A666&lt;&gt;"",ISNUMBER(A666)),VLOOKUP(A666,Studies!A:BR,4,FALSE),"")</f>
        <v>600 mg</v>
      </c>
      <c r="E666" s="206" t="str">
        <f>IF(AND(A666&lt;&gt;"",ISNUMBER(A666)),VLOOKUP(A666,Studies!A:BR,5,FALSE),"")</f>
        <v>Rifampicin</v>
      </c>
      <c r="F666" s="207" t="str">
        <f>IF(AND(A666&lt;&gt;"",ISNUMBER(A666)),VLOOKUP(A666,Studies!A:BR,6,FALSE),"")</f>
        <v>Plasma</v>
      </c>
      <c r="G666" s="194">
        <v>12</v>
      </c>
      <c r="H666" s="194" t="s">
        <v>60</v>
      </c>
      <c r="I666" s="187">
        <v>1.2</v>
      </c>
      <c r="J666" s="187" t="s">
        <v>1054</v>
      </c>
      <c r="K666" s="187" t="s">
        <v>116</v>
      </c>
      <c r="L666" s="195">
        <v>1.2</v>
      </c>
      <c r="M666" s="195" t="s">
        <v>1054</v>
      </c>
      <c r="N666" s="195" t="s">
        <v>117</v>
      </c>
      <c r="O666" s="199"/>
      <c r="P666" s="188"/>
      <c r="Q666" s="174">
        <f>IF(ISNUMBER(VLOOKUP(A666,NotghiID!A:A,1,FALSE)),1,0)</f>
        <v>0</v>
      </c>
    </row>
    <row r="667" spans="1:17" ht="14.25" x14ac:dyDescent="0.2">
      <c r="A667" s="183">
        <v>3</v>
      </c>
      <c r="B667" s="232" t="str">
        <f>IF(AND(A667&lt;&gt;"",ISNUMBER(A667)),VLOOKUP(A667,Studies!A:BR,2,FALSE),"")</f>
        <v>Acocella 1972a</v>
      </c>
      <c r="C667" s="232" t="str">
        <f>IF(AND(A667&lt;&gt;"",ISNUMBER(A667)),VLOOKUP(A667,Studies!A:BR,3,FALSE),"")</f>
        <v>https://doi.org/10.1007/BF00561755</v>
      </c>
      <c r="D667" s="232" t="str">
        <f>IF(AND(A667&lt;&gt;"",ISNUMBER(A667)),VLOOKUP(A667,Studies!A:BR,4,FALSE),"")</f>
        <v>day 1</v>
      </c>
      <c r="E667" s="206" t="str">
        <f>IF(AND(A667&lt;&gt;"",ISNUMBER(A667)),VLOOKUP(A667,Studies!A:BR,5,FALSE),"")</f>
        <v>Rifampicin</v>
      </c>
      <c r="F667" s="207" t="str">
        <f>IF(AND(A667&lt;&gt;"",ISNUMBER(A667)),VLOOKUP(A667,Studies!A:BR,6,FALSE),"")</f>
        <v>Bile</v>
      </c>
      <c r="G667" s="194">
        <v>3</v>
      </c>
      <c r="H667" s="194" t="s">
        <v>60</v>
      </c>
      <c r="I667" s="187">
        <v>1.1127852369099855</v>
      </c>
      <c r="J667" s="187" t="s">
        <v>58</v>
      </c>
      <c r="K667" s="187" t="s">
        <v>116</v>
      </c>
      <c r="L667" s="195"/>
      <c r="M667" s="195"/>
      <c r="N667" s="195"/>
      <c r="O667" s="199"/>
      <c r="P667" s="188" t="s">
        <v>1115</v>
      </c>
      <c r="Q667" s="174">
        <f>IF(ISNUMBER(VLOOKUP(A667,NotghiID!A:A,1,FALSE)),1,0)</f>
        <v>0</v>
      </c>
    </row>
    <row r="668" spans="1:17" ht="14.25" x14ac:dyDescent="0.2">
      <c r="A668" s="183">
        <v>3</v>
      </c>
      <c r="B668" s="232" t="str">
        <f>IF(AND(A668&lt;&gt;"",ISNUMBER(A668)),VLOOKUP(A668,Studies!A:BR,2,FALSE),"")</f>
        <v>Acocella 1972a</v>
      </c>
      <c r="C668" s="232" t="str">
        <f>IF(AND(A668&lt;&gt;"",ISNUMBER(A668)),VLOOKUP(A668,Studies!A:BR,3,FALSE),"")</f>
        <v>https://doi.org/10.1007/BF00561755</v>
      </c>
      <c r="D668" s="232" t="str">
        <f>IF(AND(A668&lt;&gt;"",ISNUMBER(A668)),VLOOKUP(A668,Studies!A:BR,4,FALSE),"")</f>
        <v>day 1</v>
      </c>
      <c r="E668" s="206" t="str">
        <f>IF(AND(A668&lt;&gt;"",ISNUMBER(A668)),VLOOKUP(A668,Studies!A:BR,5,FALSE),"")</f>
        <v>Rifampicin</v>
      </c>
      <c r="F668" s="207" t="str">
        <f>IF(AND(A668&lt;&gt;"",ISNUMBER(A668)),VLOOKUP(A668,Studies!A:BR,6,FALSE),"")</f>
        <v>Bile</v>
      </c>
      <c r="G668" s="194">
        <v>4</v>
      </c>
      <c r="H668" s="194" t="s">
        <v>60</v>
      </c>
      <c r="I668" s="187">
        <v>2.6796558871865273</v>
      </c>
      <c r="J668" s="187" t="s">
        <v>58</v>
      </c>
      <c r="K668" s="187" t="s">
        <v>116</v>
      </c>
      <c r="L668" s="195"/>
      <c r="M668" s="195"/>
      <c r="N668" s="195"/>
      <c r="O668" s="199"/>
      <c r="P668" s="188" t="s">
        <v>1115</v>
      </c>
      <c r="Q668" s="174">
        <f>IF(ISNUMBER(VLOOKUP(A668,NotghiID!A:A,1,FALSE)),1,0)</f>
        <v>0</v>
      </c>
    </row>
    <row r="669" spans="1:17" ht="14.25" x14ac:dyDescent="0.2">
      <c r="A669" s="183">
        <v>3</v>
      </c>
      <c r="B669" s="232" t="str">
        <f>IF(AND(A669&lt;&gt;"",ISNUMBER(A669)),VLOOKUP(A669,Studies!A:BR,2,FALSE),"")</f>
        <v>Acocella 1972a</v>
      </c>
      <c r="C669" s="232" t="str">
        <f>IF(AND(A669&lt;&gt;"",ISNUMBER(A669)),VLOOKUP(A669,Studies!A:BR,3,FALSE),"")</f>
        <v>https://doi.org/10.1007/BF00561755</v>
      </c>
      <c r="D669" s="232" t="str">
        <f>IF(AND(A669&lt;&gt;"",ISNUMBER(A669)),VLOOKUP(A669,Studies!A:BR,4,FALSE),"")</f>
        <v>day 1</v>
      </c>
      <c r="E669" s="206" t="str">
        <f>IF(AND(A669&lt;&gt;"",ISNUMBER(A669)),VLOOKUP(A669,Studies!A:BR,5,FALSE),"")</f>
        <v>Rifampicin</v>
      </c>
      <c r="F669" s="207" t="str">
        <f>IF(AND(A669&lt;&gt;"",ISNUMBER(A669)),VLOOKUP(A669,Studies!A:BR,6,FALSE),"")</f>
        <v>Bile</v>
      </c>
      <c r="G669" s="194">
        <v>5</v>
      </c>
      <c r="H669" s="194" t="s">
        <v>60</v>
      </c>
      <c r="I669" s="187">
        <v>4.677493404597044</v>
      </c>
      <c r="J669" s="187" t="s">
        <v>58</v>
      </c>
      <c r="K669" s="187" t="s">
        <v>116</v>
      </c>
      <c r="L669" s="195"/>
      <c r="M669" s="195"/>
      <c r="N669" s="195"/>
      <c r="O669" s="199"/>
      <c r="P669" s="188" t="s">
        <v>1115</v>
      </c>
      <c r="Q669" s="174">
        <f>IF(ISNUMBER(VLOOKUP(A669,NotghiID!A:A,1,FALSE)),1,0)</f>
        <v>0</v>
      </c>
    </row>
    <row r="670" spans="1:17" ht="14.25" x14ac:dyDescent="0.2">
      <c r="A670" s="183">
        <v>3</v>
      </c>
      <c r="B670" s="232" t="str">
        <f>IF(AND(A670&lt;&gt;"",ISNUMBER(A670)),VLOOKUP(A670,Studies!A:BR,2,FALSE),"")</f>
        <v>Acocella 1972a</v>
      </c>
      <c r="C670" s="232" t="str">
        <f>IF(AND(A670&lt;&gt;"",ISNUMBER(A670)),VLOOKUP(A670,Studies!A:BR,3,FALSE),"")</f>
        <v>https://doi.org/10.1007/BF00561755</v>
      </c>
      <c r="D670" s="232" t="str">
        <f>IF(AND(A670&lt;&gt;"",ISNUMBER(A670)),VLOOKUP(A670,Studies!A:BR,4,FALSE),"")</f>
        <v>day 1</v>
      </c>
      <c r="E670" s="206" t="str">
        <f>IF(AND(A670&lt;&gt;"",ISNUMBER(A670)),VLOOKUP(A670,Studies!A:BR,5,FALSE),"")</f>
        <v>Rifampicin</v>
      </c>
      <c r="F670" s="207" t="str">
        <f>IF(AND(A670&lt;&gt;"",ISNUMBER(A670)),VLOOKUP(A670,Studies!A:BR,6,FALSE),"")</f>
        <v>Bile</v>
      </c>
      <c r="G670" s="194">
        <v>6</v>
      </c>
      <c r="H670" s="194" t="s">
        <v>60</v>
      </c>
      <c r="I670" s="187">
        <v>7.1052630431950092</v>
      </c>
      <c r="J670" s="187" t="s">
        <v>58</v>
      </c>
      <c r="K670" s="187" t="s">
        <v>116</v>
      </c>
      <c r="L670" s="195"/>
      <c r="M670" s="195"/>
      <c r="N670" s="195"/>
      <c r="O670" s="199"/>
      <c r="P670" s="188" t="s">
        <v>1115</v>
      </c>
      <c r="Q670" s="174">
        <f>IF(ISNUMBER(VLOOKUP(A670,NotghiID!A:A,1,FALSE)),1,0)</f>
        <v>0</v>
      </c>
    </row>
    <row r="671" spans="1:17" ht="14.25" x14ac:dyDescent="0.2">
      <c r="A671" s="183">
        <v>3</v>
      </c>
      <c r="B671" s="232" t="str">
        <f>IF(AND(A671&lt;&gt;"",ISNUMBER(A671)),VLOOKUP(A671,Studies!A:BR,2,FALSE),"")</f>
        <v>Acocella 1972a</v>
      </c>
      <c r="C671" s="232" t="str">
        <f>IF(AND(A671&lt;&gt;"",ISNUMBER(A671)),VLOOKUP(A671,Studies!A:BR,3,FALSE),"")</f>
        <v>https://doi.org/10.1007/BF00561755</v>
      </c>
      <c r="D671" s="232" t="str">
        <f>IF(AND(A671&lt;&gt;"",ISNUMBER(A671)),VLOOKUP(A671,Studies!A:BR,4,FALSE),"")</f>
        <v>day 1</v>
      </c>
      <c r="E671" s="206" t="str">
        <f>IF(AND(A671&lt;&gt;"",ISNUMBER(A671)),VLOOKUP(A671,Studies!A:BR,5,FALSE),"")</f>
        <v>Rifampicin</v>
      </c>
      <c r="F671" s="207" t="str">
        <f>IF(AND(A671&lt;&gt;"",ISNUMBER(A671)),VLOOKUP(A671,Studies!A:BR,6,FALSE),"")</f>
        <v>Bile</v>
      </c>
      <c r="G671" s="194">
        <v>7</v>
      </c>
      <c r="H671" s="194" t="s">
        <v>60</v>
      </c>
      <c r="I671" s="187">
        <v>9.103100560605526</v>
      </c>
      <c r="J671" s="187" t="s">
        <v>58</v>
      </c>
      <c r="K671" s="187" t="s">
        <v>116</v>
      </c>
      <c r="L671" s="195"/>
      <c r="M671" s="195"/>
      <c r="N671" s="195"/>
      <c r="O671" s="199"/>
      <c r="P671" s="188" t="s">
        <v>1115</v>
      </c>
      <c r="Q671" s="174">
        <f>IF(ISNUMBER(VLOOKUP(A671,NotghiID!A:A,1,FALSE)),1,0)</f>
        <v>0</v>
      </c>
    </row>
    <row r="672" spans="1:17" ht="14.25" x14ac:dyDescent="0.2">
      <c r="A672" s="183">
        <v>3</v>
      </c>
      <c r="B672" s="232" t="str">
        <f>IF(AND(A672&lt;&gt;"",ISNUMBER(A672)),VLOOKUP(A672,Studies!A:BR,2,FALSE),"")</f>
        <v>Acocella 1972a</v>
      </c>
      <c r="C672" s="232" t="str">
        <f>IF(AND(A672&lt;&gt;"",ISNUMBER(A672)),VLOOKUP(A672,Studies!A:BR,3,FALSE),"")</f>
        <v>https://doi.org/10.1007/BF00561755</v>
      </c>
      <c r="D672" s="232" t="str">
        <f>IF(AND(A672&lt;&gt;"",ISNUMBER(A672)),VLOOKUP(A672,Studies!A:BR,4,FALSE),"")</f>
        <v>day 1</v>
      </c>
      <c r="E672" s="206" t="str">
        <f>IF(AND(A672&lt;&gt;"",ISNUMBER(A672)),VLOOKUP(A672,Studies!A:BR,5,FALSE),"")</f>
        <v>Rifampicin</v>
      </c>
      <c r="F672" s="207" t="str">
        <f>IF(AND(A672&lt;&gt;"",ISNUMBER(A672)),VLOOKUP(A672,Studies!A:BR,6,FALSE),"")</f>
        <v>Bile</v>
      </c>
      <c r="G672" s="194">
        <v>8</v>
      </c>
      <c r="H672" s="194" t="s">
        <v>60</v>
      </c>
      <c r="I672" s="187">
        <v>11.818641889840364</v>
      </c>
      <c r="J672" s="187" t="s">
        <v>58</v>
      </c>
      <c r="K672" s="187" t="s">
        <v>116</v>
      </c>
      <c r="L672" s="195"/>
      <c r="M672" s="195"/>
      <c r="N672" s="195"/>
      <c r="O672" s="199"/>
      <c r="P672" s="188" t="s">
        <v>1115</v>
      </c>
      <c r="Q672" s="174">
        <f>IF(ISNUMBER(VLOOKUP(A672,NotghiID!A:A,1,FALSE)),1,0)</f>
        <v>0</v>
      </c>
    </row>
    <row r="673" spans="1:17" ht="14.25" x14ac:dyDescent="0.2">
      <c r="A673" s="183">
        <v>3</v>
      </c>
      <c r="B673" s="232" t="str">
        <f>IF(AND(A673&lt;&gt;"",ISNUMBER(A673)),VLOOKUP(A673,Studies!A:BR,2,FALSE),"")</f>
        <v>Acocella 1972a</v>
      </c>
      <c r="C673" s="232" t="str">
        <f>IF(AND(A673&lt;&gt;"",ISNUMBER(A673)),VLOOKUP(A673,Studies!A:BR,3,FALSE),"")</f>
        <v>https://doi.org/10.1007/BF00561755</v>
      </c>
      <c r="D673" s="232" t="str">
        <f>IF(AND(A673&lt;&gt;"",ISNUMBER(A673)),VLOOKUP(A673,Studies!A:BR,4,FALSE),"")</f>
        <v>day 1</v>
      </c>
      <c r="E673" s="206" t="str">
        <f>IF(AND(A673&lt;&gt;"",ISNUMBER(A673)),VLOOKUP(A673,Studies!A:BR,5,FALSE),"")</f>
        <v>Rifampicin</v>
      </c>
      <c r="F673" s="207" t="str">
        <f>IF(AND(A673&lt;&gt;"",ISNUMBER(A673)),VLOOKUP(A673,Studies!A:BR,6,FALSE),"")</f>
        <v>Bile</v>
      </c>
      <c r="G673" s="194">
        <v>9</v>
      </c>
      <c r="H673" s="194" t="s">
        <v>60</v>
      </c>
      <c r="I673" s="187">
        <v>13.816134911030531</v>
      </c>
      <c r="J673" s="187" t="s">
        <v>58</v>
      </c>
      <c r="K673" s="187" t="s">
        <v>116</v>
      </c>
      <c r="L673" s="195"/>
      <c r="M673" s="195"/>
      <c r="N673" s="195"/>
      <c r="O673" s="199"/>
      <c r="P673" s="188" t="s">
        <v>1115</v>
      </c>
      <c r="Q673" s="174">
        <f>IF(ISNUMBER(VLOOKUP(A673,NotghiID!A:A,1,FALSE)),1,0)</f>
        <v>0</v>
      </c>
    </row>
    <row r="674" spans="1:17" ht="14.25" x14ac:dyDescent="0.2">
      <c r="A674" s="183">
        <v>3</v>
      </c>
      <c r="B674" s="232" t="str">
        <f>IF(AND(A674&lt;&gt;"",ISNUMBER(A674)),VLOOKUP(A674,Studies!A:BR,2,FALSE),"")</f>
        <v>Acocella 1972a</v>
      </c>
      <c r="C674" s="232" t="str">
        <f>IF(AND(A674&lt;&gt;"",ISNUMBER(A674)),VLOOKUP(A674,Studies!A:BR,3,FALSE),"")</f>
        <v>https://doi.org/10.1007/BF00561755</v>
      </c>
      <c r="D674" s="232" t="str">
        <f>IF(AND(A674&lt;&gt;"",ISNUMBER(A674)),VLOOKUP(A674,Studies!A:BR,4,FALSE),"")</f>
        <v>day 1</v>
      </c>
      <c r="E674" s="206" t="str">
        <f>IF(AND(A674&lt;&gt;"",ISNUMBER(A674)),VLOOKUP(A674,Studies!A:BR,5,FALSE),"")</f>
        <v>Rifampicin</v>
      </c>
      <c r="F674" s="207" t="str">
        <f>IF(AND(A674&lt;&gt;"",ISNUMBER(A674)),VLOOKUP(A674,Studies!A:BR,6,FALSE),"")</f>
        <v>Bile</v>
      </c>
      <c r="G674" s="194">
        <v>10</v>
      </c>
      <c r="H674" s="194" t="s">
        <v>60</v>
      </c>
      <c r="I674" s="187">
        <v>16.100708954036236</v>
      </c>
      <c r="J674" s="187" t="s">
        <v>58</v>
      </c>
      <c r="K674" s="187" t="s">
        <v>116</v>
      </c>
      <c r="L674" s="195"/>
      <c r="M674" s="195"/>
      <c r="N674" s="195"/>
      <c r="O674" s="199"/>
      <c r="P674" s="188" t="s">
        <v>1115</v>
      </c>
      <c r="Q674" s="174">
        <f>IF(ISNUMBER(VLOOKUP(A674,NotghiID!A:A,1,FALSE)),1,0)</f>
        <v>0</v>
      </c>
    </row>
    <row r="675" spans="1:17" ht="14.25" x14ac:dyDescent="0.2">
      <c r="A675" s="183">
        <v>3</v>
      </c>
      <c r="B675" s="232" t="str">
        <f>IF(AND(A675&lt;&gt;"",ISNUMBER(A675)),VLOOKUP(A675,Studies!A:BR,2,FALSE),"")</f>
        <v>Acocella 1972a</v>
      </c>
      <c r="C675" s="232" t="str">
        <f>IF(AND(A675&lt;&gt;"",ISNUMBER(A675)),VLOOKUP(A675,Studies!A:BR,3,FALSE),"")</f>
        <v>https://doi.org/10.1007/BF00561755</v>
      </c>
      <c r="D675" s="232" t="str">
        <f>IF(AND(A675&lt;&gt;"",ISNUMBER(A675)),VLOOKUP(A675,Studies!A:BR,4,FALSE),"")</f>
        <v>day 1</v>
      </c>
      <c r="E675" s="206" t="str">
        <f>IF(AND(A675&lt;&gt;"",ISNUMBER(A675)),VLOOKUP(A675,Studies!A:BR,5,FALSE),"")</f>
        <v>Rifampicin</v>
      </c>
      <c r="F675" s="207" t="str">
        <f>IF(AND(A675&lt;&gt;"",ISNUMBER(A675)),VLOOKUP(A675,Studies!A:BR,6,FALSE),"")</f>
        <v>Bile</v>
      </c>
      <c r="G675" s="194">
        <v>11</v>
      </c>
      <c r="H675" s="194" t="s">
        <v>60</v>
      </c>
      <c r="I675" s="187">
        <v>18.81590411067009</v>
      </c>
      <c r="J675" s="187" t="s">
        <v>58</v>
      </c>
      <c r="K675" s="187" t="s">
        <v>116</v>
      </c>
      <c r="L675" s="195"/>
      <c r="M675" s="195"/>
      <c r="N675" s="195"/>
      <c r="O675" s="199"/>
      <c r="P675" s="188" t="s">
        <v>1115</v>
      </c>
      <c r="Q675" s="174">
        <f>IF(ISNUMBER(VLOOKUP(A675,NotghiID!A:A,1,FALSE)),1,0)</f>
        <v>0</v>
      </c>
    </row>
    <row r="676" spans="1:17" ht="14.25" x14ac:dyDescent="0.2">
      <c r="A676" s="183">
        <v>3</v>
      </c>
      <c r="B676" s="232" t="str">
        <f>IF(AND(A676&lt;&gt;"",ISNUMBER(A676)),VLOOKUP(A676,Studies!A:BR,2,FALSE),"")</f>
        <v>Acocella 1972a</v>
      </c>
      <c r="C676" s="232" t="str">
        <f>IF(AND(A676&lt;&gt;"",ISNUMBER(A676)),VLOOKUP(A676,Studies!A:BR,3,FALSE),"")</f>
        <v>https://doi.org/10.1007/BF00561755</v>
      </c>
      <c r="D676" s="232" t="str">
        <f>IF(AND(A676&lt;&gt;"",ISNUMBER(A676)),VLOOKUP(A676,Studies!A:BR,4,FALSE),"")</f>
        <v>day 1</v>
      </c>
      <c r="E676" s="206" t="str">
        <f>IF(AND(A676&lt;&gt;"",ISNUMBER(A676)),VLOOKUP(A676,Studies!A:BR,5,FALSE),"")</f>
        <v>Rifampicin</v>
      </c>
      <c r="F676" s="207" t="str">
        <f>IF(AND(A676&lt;&gt;"",ISNUMBER(A676)),VLOOKUP(A676,Studies!A:BR,6,FALSE),"")</f>
        <v>Bile</v>
      </c>
      <c r="G676" s="194">
        <v>12</v>
      </c>
      <c r="H676" s="194" t="s">
        <v>60</v>
      </c>
      <c r="I676" s="187">
        <v>20.9</v>
      </c>
      <c r="J676" s="187" t="s">
        <v>58</v>
      </c>
      <c r="K676" s="187" t="s">
        <v>116</v>
      </c>
      <c r="L676" s="195"/>
      <c r="M676" s="195"/>
      <c r="N676" s="195"/>
      <c r="O676" s="199"/>
      <c r="P676" s="188" t="s">
        <v>1116</v>
      </c>
      <c r="Q676" s="174">
        <f>IF(ISNUMBER(VLOOKUP(A676,NotghiID!A:A,1,FALSE)),1,0)</f>
        <v>0</v>
      </c>
    </row>
    <row r="677" spans="1:17" ht="14.25" x14ac:dyDescent="0.2">
      <c r="A677" s="183">
        <v>4</v>
      </c>
      <c r="B677" s="232" t="str">
        <f>IF(AND(A677&lt;&gt;"",ISNUMBER(A677)),VLOOKUP(A677,Studies!A:BR,2,FALSE),"")</f>
        <v>Acocella 1972a</v>
      </c>
      <c r="C677" s="232" t="str">
        <f>IF(AND(A677&lt;&gt;"",ISNUMBER(A677)),VLOOKUP(A677,Studies!A:BR,3,FALSE),"")</f>
        <v>https://doi.org/10.1007/BF00561755</v>
      </c>
      <c r="D677" s="232" t="str">
        <f>IF(AND(A677&lt;&gt;"",ISNUMBER(A677)),VLOOKUP(A677,Studies!A:BR,4,FALSE),"")</f>
        <v>day 1</v>
      </c>
      <c r="E677" s="206" t="str">
        <f>IF(AND(A677&lt;&gt;"",ISNUMBER(A677)),VLOOKUP(A677,Studies!A:BR,5,FALSE),"")</f>
        <v>Rifampicin</v>
      </c>
      <c r="F677" s="207" t="str">
        <f>IF(AND(A677&lt;&gt;"",ISNUMBER(A677)),VLOOKUP(A677,Studies!A:BR,6,FALSE),"")</f>
        <v>Urine</v>
      </c>
      <c r="G677" s="194">
        <v>2</v>
      </c>
      <c r="H677" s="194" t="s">
        <v>60</v>
      </c>
      <c r="I677" s="187">
        <v>1.9811126869171858</v>
      </c>
      <c r="J677" s="187" t="s">
        <v>58</v>
      </c>
      <c r="K677" s="187" t="s">
        <v>116</v>
      </c>
      <c r="L677" s="195"/>
      <c r="M677" s="195"/>
      <c r="N677" s="195"/>
      <c r="O677" s="199"/>
      <c r="P677" s="188" t="s">
        <v>1117</v>
      </c>
      <c r="Q677" s="174">
        <f>IF(ISNUMBER(VLOOKUP(A677,NotghiID!A:A,1,FALSE)),1,0)</f>
        <v>0</v>
      </c>
    </row>
    <row r="678" spans="1:17" ht="14.25" x14ac:dyDescent="0.2">
      <c r="A678" s="183">
        <v>4</v>
      </c>
      <c r="B678" s="232" t="str">
        <f>IF(AND(A678&lt;&gt;"",ISNUMBER(A678)),VLOOKUP(A678,Studies!A:BR,2,FALSE),"")</f>
        <v>Acocella 1972a</v>
      </c>
      <c r="C678" s="232" t="str">
        <f>IF(AND(A678&lt;&gt;"",ISNUMBER(A678)),VLOOKUP(A678,Studies!A:BR,3,FALSE),"")</f>
        <v>https://doi.org/10.1007/BF00561755</v>
      </c>
      <c r="D678" s="232" t="str">
        <f>IF(AND(A678&lt;&gt;"",ISNUMBER(A678)),VLOOKUP(A678,Studies!A:BR,4,FALSE),"")</f>
        <v>day 1</v>
      </c>
      <c r="E678" s="206" t="str">
        <f>IF(AND(A678&lt;&gt;"",ISNUMBER(A678)),VLOOKUP(A678,Studies!A:BR,5,FALSE),"")</f>
        <v>Rifampicin</v>
      </c>
      <c r="F678" s="207" t="str">
        <f>IF(AND(A678&lt;&gt;"",ISNUMBER(A678)),VLOOKUP(A678,Studies!A:BR,6,FALSE),"")</f>
        <v>Urine</v>
      </c>
      <c r="G678" s="194">
        <v>3</v>
      </c>
      <c r="H678" s="194" t="s">
        <v>60</v>
      </c>
      <c r="I678" s="187">
        <v>7.9837166704237461</v>
      </c>
      <c r="J678" s="187" t="s">
        <v>58</v>
      </c>
      <c r="K678" s="187" t="s">
        <v>116</v>
      </c>
      <c r="L678" s="195"/>
      <c r="M678" s="195"/>
      <c r="N678" s="195"/>
      <c r="O678" s="199"/>
      <c r="P678" s="188" t="s">
        <v>1117</v>
      </c>
      <c r="Q678" s="174">
        <f>IF(ISNUMBER(VLOOKUP(A678,NotghiID!A:A,1,FALSE)),1,0)</f>
        <v>0</v>
      </c>
    </row>
    <row r="679" spans="1:17" ht="14.25" x14ac:dyDescent="0.2">
      <c r="A679" s="183">
        <v>4</v>
      </c>
      <c r="B679" s="232" t="str">
        <f>IF(AND(A679&lt;&gt;"",ISNUMBER(A679)),VLOOKUP(A679,Studies!A:BR,2,FALSE),"")</f>
        <v>Acocella 1972a</v>
      </c>
      <c r="C679" s="232" t="str">
        <f>IF(AND(A679&lt;&gt;"",ISNUMBER(A679)),VLOOKUP(A679,Studies!A:BR,3,FALSE),"")</f>
        <v>https://doi.org/10.1007/BF00561755</v>
      </c>
      <c r="D679" s="232" t="str">
        <f>IF(AND(A679&lt;&gt;"",ISNUMBER(A679)),VLOOKUP(A679,Studies!A:BR,4,FALSE),"")</f>
        <v>day 1</v>
      </c>
      <c r="E679" s="206" t="str">
        <f>IF(AND(A679&lt;&gt;"",ISNUMBER(A679)),VLOOKUP(A679,Studies!A:BR,5,FALSE),"")</f>
        <v>Rifampicin</v>
      </c>
      <c r="F679" s="207" t="str">
        <f>IF(AND(A679&lt;&gt;"",ISNUMBER(A679)),VLOOKUP(A679,Studies!A:BR,6,FALSE),"")</f>
        <v>Urine</v>
      </c>
      <c r="G679" s="194">
        <v>4</v>
      </c>
      <c r="H679" s="194" t="s">
        <v>60</v>
      </c>
      <c r="I679" s="187">
        <v>14.129173010587692</v>
      </c>
      <c r="J679" s="187" t="s">
        <v>58</v>
      </c>
      <c r="K679" s="187" t="s">
        <v>116</v>
      </c>
      <c r="L679" s="195"/>
      <c r="M679" s="195"/>
      <c r="N679" s="195"/>
      <c r="O679" s="199"/>
      <c r="P679" s="188" t="s">
        <v>1117</v>
      </c>
      <c r="Q679" s="174">
        <f>IF(ISNUMBER(VLOOKUP(A679,NotghiID!A:A,1,FALSE)),1,0)</f>
        <v>0</v>
      </c>
    </row>
    <row r="680" spans="1:17" ht="14.25" x14ac:dyDescent="0.2">
      <c r="A680" s="183">
        <v>4</v>
      </c>
      <c r="B680" s="232" t="str">
        <f>IF(AND(A680&lt;&gt;"",ISNUMBER(A680)),VLOOKUP(A680,Studies!A:BR,2,FALSE),"")</f>
        <v>Acocella 1972a</v>
      </c>
      <c r="C680" s="232" t="str">
        <f>IF(AND(A680&lt;&gt;"",ISNUMBER(A680)),VLOOKUP(A680,Studies!A:BR,3,FALSE),"")</f>
        <v>https://doi.org/10.1007/BF00561755</v>
      </c>
      <c r="D680" s="232" t="str">
        <f>IF(AND(A680&lt;&gt;"",ISNUMBER(A680)),VLOOKUP(A680,Studies!A:BR,4,FALSE),"")</f>
        <v>day 1</v>
      </c>
      <c r="E680" s="206" t="str">
        <f>IF(AND(A680&lt;&gt;"",ISNUMBER(A680)),VLOOKUP(A680,Studies!A:BR,5,FALSE),"")</f>
        <v>Rifampicin</v>
      </c>
      <c r="F680" s="207" t="str">
        <f>IF(AND(A680&lt;&gt;"",ISNUMBER(A680)),VLOOKUP(A680,Studies!A:BR,6,FALSE),"")</f>
        <v>Urine</v>
      </c>
      <c r="G680" s="194">
        <v>5</v>
      </c>
      <c r="H680" s="194" t="s">
        <v>60</v>
      </c>
      <c r="I680" s="187">
        <v>19.129402376711369</v>
      </c>
      <c r="J680" s="187" t="s">
        <v>58</v>
      </c>
      <c r="K680" s="187" t="s">
        <v>116</v>
      </c>
      <c r="L680" s="195"/>
      <c r="M680" s="195"/>
      <c r="N680" s="195"/>
      <c r="O680" s="199"/>
      <c r="P680" s="188" t="s">
        <v>1117</v>
      </c>
      <c r="Q680" s="174">
        <f>IF(ISNUMBER(VLOOKUP(A680,NotghiID!A:A,1,FALSE)),1,0)</f>
        <v>0</v>
      </c>
    </row>
    <row r="681" spans="1:17" ht="14.25" x14ac:dyDescent="0.2">
      <c r="A681" s="183">
        <v>4</v>
      </c>
      <c r="B681" s="232" t="str">
        <f>IF(AND(A681&lt;&gt;"",ISNUMBER(A681)),VLOOKUP(A681,Studies!A:BR,2,FALSE),"")</f>
        <v>Acocella 1972a</v>
      </c>
      <c r="C681" s="232" t="str">
        <f>IF(AND(A681&lt;&gt;"",ISNUMBER(A681)),VLOOKUP(A681,Studies!A:BR,3,FALSE),"")</f>
        <v>https://doi.org/10.1007/BF00561755</v>
      </c>
      <c r="D681" s="232" t="str">
        <f>IF(AND(A681&lt;&gt;"",ISNUMBER(A681)),VLOOKUP(A681,Studies!A:BR,4,FALSE),"")</f>
        <v>day 1</v>
      </c>
      <c r="E681" s="206" t="str">
        <f>IF(AND(A681&lt;&gt;"",ISNUMBER(A681)),VLOOKUP(A681,Studies!A:BR,5,FALSE),"")</f>
        <v>Rifampicin</v>
      </c>
      <c r="F681" s="207" t="str">
        <f>IF(AND(A681&lt;&gt;"",ISNUMBER(A681)),VLOOKUP(A681,Studies!A:BR,6,FALSE),"")</f>
        <v>Urine</v>
      </c>
      <c r="G681" s="194">
        <v>6</v>
      </c>
      <c r="H681" s="194" t="s">
        <v>60</v>
      </c>
      <c r="I681" s="187">
        <v>33.293861523270607</v>
      </c>
      <c r="J681" s="187" t="s">
        <v>58</v>
      </c>
      <c r="K681" s="187" t="s">
        <v>116</v>
      </c>
      <c r="L681" s="195"/>
      <c r="M681" s="195"/>
      <c r="N681" s="195"/>
      <c r="O681" s="199"/>
      <c r="P681" s="188" t="s">
        <v>1117</v>
      </c>
      <c r="Q681" s="174">
        <f>IF(ISNUMBER(VLOOKUP(A681,NotghiID!A:A,1,FALSE)),1,0)</f>
        <v>0</v>
      </c>
    </row>
    <row r="682" spans="1:17" ht="14.25" x14ac:dyDescent="0.2">
      <c r="A682" s="183">
        <v>4</v>
      </c>
      <c r="B682" s="232" t="str">
        <f>IF(AND(A682&lt;&gt;"",ISNUMBER(A682)),VLOOKUP(A682,Studies!A:BR,2,FALSE),"")</f>
        <v>Acocella 1972a</v>
      </c>
      <c r="C682" s="232" t="str">
        <f>IF(AND(A682&lt;&gt;"",ISNUMBER(A682)),VLOOKUP(A682,Studies!A:BR,3,FALSE),"")</f>
        <v>https://doi.org/10.1007/BF00561755</v>
      </c>
      <c r="D682" s="232" t="str">
        <f>IF(AND(A682&lt;&gt;"",ISNUMBER(A682)),VLOOKUP(A682,Studies!A:BR,4,FALSE),"")</f>
        <v>day 1</v>
      </c>
      <c r="E682" s="206" t="str">
        <f>IF(AND(A682&lt;&gt;"",ISNUMBER(A682)),VLOOKUP(A682,Studies!A:BR,5,FALSE),"")</f>
        <v>Rifampicin</v>
      </c>
      <c r="F682" s="207" t="str">
        <f>IF(AND(A682&lt;&gt;"",ISNUMBER(A682)),VLOOKUP(A682,Studies!A:BR,6,FALSE),"")</f>
        <v>Urine</v>
      </c>
      <c r="G682" s="194">
        <v>7</v>
      </c>
      <c r="H682" s="194" t="s">
        <v>60</v>
      </c>
      <c r="I682" s="187">
        <v>42.160050943493843</v>
      </c>
      <c r="J682" s="187" t="s">
        <v>58</v>
      </c>
      <c r="K682" s="187" t="s">
        <v>116</v>
      </c>
      <c r="L682" s="195"/>
      <c r="M682" s="195"/>
      <c r="N682" s="195"/>
      <c r="O682" s="199"/>
      <c r="P682" s="188" t="s">
        <v>1117</v>
      </c>
      <c r="Q682" s="174">
        <f>IF(ISNUMBER(VLOOKUP(A682,NotghiID!A:A,1,FALSE)),1,0)</f>
        <v>0</v>
      </c>
    </row>
    <row r="683" spans="1:17" ht="14.25" x14ac:dyDescent="0.2">
      <c r="A683" s="183">
        <v>4</v>
      </c>
      <c r="B683" s="232" t="str">
        <f>IF(AND(A683&lt;&gt;"",ISNUMBER(A683)),VLOOKUP(A683,Studies!A:BR,2,FALSE),"")</f>
        <v>Acocella 1972a</v>
      </c>
      <c r="C683" s="232" t="str">
        <f>IF(AND(A683&lt;&gt;"",ISNUMBER(A683)),VLOOKUP(A683,Studies!A:BR,3,FALSE),"")</f>
        <v>https://doi.org/10.1007/BF00561755</v>
      </c>
      <c r="D683" s="232" t="str">
        <f>IF(AND(A683&lt;&gt;"",ISNUMBER(A683)),VLOOKUP(A683,Studies!A:BR,4,FALSE),"")</f>
        <v>day 1</v>
      </c>
      <c r="E683" s="206" t="str">
        <f>IF(AND(A683&lt;&gt;"",ISNUMBER(A683)),VLOOKUP(A683,Studies!A:BR,5,FALSE),"")</f>
        <v>Rifampicin</v>
      </c>
      <c r="F683" s="207" t="str">
        <f>IF(AND(A683&lt;&gt;"",ISNUMBER(A683)),VLOOKUP(A683,Studies!A:BR,6,FALSE),"")</f>
        <v>Urine</v>
      </c>
      <c r="G683" s="194">
        <v>8</v>
      </c>
      <c r="H683" s="194" t="s">
        <v>60</v>
      </c>
      <c r="I683" s="187">
        <v>46.873543784022331</v>
      </c>
      <c r="J683" s="187" t="s">
        <v>58</v>
      </c>
      <c r="K683" s="187" t="s">
        <v>116</v>
      </c>
      <c r="L683" s="195"/>
      <c r="M683" s="195"/>
      <c r="N683" s="195"/>
      <c r="O683" s="199"/>
      <c r="P683" s="188" t="s">
        <v>1117</v>
      </c>
      <c r="Q683" s="174">
        <f>IF(ISNUMBER(VLOOKUP(A683,NotghiID!A:A,1,FALSE)),1,0)</f>
        <v>0</v>
      </c>
    </row>
    <row r="684" spans="1:17" ht="14.25" x14ac:dyDescent="0.2">
      <c r="A684" s="183">
        <v>4</v>
      </c>
      <c r="B684" s="232" t="str">
        <f>IF(AND(A684&lt;&gt;"",ISNUMBER(A684)),VLOOKUP(A684,Studies!A:BR,2,FALSE),"")</f>
        <v>Acocella 1972a</v>
      </c>
      <c r="C684" s="232" t="str">
        <f>IF(AND(A684&lt;&gt;"",ISNUMBER(A684)),VLOOKUP(A684,Studies!A:BR,3,FALSE),"")</f>
        <v>https://doi.org/10.1007/BF00561755</v>
      </c>
      <c r="D684" s="232" t="str">
        <f>IF(AND(A684&lt;&gt;"",ISNUMBER(A684)),VLOOKUP(A684,Studies!A:BR,4,FALSE),"")</f>
        <v>day 1</v>
      </c>
      <c r="E684" s="206" t="str">
        <f>IF(AND(A684&lt;&gt;"",ISNUMBER(A684)),VLOOKUP(A684,Studies!A:BR,5,FALSE),"")</f>
        <v>Rifampicin</v>
      </c>
      <c r="F684" s="207" t="str">
        <f>IF(AND(A684&lt;&gt;"",ISNUMBER(A684)),VLOOKUP(A684,Studies!A:BR,6,FALSE),"")</f>
        <v>Urine</v>
      </c>
      <c r="G684" s="194">
        <v>9</v>
      </c>
      <c r="H684" s="194" t="s">
        <v>60</v>
      </c>
      <c r="I684" s="187">
        <v>51.730575039982796</v>
      </c>
      <c r="J684" s="187" t="s">
        <v>58</v>
      </c>
      <c r="K684" s="187" t="s">
        <v>116</v>
      </c>
      <c r="L684" s="195"/>
      <c r="M684" s="195"/>
      <c r="N684" s="195"/>
      <c r="O684" s="199"/>
      <c r="P684" s="188" t="s">
        <v>1117</v>
      </c>
      <c r="Q684" s="174">
        <f>IF(ISNUMBER(VLOOKUP(A684,NotghiID!A:A,1,FALSE)),1,0)</f>
        <v>0</v>
      </c>
    </row>
    <row r="685" spans="1:17" ht="14.25" x14ac:dyDescent="0.2">
      <c r="A685" s="183">
        <v>4</v>
      </c>
      <c r="B685" s="232" t="str">
        <f>IF(AND(A685&lt;&gt;"",ISNUMBER(A685)),VLOOKUP(A685,Studies!A:BR,2,FALSE),"")</f>
        <v>Acocella 1972a</v>
      </c>
      <c r="C685" s="232" t="str">
        <f>IF(AND(A685&lt;&gt;"",ISNUMBER(A685)),VLOOKUP(A685,Studies!A:BR,3,FALSE),"")</f>
        <v>https://doi.org/10.1007/BF00561755</v>
      </c>
      <c r="D685" s="232" t="str">
        <f>IF(AND(A685&lt;&gt;"",ISNUMBER(A685)),VLOOKUP(A685,Studies!A:BR,4,FALSE),"")</f>
        <v>day 1</v>
      </c>
      <c r="E685" s="206" t="str">
        <f>IF(AND(A685&lt;&gt;"",ISNUMBER(A685)),VLOOKUP(A685,Studies!A:BR,5,FALSE),"")</f>
        <v>Rifampicin</v>
      </c>
      <c r="F685" s="207" t="str">
        <f>IF(AND(A685&lt;&gt;"",ISNUMBER(A685)),VLOOKUP(A685,Studies!A:BR,6,FALSE),"")</f>
        <v>Urine</v>
      </c>
      <c r="G685" s="194">
        <v>10</v>
      </c>
      <c r="H685" s="194" t="s">
        <v>60</v>
      </c>
      <c r="I685" s="187">
        <v>54.296121373772621</v>
      </c>
      <c r="J685" s="187" t="s">
        <v>58</v>
      </c>
      <c r="K685" s="187" t="s">
        <v>116</v>
      </c>
      <c r="L685" s="195"/>
      <c r="M685" s="195"/>
      <c r="N685" s="195"/>
      <c r="O685" s="199"/>
      <c r="P685" s="188" t="s">
        <v>1117</v>
      </c>
      <c r="Q685" s="174">
        <f>IF(ISNUMBER(VLOOKUP(A685,NotghiID!A:A,1,FALSE)),1,0)</f>
        <v>0</v>
      </c>
    </row>
    <row r="686" spans="1:17" ht="14.25" x14ac:dyDescent="0.2">
      <c r="A686" s="183">
        <v>4</v>
      </c>
      <c r="B686" s="232" t="str">
        <f>IF(AND(A686&lt;&gt;"",ISNUMBER(A686)),VLOOKUP(A686,Studies!A:BR,2,FALSE),"")</f>
        <v>Acocella 1972a</v>
      </c>
      <c r="C686" s="232" t="str">
        <f>IF(AND(A686&lt;&gt;"",ISNUMBER(A686)),VLOOKUP(A686,Studies!A:BR,3,FALSE),"")</f>
        <v>https://doi.org/10.1007/BF00561755</v>
      </c>
      <c r="D686" s="232" t="str">
        <f>IF(AND(A686&lt;&gt;"",ISNUMBER(A686)),VLOOKUP(A686,Studies!A:BR,4,FALSE),"")</f>
        <v>day 1</v>
      </c>
      <c r="E686" s="206" t="str">
        <f>IF(AND(A686&lt;&gt;"",ISNUMBER(A686)),VLOOKUP(A686,Studies!A:BR,5,FALSE),"")</f>
        <v>Rifampicin</v>
      </c>
      <c r="F686" s="207" t="str">
        <f>IF(AND(A686&lt;&gt;"",ISNUMBER(A686)),VLOOKUP(A686,Studies!A:BR,6,FALSE),"")</f>
        <v>Urine</v>
      </c>
      <c r="G686" s="194">
        <v>11</v>
      </c>
      <c r="H686" s="194" t="s">
        <v>60</v>
      </c>
      <c r="I686" s="187">
        <v>57.14806392788887</v>
      </c>
      <c r="J686" s="187" t="s">
        <v>58</v>
      </c>
      <c r="K686" s="187" t="s">
        <v>116</v>
      </c>
      <c r="L686" s="195"/>
      <c r="M686" s="195"/>
      <c r="N686" s="195"/>
      <c r="O686" s="199"/>
      <c r="P686" s="188" t="s">
        <v>1117</v>
      </c>
      <c r="Q686" s="174">
        <f>IF(ISNUMBER(VLOOKUP(A686,NotghiID!A:A,1,FALSE)),1,0)</f>
        <v>0</v>
      </c>
    </row>
    <row r="687" spans="1:17" ht="14.25" x14ac:dyDescent="0.2">
      <c r="A687" s="183">
        <v>4</v>
      </c>
      <c r="B687" s="232" t="str">
        <f>IF(AND(A687&lt;&gt;"",ISNUMBER(A687)),VLOOKUP(A687,Studies!A:BR,2,FALSE),"")</f>
        <v>Acocella 1972a</v>
      </c>
      <c r="C687" s="232" t="str">
        <f>IF(AND(A687&lt;&gt;"",ISNUMBER(A687)),VLOOKUP(A687,Studies!A:BR,3,FALSE),"")</f>
        <v>https://doi.org/10.1007/BF00561755</v>
      </c>
      <c r="D687" s="232" t="str">
        <f>IF(AND(A687&lt;&gt;"",ISNUMBER(A687)),VLOOKUP(A687,Studies!A:BR,4,FALSE),"")</f>
        <v>day 1</v>
      </c>
      <c r="E687" s="206" t="str">
        <f>IF(AND(A687&lt;&gt;"",ISNUMBER(A687)),VLOOKUP(A687,Studies!A:BR,5,FALSE),"")</f>
        <v>Rifampicin</v>
      </c>
      <c r="F687" s="207" t="str">
        <f>IF(AND(A687&lt;&gt;"",ISNUMBER(A687)),VLOOKUP(A687,Studies!A:BR,6,FALSE),"")</f>
        <v>Urine</v>
      </c>
      <c r="G687" s="194">
        <v>12</v>
      </c>
      <c r="H687" s="194" t="s">
        <v>60</v>
      </c>
      <c r="I687" s="187">
        <v>59.7</v>
      </c>
      <c r="J687" s="187" t="s">
        <v>58</v>
      </c>
      <c r="K687" s="187" t="s">
        <v>116</v>
      </c>
      <c r="L687" s="195"/>
      <c r="M687" s="195"/>
      <c r="N687" s="195"/>
      <c r="O687" s="199"/>
      <c r="P687" s="188" t="s">
        <v>1116</v>
      </c>
      <c r="Q687" s="174">
        <f>IF(ISNUMBER(VLOOKUP(A687,NotghiID!A:A,1,FALSE)),1,0)</f>
        <v>0</v>
      </c>
    </row>
    <row r="688" spans="1:17" ht="14.25" x14ac:dyDescent="0.2">
      <c r="A688" s="183">
        <v>1</v>
      </c>
      <c r="B688" s="232" t="str">
        <f>IF(AND(A688&lt;&gt;"",ISNUMBER(A688)),VLOOKUP(A688,Studies!A:BR,2,FALSE),"")</f>
        <v>Acocella 1972a</v>
      </c>
      <c r="C688" s="232" t="str">
        <f>IF(AND(A688&lt;&gt;"",ISNUMBER(A688)),VLOOKUP(A688,Studies!A:BR,3,FALSE),"")</f>
        <v>https://doi.org/10.1007/BF00561755</v>
      </c>
      <c r="D688" s="232" t="str">
        <f>IF(AND(A688&lt;&gt;"",ISNUMBER(A688)),VLOOKUP(A688,Studies!A:BR,4,FALSE),"")</f>
        <v>day 1</v>
      </c>
      <c r="E688" s="206" t="str">
        <f>IF(AND(A688&lt;&gt;"",ISNUMBER(A688)),VLOOKUP(A688,Studies!A:BR,5,FALSE),"")</f>
        <v>Rifampicin</v>
      </c>
      <c r="F688" s="207" t="str">
        <f>IF(AND(A688&lt;&gt;"",ISNUMBER(A688)),VLOOKUP(A688,Studies!A:BR,6,FALSE),"")</f>
        <v>Serum</v>
      </c>
      <c r="G688" s="194">
        <v>2</v>
      </c>
      <c r="H688" s="194" t="s">
        <v>60</v>
      </c>
      <c r="I688" s="187">
        <v>10.930047035217285</v>
      </c>
      <c r="J688" s="187" t="s">
        <v>1054</v>
      </c>
      <c r="K688" s="187" t="s">
        <v>116</v>
      </c>
      <c r="L688" s="195"/>
      <c r="M688" s="195"/>
      <c r="N688" s="195"/>
      <c r="O688" s="199"/>
      <c r="P688" s="188"/>
      <c r="Q688" s="174">
        <f>IF(ISNUMBER(VLOOKUP(A688,NotghiID!A:A,1,FALSE)),1,0)</f>
        <v>0</v>
      </c>
    </row>
    <row r="689" spans="1:17" ht="14.25" x14ac:dyDescent="0.2">
      <c r="A689" s="183">
        <v>1</v>
      </c>
      <c r="B689" s="232" t="str">
        <f>IF(AND(A689&lt;&gt;"",ISNUMBER(A689)),VLOOKUP(A689,Studies!A:BR,2,FALSE),"")</f>
        <v>Acocella 1972a</v>
      </c>
      <c r="C689" s="232" t="str">
        <f>IF(AND(A689&lt;&gt;"",ISNUMBER(A689)),VLOOKUP(A689,Studies!A:BR,3,FALSE),"")</f>
        <v>https://doi.org/10.1007/BF00561755</v>
      </c>
      <c r="D689" s="232" t="str">
        <f>IF(AND(A689&lt;&gt;"",ISNUMBER(A689)),VLOOKUP(A689,Studies!A:BR,4,FALSE),"")</f>
        <v>day 1</v>
      </c>
      <c r="E689" s="206" t="str">
        <f>IF(AND(A689&lt;&gt;"",ISNUMBER(A689)),VLOOKUP(A689,Studies!A:BR,5,FALSE),"")</f>
        <v>Rifampicin</v>
      </c>
      <c r="F689" s="207" t="str">
        <f>IF(AND(A689&lt;&gt;"",ISNUMBER(A689)),VLOOKUP(A689,Studies!A:BR,6,FALSE),"")</f>
        <v>Serum</v>
      </c>
      <c r="G689" s="194">
        <v>4</v>
      </c>
      <c r="H689" s="194" t="s">
        <v>60</v>
      </c>
      <c r="I689" s="187">
        <v>13.441757202148437</v>
      </c>
      <c r="J689" s="187" t="s">
        <v>1054</v>
      </c>
      <c r="K689" s="187" t="s">
        <v>116</v>
      </c>
      <c r="L689" s="195"/>
      <c r="M689" s="195"/>
      <c r="N689" s="195"/>
      <c r="O689" s="199"/>
      <c r="P689" s="188"/>
      <c r="Q689" s="174">
        <f>IF(ISNUMBER(VLOOKUP(A689,NotghiID!A:A,1,FALSE)),1,0)</f>
        <v>0</v>
      </c>
    </row>
    <row r="690" spans="1:17" ht="14.25" x14ac:dyDescent="0.2">
      <c r="A690" s="183">
        <v>1</v>
      </c>
      <c r="B690" s="232" t="str">
        <f>IF(AND(A690&lt;&gt;"",ISNUMBER(A690)),VLOOKUP(A690,Studies!A:BR,2,FALSE),"")</f>
        <v>Acocella 1972a</v>
      </c>
      <c r="C690" s="232" t="str">
        <f>IF(AND(A690&lt;&gt;"",ISNUMBER(A690)),VLOOKUP(A690,Studies!A:BR,3,FALSE),"")</f>
        <v>https://doi.org/10.1007/BF00561755</v>
      </c>
      <c r="D690" s="232" t="str">
        <f>IF(AND(A690&lt;&gt;"",ISNUMBER(A690)),VLOOKUP(A690,Studies!A:BR,4,FALSE),"")</f>
        <v>day 1</v>
      </c>
      <c r="E690" s="206" t="str">
        <f>IF(AND(A690&lt;&gt;"",ISNUMBER(A690)),VLOOKUP(A690,Studies!A:BR,5,FALSE),"")</f>
        <v>Rifampicin</v>
      </c>
      <c r="F690" s="207" t="str">
        <f>IF(AND(A690&lt;&gt;"",ISNUMBER(A690)),VLOOKUP(A690,Studies!A:BR,6,FALSE),"")</f>
        <v>Serum</v>
      </c>
      <c r="G690" s="194">
        <v>8</v>
      </c>
      <c r="H690" s="194" t="s">
        <v>60</v>
      </c>
      <c r="I690" s="187">
        <v>6.0616269111633301</v>
      </c>
      <c r="J690" s="187" t="s">
        <v>1054</v>
      </c>
      <c r="K690" s="187" t="s">
        <v>116</v>
      </c>
      <c r="L690" s="195"/>
      <c r="M690" s="195"/>
      <c r="N690" s="195"/>
      <c r="O690" s="199"/>
      <c r="P690" s="188"/>
      <c r="Q690" s="174">
        <f>IF(ISNUMBER(VLOOKUP(A690,NotghiID!A:A,1,FALSE)),1,0)</f>
        <v>0</v>
      </c>
    </row>
    <row r="691" spans="1:17" ht="14.25" x14ac:dyDescent="0.2">
      <c r="A691" s="183">
        <v>1</v>
      </c>
      <c r="B691" s="232" t="str">
        <f>IF(AND(A691&lt;&gt;"",ISNUMBER(A691)),VLOOKUP(A691,Studies!A:BR,2,FALSE),"")</f>
        <v>Acocella 1972a</v>
      </c>
      <c r="C691" s="232" t="str">
        <f>IF(AND(A691&lt;&gt;"",ISNUMBER(A691)),VLOOKUP(A691,Studies!A:BR,3,FALSE),"")</f>
        <v>https://doi.org/10.1007/BF00561755</v>
      </c>
      <c r="D691" s="232" t="str">
        <f>IF(AND(A691&lt;&gt;"",ISNUMBER(A691)),VLOOKUP(A691,Studies!A:BR,4,FALSE),"")</f>
        <v>day 1</v>
      </c>
      <c r="E691" s="206" t="str">
        <f>IF(AND(A691&lt;&gt;"",ISNUMBER(A691)),VLOOKUP(A691,Studies!A:BR,5,FALSE),"")</f>
        <v>Rifampicin</v>
      </c>
      <c r="F691" s="207" t="str">
        <f>IF(AND(A691&lt;&gt;"",ISNUMBER(A691)),VLOOKUP(A691,Studies!A:BR,6,FALSE),"")</f>
        <v>Serum</v>
      </c>
      <c r="G691" s="194">
        <v>12</v>
      </c>
      <c r="H691" s="194" t="s">
        <v>60</v>
      </c>
      <c r="I691" s="187">
        <v>3.4572715759277344</v>
      </c>
      <c r="J691" s="187" t="s">
        <v>1054</v>
      </c>
      <c r="K691" s="187" t="s">
        <v>116</v>
      </c>
      <c r="L691" s="195"/>
      <c r="M691" s="195"/>
      <c r="N691" s="195"/>
      <c r="O691" s="199"/>
      <c r="P691" s="188"/>
      <c r="Q691" s="174">
        <f>IF(ISNUMBER(VLOOKUP(A691,NotghiID!A:A,1,FALSE)),1,0)</f>
        <v>0</v>
      </c>
    </row>
    <row r="692" spans="1:17" ht="14.25" x14ac:dyDescent="0.2">
      <c r="A692" s="183">
        <v>2</v>
      </c>
      <c r="B692" s="232" t="str">
        <f>IF(AND(A692&lt;&gt;"",ISNUMBER(A692)),VLOOKUP(A692,Studies!A:BR,2,FALSE),"")</f>
        <v>Acocella 1972a</v>
      </c>
      <c r="C692" s="232" t="str">
        <f>IF(AND(A692&lt;&gt;"",ISNUMBER(A692)),VLOOKUP(A692,Studies!A:BR,3,FALSE),"")</f>
        <v>https://doi.org/10.1007/BF00561755</v>
      </c>
      <c r="D692" s="232" t="str">
        <f>IF(AND(A692&lt;&gt;"",ISNUMBER(A692)),VLOOKUP(A692,Studies!A:BR,4,FALSE),"")</f>
        <v>day 7</v>
      </c>
      <c r="E692" s="206" t="str">
        <f>IF(AND(A692&lt;&gt;"",ISNUMBER(A692)),VLOOKUP(A692,Studies!A:BR,5,FALSE),"")</f>
        <v>Rifampicin</v>
      </c>
      <c r="F692" s="207" t="str">
        <f>IF(AND(A692&lt;&gt;"",ISNUMBER(A692)),VLOOKUP(A692,Studies!A:BR,6,FALSE),"")</f>
        <v>Serum</v>
      </c>
      <c r="G692" s="194">
        <v>146</v>
      </c>
      <c r="H692" s="194" t="s">
        <v>60</v>
      </c>
      <c r="I692" s="187">
        <v>9.0095071792602539</v>
      </c>
      <c r="J692" s="187" t="s">
        <v>1054</v>
      </c>
      <c r="K692" s="187" t="s">
        <v>116</v>
      </c>
      <c r="L692" s="195"/>
      <c r="M692" s="195"/>
      <c r="N692" s="195"/>
      <c r="O692" s="199"/>
      <c r="P692" s="188"/>
      <c r="Q692" s="174">
        <f>IF(ISNUMBER(VLOOKUP(A692,NotghiID!A:A,1,FALSE)),1,0)</f>
        <v>0</v>
      </c>
    </row>
    <row r="693" spans="1:17" ht="14.25" x14ac:dyDescent="0.2">
      <c r="A693" s="183">
        <v>2</v>
      </c>
      <c r="B693" s="232" t="str">
        <f>IF(AND(A693&lt;&gt;"",ISNUMBER(A693)),VLOOKUP(A693,Studies!A:BR,2,FALSE),"")</f>
        <v>Acocella 1972a</v>
      </c>
      <c r="C693" s="232" t="str">
        <f>IF(AND(A693&lt;&gt;"",ISNUMBER(A693)),VLOOKUP(A693,Studies!A:BR,3,FALSE),"")</f>
        <v>https://doi.org/10.1007/BF00561755</v>
      </c>
      <c r="D693" s="232" t="str">
        <f>IF(AND(A693&lt;&gt;"",ISNUMBER(A693)),VLOOKUP(A693,Studies!A:BR,4,FALSE),"")</f>
        <v>day 7</v>
      </c>
      <c r="E693" s="206" t="str">
        <f>IF(AND(A693&lt;&gt;"",ISNUMBER(A693)),VLOOKUP(A693,Studies!A:BR,5,FALSE),"")</f>
        <v>Rifampicin</v>
      </c>
      <c r="F693" s="207" t="str">
        <f>IF(AND(A693&lt;&gt;"",ISNUMBER(A693)),VLOOKUP(A693,Studies!A:BR,6,FALSE),"")</f>
        <v>Serum</v>
      </c>
      <c r="G693" s="194">
        <v>148</v>
      </c>
      <c r="H693" s="194" t="s">
        <v>60</v>
      </c>
      <c r="I693" s="187">
        <v>8.4780769348144531</v>
      </c>
      <c r="J693" s="187" t="s">
        <v>1054</v>
      </c>
      <c r="K693" s="187" t="s">
        <v>116</v>
      </c>
      <c r="L693" s="195"/>
      <c r="M693" s="195"/>
      <c r="N693" s="195"/>
      <c r="O693" s="199"/>
      <c r="P693" s="188"/>
      <c r="Q693" s="174">
        <f>IF(ISNUMBER(VLOOKUP(A693,NotghiID!A:A,1,FALSE)),1,0)</f>
        <v>0</v>
      </c>
    </row>
    <row r="694" spans="1:17" ht="14.25" x14ac:dyDescent="0.2">
      <c r="A694" s="183">
        <v>2</v>
      </c>
      <c r="B694" s="232" t="str">
        <f>IF(AND(A694&lt;&gt;"",ISNUMBER(A694)),VLOOKUP(A694,Studies!A:BR,2,FALSE),"")</f>
        <v>Acocella 1972a</v>
      </c>
      <c r="C694" s="232" t="str">
        <f>IF(AND(A694&lt;&gt;"",ISNUMBER(A694)),VLOOKUP(A694,Studies!A:BR,3,FALSE),"")</f>
        <v>https://doi.org/10.1007/BF00561755</v>
      </c>
      <c r="D694" s="232" t="str">
        <f>IF(AND(A694&lt;&gt;"",ISNUMBER(A694)),VLOOKUP(A694,Studies!A:BR,4,FALSE),"")</f>
        <v>day 7</v>
      </c>
      <c r="E694" s="206" t="str">
        <f>IF(AND(A694&lt;&gt;"",ISNUMBER(A694)),VLOOKUP(A694,Studies!A:BR,5,FALSE),"")</f>
        <v>Rifampicin</v>
      </c>
      <c r="F694" s="207" t="str">
        <f>IF(AND(A694&lt;&gt;"",ISNUMBER(A694)),VLOOKUP(A694,Studies!A:BR,6,FALSE),"")</f>
        <v>Serum</v>
      </c>
      <c r="G694" s="194">
        <v>152</v>
      </c>
      <c r="H694" s="194" t="s">
        <v>60</v>
      </c>
      <c r="I694" s="187">
        <v>2.5073075294494629</v>
      </c>
      <c r="J694" s="187" t="s">
        <v>1054</v>
      </c>
      <c r="K694" s="187" t="s">
        <v>116</v>
      </c>
      <c r="L694" s="195"/>
      <c r="M694" s="195"/>
      <c r="N694" s="195"/>
      <c r="O694" s="199"/>
      <c r="P694" s="188"/>
      <c r="Q694" s="174">
        <f>IF(ISNUMBER(VLOOKUP(A694,NotghiID!A:A,1,FALSE)),1,0)</f>
        <v>0</v>
      </c>
    </row>
    <row r="695" spans="1:17" ht="14.25" x14ac:dyDescent="0.2">
      <c r="A695" s="183">
        <v>2</v>
      </c>
      <c r="B695" s="232" t="str">
        <f>IF(AND(A695&lt;&gt;"",ISNUMBER(A695)),VLOOKUP(A695,Studies!A:BR,2,FALSE),"")</f>
        <v>Acocella 1972a</v>
      </c>
      <c r="C695" s="232" t="str">
        <f>IF(AND(A695&lt;&gt;"",ISNUMBER(A695)),VLOOKUP(A695,Studies!A:BR,3,FALSE),"")</f>
        <v>https://doi.org/10.1007/BF00561755</v>
      </c>
      <c r="D695" s="232" t="str">
        <f>IF(AND(A695&lt;&gt;"",ISNUMBER(A695)),VLOOKUP(A695,Studies!A:BR,4,FALSE),"")</f>
        <v>day 7</v>
      </c>
      <c r="E695" s="206" t="str">
        <f>IF(AND(A695&lt;&gt;"",ISNUMBER(A695)),VLOOKUP(A695,Studies!A:BR,5,FALSE),"")</f>
        <v>Rifampicin</v>
      </c>
      <c r="F695" s="207" t="str">
        <f>IF(AND(A695&lt;&gt;"",ISNUMBER(A695)),VLOOKUP(A695,Studies!A:BR,6,FALSE),"")</f>
        <v>Serum</v>
      </c>
      <c r="G695" s="194">
        <v>156</v>
      </c>
      <c r="H695" s="194" t="s">
        <v>60</v>
      </c>
      <c r="I695" s="187">
        <v>0.61682873964309692</v>
      </c>
      <c r="J695" s="187" t="s">
        <v>1054</v>
      </c>
      <c r="K695" s="187" t="s">
        <v>116</v>
      </c>
      <c r="L695" s="195"/>
      <c r="M695" s="195"/>
      <c r="N695" s="195"/>
      <c r="O695" s="199"/>
      <c r="P695" s="188"/>
      <c r="Q695" s="174">
        <f>IF(ISNUMBER(VLOOKUP(A695,NotghiID!A:A,1,FALSE)),1,0)</f>
        <v>0</v>
      </c>
    </row>
    <row r="696" spans="1:17" ht="14.25" x14ac:dyDescent="0.2">
      <c r="A696" s="183">
        <v>358</v>
      </c>
      <c r="B696" s="232" t="str">
        <f>IF(AND(A696&lt;&gt;"",ISNUMBER(A696)),VLOOKUP(A696,Studies!A:BR,2,FALSE),"")</f>
        <v>Nitti 1977</v>
      </c>
      <c r="C696" s="232" t="str">
        <f>IF(AND(A696&lt;&gt;"",ISNUMBER(A696)),VLOOKUP(A696,Studies!A:BR,3,FALSE),"")</f>
        <v>https://www.ncbi.nlm.nih.gov/pubmed/832508</v>
      </c>
      <c r="D696" s="232" t="str">
        <f>IF(AND(A696&lt;&gt;"",ISNUMBER(A696)),VLOOKUP(A696,Studies!A:BR,4,FALSE),"")</f>
        <v>300 mg</v>
      </c>
      <c r="E696" s="206" t="str">
        <f>IF(AND(A696&lt;&gt;"",ISNUMBER(A696)),VLOOKUP(A696,Studies!A:BR,5,FALSE),"")</f>
        <v>Rifampicin</v>
      </c>
      <c r="F696" s="207" t="str">
        <f>IF(AND(A696&lt;&gt;"",ISNUMBER(A696)),VLOOKUP(A696,Studies!A:BR,6,FALSE),"")</f>
        <v>Urine</v>
      </c>
      <c r="G696" s="194">
        <v>3</v>
      </c>
      <c r="H696" s="194" t="s">
        <v>60</v>
      </c>
      <c r="I696" s="187">
        <v>6.23</v>
      </c>
      <c r="J696" s="187" t="s">
        <v>58</v>
      </c>
      <c r="K696" s="187" t="s">
        <v>116</v>
      </c>
      <c r="L696" s="195"/>
      <c r="M696" s="195"/>
      <c r="N696" s="195"/>
      <c r="O696" s="199"/>
      <c r="P696" s="188" t="s">
        <v>1118</v>
      </c>
      <c r="Q696" s="174">
        <f>IF(ISNUMBER(VLOOKUP(A696,NotghiID!A:A,1,FALSE)),1,0)</f>
        <v>0</v>
      </c>
    </row>
    <row r="697" spans="1:17" ht="14.25" x14ac:dyDescent="0.2">
      <c r="A697" s="183">
        <v>358</v>
      </c>
      <c r="B697" s="232" t="str">
        <f>IF(AND(A697&lt;&gt;"",ISNUMBER(A697)),VLOOKUP(A697,Studies!A:BR,2,FALSE),"")</f>
        <v>Nitti 1977</v>
      </c>
      <c r="C697" s="232" t="str">
        <f>IF(AND(A697&lt;&gt;"",ISNUMBER(A697)),VLOOKUP(A697,Studies!A:BR,3,FALSE),"")</f>
        <v>https://www.ncbi.nlm.nih.gov/pubmed/832508</v>
      </c>
      <c r="D697" s="232" t="str">
        <f>IF(AND(A697&lt;&gt;"",ISNUMBER(A697)),VLOOKUP(A697,Studies!A:BR,4,FALSE),"")</f>
        <v>300 mg</v>
      </c>
      <c r="E697" s="206" t="str">
        <f>IF(AND(A697&lt;&gt;"",ISNUMBER(A697)),VLOOKUP(A697,Studies!A:BR,5,FALSE),"")</f>
        <v>Rifampicin</v>
      </c>
      <c r="F697" s="207" t="str">
        <f>IF(AND(A697&lt;&gt;"",ISNUMBER(A697)),VLOOKUP(A697,Studies!A:BR,6,FALSE),"")</f>
        <v>Urine</v>
      </c>
      <c r="G697" s="194">
        <v>6</v>
      </c>
      <c r="H697" s="194" t="s">
        <v>60</v>
      </c>
      <c r="I697" s="187">
        <v>21.07</v>
      </c>
      <c r="J697" s="187" t="s">
        <v>58</v>
      </c>
      <c r="K697" s="187" t="s">
        <v>116</v>
      </c>
      <c r="L697" s="195"/>
      <c r="M697" s="195"/>
      <c r="N697" s="195"/>
      <c r="O697" s="199"/>
      <c r="P697" s="188" t="s">
        <v>1118</v>
      </c>
      <c r="Q697" s="174">
        <f>IF(ISNUMBER(VLOOKUP(A697,NotghiID!A:A,1,FALSE)),1,0)</f>
        <v>0</v>
      </c>
    </row>
    <row r="698" spans="1:17" ht="14.25" x14ac:dyDescent="0.2">
      <c r="A698" s="183">
        <v>358</v>
      </c>
      <c r="B698" s="232" t="str">
        <f>IF(AND(A698&lt;&gt;"",ISNUMBER(A698)),VLOOKUP(A698,Studies!A:BR,2,FALSE),"")</f>
        <v>Nitti 1977</v>
      </c>
      <c r="C698" s="232" t="str">
        <f>IF(AND(A698&lt;&gt;"",ISNUMBER(A698)),VLOOKUP(A698,Studies!A:BR,3,FALSE),"")</f>
        <v>https://www.ncbi.nlm.nih.gov/pubmed/832508</v>
      </c>
      <c r="D698" s="232" t="str">
        <f>IF(AND(A698&lt;&gt;"",ISNUMBER(A698)),VLOOKUP(A698,Studies!A:BR,4,FALSE),"")</f>
        <v>300 mg</v>
      </c>
      <c r="E698" s="206" t="str">
        <f>IF(AND(A698&lt;&gt;"",ISNUMBER(A698)),VLOOKUP(A698,Studies!A:BR,5,FALSE),"")</f>
        <v>Rifampicin</v>
      </c>
      <c r="F698" s="207" t="str">
        <f>IF(AND(A698&lt;&gt;"",ISNUMBER(A698)),VLOOKUP(A698,Studies!A:BR,6,FALSE),"")</f>
        <v>Urine</v>
      </c>
      <c r="G698" s="194">
        <v>9</v>
      </c>
      <c r="H698" s="194" t="s">
        <v>60</v>
      </c>
      <c r="I698" s="187">
        <v>26.945</v>
      </c>
      <c r="J698" s="187" t="s">
        <v>58</v>
      </c>
      <c r="K698" s="187" t="s">
        <v>116</v>
      </c>
      <c r="L698" s="195"/>
      <c r="M698" s="195"/>
      <c r="N698" s="195"/>
      <c r="O698" s="199"/>
      <c r="P698" s="188" t="s">
        <v>1118</v>
      </c>
      <c r="Q698" s="174">
        <f>IF(ISNUMBER(VLOOKUP(A698,NotghiID!A:A,1,FALSE)),1,0)</f>
        <v>0</v>
      </c>
    </row>
    <row r="699" spans="1:17" ht="14.25" x14ac:dyDescent="0.2">
      <c r="A699" s="183">
        <v>358</v>
      </c>
      <c r="B699" s="232" t="str">
        <f>IF(AND(A699&lt;&gt;"",ISNUMBER(A699)),VLOOKUP(A699,Studies!A:BR,2,FALSE),"")</f>
        <v>Nitti 1977</v>
      </c>
      <c r="C699" s="232" t="str">
        <f>IF(AND(A699&lt;&gt;"",ISNUMBER(A699)),VLOOKUP(A699,Studies!A:BR,3,FALSE),"")</f>
        <v>https://www.ncbi.nlm.nih.gov/pubmed/832508</v>
      </c>
      <c r="D699" s="232" t="str">
        <f>IF(AND(A699&lt;&gt;"",ISNUMBER(A699)),VLOOKUP(A699,Studies!A:BR,4,FALSE),"")</f>
        <v>300 mg</v>
      </c>
      <c r="E699" s="206" t="str">
        <f>IF(AND(A699&lt;&gt;"",ISNUMBER(A699)),VLOOKUP(A699,Studies!A:BR,5,FALSE),"")</f>
        <v>Rifampicin</v>
      </c>
      <c r="F699" s="207" t="str">
        <f>IF(AND(A699&lt;&gt;"",ISNUMBER(A699)),VLOOKUP(A699,Studies!A:BR,6,FALSE),"")</f>
        <v>Urine</v>
      </c>
      <c r="G699" s="194">
        <v>12</v>
      </c>
      <c r="H699" s="194" t="s">
        <v>60</v>
      </c>
      <c r="I699" s="187">
        <v>31.215</v>
      </c>
      <c r="J699" s="187" t="s">
        <v>58</v>
      </c>
      <c r="K699" s="187" t="s">
        <v>116</v>
      </c>
      <c r="L699" s="195"/>
      <c r="M699" s="195"/>
      <c r="N699" s="195"/>
      <c r="O699" s="199"/>
      <c r="P699" s="188" t="s">
        <v>1118</v>
      </c>
      <c r="Q699" s="174">
        <f>IF(ISNUMBER(VLOOKUP(A699,NotghiID!A:A,1,FALSE)),1,0)</f>
        <v>0</v>
      </c>
    </row>
    <row r="700" spans="1:17" ht="14.25" x14ac:dyDescent="0.2">
      <c r="A700" s="183">
        <v>358</v>
      </c>
      <c r="B700" s="232" t="str">
        <f>IF(AND(A700&lt;&gt;"",ISNUMBER(A700)),VLOOKUP(A700,Studies!A:BR,2,FALSE),"")</f>
        <v>Nitti 1977</v>
      </c>
      <c r="C700" s="232" t="str">
        <f>IF(AND(A700&lt;&gt;"",ISNUMBER(A700)),VLOOKUP(A700,Studies!A:BR,3,FALSE),"")</f>
        <v>https://www.ncbi.nlm.nih.gov/pubmed/832508</v>
      </c>
      <c r="D700" s="232" t="str">
        <f>IF(AND(A700&lt;&gt;"",ISNUMBER(A700)),VLOOKUP(A700,Studies!A:BR,4,FALSE),"")</f>
        <v>300 mg</v>
      </c>
      <c r="E700" s="206" t="str">
        <f>IF(AND(A700&lt;&gt;"",ISNUMBER(A700)),VLOOKUP(A700,Studies!A:BR,5,FALSE),"")</f>
        <v>Rifampicin</v>
      </c>
      <c r="F700" s="207" t="str">
        <f>IF(AND(A700&lt;&gt;"",ISNUMBER(A700)),VLOOKUP(A700,Studies!A:BR,6,FALSE),"")</f>
        <v>Urine</v>
      </c>
      <c r="G700" s="194">
        <v>24</v>
      </c>
      <c r="H700" s="194" t="s">
        <v>60</v>
      </c>
      <c r="I700" s="187">
        <v>32.96</v>
      </c>
      <c r="J700" s="187" t="s">
        <v>58</v>
      </c>
      <c r="K700" s="187" t="s">
        <v>116</v>
      </c>
      <c r="L700" s="195"/>
      <c r="M700" s="195"/>
      <c r="N700" s="195"/>
      <c r="O700" s="199"/>
      <c r="P700" s="188" t="s">
        <v>1118</v>
      </c>
      <c r="Q700" s="174">
        <f>IF(ISNUMBER(VLOOKUP(A700,NotghiID!A:A,1,FALSE)),1,0)</f>
        <v>0</v>
      </c>
    </row>
    <row r="701" spans="1:17" ht="14.25" x14ac:dyDescent="0.2">
      <c r="A701" s="183">
        <v>359</v>
      </c>
      <c r="B701" s="232" t="str">
        <f>IF(AND(A701&lt;&gt;"",ISNUMBER(A701)),VLOOKUP(A701,Studies!A:BR,2,FALSE),"")</f>
        <v>Nitti 1977</v>
      </c>
      <c r="C701" s="232" t="str">
        <f>IF(AND(A701&lt;&gt;"",ISNUMBER(A701)),VLOOKUP(A701,Studies!A:BR,3,FALSE),"")</f>
        <v>https://www.ncbi.nlm.nih.gov/pubmed/832508</v>
      </c>
      <c r="D701" s="232" t="str">
        <f>IF(AND(A701&lt;&gt;"",ISNUMBER(A701)),VLOOKUP(A701,Studies!A:BR,4,FALSE),"")</f>
        <v>450 mg</v>
      </c>
      <c r="E701" s="206" t="str">
        <f>IF(AND(A701&lt;&gt;"",ISNUMBER(A701)),VLOOKUP(A701,Studies!A:BR,5,FALSE),"")</f>
        <v>Rifampicin</v>
      </c>
      <c r="F701" s="207" t="str">
        <f>IF(AND(A701&lt;&gt;"",ISNUMBER(A701)),VLOOKUP(A701,Studies!A:BR,6,FALSE),"")</f>
        <v>Urine</v>
      </c>
      <c r="G701" s="194">
        <v>3</v>
      </c>
      <c r="H701" s="194" t="s">
        <v>60</v>
      </c>
      <c r="I701" s="187">
        <v>20.440000000000001</v>
      </c>
      <c r="J701" s="187" t="s">
        <v>58</v>
      </c>
      <c r="K701" s="187" t="s">
        <v>116</v>
      </c>
      <c r="L701" s="195"/>
      <c r="M701" s="195"/>
      <c r="N701" s="195"/>
      <c r="O701" s="199"/>
      <c r="P701" s="188" t="s">
        <v>1118</v>
      </c>
      <c r="Q701" s="174">
        <f>IF(ISNUMBER(VLOOKUP(A701,NotghiID!A:A,1,FALSE)),1,0)</f>
        <v>0</v>
      </c>
    </row>
    <row r="702" spans="1:17" ht="14.25" x14ac:dyDescent="0.2">
      <c r="A702" s="183">
        <v>359</v>
      </c>
      <c r="B702" s="232" t="str">
        <f>IF(AND(A702&lt;&gt;"",ISNUMBER(A702)),VLOOKUP(A702,Studies!A:BR,2,FALSE),"")</f>
        <v>Nitti 1977</v>
      </c>
      <c r="C702" s="232" t="str">
        <f>IF(AND(A702&lt;&gt;"",ISNUMBER(A702)),VLOOKUP(A702,Studies!A:BR,3,FALSE),"")</f>
        <v>https://www.ncbi.nlm.nih.gov/pubmed/832508</v>
      </c>
      <c r="D702" s="232" t="str">
        <f>IF(AND(A702&lt;&gt;"",ISNUMBER(A702)),VLOOKUP(A702,Studies!A:BR,4,FALSE),"")</f>
        <v>450 mg</v>
      </c>
      <c r="E702" s="206" t="str">
        <f>IF(AND(A702&lt;&gt;"",ISNUMBER(A702)),VLOOKUP(A702,Studies!A:BR,5,FALSE),"")</f>
        <v>Rifampicin</v>
      </c>
      <c r="F702" s="207" t="str">
        <f>IF(AND(A702&lt;&gt;"",ISNUMBER(A702)),VLOOKUP(A702,Studies!A:BR,6,FALSE),"")</f>
        <v>Urine</v>
      </c>
      <c r="G702" s="194">
        <v>6</v>
      </c>
      <c r="H702" s="194" t="s">
        <v>60</v>
      </c>
      <c r="I702" s="187">
        <v>46.32</v>
      </c>
      <c r="J702" s="187" t="s">
        <v>58</v>
      </c>
      <c r="K702" s="187" t="s">
        <v>116</v>
      </c>
      <c r="L702" s="195"/>
      <c r="M702" s="195"/>
      <c r="N702" s="195"/>
      <c r="O702" s="199"/>
      <c r="P702" s="188" t="s">
        <v>1118</v>
      </c>
      <c r="Q702" s="174">
        <f>IF(ISNUMBER(VLOOKUP(A702,NotghiID!A:A,1,FALSE)),1,0)</f>
        <v>0</v>
      </c>
    </row>
    <row r="703" spans="1:17" ht="14.25" x14ac:dyDescent="0.2">
      <c r="A703" s="183">
        <v>359</v>
      </c>
      <c r="B703" s="232" t="str">
        <f>IF(AND(A703&lt;&gt;"",ISNUMBER(A703)),VLOOKUP(A703,Studies!A:BR,2,FALSE),"")</f>
        <v>Nitti 1977</v>
      </c>
      <c r="C703" s="232" t="str">
        <f>IF(AND(A703&lt;&gt;"",ISNUMBER(A703)),VLOOKUP(A703,Studies!A:BR,3,FALSE),"")</f>
        <v>https://www.ncbi.nlm.nih.gov/pubmed/832508</v>
      </c>
      <c r="D703" s="232" t="str">
        <f>IF(AND(A703&lt;&gt;"",ISNUMBER(A703)),VLOOKUP(A703,Studies!A:BR,4,FALSE),"")</f>
        <v>450 mg</v>
      </c>
      <c r="E703" s="206" t="str">
        <f>IF(AND(A703&lt;&gt;"",ISNUMBER(A703)),VLOOKUP(A703,Studies!A:BR,5,FALSE),"")</f>
        <v>Rifampicin</v>
      </c>
      <c r="F703" s="207" t="str">
        <f>IF(AND(A703&lt;&gt;"",ISNUMBER(A703)),VLOOKUP(A703,Studies!A:BR,6,FALSE),"")</f>
        <v>Urine</v>
      </c>
      <c r="G703" s="194">
        <v>9</v>
      </c>
      <c r="H703" s="194" t="s">
        <v>60</v>
      </c>
      <c r="I703" s="187">
        <v>64.14</v>
      </c>
      <c r="J703" s="187" t="s">
        <v>58</v>
      </c>
      <c r="K703" s="187" t="s">
        <v>116</v>
      </c>
      <c r="L703" s="195"/>
      <c r="M703" s="195"/>
      <c r="N703" s="195"/>
      <c r="O703" s="199"/>
      <c r="P703" s="188" t="s">
        <v>1118</v>
      </c>
      <c r="Q703" s="174">
        <f>IF(ISNUMBER(VLOOKUP(A703,NotghiID!A:A,1,FALSE)),1,0)</f>
        <v>0</v>
      </c>
    </row>
    <row r="704" spans="1:17" ht="14.25" x14ac:dyDescent="0.2">
      <c r="A704" s="183">
        <v>359</v>
      </c>
      <c r="B704" s="232" t="str">
        <f>IF(AND(A704&lt;&gt;"",ISNUMBER(A704)),VLOOKUP(A704,Studies!A:BR,2,FALSE),"")</f>
        <v>Nitti 1977</v>
      </c>
      <c r="C704" s="232" t="str">
        <f>IF(AND(A704&lt;&gt;"",ISNUMBER(A704)),VLOOKUP(A704,Studies!A:BR,3,FALSE),"")</f>
        <v>https://www.ncbi.nlm.nih.gov/pubmed/832508</v>
      </c>
      <c r="D704" s="232" t="str">
        <f>IF(AND(A704&lt;&gt;"",ISNUMBER(A704)),VLOOKUP(A704,Studies!A:BR,4,FALSE),"")</f>
        <v>450 mg</v>
      </c>
      <c r="E704" s="206" t="str">
        <f>IF(AND(A704&lt;&gt;"",ISNUMBER(A704)),VLOOKUP(A704,Studies!A:BR,5,FALSE),"")</f>
        <v>Rifampicin</v>
      </c>
      <c r="F704" s="207" t="str">
        <f>IF(AND(A704&lt;&gt;"",ISNUMBER(A704)),VLOOKUP(A704,Studies!A:BR,6,FALSE),"")</f>
        <v>Urine</v>
      </c>
      <c r="G704" s="194">
        <v>12</v>
      </c>
      <c r="H704" s="194" t="s">
        <v>60</v>
      </c>
      <c r="I704" s="187">
        <v>74.045000000000002</v>
      </c>
      <c r="J704" s="187" t="s">
        <v>58</v>
      </c>
      <c r="K704" s="187" t="s">
        <v>116</v>
      </c>
      <c r="L704" s="195"/>
      <c r="M704" s="195"/>
      <c r="N704" s="195"/>
      <c r="O704" s="199"/>
      <c r="P704" s="188" t="s">
        <v>1118</v>
      </c>
      <c r="Q704" s="174">
        <f>IF(ISNUMBER(VLOOKUP(A704,NotghiID!A:A,1,FALSE)),1,0)</f>
        <v>0</v>
      </c>
    </row>
    <row r="705" spans="1:17" ht="14.25" x14ac:dyDescent="0.2">
      <c r="A705" s="183">
        <v>359</v>
      </c>
      <c r="B705" s="232" t="str">
        <f>IF(AND(A705&lt;&gt;"",ISNUMBER(A705)),VLOOKUP(A705,Studies!A:BR,2,FALSE),"")</f>
        <v>Nitti 1977</v>
      </c>
      <c r="C705" s="232" t="str">
        <f>IF(AND(A705&lt;&gt;"",ISNUMBER(A705)),VLOOKUP(A705,Studies!A:BR,3,FALSE),"")</f>
        <v>https://www.ncbi.nlm.nih.gov/pubmed/832508</v>
      </c>
      <c r="D705" s="232" t="str">
        <f>IF(AND(A705&lt;&gt;"",ISNUMBER(A705)),VLOOKUP(A705,Studies!A:BR,4,FALSE),"")</f>
        <v>450 mg</v>
      </c>
      <c r="E705" s="206" t="str">
        <f>IF(AND(A705&lt;&gt;"",ISNUMBER(A705)),VLOOKUP(A705,Studies!A:BR,5,FALSE),"")</f>
        <v>Rifampicin</v>
      </c>
      <c r="F705" s="207" t="str">
        <f>IF(AND(A705&lt;&gt;"",ISNUMBER(A705)),VLOOKUP(A705,Studies!A:BR,6,FALSE),"")</f>
        <v>Urine</v>
      </c>
      <c r="G705" s="194">
        <v>24</v>
      </c>
      <c r="H705" s="194" t="s">
        <v>60</v>
      </c>
      <c r="I705" s="187">
        <v>79.162999999999997</v>
      </c>
      <c r="J705" s="187" t="s">
        <v>58</v>
      </c>
      <c r="K705" s="187" t="s">
        <v>116</v>
      </c>
      <c r="L705" s="195"/>
      <c r="M705" s="195"/>
      <c r="N705" s="195"/>
      <c r="O705" s="199"/>
      <c r="P705" s="188" t="s">
        <v>1118</v>
      </c>
      <c r="Q705" s="174">
        <f>IF(ISNUMBER(VLOOKUP(A705,NotghiID!A:A,1,FALSE)),1,0)</f>
        <v>0</v>
      </c>
    </row>
    <row r="706" spans="1:17" ht="14.25" x14ac:dyDescent="0.2">
      <c r="A706" s="183">
        <v>360</v>
      </c>
      <c r="B706" s="232" t="str">
        <f>IF(AND(A706&lt;&gt;"",ISNUMBER(A706)),VLOOKUP(A706,Studies!A:BR,2,FALSE),"")</f>
        <v>Nitti 1977</v>
      </c>
      <c r="C706" s="232" t="str">
        <f>IF(AND(A706&lt;&gt;"",ISNUMBER(A706)),VLOOKUP(A706,Studies!A:BR,3,FALSE),"")</f>
        <v>https://www.ncbi.nlm.nih.gov/pubmed/832508</v>
      </c>
      <c r="D706" s="232" t="str">
        <f>IF(AND(A706&lt;&gt;"",ISNUMBER(A706)),VLOOKUP(A706,Studies!A:BR,4,FALSE),"")</f>
        <v>600 mg</v>
      </c>
      <c r="E706" s="206" t="str">
        <f>IF(AND(A706&lt;&gt;"",ISNUMBER(A706)),VLOOKUP(A706,Studies!A:BR,5,FALSE),"")</f>
        <v>Rifampicin</v>
      </c>
      <c r="F706" s="207" t="str">
        <f>IF(AND(A706&lt;&gt;"",ISNUMBER(A706)),VLOOKUP(A706,Studies!A:BR,6,FALSE),"")</f>
        <v>Urine</v>
      </c>
      <c r="G706" s="194">
        <v>3</v>
      </c>
      <c r="H706" s="194" t="s">
        <v>60</v>
      </c>
      <c r="I706" s="187">
        <v>25.75</v>
      </c>
      <c r="J706" s="187" t="s">
        <v>58</v>
      </c>
      <c r="K706" s="187" t="s">
        <v>116</v>
      </c>
      <c r="L706" s="195"/>
      <c r="M706" s="195"/>
      <c r="N706" s="195"/>
      <c r="O706" s="199"/>
      <c r="P706" s="188" t="s">
        <v>1118</v>
      </c>
      <c r="Q706" s="174">
        <f>IF(ISNUMBER(VLOOKUP(A706,NotghiID!A:A,1,FALSE)),1,0)</f>
        <v>0</v>
      </c>
    </row>
    <row r="707" spans="1:17" ht="14.25" x14ac:dyDescent="0.2">
      <c r="A707" s="183">
        <v>360</v>
      </c>
      <c r="B707" s="232" t="str">
        <f>IF(AND(A707&lt;&gt;"",ISNUMBER(A707)),VLOOKUP(A707,Studies!A:BR,2,FALSE),"")</f>
        <v>Nitti 1977</v>
      </c>
      <c r="C707" s="232" t="str">
        <f>IF(AND(A707&lt;&gt;"",ISNUMBER(A707)),VLOOKUP(A707,Studies!A:BR,3,FALSE),"")</f>
        <v>https://www.ncbi.nlm.nih.gov/pubmed/832508</v>
      </c>
      <c r="D707" s="232" t="str">
        <f>IF(AND(A707&lt;&gt;"",ISNUMBER(A707)),VLOOKUP(A707,Studies!A:BR,4,FALSE),"")</f>
        <v>600 mg</v>
      </c>
      <c r="E707" s="206" t="str">
        <f>IF(AND(A707&lt;&gt;"",ISNUMBER(A707)),VLOOKUP(A707,Studies!A:BR,5,FALSE),"")</f>
        <v>Rifampicin</v>
      </c>
      <c r="F707" s="207" t="str">
        <f>IF(AND(A707&lt;&gt;"",ISNUMBER(A707)),VLOOKUP(A707,Studies!A:BR,6,FALSE),"")</f>
        <v>Urine</v>
      </c>
      <c r="G707" s="194">
        <v>6</v>
      </c>
      <c r="H707" s="194" t="s">
        <v>60</v>
      </c>
      <c r="I707" s="187">
        <v>65.819999999999993</v>
      </c>
      <c r="J707" s="187" t="s">
        <v>58</v>
      </c>
      <c r="K707" s="187" t="s">
        <v>116</v>
      </c>
      <c r="L707" s="195"/>
      <c r="M707" s="195"/>
      <c r="N707" s="195"/>
      <c r="O707" s="199"/>
      <c r="P707" s="188" t="s">
        <v>1118</v>
      </c>
      <c r="Q707" s="174">
        <f>IF(ISNUMBER(VLOOKUP(A707,NotghiID!A:A,1,FALSE)),1,0)</f>
        <v>0</v>
      </c>
    </row>
    <row r="708" spans="1:17" ht="14.25" x14ac:dyDescent="0.2">
      <c r="A708" s="183">
        <v>360</v>
      </c>
      <c r="B708" s="232" t="str">
        <f>IF(AND(A708&lt;&gt;"",ISNUMBER(A708)),VLOOKUP(A708,Studies!A:BR,2,FALSE),"")</f>
        <v>Nitti 1977</v>
      </c>
      <c r="C708" s="232" t="str">
        <f>IF(AND(A708&lt;&gt;"",ISNUMBER(A708)),VLOOKUP(A708,Studies!A:BR,3,FALSE),"")</f>
        <v>https://www.ncbi.nlm.nih.gov/pubmed/832508</v>
      </c>
      <c r="D708" s="232" t="str">
        <f>IF(AND(A708&lt;&gt;"",ISNUMBER(A708)),VLOOKUP(A708,Studies!A:BR,4,FALSE),"")</f>
        <v>600 mg</v>
      </c>
      <c r="E708" s="206" t="str">
        <f>IF(AND(A708&lt;&gt;"",ISNUMBER(A708)),VLOOKUP(A708,Studies!A:BR,5,FALSE),"")</f>
        <v>Rifampicin</v>
      </c>
      <c r="F708" s="207" t="str">
        <f>IF(AND(A708&lt;&gt;"",ISNUMBER(A708)),VLOOKUP(A708,Studies!A:BR,6,FALSE),"")</f>
        <v>Urine</v>
      </c>
      <c r="G708" s="194">
        <v>9</v>
      </c>
      <c r="H708" s="194" t="s">
        <v>60</v>
      </c>
      <c r="I708" s="187">
        <v>88.725999999999999</v>
      </c>
      <c r="J708" s="187" t="s">
        <v>58</v>
      </c>
      <c r="K708" s="187" t="s">
        <v>116</v>
      </c>
      <c r="L708" s="195"/>
      <c r="M708" s="195"/>
      <c r="N708" s="195"/>
      <c r="O708" s="199"/>
      <c r="P708" s="188" t="s">
        <v>1118</v>
      </c>
      <c r="Q708" s="174">
        <f>IF(ISNUMBER(VLOOKUP(A708,NotghiID!A:A,1,FALSE)),1,0)</f>
        <v>0</v>
      </c>
    </row>
    <row r="709" spans="1:17" ht="14.25" x14ac:dyDescent="0.2">
      <c r="A709" s="183">
        <v>360</v>
      </c>
      <c r="B709" s="232" t="str">
        <f>IF(AND(A709&lt;&gt;"",ISNUMBER(A709)),VLOOKUP(A709,Studies!A:BR,2,FALSE),"")</f>
        <v>Nitti 1977</v>
      </c>
      <c r="C709" s="232" t="str">
        <f>IF(AND(A709&lt;&gt;"",ISNUMBER(A709)),VLOOKUP(A709,Studies!A:BR,3,FALSE),"")</f>
        <v>https://www.ncbi.nlm.nih.gov/pubmed/832508</v>
      </c>
      <c r="D709" s="232" t="str">
        <f>IF(AND(A709&lt;&gt;"",ISNUMBER(A709)),VLOOKUP(A709,Studies!A:BR,4,FALSE),"")</f>
        <v>600 mg</v>
      </c>
      <c r="E709" s="206" t="str">
        <f>IF(AND(A709&lt;&gt;"",ISNUMBER(A709)),VLOOKUP(A709,Studies!A:BR,5,FALSE),"")</f>
        <v>Rifampicin</v>
      </c>
      <c r="F709" s="207" t="str">
        <f>IF(AND(A709&lt;&gt;"",ISNUMBER(A709)),VLOOKUP(A709,Studies!A:BR,6,FALSE),"")</f>
        <v>Urine</v>
      </c>
      <c r="G709" s="194">
        <v>12</v>
      </c>
      <c r="H709" s="194" t="s">
        <v>60</v>
      </c>
      <c r="I709" s="187">
        <v>97.736999999999995</v>
      </c>
      <c r="J709" s="187" t="s">
        <v>58</v>
      </c>
      <c r="K709" s="187" t="s">
        <v>116</v>
      </c>
      <c r="L709" s="195"/>
      <c r="M709" s="195"/>
      <c r="N709" s="195"/>
      <c r="O709" s="199"/>
      <c r="P709" s="188" t="s">
        <v>1118</v>
      </c>
      <c r="Q709" s="174">
        <f>IF(ISNUMBER(VLOOKUP(A709,NotghiID!A:A,1,FALSE)),1,0)</f>
        <v>0</v>
      </c>
    </row>
    <row r="710" spans="1:17" ht="14.25" x14ac:dyDescent="0.2">
      <c r="A710" s="183">
        <v>360</v>
      </c>
      <c r="B710" s="232" t="str">
        <f>IF(AND(A710&lt;&gt;"",ISNUMBER(A710)),VLOOKUP(A710,Studies!A:BR,2,FALSE),"")</f>
        <v>Nitti 1977</v>
      </c>
      <c r="C710" s="232" t="str">
        <f>IF(AND(A710&lt;&gt;"",ISNUMBER(A710)),VLOOKUP(A710,Studies!A:BR,3,FALSE),"")</f>
        <v>https://www.ncbi.nlm.nih.gov/pubmed/832508</v>
      </c>
      <c r="D710" s="232" t="str">
        <f>IF(AND(A710&lt;&gt;"",ISNUMBER(A710)),VLOOKUP(A710,Studies!A:BR,4,FALSE),"")</f>
        <v>600 mg</v>
      </c>
      <c r="E710" s="206" t="str">
        <f>IF(AND(A710&lt;&gt;"",ISNUMBER(A710)),VLOOKUP(A710,Studies!A:BR,5,FALSE),"")</f>
        <v>Rifampicin</v>
      </c>
      <c r="F710" s="207" t="str">
        <f>IF(AND(A710&lt;&gt;"",ISNUMBER(A710)),VLOOKUP(A710,Studies!A:BR,6,FALSE),"")</f>
        <v>Urine</v>
      </c>
      <c r="G710" s="194">
        <v>24</v>
      </c>
      <c r="H710" s="194" t="s">
        <v>60</v>
      </c>
      <c r="I710" s="187">
        <v>109.967</v>
      </c>
      <c r="J710" s="187" t="s">
        <v>58</v>
      </c>
      <c r="K710" s="187" t="s">
        <v>116</v>
      </c>
      <c r="L710" s="195"/>
      <c r="M710" s="195"/>
      <c r="N710" s="195"/>
      <c r="O710" s="199"/>
      <c r="P710" s="188" t="s">
        <v>1118</v>
      </c>
      <c r="Q710" s="174">
        <f>IF(ISNUMBER(VLOOKUP(A710,NotghiID!A:A,1,FALSE)),1,0)</f>
        <v>0</v>
      </c>
    </row>
    <row r="711" spans="1:17" ht="14.25" x14ac:dyDescent="0.2">
      <c r="A711" s="183">
        <v>355</v>
      </c>
      <c r="B711" s="232" t="str">
        <f>IF(AND(A711&lt;&gt;"",ISNUMBER(A711)),VLOOKUP(A711,Studies!A:BR,2,FALSE),"")</f>
        <v>Nitti 1977</v>
      </c>
      <c r="C711" s="232" t="str">
        <f>IF(AND(A711&lt;&gt;"",ISNUMBER(A711)),VLOOKUP(A711,Studies!A:BR,3,FALSE),"")</f>
        <v>https://www.ncbi.nlm.nih.gov/pubmed/832508</v>
      </c>
      <c r="D711" s="232" t="str">
        <f>IF(AND(A711&lt;&gt;"",ISNUMBER(A711)),VLOOKUP(A711,Studies!A:BR,4,FALSE),"")</f>
        <v>300 mg</v>
      </c>
      <c r="E711" s="206" t="str">
        <f>IF(AND(A711&lt;&gt;"",ISNUMBER(A711)),VLOOKUP(A711,Studies!A:BR,5,FALSE),"")</f>
        <v>Rifampicin</v>
      </c>
      <c r="F711" s="207" t="str">
        <f>IF(AND(A711&lt;&gt;"",ISNUMBER(A711)),VLOOKUP(A711,Studies!A:BR,6,FALSE),"")</f>
        <v>Serum</v>
      </c>
      <c r="G711" s="194">
        <v>0.25</v>
      </c>
      <c r="H711" s="194" t="s">
        <v>60</v>
      </c>
      <c r="I711" s="187">
        <v>0.53500000000000003</v>
      </c>
      <c r="J711" s="187" t="s">
        <v>1054</v>
      </c>
      <c r="K711" s="187" t="s">
        <v>116</v>
      </c>
      <c r="L711" s="195">
        <v>0.13</v>
      </c>
      <c r="M711" s="195" t="s">
        <v>1054</v>
      </c>
      <c r="N711" s="195" t="s">
        <v>1034</v>
      </c>
      <c r="O711" s="199"/>
      <c r="P711" s="188"/>
      <c r="Q711" s="174">
        <f>IF(ISNUMBER(VLOOKUP(A711,NotghiID!A:A,1,FALSE)),1,0)</f>
        <v>0</v>
      </c>
    </row>
    <row r="712" spans="1:17" ht="14.25" x14ac:dyDescent="0.2">
      <c r="A712" s="183">
        <v>355</v>
      </c>
      <c r="B712" s="232" t="str">
        <f>IF(AND(A712&lt;&gt;"",ISNUMBER(A712)),VLOOKUP(A712,Studies!A:BR,2,FALSE),"")</f>
        <v>Nitti 1977</v>
      </c>
      <c r="C712" s="232" t="str">
        <f>IF(AND(A712&lt;&gt;"",ISNUMBER(A712)),VLOOKUP(A712,Studies!A:BR,3,FALSE),"")</f>
        <v>https://www.ncbi.nlm.nih.gov/pubmed/832508</v>
      </c>
      <c r="D712" s="232" t="str">
        <f>IF(AND(A712&lt;&gt;"",ISNUMBER(A712)),VLOOKUP(A712,Studies!A:BR,4,FALSE),"")</f>
        <v>300 mg</v>
      </c>
      <c r="E712" s="206" t="str">
        <f>IF(AND(A712&lt;&gt;"",ISNUMBER(A712)),VLOOKUP(A712,Studies!A:BR,5,FALSE),"")</f>
        <v>Rifampicin</v>
      </c>
      <c r="F712" s="207" t="str">
        <f>IF(AND(A712&lt;&gt;"",ISNUMBER(A712)),VLOOKUP(A712,Studies!A:BR,6,FALSE),"")</f>
        <v>Serum</v>
      </c>
      <c r="G712" s="194">
        <v>0.5</v>
      </c>
      <c r="H712" s="194" t="s">
        <v>60</v>
      </c>
      <c r="I712" s="187">
        <v>0.79</v>
      </c>
      <c r="J712" s="187" t="s">
        <v>1054</v>
      </c>
      <c r="K712" s="187" t="s">
        <v>116</v>
      </c>
      <c r="L712" s="195">
        <v>0.3</v>
      </c>
      <c r="M712" s="195" t="s">
        <v>1054</v>
      </c>
      <c r="N712" s="195" t="s">
        <v>1034</v>
      </c>
      <c r="O712" s="199"/>
      <c r="P712" s="188"/>
      <c r="Q712" s="174">
        <f>IF(ISNUMBER(VLOOKUP(A712,NotghiID!A:A,1,FALSE)),1,0)</f>
        <v>0</v>
      </c>
    </row>
    <row r="713" spans="1:17" ht="14.25" x14ac:dyDescent="0.2">
      <c r="A713" s="183">
        <v>355</v>
      </c>
      <c r="B713" s="232" t="str">
        <f>IF(AND(A713&lt;&gt;"",ISNUMBER(A713)),VLOOKUP(A713,Studies!A:BR,2,FALSE),"")</f>
        <v>Nitti 1977</v>
      </c>
      <c r="C713" s="232" t="str">
        <f>IF(AND(A713&lt;&gt;"",ISNUMBER(A713)),VLOOKUP(A713,Studies!A:BR,3,FALSE),"")</f>
        <v>https://www.ncbi.nlm.nih.gov/pubmed/832508</v>
      </c>
      <c r="D713" s="232" t="str">
        <f>IF(AND(A713&lt;&gt;"",ISNUMBER(A713)),VLOOKUP(A713,Studies!A:BR,4,FALSE),"")</f>
        <v>300 mg</v>
      </c>
      <c r="E713" s="206" t="str">
        <f>IF(AND(A713&lt;&gt;"",ISNUMBER(A713)),VLOOKUP(A713,Studies!A:BR,5,FALSE),"")</f>
        <v>Rifampicin</v>
      </c>
      <c r="F713" s="207" t="str">
        <f>IF(AND(A713&lt;&gt;"",ISNUMBER(A713)),VLOOKUP(A713,Studies!A:BR,6,FALSE),"")</f>
        <v>Serum</v>
      </c>
      <c r="G713" s="194">
        <v>1</v>
      </c>
      <c r="H713" s="194" t="s">
        <v>60</v>
      </c>
      <c r="I713" s="187">
        <v>1.0149999999999999</v>
      </c>
      <c r="J713" s="187" t="s">
        <v>1054</v>
      </c>
      <c r="K713" s="187" t="s">
        <v>116</v>
      </c>
      <c r="L713" s="195">
        <v>0.28999999999999998</v>
      </c>
      <c r="M713" s="195" t="s">
        <v>1054</v>
      </c>
      <c r="N713" s="195" t="s">
        <v>1034</v>
      </c>
      <c r="O713" s="199"/>
      <c r="P713" s="188"/>
      <c r="Q713" s="174">
        <f>IF(ISNUMBER(VLOOKUP(A713,NotghiID!A:A,1,FALSE)),1,0)</f>
        <v>0</v>
      </c>
    </row>
    <row r="714" spans="1:17" ht="14.25" x14ac:dyDescent="0.2">
      <c r="A714" s="183">
        <v>355</v>
      </c>
      <c r="B714" s="232" t="str">
        <f>IF(AND(A714&lt;&gt;"",ISNUMBER(A714)),VLOOKUP(A714,Studies!A:BR,2,FALSE),"")</f>
        <v>Nitti 1977</v>
      </c>
      <c r="C714" s="232" t="str">
        <f>IF(AND(A714&lt;&gt;"",ISNUMBER(A714)),VLOOKUP(A714,Studies!A:BR,3,FALSE),"")</f>
        <v>https://www.ncbi.nlm.nih.gov/pubmed/832508</v>
      </c>
      <c r="D714" s="232" t="str">
        <f>IF(AND(A714&lt;&gt;"",ISNUMBER(A714)),VLOOKUP(A714,Studies!A:BR,4,FALSE),"")</f>
        <v>300 mg</v>
      </c>
      <c r="E714" s="206" t="str">
        <f>IF(AND(A714&lt;&gt;"",ISNUMBER(A714)),VLOOKUP(A714,Studies!A:BR,5,FALSE),"")</f>
        <v>Rifampicin</v>
      </c>
      <c r="F714" s="207" t="str">
        <f>IF(AND(A714&lt;&gt;"",ISNUMBER(A714)),VLOOKUP(A714,Studies!A:BR,6,FALSE),"")</f>
        <v>Serum</v>
      </c>
      <c r="G714" s="194">
        <v>2</v>
      </c>
      <c r="H714" s="194" t="s">
        <v>60</v>
      </c>
      <c r="I714" s="187">
        <v>2.105</v>
      </c>
      <c r="J714" s="187" t="s">
        <v>1054</v>
      </c>
      <c r="K714" s="187" t="s">
        <v>116</v>
      </c>
      <c r="L714" s="195">
        <v>0.65</v>
      </c>
      <c r="M714" s="195" t="s">
        <v>1054</v>
      </c>
      <c r="N714" s="195" t="s">
        <v>1034</v>
      </c>
      <c r="O714" s="199"/>
      <c r="P714" s="188"/>
      <c r="Q714" s="174">
        <f>IF(ISNUMBER(VLOOKUP(A714,NotghiID!A:A,1,FALSE)),1,0)</f>
        <v>0</v>
      </c>
    </row>
    <row r="715" spans="1:17" ht="14.25" x14ac:dyDescent="0.2">
      <c r="A715" s="183">
        <v>355</v>
      </c>
      <c r="B715" s="232" t="str">
        <f>IF(AND(A715&lt;&gt;"",ISNUMBER(A715)),VLOOKUP(A715,Studies!A:BR,2,FALSE),"")</f>
        <v>Nitti 1977</v>
      </c>
      <c r="C715" s="232" t="str">
        <f>IF(AND(A715&lt;&gt;"",ISNUMBER(A715)),VLOOKUP(A715,Studies!A:BR,3,FALSE),"")</f>
        <v>https://www.ncbi.nlm.nih.gov/pubmed/832508</v>
      </c>
      <c r="D715" s="232" t="str">
        <f>IF(AND(A715&lt;&gt;"",ISNUMBER(A715)),VLOOKUP(A715,Studies!A:BR,4,FALSE),"")</f>
        <v>300 mg</v>
      </c>
      <c r="E715" s="206" t="str">
        <f>IF(AND(A715&lt;&gt;"",ISNUMBER(A715)),VLOOKUP(A715,Studies!A:BR,5,FALSE),"")</f>
        <v>Rifampicin</v>
      </c>
      <c r="F715" s="207" t="str">
        <f>IF(AND(A715&lt;&gt;"",ISNUMBER(A715)),VLOOKUP(A715,Studies!A:BR,6,FALSE),"")</f>
        <v>Serum</v>
      </c>
      <c r="G715" s="194">
        <v>3</v>
      </c>
      <c r="H715" s="194" t="s">
        <v>60</v>
      </c>
      <c r="I715" s="187">
        <v>4.05</v>
      </c>
      <c r="J715" s="187" t="s">
        <v>1054</v>
      </c>
      <c r="K715" s="187" t="s">
        <v>116</v>
      </c>
      <c r="L715" s="195">
        <v>2.06</v>
      </c>
      <c r="M715" s="195" t="s">
        <v>1054</v>
      </c>
      <c r="N715" s="195" t="s">
        <v>1034</v>
      </c>
      <c r="O715" s="199"/>
      <c r="P715" s="188"/>
      <c r="Q715" s="174">
        <f>IF(ISNUMBER(VLOOKUP(A715,NotghiID!A:A,1,FALSE)),1,0)</f>
        <v>0</v>
      </c>
    </row>
    <row r="716" spans="1:17" ht="14.25" x14ac:dyDescent="0.2">
      <c r="A716" s="183">
        <v>355</v>
      </c>
      <c r="B716" s="232" t="str">
        <f>IF(AND(A716&lt;&gt;"",ISNUMBER(A716)),VLOOKUP(A716,Studies!A:BR,2,FALSE),"")</f>
        <v>Nitti 1977</v>
      </c>
      <c r="C716" s="232" t="str">
        <f>IF(AND(A716&lt;&gt;"",ISNUMBER(A716)),VLOOKUP(A716,Studies!A:BR,3,FALSE),"")</f>
        <v>https://www.ncbi.nlm.nih.gov/pubmed/832508</v>
      </c>
      <c r="D716" s="232" t="str">
        <f>IF(AND(A716&lt;&gt;"",ISNUMBER(A716)),VLOOKUP(A716,Studies!A:BR,4,FALSE),"")</f>
        <v>300 mg</v>
      </c>
      <c r="E716" s="206" t="str">
        <f>IF(AND(A716&lt;&gt;"",ISNUMBER(A716)),VLOOKUP(A716,Studies!A:BR,5,FALSE),"")</f>
        <v>Rifampicin</v>
      </c>
      <c r="F716" s="207" t="str">
        <f>IF(AND(A716&lt;&gt;"",ISNUMBER(A716)),VLOOKUP(A716,Studies!A:BR,6,FALSE),"")</f>
        <v>Serum</v>
      </c>
      <c r="G716" s="194">
        <v>4</v>
      </c>
      <c r="H716" s="194" t="s">
        <v>60</v>
      </c>
      <c r="I716" s="187">
        <v>2.8650000000000002</v>
      </c>
      <c r="J716" s="187" t="s">
        <v>1054</v>
      </c>
      <c r="K716" s="187" t="s">
        <v>116</v>
      </c>
      <c r="L716" s="195">
        <v>1.1299999999999999</v>
      </c>
      <c r="M716" s="195" t="s">
        <v>1054</v>
      </c>
      <c r="N716" s="195" t="s">
        <v>1034</v>
      </c>
      <c r="O716" s="199"/>
      <c r="P716" s="188"/>
      <c r="Q716" s="174">
        <f>IF(ISNUMBER(VLOOKUP(A716,NotghiID!A:A,1,FALSE)),1,0)</f>
        <v>0</v>
      </c>
    </row>
    <row r="717" spans="1:17" ht="14.25" x14ac:dyDescent="0.2">
      <c r="A717" s="183">
        <v>355</v>
      </c>
      <c r="B717" s="232" t="str">
        <f>IF(AND(A717&lt;&gt;"",ISNUMBER(A717)),VLOOKUP(A717,Studies!A:BR,2,FALSE),"")</f>
        <v>Nitti 1977</v>
      </c>
      <c r="C717" s="232" t="str">
        <f>IF(AND(A717&lt;&gt;"",ISNUMBER(A717)),VLOOKUP(A717,Studies!A:BR,3,FALSE),"")</f>
        <v>https://www.ncbi.nlm.nih.gov/pubmed/832508</v>
      </c>
      <c r="D717" s="232" t="str">
        <f>IF(AND(A717&lt;&gt;"",ISNUMBER(A717)),VLOOKUP(A717,Studies!A:BR,4,FALSE),"")</f>
        <v>300 mg</v>
      </c>
      <c r="E717" s="206" t="str">
        <f>IF(AND(A717&lt;&gt;"",ISNUMBER(A717)),VLOOKUP(A717,Studies!A:BR,5,FALSE),"")</f>
        <v>Rifampicin</v>
      </c>
      <c r="F717" s="207" t="str">
        <f>IF(AND(A717&lt;&gt;"",ISNUMBER(A717)),VLOOKUP(A717,Studies!A:BR,6,FALSE),"")</f>
        <v>Serum</v>
      </c>
      <c r="G717" s="194">
        <v>6</v>
      </c>
      <c r="H717" s="194" t="s">
        <v>60</v>
      </c>
      <c r="I717" s="187">
        <v>1.355</v>
      </c>
      <c r="J717" s="187" t="s">
        <v>1054</v>
      </c>
      <c r="K717" s="187" t="s">
        <v>116</v>
      </c>
      <c r="L717" s="195">
        <v>0.59</v>
      </c>
      <c r="M717" s="195" t="s">
        <v>1054</v>
      </c>
      <c r="N717" s="195" t="s">
        <v>1034</v>
      </c>
      <c r="O717" s="199"/>
      <c r="P717" s="188"/>
      <c r="Q717" s="174">
        <f>IF(ISNUMBER(VLOOKUP(A717,NotghiID!A:A,1,FALSE)),1,0)</f>
        <v>0</v>
      </c>
    </row>
    <row r="718" spans="1:17" ht="14.25" x14ac:dyDescent="0.2">
      <c r="A718" s="183">
        <v>355</v>
      </c>
      <c r="B718" s="232" t="str">
        <f>IF(AND(A718&lt;&gt;"",ISNUMBER(A718)),VLOOKUP(A718,Studies!A:BR,2,FALSE),"")</f>
        <v>Nitti 1977</v>
      </c>
      <c r="C718" s="232" t="str">
        <f>IF(AND(A718&lt;&gt;"",ISNUMBER(A718)),VLOOKUP(A718,Studies!A:BR,3,FALSE),"")</f>
        <v>https://www.ncbi.nlm.nih.gov/pubmed/832508</v>
      </c>
      <c r="D718" s="232" t="str">
        <f>IF(AND(A718&lt;&gt;"",ISNUMBER(A718)),VLOOKUP(A718,Studies!A:BR,4,FALSE),"")</f>
        <v>300 mg</v>
      </c>
      <c r="E718" s="206" t="str">
        <f>IF(AND(A718&lt;&gt;"",ISNUMBER(A718)),VLOOKUP(A718,Studies!A:BR,5,FALSE),"")</f>
        <v>Rifampicin</v>
      </c>
      <c r="F718" s="207" t="str">
        <f>IF(AND(A718&lt;&gt;"",ISNUMBER(A718)),VLOOKUP(A718,Studies!A:BR,6,FALSE),"")</f>
        <v>Serum</v>
      </c>
      <c r="G718" s="194">
        <v>8</v>
      </c>
      <c r="H718" s="194" t="s">
        <v>60</v>
      </c>
      <c r="I718" s="187">
        <v>0.97499999999999998</v>
      </c>
      <c r="J718" s="187" t="s">
        <v>1054</v>
      </c>
      <c r="K718" s="187" t="s">
        <v>116</v>
      </c>
      <c r="L718" s="195">
        <v>0.2</v>
      </c>
      <c r="M718" s="195" t="s">
        <v>1054</v>
      </c>
      <c r="N718" s="195" t="s">
        <v>1034</v>
      </c>
      <c r="O718" s="199"/>
      <c r="P718" s="188"/>
      <c r="Q718" s="174">
        <f>IF(ISNUMBER(VLOOKUP(A718,NotghiID!A:A,1,FALSE)),1,0)</f>
        <v>0</v>
      </c>
    </row>
    <row r="719" spans="1:17" ht="14.25" x14ac:dyDescent="0.2">
      <c r="A719" s="183">
        <v>355</v>
      </c>
      <c r="B719" s="232" t="str">
        <f>IF(AND(A719&lt;&gt;"",ISNUMBER(A719)),VLOOKUP(A719,Studies!A:BR,2,FALSE),"")</f>
        <v>Nitti 1977</v>
      </c>
      <c r="C719" s="232" t="str">
        <f>IF(AND(A719&lt;&gt;"",ISNUMBER(A719)),VLOOKUP(A719,Studies!A:BR,3,FALSE),"")</f>
        <v>https://www.ncbi.nlm.nih.gov/pubmed/832508</v>
      </c>
      <c r="D719" s="232" t="str">
        <f>IF(AND(A719&lt;&gt;"",ISNUMBER(A719)),VLOOKUP(A719,Studies!A:BR,4,FALSE),"")</f>
        <v>300 mg</v>
      </c>
      <c r="E719" s="206" t="str">
        <f>IF(AND(A719&lt;&gt;"",ISNUMBER(A719)),VLOOKUP(A719,Studies!A:BR,5,FALSE),"")</f>
        <v>Rifampicin</v>
      </c>
      <c r="F719" s="207" t="str">
        <f>IF(AND(A719&lt;&gt;"",ISNUMBER(A719)),VLOOKUP(A719,Studies!A:BR,6,FALSE),"")</f>
        <v>Serum</v>
      </c>
      <c r="G719" s="194">
        <v>12</v>
      </c>
      <c r="H719" s="194" t="s">
        <v>60</v>
      </c>
      <c r="I719" s="187">
        <v>0.215</v>
      </c>
      <c r="J719" s="187" t="s">
        <v>1054</v>
      </c>
      <c r="K719" s="187" t="s">
        <v>116</v>
      </c>
      <c r="L719" s="195">
        <v>0.1</v>
      </c>
      <c r="M719" s="195" t="s">
        <v>1054</v>
      </c>
      <c r="N719" s="195" t="s">
        <v>1034</v>
      </c>
      <c r="O719" s="199"/>
      <c r="P719" s="188"/>
      <c r="Q719" s="174">
        <f>IF(ISNUMBER(VLOOKUP(A719,NotghiID!A:A,1,FALSE)),1,0)</f>
        <v>0</v>
      </c>
    </row>
    <row r="720" spans="1:17" ht="14.25" x14ac:dyDescent="0.2">
      <c r="A720" s="183">
        <v>356</v>
      </c>
      <c r="B720" s="232" t="str">
        <f>IF(AND(A720&lt;&gt;"",ISNUMBER(A720)),VLOOKUP(A720,Studies!A:BR,2,FALSE),"")</f>
        <v>Nitti 1977</v>
      </c>
      <c r="C720" s="232" t="str">
        <f>IF(AND(A720&lt;&gt;"",ISNUMBER(A720)),VLOOKUP(A720,Studies!A:BR,3,FALSE),"")</f>
        <v>https://www.ncbi.nlm.nih.gov/pubmed/832508</v>
      </c>
      <c r="D720" s="232" t="str">
        <f>IF(AND(A720&lt;&gt;"",ISNUMBER(A720)),VLOOKUP(A720,Studies!A:BR,4,FALSE),"")</f>
        <v>450 mg</v>
      </c>
      <c r="E720" s="206" t="str">
        <f>IF(AND(A720&lt;&gt;"",ISNUMBER(A720)),VLOOKUP(A720,Studies!A:BR,5,FALSE),"")</f>
        <v>Rifampicin</v>
      </c>
      <c r="F720" s="207" t="str">
        <f>IF(AND(A720&lt;&gt;"",ISNUMBER(A720)),VLOOKUP(A720,Studies!A:BR,6,FALSE),"")</f>
        <v>Serum</v>
      </c>
      <c r="G720" s="194">
        <v>0.25</v>
      </c>
      <c r="H720" s="194" t="s">
        <v>60</v>
      </c>
      <c r="I720" s="187">
        <v>1.23</v>
      </c>
      <c r="J720" s="187" t="s">
        <v>1054</v>
      </c>
      <c r="K720" s="187" t="s">
        <v>116</v>
      </c>
      <c r="L720" s="195">
        <v>0.26</v>
      </c>
      <c r="M720" s="195" t="s">
        <v>1054</v>
      </c>
      <c r="N720" s="195" t="s">
        <v>1034</v>
      </c>
      <c r="O720" s="199"/>
      <c r="P720" s="188"/>
      <c r="Q720" s="174">
        <f>IF(ISNUMBER(VLOOKUP(A720,NotghiID!A:A,1,FALSE)),1,0)</f>
        <v>0</v>
      </c>
    </row>
    <row r="721" spans="1:17" ht="14.25" x14ac:dyDescent="0.2">
      <c r="A721" s="183">
        <v>356</v>
      </c>
      <c r="B721" s="232" t="str">
        <f>IF(AND(A721&lt;&gt;"",ISNUMBER(A721)),VLOOKUP(A721,Studies!A:BR,2,FALSE),"")</f>
        <v>Nitti 1977</v>
      </c>
      <c r="C721" s="232" t="str">
        <f>IF(AND(A721&lt;&gt;"",ISNUMBER(A721)),VLOOKUP(A721,Studies!A:BR,3,FALSE),"")</f>
        <v>https://www.ncbi.nlm.nih.gov/pubmed/832508</v>
      </c>
      <c r="D721" s="232" t="str">
        <f>IF(AND(A721&lt;&gt;"",ISNUMBER(A721)),VLOOKUP(A721,Studies!A:BR,4,FALSE),"")</f>
        <v>450 mg</v>
      </c>
      <c r="E721" s="206" t="str">
        <f>IF(AND(A721&lt;&gt;"",ISNUMBER(A721)),VLOOKUP(A721,Studies!A:BR,5,FALSE),"")</f>
        <v>Rifampicin</v>
      </c>
      <c r="F721" s="207" t="str">
        <f>IF(AND(A721&lt;&gt;"",ISNUMBER(A721)),VLOOKUP(A721,Studies!A:BR,6,FALSE),"")</f>
        <v>Serum</v>
      </c>
      <c r="G721" s="194">
        <v>0.5</v>
      </c>
      <c r="H721" s="194" t="s">
        <v>60</v>
      </c>
      <c r="I721" s="187">
        <v>1.73</v>
      </c>
      <c r="J721" s="187" t="s">
        <v>1054</v>
      </c>
      <c r="K721" s="187" t="s">
        <v>116</v>
      </c>
      <c r="L721" s="195">
        <v>0.12</v>
      </c>
      <c r="M721" s="195" t="s">
        <v>1054</v>
      </c>
      <c r="N721" s="195" t="s">
        <v>1034</v>
      </c>
      <c r="O721" s="199"/>
      <c r="P721" s="188"/>
      <c r="Q721" s="174">
        <f>IF(ISNUMBER(VLOOKUP(A721,NotghiID!A:A,1,FALSE)),1,0)</f>
        <v>0</v>
      </c>
    </row>
    <row r="722" spans="1:17" ht="14.25" x14ac:dyDescent="0.2">
      <c r="A722" s="183">
        <v>356</v>
      </c>
      <c r="B722" s="232" t="str">
        <f>IF(AND(A722&lt;&gt;"",ISNUMBER(A722)),VLOOKUP(A722,Studies!A:BR,2,FALSE),"")</f>
        <v>Nitti 1977</v>
      </c>
      <c r="C722" s="232" t="str">
        <f>IF(AND(A722&lt;&gt;"",ISNUMBER(A722)),VLOOKUP(A722,Studies!A:BR,3,FALSE),"")</f>
        <v>https://www.ncbi.nlm.nih.gov/pubmed/832508</v>
      </c>
      <c r="D722" s="232" t="str">
        <f>IF(AND(A722&lt;&gt;"",ISNUMBER(A722)),VLOOKUP(A722,Studies!A:BR,4,FALSE),"")</f>
        <v>450 mg</v>
      </c>
      <c r="E722" s="206" t="str">
        <f>IF(AND(A722&lt;&gt;"",ISNUMBER(A722)),VLOOKUP(A722,Studies!A:BR,5,FALSE),"")</f>
        <v>Rifampicin</v>
      </c>
      <c r="F722" s="207" t="str">
        <f>IF(AND(A722&lt;&gt;"",ISNUMBER(A722)),VLOOKUP(A722,Studies!A:BR,6,FALSE),"")</f>
        <v>Serum</v>
      </c>
      <c r="G722" s="194">
        <v>1</v>
      </c>
      <c r="H722" s="194" t="s">
        <v>60</v>
      </c>
      <c r="I722" s="187">
        <v>2.5499999999999998</v>
      </c>
      <c r="J722" s="187" t="s">
        <v>1054</v>
      </c>
      <c r="K722" s="187" t="s">
        <v>116</v>
      </c>
      <c r="L722" s="195">
        <v>0.56000000000000005</v>
      </c>
      <c r="M722" s="195" t="s">
        <v>1054</v>
      </c>
      <c r="N722" s="195" t="s">
        <v>1034</v>
      </c>
      <c r="O722" s="199"/>
      <c r="P722" s="188"/>
      <c r="Q722" s="174">
        <f>IF(ISNUMBER(VLOOKUP(A722,NotghiID!A:A,1,FALSE)),1,0)</f>
        <v>0</v>
      </c>
    </row>
    <row r="723" spans="1:17" ht="14.25" x14ac:dyDescent="0.2">
      <c r="A723" s="183">
        <v>356</v>
      </c>
      <c r="B723" s="232" t="str">
        <f>IF(AND(A723&lt;&gt;"",ISNUMBER(A723)),VLOOKUP(A723,Studies!A:BR,2,FALSE),"")</f>
        <v>Nitti 1977</v>
      </c>
      <c r="C723" s="232" t="str">
        <f>IF(AND(A723&lt;&gt;"",ISNUMBER(A723)),VLOOKUP(A723,Studies!A:BR,3,FALSE),"")</f>
        <v>https://www.ncbi.nlm.nih.gov/pubmed/832508</v>
      </c>
      <c r="D723" s="232" t="str">
        <f>IF(AND(A723&lt;&gt;"",ISNUMBER(A723)),VLOOKUP(A723,Studies!A:BR,4,FALSE),"")</f>
        <v>450 mg</v>
      </c>
      <c r="E723" s="206" t="str">
        <f>IF(AND(A723&lt;&gt;"",ISNUMBER(A723)),VLOOKUP(A723,Studies!A:BR,5,FALSE),"")</f>
        <v>Rifampicin</v>
      </c>
      <c r="F723" s="207" t="str">
        <f>IF(AND(A723&lt;&gt;"",ISNUMBER(A723)),VLOOKUP(A723,Studies!A:BR,6,FALSE),"")</f>
        <v>Serum</v>
      </c>
      <c r="G723" s="194">
        <v>2</v>
      </c>
      <c r="H723" s="194" t="s">
        <v>60</v>
      </c>
      <c r="I723" s="187">
        <v>6.55</v>
      </c>
      <c r="J723" s="187" t="s">
        <v>1054</v>
      </c>
      <c r="K723" s="187" t="s">
        <v>116</v>
      </c>
      <c r="L723" s="195">
        <v>0.13900000000000001</v>
      </c>
      <c r="M723" s="195" t="s">
        <v>1054</v>
      </c>
      <c r="N723" s="195" t="s">
        <v>1034</v>
      </c>
      <c r="O723" s="199"/>
      <c r="P723" s="188"/>
      <c r="Q723" s="174">
        <f>IF(ISNUMBER(VLOOKUP(A723,NotghiID!A:A,1,FALSE)),1,0)</f>
        <v>0</v>
      </c>
    </row>
    <row r="724" spans="1:17" ht="14.25" x14ac:dyDescent="0.2">
      <c r="A724" s="183">
        <v>356</v>
      </c>
      <c r="B724" s="232" t="str">
        <f>IF(AND(A724&lt;&gt;"",ISNUMBER(A724)),VLOOKUP(A724,Studies!A:BR,2,FALSE),"")</f>
        <v>Nitti 1977</v>
      </c>
      <c r="C724" s="232" t="str">
        <f>IF(AND(A724&lt;&gt;"",ISNUMBER(A724)),VLOOKUP(A724,Studies!A:BR,3,FALSE),"")</f>
        <v>https://www.ncbi.nlm.nih.gov/pubmed/832508</v>
      </c>
      <c r="D724" s="232" t="str">
        <f>IF(AND(A724&lt;&gt;"",ISNUMBER(A724)),VLOOKUP(A724,Studies!A:BR,4,FALSE),"")</f>
        <v>450 mg</v>
      </c>
      <c r="E724" s="206" t="str">
        <f>IF(AND(A724&lt;&gt;"",ISNUMBER(A724)),VLOOKUP(A724,Studies!A:BR,5,FALSE),"")</f>
        <v>Rifampicin</v>
      </c>
      <c r="F724" s="207" t="str">
        <f>IF(AND(A724&lt;&gt;"",ISNUMBER(A724)),VLOOKUP(A724,Studies!A:BR,6,FALSE),"")</f>
        <v>Serum</v>
      </c>
      <c r="G724" s="194">
        <v>3</v>
      </c>
      <c r="H724" s="194" t="s">
        <v>60</v>
      </c>
      <c r="I724" s="187">
        <v>12.36</v>
      </c>
      <c r="J724" s="187" t="s">
        <v>1054</v>
      </c>
      <c r="K724" s="187" t="s">
        <v>116</v>
      </c>
      <c r="L724" s="195">
        <v>2.38</v>
      </c>
      <c r="M724" s="195" t="s">
        <v>1054</v>
      </c>
      <c r="N724" s="195" t="s">
        <v>1034</v>
      </c>
      <c r="O724" s="199"/>
      <c r="P724" s="188"/>
      <c r="Q724" s="174">
        <f>IF(ISNUMBER(VLOOKUP(A724,NotghiID!A:A,1,FALSE)),1,0)</f>
        <v>0</v>
      </c>
    </row>
    <row r="725" spans="1:17" ht="14.25" x14ac:dyDescent="0.2">
      <c r="A725" s="183">
        <v>356</v>
      </c>
      <c r="B725" s="232" t="str">
        <f>IF(AND(A725&lt;&gt;"",ISNUMBER(A725)),VLOOKUP(A725,Studies!A:BR,2,FALSE),"")</f>
        <v>Nitti 1977</v>
      </c>
      <c r="C725" s="232" t="str">
        <f>IF(AND(A725&lt;&gt;"",ISNUMBER(A725)),VLOOKUP(A725,Studies!A:BR,3,FALSE),"")</f>
        <v>https://www.ncbi.nlm.nih.gov/pubmed/832508</v>
      </c>
      <c r="D725" s="232" t="str">
        <f>IF(AND(A725&lt;&gt;"",ISNUMBER(A725)),VLOOKUP(A725,Studies!A:BR,4,FALSE),"")</f>
        <v>450 mg</v>
      </c>
      <c r="E725" s="206" t="str">
        <f>IF(AND(A725&lt;&gt;"",ISNUMBER(A725)),VLOOKUP(A725,Studies!A:BR,5,FALSE),"")</f>
        <v>Rifampicin</v>
      </c>
      <c r="F725" s="207" t="str">
        <f>IF(AND(A725&lt;&gt;"",ISNUMBER(A725)),VLOOKUP(A725,Studies!A:BR,6,FALSE),"")</f>
        <v>Serum</v>
      </c>
      <c r="G725" s="194">
        <v>4</v>
      </c>
      <c r="H725" s="194" t="s">
        <v>60</v>
      </c>
      <c r="I725" s="187">
        <v>6.57</v>
      </c>
      <c r="J725" s="187" t="s">
        <v>1054</v>
      </c>
      <c r="K725" s="187" t="s">
        <v>116</v>
      </c>
      <c r="L725" s="195">
        <v>1.28</v>
      </c>
      <c r="M725" s="195" t="s">
        <v>1054</v>
      </c>
      <c r="N725" s="195" t="s">
        <v>1034</v>
      </c>
      <c r="O725" s="199"/>
      <c r="P725" s="188"/>
      <c r="Q725" s="174">
        <f>IF(ISNUMBER(VLOOKUP(A725,NotghiID!A:A,1,FALSE)),1,0)</f>
        <v>0</v>
      </c>
    </row>
    <row r="726" spans="1:17" ht="14.25" x14ac:dyDescent="0.2">
      <c r="A726" s="183">
        <v>356</v>
      </c>
      <c r="B726" s="232" t="str">
        <f>IF(AND(A726&lt;&gt;"",ISNUMBER(A726)),VLOOKUP(A726,Studies!A:BR,2,FALSE),"")</f>
        <v>Nitti 1977</v>
      </c>
      <c r="C726" s="232" t="str">
        <f>IF(AND(A726&lt;&gt;"",ISNUMBER(A726)),VLOOKUP(A726,Studies!A:BR,3,FALSE),"")</f>
        <v>https://www.ncbi.nlm.nih.gov/pubmed/832508</v>
      </c>
      <c r="D726" s="232" t="str">
        <f>IF(AND(A726&lt;&gt;"",ISNUMBER(A726)),VLOOKUP(A726,Studies!A:BR,4,FALSE),"")</f>
        <v>450 mg</v>
      </c>
      <c r="E726" s="206" t="str">
        <f>IF(AND(A726&lt;&gt;"",ISNUMBER(A726)),VLOOKUP(A726,Studies!A:BR,5,FALSE),"")</f>
        <v>Rifampicin</v>
      </c>
      <c r="F726" s="207" t="str">
        <f>IF(AND(A726&lt;&gt;"",ISNUMBER(A726)),VLOOKUP(A726,Studies!A:BR,6,FALSE),"")</f>
        <v>Serum</v>
      </c>
      <c r="G726" s="194">
        <v>6</v>
      </c>
      <c r="H726" s="194" t="s">
        <v>60</v>
      </c>
      <c r="I726" s="187">
        <v>4.3600000000000003</v>
      </c>
      <c r="J726" s="187" t="s">
        <v>1054</v>
      </c>
      <c r="K726" s="187" t="s">
        <v>116</v>
      </c>
      <c r="L726" s="195">
        <v>1.42</v>
      </c>
      <c r="M726" s="195" t="s">
        <v>1054</v>
      </c>
      <c r="N726" s="195" t="s">
        <v>1034</v>
      </c>
      <c r="O726" s="199"/>
      <c r="P726" s="188"/>
      <c r="Q726" s="174">
        <f>IF(ISNUMBER(VLOOKUP(A726,NotghiID!A:A,1,FALSE)),1,0)</f>
        <v>0</v>
      </c>
    </row>
    <row r="727" spans="1:17" ht="14.25" x14ac:dyDescent="0.2">
      <c r="A727" s="183">
        <v>356</v>
      </c>
      <c r="B727" s="232" t="str">
        <f>IF(AND(A727&lt;&gt;"",ISNUMBER(A727)),VLOOKUP(A727,Studies!A:BR,2,FALSE),"")</f>
        <v>Nitti 1977</v>
      </c>
      <c r="C727" s="232" t="str">
        <f>IF(AND(A727&lt;&gt;"",ISNUMBER(A727)),VLOOKUP(A727,Studies!A:BR,3,FALSE),"")</f>
        <v>https://www.ncbi.nlm.nih.gov/pubmed/832508</v>
      </c>
      <c r="D727" s="232" t="str">
        <f>IF(AND(A727&lt;&gt;"",ISNUMBER(A727)),VLOOKUP(A727,Studies!A:BR,4,FALSE),"")</f>
        <v>450 mg</v>
      </c>
      <c r="E727" s="206" t="str">
        <f>IF(AND(A727&lt;&gt;"",ISNUMBER(A727)),VLOOKUP(A727,Studies!A:BR,5,FALSE),"")</f>
        <v>Rifampicin</v>
      </c>
      <c r="F727" s="207" t="str">
        <f>IF(AND(A727&lt;&gt;"",ISNUMBER(A727)),VLOOKUP(A727,Studies!A:BR,6,FALSE),"")</f>
        <v>Serum</v>
      </c>
      <c r="G727" s="194">
        <v>8</v>
      </c>
      <c r="H727" s="194" t="s">
        <v>60</v>
      </c>
      <c r="I727" s="187">
        <v>2.8</v>
      </c>
      <c r="J727" s="187" t="s">
        <v>1054</v>
      </c>
      <c r="K727" s="187" t="s">
        <v>116</v>
      </c>
      <c r="L727" s="195">
        <v>0.76</v>
      </c>
      <c r="M727" s="195" t="s">
        <v>1054</v>
      </c>
      <c r="N727" s="195" t="s">
        <v>1034</v>
      </c>
      <c r="O727" s="199"/>
      <c r="P727" s="188"/>
      <c r="Q727" s="174">
        <f>IF(ISNUMBER(VLOOKUP(A727,NotghiID!A:A,1,FALSE)),1,0)</f>
        <v>0</v>
      </c>
    </row>
    <row r="728" spans="1:17" ht="14.25" x14ac:dyDescent="0.2">
      <c r="A728" s="183">
        <v>356</v>
      </c>
      <c r="B728" s="232" t="str">
        <f>IF(AND(A728&lt;&gt;"",ISNUMBER(A728)),VLOOKUP(A728,Studies!A:BR,2,FALSE),"")</f>
        <v>Nitti 1977</v>
      </c>
      <c r="C728" s="232" t="str">
        <f>IF(AND(A728&lt;&gt;"",ISNUMBER(A728)),VLOOKUP(A728,Studies!A:BR,3,FALSE),"")</f>
        <v>https://www.ncbi.nlm.nih.gov/pubmed/832508</v>
      </c>
      <c r="D728" s="232" t="str">
        <f>IF(AND(A728&lt;&gt;"",ISNUMBER(A728)),VLOOKUP(A728,Studies!A:BR,4,FALSE),"")</f>
        <v>450 mg</v>
      </c>
      <c r="E728" s="206" t="str">
        <f>IF(AND(A728&lt;&gt;"",ISNUMBER(A728)),VLOOKUP(A728,Studies!A:BR,5,FALSE),"")</f>
        <v>Rifampicin</v>
      </c>
      <c r="F728" s="207" t="str">
        <f>IF(AND(A728&lt;&gt;"",ISNUMBER(A728)),VLOOKUP(A728,Studies!A:BR,6,FALSE),"")</f>
        <v>Serum</v>
      </c>
      <c r="G728" s="194">
        <v>12</v>
      </c>
      <c r="H728" s="194" t="s">
        <v>60</v>
      </c>
      <c r="I728" s="187">
        <v>0.94</v>
      </c>
      <c r="J728" s="187" t="s">
        <v>1054</v>
      </c>
      <c r="K728" s="187" t="s">
        <v>116</v>
      </c>
      <c r="L728" s="195">
        <v>0.46</v>
      </c>
      <c r="M728" s="195" t="s">
        <v>1054</v>
      </c>
      <c r="N728" s="195" t="s">
        <v>1034</v>
      </c>
      <c r="O728" s="199"/>
      <c r="P728" s="188"/>
      <c r="Q728" s="174">
        <f>IF(ISNUMBER(VLOOKUP(A728,NotghiID!A:A,1,FALSE)),1,0)</f>
        <v>0</v>
      </c>
    </row>
    <row r="729" spans="1:17" ht="14.25" x14ac:dyDescent="0.2">
      <c r="A729" s="183">
        <v>357</v>
      </c>
      <c r="B729" s="232" t="str">
        <f>IF(AND(A729&lt;&gt;"",ISNUMBER(A729)),VLOOKUP(A729,Studies!A:BR,2,FALSE),"")</f>
        <v>Nitti 1977</v>
      </c>
      <c r="C729" s="232" t="str">
        <f>IF(AND(A729&lt;&gt;"",ISNUMBER(A729)),VLOOKUP(A729,Studies!A:BR,3,FALSE),"")</f>
        <v>https://www.ncbi.nlm.nih.gov/pubmed/832508</v>
      </c>
      <c r="D729" s="232" t="str">
        <f>IF(AND(A729&lt;&gt;"",ISNUMBER(A729)),VLOOKUP(A729,Studies!A:BR,4,FALSE),"")</f>
        <v>600 mg</v>
      </c>
      <c r="E729" s="206" t="str">
        <f>IF(AND(A729&lt;&gt;"",ISNUMBER(A729)),VLOOKUP(A729,Studies!A:BR,5,FALSE),"")</f>
        <v>Rifampicin</v>
      </c>
      <c r="F729" s="207" t="str">
        <f>IF(AND(A729&lt;&gt;"",ISNUMBER(A729)),VLOOKUP(A729,Studies!A:BR,6,FALSE),"")</f>
        <v>Serum</v>
      </c>
      <c r="G729" s="194">
        <v>0.25</v>
      </c>
      <c r="H729" s="194" t="s">
        <v>60</v>
      </c>
      <c r="I729" s="187">
        <v>1.64</v>
      </c>
      <c r="J729" s="187" t="s">
        <v>1054</v>
      </c>
      <c r="K729" s="187" t="s">
        <v>116</v>
      </c>
      <c r="L729" s="195">
        <v>0.18</v>
      </c>
      <c r="M729" s="195" t="s">
        <v>1054</v>
      </c>
      <c r="N729" s="195" t="s">
        <v>1034</v>
      </c>
      <c r="O729" s="199"/>
      <c r="P729" s="188"/>
      <c r="Q729" s="174">
        <f>IF(ISNUMBER(VLOOKUP(A729,NotghiID!A:A,1,FALSE)),1,0)</f>
        <v>0</v>
      </c>
    </row>
    <row r="730" spans="1:17" ht="14.25" x14ac:dyDescent="0.2">
      <c r="A730" s="183">
        <v>357</v>
      </c>
      <c r="B730" s="232" t="str">
        <f>IF(AND(A730&lt;&gt;"",ISNUMBER(A730)),VLOOKUP(A730,Studies!A:BR,2,FALSE),"")</f>
        <v>Nitti 1977</v>
      </c>
      <c r="C730" s="232" t="str">
        <f>IF(AND(A730&lt;&gt;"",ISNUMBER(A730)),VLOOKUP(A730,Studies!A:BR,3,FALSE),"")</f>
        <v>https://www.ncbi.nlm.nih.gov/pubmed/832508</v>
      </c>
      <c r="D730" s="232" t="str">
        <f>IF(AND(A730&lt;&gt;"",ISNUMBER(A730)),VLOOKUP(A730,Studies!A:BR,4,FALSE),"")</f>
        <v>600 mg</v>
      </c>
      <c r="E730" s="206" t="str">
        <f>IF(AND(A730&lt;&gt;"",ISNUMBER(A730)),VLOOKUP(A730,Studies!A:BR,5,FALSE),"")</f>
        <v>Rifampicin</v>
      </c>
      <c r="F730" s="207" t="str">
        <f>IF(AND(A730&lt;&gt;"",ISNUMBER(A730)),VLOOKUP(A730,Studies!A:BR,6,FALSE),"")</f>
        <v>Serum</v>
      </c>
      <c r="G730" s="194">
        <v>0.5</v>
      </c>
      <c r="H730" s="194" t="s">
        <v>60</v>
      </c>
      <c r="I730" s="187">
        <v>2.4300000000000002</v>
      </c>
      <c r="J730" s="187" t="s">
        <v>1054</v>
      </c>
      <c r="K730" s="187" t="s">
        <v>116</v>
      </c>
      <c r="L730" s="195">
        <v>0.31</v>
      </c>
      <c r="M730" s="195" t="s">
        <v>1054</v>
      </c>
      <c r="N730" s="195" t="s">
        <v>1034</v>
      </c>
      <c r="O730" s="199"/>
      <c r="P730" s="188"/>
      <c r="Q730" s="174">
        <f>IF(ISNUMBER(VLOOKUP(A730,NotghiID!A:A,1,FALSE)),1,0)</f>
        <v>0</v>
      </c>
    </row>
    <row r="731" spans="1:17" ht="14.25" x14ac:dyDescent="0.2">
      <c r="A731" s="183">
        <v>357</v>
      </c>
      <c r="B731" s="232" t="str">
        <f>IF(AND(A731&lt;&gt;"",ISNUMBER(A731)),VLOOKUP(A731,Studies!A:BR,2,FALSE),"")</f>
        <v>Nitti 1977</v>
      </c>
      <c r="C731" s="232" t="str">
        <f>IF(AND(A731&lt;&gt;"",ISNUMBER(A731)),VLOOKUP(A731,Studies!A:BR,3,FALSE),"")</f>
        <v>https://www.ncbi.nlm.nih.gov/pubmed/832508</v>
      </c>
      <c r="D731" s="232" t="str">
        <f>IF(AND(A731&lt;&gt;"",ISNUMBER(A731)),VLOOKUP(A731,Studies!A:BR,4,FALSE),"")</f>
        <v>600 mg</v>
      </c>
      <c r="E731" s="206" t="str">
        <f>IF(AND(A731&lt;&gt;"",ISNUMBER(A731)),VLOOKUP(A731,Studies!A:BR,5,FALSE),"")</f>
        <v>Rifampicin</v>
      </c>
      <c r="F731" s="207" t="str">
        <f>IF(AND(A731&lt;&gt;"",ISNUMBER(A731)),VLOOKUP(A731,Studies!A:BR,6,FALSE),"")</f>
        <v>Serum</v>
      </c>
      <c r="G731" s="194">
        <v>1</v>
      </c>
      <c r="H731" s="194" t="s">
        <v>60</v>
      </c>
      <c r="I731" s="187">
        <v>4.1100000000000003</v>
      </c>
      <c r="J731" s="187" t="s">
        <v>1054</v>
      </c>
      <c r="K731" s="187" t="s">
        <v>116</v>
      </c>
      <c r="L731" s="195">
        <v>0.6</v>
      </c>
      <c r="M731" s="195" t="s">
        <v>1054</v>
      </c>
      <c r="N731" s="195" t="s">
        <v>1034</v>
      </c>
      <c r="O731" s="199"/>
      <c r="P731" s="188"/>
      <c r="Q731" s="174">
        <f>IF(ISNUMBER(VLOOKUP(A731,NotghiID!A:A,1,FALSE)),1,0)</f>
        <v>0</v>
      </c>
    </row>
    <row r="732" spans="1:17" ht="14.25" x14ac:dyDescent="0.2">
      <c r="A732" s="183">
        <v>357</v>
      </c>
      <c r="B732" s="232" t="str">
        <f>IF(AND(A732&lt;&gt;"",ISNUMBER(A732)),VLOOKUP(A732,Studies!A:BR,2,FALSE),"")</f>
        <v>Nitti 1977</v>
      </c>
      <c r="C732" s="232" t="str">
        <f>IF(AND(A732&lt;&gt;"",ISNUMBER(A732)),VLOOKUP(A732,Studies!A:BR,3,FALSE),"")</f>
        <v>https://www.ncbi.nlm.nih.gov/pubmed/832508</v>
      </c>
      <c r="D732" s="232" t="str">
        <f>IF(AND(A732&lt;&gt;"",ISNUMBER(A732)),VLOOKUP(A732,Studies!A:BR,4,FALSE),"")</f>
        <v>600 mg</v>
      </c>
      <c r="E732" s="206" t="str">
        <f>IF(AND(A732&lt;&gt;"",ISNUMBER(A732)),VLOOKUP(A732,Studies!A:BR,5,FALSE),"")</f>
        <v>Rifampicin</v>
      </c>
      <c r="F732" s="207" t="str">
        <f>IF(AND(A732&lt;&gt;"",ISNUMBER(A732)),VLOOKUP(A732,Studies!A:BR,6,FALSE),"")</f>
        <v>Serum</v>
      </c>
      <c r="G732" s="194">
        <v>2</v>
      </c>
      <c r="H732" s="194" t="s">
        <v>60</v>
      </c>
      <c r="I732" s="187">
        <v>7.56</v>
      </c>
      <c r="J732" s="187" t="s">
        <v>1054</v>
      </c>
      <c r="K732" s="187" t="s">
        <v>116</v>
      </c>
      <c r="L732" s="195">
        <v>1.04</v>
      </c>
      <c r="M732" s="195" t="s">
        <v>1054</v>
      </c>
      <c r="N732" s="195" t="s">
        <v>1034</v>
      </c>
      <c r="O732" s="199"/>
      <c r="P732" s="188"/>
      <c r="Q732" s="174">
        <f>IF(ISNUMBER(VLOOKUP(A732,NotghiID!A:A,1,FALSE)),1,0)</f>
        <v>0</v>
      </c>
    </row>
    <row r="733" spans="1:17" ht="14.25" x14ac:dyDescent="0.2">
      <c r="A733" s="183">
        <v>357</v>
      </c>
      <c r="B733" s="232" t="str">
        <f>IF(AND(A733&lt;&gt;"",ISNUMBER(A733)),VLOOKUP(A733,Studies!A:BR,2,FALSE),"")</f>
        <v>Nitti 1977</v>
      </c>
      <c r="C733" s="232" t="str">
        <f>IF(AND(A733&lt;&gt;"",ISNUMBER(A733)),VLOOKUP(A733,Studies!A:BR,3,FALSE),"")</f>
        <v>https://www.ncbi.nlm.nih.gov/pubmed/832508</v>
      </c>
      <c r="D733" s="232" t="str">
        <f>IF(AND(A733&lt;&gt;"",ISNUMBER(A733)),VLOOKUP(A733,Studies!A:BR,4,FALSE),"")</f>
        <v>600 mg</v>
      </c>
      <c r="E733" s="206" t="str">
        <f>IF(AND(A733&lt;&gt;"",ISNUMBER(A733)),VLOOKUP(A733,Studies!A:BR,5,FALSE),"")</f>
        <v>Rifampicin</v>
      </c>
      <c r="F733" s="207" t="str">
        <f>IF(AND(A733&lt;&gt;"",ISNUMBER(A733)),VLOOKUP(A733,Studies!A:BR,6,FALSE),"")</f>
        <v>Serum</v>
      </c>
      <c r="G733" s="194">
        <v>3</v>
      </c>
      <c r="H733" s="194" t="s">
        <v>60</v>
      </c>
      <c r="I733" s="187">
        <v>13.53</v>
      </c>
      <c r="J733" s="187" t="s">
        <v>1054</v>
      </c>
      <c r="K733" s="187" t="s">
        <v>116</v>
      </c>
      <c r="L733" s="195">
        <v>1.43</v>
      </c>
      <c r="M733" s="195" t="s">
        <v>1054</v>
      </c>
      <c r="N733" s="195" t="s">
        <v>1034</v>
      </c>
      <c r="O733" s="199"/>
      <c r="P733" s="188"/>
      <c r="Q733" s="174">
        <f>IF(ISNUMBER(VLOOKUP(A733,NotghiID!A:A,1,FALSE)),1,0)</f>
        <v>0</v>
      </c>
    </row>
    <row r="734" spans="1:17" ht="14.25" x14ac:dyDescent="0.2">
      <c r="A734" s="183">
        <v>357</v>
      </c>
      <c r="B734" s="232" t="str">
        <f>IF(AND(A734&lt;&gt;"",ISNUMBER(A734)),VLOOKUP(A734,Studies!A:BR,2,FALSE),"")</f>
        <v>Nitti 1977</v>
      </c>
      <c r="C734" s="232" t="str">
        <f>IF(AND(A734&lt;&gt;"",ISNUMBER(A734)),VLOOKUP(A734,Studies!A:BR,3,FALSE),"")</f>
        <v>https://www.ncbi.nlm.nih.gov/pubmed/832508</v>
      </c>
      <c r="D734" s="232" t="str">
        <f>IF(AND(A734&lt;&gt;"",ISNUMBER(A734)),VLOOKUP(A734,Studies!A:BR,4,FALSE),"")</f>
        <v>600 mg</v>
      </c>
      <c r="E734" s="206" t="str">
        <f>IF(AND(A734&lt;&gt;"",ISNUMBER(A734)),VLOOKUP(A734,Studies!A:BR,5,FALSE),"")</f>
        <v>Rifampicin</v>
      </c>
      <c r="F734" s="207" t="str">
        <f>IF(AND(A734&lt;&gt;"",ISNUMBER(A734)),VLOOKUP(A734,Studies!A:BR,6,FALSE),"")</f>
        <v>Serum</v>
      </c>
      <c r="G734" s="194">
        <v>4</v>
      </c>
      <c r="H734" s="194" t="s">
        <v>60</v>
      </c>
      <c r="I734" s="187">
        <v>9.4700000000000006</v>
      </c>
      <c r="J734" s="187" t="s">
        <v>1054</v>
      </c>
      <c r="K734" s="187" t="s">
        <v>116</v>
      </c>
      <c r="L734" s="195">
        <v>0.92</v>
      </c>
      <c r="M734" s="195" t="s">
        <v>1054</v>
      </c>
      <c r="N734" s="195" t="s">
        <v>1034</v>
      </c>
      <c r="O734" s="199"/>
      <c r="P734" s="188"/>
      <c r="Q734" s="174">
        <f>IF(ISNUMBER(VLOOKUP(A734,NotghiID!A:A,1,FALSE)),1,0)</f>
        <v>0</v>
      </c>
    </row>
    <row r="735" spans="1:17" ht="14.25" x14ac:dyDescent="0.2">
      <c r="A735" s="183">
        <v>357</v>
      </c>
      <c r="B735" s="232" t="str">
        <f>IF(AND(A735&lt;&gt;"",ISNUMBER(A735)),VLOOKUP(A735,Studies!A:BR,2,FALSE),"")</f>
        <v>Nitti 1977</v>
      </c>
      <c r="C735" s="232" t="str">
        <f>IF(AND(A735&lt;&gt;"",ISNUMBER(A735)),VLOOKUP(A735,Studies!A:BR,3,FALSE),"")</f>
        <v>https://www.ncbi.nlm.nih.gov/pubmed/832508</v>
      </c>
      <c r="D735" s="232" t="str">
        <f>IF(AND(A735&lt;&gt;"",ISNUMBER(A735)),VLOOKUP(A735,Studies!A:BR,4,FALSE),"")</f>
        <v>600 mg</v>
      </c>
      <c r="E735" s="206" t="str">
        <f>IF(AND(A735&lt;&gt;"",ISNUMBER(A735)),VLOOKUP(A735,Studies!A:BR,5,FALSE),"")</f>
        <v>Rifampicin</v>
      </c>
      <c r="F735" s="207" t="str">
        <f>IF(AND(A735&lt;&gt;"",ISNUMBER(A735)),VLOOKUP(A735,Studies!A:BR,6,FALSE),"")</f>
        <v>Serum</v>
      </c>
      <c r="G735" s="194">
        <v>6</v>
      </c>
      <c r="H735" s="194" t="s">
        <v>60</v>
      </c>
      <c r="I735" s="187">
        <v>5.26</v>
      </c>
      <c r="J735" s="187" t="s">
        <v>1054</v>
      </c>
      <c r="K735" s="187" t="s">
        <v>116</v>
      </c>
      <c r="L735" s="195">
        <v>0.5</v>
      </c>
      <c r="M735" s="195" t="s">
        <v>1054</v>
      </c>
      <c r="N735" s="195" t="s">
        <v>1034</v>
      </c>
      <c r="O735" s="199"/>
      <c r="P735" s="188"/>
      <c r="Q735" s="174">
        <f>IF(ISNUMBER(VLOOKUP(A735,NotghiID!A:A,1,FALSE)),1,0)</f>
        <v>0</v>
      </c>
    </row>
    <row r="736" spans="1:17" ht="14.25" x14ac:dyDescent="0.2">
      <c r="A736" s="183">
        <v>357</v>
      </c>
      <c r="B736" s="232" t="str">
        <f>IF(AND(A736&lt;&gt;"",ISNUMBER(A736)),VLOOKUP(A736,Studies!A:BR,2,FALSE),"")</f>
        <v>Nitti 1977</v>
      </c>
      <c r="C736" s="232" t="str">
        <f>IF(AND(A736&lt;&gt;"",ISNUMBER(A736)),VLOOKUP(A736,Studies!A:BR,3,FALSE),"")</f>
        <v>https://www.ncbi.nlm.nih.gov/pubmed/832508</v>
      </c>
      <c r="D736" s="232" t="str">
        <f>IF(AND(A736&lt;&gt;"",ISNUMBER(A736)),VLOOKUP(A736,Studies!A:BR,4,FALSE),"")</f>
        <v>600 mg</v>
      </c>
      <c r="E736" s="206" t="str">
        <f>IF(AND(A736&lt;&gt;"",ISNUMBER(A736)),VLOOKUP(A736,Studies!A:BR,5,FALSE),"")</f>
        <v>Rifampicin</v>
      </c>
      <c r="F736" s="207" t="str">
        <f>IF(AND(A736&lt;&gt;"",ISNUMBER(A736)),VLOOKUP(A736,Studies!A:BR,6,FALSE),"")</f>
        <v>Serum</v>
      </c>
      <c r="G736" s="194">
        <v>8</v>
      </c>
      <c r="H736" s="194" t="s">
        <v>60</v>
      </c>
      <c r="I736" s="187">
        <v>3.73</v>
      </c>
      <c r="J736" s="187" t="s">
        <v>1054</v>
      </c>
      <c r="K736" s="187" t="s">
        <v>116</v>
      </c>
      <c r="L736" s="195">
        <v>0.52</v>
      </c>
      <c r="M736" s="195" t="s">
        <v>1054</v>
      </c>
      <c r="N736" s="195" t="s">
        <v>1034</v>
      </c>
      <c r="O736" s="199"/>
      <c r="P736" s="188"/>
      <c r="Q736" s="174">
        <f>IF(ISNUMBER(VLOOKUP(A736,NotghiID!A:A,1,FALSE)),1,0)</f>
        <v>0</v>
      </c>
    </row>
    <row r="737" spans="1:17" ht="14.25" x14ac:dyDescent="0.2">
      <c r="A737" s="183">
        <v>357</v>
      </c>
      <c r="B737" s="232" t="str">
        <f>IF(AND(A737&lt;&gt;"",ISNUMBER(A737)),VLOOKUP(A737,Studies!A:BR,2,FALSE),"")</f>
        <v>Nitti 1977</v>
      </c>
      <c r="C737" s="232" t="str">
        <f>IF(AND(A737&lt;&gt;"",ISNUMBER(A737)),VLOOKUP(A737,Studies!A:BR,3,FALSE),"")</f>
        <v>https://www.ncbi.nlm.nih.gov/pubmed/832508</v>
      </c>
      <c r="D737" s="232" t="str">
        <f>IF(AND(A737&lt;&gt;"",ISNUMBER(A737)),VLOOKUP(A737,Studies!A:BR,4,FALSE),"")</f>
        <v>600 mg</v>
      </c>
      <c r="E737" s="206" t="str">
        <f>IF(AND(A737&lt;&gt;"",ISNUMBER(A737)),VLOOKUP(A737,Studies!A:BR,5,FALSE),"")</f>
        <v>Rifampicin</v>
      </c>
      <c r="F737" s="207" t="str">
        <f>IF(AND(A737&lt;&gt;"",ISNUMBER(A737)),VLOOKUP(A737,Studies!A:BR,6,FALSE),"")</f>
        <v>Serum</v>
      </c>
      <c r="G737" s="194">
        <v>12</v>
      </c>
      <c r="H737" s="194" t="s">
        <v>60</v>
      </c>
      <c r="I737" s="187">
        <v>1.46</v>
      </c>
      <c r="J737" s="187" t="s">
        <v>1054</v>
      </c>
      <c r="K737" s="187" t="s">
        <v>116</v>
      </c>
      <c r="L737" s="195">
        <v>0.41</v>
      </c>
      <c r="M737" s="195" t="s">
        <v>1054</v>
      </c>
      <c r="N737" s="195" t="s">
        <v>1034</v>
      </c>
      <c r="O737" s="199"/>
      <c r="P737" s="188"/>
      <c r="Q737" s="174">
        <f>IF(ISNUMBER(VLOOKUP(A737,NotghiID!A:A,1,FALSE)),1,0)</f>
        <v>0</v>
      </c>
    </row>
    <row r="738" spans="1:17" ht="14.25" x14ac:dyDescent="0.2">
      <c r="A738" s="183">
        <v>100</v>
      </c>
      <c r="B738" s="232" t="str">
        <f>IF(AND(A738&lt;&gt;"",ISNUMBER(A738)),VLOOKUP(A738,Studies!A:BR,2,FALSE),"")</f>
        <v>Blume 1989</v>
      </c>
      <c r="C738" s="232" t="str">
        <f>IF(AND(A738&lt;&gt;"",ISNUMBER(A738)),VLOOKUP(A738,Studies!A:BR,3,FALSE),"")</f>
        <v>https://doi.org/10.1002/pauz.19900190516</v>
      </c>
      <c r="D738" s="232" t="str">
        <f>IF(AND(A738&lt;&gt;"",ISNUMBER(A738)),VLOOKUP(A738,Studies!A:BR,4,FALSE),"")</f>
        <v>450 mg REFERENZ</v>
      </c>
      <c r="E738" s="206" t="str">
        <f>IF(AND(A738&lt;&gt;"",ISNUMBER(A738)),VLOOKUP(A738,Studies!A:BR,5,FALSE),"")</f>
        <v>Rifampicin</v>
      </c>
      <c r="F738" s="207" t="str">
        <f>IF(AND(A738&lt;&gt;"",ISNUMBER(A738)),VLOOKUP(A738,Studies!A:BR,6,FALSE),"")</f>
        <v>Plasma</v>
      </c>
      <c r="G738" s="194">
        <v>2</v>
      </c>
      <c r="H738" s="194" t="s">
        <v>60</v>
      </c>
      <c r="I738" s="187">
        <v>6.3965396881103516</v>
      </c>
      <c r="J738" s="187" t="s">
        <v>1057</v>
      </c>
      <c r="K738" s="187" t="s">
        <v>116</v>
      </c>
      <c r="L738" s="195"/>
      <c r="M738" s="195"/>
      <c r="N738" s="195"/>
      <c r="O738" s="199"/>
      <c r="P738" s="188"/>
      <c r="Q738" s="174">
        <f>IF(ISNUMBER(VLOOKUP(A738,NotghiID!A:A,1,FALSE)),1,0)</f>
        <v>0</v>
      </c>
    </row>
    <row r="739" spans="1:17" ht="14.25" x14ac:dyDescent="0.2">
      <c r="A739" s="183">
        <v>100</v>
      </c>
      <c r="B739" s="232" t="str">
        <f>IF(AND(A739&lt;&gt;"",ISNUMBER(A739)),VLOOKUP(A739,Studies!A:BR,2,FALSE),"")</f>
        <v>Blume 1989</v>
      </c>
      <c r="C739" s="232" t="str">
        <f>IF(AND(A739&lt;&gt;"",ISNUMBER(A739)),VLOOKUP(A739,Studies!A:BR,3,FALSE),"")</f>
        <v>https://doi.org/10.1002/pauz.19900190516</v>
      </c>
      <c r="D739" s="232" t="str">
        <f>IF(AND(A739&lt;&gt;"",ISNUMBER(A739)),VLOOKUP(A739,Studies!A:BR,4,FALSE),"")</f>
        <v>450 mg REFERENZ</v>
      </c>
      <c r="E739" s="206" t="str">
        <f>IF(AND(A739&lt;&gt;"",ISNUMBER(A739)),VLOOKUP(A739,Studies!A:BR,5,FALSE),"")</f>
        <v>Rifampicin</v>
      </c>
      <c r="F739" s="207" t="str">
        <f>IF(AND(A739&lt;&gt;"",ISNUMBER(A739)),VLOOKUP(A739,Studies!A:BR,6,FALSE),"")</f>
        <v>Plasma</v>
      </c>
      <c r="G739" s="194">
        <v>4</v>
      </c>
      <c r="H739" s="194" t="s">
        <v>60</v>
      </c>
      <c r="I739" s="187">
        <v>4.6353535652160645</v>
      </c>
      <c r="J739" s="187" t="s">
        <v>1057</v>
      </c>
      <c r="K739" s="187" t="s">
        <v>116</v>
      </c>
      <c r="L739" s="195"/>
      <c r="M739" s="195"/>
      <c r="N739" s="195"/>
      <c r="O739" s="199"/>
      <c r="P739" s="188"/>
      <c r="Q739" s="174">
        <f>IF(ISNUMBER(VLOOKUP(A739,NotghiID!A:A,1,FALSE)),1,0)</f>
        <v>0</v>
      </c>
    </row>
    <row r="740" spans="1:17" ht="14.25" x14ac:dyDescent="0.2">
      <c r="A740" s="183">
        <v>100</v>
      </c>
      <c r="B740" s="232" t="str">
        <f>IF(AND(A740&lt;&gt;"",ISNUMBER(A740)),VLOOKUP(A740,Studies!A:BR,2,FALSE),"")</f>
        <v>Blume 1989</v>
      </c>
      <c r="C740" s="232" t="str">
        <f>IF(AND(A740&lt;&gt;"",ISNUMBER(A740)),VLOOKUP(A740,Studies!A:BR,3,FALSE),"")</f>
        <v>https://doi.org/10.1002/pauz.19900190516</v>
      </c>
      <c r="D740" s="232" t="str">
        <f>IF(AND(A740&lt;&gt;"",ISNUMBER(A740)),VLOOKUP(A740,Studies!A:BR,4,FALSE),"")</f>
        <v>450 mg REFERENZ</v>
      </c>
      <c r="E740" s="206" t="str">
        <f>IF(AND(A740&lt;&gt;"",ISNUMBER(A740)),VLOOKUP(A740,Studies!A:BR,5,FALSE),"")</f>
        <v>Rifampicin</v>
      </c>
      <c r="F740" s="207" t="str">
        <f>IF(AND(A740&lt;&gt;"",ISNUMBER(A740)),VLOOKUP(A740,Studies!A:BR,6,FALSE),"")</f>
        <v>Plasma</v>
      </c>
      <c r="G740" s="194">
        <v>6</v>
      </c>
      <c r="H740" s="194" t="s">
        <v>60</v>
      </c>
      <c r="I740" s="187">
        <v>2.8372335433959961</v>
      </c>
      <c r="J740" s="187" t="s">
        <v>1057</v>
      </c>
      <c r="K740" s="187" t="s">
        <v>116</v>
      </c>
      <c r="L740" s="195"/>
      <c r="M740" s="195"/>
      <c r="N740" s="195"/>
      <c r="O740" s="199"/>
      <c r="P740" s="188"/>
      <c r="Q740" s="174">
        <f>IF(ISNUMBER(VLOOKUP(A740,NotghiID!A:A,1,FALSE)),1,0)</f>
        <v>0</v>
      </c>
    </row>
    <row r="741" spans="1:17" ht="14.25" x14ac:dyDescent="0.2">
      <c r="A741" s="183">
        <v>100</v>
      </c>
      <c r="B741" s="232" t="str">
        <f>IF(AND(A741&lt;&gt;"",ISNUMBER(A741)),VLOOKUP(A741,Studies!A:BR,2,FALSE),"")</f>
        <v>Blume 1989</v>
      </c>
      <c r="C741" s="232" t="str">
        <f>IF(AND(A741&lt;&gt;"",ISNUMBER(A741)),VLOOKUP(A741,Studies!A:BR,3,FALSE),"")</f>
        <v>https://doi.org/10.1002/pauz.19900190516</v>
      </c>
      <c r="D741" s="232" t="str">
        <f>IF(AND(A741&lt;&gt;"",ISNUMBER(A741)),VLOOKUP(A741,Studies!A:BR,4,FALSE),"")</f>
        <v>450 mg REFERENZ</v>
      </c>
      <c r="E741" s="206" t="str">
        <f>IF(AND(A741&lt;&gt;"",ISNUMBER(A741)),VLOOKUP(A741,Studies!A:BR,5,FALSE),"")</f>
        <v>Rifampicin</v>
      </c>
      <c r="F741" s="207" t="str">
        <f>IF(AND(A741&lt;&gt;"",ISNUMBER(A741)),VLOOKUP(A741,Studies!A:BR,6,FALSE),"")</f>
        <v>Plasma</v>
      </c>
      <c r="G741" s="194">
        <v>8</v>
      </c>
      <c r="H741" s="194" t="s">
        <v>60</v>
      </c>
      <c r="I741" s="187">
        <v>1.8152093887329102</v>
      </c>
      <c r="J741" s="187" t="s">
        <v>1057</v>
      </c>
      <c r="K741" s="187" t="s">
        <v>116</v>
      </c>
      <c r="L741" s="195"/>
      <c r="M741" s="195"/>
      <c r="N741" s="195"/>
      <c r="O741" s="199"/>
      <c r="P741" s="188"/>
      <c r="Q741" s="174">
        <f>IF(ISNUMBER(VLOOKUP(A741,NotghiID!A:A,1,FALSE)),1,0)</f>
        <v>0</v>
      </c>
    </row>
    <row r="742" spans="1:17" ht="14.25" x14ac:dyDescent="0.2">
      <c r="A742" s="183">
        <v>101</v>
      </c>
      <c r="B742" s="232" t="str">
        <f>IF(AND(A742&lt;&gt;"",ISNUMBER(A742)),VLOOKUP(A742,Studies!A:BR,2,FALSE),"")</f>
        <v>Blume 1989</v>
      </c>
      <c r="C742" s="232" t="str">
        <f>IF(AND(A742&lt;&gt;"",ISNUMBER(A742)),VLOOKUP(A742,Studies!A:BR,3,FALSE),"")</f>
        <v>https://doi.org/10.1002/pauz.19900190516</v>
      </c>
      <c r="D742" s="232" t="str">
        <f>IF(AND(A742&lt;&gt;"",ISNUMBER(A742)),VLOOKUP(A742,Studies!A:BR,4,FALSE),"")</f>
        <v>600 mg REFERENZ</v>
      </c>
      <c r="E742" s="206" t="str">
        <f>IF(AND(A742&lt;&gt;"",ISNUMBER(A742)),VLOOKUP(A742,Studies!A:BR,5,FALSE),"")</f>
        <v>Rifampicin</v>
      </c>
      <c r="F742" s="207" t="str">
        <f>IF(AND(A742&lt;&gt;"",ISNUMBER(A742)),VLOOKUP(A742,Studies!A:BR,6,FALSE),"")</f>
        <v>Plasma</v>
      </c>
      <c r="G742" s="194">
        <v>0.25</v>
      </c>
      <c r="H742" s="194" t="s">
        <v>60</v>
      </c>
      <c r="I742" s="187">
        <v>0.11607145518064499</v>
      </c>
      <c r="J742" s="187" t="s">
        <v>1057</v>
      </c>
      <c r="K742" s="187" t="s">
        <v>116</v>
      </c>
      <c r="L742" s="195"/>
      <c r="M742" s="195"/>
      <c r="N742" s="195"/>
      <c r="O742" s="199"/>
      <c r="P742" s="188"/>
      <c r="Q742" s="174">
        <f>IF(ISNUMBER(VLOOKUP(A742,NotghiID!A:A,1,FALSE)),1,0)</f>
        <v>0</v>
      </c>
    </row>
    <row r="743" spans="1:17" ht="14.25" x14ac:dyDescent="0.2">
      <c r="A743" s="183">
        <v>101</v>
      </c>
      <c r="B743" s="232" t="str">
        <f>IF(AND(A743&lt;&gt;"",ISNUMBER(A743)),VLOOKUP(A743,Studies!A:BR,2,FALSE),"")</f>
        <v>Blume 1989</v>
      </c>
      <c r="C743" s="232" t="str">
        <f>IF(AND(A743&lt;&gt;"",ISNUMBER(A743)),VLOOKUP(A743,Studies!A:BR,3,FALSE),"")</f>
        <v>https://doi.org/10.1002/pauz.19900190516</v>
      </c>
      <c r="D743" s="232" t="str">
        <f>IF(AND(A743&lt;&gt;"",ISNUMBER(A743)),VLOOKUP(A743,Studies!A:BR,4,FALSE),"")</f>
        <v>600 mg REFERENZ</v>
      </c>
      <c r="E743" s="206" t="str">
        <f>IF(AND(A743&lt;&gt;"",ISNUMBER(A743)),VLOOKUP(A743,Studies!A:BR,5,FALSE),"")</f>
        <v>Rifampicin</v>
      </c>
      <c r="F743" s="207" t="str">
        <f>IF(AND(A743&lt;&gt;"",ISNUMBER(A743)),VLOOKUP(A743,Studies!A:BR,6,FALSE),"")</f>
        <v>Plasma</v>
      </c>
      <c r="G743" s="194">
        <v>0.5</v>
      </c>
      <c r="H743" s="194" t="s">
        <v>60</v>
      </c>
      <c r="I743" s="187">
        <v>1.1575995683670044</v>
      </c>
      <c r="J743" s="187" t="s">
        <v>1057</v>
      </c>
      <c r="K743" s="187" t="s">
        <v>116</v>
      </c>
      <c r="L743" s="195"/>
      <c r="M743" s="195"/>
      <c r="N743" s="195"/>
      <c r="O743" s="199"/>
      <c r="P743" s="188"/>
      <c r="Q743" s="174">
        <f>IF(ISNUMBER(VLOOKUP(A743,NotghiID!A:A,1,FALSE)),1,0)</f>
        <v>0</v>
      </c>
    </row>
    <row r="744" spans="1:17" ht="14.25" x14ac:dyDescent="0.2">
      <c r="A744" s="183">
        <v>101</v>
      </c>
      <c r="B744" s="232" t="str">
        <f>IF(AND(A744&lt;&gt;"",ISNUMBER(A744)),VLOOKUP(A744,Studies!A:BR,2,FALSE),"")</f>
        <v>Blume 1989</v>
      </c>
      <c r="C744" s="232" t="str">
        <f>IF(AND(A744&lt;&gt;"",ISNUMBER(A744)),VLOOKUP(A744,Studies!A:BR,3,FALSE),"")</f>
        <v>https://doi.org/10.1002/pauz.19900190516</v>
      </c>
      <c r="D744" s="232" t="str">
        <f>IF(AND(A744&lt;&gt;"",ISNUMBER(A744)),VLOOKUP(A744,Studies!A:BR,4,FALSE),"")</f>
        <v>600 mg REFERENZ</v>
      </c>
      <c r="E744" s="206" t="str">
        <f>IF(AND(A744&lt;&gt;"",ISNUMBER(A744)),VLOOKUP(A744,Studies!A:BR,5,FALSE),"")</f>
        <v>Rifampicin</v>
      </c>
      <c r="F744" s="207" t="str">
        <f>IF(AND(A744&lt;&gt;"",ISNUMBER(A744)),VLOOKUP(A744,Studies!A:BR,6,FALSE),"")</f>
        <v>Plasma</v>
      </c>
      <c r="G744" s="194">
        <v>1</v>
      </c>
      <c r="H744" s="194" t="s">
        <v>60</v>
      </c>
      <c r="I744" s="187">
        <v>6.3259787559509277</v>
      </c>
      <c r="J744" s="187" t="s">
        <v>1057</v>
      </c>
      <c r="K744" s="187" t="s">
        <v>116</v>
      </c>
      <c r="L744" s="195"/>
      <c r="M744" s="195"/>
      <c r="N744" s="195"/>
      <c r="O744" s="199"/>
      <c r="P744" s="188"/>
      <c r="Q744" s="174">
        <f>IF(ISNUMBER(VLOOKUP(A744,NotghiID!A:A,1,FALSE)),1,0)</f>
        <v>0</v>
      </c>
    </row>
    <row r="745" spans="1:17" ht="14.25" x14ac:dyDescent="0.2">
      <c r="A745" s="183">
        <v>101</v>
      </c>
      <c r="B745" s="232" t="str">
        <f>IF(AND(A745&lt;&gt;"",ISNUMBER(A745)),VLOOKUP(A745,Studies!A:BR,2,FALSE),"")</f>
        <v>Blume 1989</v>
      </c>
      <c r="C745" s="232" t="str">
        <f>IF(AND(A745&lt;&gt;"",ISNUMBER(A745)),VLOOKUP(A745,Studies!A:BR,3,FALSE),"")</f>
        <v>https://doi.org/10.1002/pauz.19900190516</v>
      </c>
      <c r="D745" s="232" t="str">
        <f>IF(AND(A745&lt;&gt;"",ISNUMBER(A745)),VLOOKUP(A745,Studies!A:BR,4,FALSE),"")</f>
        <v>600 mg REFERENZ</v>
      </c>
      <c r="E745" s="206" t="str">
        <f>IF(AND(A745&lt;&gt;"",ISNUMBER(A745)),VLOOKUP(A745,Studies!A:BR,5,FALSE),"")</f>
        <v>Rifampicin</v>
      </c>
      <c r="F745" s="207" t="str">
        <f>IF(AND(A745&lt;&gt;"",ISNUMBER(A745)),VLOOKUP(A745,Studies!A:BR,6,FALSE),"")</f>
        <v>Plasma</v>
      </c>
      <c r="G745" s="194">
        <v>2</v>
      </c>
      <c r="H745" s="194" t="s">
        <v>60</v>
      </c>
      <c r="I745" s="187">
        <v>9.1194667816162109</v>
      </c>
      <c r="J745" s="187" t="s">
        <v>1057</v>
      </c>
      <c r="K745" s="187" t="s">
        <v>116</v>
      </c>
      <c r="L745" s="195"/>
      <c r="M745" s="195"/>
      <c r="N745" s="195"/>
      <c r="O745" s="199"/>
      <c r="P745" s="188"/>
      <c r="Q745" s="174">
        <f>IF(ISNUMBER(VLOOKUP(A745,NotghiID!A:A,1,FALSE)),1,0)</f>
        <v>0</v>
      </c>
    </row>
    <row r="746" spans="1:17" ht="14.25" x14ac:dyDescent="0.2">
      <c r="A746" s="183">
        <v>101</v>
      </c>
      <c r="B746" s="232" t="str">
        <f>IF(AND(A746&lt;&gt;"",ISNUMBER(A746)),VLOOKUP(A746,Studies!A:BR,2,FALSE),"")</f>
        <v>Blume 1989</v>
      </c>
      <c r="C746" s="232" t="str">
        <f>IF(AND(A746&lt;&gt;"",ISNUMBER(A746)),VLOOKUP(A746,Studies!A:BR,3,FALSE),"")</f>
        <v>https://doi.org/10.1002/pauz.19900190516</v>
      </c>
      <c r="D746" s="232" t="str">
        <f>IF(AND(A746&lt;&gt;"",ISNUMBER(A746)),VLOOKUP(A746,Studies!A:BR,4,FALSE),"")</f>
        <v>600 mg REFERENZ</v>
      </c>
      <c r="E746" s="206" t="str">
        <f>IF(AND(A746&lt;&gt;"",ISNUMBER(A746)),VLOOKUP(A746,Studies!A:BR,5,FALSE),"")</f>
        <v>Rifampicin</v>
      </c>
      <c r="F746" s="207" t="str">
        <f>IF(AND(A746&lt;&gt;"",ISNUMBER(A746)),VLOOKUP(A746,Studies!A:BR,6,FALSE),"")</f>
        <v>Plasma</v>
      </c>
      <c r="G746" s="194">
        <v>4</v>
      </c>
      <c r="H746" s="194" t="s">
        <v>60</v>
      </c>
      <c r="I746" s="187">
        <v>6.4628453254699707</v>
      </c>
      <c r="J746" s="187" t="s">
        <v>1057</v>
      </c>
      <c r="K746" s="187" t="s">
        <v>116</v>
      </c>
      <c r="L746" s="195"/>
      <c r="M746" s="195"/>
      <c r="N746" s="195"/>
      <c r="O746" s="199"/>
      <c r="P746" s="188"/>
      <c r="Q746" s="174">
        <f>IF(ISNUMBER(VLOOKUP(A746,NotghiID!A:A,1,FALSE)),1,0)</f>
        <v>0</v>
      </c>
    </row>
    <row r="747" spans="1:17" ht="14.25" x14ac:dyDescent="0.2">
      <c r="A747" s="183">
        <v>101</v>
      </c>
      <c r="B747" s="232" t="str">
        <f>IF(AND(A747&lt;&gt;"",ISNUMBER(A747)),VLOOKUP(A747,Studies!A:BR,2,FALSE),"")</f>
        <v>Blume 1989</v>
      </c>
      <c r="C747" s="232" t="str">
        <f>IF(AND(A747&lt;&gt;"",ISNUMBER(A747)),VLOOKUP(A747,Studies!A:BR,3,FALSE),"")</f>
        <v>https://doi.org/10.1002/pauz.19900190516</v>
      </c>
      <c r="D747" s="232" t="str">
        <f>IF(AND(A747&lt;&gt;"",ISNUMBER(A747)),VLOOKUP(A747,Studies!A:BR,4,FALSE),"")</f>
        <v>600 mg REFERENZ</v>
      </c>
      <c r="E747" s="206" t="str">
        <f>IF(AND(A747&lt;&gt;"",ISNUMBER(A747)),VLOOKUP(A747,Studies!A:BR,5,FALSE),"")</f>
        <v>Rifampicin</v>
      </c>
      <c r="F747" s="207" t="str">
        <f>IF(AND(A747&lt;&gt;"",ISNUMBER(A747)),VLOOKUP(A747,Studies!A:BR,6,FALSE),"")</f>
        <v>Plasma</v>
      </c>
      <c r="G747" s="194">
        <v>6</v>
      </c>
      <c r="H747" s="194" t="s">
        <v>60</v>
      </c>
      <c r="I747" s="187">
        <v>4.3383388519287109</v>
      </c>
      <c r="J747" s="187" t="s">
        <v>1057</v>
      </c>
      <c r="K747" s="187" t="s">
        <v>116</v>
      </c>
      <c r="L747" s="195"/>
      <c r="M747" s="195"/>
      <c r="N747" s="195"/>
      <c r="O747" s="199"/>
      <c r="P747" s="188"/>
      <c r="Q747" s="174">
        <f>IF(ISNUMBER(VLOOKUP(A747,NotghiID!A:A,1,FALSE)),1,0)</f>
        <v>0</v>
      </c>
    </row>
    <row r="748" spans="1:17" ht="14.25" x14ac:dyDescent="0.2">
      <c r="A748" s="183">
        <v>101</v>
      </c>
      <c r="B748" s="232" t="str">
        <f>IF(AND(A748&lt;&gt;"",ISNUMBER(A748)),VLOOKUP(A748,Studies!A:BR,2,FALSE),"")</f>
        <v>Blume 1989</v>
      </c>
      <c r="C748" s="232" t="str">
        <f>IF(AND(A748&lt;&gt;"",ISNUMBER(A748)),VLOOKUP(A748,Studies!A:BR,3,FALSE),"")</f>
        <v>https://doi.org/10.1002/pauz.19900190516</v>
      </c>
      <c r="D748" s="232" t="str">
        <f>IF(AND(A748&lt;&gt;"",ISNUMBER(A748)),VLOOKUP(A748,Studies!A:BR,4,FALSE),"")</f>
        <v>600 mg REFERENZ</v>
      </c>
      <c r="E748" s="206" t="str">
        <f>IF(AND(A748&lt;&gt;"",ISNUMBER(A748)),VLOOKUP(A748,Studies!A:BR,5,FALSE),"")</f>
        <v>Rifampicin</v>
      </c>
      <c r="F748" s="207" t="str">
        <f>IF(AND(A748&lt;&gt;"",ISNUMBER(A748)),VLOOKUP(A748,Studies!A:BR,6,FALSE),"")</f>
        <v>Plasma</v>
      </c>
      <c r="G748" s="194">
        <v>8</v>
      </c>
      <c r="H748" s="194" t="s">
        <v>60</v>
      </c>
      <c r="I748" s="187">
        <v>2.860055685043335</v>
      </c>
      <c r="J748" s="187" t="s">
        <v>1057</v>
      </c>
      <c r="K748" s="187" t="s">
        <v>116</v>
      </c>
      <c r="L748" s="195"/>
      <c r="M748" s="195"/>
      <c r="N748" s="195"/>
      <c r="O748" s="199"/>
      <c r="P748" s="188"/>
      <c r="Q748" s="174">
        <f>IF(ISNUMBER(VLOOKUP(A748,NotghiID!A:A,1,FALSE)),1,0)</f>
        <v>0</v>
      </c>
    </row>
    <row r="749" spans="1:17" ht="14.25" x14ac:dyDescent="0.2">
      <c r="A749" s="183">
        <v>101</v>
      </c>
      <c r="B749" s="232" t="str">
        <f>IF(AND(A749&lt;&gt;"",ISNUMBER(A749)),VLOOKUP(A749,Studies!A:BR,2,FALSE),"")</f>
        <v>Blume 1989</v>
      </c>
      <c r="C749" s="232" t="str">
        <f>IF(AND(A749&lt;&gt;"",ISNUMBER(A749)),VLOOKUP(A749,Studies!A:BR,3,FALSE),"")</f>
        <v>https://doi.org/10.1002/pauz.19900190516</v>
      </c>
      <c r="D749" s="232" t="str">
        <f>IF(AND(A749&lt;&gt;"",ISNUMBER(A749)),VLOOKUP(A749,Studies!A:BR,4,FALSE),"")</f>
        <v>600 mg REFERENZ</v>
      </c>
      <c r="E749" s="206" t="str">
        <f>IF(AND(A749&lt;&gt;"",ISNUMBER(A749)),VLOOKUP(A749,Studies!A:BR,5,FALSE),"")</f>
        <v>Rifampicin</v>
      </c>
      <c r="F749" s="207" t="str">
        <f>IF(AND(A749&lt;&gt;"",ISNUMBER(A749)),VLOOKUP(A749,Studies!A:BR,6,FALSE),"")</f>
        <v>Plasma</v>
      </c>
      <c r="G749" s="194">
        <v>10</v>
      </c>
      <c r="H749" s="194" t="s">
        <v>60</v>
      </c>
      <c r="I749" s="187">
        <v>1.6610060930252075</v>
      </c>
      <c r="J749" s="187" t="s">
        <v>1057</v>
      </c>
      <c r="K749" s="187" t="s">
        <v>116</v>
      </c>
      <c r="L749" s="195"/>
      <c r="M749" s="195"/>
      <c r="N749" s="195"/>
      <c r="O749" s="199"/>
      <c r="P749" s="188"/>
      <c r="Q749" s="174">
        <f>IF(ISNUMBER(VLOOKUP(A749,NotghiID!A:A,1,FALSE)),1,0)</f>
        <v>0</v>
      </c>
    </row>
    <row r="750" spans="1:17" ht="14.25" x14ac:dyDescent="0.2">
      <c r="A750" s="183">
        <v>101</v>
      </c>
      <c r="B750" s="232" t="str">
        <f>IF(AND(A750&lt;&gt;"",ISNUMBER(A750)),VLOOKUP(A750,Studies!A:BR,2,FALSE),"")</f>
        <v>Blume 1989</v>
      </c>
      <c r="C750" s="232" t="str">
        <f>IF(AND(A750&lt;&gt;"",ISNUMBER(A750)),VLOOKUP(A750,Studies!A:BR,3,FALSE),"")</f>
        <v>https://doi.org/10.1002/pauz.19900190516</v>
      </c>
      <c r="D750" s="232" t="str">
        <f>IF(AND(A750&lt;&gt;"",ISNUMBER(A750)),VLOOKUP(A750,Studies!A:BR,4,FALSE),"")</f>
        <v>600 mg REFERENZ</v>
      </c>
      <c r="E750" s="206" t="str">
        <f>IF(AND(A750&lt;&gt;"",ISNUMBER(A750)),VLOOKUP(A750,Studies!A:BR,5,FALSE),"")</f>
        <v>Rifampicin</v>
      </c>
      <c r="F750" s="207" t="str">
        <f>IF(AND(A750&lt;&gt;"",ISNUMBER(A750)),VLOOKUP(A750,Studies!A:BR,6,FALSE),"")</f>
        <v>Plasma</v>
      </c>
      <c r="G750" s="194">
        <v>12</v>
      </c>
      <c r="H750" s="194" t="s">
        <v>60</v>
      </c>
      <c r="I750" s="187">
        <v>1.0509854555130005</v>
      </c>
      <c r="J750" s="187" t="s">
        <v>1057</v>
      </c>
      <c r="K750" s="187" t="s">
        <v>116</v>
      </c>
      <c r="L750" s="195"/>
      <c r="M750" s="195"/>
      <c r="N750" s="195"/>
      <c r="O750" s="199"/>
      <c r="P750" s="188"/>
      <c r="Q750" s="174">
        <f>IF(ISNUMBER(VLOOKUP(A750,NotghiID!A:A,1,FALSE)),1,0)</f>
        <v>0</v>
      </c>
    </row>
    <row r="751" spans="1:17" ht="14.25" x14ac:dyDescent="0.2">
      <c r="A751" s="183">
        <v>101</v>
      </c>
      <c r="B751" s="232" t="str">
        <f>IF(AND(A751&lt;&gt;"",ISNUMBER(A751)),VLOOKUP(A751,Studies!A:BR,2,FALSE),"")</f>
        <v>Blume 1989</v>
      </c>
      <c r="C751" s="232" t="str">
        <f>IF(AND(A751&lt;&gt;"",ISNUMBER(A751)),VLOOKUP(A751,Studies!A:BR,3,FALSE),"")</f>
        <v>https://doi.org/10.1002/pauz.19900190516</v>
      </c>
      <c r="D751" s="232" t="str">
        <f>IF(AND(A751&lt;&gt;"",ISNUMBER(A751)),VLOOKUP(A751,Studies!A:BR,4,FALSE),"")</f>
        <v>600 mg REFERENZ</v>
      </c>
      <c r="E751" s="206" t="str">
        <f>IF(AND(A751&lt;&gt;"",ISNUMBER(A751)),VLOOKUP(A751,Studies!A:BR,5,FALSE),"")</f>
        <v>Rifampicin</v>
      </c>
      <c r="F751" s="207" t="str">
        <f>IF(AND(A751&lt;&gt;"",ISNUMBER(A751)),VLOOKUP(A751,Studies!A:BR,6,FALSE),"")</f>
        <v>Plasma</v>
      </c>
      <c r="G751" s="194">
        <v>16</v>
      </c>
      <c r="H751" s="194" t="s">
        <v>60</v>
      </c>
      <c r="I751" s="187">
        <v>0.22484634816646576</v>
      </c>
      <c r="J751" s="187" t="s">
        <v>1057</v>
      </c>
      <c r="K751" s="187" t="s">
        <v>116</v>
      </c>
      <c r="L751" s="195"/>
      <c r="M751" s="195"/>
      <c r="N751" s="195"/>
      <c r="O751" s="199"/>
      <c r="P751" s="188"/>
      <c r="Q751" s="174">
        <f>IF(ISNUMBER(VLOOKUP(A751,NotghiID!A:A,1,FALSE)),1,0)</f>
        <v>0</v>
      </c>
    </row>
    <row r="752" spans="1:17" ht="14.25" x14ac:dyDescent="0.2">
      <c r="A752" s="183">
        <v>247</v>
      </c>
      <c r="B752" s="232" t="str">
        <f>IF(AND(A752&lt;&gt;"",ISNUMBER(A752)),VLOOKUP(A752,Studies!A:BR,2,FALSE),"")</f>
        <v>Heizmann 1983</v>
      </c>
      <c r="C752" s="232" t="str">
        <f>IF(AND(A752&lt;&gt;"",ISNUMBER(A752)),VLOOKUP(A752,Studies!A:BR,3,FALSE),"")</f>
        <v>http://www.ncbi.nlm.nih.gov/pubmed/6138080</v>
      </c>
      <c r="D752" s="232" t="str">
        <f>IF(AND(A752&lt;&gt;"",ISNUMBER(A752)),VLOOKUP(A752,Studies!A:BR,4,FALSE),"")</f>
        <v>iv 0.15 mg/kg - Indiv. A.St.</v>
      </c>
      <c r="E752" s="206" t="str">
        <f>IF(AND(A752&lt;&gt;"",ISNUMBER(A752)),VLOOKUP(A752,Studies!A:BR,5,FALSE),"")</f>
        <v>Midazolam</v>
      </c>
      <c r="F752" s="207" t="str">
        <f>IF(AND(A752&lt;&gt;"",ISNUMBER(A752)),VLOOKUP(A752,Studies!A:BR,6,FALSE),"")</f>
        <v>Plasma</v>
      </c>
      <c r="G752" s="194">
        <v>8.3333329999999997E-2</v>
      </c>
      <c r="H752" s="194" t="s">
        <v>60</v>
      </c>
      <c r="I752" s="187">
        <v>314</v>
      </c>
      <c r="J752" s="187" t="s">
        <v>1026</v>
      </c>
      <c r="K752" s="187" t="s">
        <v>264</v>
      </c>
      <c r="L752" s="195"/>
      <c r="M752" s="195"/>
      <c r="N752" s="195"/>
      <c r="O752" s="199"/>
      <c r="P752" s="188"/>
      <c r="Q752" s="174">
        <f>IF(ISNUMBER(VLOOKUP(A752,NotghiID!A:A,1,FALSE)),1,0)</f>
        <v>0</v>
      </c>
    </row>
    <row r="753" spans="1:17" ht="14.25" x14ac:dyDescent="0.2">
      <c r="A753" s="183">
        <v>247</v>
      </c>
      <c r="B753" s="232" t="str">
        <f>IF(AND(A753&lt;&gt;"",ISNUMBER(A753)),VLOOKUP(A753,Studies!A:BR,2,FALSE),"")</f>
        <v>Heizmann 1983</v>
      </c>
      <c r="C753" s="232" t="str">
        <f>IF(AND(A753&lt;&gt;"",ISNUMBER(A753)),VLOOKUP(A753,Studies!A:BR,3,FALSE),"")</f>
        <v>http://www.ncbi.nlm.nih.gov/pubmed/6138080</v>
      </c>
      <c r="D753" s="232" t="str">
        <f>IF(AND(A753&lt;&gt;"",ISNUMBER(A753)),VLOOKUP(A753,Studies!A:BR,4,FALSE),"")</f>
        <v>iv 0.15 mg/kg - Indiv. A.St.</v>
      </c>
      <c r="E753" s="206" t="str">
        <f>IF(AND(A753&lt;&gt;"",ISNUMBER(A753)),VLOOKUP(A753,Studies!A:BR,5,FALSE),"")</f>
        <v>Midazolam</v>
      </c>
      <c r="F753" s="207" t="str">
        <f>IF(AND(A753&lt;&gt;"",ISNUMBER(A753)),VLOOKUP(A753,Studies!A:BR,6,FALSE),"")</f>
        <v>Plasma</v>
      </c>
      <c r="G753" s="194">
        <v>0.16666666999999999</v>
      </c>
      <c r="H753" s="194" t="s">
        <v>60</v>
      </c>
      <c r="I753" s="187">
        <v>233</v>
      </c>
      <c r="J753" s="187" t="s">
        <v>1026</v>
      </c>
      <c r="K753" s="187" t="s">
        <v>264</v>
      </c>
      <c r="L753" s="195"/>
      <c r="M753" s="195"/>
      <c r="N753" s="195"/>
      <c r="O753" s="199"/>
      <c r="P753" s="188"/>
      <c r="Q753" s="174">
        <f>IF(ISNUMBER(VLOOKUP(A753,NotghiID!A:A,1,FALSE)),1,0)</f>
        <v>0</v>
      </c>
    </row>
    <row r="754" spans="1:17" ht="14.25" x14ac:dyDescent="0.2">
      <c r="A754" s="183">
        <v>247</v>
      </c>
      <c r="B754" s="232" t="str">
        <f>IF(AND(A754&lt;&gt;"",ISNUMBER(A754)),VLOOKUP(A754,Studies!A:BR,2,FALSE),"")</f>
        <v>Heizmann 1983</v>
      </c>
      <c r="C754" s="232" t="str">
        <f>IF(AND(A754&lt;&gt;"",ISNUMBER(A754)),VLOOKUP(A754,Studies!A:BR,3,FALSE),"")</f>
        <v>http://www.ncbi.nlm.nih.gov/pubmed/6138080</v>
      </c>
      <c r="D754" s="232" t="str">
        <f>IF(AND(A754&lt;&gt;"",ISNUMBER(A754)),VLOOKUP(A754,Studies!A:BR,4,FALSE),"")</f>
        <v>iv 0.15 mg/kg - Indiv. A.St.</v>
      </c>
      <c r="E754" s="206" t="str">
        <f>IF(AND(A754&lt;&gt;"",ISNUMBER(A754)),VLOOKUP(A754,Studies!A:BR,5,FALSE),"")</f>
        <v>Midazolam</v>
      </c>
      <c r="F754" s="207" t="str">
        <f>IF(AND(A754&lt;&gt;"",ISNUMBER(A754)),VLOOKUP(A754,Studies!A:BR,6,FALSE),"")</f>
        <v>Plasma</v>
      </c>
      <c r="G754" s="194">
        <v>0.25</v>
      </c>
      <c r="H754" s="194" t="s">
        <v>60</v>
      </c>
      <c r="I754" s="187">
        <v>183</v>
      </c>
      <c r="J754" s="187" t="s">
        <v>1026</v>
      </c>
      <c r="K754" s="187" t="s">
        <v>264</v>
      </c>
      <c r="L754" s="195"/>
      <c r="M754" s="195"/>
      <c r="N754" s="195"/>
      <c r="O754" s="199"/>
      <c r="P754" s="188"/>
      <c r="Q754" s="174">
        <f>IF(ISNUMBER(VLOOKUP(A754,NotghiID!A:A,1,FALSE)),1,0)</f>
        <v>0</v>
      </c>
    </row>
    <row r="755" spans="1:17" ht="14.25" x14ac:dyDescent="0.2">
      <c r="A755" s="183">
        <v>247</v>
      </c>
      <c r="B755" s="232" t="str">
        <f>IF(AND(A755&lt;&gt;"",ISNUMBER(A755)),VLOOKUP(A755,Studies!A:BR,2,FALSE),"")</f>
        <v>Heizmann 1983</v>
      </c>
      <c r="C755" s="232" t="str">
        <f>IF(AND(A755&lt;&gt;"",ISNUMBER(A755)),VLOOKUP(A755,Studies!A:BR,3,FALSE),"")</f>
        <v>http://www.ncbi.nlm.nih.gov/pubmed/6138080</v>
      </c>
      <c r="D755" s="232" t="str">
        <f>IF(AND(A755&lt;&gt;"",ISNUMBER(A755)),VLOOKUP(A755,Studies!A:BR,4,FALSE),"")</f>
        <v>iv 0.15 mg/kg - Indiv. A.St.</v>
      </c>
      <c r="E755" s="206" t="str">
        <f>IF(AND(A755&lt;&gt;"",ISNUMBER(A755)),VLOOKUP(A755,Studies!A:BR,5,FALSE),"")</f>
        <v>Midazolam</v>
      </c>
      <c r="F755" s="207" t="str">
        <f>IF(AND(A755&lt;&gt;"",ISNUMBER(A755)),VLOOKUP(A755,Studies!A:BR,6,FALSE),"")</f>
        <v>Plasma</v>
      </c>
      <c r="G755" s="194">
        <v>0.5</v>
      </c>
      <c r="H755" s="194" t="s">
        <v>60</v>
      </c>
      <c r="I755" s="187">
        <v>183</v>
      </c>
      <c r="J755" s="187" t="s">
        <v>1026</v>
      </c>
      <c r="K755" s="187" t="s">
        <v>264</v>
      </c>
      <c r="L755" s="195"/>
      <c r="M755" s="195"/>
      <c r="N755" s="195"/>
      <c r="O755" s="199"/>
      <c r="P755" s="188"/>
      <c r="Q755" s="174">
        <f>IF(ISNUMBER(VLOOKUP(A755,NotghiID!A:A,1,FALSE)),1,0)</f>
        <v>0</v>
      </c>
    </row>
    <row r="756" spans="1:17" ht="14.25" x14ac:dyDescent="0.2">
      <c r="A756" s="183">
        <v>247</v>
      </c>
      <c r="B756" s="232" t="str">
        <f>IF(AND(A756&lt;&gt;"",ISNUMBER(A756)),VLOOKUP(A756,Studies!A:BR,2,FALSE),"")</f>
        <v>Heizmann 1983</v>
      </c>
      <c r="C756" s="232" t="str">
        <f>IF(AND(A756&lt;&gt;"",ISNUMBER(A756)),VLOOKUP(A756,Studies!A:BR,3,FALSE),"")</f>
        <v>http://www.ncbi.nlm.nih.gov/pubmed/6138080</v>
      </c>
      <c r="D756" s="232" t="str">
        <f>IF(AND(A756&lt;&gt;"",ISNUMBER(A756)),VLOOKUP(A756,Studies!A:BR,4,FALSE),"")</f>
        <v>iv 0.15 mg/kg - Indiv. A.St.</v>
      </c>
      <c r="E756" s="206" t="str">
        <f>IF(AND(A756&lt;&gt;"",ISNUMBER(A756)),VLOOKUP(A756,Studies!A:BR,5,FALSE),"")</f>
        <v>Midazolam</v>
      </c>
      <c r="F756" s="207" t="str">
        <f>IF(AND(A756&lt;&gt;"",ISNUMBER(A756)),VLOOKUP(A756,Studies!A:BR,6,FALSE),"")</f>
        <v>Plasma</v>
      </c>
      <c r="G756" s="194">
        <v>0.75</v>
      </c>
      <c r="H756" s="194" t="s">
        <v>60</v>
      </c>
      <c r="I756" s="187">
        <v>138</v>
      </c>
      <c r="J756" s="187" t="s">
        <v>1026</v>
      </c>
      <c r="K756" s="187" t="s">
        <v>264</v>
      </c>
      <c r="L756" s="195"/>
      <c r="M756" s="195"/>
      <c r="N756" s="195"/>
      <c r="O756" s="199"/>
      <c r="P756" s="188"/>
      <c r="Q756" s="174">
        <f>IF(ISNUMBER(VLOOKUP(A756,NotghiID!A:A,1,FALSE)),1,0)</f>
        <v>0</v>
      </c>
    </row>
    <row r="757" spans="1:17" ht="14.25" x14ac:dyDescent="0.2">
      <c r="A757" s="183">
        <v>247</v>
      </c>
      <c r="B757" s="232" t="str">
        <f>IF(AND(A757&lt;&gt;"",ISNUMBER(A757)),VLOOKUP(A757,Studies!A:BR,2,FALSE),"")</f>
        <v>Heizmann 1983</v>
      </c>
      <c r="C757" s="232" t="str">
        <f>IF(AND(A757&lt;&gt;"",ISNUMBER(A757)),VLOOKUP(A757,Studies!A:BR,3,FALSE),"")</f>
        <v>http://www.ncbi.nlm.nih.gov/pubmed/6138080</v>
      </c>
      <c r="D757" s="232" t="str">
        <f>IF(AND(A757&lt;&gt;"",ISNUMBER(A757)),VLOOKUP(A757,Studies!A:BR,4,FALSE),"")</f>
        <v>iv 0.15 mg/kg - Indiv. A.St.</v>
      </c>
      <c r="E757" s="206" t="str">
        <f>IF(AND(A757&lt;&gt;"",ISNUMBER(A757)),VLOOKUP(A757,Studies!A:BR,5,FALSE),"")</f>
        <v>Midazolam</v>
      </c>
      <c r="F757" s="207" t="str">
        <f>IF(AND(A757&lt;&gt;"",ISNUMBER(A757)),VLOOKUP(A757,Studies!A:BR,6,FALSE),"")</f>
        <v>Plasma</v>
      </c>
      <c r="G757" s="194">
        <v>1</v>
      </c>
      <c r="H757" s="194" t="s">
        <v>60</v>
      </c>
      <c r="I757" s="187">
        <v>107</v>
      </c>
      <c r="J757" s="187" t="s">
        <v>1026</v>
      </c>
      <c r="K757" s="187" t="s">
        <v>264</v>
      </c>
      <c r="L757" s="195"/>
      <c r="M757" s="195"/>
      <c r="N757" s="195"/>
      <c r="O757" s="199"/>
      <c r="P757" s="188"/>
      <c r="Q757" s="174">
        <f>IF(ISNUMBER(VLOOKUP(A757,NotghiID!A:A,1,FALSE)),1,0)</f>
        <v>0</v>
      </c>
    </row>
    <row r="758" spans="1:17" ht="14.25" x14ac:dyDescent="0.2">
      <c r="A758" s="183">
        <v>247</v>
      </c>
      <c r="B758" s="232" t="str">
        <f>IF(AND(A758&lt;&gt;"",ISNUMBER(A758)),VLOOKUP(A758,Studies!A:BR,2,FALSE),"")</f>
        <v>Heizmann 1983</v>
      </c>
      <c r="C758" s="232" t="str">
        <f>IF(AND(A758&lt;&gt;"",ISNUMBER(A758)),VLOOKUP(A758,Studies!A:BR,3,FALSE),"")</f>
        <v>http://www.ncbi.nlm.nih.gov/pubmed/6138080</v>
      </c>
      <c r="D758" s="232" t="str">
        <f>IF(AND(A758&lt;&gt;"",ISNUMBER(A758)),VLOOKUP(A758,Studies!A:BR,4,FALSE),"")</f>
        <v>iv 0.15 mg/kg - Indiv. A.St.</v>
      </c>
      <c r="E758" s="206" t="str">
        <f>IF(AND(A758&lt;&gt;"",ISNUMBER(A758)),VLOOKUP(A758,Studies!A:BR,5,FALSE),"")</f>
        <v>Midazolam</v>
      </c>
      <c r="F758" s="207" t="str">
        <f>IF(AND(A758&lt;&gt;"",ISNUMBER(A758)),VLOOKUP(A758,Studies!A:BR,6,FALSE),"")</f>
        <v>Plasma</v>
      </c>
      <c r="G758" s="194">
        <v>1.5</v>
      </c>
      <c r="H758" s="194" t="s">
        <v>60</v>
      </c>
      <c r="I758" s="187">
        <v>69</v>
      </c>
      <c r="J758" s="187" t="s">
        <v>1026</v>
      </c>
      <c r="K758" s="187" t="s">
        <v>264</v>
      </c>
      <c r="L758" s="195"/>
      <c r="M758" s="195"/>
      <c r="N758" s="195"/>
      <c r="O758" s="199"/>
      <c r="P758" s="188"/>
      <c r="Q758" s="174">
        <f>IF(ISNUMBER(VLOOKUP(A758,NotghiID!A:A,1,FALSE)),1,0)</f>
        <v>0</v>
      </c>
    </row>
    <row r="759" spans="1:17" ht="14.25" x14ac:dyDescent="0.2">
      <c r="A759" s="183">
        <v>247</v>
      </c>
      <c r="B759" s="232" t="str">
        <f>IF(AND(A759&lt;&gt;"",ISNUMBER(A759)),VLOOKUP(A759,Studies!A:BR,2,FALSE),"")</f>
        <v>Heizmann 1983</v>
      </c>
      <c r="C759" s="232" t="str">
        <f>IF(AND(A759&lt;&gt;"",ISNUMBER(A759)),VLOOKUP(A759,Studies!A:BR,3,FALSE),"")</f>
        <v>http://www.ncbi.nlm.nih.gov/pubmed/6138080</v>
      </c>
      <c r="D759" s="232" t="str">
        <f>IF(AND(A759&lt;&gt;"",ISNUMBER(A759)),VLOOKUP(A759,Studies!A:BR,4,FALSE),"")</f>
        <v>iv 0.15 mg/kg - Indiv. A.St.</v>
      </c>
      <c r="E759" s="206" t="str">
        <f>IF(AND(A759&lt;&gt;"",ISNUMBER(A759)),VLOOKUP(A759,Studies!A:BR,5,FALSE),"")</f>
        <v>Midazolam</v>
      </c>
      <c r="F759" s="207" t="str">
        <f>IF(AND(A759&lt;&gt;"",ISNUMBER(A759)),VLOOKUP(A759,Studies!A:BR,6,FALSE),"")</f>
        <v>Plasma</v>
      </c>
      <c r="G759" s="194">
        <v>2</v>
      </c>
      <c r="H759" s="194" t="s">
        <v>60</v>
      </c>
      <c r="I759" s="187">
        <v>56</v>
      </c>
      <c r="J759" s="187" t="s">
        <v>1026</v>
      </c>
      <c r="K759" s="187" t="s">
        <v>264</v>
      </c>
      <c r="L759" s="195"/>
      <c r="M759" s="195"/>
      <c r="N759" s="195"/>
      <c r="O759" s="199"/>
      <c r="P759" s="188"/>
      <c r="Q759" s="174">
        <f>IF(ISNUMBER(VLOOKUP(A759,NotghiID!A:A,1,FALSE)),1,0)</f>
        <v>0</v>
      </c>
    </row>
    <row r="760" spans="1:17" ht="14.25" x14ac:dyDescent="0.2">
      <c r="A760" s="183">
        <v>247</v>
      </c>
      <c r="B760" s="232" t="str">
        <f>IF(AND(A760&lt;&gt;"",ISNUMBER(A760)),VLOOKUP(A760,Studies!A:BR,2,FALSE),"")</f>
        <v>Heizmann 1983</v>
      </c>
      <c r="C760" s="232" t="str">
        <f>IF(AND(A760&lt;&gt;"",ISNUMBER(A760)),VLOOKUP(A760,Studies!A:BR,3,FALSE),"")</f>
        <v>http://www.ncbi.nlm.nih.gov/pubmed/6138080</v>
      </c>
      <c r="D760" s="232" t="str">
        <f>IF(AND(A760&lt;&gt;"",ISNUMBER(A760)),VLOOKUP(A760,Studies!A:BR,4,FALSE),"")</f>
        <v>iv 0.15 mg/kg - Indiv. A.St.</v>
      </c>
      <c r="E760" s="206" t="str">
        <f>IF(AND(A760&lt;&gt;"",ISNUMBER(A760)),VLOOKUP(A760,Studies!A:BR,5,FALSE),"")</f>
        <v>Midazolam</v>
      </c>
      <c r="F760" s="207" t="str">
        <f>IF(AND(A760&lt;&gt;"",ISNUMBER(A760)),VLOOKUP(A760,Studies!A:BR,6,FALSE),"")</f>
        <v>Plasma</v>
      </c>
      <c r="G760" s="194">
        <v>3</v>
      </c>
      <c r="H760" s="194" t="s">
        <v>60</v>
      </c>
      <c r="I760" s="187">
        <v>37</v>
      </c>
      <c r="J760" s="187" t="s">
        <v>1026</v>
      </c>
      <c r="K760" s="187" t="s">
        <v>264</v>
      </c>
      <c r="L760" s="195"/>
      <c r="M760" s="195"/>
      <c r="N760" s="195"/>
      <c r="O760" s="199"/>
      <c r="P760" s="188"/>
      <c r="Q760" s="174">
        <f>IF(ISNUMBER(VLOOKUP(A760,NotghiID!A:A,1,FALSE)),1,0)</f>
        <v>0</v>
      </c>
    </row>
    <row r="761" spans="1:17" ht="14.25" x14ac:dyDescent="0.2">
      <c r="A761" s="183">
        <v>247</v>
      </c>
      <c r="B761" s="232" t="str">
        <f>IF(AND(A761&lt;&gt;"",ISNUMBER(A761)),VLOOKUP(A761,Studies!A:BR,2,FALSE),"")</f>
        <v>Heizmann 1983</v>
      </c>
      <c r="C761" s="232" t="str">
        <f>IF(AND(A761&lt;&gt;"",ISNUMBER(A761)),VLOOKUP(A761,Studies!A:BR,3,FALSE),"")</f>
        <v>http://www.ncbi.nlm.nih.gov/pubmed/6138080</v>
      </c>
      <c r="D761" s="232" t="str">
        <f>IF(AND(A761&lt;&gt;"",ISNUMBER(A761)),VLOOKUP(A761,Studies!A:BR,4,FALSE),"")</f>
        <v>iv 0.15 mg/kg - Indiv. A.St.</v>
      </c>
      <c r="E761" s="206" t="str">
        <f>IF(AND(A761&lt;&gt;"",ISNUMBER(A761)),VLOOKUP(A761,Studies!A:BR,5,FALSE),"")</f>
        <v>Midazolam</v>
      </c>
      <c r="F761" s="207" t="str">
        <f>IF(AND(A761&lt;&gt;"",ISNUMBER(A761)),VLOOKUP(A761,Studies!A:BR,6,FALSE),"")</f>
        <v>Plasma</v>
      </c>
      <c r="G761" s="194">
        <v>4</v>
      </c>
      <c r="H761" s="194" t="s">
        <v>60</v>
      </c>
      <c r="I761" s="187">
        <v>23</v>
      </c>
      <c r="J761" s="187" t="s">
        <v>1026</v>
      </c>
      <c r="K761" s="187" t="s">
        <v>264</v>
      </c>
      <c r="L761" s="195"/>
      <c r="M761" s="195"/>
      <c r="N761" s="195"/>
      <c r="O761" s="199"/>
      <c r="P761" s="188"/>
      <c r="Q761" s="174">
        <f>IF(ISNUMBER(VLOOKUP(A761,NotghiID!A:A,1,FALSE)),1,0)</f>
        <v>0</v>
      </c>
    </row>
    <row r="762" spans="1:17" ht="14.25" x14ac:dyDescent="0.2">
      <c r="A762" s="183">
        <v>247</v>
      </c>
      <c r="B762" s="232" t="str">
        <f>IF(AND(A762&lt;&gt;"",ISNUMBER(A762)),VLOOKUP(A762,Studies!A:BR,2,FALSE),"")</f>
        <v>Heizmann 1983</v>
      </c>
      <c r="C762" s="232" t="str">
        <f>IF(AND(A762&lt;&gt;"",ISNUMBER(A762)),VLOOKUP(A762,Studies!A:BR,3,FALSE),"")</f>
        <v>http://www.ncbi.nlm.nih.gov/pubmed/6138080</v>
      </c>
      <c r="D762" s="232" t="str">
        <f>IF(AND(A762&lt;&gt;"",ISNUMBER(A762)),VLOOKUP(A762,Studies!A:BR,4,FALSE),"")</f>
        <v>iv 0.15 mg/kg - Indiv. A.St.</v>
      </c>
      <c r="E762" s="206" t="str">
        <f>IF(AND(A762&lt;&gt;"",ISNUMBER(A762)),VLOOKUP(A762,Studies!A:BR,5,FALSE),"")</f>
        <v>Midazolam</v>
      </c>
      <c r="F762" s="207" t="str">
        <f>IF(AND(A762&lt;&gt;"",ISNUMBER(A762)),VLOOKUP(A762,Studies!A:BR,6,FALSE),"")</f>
        <v>Plasma</v>
      </c>
      <c r="G762" s="194">
        <v>5</v>
      </c>
      <c r="H762" s="194" t="s">
        <v>60</v>
      </c>
      <c r="I762" s="187">
        <v>18</v>
      </c>
      <c r="J762" s="187" t="s">
        <v>1026</v>
      </c>
      <c r="K762" s="187" t="s">
        <v>264</v>
      </c>
      <c r="L762" s="195"/>
      <c r="M762" s="195"/>
      <c r="N762" s="195"/>
      <c r="O762" s="199"/>
      <c r="P762" s="188"/>
      <c r="Q762" s="174">
        <f>IF(ISNUMBER(VLOOKUP(A762,NotghiID!A:A,1,FALSE)),1,0)</f>
        <v>0</v>
      </c>
    </row>
    <row r="763" spans="1:17" ht="14.25" x14ac:dyDescent="0.2">
      <c r="A763" s="183">
        <v>247</v>
      </c>
      <c r="B763" s="232" t="str">
        <f>IF(AND(A763&lt;&gt;"",ISNUMBER(A763)),VLOOKUP(A763,Studies!A:BR,2,FALSE),"")</f>
        <v>Heizmann 1983</v>
      </c>
      <c r="C763" s="232" t="str">
        <f>IF(AND(A763&lt;&gt;"",ISNUMBER(A763)),VLOOKUP(A763,Studies!A:BR,3,FALSE),"")</f>
        <v>http://www.ncbi.nlm.nih.gov/pubmed/6138080</v>
      </c>
      <c r="D763" s="232" t="str">
        <f>IF(AND(A763&lt;&gt;"",ISNUMBER(A763)),VLOOKUP(A763,Studies!A:BR,4,FALSE),"")</f>
        <v>iv 0.15 mg/kg - Indiv. A.St.</v>
      </c>
      <c r="E763" s="206" t="str">
        <f>IF(AND(A763&lt;&gt;"",ISNUMBER(A763)),VLOOKUP(A763,Studies!A:BR,5,FALSE),"")</f>
        <v>Midazolam</v>
      </c>
      <c r="F763" s="207" t="str">
        <f>IF(AND(A763&lt;&gt;"",ISNUMBER(A763)),VLOOKUP(A763,Studies!A:BR,6,FALSE),"")</f>
        <v>Plasma</v>
      </c>
      <c r="G763" s="194">
        <v>6</v>
      </c>
      <c r="H763" s="194" t="s">
        <v>60</v>
      </c>
      <c r="I763" s="187">
        <v>14</v>
      </c>
      <c r="J763" s="187" t="s">
        <v>1026</v>
      </c>
      <c r="K763" s="187" t="s">
        <v>264</v>
      </c>
      <c r="L763" s="195"/>
      <c r="M763" s="195"/>
      <c r="N763" s="195"/>
      <c r="O763" s="199"/>
      <c r="P763" s="188"/>
      <c r="Q763" s="174">
        <f>IF(ISNUMBER(VLOOKUP(A763,NotghiID!A:A,1,FALSE)),1,0)</f>
        <v>0</v>
      </c>
    </row>
    <row r="764" spans="1:17" ht="14.25" x14ac:dyDescent="0.2">
      <c r="A764" s="183">
        <v>247</v>
      </c>
      <c r="B764" s="232" t="str">
        <f>IF(AND(A764&lt;&gt;"",ISNUMBER(A764)),VLOOKUP(A764,Studies!A:BR,2,FALSE),"")</f>
        <v>Heizmann 1983</v>
      </c>
      <c r="C764" s="232" t="str">
        <f>IF(AND(A764&lt;&gt;"",ISNUMBER(A764)),VLOOKUP(A764,Studies!A:BR,3,FALSE),"")</f>
        <v>http://www.ncbi.nlm.nih.gov/pubmed/6138080</v>
      </c>
      <c r="D764" s="232" t="str">
        <f>IF(AND(A764&lt;&gt;"",ISNUMBER(A764)),VLOOKUP(A764,Studies!A:BR,4,FALSE),"")</f>
        <v>iv 0.15 mg/kg - Indiv. A.St.</v>
      </c>
      <c r="E764" s="206" t="str">
        <f>IF(AND(A764&lt;&gt;"",ISNUMBER(A764)),VLOOKUP(A764,Studies!A:BR,5,FALSE),"")</f>
        <v>Midazolam</v>
      </c>
      <c r="F764" s="207" t="str">
        <f>IF(AND(A764&lt;&gt;"",ISNUMBER(A764)),VLOOKUP(A764,Studies!A:BR,6,FALSE),"")</f>
        <v>Plasma</v>
      </c>
      <c r="G764" s="194">
        <v>8</v>
      </c>
      <c r="H764" s="194" t="s">
        <v>60</v>
      </c>
      <c r="I764" s="187">
        <v>8</v>
      </c>
      <c r="J764" s="187" t="s">
        <v>1026</v>
      </c>
      <c r="K764" s="187" t="s">
        <v>264</v>
      </c>
      <c r="L764" s="195"/>
      <c r="M764" s="195"/>
      <c r="N764" s="195"/>
      <c r="O764" s="199"/>
      <c r="P764" s="188"/>
      <c r="Q764" s="174">
        <f>IF(ISNUMBER(VLOOKUP(A764,NotghiID!A:A,1,FALSE)),1,0)</f>
        <v>0</v>
      </c>
    </row>
    <row r="765" spans="1:17" ht="14.25" x14ac:dyDescent="0.2">
      <c r="A765" s="183">
        <v>247</v>
      </c>
      <c r="B765" s="232" t="str">
        <f>IF(AND(A765&lt;&gt;"",ISNUMBER(A765)),VLOOKUP(A765,Studies!A:BR,2,FALSE),"")</f>
        <v>Heizmann 1983</v>
      </c>
      <c r="C765" s="232" t="str">
        <f>IF(AND(A765&lt;&gt;"",ISNUMBER(A765)),VLOOKUP(A765,Studies!A:BR,3,FALSE),"")</f>
        <v>http://www.ncbi.nlm.nih.gov/pubmed/6138080</v>
      </c>
      <c r="D765" s="232" t="str">
        <f>IF(AND(A765&lt;&gt;"",ISNUMBER(A765)),VLOOKUP(A765,Studies!A:BR,4,FALSE),"")</f>
        <v>iv 0.15 mg/kg - Indiv. A.St.</v>
      </c>
      <c r="E765" s="206" t="str">
        <f>IF(AND(A765&lt;&gt;"",ISNUMBER(A765)),VLOOKUP(A765,Studies!A:BR,5,FALSE),"")</f>
        <v>Midazolam</v>
      </c>
      <c r="F765" s="207" t="str">
        <f>IF(AND(A765&lt;&gt;"",ISNUMBER(A765)),VLOOKUP(A765,Studies!A:BR,6,FALSE),"")</f>
        <v>Plasma</v>
      </c>
      <c r="G765" s="194">
        <v>10</v>
      </c>
      <c r="H765" s="194" t="s">
        <v>60</v>
      </c>
      <c r="I765" s="187">
        <v>5</v>
      </c>
      <c r="J765" s="187" t="s">
        <v>1026</v>
      </c>
      <c r="K765" s="187" t="s">
        <v>264</v>
      </c>
      <c r="L765" s="195"/>
      <c r="M765" s="195"/>
      <c r="N765" s="195"/>
      <c r="O765" s="199"/>
      <c r="P765" s="188"/>
      <c r="Q765" s="174">
        <f>IF(ISNUMBER(VLOOKUP(A765,NotghiID!A:A,1,FALSE)),1,0)</f>
        <v>0</v>
      </c>
    </row>
    <row r="766" spans="1:17" ht="14.25" x14ac:dyDescent="0.2">
      <c r="A766" s="183">
        <v>247</v>
      </c>
      <c r="B766" s="232" t="str">
        <f>IF(AND(A766&lt;&gt;"",ISNUMBER(A766)),VLOOKUP(A766,Studies!A:BR,2,FALSE),"")</f>
        <v>Heizmann 1983</v>
      </c>
      <c r="C766" s="232" t="str">
        <f>IF(AND(A766&lt;&gt;"",ISNUMBER(A766)),VLOOKUP(A766,Studies!A:BR,3,FALSE),"")</f>
        <v>http://www.ncbi.nlm.nih.gov/pubmed/6138080</v>
      </c>
      <c r="D766" s="232" t="str">
        <f>IF(AND(A766&lt;&gt;"",ISNUMBER(A766)),VLOOKUP(A766,Studies!A:BR,4,FALSE),"")</f>
        <v>iv 0.15 mg/kg - Indiv. A.St.</v>
      </c>
      <c r="E766" s="206" t="str">
        <f>IF(AND(A766&lt;&gt;"",ISNUMBER(A766)),VLOOKUP(A766,Studies!A:BR,5,FALSE),"")</f>
        <v>Midazolam</v>
      </c>
      <c r="F766" s="207" t="str">
        <f>IF(AND(A766&lt;&gt;"",ISNUMBER(A766)),VLOOKUP(A766,Studies!A:BR,6,FALSE),"")</f>
        <v>Plasma</v>
      </c>
      <c r="G766" s="194">
        <v>12</v>
      </c>
      <c r="H766" s="194" t="s">
        <v>60</v>
      </c>
      <c r="I766" s="187" t="s">
        <v>1119</v>
      </c>
      <c r="J766" s="187" t="s">
        <v>1026</v>
      </c>
      <c r="K766" s="187" t="s">
        <v>264</v>
      </c>
      <c r="L766" s="195"/>
      <c r="M766" s="195"/>
      <c r="N766" s="195"/>
      <c r="O766" s="199">
        <v>1</v>
      </c>
      <c r="P766" s="188"/>
      <c r="Q766" s="174">
        <f>IF(ISNUMBER(VLOOKUP(A766,NotghiID!A:A,1,FALSE)),1,0)</f>
        <v>0</v>
      </c>
    </row>
    <row r="767" spans="1:17" ht="14.25" x14ac:dyDescent="0.2">
      <c r="A767" s="183">
        <v>252</v>
      </c>
      <c r="B767" s="232" t="str">
        <f>IF(AND(A767&lt;&gt;"",ISNUMBER(A767)),VLOOKUP(A767,Studies!A:BR,2,FALSE),"")</f>
        <v>Heizmann 1983</v>
      </c>
      <c r="C767" s="232" t="str">
        <f>IF(AND(A767&lt;&gt;"",ISNUMBER(A767)),VLOOKUP(A767,Studies!A:BR,3,FALSE),"")</f>
        <v>http://www.ncbi.nlm.nih.gov/pubmed/6138080</v>
      </c>
      <c r="D767" s="232" t="str">
        <f>IF(AND(A767&lt;&gt;"",ISNUMBER(A767)),VLOOKUP(A767,Studies!A:BR,4,FALSE),"")</f>
        <v>po 20 mg - Indiv. A.St.</v>
      </c>
      <c r="E767" s="206" t="str">
        <f>IF(AND(A767&lt;&gt;"",ISNUMBER(A767)),VLOOKUP(A767,Studies!A:BR,5,FALSE),"")</f>
        <v>Midazolam</v>
      </c>
      <c r="F767" s="207" t="str">
        <f>IF(AND(A767&lt;&gt;"",ISNUMBER(A767)),VLOOKUP(A767,Studies!A:BR,6,FALSE),"")</f>
        <v>Plasma</v>
      </c>
      <c r="G767" s="194">
        <v>0.25</v>
      </c>
      <c r="H767" s="194" t="s">
        <v>60</v>
      </c>
      <c r="I767" s="187">
        <v>142</v>
      </c>
      <c r="J767" s="187" t="s">
        <v>1026</v>
      </c>
      <c r="K767" s="187" t="s">
        <v>264</v>
      </c>
      <c r="L767" s="195"/>
      <c r="M767" s="195"/>
      <c r="N767" s="195"/>
      <c r="O767" s="199"/>
      <c r="P767" s="188"/>
      <c r="Q767" s="174">
        <f>IF(ISNUMBER(VLOOKUP(A767,NotghiID!A:A,1,FALSE)),1,0)</f>
        <v>0</v>
      </c>
    </row>
    <row r="768" spans="1:17" ht="14.25" x14ac:dyDescent="0.2">
      <c r="A768" s="183">
        <v>252</v>
      </c>
      <c r="B768" s="232" t="str">
        <f>IF(AND(A768&lt;&gt;"",ISNUMBER(A768)),VLOOKUP(A768,Studies!A:BR,2,FALSE),"")</f>
        <v>Heizmann 1983</v>
      </c>
      <c r="C768" s="232" t="str">
        <f>IF(AND(A768&lt;&gt;"",ISNUMBER(A768)),VLOOKUP(A768,Studies!A:BR,3,FALSE),"")</f>
        <v>http://www.ncbi.nlm.nih.gov/pubmed/6138080</v>
      </c>
      <c r="D768" s="232" t="str">
        <f>IF(AND(A768&lt;&gt;"",ISNUMBER(A768)),VLOOKUP(A768,Studies!A:BR,4,FALSE),"")</f>
        <v>po 20 mg - Indiv. A.St.</v>
      </c>
      <c r="E768" s="206" t="str">
        <f>IF(AND(A768&lt;&gt;"",ISNUMBER(A768)),VLOOKUP(A768,Studies!A:BR,5,FALSE),"")</f>
        <v>Midazolam</v>
      </c>
      <c r="F768" s="207" t="str">
        <f>IF(AND(A768&lt;&gt;"",ISNUMBER(A768)),VLOOKUP(A768,Studies!A:BR,6,FALSE),"")</f>
        <v>Plasma</v>
      </c>
      <c r="G768" s="194">
        <v>0.5</v>
      </c>
      <c r="H768" s="194" t="s">
        <v>60</v>
      </c>
      <c r="I768" s="187">
        <v>75</v>
      </c>
      <c r="J768" s="187" t="s">
        <v>1026</v>
      </c>
      <c r="K768" s="187" t="s">
        <v>264</v>
      </c>
      <c r="L768" s="195"/>
      <c r="M768" s="195"/>
      <c r="N768" s="195"/>
      <c r="O768" s="199"/>
      <c r="P768" s="188"/>
      <c r="Q768" s="174">
        <f>IF(ISNUMBER(VLOOKUP(A768,NotghiID!A:A,1,FALSE)),1,0)</f>
        <v>0</v>
      </c>
    </row>
    <row r="769" spans="1:17" ht="14.25" x14ac:dyDescent="0.2">
      <c r="A769" s="183">
        <v>252</v>
      </c>
      <c r="B769" s="232" t="str">
        <f>IF(AND(A769&lt;&gt;"",ISNUMBER(A769)),VLOOKUP(A769,Studies!A:BR,2,FALSE),"")</f>
        <v>Heizmann 1983</v>
      </c>
      <c r="C769" s="232" t="str">
        <f>IF(AND(A769&lt;&gt;"",ISNUMBER(A769)),VLOOKUP(A769,Studies!A:BR,3,FALSE),"")</f>
        <v>http://www.ncbi.nlm.nih.gov/pubmed/6138080</v>
      </c>
      <c r="D769" s="232" t="str">
        <f>IF(AND(A769&lt;&gt;"",ISNUMBER(A769)),VLOOKUP(A769,Studies!A:BR,4,FALSE),"")</f>
        <v>po 20 mg - Indiv. A.St.</v>
      </c>
      <c r="E769" s="206" t="str">
        <f>IF(AND(A769&lt;&gt;"",ISNUMBER(A769)),VLOOKUP(A769,Studies!A:BR,5,FALSE),"")</f>
        <v>Midazolam</v>
      </c>
      <c r="F769" s="207" t="str">
        <f>IF(AND(A769&lt;&gt;"",ISNUMBER(A769)),VLOOKUP(A769,Studies!A:BR,6,FALSE),"")</f>
        <v>Plasma</v>
      </c>
      <c r="G769" s="194">
        <v>0.75</v>
      </c>
      <c r="H769" s="194" t="s">
        <v>60</v>
      </c>
      <c r="I769" s="187">
        <v>53</v>
      </c>
      <c r="J769" s="187" t="s">
        <v>1026</v>
      </c>
      <c r="K769" s="187" t="s">
        <v>264</v>
      </c>
      <c r="L769" s="195"/>
      <c r="M769" s="195"/>
      <c r="N769" s="195"/>
      <c r="O769" s="199"/>
      <c r="P769" s="188"/>
      <c r="Q769" s="174">
        <f>IF(ISNUMBER(VLOOKUP(A769,NotghiID!A:A,1,FALSE)),1,0)</f>
        <v>0</v>
      </c>
    </row>
    <row r="770" spans="1:17" ht="14.25" x14ac:dyDescent="0.2">
      <c r="A770" s="183">
        <v>252</v>
      </c>
      <c r="B770" s="232" t="str">
        <f>IF(AND(A770&lt;&gt;"",ISNUMBER(A770)),VLOOKUP(A770,Studies!A:BR,2,FALSE),"")</f>
        <v>Heizmann 1983</v>
      </c>
      <c r="C770" s="232" t="str">
        <f>IF(AND(A770&lt;&gt;"",ISNUMBER(A770)),VLOOKUP(A770,Studies!A:BR,3,FALSE),"")</f>
        <v>http://www.ncbi.nlm.nih.gov/pubmed/6138080</v>
      </c>
      <c r="D770" s="232" t="str">
        <f>IF(AND(A770&lt;&gt;"",ISNUMBER(A770)),VLOOKUP(A770,Studies!A:BR,4,FALSE),"")</f>
        <v>po 20 mg - Indiv. A.St.</v>
      </c>
      <c r="E770" s="206" t="str">
        <f>IF(AND(A770&lt;&gt;"",ISNUMBER(A770)),VLOOKUP(A770,Studies!A:BR,5,FALSE),"")</f>
        <v>Midazolam</v>
      </c>
      <c r="F770" s="207" t="str">
        <f>IF(AND(A770&lt;&gt;"",ISNUMBER(A770)),VLOOKUP(A770,Studies!A:BR,6,FALSE),"")</f>
        <v>Plasma</v>
      </c>
      <c r="G770" s="194">
        <v>1</v>
      </c>
      <c r="H770" s="194" t="s">
        <v>60</v>
      </c>
      <c r="I770" s="187">
        <v>45</v>
      </c>
      <c r="J770" s="187" t="s">
        <v>1026</v>
      </c>
      <c r="K770" s="187" t="s">
        <v>264</v>
      </c>
      <c r="L770" s="195"/>
      <c r="M770" s="195"/>
      <c r="N770" s="195"/>
      <c r="O770" s="199"/>
      <c r="P770" s="188"/>
      <c r="Q770" s="174">
        <f>IF(ISNUMBER(VLOOKUP(A770,NotghiID!A:A,1,FALSE)),1,0)</f>
        <v>0</v>
      </c>
    </row>
    <row r="771" spans="1:17" ht="14.25" x14ac:dyDescent="0.2">
      <c r="A771" s="183">
        <v>252</v>
      </c>
      <c r="B771" s="232" t="str">
        <f>IF(AND(A771&lt;&gt;"",ISNUMBER(A771)),VLOOKUP(A771,Studies!A:BR,2,FALSE),"")</f>
        <v>Heizmann 1983</v>
      </c>
      <c r="C771" s="232" t="str">
        <f>IF(AND(A771&lt;&gt;"",ISNUMBER(A771)),VLOOKUP(A771,Studies!A:BR,3,FALSE),"")</f>
        <v>http://www.ncbi.nlm.nih.gov/pubmed/6138080</v>
      </c>
      <c r="D771" s="232" t="str">
        <f>IF(AND(A771&lt;&gt;"",ISNUMBER(A771)),VLOOKUP(A771,Studies!A:BR,4,FALSE),"")</f>
        <v>po 20 mg - Indiv. A.St.</v>
      </c>
      <c r="E771" s="206" t="str">
        <f>IF(AND(A771&lt;&gt;"",ISNUMBER(A771)),VLOOKUP(A771,Studies!A:BR,5,FALSE),"")</f>
        <v>Midazolam</v>
      </c>
      <c r="F771" s="207" t="str">
        <f>IF(AND(A771&lt;&gt;"",ISNUMBER(A771)),VLOOKUP(A771,Studies!A:BR,6,FALSE),"")</f>
        <v>Plasma</v>
      </c>
      <c r="G771" s="194">
        <v>1.5</v>
      </c>
      <c r="H771" s="194" t="s">
        <v>60</v>
      </c>
      <c r="I771" s="187">
        <v>26</v>
      </c>
      <c r="J771" s="187" t="s">
        <v>1026</v>
      </c>
      <c r="K771" s="187" t="s">
        <v>264</v>
      </c>
      <c r="L771" s="195"/>
      <c r="M771" s="195"/>
      <c r="N771" s="195"/>
      <c r="O771" s="199"/>
      <c r="P771" s="188"/>
      <c r="Q771" s="174">
        <f>IF(ISNUMBER(VLOOKUP(A771,NotghiID!A:A,1,FALSE)),1,0)</f>
        <v>0</v>
      </c>
    </row>
    <row r="772" spans="1:17" ht="14.25" x14ac:dyDescent="0.2">
      <c r="A772" s="183">
        <v>252</v>
      </c>
      <c r="B772" s="232" t="str">
        <f>IF(AND(A772&lt;&gt;"",ISNUMBER(A772)),VLOOKUP(A772,Studies!A:BR,2,FALSE),"")</f>
        <v>Heizmann 1983</v>
      </c>
      <c r="C772" s="232" t="str">
        <f>IF(AND(A772&lt;&gt;"",ISNUMBER(A772)),VLOOKUP(A772,Studies!A:BR,3,FALSE),"")</f>
        <v>http://www.ncbi.nlm.nih.gov/pubmed/6138080</v>
      </c>
      <c r="D772" s="232" t="str">
        <f>IF(AND(A772&lt;&gt;"",ISNUMBER(A772)),VLOOKUP(A772,Studies!A:BR,4,FALSE),"")</f>
        <v>po 20 mg - Indiv. A.St.</v>
      </c>
      <c r="E772" s="206" t="str">
        <f>IF(AND(A772&lt;&gt;"",ISNUMBER(A772)),VLOOKUP(A772,Studies!A:BR,5,FALSE),"")</f>
        <v>Midazolam</v>
      </c>
      <c r="F772" s="207" t="str">
        <f>IF(AND(A772&lt;&gt;"",ISNUMBER(A772)),VLOOKUP(A772,Studies!A:BR,6,FALSE),"")</f>
        <v>Plasma</v>
      </c>
      <c r="G772" s="194">
        <v>2</v>
      </c>
      <c r="H772" s="194" t="s">
        <v>60</v>
      </c>
      <c r="I772" s="187">
        <v>19</v>
      </c>
      <c r="J772" s="187" t="s">
        <v>1026</v>
      </c>
      <c r="K772" s="187" t="s">
        <v>264</v>
      </c>
      <c r="L772" s="195"/>
      <c r="M772" s="195"/>
      <c r="N772" s="195"/>
      <c r="O772" s="199"/>
      <c r="P772" s="188"/>
      <c r="Q772" s="174">
        <f>IF(ISNUMBER(VLOOKUP(A772,NotghiID!A:A,1,FALSE)),1,0)</f>
        <v>0</v>
      </c>
    </row>
    <row r="773" spans="1:17" ht="14.25" x14ac:dyDescent="0.2">
      <c r="A773" s="183">
        <v>252</v>
      </c>
      <c r="B773" s="232" t="str">
        <f>IF(AND(A773&lt;&gt;"",ISNUMBER(A773)),VLOOKUP(A773,Studies!A:BR,2,FALSE),"")</f>
        <v>Heizmann 1983</v>
      </c>
      <c r="C773" s="232" t="str">
        <f>IF(AND(A773&lt;&gt;"",ISNUMBER(A773)),VLOOKUP(A773,Studies!A:BR,3,FALSE),"")</f>
        <v>http://www.ncbi.nlm.nih.gov/pubmed/6138080</v>
      </c>
      <c r="D773" s="232" t="str">
        <f>IF(AND(A773&lt;&gt;"",ISNUMBER(A773)),VLOOKUP(A773,Studies!A:BR,4,FALSE),"")</f>
        <v>po 20 mg - Indiv. A.St.</v>
      </c>
      <c r="E773" s="206" t="str">
        <f>IF(AND(A773&lt;&gt;"",ISNUMBER(A773)),VLOOKUP(A773,Studies!A:BR,5,FALSE),"")</f>
        <v>Midazolam</v>
      </c>
      <c r="F773" s="207" t="str">
        <f>IF(AND(A773&lt;&gt;"",ISNUMBER(A773)),VLOOKUP(A773,Studies!A:BR,6,FALSE),"")</f>
        <v>Plasma</v>
      </c>
      <c r="G773" s="194">
        <v>3</v>
      </c>
      <c r="H773" s="194" t="s">
        <v>60</v>
      </c>
      <c r="I773" s="187">
        <v>13</v>
      </c>
      <c r="J773" s="187" t="s">
        <v>1026</v>
      </c>
      <c r="K773" s="187" t="s">
        <v>264</v>
      </c>
      <c r="L773" s="195"/>
      <c r="M773" s="195"/>
      <c r="N773" s="195"/>
      <c r="O773" s="199"/>
      <c r="P773" s="188"/>
      <c r="Q773" s="174">
        <f>IF(ISNUMBER(VLOOKUP(A773,NotghiID!A:A,1,FALSE)),1,0)</f>
        <v>0</v>
      </c>
    </row>
    <row r="774" spans="1:17" ht="14.25" x14ac:dyDescent="0.2">
      <c r="A774" s="183">
        <v>252</v>
      </c>
      <c r="B774" s="232" t="str">
        <f>IF(AND(A774&lt;&gt;"",ISNUMBER(A774)),VLOOKUP(A774,Studies!A:BR,2,FALSE),"")</f>
        <v>Heizmann 1983</v>
      </c>
      <c r="C774" s="232" t="str">
        <f>IF(AND(A774&lt;&gt;"",ISNUMBER(A774)),VLOOKUP(A774,Studies!A:BR,3,FALSE),"")</f>
        <v>http://www.ncbi.nlm.nih.gov/pubmed/6138080</v>
      </c>
      <c r="D774" s="232" t="str">
        <f>IF(AND(A774&lt;&gt;"",ISNUMBER(A774)),VLOOKUP(A774,Studies!A:BR,4,FALSE),"")</f>
        <v>po 20 mg - Indiv. A.St.</v>
      </c>
      <c r="E774" s="206" t="str">
        <f>IF(AND(A774&lt;&gt;"",ISNUMBER(A774)),VLOOKUP(A774,Studies!A:BR,5,FALSE),"")</f>
        <v>Midazolam</v>
      </c>
      <c r="F774" s="207" t="str">
        <f>IF(AND(A774&lt;&gt;"",ISNUMBER(A774)),VLOOKUP(A774,Studies!A:BR,6,FALSE),"")</f>
        <v>Plasma</v>
      </c>
      <c r="G774" s="194">
        <v>4</v>
      </c>
      <c r="H774" s="194" t="s">
        <v>60</v>
      </c>
      <c r="I774" s="187">
        <v>8</v>
      </c>
      <c r="J774" s="187" t="s">
        <v>1026</v>
      </c>
      <c r="K774" s="187" t="s">
        <v>264</v>
      </c>
      <c r="L774" s="195"/>
      <c r="M774" s="195"/>
      <c r="N774" s="195"/>
      <c r="O774" s="199"/>
      <c r="P774" s="188"/>
      <c r="Q774" s="174">
        <f>IF(ISNUMBER(VLOOKUP(A774,NotghiID!A:A,1,FALSE)),1,0)</f>
        <v>0</v>
      </c>
    </row>
    <row r="775" spans="1:17" ht="14.25" x14ac:dyDescent="0.2">
      <c r="A775" s="183">
        <v>252</v>
      </c>
      <c r="B775" s="232" t="str">
        <f>IF(AND(A775&lt;&gt;"",ISNUMBER(A775)),VLOOKUP(A775,Studies!A:BR,2,FALSE),"")</f>
        <v>Heizmann 1983</v>
      </c>
      <c r="C775" s="232" t="str">
        <f>IF(AND(A775&lt;&gt;"",ISNUMBER(A775)),VLOOKUP(A775,Studies!A:BR,3,FALSE),"")</f>
        <v>http://www.ncbi.nlm.nih.gov/pubmed/6138080</v>
      </c>
      <c r="D775" s="232" t="str">
        <f>IF(AND(A775&lt;&gt;"",ISNUMBER(A775)),VLOOKUP(A775,Studies!A:BR,4,FALSE),"")</f>
        <v>po 20 mg - Indiv. A.St.</v>
      </c>
      <c r="E775" s="206" t="str">
        <f>IF(AND(A775&lt;&gt;"",ISNUMBER(A775)),VLOOKUP(A775,Studies!A:BR,5,FALSE),"")</f>
        <v>Midazolam</v>
      </c>
      <c r="F775" s="207" t="str">
        <f>IF(AND(A775&lt;&gt;"",ISNUMBER(A775)),VLOOKUP(A775,Studies!A:BR,6,FALSE),"")</f>
        <v>Plasma</v>
      </c>
      <c r="G775" s="194">
        <v>5</v>
      </c>
      <c r="H775" s="194" t="s">
        <v>60</v>
      </c>
      <c r="I775" s="187">
        <v>6</v>
      </c>
      <c r="J775" s="187" t="s">
        <v>1026</v>
      </c>
      <c r="K775" s="187" t="s">
        <v>264</v>
      </c>
      <c r="L775" s="195"/>
      <c r="M775" s="195"/>
      <c r="N775" s="195"/>
      <c r="O775" s="199"/>
      <c r="P775" s="188"/>
      <c r="Q775" s="174">
        <f>IF(ISNUMBER(VLOOKUP(A775,NotghiID!A:A,1,FALSE)),1,0)</f>
        <v>0</v>
      </c>
    </row>
    <row r="776" spans="1:17" ht="14.25" x14ac:dyDescent="0.2">
      <c r="A776" s="183">
        <v>252</v>
      </c>
      <c r="B776" s="232" t="str">
        <f>IF(AND(A776&lt;&gt;"",ISNUMBER(A776)),VLOOKUP(A776,Studies!A:BR,2,FALSE),"")</f>
        <v>Heizmann 1983</v>
      </c>
      <c r="C776" s="232" t="str">
        <f>IF(AND(A776&lt;&gt;"",ISNUMBER(A776)),VLOOKUP(A776,Studies!A:BR,3,FALSE),"")</f>
        <v>http://www.ncbi.nlm.nih.gov/pubmed/6138080</v>
      </c>
      <c r="D776" s="232" t="str">
        <f>IF(AND(A776&lt;&gt;"",ISNUMBER(A776)),VLOOKUP(A776,Studies!A:BR,4,FALSE),"")</f>
        <v>po 20 mg - Indiv. A.St.</v>
      </c>
      <c r="E776" s="206" t="str">
        <f>IF(AND(A776&lt;&gt;"",ISNUMBER(A776)),VLOOKUP(A776,Studies!A:BR,5,FALSE),"")</f>
        <v>Midazolam</v>
      </c>
      <c r="F776" s="207" t="str">
        <f>IF(AND(A776&lt;&gt;"",ISNUMBER(A776)),VLOOKUP(A776,Studies!A:BR,6,FALSE),"")</f>
        <v>Plasma</v>
      </c>
      <c r="G776" s="194">
        <v>6</v>
      </c>
      <c r="H776" s="194" t="s">
        <v>60</v>
      </c>
      <c r="I776" s="187">
        <v>5</v>
      </c>
      <c r="J776" s="187" t="s">
        <v>1026</v>
      </c>
      <c r="K776" s="187" t="s">
        <v>264</v>
      </c>
      <c r="L776" s="195"/>
      <c r="M776" s="195"/>
      <c r="N776" s="195"/>
      <c r="O776" s="199"/>
      <c r="P776" s="188"/>
      <c r="Q776" s="174">
        <f>IF(ISNUMBER(VLOOKUP(A776,NotghiID!A:A,1,FALSE)),1,0)</f>
        <v>0</v>
      </c>
    </row>
    <row r="777" spans="1:17" ht="14.25" x14ac:dyDescent="0.2">
      <c r="A777" s="183">
        <v>252</v>
      </c>
      <c r="B777" s="232" t="str">
        <f>IF(AND(A777&lt;&gt;"",ISNUMBER(A777)),VLOOKUP(A777,Studies!A:BR,2,FALSE),"")</f>
        <v>Heizmann 1983</v>
      </c>
      <c r="C777" s="232" t="str">
        <f>IF(AND(A777&lt;&gt;"",ISNUMBER(A777)),VLOOKUP(A777,Studies!A:BR,3,FALSE),"")</f>
        <v>http://www.ncbi.nlm.nih.gov/pubmed/6138080</v>
      </c>
      <c r="D777" s="232" t="str">
        <f>IF(AND(A777&lt;&gt;"",ISNUMBER(A777)),VLOOKUP(A777,Studies!A:BR,4,FALSE),"")</f>
        <v>po 20 mg - Indiv. A.St.</v>
      </c>
      <c r="E777" s="206" t="str">
        <f>IF(AND(A777&lt;&gt;"",ISNUMBER(A777)),VLOOKUP(A777,Studies!A:BR,5,FALSE),"")</f>
        <v>Midazolam</v>
      </c>
      <c r="F777" s="207" t="str">
        <f>IF(AND(A777&lt;&gt;"",ISNUMBER(A777)),VLOOKUP(A777,Studies!A:BR,6,FALSE),"")</f>
        <v>Plasma</v>
      </c>
      <c r="G777" s="194">
        <v>8</v>
      </c>
      <c r="H777" s="194" t="s">
        <v>60</v>
      </c>
      <c r="I777" s="187" t="s">
        <v>1119</v>
      </c>
      <c r="J777" s="187" t="s">
        <v>1026</v>
      </c>
      <c r="K777" s="187" t="s">
        <v>264</v>
      </c>
      <c r="L777" s="195"/>
      <c r="M777" s="195"/>
      <c r="N777" s="195"/>
      <c r="O777" s="199">
        <v>1</v>
      </c>
      <c r="P777" s="188"/>
      <c r="Q777" s="174">
        <f>IF(ISNUMBER(VLOOKUP(A777,NotghiID!A:A,1,FALSE)),1,0)</f>
        <v>0</v>
      </c>
    </row>
    <row r="778" spans="1:17" ht="14.25" x14ac:dyDescent="0.2">
      <c r="A778" s="183">
        <v>252</v>
      </c>
      <c r="B778" s="232" t="str">
        <f>IF(AND(A778&lt;&gt;"",ISNUMBER(A778)),VLOOKUP(A778,Studies!A:BR,2,FALSE),"")</f>
        <v>Heizmann 1983</v>
      </c>
      <c r="C778" s="232" t="str">
        <f>IF(AND(A778&lt;&gt;"",ISNUMBER(A778)),VLOOKUP(A778,Studies!A:BR,3,FALSE),"")</f>
        <v>http://www.ncbi.nlm.nih.gov/pubmed/6138080</v>
      </c>
      <c r="D778" s="232" t="str">
        <f>IF(AND(A778&lt;&gt;"",ISNUMBER(A778)),VLOOKUP(A778,Studies!A:BR,4,FALSE),"")</f>
        <v>po 20 mg - Indiv. A.St.</v>
      </c>
      <c r="E778" s="206" t="str">
        <f>IF(AND(A778&lt;&gt;"",ISNUMBER(A778)),VLOOKUP(A778,Studies!A:BR,5,FALSE),"")</f>
        <v>Midazolam</v>
      </c>
      <c r="F778" s="207" t="str">
        <f>IF(AND(A778&lt;&gt;"",ISNUMBER(A778)),VLOOKUP(A778,Studies!A:BR,6,FALSE),"")</f>
        <v>Plasma</v>
      </c>
      <c r="G778" s="194">
        <v>10</v>
      </c>
      <c r="H778" s="194" t="s">
        <v>60</v>
      </c>
      <c r="I778" s="187" t="s">
        <v>1119</v>
      </c>
      <c r="J778" s="187" t="s">
        <v>1026</v>
      </c>
      <c r="K778" s="187" t="s">
        <v>264</v>
      </c>
      <c r="L778" s="195"/>
      <c r="M778" s="195"/>
      <c r="N778" s="195"/>
      <c r="O778" s="199">
        <v>1</v>
      </c>
      <c r="P778" s="188"/>
      <c r="Q778" s="174">
        <f>IF(ISNUMBER(VLOOKUP(A778,NotghiID!A:A,1,FALSE)),1,0)</f>
        <v>0</v>
      </c>
    </row>
    <row r="779" spans="1:17" ht="14.25" x14ac:dyDescent="0.2">
      <c r="A779" s="183">
        <v>252</v>
      </c>
      <c r="B779" s="232" t="str">
        <f>IF(AND(A779&lt;&gt;"",ISNUMBER(A779)),VLOOKUP(A779,Studies!A:BR,2,FALSE),"")</f>
        <v>Heizmann 1983</v>
      </c>
      <c r="C779" s="232" t="str">
        <f>IF(AND(A779&lt;&gt;"",ISNUMBER(A779)),VLOOKUP(A779,Studies!A:BR,3,FALSE),"")</f>
        <v>http://www.ncbi.nlm.nih.gov/pubmed/6138080</v>
      </c>
      <c r="D779" s="232" t="str">
        <f>IF(AND(A779&lt;&gt;"",ISNUMBER(A779)),VLOOKUP(A779,Studies!A:BR,4,FALSE),"")</f>
        <v>po 20 mg - Indiv. A.St.</v>
      </c>
      <c r="E779" s="206" t="str">
        <f>IF(AND(A779&lt;&gt;"",ISNUMBER(A779)),VLOOKUP(A779,Studies!A:BR,5,FALSE),"")</f>
        <v>Midazolam</v>
      </c>
      <c r="F779" s="207" t="str">
        <f>IF(AND(A779&lt;&gt;"",ISNUMBER(A779)),VLOOKUP(A779,Studies!A:BR,6,FALSE),"")</f>
        <v>Plasma</v>
      </c>
      <c r="G779" s="194">
        <v>12</v>
      </c>
      <c r="H779" s="194" t="s">
        <v>60</v>
      </c>
      <c r="I779" s="187" t="s">
        <v>1119</v>
      </c>
      <c r="J779" s="187" t="s">
        <v>1026</v>
      </c>
      <c r="K779" s="187" t="s">
        <v>264</v>
      </c>
      <c r="L779" s="195"/>
      <c r="M779" s="195"/>
      <c r="N779" s="195"/>
      <c r="O779" s="199">
        <v>1</v>
      </c>
      <c r="P779" s="188"/>
      <c r="Q779" s="174">
        <f>IF(ISNUMBER(VLOOKUP(A779,NotghiID!A:A,1,FALSE)),1,0)</f>
        <v>0</v>
      </c>
    </row>
    <row r="780" spans="1:17" ht="14.25" x14ac:dyDescent="0.2">
      <c r="A780" s="183">
        <v>258</v>
      </c>
      <c r="B780" s="232" t="str">
        <f>IF(AND(A780&lt;&gt;"",ISNUMBER(A780)),VLOOKUP(A780,Studies!A:BR,2,FALSE),"")</f>
        <v>Heizmann 1983</v>
      </c>
      <c r="C780" s="232" t="str">
        <f>IF(AND(A780&lt;&gt;"",ISNUMBER(A780)),VLOOKUP(A780,Studies!A:BR,3,FALSE),"")</f>
        <v>http://www.ncbi.nlm.nih.gov/pubmed/6138080</v>
      </c>
      <c r="D780" s="232" t="str">
        <f>IF(AND(A780&lt;&gt;"",ISNUMBER(A780)),VLOOKUP(A780,Studies!A:BR,4,FALSE),"")</f>
        <v>po 40 mg - Indiv. A.St.</v>
      </c>
      <c r="E780" s="206" t="str">
        <f>IF(AND(A780&lt;&gt;"",ISNUMBER(A780)),VLOOKUP(A780,Studies!A:BR,5,FALSE),"")</f>
        <v>Midazolam</v>
      </c>
      <c r="F780" s="207" t="str">
        <f>IF(AND(A780&lt;&gt;"",ISNUMBER(A780)),VLOOKUP(A780,Studies!A:BR,6,FALSE),"")</f>
        <v>Plasma</v>
      </c>
      <c r="G780" s="194">
        <v>0.25</v>
      </c>
      <c r="H780" s="194" t="s">
        <v>60</v>
      </c>
      <c r="I780" s="187">
        <v>368</v>
      </c>
      <c r="J780" s="187" t="s">
        <v>1026</v>
      </c>
      <c r="K780" s="187" t="s">
        <v>264</v>
      </c>
      <c r="L780" s="195"/>
      <c r="M780" s="195"/>
      <c r="N780" s="195"/>
      <c r="O780" s="199"/>
      <c r="P780" s="188"/>
      <c r="Q780" s="174">
        <f>IF(ISNUMBER(VLOOKUP(A780,NotghiID!A:A,1,FALSE)),1,0)</f>
        <v>0</v>
      </c>
    </row>
    <row r="781" spans="1:17" ht="14.25" x14ac:dyDescent="0.2">
      <c r="A781" s="183">
        <v>258</v>
      </c>
      <c r="B781" s="232" t="str">
        <f>IF(AND(A781&lt;&gt;"",ISNUMBER(A781)),VLOOKUP(A781,Studies!A:BR,2,FALSE),"")</f>
        <v>Heizmann 1983</v>
      </c>
      <c r="C781" s="232" t="str">
        <f>IF(AND(A781&lt;&gt;"",ISNUMBER(A781)),VLOOKUP(A781,Studies!A:BR,3,FALSE),"")</f>
        <v>http://www.ncbi.nlm.nih.gov/pubmed/6138080</v>
      </c>
      <c r="D781" s="232" t="str">
        <f>IF(AND(A781&lt;&gt;"",ISNUMBER(A781)),VLOOKUP(A781,Studies!A:BR,4,FALSE),"")</f>
        <v>po 40 mg - Indiv. A.St.</v>
      </c>
      <c r="E781" s="206" t="str">
        <f>IF(AND(A781&lt;&gt;"",ISNUMBER(A781)),VLOOKUP(A781,Studies!A:BR,5,FALSE),"")</f>
        <v>Midazolam</v>
      </c>
      <c r="F781" s="207" t="str">
        <f>IF(AND(A781&lt;&gt;"",ISNUMBER(A781)),VLOOKUP(A781,Studies!A:BR,6,FALSE),"")</f>
        <v>Plasma</v>
      </c>
      <c r="G781" s="194">
        <v>0.5</v>
      </c>
      <c r="H781" s="194" t="s">
        <v>60</v>
      </c>
      <c r="I781" s="187">
        <v>163</v>
      </c>
      <c r="J781" s="187" t="s">
        <v>1026</v>
      </c>
      <c r="K781" s="187" t="s">
        <v>264</v>
      </c>
      <c r="L781" s="195"/>
      <c r="M781" s="195"/>
      <c r="N781" s="195"/>
      <c r="O781" s="199"/>
      <c r="P781" s="188"/>
      <c r="Q781" s="174">
        <f>IF(ISNUMBER(VLOOKUP(A781,NotghiID!A:A,1,FALSE)),1,0)</f>
        <v>0</v>
      </c>
    </row>
    <row r="782" spans="1:17" ht="14.25" x14ac:dyDescent="0.2">
      <c r="A782" s="183">
        <v>258</v>
      </c>
      <c r="B782" s="232" t="str">
        <f>IF(AND(A782&lt;&gt;"",ISNUMBER(A782)),VLOOKUP(A782,Studies!A:BR,2,FALSE),"")</f>
        <v>Heizmann 1983</v>
      </c>
      <c r="C782" s="232" t="str">
        <f>IF(AND(A782&lt;&gt;"",ISNUMBER(A782)),VLOOKUP(A782,Studies!A:BR,3,FALSE),"")</f>
        <v>http://www.ncbi.nlm.nih.gov/pubmed/6138080</v>
      </c>
      <c r="D782" s="232" t="str">
        <f>IF(AND(A782&lt;&gt;"",ISNUMBER(A782)),VLOOKUP(A782,Studies!A:BR,4,FALSE),"")</f>
        <v>po 40 mg - Indiv. A.St.</v>
      </c>
      <c r="E782" s="206" t="str">
        <f>IF(AND(A782&lt;&gt;"",ISNUMBER(A782)),VLOOKUP(A782,Studies!A:BR,5,FALSE),"")</f>
        <v>Midazolam</v>
      </c>
      <c r="F782" s="207" t="str">
        <f>IF(AND(A782&lt;&gt;"",ISNUMBER(A782)),VLOOKUP(A782,Studies!A:BR,6,FALSE),"")</f>
        <v>Plasma</v>
      </c>
      <c r="G782" s="194">
        <v>0.75</v>
      </c>
      <c r="H782" s="194" t="s">
        <v>60</v>
      </c>
      <c r="I782" s="187">
        <v>104</v>
      </c>
      <c r="J782" s="187" t="s">
        <v>1026</v>
      </c>
      <c r="K782" s="187" t="s">
        <v>264</v>
      </c>
      <c r="L782" s="195"/>
      <c r="M782" s="195"/>
      <c r="N782" s="195"/>
      <c r="O782" s="199"/>
      <c r="P782" s="188"/>
      <c r="Q782" s="174">
        <f>IF(ISNUMBER(VLOOKUP(A782,NotghiID!A:A,1,FALSE)),1,0)</f>
        <v>0</v>
      </c>
    </row>
    <row r="783" spans="1:17" ht="14.25" x14ac:dyDescent="0.2">
      <c r="A783" s="183">
        <v>258</v>
      </c>
      <c r="B783" s="232" t="str">
        <f>IF(AND(A783&lt;&gt;"",ISNUMBER(A783)),VLOOKUP(A783,Studies!A:BR,2,FALSE),"")</f>
        <v>Heizmann 1983</v>
      </c>
      <c r="C783" s="232" t="str">
        <f>IF(AND(A783&lt;&gt;"",ISNUMBER(A783)),VLOOKUP(A783,Studies!A:BR,3,FALSE),"")</f>
        <v>http://www.ncbi.nlm.nih.gov/pubmed/6138080</v>
      </c>
      <c r="D783" s="232" t="str">
        <f>IF(AND(A783&lt;&gt;"",ISNUMBER(A783)),VLOOKUP(A783,Studies!A:BR,4,FALSE),"")</f>
        <v>po 40 mg - Indiv. A.St.</v>
      </c>
      <c r="E783" s="206" t="str">
        <f>IF(AND(A783&lt;&gt;"",ISNUMBER(A783)),VLOOKUP(A783,Studies!A:BR,5,FALSE),"")</f>
        <v>Midazolam</v>
      </c>
      <c r="F783" s="207" t="str">
        <f>IF(AND(A783&lt;&gt;"",ISNUMBER(A783)),VLOOKUP(A783,Studies!A:BR,6,FALSE),"")</f>
        <v>Plasma</v>
      </c>
      <c r="G783" s="194">
        <v>1</v>
      </c>
      <c r="H783" s="194" t="s">
        <v>60</v>
      </c>
      <c r="I783" s="187">
        <v>98</v>
      </c>
      <c r="J783" s="187" t="s">
        <v>1026</v>
      </c>
      <c r="K783" s="187" t="s">
        <v>264</v>
      </c>
      <c r="L783" s="195"/>
      <c r="M783" s="195"/>
      <c r="N783" s="195"/>
      <c r="O783" s="199"/>
      <c r="P783" s="188"/>
      <c r="Q783" s="174">
        <f>IF(ISNUMBER(VLOOKUP(A783,NotghiID!A:A,1,FALSE)),1,0)</f>
        <v>0</v>
      </c>
    </row>
    <row r="784" spans="1:17" ht="14.25" x14ac:dyDescent="0.2">
      <c r="A784" s="183">
        <v>258</v>
      </c>
      <c r="B784" s="232" t="str">
        <f>IF(AND(A784&lt;&gt;"",ISNUMBER(A784)),VLOOKUP(A784,Studies!A:BR,2,FALSE),"")</f>
        <v>Heizmann 1983</v>
      </c>
      <c r="C784" s="232" t="str">
        <f>IF(AND(A784&lt;&gt;"",ISNUMBER(A784)),VLOOKUP(A784,Studies!A:BR,3,FALSE),"")</f>
        <v>http://www.ncbi.nlm.nih.gov/pubmed/6138080</v>
      </c>
      <c r="D784" s="232" t="str">
        <f>IF(AND(A784&lt;&gt;"",ISNUMBER(A784)),VLOOKUP(A784,Studies!A:BR,4,FALSE),"")</f>
        <v>po 40 mg - Indiv. A.St.</v>
      </c>
      <c r="E784" s="206" t="str">
        <f>IF(AND(A784&lt;&gt;"",ISNUMBER(A784)),VLOOKUP(A784,Studies!A:BR,5,FALSE),"")</f>
        <v>Midazolam</v>
      </c>
      <c r="F784" s="207" t="str">
        <f>IF(AND(A784&lt;&gt;"",ISNUMBER(A784)),VLOOKUP(A784,Studies!A:BR,6,FALSE),"")</f>
        <v>Plasma</v>
      </c>
      <c r="G784" s="194">
        <v>1.5</v>
      </c>
      <c r="H784" s="194" t="s">
        <v>60</v>
      </c>
      <c r="I784" s="187">
        <v>57</v>
      </c>
      <c r="J784" s="187" t="s">
        <v>1026</v>
      </c>
      <c r="K784" s="187" t="s">
        <v>264</v>
      </c>
      <c r="L784" s="195"/>
      <c r="M784" s="195"/>
      <c r="N784" s="195"/>
      <c r="O784" s="199"/>
      <c r="P784" s="188"/>
      <c r="Q784" s="174">
        <f>IF(ISNUMBER(VLOOKUP(A784,NotghiID!A:A,1,FALSE)),1,0)</f>
        <v>0</v>
      </c>
    </row>
    <row r="785" spans="1:17" ht="14.25" x14ac:dyDescent="0.2">
      <c r="A785" s="183">
        <v>258</v>
      </c>
      <c r="B785" s="232" t="str">
        <f>IF(AND(A785&lt;&gt;"",ISNUMBER(A785)),VLOOKUP(A785,Studies!A:BR,2,FALSE),"")</f>
        <v>Heizmann 1983</v>
      </c>
      <c r="C785" s="232" t="str">
        <f>IF(AND(A785&lt;&gt;"",ISNUMBER(A785)),VLOOKUP(A785,Studies!A:BR,3,FALSE),"")</f>
        <v>http://www.ncbi.nlm.nih.gov/pubmed/6138080</v>
      </c>
      <c r="D785" s="232" t="str">
        <f>IF(AND(A785&lt;&gt;"",ISNUMBER(A785)),VLOOKUP(A785,Studies!A:BR,4,FALSE),"")</f>
        <v>po 40 mg - Indiv. A.St.</v>
      </c>
      <c r="E785" s="206" t="str">
        <f>IF(AND(A785&lt;&gt;"",ISNUMBER(A785)),VLOOKUP(A785,Studies!A:BR,5,FALSE),"")</f>
        <v>Midazolam</v>
      </c>
      <c r="F785" s="207" t="str">
        <f>IF(AND(A785&lt;&gt;"",ISNUMBER(A785)),VLOOKUP(A785,Studies!A:BR,6,FALSE),"")</f>
        <v>Plasma</v>
      </c>
      <c r="G785" s="194">
        <v>2</v>
      </c>
      <c r="H785" s="194" t="s">
        <v>60</v>
      </c>
      <c r="I785" s="187">
        <v>42</v>
      </c>
      <c r="J785" s="187" t="s">
        <v>1026</v>
      </c>
      <c r="K785" s="187" t="s">
        <v>264</v>
      </c>
      <c r="L785" s="195"/>
      <c r="M785" s="195"/>
      <c r="N785" s="195"/>
      <c r="O785" s="199"/>
      <c r="P785" s="188"/>
      <c r="Q785" s="174">
        <f>IF(ISNUMBER(VLOOKUP(A785,NotghiID!A:A,1,FALSE)),1,0)</f>
        <v>0</v>
      </c>
    </row>
    <row r="786" spans="1:17" ht="14.25" x14ac:dyDescent="0.2">
      <c r="A786" s="183">
        <v>258</v>
      </c>
      <c r="B786" s="232" t="str">
        <f>IF(AND(A786&lt;&gt;"",ISNUMBER(A786)),VLOOKUP(A786,Studies!A:BR,2,FALSE),"")</f>
        <v>Heizmann 1983</v>
      </c>
      <c r="C786" s="232" t="str">
        <f>IF(AND(A786&lt;&gt;"",ISNUMBER(A786)),VLOOKUP(A786,Studies!A:BR,3,FALSE),"")</f>
        <v>http://www.ncbi.nlm.nih.gov/pubmed/6138080</v>
      </c>
      <c r="D786" s="232" t="str">
        <f>IF(AND(A786&lt;&gt;"",ISNUMBER(A786)),VLOOKUP(A786,Studies!A:BR,4,FALSE),"")</f>
        <v>po 40 mg - Indiv. A.St.</v>
      </c>
      <c r="E786" s="206" t="str">
        <f>IF(AND(A786&lt;&gt;"",ISNUMBER(A786)),VLOOKUP(A786,Studies!A:BR,5,FALSE),"")</f>
        <v>Midazolam</v>
      </c>
      <c r="F786" s="207" t="str">
        <f>IF(AND(A786&lt;&gt;"",ISNUMBER(A786)),VLOOKUP(A786,Studies!A:BR,6,FALSE),"")</f>
        <v>Plasma</v>
      </c>
      <c r="G786" s="194">
        <v>3</v>
      </c>
      <c r="H786" s="194" t="s">
        <v>60</v>
      </c>
      <c r="I786" s="187">
        <v>25</v>
      </c>
      <c r="J786" s="187" t="s">
        <v>1026</v>
      </c>
      <c r="K786" s="187" t="s">
        <v>264</v>
      </c>
      <c r="L786" s="195"/>
      <c r="M786" s="195"/>
      <c r="N786" s="195"/>
      <c r="O786" s="199"/>
      <c r="P786" s="188"/>
      <c r="Q786" s="174">
        <f>IF(ISNUMBER(VLOOKUP(A786,NotghiID!A:A,1,FALSE)),1,0)</f>
        <v>0</v>
      </c>
    </row>
    <row r="787" spans="1:17" ht="14.25" x14ac:dyDescent="0.2">
      <c r="A787" s="183">
        <v>258</v>
      </c>
      <c r="B787" s="232" t="str">
        <f>IF(AND(A787&lt;&gt;"",ISNUMBER(A787)),VLOOKUP(A787,Studies!A:BR,2,FALSE),"")</f>
        <v>Heizmann 1983</v>
      </c>
      <c r="C787" s="232" t="str">
        <f>IF(AND(A787&lt;&gt;"",ISNUMBER(A787)),VLOOKUP(A787,Studies!A:BR,3,FALSE),"")</f>
        <v>http://www.ncbi.nlm.nih.gov/pubmed/6138080</v>
      </c>
      <c r="D787" s="232" t="str">
        <f>IF(AND(A787&lt;&gt;"",ISNUMBER(A787)),VLOOKUP(A787,Studies!A:BR,4,FALSE),"")</f>
        <v>po 40 mg - Indiv. A.St.</v>
      </c>
      <c r="E787" s="206" t="str">
        <f>IF(AND(A787&lt;&gt;"",ISNUMBER(A787)),VLOOKUP(A787,Studies!A:BR,5,FALSE),"")</f>
        <v>Midazolam</v>
      </c>
      <c r="F787" s="207" t="str">
        <f>IF(AND(A787&lt;&gt;"",ISNUMBER(A787)),VLOOKUP(A787,Studies!A:BR,6,FALSE),"")</f>
        <v>Plasma</v>
      </c>
      <c r="G787" s="194">
        <v>4</v>
      </c>
      <c r="H787" s="194" t="s">
        <v>60</v>
      </c>
      <c r="I787" s="187">
        <v>16</v>
      </c>
      <c r="J787" s="187" t="s">
        <v>1026</v>
      </c>
      <c r="K787" s="187" t="s">
        <v>264</v>
      </c>
      <c r="L787" s="195"/>
      <c r="M787" s="195"/>
      <c r="N787" s="195"/>
      <c r="O787" s="199"/>
      <c r="P787" s="188"/>
      <c r="Q787" s="174">
        <f>IF(ISNUMBER(VLOOKUP(A787,NotghiID!A:A,1,FALSE)),1,0)</f>
        <v>0</v>
      </c>
    </row>
    <row r="788" spans="1:17" ht="14.25" x14ac:dyDescent="0.2">
      <c r="A788" s="183">
        <v>258</v>
      </c>
      <c r="B788" s="232" t="str">
        <f>IF(AND(A788&lt;&gt;"",ISNUMBER(A788)),VLOOKUP(A788,Studies!A:BR,2,FALSE),"")</f>
        <v>Heizmann 1983</v>
      </c>
      <c r="C788" s="232" t="str">
        <f>IF(AND(A788&lt;&gt;"",ISNUMBER(A788)),VLOOKUP(A788,Studies!A:BR,3,FALSE),"")</f>
        <v>http://www.ncbi.nlm.nih.gov/pubmed/6138080</v>
      </c>
      <c r="D788" s="232" t="str">
        <f>IF(AND(A788&lt;&gt;"",ISNUMBER(A788)),VLOOKUP(A788,Studies!A:BR,4,FALSE),"")</f>
        <v>po 40 mg - Indiv. A.St.</v>
      </c>
      <c r="E788" s="206" t="str">
        <f>IF(AND(A788&lt;&gt;"",ISNUMBER(A788)),VLOOKUP(A788,Studies!A:BR,5,FALSE),"")</f>
        <v>Midazolam</v>
      </c>
      <c r="F788" s="207" t="str">
        <f>IF(AND(A788&lt;&gt;"",ISNUMBER(A788)),VLOOKUP(A788,Studies!A:BR,6,FALSE),"")</f>
        <v>Plasma</v>
      </c>
      <c r="G788" s="194">
        <v>5</v>
      </c>
      <c r="H788" s="194" t="s">
        <v>60</v>
      </c>
      <c r="I788" s="187">
        <v>9</v>
      </c>
      <c r="J788" s="187" t="s">
        <v>1026</v>
      </c>
      <c r="K788" s="187" t="s">
        <v>264</v>
      </c>
      <c r="L788" s="195"/>
      <c r="M788" s="195"/>
      <c r="N788" s="195"/>
      <c r="O788" s="199"/>
      <c r="P788" s="188"/>
      <c r="Q788" s="174">
        <f>IF(ISNUMBER(VLOOKUP(A788,NotghiID!A:A,1,FALSE)),1,0)</f>
        <v>0</v>
      </c>
    </row>
    <row r="789" spans="1:17" ht="14.25" x14ac:dyDescent="0.2">
      <c r="A789" s="183">
        <v>258</v>
      </c>
      <c r="B789" s="232" t="str">
        <f>IF(AND(A789&lt;&gt;"",ISNUMBER(A789)),VLOOKUP(A789,Studies!A:BR,2,FALSE),"")</f>
        <v>Heizmann 1983</v>
      </c>
      <c r="C789" s="232" t="str">
        <f>IF(AND(A789&lt;&gt;"",ISNUMBER(A789)),VLOOKUP(A789,Studies!A:BR,3,FALSE),"")</f>
        <v>http://www.ncbi.nlm.nih.gov/pubmed/6138080</v>
      </c>
      <c r="D789" s="232" t="str">
        <f>IF(AND(A789&lt;&gt;"",ISNUMBER(A789)),VLOOKUP(A789,Studies!A:BR,4,FALSE),"")</f>
        <v>po 40 mg - Indiv. A.St.</v>
      </c>
      <c r="E789" s="206" t="str">
        <f>IF(AND(A789&lt;&gt;"",ISNUMBER(A789)),VLOOKUP(A789,Studies!A:BR,5,FALSE),"")</f>
        <v>Midazolam</v>
      </c>
      <c r="F789" s="207" t="str">
        <f>IF(AND(A789&lt;&gt;"",ISNUMBER(A789)),VLOOKUP(A789,Studies!A:BR,6,FALSE),"")</f>
        <v>Plasma</v>
      </c>
      <c r="G789" s="194">
        <v>6</v>
      </c>
      <c r="H789" s="194" t="s">
        <v>60</v>
      </c>
      <c r="I789" s="187">
        <v>7</v>
      </c>
      <c r="J789" s="187" t="s">
        <v>1026</v>
      </c>
      <c r="K789" s="187" t="s">
        <v>264</v>
      </c>
      <c r="L789" s="195"/>
      <c r="M789" s="195"/>
      <c r="N789" s="195"/>
      <c r="O789" s="199"/>
      <c r="P789" s="188"/>
      <c r="Q789" s="174">
        <f>IF(ISNUMBER(VLOOKUP(A789,NotghiID!A:A,1,FALSE)),1,0)</f>
        <v>0</v>
      </c>
    </row>
    <row r="790" spans="1:17" ht="14.25" x14ac:dyDescent="0.2">
      <c r="A790" s="183">
        <v>258</v>
      </c>
      <c r="B790" s="232" t="str">
        <f>IF(AND(A790&lt;&gt;"",ISNUMBER(A790)),VLOOKUP(A790,Studies!A:BR,2,FALSE),"")</f>
        <v>Heizmann 1983</v>
      </c>
      <c r="C790" s="232" t="str">
        <f>IF(AND(A790&lt;&gt;"",ISNUMBER(A790)),VLOOKUP(A790,Studies!A:BR,3,FALSE),"")</f>
        <v>http://www.ncbi.nlm.nih.gov/pubmed/6138080</v>
      </c>
      <c r="D790" s="232" t="str">
        <f>IF(AND(A790&lt;&gt;"",ISNUMBER(A790)),VLOOKUP(A790,Studies!A:BR,4,FALSE),"")</f>
        <v>po 40 mg - Indiv. A.St.</v>
      </c>
      <c r="E790" s="206" t="str">
        <f>IF(AND(A790&lt;&gt;"",ISNUMBER(A790)),VLOOKUP(A790,Studies!A:BR,5,FALSE),"")</f>
        <v>Midazolam</v>
      </c>
      <c r="F790" s="207" t="str">
        <f>IF(AND(A790&lt;&gt;"",ISNUMBER(A790)),VLOOKUP(A790,Studies!A:BR,6,FALSE),"")</f>
        <v>Plasma</v>
      </c>
      <c r="G790" s="194">
        <v>8</v>
      </c>
      <c r="H790" s="194" t="s">
        <v>60</v>
      </c>
      <c r="I790" s="187">
        <v>4</v>
      </c>
      <c r="J790" s="187" t="s">
        <v>1026</v>
      </c>
      <c r="K790" s="187" t="s">
        <v>264</v>
      </c>
      <c r="L790" s="195"/>
      <c r="M790" s="195"/>
      <c r="N790" s="195"/>
      <c r="O790" s="199"/>
      <c r="P790" s="188"/>
      <c r="Q790" s="174">
        <f>IF(ISNUMBER(VLOOKUP(A790,NotghiID!A:A,1,FALSE)),1,0)</f>
        <v>0</v>
      </c>
    </row>
    <row r="791" spans="1:17" ht="14.25" x14ac:dyDescent="0.2">
      <c r="A791" s="183">
        <v>258</v>
      </c>
      <c r="B791" s="232" t="str">
        <f>IF(AND(A791&lt;&gt;"",ISNUMBER(A791)),VLOOKUP(A791,Studies!A:BR,2,FALSE),"")</f>
        <v>Heizmann 1983</v>
      </c>
      <c r="C791" s="232" t="str">
        <f>IF(AND(A791&lt;&gt;"",ISNUMBER(A791)),VLOOKUP(A791,Studies!A:BR,3,FALSE),"")</f>
        <v>http://www.ncbi.nlm.nih.gov/pubmed/6138080</v>
      </c>
      <c r="D791" s="232" t="str">
        <f>IF(AND(A791&lt;&gt;"",ISNUMBER(A791)),VLOOKUP(A791,Studies!A:BR,4,FALSE),"")</f>
        <v>po 40 mg - Indiv. A.St.</v>
      </c>
      <c r="E791" s="206" t="str">
        <f>IF(AND(A791&lt;&gt;"",ISNUMBER(A791)),VLOOKUP(A791,Studies!A:BR,5,FALSE),"")</f>
        <v>Midazolam</v>
      </c>
      <c r="F791" s="207" t="str">
        <f>IF(AND(A791&lt;&gt;"",ISNUMBER(A791)),VLOOKUP(A791,Studies!A:BR,6,FALSE),"")</f>
        <v>Plasma</v>
      </c>
      <c r="G791" s="194">
        <v>10</v>
      </c>
      <c r="H791" s="194" t="s">
        <v>60</v>
      </c>
      <c r="I791" s="187" t="s">
        <v>1119</v>
      </c>
      <c r="J791" s="187" t="s">
        <v>1026</v>
      </c>
      <c r="K791" s="187" t="s">
        <v>264</v>
      </c>
      <c r="L791" s="195"/>
      <c r="M791" s="195"/>
      <c r="N791" s="195"/>
      <c r="O791" s="199">
        <v>1</v>
      </c>
      <c r="P791" s="188"/>
      <c r="Q791" s="174">
        <f>IF(ISNUMBER(VLOOKUP(A791,NotghiID!A:A,1,FALSE)),1,0)</f>
        <v>0</v>
      </c>
    </row>
    <row r="792" spans="1:17" ht="14.25" x14ac:dyDescent="0.2">
      <c r="A792" s="183">
        <v>258</v>
      </c>
      <c r="B792" s="232" t="str">
        <f>IF(AND(A792&lt;&gt;"",ISNUMBER(A792)),VLOOKUP(A792,Studies!A:BR,2,FALSE),"")</f>
        <v>Heizmann 1983</v>
      </c>
      <c r="C792" s="232" t="str">
        <f>IF(AND(A792&lt;&gt;"",ISNUMBER(A792)),VLOOKUP(A792,Studies!A:BR,3,FALSE),"")</f>
        <v>http://www.ncbi.nlm.nih.gov/pubmed/6138080</v>
      </c>
      <c r="D792" s="232" t="str">
        <f>IF(AND(A792&lt;&gt;"",ISNUMBER(A792)),VLOOKUP(A792,Studies!A:BR,4,FALSE),"")</f>
        <v>po 40 mg - Indiv. A.St.</v>
      </c>
      <c r="E792" s="206" t="str">
        <f>IF(AND(A792&lt;&gt;"",ISNUMBER(A792)),VLOOKUP(A792,Studies!A:BR,5,FALSE),"")</f>
        <v>Midazolam</v>
      </c>
      <c r="F792" s="207" t="str">
        <f>IF(AND(A792&lt;&gt;"",ISNUMBER(A792)),VLOOKUP(A792,Studies!A:BR,6,FALSE),"")</f>
        <v>Plasma</v>
      </c>
      <c r="G792" s="194">
        <v>12</v>
      </c>
      <c r="H792" s="194" t="s">
        <v>60</v>
      </c>
      <c r="I792" s="187" t="s">
        <v>1119</v>
      </c>
      <c r="J792" s="187" t="s">
        <v>1026</v>
      </c>
      <c r="K792" s="187" t="s">
        <v>264</v>
      </c>
      <c r="L792" s="195"/>
      <c r="M792" s="195"/>
      <c r="N792" s="195"/>
      <c r="O792" s="199">
        <v>1</v>
      </c>
      <c r="P792" s="188"/>
      <c r="Q792" s="174">
        <f>IF(ISNUMBER(VLOOKUP(A792,NotghiID!A:A,1,FALSE)),1,0)</f>
        <v>0</v>
      </c>
    </row>
    <row r="793" spans="1:17" ht="14.25" x14ac:dyDescent="0.2">
      <c r="A793" s="183">
        <v>243</v>
      </c>
      <c r="B793" s="232" t="str">
        <f>IF(AND(A793&lt;&gt;"",ISNUMBER(A793)),VLOOKUP(A793,Studies!A:BR,2,FALSE),"")</f>
        <v>Heizmann 1983</v>
      </c>
      <c r="C793" s="232" t="str">
        <f>IF(AND(A793&lt;&gt;"",ISNUMBER(A793)),VLOOKUP(A793,Studies!A:BR,3,FALSE),"")</f>
        <v>http://www.ncbi.nlm.nih.gov/pubmed/6138080</v>
      </c>
      <c r="D793" s="232" t="str">
        <f>IF(AND(A793&lt;&gt;"",ISNUMBER(A793)),VLOOKUP(A793,Studies!A:BR,4,FALSE),"")</f>
        <v>iv 0.15 mg/kg - Indiv. CH.B.</v>
      </c>
      <c r="E793" s="206" t="str">
        <f>IF(AND(A793&lt;&gt;"",ISNUMBER(A793)),VLOOKUP(A793,Studies!A:BR,5,FALSE),"")</f>
        <v>Midazolam</v>
      </c>
      <c r="F793" s="207" t="str">
        <f>IF(AND(A793&lt;&gt;"",ISNUMBER(A793)),VLOOKUP(A793,Studies!A:BR,6,FALSE),"")</f>
        <v>Plasma</v>
      </c>
      <c r="G793" s="194">
        <v>8.3333329999999997E-2</v>
      </c>
      <c r="H793" s="194" t="s">
        <v>60</v>
      </c>
      <c r="I793" s="187">
        <v>305</v>
      </c>
      <c r="J793" s="187" t="s">
        <v>1026</v>
      </c>
      <c r="K793" s="187" t="s">
        <v>264</v>
      </c>
      <c r="L793" s="195"/>
      <c r="M793" s="195"/>
      <c r="N793" s="195"/>
      <c r="O793" s="199"/>
      <c r="P793" s="188"/>
      <c r="Q793" s="174">
        <f>IF(ISNUMBER(VLOOKUP(A793,NotghiID!A:A,1,FALSE)),1,0)</f>
        <v>0</v>
      </c>
    </row>
    <row r="794" spans="1:17" ht="14.25" x14ac:dyDescent="0.2">
      <c r="A794" s="183">
        <v>243</v>
      </c>
      <c r="B794" s="232" t="str">
        <f>IF(AND(A794&lt;&gt;"",ISNUMBER(A794)),VLOOKUP(A794,Studies!A:BR,2,FALSE),"")</f>
        <v>Heizmann 1983</v>
      </c>
      <c r="C794" s="232" t="str">
        <f>IF(AND(A794&lt;&gt;"",ISNUMBER(A794)),VLOOKUP(A794,Studies!A:BR,3,FALSE),"")</f>
        <v>http://www.ncbi.nlm.nih.gov/pubmed/6138080</v>
      </c>
      <c r="D794" s="232" t="str">
        <f>IF(AND(A794&lt;&gt;"",ISNUMBER(A794)),VLOOKUP(A794,Studies!A:BR,4,FALSE),"")</f>
        <v>iv 0.15 mg/kg - Indiv. CH.B.</v>
      </c>
      <c r="E794" s="206" t="str">
        <f>IF(AND(A794&lt;&gt;"",ISNUMBER(A794)),VLOOKUP(A794,Studies!A:BR,5,FALSE),"")</f>
        <v>Midazolam</v>
      </c>
      <c r="F794" s="207" t="str">
        <f>IF(AND(A794&lt;&gt;"",ISNUMBER(A794)),VLOOKUP(A794,Studies!A:BR,6,FALSE),"")</f>
        <v>Plasma</v>
      </c>
      <c r="G794" s="194">
        <v>0.16666666999999999</v>
      </c>
      <c r="H794" s="194" t="s">
        <v>60</v>
      </c>
      <c r="I794" s="187">
        <v>267</v>
      </c>
      <c r="J794" s="187" t="s">
        <v>1026</v>
      </c>
      <c r="K794" s="187" t="s">
        <v>264</v>
      </c>
      <c r="L794" s="195"/>
      <c r="M794" s="195"/>
      <c r="N794" s="195"/>
      <c r="O794" s="199"/>
      <c r="P794" s="188"/>
      <c r="Q794" s="174">
        <f>IF(ISNUMBER(VLOOKUP(A794,NotghiID!A:A,1,FALSE)),1,0)</f>
        <v>0</v>
      </c>
    </row>
    <row r="795" spans="1:17" ht="14.25" x14ac:dyDescent="0.2">
      <c r="A795" s="183">
        <v>243</v>
      </c>
      <c r="B795" s="232" t="str">
        <f>IF(AND(A795&lt;&gt;"",ISNUMBER(A795)),VLOOKUP(A795,Studies!A:BR,2,FALSE),"")</f>
        <v>Heizmann 1983</v>
      </c>
      <c r="C795" s="232" t="str">
        <f>IF(AND(A795&lt;&gt;"",ISNUMBER(A795)),VLOOKUP(A795,Studies!A:BR,3,FALSE),"")</f>
        <v>http://www.ncbi.nlm.nih.gov/pubmed/6138080</v>
      </c>
      <c r="D795" s="232" t="str">
        <f>IF(AND(A795&lt;&gt;"",ISNUMBER(A795)),VLOOKUP(A795,Studies!A:BR,4,FALSE),"")</f>
        <v>iv 0.15 mg/kg - Indiv. CH.B.</v>
      </c>
      <c r="E795" s="206" t="str">
        <f>IF(AND(A795&lt;&gt;"",ISNUMBER(A795)),VLOOKUP(A795,Studies!A:BR,5,FALSE),"")</f>
        <v>Midazolam</v>
      </c>
      <c r="F795" s="207" t="str">
        <f>IF(AND(A795&lt;&gt;"",ISNUMBER(A795)),VLOOKUP(A795,Studies!A:BR,6,FALSE),"")</f>
        <v>Plasma</v>
      </c>
      <c r="G795" s="194">
        <v>0.25</v>
      </c>
      <c r="H795" s="194" t="s">
        <v>60</v>
      </c>
      <c r="I795" s="187">
        <v>254</v>
      </c>
      <c r="J795" s="187" t="s">
        <v>1026</v>
      </c>
      <c r="K795" s="187" t="s">
        <v>264</v>
      </c>
      <c r="L795" s="195"/>
      <c r="M795" s="195"/>
      <c r="N795" s="195"/>
      <c r="O795" s="199"/>
      <c r="P795" s="188"/>
      <c r="Q795" s="174">
        <f>IF(ISNUMBER(VLOOKUP(A795,NotghiID!A:A,1,FALSE)),1,0)</f>
        <v>0</v>
      </c>
    </row>
    <row r="796" spans="1:17" ht="14.25" x14ac:dyDescent="0.2">
      <c r="A796" s="183">
        <v>243</v>
      </c>
      <c r="B796" s="232" t="str">
        <f>IF(AND(A796&lt;&gt;"",ISNUMBER(A796)),VLOOKUP(A796,Studies!A:BR,2,FALSE),"")</f>
        <v>Heizmann 1983</v>
      </c>
      <c r="C796" s="232" t="str">
        <f>IF(AND(A796&lt;&gt;"",ISNUMBER(A796)),VLOOKUP(A796,Studies!A:BR,3,FALSE),"")</f>
        <v>http://www.ncbi.nlm.nih.gov/pubmed/6138080</v>
      </c>
      <c r="D796" s="232" t="str">
        <f>IF(AND(A796&lt;&gt;"",ISNUMBER(A796)),VLOOKUP(A796,Studies!A:BR,4,FALSE),"")</f>
        <v>iv 0.15 mg/kg - Indiv. CH.B.</v>
      </c>
      <c r="E796" s="206" t="str">
        <f>IF(AND(A796&lt;&gt;"",ISNUMBER(A796)),VLOOKUP(A796,Studies!A:BR,5,FALSE),"")</f>
        <v>Midazolam</v>
      </c>
      <c r="F796" s="207" t="str">
        <f>IF(AND(A796&lt;&gt;"",ISNUMBER(A796)),VLOOKUP(A796,Studies!A:BR,6,FALSE),"")</f>
        <v>Plasma</v>
      </c>
      <c r="G796" s="194">
        <v>0.5</v>
      </c>
      <c r="H796" s="194" t="s">
        <v>60</v>
      </c>
      <c r="I796" s="187">
        <v>233</v>
      </c>
      <c r="J796" s="187" t="s">
        <v>1026</v>
      </c>
      <c r="K796" s="187" t="s">
        <v>264</v>
      </c>
      <c r="L796" s="195"/>
      <c r="M796" s="195"/>
      <c r="N796" s="195"/>
      <c r="O796" s="199"/>
      <c r="P796" s="188"/>
      <c r="Q796" s="174">
        <f>IF(ISNUMBER(VLOOKUP(A796,NotghiID!A:A,1,FALSE)),1,0)</f>
        <v>0</v>
      </c>
    </row>
    <row r="797" spans="1:17" ht="14.25" x14ac:dyDescent="0.2">
      <c r="A797" s="183">
        <v>243</v>
      </c>
      <c r="B797" s="232" t="str">
        <f>IF(AND(A797&lt;&gt;"",ISNUMBER(A797)),VLOOKUP(A797,Studies!A:BR,2,FALSE),"")</f>
        <v>Heizmann 1983</v>
      </c>
      <c r="C797" s="232" t="str">
        <f>IF(AND(A797&lt;&gt;"",ISNUMBER(A797)),VLOOKUP(A797,Studies!A:BR,3,FALSE),"")</f>
        <v>http://www.ncbi.nlm.nih.gov/pubmed/6138080</v>
      </c>
      <c r="D797" s="232" t="str">
        <f>IF(AND(A797&lt;&gt;"",ISNUMBER(A797)),VLOOKUP(A797,Studies!A:BR,4,FALSE),"")</f>
        <v>iv 0.15 mg/kg - Indiv. CH.B.</v>
      </c>
      <c r="E797" s="206" t="str">
        <f>IF(AND(A797&lt;&gt;"",ISNUMBER(A797)),VLOOKUP(A797,Studies!A:BR,5,FALSE),"")</f>
        <v>Midazolam</v>
      </c>
      <c r="F797" s="207" t="str">
        <f>IF(AND(A797&lt;&gt;"",ISNUMBER(A797)),VLOOKUP(A797,Studies!A:BR,6,FALSE),"")</f>
        <v>Plasma</v>
      </c>
      <c r="G797" s="194">
        <v>0.75</v>
      </c>
      <c r="H797" s="194" t="s">
        <v>60</v>
      </c>
      <c r="I797" s="187">
        <v>177</v>
      </c>
      <c r="J797" s="187" t="s">
        <v>1026</v>
      </c>
      <c r="K797" s="187" t="s">
        <v>264</v>
      </c>
      <c r="L797" s="195"/>
      <c r="M797" s="195"/>
      <c r="N797" s="195"/>
      <c r="O797" s="199"/>
      <c r="P797" s="188"/>
      <c r="Q797" s="174">
        <f>IF(ISNUMBER(VLOOKUP(A797,NotghiID!A:A,1,FALSE)),1,0)</f>
        <v>0</v>
      </c>
    </row>
    <row r="798" spans="1:17" ht="14.25" x14ac:dyDescent="0.2">
      <c r="A798" s="183">
        <v>243</v>
      </c>
      <c r="B798" s="232" t="str">
        <f>IF(AND(A798&lt;&gt;"",ISNUMBER(A798)),VLOOKUP(A798,Studies!A:BR,2,FALSE),"")</f>
        <v>Heizmann 1983</v>
      </c>
      <c r="C798" s="232" t="str">
        <f>IF(AND(A798&lt;&gt;"",ISNUMBER(A798)),VLOOKUP(A798,Studies!A:BR,3,FALSE),"")</f>
        <v>http://www.ncbi.nlm.nih.gov/pubmed/6138080</v>
      </c>
      <c r="D798" s="232" t="str">
        <f>IF(AND(A798&lt;&gt;"",ISNUMBER(A798)),VLOOKUP(A798,Studies!A:BR,4,FALSE),"")</f>
        <v>iv 0.15 mg/kg - Indiv. CH.B.</v>
      </c>
      <c r="E798" s="206" t="str">
        <f>IF(AND(A798&lt;&gt;"",ISNUMBER(A798)),VLOOKUP(A798,Studies!A:BR,5,FALSE),"")</f>
        <v>Midazolam</v>
      </c>
      <c r="F798" s="207" t="str">
        <f>IF(AND(A798&lt;&gt;"",ISNUMBER(A798)),VLOOKUP(A798,Studies!A:BR,6,FALSE),"")</f>
        <v>Plasma</v>
      </c>
      <c r="G798" s="194">
        <v>1</v>
      </c>
      <c r="H798" s="194" t="s">
        <v>60</v>
      </c>
      <c r="I798" s="187">
        <v>162</v>
      </c>
      <c r="J798" s="187" t="s">
        <v>1026</v>
      </c>
      <c r="K798" s="187" t="s">
        <v>264</v>
      </c>
      <c r="L798" s="195"/>
      <c r="M798" s="195"/>
      <c r="N798" s="195"/>
      <c r="O798" s="199"/>
      <c r="P798" s="188"/>
      <c r="Q798" s="174">
        <f>IF(ISNUMBER(VLOOKUP(A798,NotghiID!A:A,1,FALSE)),1,0)</f>
        <v>0</v>
      </c>
    </row>
    <row r="799" spans="1:17" ht="14.25" x14ac:dyDescent="0.2">
      <c r="A799" s="183">
        <v>243</v>
      </c>
      <c r="B799" s="232" t="str">
        <f>IF(AND(A799&lt;&gt;"",ISNUMBER(A799)),VLOOKUP(A799,Studies!A:BR,2,FALSE),"")</f>
        <v>Heizmann 1983</v>
      </c>
      <c r="C799" s="232" t="str">
        <f>IF(AND(A799&lt;&gt;"",ISNUMBER(A799)),VLOOKUP(A799,Studies!A:BR,3,FALSE),"")</f>
        <v>http://www.ncbi.nlm.nih.gov/pubmed/6138080</v>
      </c>
      <c r="D799" s="232" t="str">
        <f>IF(AND(A799&lt;&gt;"",ISNUMBER(A799)),VLOOKUP(A799,Studies!A:BR,4,FALSE),"")</f>
        <v>iv 0.15 mg/kg - Indiv. CH.B.</v>
      </c>
      <c r="E799" s="206" t="str">
        <f>IF(AND(A799&lt;&gt;"",ISNUMBER(A799)),VLOOKUP(A799,Studies!A:BR,5,FALSE),"")</f>
        <v>Midazolam</v>
      </c>
      <c r="F799" s="207" t="str">
        <f>IF(AND(A799&lt;&gt;"",ISNUMBER(A799)),VLOOKUP(A799,Studies!A:BR,6,FALSE),"")</f>
        <v>Plasma</v>
      </c>
      <c r="G799" s="194">
        <v>1.5</v>
      </c>
      <c r="H799" s="194" t="s">
        <v>60</v>
      </c>
      <c r="I799" s="187">
        <v>124</v>
      </c>
      <c r="J799" s="187" t="s">
        <v>1026</v>
      </c>
      <c r="K799" s="187" t="s">
        <v>264</v>
      </c>
      <c r="L799" s="195"/>
      <c r="M799" s="195"/>
      <c r="N799" s="195"/>
      <c r="O799" s="199"/>
      <c r="P799" s="188"/>
      <c r="Q799" s="174">
        <f>IF(ISNUMBER(VLOOKUP(A799,NotghiID!A:A,1,FALSE)),1,0)</f>
        <v>0</v>
      </c>
    </row>
    <row r="800" spans="1:17" ht="14.25" x14ac:dyDescent="0.2">
      <c r="A800" s="183">
        <v>243</v>
      </c>
      <c r="B800" s="232" t="str">
        <f>IF(AND(A800&lt;&gt;"",ISNUMBER(A800)),VLOOKUP(A800,Studies!A:BR,2,FALSE),"")</f>
        <v>Heizmann 1983</v>
      </c>
      <c r="C800" s="232" t="str">
        <f>IF(AND(A800&lt;&gt;"",ISNUMBER(A800)),VLOOKUP(A800,Studies!A:BR,3,FALSE),"")</f>
        <v>http://www.ncbi.nlm.nih.gov/pubmed/6138080</v>
      </c>
      <c r="D800" s="232" t="str">
        <f>IF(AND(A800&lt;&gt;"",ISNUMBER(A800)),VLOOKUP(A800,Studies!A:BR,4,FALSE),"")</f>
        <v>iv 0.15 mg/kg - Indiv. CH.B.</v>
      </c>
      <c r="E800" s="206" t="str">
        <f>IF(AND(A800&lt;&gt;"",ISNUMBER(A800)),VLOOKUP(A800,Studies!A:BR,5,FALSE),"")</f>
        <v>Midazolam</v>
      </c>
      <c r="F800" s="207" t="str">
        <f>IF(AND(A800&lt;&gt;"",ISNUMBER(A800)),VLOOKUP(A800,Studies!A:BR,6,FALSE),"")</f>
        <v>Plasma</v>
      </c>
      <c r="G800" s="194">
        <v>2</v>
      </c>
      <c r="H800" s="194" t="s">
        <v>60</v>
      </c>
      <c r="I800" s="187">
        <v>104</v>
      </c>
      <c r="J800" s="187" t="s">
        <v>1026</v>
      </c>
      <c r="K800" s="187" t="s">
        <v>264</v>
      </c>
      <c r="L800" s="195"/>
      <c r="M800" s="195"/>
      <c r="N800" s="195"/>
      <c r="O800" s="199"/>
      <c r="P800" s="188"/>
      <c r="Q800" s="174">
        <f>IF(ISNUMBER(VLOOKUP(A800,NotghiID!A:A,1,FALSE)),1,0)</f>
        <v>0</v>
      </c>
    </row>
    <row r="801" spans="1:17" ht="14.25" x14ac:dyDescent="0.2">
      <c r="A801" s="183">
        <v>243</v>
      </c>
      <c r="B801" s="232" t="str">
        <f>IF(AND(A801&lt;&gt;"",ISNUMBER(A801)),VLOOKUP(A801,Studies!A:BR,2,FALSE),"")</f>
        <v>Heizmann 1983</v>
      </c>
      <c r="C801" s="232" t="str">
        <f>IF(AND(A801&lt;&gt;"",ISNUMBER(A801)),VLOOKUP(A801,Studies!A:BR,3,FALSE),"")</f>
        <v>http://www.ncbi.nlm.nih.gov/pubmed/6138080</v>
      </c>
      <c r="D801" s="232" t="str">
        <f>IF(AND(A801&lt;&gt;"",ISNUMBER(A801)),VLOOKUP(A801,Studies!A:BR,4,FALSE),"")</f>
        <v>iv 0.15 mg/kg - Indiv. CH.B.</v>
      </c>
      <c r="E801" s="206" t="str">
        <f>IF(AND(A801&lt;&gt;"",ISNUMBER(A801)),VLOOKUP(A801,Studies!A:BR,5,FALSE),"")</f>
        <v>Midazolam</v>
      </c>
      <c r="F801" s="207" t="str">
        <f>IF(AND(A801&lt;&gt;"",ISNUMBER(A801)),VLOOKUP(A801,Studies!A:BR,6,FALSE),"")</f>
        <v>Plasma</v>
      </c>
      <c r="G801" s="194">
        <v>3</v>
      </c>
      <c r="H801" s="194" t="s">
        <v>60</v>
      </c>
      <c r="I801" s="187">
        <v>53</v>
      </c>
      <c r="J801" s="187" t="s">
        <v>1026</v>
      </c>
      <c r="K801" s="187" t="s">
        <v>264</v>
      </c>
      <c r="L801" s="195"/>
      <c r="M801" s="195"/>
      <c r="N801" s="195"/>
      <c r="O801" s="199"/>
      <c r="P801" s="188"/>
      <c r="Q801" s="174">
        <f>IF(ISNUMBER(VLOOKUP(A801,NotghiID!A:A,1,FALSE)),1,0)</f>
        <v>0</v>
      </c>
    </row>
    <row r="802" spans="1:17" ht="14.25" x14ac:dyDescent="0.2">
      <c r="A802" s="183">
        <v>243</v>
      </c>
      <c r="B802" s="232" t="str">
        <f>IF(AND(A802&lt;&gt;"",ISNUMBER(A802)),VLOOKUP(A802,Studies!A:BR,2,FALSE),"")</f>
        <v>Heizmann 1983</v>
      </c>
      <c r="C802" s="232" t="str">
        <f>IF(AND(A802&lt;&gt;"",ISNUMBER(A802)),VLOOKUP(A802,Studies!A:BR,3,FALSE),"")</f>
        <v>http://www.ncbi.nlm.nih.gov/pubmed/6138080</v>
      </c>
      <c r="D802" s="232" t="str">
        <f>IF(AND(A802&lt;&gt;"",ISNUMBER(A802)),VLOOKUP(A802,Studies!A:BR,4,FALSE),"")</f>
        <v>iv 0.15 mg/kg - Indiv. CH.B.</v>
      </c>
      <c r="E802" s="206" t="str">
        <f>IF(AND(A802&lt;&gt;"",ISNUMBER(A802)),VLOOKUP(A802,Studies!A:BR,5,FALSE),"")</f>
        <v>Midazolam</v>
      </c>
      <c r="F802" s="207" t="str">
        <f>IF(AND(A802&lt;&gt;"",ISNUMBER(A802)),VLOOKUP(A802,Studies!A:BR,6,FALSE),"")</f>
        <v>Plasma</v>
      </c>
      <c r="G802" s="194">
        <v>4</v>
      </c>
      <c r="H802" s="194" t="s">
        <v>60</v>
      </c>
      <c r="I802" s="187">
        <v>47</v>
      </c>
      <c r="J802" s="187" t="s">
        <v>1026</v>
      </c>
      <c r="K802" s="187" t="s">
        <v>264</v>
      </c>
      <c r="L802" s="195"/>
      <c r="M802" s="195"/>
      <c r="N802" s="195"/>
      <c r="O802" s="199"/>
      <c r="P802" s="188"/>
      <c r="Q802" s="174">
        <f>IF(ISNUMBER(VLOOKUP(A802,NotghiID!A:A,1,FALSE)),1,0)</f>
        <v>0</v>
      </c>
    </row>
    <row r="803" spans="1:17" ht="14.25" x14ac:dyDescent="0.2">
      <c r="A803" s="183">
        <v>243</v>
      </c>
      <c r="B803" s="232" t="str">
        <f>IF(AND(A803&lt;&gt;"",ISNUMBER(A803)),VLOOKUP(A803,Studies!A:BR,2,FALSE),"")</f>
        <v>Heizmann 1983</v>
      </c>
      <c r="C803" s="232" t="str">
        <f>IF(AND(A803&lt;&gt;"",ISNUMBER(A803)),VLOOKUP(A803,Studies!A:BR,3,FALSE),"")</f>
        <v>http://www.ncbi.nlm.nih.gov/pubmed/6138080</v>
      </c>
      <c r="D803" s="232" t="str">
        <f>IF(AND(A803&lt;&gt;"",ISNUMBER(A803)),VLOOKUP(A803,Studies!A:BR,4,FALSE),"")</f>
        <v>iv 0.15 mg/kg - Indiv. CH.B.</v>
      </c>
      <c r="E803" s="206" t="str">
        <f>IF(AND(A803&lt;&gt;"",ISNUMBER(A803)),VLOOKUP(A803,Studies!A:BR,5,FALSE),"")</f>
        <v>Midazolam</v>
      </c>
      <c r="F803" s="207" t="str">
        <f>IF(AND(A803&lt;&gt;"",ISNUMBER(A803)),VLOOKUP(A803,Studies!A:BR,6,FALSE),"")</f>
        <v>Plasma</v>
      </c>
      <c r="G803" s="194">
        <v>5</v>
      </c>
      <c r="H803" s="194" t="s">
        <v>60</v>
      </c>
      <c r="I803" s="187">
        <v>34</v>
      </c>
      <c r="J803" s="187" t="s">
        <v>1026</v>
      </c>
      <c r="K803" s="187" t="s">
        <v>264</v>
      </c>
      <c r="L803" s="195"/>
      <c r="M803" s="195"/>
      <c r="N803" s="195"/>
      <c r="O803" s="199"/>
      <c r="P803" s="188"/>
      <c r="Q803" s="174">
        <f>IF(ISNUMBER(VLOOKUP(A803,NotghiID!A:A,1,FALSE)),1,0)</f>
        <v>0</v>
      </c>
    </row>
    <row r="804" spans="1:17" ht="14.25" x14ac:dyDescent="0.2">
      <c r="A804" s="183">
        <v>243</v>
      </c>
      <c r="B804" s="232" t="str">
        <f>IF(AND(A804&lt;&gt;"",ISNUMBER(A804)),VLOOKUP(A804,Studies!A:BR,2,FALSE),"")</f>
        <v>Heizmann 1983</v>
      </c>
      <c r="C804" s="232" t="str">
        <f>IF(AND(A804&lt;&gt;"",ISNUMBER(A804)),VLOOKUP(A804,Studies!A:BR,3,FALSE),"")</f>
        <v>http://www.ncbi.nlm.nih.gov/pubmed/6138080</v>
      </c>
      <c r="D804" s="232" t="str">
        <f>IF(AND(A804&lt;&gt;"",ISNUMBER(A804)),VLOOKUP(A804,Studies!A:BR,4,FALSE),"")</f>
        <v>iv 0.15 mg/kg - Indiv. CH.B.</v>
      </c>
      <c r="E804" s="206" t="str">
        <f>IF(AND(A804&lt;&gt;"",ISNUMBER(A804)),VLOOKUP(A804,Studies!A:BR,5,FALSE),"")</f>
        <v>Midazolam</v>
      </c>
      <c r="F804" s="207" t="str">
        <f>IF(AND(A804&lt;&gt;"",ISNUMBER(A804)),VLOOKUP(A804,Studies!A:BR,6,FALSE),"")</f>
        <v>Plasma</v>
      </c>
      <c r="G804" s="194">
        <v>6</v>
      </c>
      <c r="H804" s="194" t="s">
        <v>60</v>
      </c>
      <c r="I804" s="187">
        <v>27</v>
      </c>
      <c r="J804" s="187" t="s">
        <v>1026</v>
      </c>
      <c r="K804" s="187" t="s">
        <v>264</v>
      </c>
      <c r="L804" s="195"/>
      <c r="M804" s="195"/>
      <c r="N804" s="195"/>
      <c r="O804" s="199"/>
      <c r="P804" s="188"/>
      <c r="Q804" s="174">
        <f>IF(ISNUMBER(VLOOKUP(A804,NotghiID!A:A,1,FALSE)),1,0)</f>
        <v>0</v>
      </c>
    </row>
    <row r="805" spans="1:17" ht="14.25" x14ac:dyDescent="0.2">
      <c r="A805" s="183">
        <v>243</v>
      </c>
      <c r="B805" s="232" t="str">
        <f>IF(AND(A805&lt;&gt;"",ISNUMBER(A805)),VLOOKUP(A805,Studies!A:BR,2,FALSE),"")</f>
        <v>Heizmann 1983</v>
      </c>
      <c r="C805" s="232" t="str">
        <f>IF(AND(A805&lt;&gt;"",ISNUMBER(A805)),VLOOKUP(A805,Studies!A:BR,3,FALSE),"")</f>
        <v>http://www.ncbi.nlm.nih.gov/pubmed/6138080</v>
      </c>
      <c r="D805" s="232" t="str">
        <f>IF(AND(A805&lt;&gt;"",ISNUMBER(A805)),VLOOKUP(A805,Studies!A:BR,4,FALSE),"")</f>
        <v>iv 0.15 mg/kg - Indiv. CH.B.</v>
      </c>
      <c r="E805" s="206" t="str">
        <f>IF(AND(A805&lt;&gt;"",ISNUMBER(A805)),VLOOKUP(A805,Studies!A:BR,5,FALSE),"")</f>
        <v>Midazolam</v>
      </c>
      <c r="F805" s="207" t="str">
        <f>IF(AND(A805&lt;&gt;"",ISNUMBER(A805)),VLOOKUP(A805,Studies!A:BR,6,FALSE),"")</f>
        <v>Plasma</v>
      </c>
      <c r="G805" s="194">
        <v>8</v>
      </c>
      <c r="H805" s="194" t="s">
        <v>60</v>
      </c>
      <c r="I805" s="187">
        <v>13</v>
      </c>
      <c r="J805" s="187" t="s">
        <v>1026</v>
      </c>
      <c r="K805" s="187" t="s">
        <v>264</v>
      </c>
      <c r="L805" s="195"/>
      <c r="M805" s="195"/>
      <c r="N805" s="195"/>
      <c r="O805" s="199"/>
      <c r="P805" s="188"/>
      <c r="Q805" s="174">
        <f>IF(ISNUMBER(VLOOKUP(A805,NotghiID!A:A,1,FALSE)),1,0)</f>
        <v>0</v>
      </c>
    </row>
    <row r="806" spans="1:17" ht="14.25" x14ac:dyDescent="0.2">
      <c r="A806" s="183">
        <v>243</v>
      </c>
      <c r="B806" s="232" t="str">
        <f>IF(AND(A806&lt;&gt;"",ISNUMBER(A806)),VLOOKUP(A806,Studies!A:BR,2,FALSE),"")</f>
        <v>Heizmann 1983</v>
      </c>
      <c r="C806" s="232" t="str">
        <f>IF(AND(A806&lt;&gt;"",ISNUMBER(A806)),VLOOKUP(A806,Studies!A:BR,3,FALSE),"")</f>
        <v>http://www.ncbi.nlm.nih.gov/pubmed/6138080</v>
      </c>
      <c r="D806" s="232" t="str">
        <f>IF(AND(A806&lt;&gt;"",ISNUMBER(A806)),VLOOKUP(A806,Studies!A:BR,4,FALSE),"")</f>
        <v>iv 0.15 mg/kg - Indiv. CH.B.</v>
      </c>
      <c r="E806" s="206" t="str">
        <f>IF(AND(A806&lt;&gt;"",ISNUMBER(A806)),VLOOKUP(A806,Studies!A:BR,5,FALSE),"")</f>
        <v>Midazolam</v>
      </c>
      <c r="F806" s="207" t="str">
        <f>IF(AND(A806&lt;&gt;"",ISNUMBER(A806)),VLOOKUP(A806,Studies!A:BR,6,FALSE),"")</f>
        <v>Plasma</v>
      </c>
      <c r="G806" s="194">
        <v>10</v>
      </c>
      <c r="H806" s="194" t="s">
        <v>60</v>
      </c>
      <c r="I806" s="187">
        <v>7</v>
      </c>
      <c r="J806" s="187" t="s">
        <v>1026</v>
      </c>
      <c r="K806" s="187" t="s">
        <v>264</v>
      </c>
      <c r="L806" s="195"/>
      <c r="M806" s="195"/>
      <c r="N806" s="195"/>
      <c r="O806" s="199"/>
      <c r="P806" s="188"/>
      <c r="Q806" s="174">
        <f>IF(ISNUMBER(VLOOKUP(A806,NotghiID!A:A,1,FALSE)),1,0)</f>
        <v>0</v>
      </c>
    </row>
    <row r="807" spans="1:17" ht="14.25" x14ac:dyDescent="0.2">
      <c r="A807" s="183">
        <v>243</v>
      </c>
      <c r="B807" s="232" t="str">
        <f>IF(AND(A807&lt;&gt;"",ISNUMBER(A807)),VLOOKUP(A807,Studies!A:BR,2,FALSE),"")</f>
        <v>Heizmann 1983</v>
      </c>
      <c r="C807" s="232" t="str">
        <f>IF(AND(A807&lt;&gt;"",ISNUMBER(A807)),VLOOKUP(A807,Studies!A:BR,3,FALSE),"")</f>
        <v>http://www.ncbi.nlm.nih.gov/pubmed/6138080</v>
      </c>
      <c r="D807" s="232" t="str">
        <f>IF(AND(A807&lt;&gt;"",ISNUMBER(A807)),VLOOKUP(A807,Studies!A:BR,4,FALSE),"")</f>
        <v>iv 0.15 mg/kg - Indiv. CH.B.</v>
      </c>
      <c r="E807" s="206" t="str">
        <f>IF(AND(A807&lt;&gt;"",ISNUMBER(A807)),VLOOKUP(A807,Studies!A:BR,5,FALSE),"")</f>
        <v>Midazolam</v>
      </c>
      <c r="F807" s="207" t="str">
        <f>IF(AND(A807&lt;&gt;"",ISNUMBER(A807)),VLOOKUP(A807,Studies!A:BR,6,FALSE),"")</f>
        <v>Plasma</v>
      </c>
      <c r="G807" s="194">
        <v>12</v>
      </c>
      <c r="H807" s="194" t="s">
        <v>60</v>
      </c>
      <c r="I807" s="187">
        <v>5</v>
      </c>
      <c r="J807" s="187" t="s">
        <v>1026</v>
      </c>
      <c r="K807" s="187" t="s">
        <v>264</v>
      </c>
      <c r="L807" s="195"/>
      <c r="M807" s="195"/>
      <c r="N807" s="195"/>
      <c r="O807" s="199"/>
      <c r="P807" s="188"/>
      <c r="Q807" s="174">
        <f>IF(ISNUMBER(VLOOKUP(A807,NotghiID!A:A,1,FALSE)),1,0)</f>
        <v>0</v>
      </c>
    </row>
    <row r="808" spans="1:17" ht="14.25" x14ac:dyDescent="0.2">
      <c r="A808" s="183">
        <v>253</v>
      </c>
      <c r="B808" s="232" t="str">
        <f>IF(AND(A808&lt;&gt;"",ISNUMBER(A808)),VLOOKUP(A808,Studies!A:BR,2,FALSE),"")</f>
        <v>Heizmann 1983</v>
      </c>
      <c r="C808" s="232" t="str">
        <f>IF(AND(A808&lt;&gt;"",ISNUMBER(A808)),VLOOKUP(A808,Studies!A:BR,3,FALSE),"")</f>
        <v>http://www.ncbi.nlm.nih.gov/pubmed/6138080</v>
      </c>
      <c r="D808" s="232" t="str">
        <f>IF(AND(A808&lt;&gt;"",ISNUMBER(A808)),VLOOKUP(A808,Studies!A:BR,4,FALSE),"")</f>
        <v>po 20 mg - Indiv. CH.B.</v>
      </c>
      <c r="E808" s="206" t="str">
        <f>IF(AND(A808&lt;&gt;"",ISNUMBER(A808)),VLOOKUP(A808,Studies!A:BR,5,FALSE),"")</f>
        <v>Midazolam</v>
      </c>
      <c r="F808" s="207" t="str">
        <f>IF(AND(A808&lt;&gt;"",ISNUMBER(A808)),VLOOKUP(A808,Studies!A:BR,6,FALSE),"")</f>
        <v>Plasma</v>
      </c>
      <c r="G808" s="194">
        <v>0.25</v>
      </c>
      <c r="H808" s="194" t="s">
        <v>60</v>
      </c>
      <c r="I808" s="187">
        <v>337</v>
      </c>
      <c r="J808" s="187" t="s">
        <v>1026</v>
      </c>
      <c r="K808" s="187" t="s">
        <v>264</v>
      </c>
      <c r="L808" s="195"/>
      <c r="M808" s="195"/>
      <c r="N808" s="195"/>
      <c r="O808" s="199"/>
      <c r="P808" s="188"/>
      <c r="Q808" s="174">
        <f>IF(ISNUMBER(VLOOKUP(A808,NotghiID!A:A,1,FALSE)),1,0)</f>
        <v>0</v>
      </c>
    </row>
    <row r="809" spans="1:17" ht="14.25" x14ac:dyDescent="0.2">
      <c r="A809" s="183">
        <v>253</v>
      </c>
      <c r="B809" s="232" t="str">
        <f>IF(AND(A809&lt;&gt;"",ISNUMBER(A809)),VLOOKUP(A809,Studies!A:BR,2,FALSE),"")</f>
        <v>Heizmann 1983</v>
      </c>
      <c r="C809" s="232" t="str">
        <f>IF(AND(A809&lt;&gt;"",ISNUMBER(A809)),VLOOKUP(A809,Studies!A:BR,3,FALSE),"")</f>
        <v>http://www.ncbi.nlm.nih.gov/pubmed/6138080</v>
      </c>
      <c r="D809" s="232" t="str">
        <f>IF(AND(A809&lt;&gt;"",ISNUMBER(A809)),VLOOKUP(A809,Studies!A:BR,4,FALSE),"")</f>
        <v>po 20 mg - Indiv. CH.B.</v>
      </c>
      <c r="E809" s="206" t="str">
        <f>IF(AND(A809&lt;&gt;"",ISNUMBER(A809)),VLOOKUP(A809,Studies!A:BR,5,FALSE),"")</f>
        <v>Midazolam</v>
      </c>
      <c r="F809" s="207" t="str">
        <f>IF(AND(A809&lt;&gt;"",ISNUMBER(A809)),VLOOKUP(A809,Studies!A:BR,6,FALSE),"")</f>
        <v>Plasma</v>
      </c>
      <c r="G809" s="194">
        <v>0.5</v>
      </c>
      <c r="H809" s="194" t="s">
        <v>60</v>
      </c>
      <c r="I809" s="187">
        <v>190</v>
      </c>
      <c r="J809" s="187" t="s">
        <v>1026</v>
      </c>
      <c r="K809" s="187" t="s">
        <v>264</v>
      </c>
      <c r="L809" s="195"/>
      <c r="M809" s="195"/>
      <c r="N809" s="195"/>
      <c r="O809" s="199"/>
      <c r="P809" s="188"/>
      <c r="Q809" s="174">
        <f>IF(ISNUMBER(VLOOKUP(A809,NotghiID!A:A,1,FALSE)),1,0)</f>
        <v>0</v>
      </c>
    </row>
    <row r="810" spans="1:17" ht="14.25" x14ac:dyDescent="0.2">
      <c r="A810" s="183">
        <v>253</v>
      </c>
      <c r="B810" s="232" t="str">
        <f>IF(AND(A810&lt;&gt;"",ISNUMBER(A810)),VLOOKUP(A810,Studies!A:BR,2,FALSE),"")</f>
        <v>Heizmann 1983</v>
      </c>
      <c r="C810" s="232" t="str">
        <f>IF(AND(A810&lt;&gt;"",ISNUMBER(A810)),VLOOKUP(A810,Studies!A:BR,3,FALSE),"")</f>
        <v>http://www.ncbi.nlm.nih.gov/pubmed/6138080</v>
      </c>
      <c r="D810" s="232" t="str">
        <f>IF(AND(A810&lt;&gt;"",ISNUMBER(A810)),VLOOKUP(A810,Studies!A:BR,4,FALSE),"")</f>
        <v>po 20 mg - Indiv. CH.B.</v>
      </c>
      <c r="E810" s="206" t="str">
        <f>IF(AND(A810&lt;&gt;"",ISNUMBER(A810)),VLOOKUP(A810,Studies!A:BR,5,FALSE),"")</f>
        <v>Midazolam</v>
      </c>
      <c r="F810" s="207" t="str">
        <f>IF(AND(A810&lt;&gt;"",ISNUMBER(A810)),VLOOKUP(A810,Studies!A:BR,6,FALSE),"")</f>
        <v>Plasma</v>
      </c>
      <c r="G810" s="194">
        <v>0.75</v>
      </c>
      <c r="H810" s="194" t="s">
        <v>60</v>
      </c>
      <c r="I810" s="187">
        <v>135</v>
      </c>
      <c r="J810" s="187" t="s">
        <v>1026</v>
      </c>
      <c r="K810" s="187" t="s">
        <v>264</v>
      </c>
      <c r="L810" s="195"/>
      <c r="M810" s="195"/>
      <c r="N810" s="195"/>
      <c r="O810" s="199"/>
      <c r="P810" s="188"/>
      <c r="Q810" s="174">
        <f>IF(ISNUMBER(VLOOKUP(A810,NotghiID!A:A,1,FALSE)),1,0)</f>
        <v>0</v>
      </c>
    </row>
    <row r="811" spans="1:17" ht="14.25" x14ac:dyDescent="0.2">
      <c r="A811" s="183">
        <v>253</v>
      </c>
      <c r="B811" s="232" t="str">
        <f>IF(AND(A811&lt;&gt;"",ISNUMBER(A811)),VLOOKUP(A811,Studies!A:BR,2,FALSE),"")</f>
        <v>Heizmann 1983</v>
      </c>
      <c r="C811" s="232" t="str">
        <f>IF(AND(A811&lt;&gt;"",ISNUMBER(A811)),VLOOKUP(A811,Studies!A:BR,3,FALSE),"")</f>
        <v>http://www.ncbi.nlm.nih.gov/pubmed/6138080</v>
      </c>
      <c r="D811" s="232" t="str">
        <f>IF(AND(A811&lt;&gt;"",ISNUMBER(A811)),VLOOKUP(A811,Studies!A:BR,4,FALSE),"")</f>
        <v>po 20 mg - Indiv. CH.B.</v>
      </c>
      <c r="E811" s="206" t="str">
        <f>IF(AND(A811&lt;&gt;"",ISNUMBER(A811)),VLOOKUP(A811,Studies!A:BR,5,FALSE),"")</f>
        <v>Midazolam</v>
      </c>
      <c r="F811" s="207" t="str">
        <f>IF(AND(A811&lt;&gt;"",ISNUMBER(A811)),VLOOKUP(A811,Studies!A:BR,6,FALSE),"")</f>
        <v>Plasma</v>
      </c>
      <c r="G811" s="194">
        <v>1</v>
      </c>
      <c r="H811" s="194" t="s">
        <v>60</v>
      </c>
      <c r="I811" s="187">
        <v>109</v>
      </c>
      <c r="J811" s="187" t="s">
        <v>1026</v>
      </c>
      <c r="K811" s="187" t="s">
        <v>264</v>
      </c>
      <c r="L811" s="195"/>
      <c r="M811" s="195"/>
      <c r="N811" s="195"/>
      <c r="O811" s="199"/>
      <c r="P811" s="188"/>
      <c r="Q811" s="174">
        <f>IF(ISNUMBER(VLOOKUP(A811,NotghiID!A:A,1,FALSE)),1,0)</f>
        <v>0</v>
      </c>
    </row>
    <row r="812" spans="1:17" ht="14.25" x14ac:dyDescent="0.2">
      <c r="A812" s="183">
        <v>253</v>
      </c>
      <c r="B812" s="232" t="str">
        <f>IF(AND(A812&lt;&gt;"",ISNUMBER(A812)),VLOOKUP(A812,Studies!A:BR,2,FALSE),"")</f>
        <v>Heizmann 1983</v>
      </c>
      <c r="C812" s="232" t="str">
        <f>IF(AND(A812&lt;&gt;"",ISNUMBER(A812)),VLOOKUP(A812,Studies!A:BR,3,FALSE),"")</f>
        <v>http://www.ncbi.nlm.nih.gov/pubmed/6138080</v>
      </c>
      <c r="D812" s="232" t="str">
        <f>IF(AND(A812&lt;&gt;"",ISNUMBER(A812)),VLOOKUP(A812,Studies!A:BR,4,FALSE),"")</f>
        <v>po 20 mg - Indiv. CH.B.</v>
      </c>
      <c r="E812" s="206" t="str">
        <f>IF(AND(A812&lt;&gt;"",ISNUMBER(A812)),VLOOKUP(A812,Studies!A:BR,5,FALSE),"")</f>
        <v>Midazolam</v>
      </c>
      <c r="F812" s="207" t="str">
        <f>IF(AND(A812&lt;&gt;"",ISNUMBER(A812)),VLOOKUP(A812,Studies!A:BR,6,FALSE),"")</f>
        <v>Plasma</v>
      </c>
      <c r="G812" s="194">
        <v>1.5</v>
      </c>
      <c r="H812" s="194" t="s">
        <v>60</v>
      </c>
      <c r="I812" s="187">
        <v>81</v>
      </c>
      <c r="J812" s="187" t="s">
        <v>1026</v>
      </c>
      <c r="K812" s="187" t="s">
        <v>264</v>
      </c>
      <c r="L812" s="195"/>
      <c r="M812" s="195"/>
      <c r="N812" s="195"/>
      <c r="O812" s="199"/>
      <c r="P812" s="188"/>
      <c r="Q812" s="174">
        <f>IF(ISNUMBER(VLOOKUP(A812,NotghiID!A:A,1,FALSE)),1,0)</f>
        <v>0</v>
      </c>
    </row>
    <row r="813" spans="1:17" ht="14.25" x14ac:dyDescent="0.2">
      <c r="A813" s="183">
        <v>253</v>
      </c>
      <c r="B813" s="232" t="str">
        <f>IF(AND(A813&lt;&gt;"",ISNUMBER(A813)),VLOOKUP(A813,Studies!A:BR,2,FALSE),"")</f>
        <v>Heizmann 1983</v>
      </c>
      <c r="C813" s="232" t="str">
        <f>IF(AND(A813&lt;&gt;"",ISNUMBER(A813)),VLOOKUP(A813,Studies!A:BR,3,FALSE),"")</f>
        <v>http://www.ncbi.nlm.nih.gov/pubmed/6138080</v>
      </c>
      <c r="D813" s="232" t="str">
        <f>IF(AND(A813&lt;&gt;"",ISNUMBER(A813)),VLOOKUP(A813,Studies!A:BR,4,FALSE),"")</f>
        <v>po 20 mg - Indiv. CH.B.</v>
      </c>
      <c r="E813" s="206" t="str">
        <f>IF(AND(A813&lt;&gt;"",ISNUMBER(A813)),VLOOKUP(A813,Studies!A:BR,5,FALSE),"")</f>
        <v>Midazolam</v>
      </c>
      <c r="F813" s="207" t="str">
        <f>IF(AND(A813&lt;&gt;"",ISNUMBER(A813)),VLOOKUP(A813,Studies!A:BR,6,FALSE),"")</f>
        <v>Plasma</v>
      </c>
      <c r="G813" s="194">
        <v>2</v>
      </c>
      <c r="H813" s="194" t="s">
        <v>60</v>
      </c>
      <c r="I813" s="187">
        <v>78</v>
      </c>
      <c r="J813" s="187" t="s">
        <v>1026</v>
      </c>
      <c r="K813" s="187" t="s">
        <v>264</v>
      </c>
      <c r="L813" s="195"/>
      <c r="M813" s="195"/>
      <c r="N813" s="195"/>
      <c r="O813" s="199"/>
      <c r="P813" s="188"/>
      <c r="Q813" s="174">
        <f>IF(ISNUMBER(VLOOKUP(A813,NotghiID!A:A,1,FALSE)),1,0)</f>
        <v>0</v>
      </c>
    </row>
    <row r="814" spans="1:17" ht="14.25" x14ac:dyDescent="0.2">
      <c r="A814" s="183">
        <v>253</v>
      </c>
      <c r="B814" s="232" t="str">
        <f>IF(AND(A814&lt;&gt;"",ISNUMBER(A814)),VLOOKUP(A814,Studies!A:BR,2,FALSE),"")</f>
        <v>Heizmann 1983</v>
      </c>
      <c r="C814" s="232" t="str">
        <f>IF(AND(A814&lt;&gt;"",ISNUMBER(A814)),VLOOKUP(A814,Studies!A:BR,3,FALSE),"")</f>
        <v>http://www.ncbi.nlm.nih.gov/pubmed/6138080</v>
      </c>
      <c r="D814" s="232" t="str">
        <f>IF(AND(A814&lt;&gt;"",ISNUMBER(A814)),VLOOKUP(A814,Studies!A:BR,4,FALSE),"")</f>
        <v>po 20 mg - Indiv. CH.B.</v>
      </c>
      <c r="E814" s="206" t="str">
        <f>IF(AND(A814&lt;&gt;"",ISNUMBER(A814)),VLOOKUP(A814,Studies!A:BR,5,FALSE),"")</f>
        <v>Midazolam</v>
      </c>
      <c r="F814" s="207" t="str">
        <f>IF(AND(A814&lt;&gt;"",ISNUMBER(A814)),VLOOKUP(A814,Studies!A:BR,6,FALSE),"")</f>
        <v>Plasma</v>
      </c>
      <c r="G814" s="194">
        <v>3</v>
      </c>
      <c r="H814" s="194" t="s">
        <v>60</v>
      </c>
      <c r="I814" s="187">
        <v>50</v>
      </c>
      <c r="J814" s="187" t="s">
        <v>1026</v>
      </c>
      <c r="K814" s="187" t="s">
        <v>264</v>
      </c>
      <c r="L814" s="195"/>
      <c r="M814" s="195"/>
      <c r="N814" s="195"/>
      <c r="O814" s="199"/>
      <c r="P814" s="188"/>
      <c r="Q814" s="174">
        <f>IF(ISNUMBER(VLOOKUP(A814,NotghiID!A:A,1,FALSE)),1,0)</f>
        <v>0</v>
      </c>
    </row>
    <row r="815" spans="1:17" ht="14.25" x14ac:dyDescent="0.2">
      <c r="A815" s="183">
        <v>253</v>
      </c>
      <c r="B815" s="232" t="str">
        <f>IF(AND(A815&lt;&gt;"",ISNUMBER(A815)),VLOOKUP(A815,Studies!A:BR,2,FALSE),"")</f>
        <v>Heizmann 1983</v>
      </c>
      <c r="C815" s="232" t="str">
        <f>IF(AND(A815&lt;&gt;"",ISNUMBER(A815)),VLOOKUP(A815,Studies!A:BR,3,FALSE),"")</f>
        <v>http://www.ncbi.nlm.nih.gov/pubmed/6138080</v>
      </c>
      <c r="D815" s="232" t="str">
        <f>IF(AND(A815&lt;&gt;"",ISNUMBER(A815)),VLOOKUP(A815,Studies!A:BR,4,FALSE),"")</f>
        <v>po 20 mg - Indiv. CH.B.</v>
      </c>
      <c r="E815" s="206" t="str">
        <f>IF(AND(A815&lt;&gt;"",ISNUMBER(A815)),VLOOKUP(A815,Studies!A:BR,5,FALSE),"")</f>
        <v>Midazolam</v>
      </c>
      <c r="F815" s="207" t="str">
        <f>IF(AND(A815&lt;&gt;"",ISNUMBER(A815)),VLOOKUP(A815,Studies!A:BR,6,FALSE),"")</f>
        <v>Plasma</v>
      </c>
      <c r="G815" s="194">
        <v>4</v>
      </c>
      <c r="H815" s="194" t="s">
        <v>60</v>
      </c>
      <c r="I815" s="187">
        <v>40</v>
      </c>
      <c r="J815" s="187" t="s">
        <v>1026</v>
      </c>
      <c r="K815" s="187" t="s">
        <v>264</v>
      </c>
      <c r="L815" s="195"/>
      <c r="M815" s="195"/>
      <c r="N815" s="195"/>
      <c r="O815" s="199"/>
      <c r="P815" s="188"/>
      <c r="Q815" s="174">
        <f>IF(ISNUMBER(VLOOKUP(A815,NotghiID!A:A,1,FALSE)),1,0)</f>
        <v>0</v>
      </c>
    </row>
    <row r="816" spans="1:17" ht="14.25" x14ac:dyDescent="0.2">
      <c r="A816" s="183">
        <v>253</v>
      </c>
      <c r="B816" s="232" t="str">
        <f>IF(AND(A816&lt;&gt;"",ISNUMBER(A816)),VLOOKUP(A816,Studies!A:BR,2,FALSE),"")</f>
        <v>Heizmann 1983</v>
      </c>
      <c r="C816" s="232" t="str">
        <f>IF(AND(A816&lt;&gt;"",ISNUMBER(A816)),VLOOKUP(A816,Studies!A:BR,3,FALSE),"")</f>
        <v>http://www.ncbi.nlm.nih.gov/pubmed/6138080</v>
      </c>
      <c r="D816" s="232" t="str">
        <f>IF(AND(A816&lt;&gt;"",ISNUMBER(A816)),VLOOKUP(A816,Studies!A:BR,4,FALSE),"")</f>
        <v>po 20 mg - Indiv. CH.B.</v>
      </c>
      <c r="E816" s="206" t="str">
        <f>IF(AND(A816&lt;&gt;"",ISNUMBER(A816)),VLOOKUP(A816,Studies!A:BR,5,FALSE),"")</f>
        <v>Midazolam</v>
      </c>
      <c r="F816" s="207" t="str">
        <f>IF(AND(A816&lt;&gt;"",ISNUMBER(A816)),VLOOKUP(A816,Studies!A:BR,6,FALSE),"")</f>
        <v>Plasma</v>
      </c>
      <c r="G816" s="194">
        <v>5</v>
      </c>
      <c r="H816" s="194" t="s">
        <v>60</v>
      </c>
      <c r="I816" s="187">
        <v>25</v>
      </c>
      <c r="J816" s="187" t="s">
        <v>1026</v>
      </c>
      <c r="K816" s="187" t="s">
        <v>264</v>
      </c>
      <c r="L816" s="195"/>
      <c r="M816" s="195"/>
      <c r="N816" s="195"/>
      <c r="O816" s="199"/>
      <c r="P816" s="188"/>
      <c r="Q816" s="174">
        <f>IF(ISNUMBER(VLOOKUP(A816,NotghiID!A:A,1,FALSE)),1,0)</f>
        <v>0</v>
      </c>
    </row>
    <row r="817" spans="1:17" ht="14.25" x14ac:dyDescent="0.2">
      <c r="A817" s="183">
        <v>253</v>
      </c>
      <c r="B817" s="232" t="str">
        <f>IF(AND(A817&lt;&gt;"",ISNUMBER(A817)),VLOOKUP(A817,Studies!A:BR,2,FALSE),"")</f>
        <v>Heizmann 1983</v>
      </c>
      <c r="C817" s="232" t="str">
        <f>IF(AND(A817&lt;&gt;"",ISNUMBER(A817)),VLOOKUP(A817,Studies!A:BR,3,FALSE),"")</f>
        <v>http://www.ncbi.nlm.nih.gov/pubmed/6138080</v>
      </c>
      <c r="D817" s="232" t="str">
        <f>IF(AND(A817&lt;&gt;"",ISNUMBER(A817)),VLOOKUP(A817,Studies!A:BR,4,FALSE),"")</f>
        <v>po 20 mg - Indiv. CH.B.</v>
      </c>
      <c r="E817" s="206" t="str">
        <f>IF(AND(A817&lt;&gt;"",ISNUMBER(A817)),VLOOKUP(A817,Studies!A:BR,5,FALSE),"")</f>
        <v>Midazolam</v>
      </c>
      <c r="F817" s="207" t="str">
        <f>IF(AND(A817&lt;&gt;"",ISNUMBER(A817)),VLOOKUP(A817,Studies!A:BR,6,FALSE),"")</f>
        <v>Plasma</v>
      </c>
      <c r="G817" s="194">
        <v>6</v>
      </c>
      <c r="H817" s="194" t="s">
        <v>60</v>
      </c>
      <c r="I817" s="187">
        <v>18</v>
      </c>
      <c r="J817" s="187" t="s">
        <v>1026</v>
      </c>
      <c r="K817" s="187" t="s">
        <v>264</v>
      </c>
      <c r="L817" s="195"/>
      <c r="M817" s="195"/>
      <c r="N817" s="195"/>
      <c r="O817" s="199"/>
      <c r="P817" s="188"/>
      <c r="Q817" s="174">
        <f>IF(ISNUMBER(VLOOKUP(A817,NotghiID!A:A,1,FALSE)),1,0)</f>
        <v>0</v>
      </c>
    </row>
    <row r="818" spans="1:17" ht="14.25" x14ac:dyDescent="0.2">
      <c r="A818" s="183">
        <v>253</v>
      </c>
      <c r="B818" s="232" t="str">
        <f>IF(AND(A818&lt;&gt;"",ISNUMBER(A818)),VLOOKUP(A818,Studies!A:BR,2,FALSE),"")</f>
        <v>Heizmann 1983</v>
      </c>
      <c r="C818" s="232" t="str">
        <f>IF(AND(A818&lt;&gt;"",ISNUMBER(A818)),VLOOKUP(A818,Studies!A:BR,3,FALSE),"")</f>
        <v>http://www.ncbi.nlm.nih.gov/pubmed/6138080</v>
      </c>
      <c r="D818" s="232" t="str">
        <f>IF(AND(A818&lt;&gt;"",ISNUMBER(A818)),VLOOKUP(A818,Studies!A:BR,4,FALSE),"")</f>
        <v>po 20 mg - Indiv. CH.B.</v>
      </c>
      <c r="E818" s="206" t="str">
        <f>IF(AND(A818&lt;&gt;"",ISNUMBER(A818)),VLOOKUP(A818,Studies!A:BR,5,FALSE),"")</f>
        <v>Midazolam</v>
      </c>
      <c r="F818" s="207" t="str">
        <f>IF(AND(A818&lt;&gt;"",ISNUMBER(A818)),VLOOKUP(A818,Studies!A:BR,6,FALSE),"")</f>
        <v>Plasma</v>
      </c>
      <c r="G818" s="194">
        <v>8</v>
      </c>
      <c r="H818" s="194" t="s">
        <v>60</v>
      </c>
      <c r="I818" s="187">
        <v>9</v>
      </c>
      <c r="J818" s="187" t="s">
        <v>1026</v>
      </c>
      <c r="K818" s="187" t="s">
        <v>264</v>
      </c>
      <c r="L818" s="195"/>
      <c r="M818" s="195"/>
      <c r="N818" s="195"/>
      <c r="O818" s="199"/>
      <c r="P818" s="188"/>
      <c r="Q818" s="174">
        <f>IF(ISNUMBER(VLOOKUP(A818,NotghiID!A:A,1,FALSE)),1,0)</f>
        <v>0</v>
      </c>
    </row>
    <row r="819" spans="1:17" ht="14.25" x14ac:dyDescent="0.2">
      <c r="A819" s="183">
        <v>253</v>
      </c>
      <c r="B819" s="232" t="str">
        <f>IF(AND(A819&lt;&gt;"",ISNUMBER(A819)),VLOOKUP(A819,Studies!A:BR,2,FALSE),"")</f>
        <v>Heizmann 1983</v>
      </c>
      <c r="C819" s="232" t="str">
        <f>IF(AND(A819&lt;&gt;"",ISNUMBER(A819)),VLOOKUP(A819,Studies!A:BR,3,FALSE),"")</f>
        <v>http://www.ncbi.nlm.nih.gov/pubmed/6138080</v>
      </c>
      <c r="D819" s="232" t="str">
        <f>IF(AND(A819&lt;&gt;"",ISNUMBER(A819)),VLOOKUP(A819,Studies!A:BR,4,FALSE),"")</f>
        <v>po 20 mg - Indiv. CH.B.</v>
      </c>
      <c r="E819" s="206" t="str">
        <f>IF(AND(A819&lt;&gt;"",ISNUMBER(A819)),VLOOKUP(A819,Studies!A:BR,5,FALSE),"")</f>
        <v>Midazolam</v>
      </c>
      <c r="F819" s="207" t="str">
        <f>IF(AND(A819&lt;&gt;"",ISNUMBER(A819)),VLOOKUP(A819,Studies!A:BR,6,FALSE),"")</f>
        <v>Plasma</v>
      </c>
      <c r="G819" s="194">
        <v>10</v>
      </c>
      <c r="H819" s="194" t="s">
        <v>60</v>
      </c>
      <c r="I819" s="187">
        <v>6</v>
      </c>
      <c r="J819" s="187" t="s">
        <v>1026</v>
      </c>
      <c r="K819" s="187" t="s">
        <v>264</v>
      </c>
      <c r="L819" s="195"/>
      <c r="M819" s="195"/>
      <c r="N819" s="195"/>
      <c r="O819" s="199"/>
      <c r="P819" s="188"/>
      <c r="Q819" s="174">
        <f>IF(ISNUMBER(VLOOKUP(A819,NotghiID!A:A,1,FALSE)),1,0)</f>
        <v>0</v>
      </c>
    </row>
    <row r="820" spans="1:17" ht="14.25" x14ac:dyDescent="0.2">
      <c r="A820" s="183">
        <v>253</v>
      </c>
      <c r="B820" s="232" t="str">
        <f>IF(AND(A820&lt;&gt;"",ISNUMBER(A820)),VLOOKUP(A820,Studies!A:BR,2,FALSE),"")</f>
        <v>Heizmann 1983</v>
      </c>
      <c r="C820" s="232" t="str">
        <f>IF(AND(A820&lt;&gt;"",ISNUMBER(A820)),VLOOKUP(A820,Studies!A:BR,3,FALSE),"")</f>
        <v>http://www.ncbi.nlm.nih.gov/pubmed/6138080</v>
      </c>
      <c r="D820" s="232" t="str">
        <f>IF(AND(A820&lt;&gt;"",ISNUMBER(A820)),VLOOKUP(A820,Studies!A:BR,4,FALSE),"")</f>
        <v>po 20 mg - Indiv. CH.B.</v>
      </c>
      <c r="E820" s="206" t="str">
        <f>IF(AND(A820&lt;&gt;"",ISNUMBER(A820)),VLOOKUP(A820,Studies!A:BR,5,FALSE),"")</f>
        <v>Midazolam</v>
      </c>
      <c r="F820" s="207" t="str">
        <f>IF(AND(A820&lt;&gt;"",ISNUMBER(A820)),VLOOKUP(A820,Studies!A:BR,6,FALSE),"")</f>
        <v>Plasma</v>
      </c>
      <c r="G820" s="194">
        <v>12</v>
      </c>
      <c r="H820" s="194" t="s">
        <v>60</v>
      </c>
      <c r="I820" s="187">
        <v>4</v>
      </c>
      <c r="J820" s="187" t="s">
        <v>1026</v>
      </c>
      <c r="K820" s="187" t="s">
        <v>264</v>
      </c>
      <c r="L820" s="195"/>
      <c r="M820" s="195"/>
      <c r="N820" s="195"/>
      <c r="O820" s="199"/>
      <c r="P820" s="188"/>
      <c r="Q820" s="174">
        <f>IF(ISNUMBER(VLOOKUP(A820,NotghiID!A:A,1,FALSE)),1,0)</f>
        <v>0</v>
      </c>
    </row>
    <row r="821" spans="1:17" ht="14.25" x14ac:dyDescent="0.2">
      <c r="A821" s="183">
        <v>259</v>
      </c>
      <c r="B821" s="232" t="str">
        <f>IF(AND(A821&lt;&gt;"",ISNUMBER(A821)),VLOOKUP(A821,Studies!A:BR,2,FALSE),"")</f>
        <v>Heizmann 1983</v>
      </c>
      <c r="C821" s="232" t="str">
        <f>IF(AND(A821&lt;&gt;"",ISNUMBER(A821)),VLOOKUP(A821,Studies!A:BR,3,FALSE),"")</f>
        <v>http://www.ncbi.nlm.nih.gov/pubmed/6138080</v>
      </c>
      <c r="D821" s="232" t="str">
        <f>IF(AND(A821&lt;&gt;"",ISNUMBER(A821)),VLOOKUP(A821,Studies!A:BR,4,FALSE),"")</f>
        <v>po 40 mg - Indiv. CH.B.</v>
      </c>
      <c r="E821" s="206" t="str">
        <f>IF(AND(A821&lt;&gt;"",ISNUMBER(A821)),VLOOKUP(A821,Studies!A:BR,5,FALSE),"")</f>
        <v>Midazolam</v>
      </c>
      <c r="F821" s="207" t="str">
        <f>IF(AND(A821&lt;&gt;"",ISNUMBER(A821)),VLOOKUP(A821,Studies!A:BR,6,FALSE),"")</f>
        <v>Plasma</v>
      </c>
      <c r="G821" s="194">
        <v>0.25</v>
      </c>
      <c r="H821" s="194" t="s">
        <v>60</v>
      </c>
      <c r="I821" s="187">
        <v>953</v>
      </c>
      <c r="J821" s="187" t="s">
        <v>1026</v>
      </c>
      <c r="K821" s="187" t="s">
        <v>264</v>
      </c>
      <c r="L821" s="195"/>
      <c r="M821" s="195"/>
      <c r="N821" s="195"/>
      <c r="O821" s="199"/>
      <c r="P821" s="188"/>
      <c r="Q821" s="174">
        <f>IF(ISNUMBER(VLOOKUP(A821,NotghiID!A:A,1,FALSE)),1,0)</f>
        <v>0</v>
      </c>
    </row>
    <row r="822" spans="1:17" ht="14.25" x14ac:dyDescent="0.2">
      <c r="A822" s="183">
        <v>259</v>
      </c>
      <c r="B822" s="232" t="str">
        <f>IF(AND(A822&lt;&gt;"",ISNUMBER(A822)),VLOOKUP(A822,Studies!A:BR,2,FALSE),"")</f>
        <v>Heizmann 1983</v>
      </c>
      <c r="C822" s="232" t="str">
        <f>IF(AND(A822&lt;&gt;"",ISNUMBER(A822)),VLOOKUP(A822,Studies!A:BR,3,FALSE),"")</f>
        <v>http://www.ncbi.nlm.nih.gov/pubmed/6138080</v>
      </c>
      <c r="D822" s="232" t="str">
        <f>IF(AND(A822&lt;&gt;"",ISNUMBER(A822)),VLOOKUP(A822,Studies!A:BR,4,FALSE),"")</f>
        <v>po 40 mg - Indiv. CH.B.</v>
      </c>
      <c r="E822" s="206" t="str">
        <f>IF(AND(A822&lt;&gt;"",ISNUMBER(A822)),VLOOKUP(A822,Studies!A:BR,5,FALSE),"")</f>
        <v>Midazolam</v>
      </c>
      <c r="F822" s="207" t="str">
        <f>IF(AND(A822&lt;&gt;"",ISNUMBER(A822)),VLOOKUP(A822,Studies!A:BR,6,FALSE),"")</f>
        <v>Plasma</v>
      </c>
      <c r="G822" s="194">
        <v>0.5</v>
      </c>
      <c r="H822" s="194" t="s">
        <v>60</v>
      </c>
      <c r="I822" s="187">
        <v>450</v>
      </c>
      <c r="J822" s="187" t="s">
        <v>1026</v>
      </c>
      <c r="K822" s="187" t="s">
        <v>264</v>
      </c>
      <c r="L822" s="195"/>
      <c r="M822" s="195"/>
      <c r="N822" s="195"/>
      <c r="O822" s="199"/>
      <c r="P822" s="188"/>
      <c r="Q822" s="174">
        <f>IF(ISNUMBER(VLOOKUP(A822,NotghiID!A:A,1,FALSE)),1,0)</f>
        <v>0</v>
      </c>
    </row>
    <row r="823" spans="1:17" ht="14.25" x14ac:dyDescent="0.2">
      <c r="A823" s="183">
        <v>259</v>
      </c>
      <c r="B823" s="232" t="str">
        <f>IF(AND(A823&lt;&gt;"",ISNUMBER(A823)),VLOOKUP(A823,Studies!A:BR,2,FALSE),"")</f>
        <v>Heizmann 1983</v>
      </c>
      <c r="C823" s="232" t="str">
        <f>IF(AND(A823&lt;&gt;"",ISNUMBER(A823)),VLOOKUP(A823,Studies!A:BR,3,FALSE),"")</f>
        <v>http://www.ncbi.nlm.nih.gov/pubmed/6138080</v>
      </c>
      <c r="D823" s="232" t="str">
        <f>IF(AND(A823&lt;&gt;"",ISNUMBER(A823)),VLOOKUP(A823,Studies!A:BR,4,FALSE),"")</f>
        <v>po 40 mg - Indiv. CH.B.</v>
      </c>
      <c r="E823" s="206" t="str">
        <f>IF(AND(A823&lt;&gt;"",ISNUMBER(A823)),VLOOKUP(A823,Studies!A:BR,5,FALSE),"")</f>
        <v>Midazolam</v>
      </c>
      <c r="F823" s="207" t="str">
        <f>IF(AND(A823&lt;&gt;"",ISNUMBER(A823)),VLOOKUP(A823,Studies!A:BR,6,FALSE),"")</f>
        <v>Plasma</v>
      </c>
      <c r="G823" s="194">
        <v>0.75</v>
      </c>
      <c r="H823" s="194" t="s">
        <v>60</v>
      </c>
      <c r="I823" s="187">
        <v>285</v>
      </c>
      <c r="J823" s="187" t="s">
        <v>1026</v>
      </c>
      <c r="K823" s="187" t="s">
        <v>264</v>
      </c>
      <c r="L823" s="195"/>
      <c r="M823" s="195"/>
      <c r="N823" s="195"/>
      <c r="O823" s="199"/>
      <c r="P823" s="188"/>
      <c r="Q823" s="174">
        <f>IF(ISNUMBER(VLOOKUP(A823,NotghiID!A:A,1,FALSE)),1,0)</f>
        <v>0</v>
      </c>
    </row>
    <row r="824" spans="1:17" ht="14.25" x14ac:dyDescent="0.2">
      <c r="A824" s="183">
        <v>259</v>
      </c>
      <c r="B824" s="232" t="str">
        <f>IF(AND(A824&lt;&gt;"",ISNUMBER(A824)),VLOOKUP(A824,Studies!A:BR,2,FALSE),"")</f>
        <v>Heizmann 1983</v>
      </c>
      <c r="C824" s="232" t="str">
        <f>IF(AND(A824&lt;&gt;"",ISNUMBER(A824)),VLOOKUP(A824,Studies!A:BR,3,FALSE),"")</f>
        <v>http://www.ncbi.nlm.nih.gov/pubmed/6138080</v>
      </c>
      <c r="D824" s="232" t="str">
        <f>IF(AND(A824&lt;&gt;"",ISNUMBER(A824)),VLOOKUP(A824,Studies!A:BR,4,FALSE),"")</f>
        <v>po 40 mg - Indiv. CH.B.</v>
      </c>
      <c r="E824" s="206" t="str">
        <f>IF(AND(A824&lt;&gt;"",ISNUMBER(A824)),VLOOKUP(A824,Studies!A:BR,5,FALSE),"")</f>
        <v>Midazolam</v>
      </c>
      <c r="F824" s="207" t="str">
        <f>IF(AND(A824&lt;&gt;"",ISNUMBER(A824)),VLOOKUP(A824,Studies!A:BR,6,FALSE),"")</f>
        <v>Plasma</v>
      </c>
      <c r="G824" s="194">
        <v>1</v>
      </c>
      <c r="H824" s="194" t="s">
        <v>60</v>
      </c>
      <c r="I824" s="187">
        <v>259</v>
      </c>
      <c r="J824" s="187" t="s">
        <v>1026</v>
      </c>
      <c r="K824" s="187" t="s">
        <v>264</v>
      </c>
      <c r="L824" s="195"/>
      <c r="M824" s="195"/>
      <c r="N824" s="195"/>
      <c r="O824" s="199"/>
      <c r="P824" s="188"/>
      <c r="Q824" s="174">
        <f>IF(ISNUMBER(VLOOKUP(A824,NotghiID!A:A,1,FALSE)),1,0)</f>
        <v>0</v>
      </c>
    </row>
    <row r="825" spans="1:17" ht="14.25" x14ac:dyDescent="0.2">
      <c r="A825" s="183">
        <v>259</v>
      </c>
      <c r="B825" s="232" t="str">
        <f>IF(AND(A825&lt;&gt;"",ISNUMBER(A825)),VLOOKUP(A825,Studies!A:BR,2,FALSE),"")</f>
        <v>Heizmann 1983</v>
      </c>
      <c r="C825" s="232" t="str">
        <f>IF(AND(A825&lt;&gt;"",ISNUMBER(A825)),VLOOKUP(A825,Studies!A:BR,3,FALSE),"")</f>
        <v>http://www.ncbi.nlm.nih.gov/pubmed/6138080</v>
      </c>
      <c r="D825" s="232" t="str">
        <f>IF(AND(A825&lt;&gt;"",ISNUMBER(A825)),VLOOKUP(A825,Studies!A:BR,4,FALSE),"")</f>
        <v>po 40 mg - Indiv. CH.B.</v>
      </c>
      <c r="E825" s="206" t="str">
        <f>IF(AND(A825&lt;&gt;"",ISNUMBER(A825)),VLOOKUP(A825,Studies!A:BR,5,FALSE),"")</f>
        <v>Midazolam</v>
      </c>
      <c r="F825" s="207" t="str">
        <f>IF(AND(A825&lt;&gt;"",ISNUMBER(A825)),VLOOKUP(A825,Studies!A:BR,6,FALSE),"")</f>
        <v>Plasma</v>
      </c>
      <c r="G825" s="194">
        <v>1.5</v>
      </c>
      <c r="H825" s="194" t="s">
        <v>60</v>
      </c>
      <c r="I825" s="187">
        <v>209</v>
      </c>
      <c r="J825" s="187" t="s">
        <v>1026</v>
      </c>
      <c r="K825" s="187" t="s">
        <v>264</v>
      </c>
      <c r="L825" s="195"/>
      <c r="M825" s="195"/>
      <c r="N825" s="195"/>
      <c r="O825" s="199"/>
      <c r="P825" s="188"/>
      <c r="Q825" s="174">
        <f>IF(ISNUMBER(VLOOKUP(A825,NotghiID!A:A,1,FALSE)),1,0)</f>
        <v>0</v>
      </c>
    </row>
    <row r="826" spans="1:17" ht="14.25" x14ac:dyDescent="0.2">
      <c r="A826" s="183">
        <v>259</v>
      </c>
      <c r="B826" s="232" t="str">
        <f>IF(AND(A826&lt;&gt;"",ISNUMBER(A826)),VLOOKUP(A826,Studies!A:BR,2,FALSE),"")</f>
        <v>Heizmann 1983</v>
      </c>
      <c r="C826" s="232" t="str">
        <f>IF(AND(A826&lt;&gt;"",ISNUMBER(A826)),VLOOKUP(A826,Studies!A:BR,3,FALSE),"")</f>
        <v>http://www.ncbi.nlm.nih.gov/pubmed/6138080</v>
      </c>
      <c r="D826" s="232" t="str">
        <f>IF(AND(A826&lt;&gt;"",ISNUMBER(A826)),VLOOKUP(A826,Studies!A:BR,4,FALSE),"")</f>
        <v>po 40 mg - Indiv. CH.B.</v>
      </c>
      <c r="E826" s="206" t="str">
        <f>IF(AND(A826&lt;&gt;"",ISNUMBER(A826)),VLOOKUP(A826,Studies!A:BR,5,FALSE),"")</f>
        <v>Midazolam</v>
      </c>
      <c r="F826" s="207" t="str">
        <f>IF(AND(A826&lt;&gt;"",ISNUMBER(A826)),VLOOKUP(A826,Studies!A:BR,6,FALSE),"")</f>
        <v>Plasma</v>
      </c>
      <c r="G826" s="194">
        <v>2</v>
      </c>
      <c r="H826" s="194" t="s">
        <v>60</v>
      </c>
      <c r="I826" s="187">
        <v>165</v>
      </c>
      <c r="J826" s="187" t="s">
        <v>1026</v>
      </c>
      <c r="K826" s="187" t="s">
        <v>264</v>
      </c>
      <c r="L826" s="195"/>
      <c r="M826" s="195"/>
      <c r="N826" s="195"/>
      <c r="O826" s="199"/>
      <c r="P826" s="188"/>
      <c r="Q826" s="174">
        <f>IF(ISNUMBER(VLOOKUP(A826,NotghiID!A:A,1,FALSE)),1,0)</f>
        <v>0</v>
      </c>
    </row>
    <row r="827" spans="1:17" ht="14.25" x14ac:dyDescent="0.2">
      <c r="A827" s="183">
        <v>259</v>
      </c>
      <c r="B827" s="232" t="str">
        <f>IF(AND(A827&lt;&gt;"",ISNUMBER(A827)),VLOOKUP(A827,Studies!A:BR,2,FALSE),"")</f>
        <v>Heizmann 1983</v>
      </c>
      <c r="C827" s="232" t="str">
        <f>IF(AND(A827&lt;&gt;"",ISNUMBER(A827)),VLOOKUP(A827,Studies!A:BR,3,FALSE),"")</f>
        <v>http://www.ncbi.nlm.nih.gov/pubmed/6138080</v>
      </c>
      <c r="D827" s="232" t="str">
        <f>IF(AND(A827&lt;&gt;"",ISNUMBER(A827)),VLOOKUP(A827,Studies!A:BR,4,FALSE),"")</f>
        <v>po 40 mg - Indiv. CH.B.</v>
      </c>
      <c r="E827" s="206" t="str">
        <f>IF(AND(A827&lt;&gt;"",ISNUMBER(A827)),VLOOKUP(A827,Studies!A:BR,5,FALSE),"")</f>
        <v>Midazolam</v>
      </c>
      <c r="F827" s="207" t="str">
        <f>IF(AND(A827&lt;&gt;"",ISNUMBER(A827)),VLOOKUP(A827,Studies!A:BR,6,FALSE),"")</f>
        <v>Plasma</v>
      </c>
      <c r="G827" s="194">
        <v>3</v>
      </c>
      <c r="H827" s="194" t="s">
        <v>60</v>
      </c>
      <c r="I827" s="187">
        <v>105</v>
      </c>
      <c r="J827" s="187" t="s">
        <v>1026</v>
      </c>
      <c r="K827" s="187" t="s">
        <v>264</v>
      </c>
      <c r="L827" s="195"/>
      <c r="M827" s="195"/>
      <c r="N827" s="195"/>
      <c r="O827" s="199"/>
      <c r="P827" s="188"/>
      <c r="Q827" s="174">
        <f>IF(ISNUMBER(VLOOKUP(A827,NotghiID!A:A,1,FALSE)),1,0)</f>
        <v>0</v>
      </c>
    </row>
    <row r="828" spans="1:17" ht="14.25" x14ac:dyDescent="0.2">
      <c r="A828" s="183">
        <v>259</v>
      </c>
      <c r="B828" s="232" t="str">
        <f>IF(AND(A828&lt;&gt;"",ISNUMBER(A828)),VLOOKUP(A828,Studies!A:BR,2,FALSE),"")</f>
        <v>Heizmann 1983</v>
      </c>
      <c r="C828" s="232" t="str">
        <f>IF(AND(A828&lt;&gt;"",ISNUMBER(A828)),VLOOKUP(A828,Studies!A:BR,3,FALSE),"")</f>
        <v>http://www.ncbi.nlm.nih.gov/pubmed/6138080</v>
      </c>
      <c r="D828" s="232" t="str">
        <f>IF(AND(A828&lt;&gt;"",ISNUMBER(A828)),VLOOKUP(A828,Studies!A:BR,4,FALSE),"")</f>
        <v>po 40 mg - Indiv. CH.B.</v>
      </c>
      <c r="E828" s="206" t="str">
        <f>IF(AND(A828&lt;&gt;"",ISNUMBER(A828)),VLOOKUP(A828,Studies!A:BR,5,FALSE),"")</f>
        <v>Midazolam</v>
      </c>
      <c r="F828" s="207" t="str">
        <f>IF(AND(A828&lt;&gt;"",ISNUMBER(A828)),VLOOKUP(A828,Studies!A:BR,6,FALSE),"")</f>
        <v>Plasma</v>
      </c>
      <c r="G828" s="194">
        <v>4</v>
      </c>
      <c r="H828" s="194" t="s">
        <v>60</v>
      </c>
      <c r="I828" s="187">
        <v>87</v>
      </c>
      <c r="J828" s="187" t="s">
        <v>1026</v>
      </c>
      <c r="K828" s="187" t="s">
        <v>264</v>
      </c>
      <c r="L828" s="195"/>
      <c r="M828" s="195"/>
      <c r="N828" s="195"/>
      <c r="O828" s="199"/>
      <c r="P828" s="188"/>
      <c r="Q828" s="174">
        <f>IF(ISNUMBER(VLOOKUP(A828,NotghiID!A:A,1,FALSE)),1,0)</f>
        <v>0</v>
      </c>
    </row>
    <row r="829" spans="1:17" ht="14.25" x14ac:dyDescent="0.2">
      <c r="A829" s="183">
        <v>259</v>
      </c>
      <c r="B829" s="232" t="str">
        <f>IF(AND(A829&lt;&gt;"",ISNUMBER(A829)),VLOOKUP(A829,Studies!A:BR,2,FALSE),"")</f>
        <v>Heizmann 1983</v>
      </c>
      <c r="C829" s="232" t="str">
        <f>IF(AND(A829&lt;&gt;"",ISNUMBER(A829)),VLOOKUP(A829,Studies!A:BR,3,FALSE),"")</f>
        <v>http://www.ncbi.nlm.nih.gov/pubmed/6138080</v>
      </c>
      <c r="D829" s="232" t="str">
        <f>IF(AND(A829&lt;&gt;"",ISNUMBER(A829)),VLOOKUP(A829,Studies!A:BR,4,FALSE),"")</f>
        <v>po 40 mg - Indiv. CH.B.</v>
      </c>
      <c r="E829" s="206" t="str">
        <f>IF(AND(A829&lt;&gt;"",ISNUMBER(A829)),VLOOKUP(A829,Studies!A:BR,5,FALSE),"")</f>
        <v>Midazolam</v>
      </c>
      <c r="F829" s="207" t="str">
        <f>IF(AND(A829&lt;&gt;"",ISNUMBER(A829)),VLOOKUP(A829,Studies!A:BR,6,FALSE),"")</f>
        <v>Plasma</v>
      </c>
      <c r="G829" s="194">
        <v>5</v>
      </c>
      <c r="H829" s="194" t="s">
        <v>60</v>
      </c>
      <c r="I829" s="187">
        <v>42</v>
      </c>
      <c r="J829" s="187" t="s">
        <v>1026</v>
      </c>
      <c r="K829" s="187" t="s">
        <v>264</v>
      </c>
      <c r="L829" s="195"/>
      <c r="M829" s="195"/>
      <c r="N829" s="195"/>
      <c r="O829" s="199"/>
      <c r="P829" s="188"/>
      <c r="Q829" s="174">
        <f>IF(ISNUMBER(VLOOKUP(A829,NotghiID!A:A,1,FALSE)),1,0)</f>
        <v>0</v>
      </c>
    </row>
    <row r="830" spans="1:17" ht="14.25" x14ac:dyDescent="0.2">
      <c r="A830" s="183">
        <v>259</v>
      </c>
      <c r="B830" s="232" t="str">
        <f>IF(AND(A830&lt;&gt;"",ISNUMBER(A830)),VLOOKUP(A830,Studies!A:BR,2,FALSE),"")</f>
        <v>Heizmann 1983</v>
      </c>
      <c r="C830" s="232" t="str">
        <f>IF(AND(A830&lt;&gt;"",ISNUMBER(A830)),VLOOKUP(A830,Studies!A:BR,3,FALSE),"")</f>
        <v>http://www.ncbi.nlm.nih.gov/pubmed/6138080</v>
      </c>
      <c r="D830" s="232" t="str">
        <f>IF(AND(A830&lt;&gt;"",ISNUMBER(A830)),VLOOKUP(A830,Studies!A:BR,4,FALSE),"")</f>
        <v>po 40 mg - Indiv. CH.B.</v>
      </c>
      <c r="E830" s="206" t="str">
        <f>IF(AND(A830&lt;&gt;"",ISNUMBER(A830)),VLOOKUP(A830,Studies!A:BR,5,FALSE),"")</f>
        <v>Midazolam</v>
      </c>
      <c r="F830" s="207" t="str">
        <f>IF(AND(A830&lt;&gt;"",ISNUMBER(A830)),VLOOKUP(A830,Studies!A:BR,6,FALSE),"")</f>
        <v>Plasma</v>
      </c>
      <c r="G830" s="194">
        <v>6</v>
      </c>
      <c r="H830" s="194" t="s">
        <v>60</v>
      </c>
      <c r="I830" s="187">
        <v>34</v>
      </c>
      <c r="J830" s="187" t="s">
        <v>1026</v>
      </c>
      <c r="K830" s="187" t="s">
        <v>264</v>
      </c>
      <c r="L830" s="195"/>
      <c r="M830" s="195"/>
      <c r="N830" s="195"/>
      <c r="O830" s="199"/>
      <c r="P830" s="188"/>
      <c r="Q830" s="174">
        <f>IF(ISNUMBER(VLOOKUP(A830,NotghiID!A:A,1,FALSE)),1,0)</f>
        <v>0</v>
      </c>
    </row>
    <row r="831" spans="1:17" ht="14.25" x14ac:dyDescent="0.2">
      <c r="A831" s="183">
        <v>259</v>
      </c>
      <c r="B831" s="232" t="str">
        <f>IF(AND(A831&lt;&gt;"",ISNUMBER(A831)),VLOOKUP(A831,Studies!A:BR,2,FALSE),"")</f>
        <v>Heizmann 1983</v>
      </c>
      <c r="C831" s="232" t="str">
        <f>IF(AND(A831&lt;&gt;"",ISNUMBER(A831)),VLOOKUP(A831,Studies!A:BR,3,FALSE),"")</f>
        <v>http://www.ncbi.nlm.nih.gov/pubmed/6138080</v>
      </c>
      <c r="D831" s="232" t="str">
        <f>IF(AND(A831&lt;&gt;"",ISNUMBER(A831)),VLOOKUP(A831,Studies!A:BR,4,FALSE),"")</f>
        <v>po 40 mg - Indiv. CH.B.</v>
      </c>
      <c r="E831" s="206" t="str">
        <f>IF(AND(A831&lt;&gt;"",ISNUMBER(A831)),VLOOKUP(A831,Studies!A:BR,5,FALSE),"")</f>
        <v>Midazolam</v>
      </c>
      <c r="F831" s="207" t="str">
        <f>IF(AND(A831&lt;&gt;"",ISNUMBER(A831)),VLOOKUP(A831,Studies!A:BR,6,FALSE),"")</f>
        <v>Plasma</v>
      </c>
      <c r="G831" s="194">
        <v>8</v>
      </c>
      <c r="H831" s="194" t="s">
        <v>60</v>
      </c>
      <c r="I831" s="187">
        <v>19</v>
      </c>
      <c r="J831" s="187" t="s">
        <v>1026</v>
      </c>
      <c r="K831" s="187" t="s">
        <v>264</v>
      </c>
      <c r="L831" s="195"/>
      <c r="M831" s="195"/>
      <c r="N831" s="195"/>
      <c r="O831" s="199"/>
      <c r="P831" s="188"/>
      <c r="Q831" s="174">
        <f>IF(ISNUMBER(VLOOKUP(A831,NotghiID!A:A,1,FALSE)),1,0)</f>
        <v>0</v>
      </c>
    </row>
    <row r="832" spans="1:17" ht="14.25" x14ac:dyDescent="0.2">
      <c r="A832" s="183">
        <v>259</v>
      </c>
      <c r="B832" s="232" t="str">
        <f>IF(AND(A832&lt;&gt;"",ISNUMBER(A832)),VLOOKUP(A832,Studies!A:BR,2,FALSE),"")</f>
        <v>Heizmann 1983</v>
      </c>
      <c r="C832" s="232" t="str">
        <f>IF(AND(A832&lt;&gt;"",ISNUMBER(A832)),VLOOKUP(A832,Studies!A:BR,3,FALSE),"")</f>
        <v>http://www.ncbi.nlm.nih.gov/pubmed/6138080</v>
      </c>
      <c r="D832" s="232" t="str">
        <f>IF(AND(A832&lt;&gt;"",ISNUMBER(A832)),VLOOKUP(A832,Studies!A:BR,4,FALSE),"")</f>
        <v>po 40 mg - Indiv. CH.B.</v>
      </c>
      <c r="E832" s="206" t="str">
        <f>IF(AND(A832&lt;&gt;"",ISNUMBER(A832)),VLOOKUP(A832,Studies!A:BR,5,FALSE),"")</f>
        <v>Midazolam</v>
      </c>
      <c r="F832" s="207" t="str">
        <f>IF(AND(A832&lt;&gt;"",ISNUMBER(A832)),VLOOKUP(A832,Studies!A:BR,6,FALSE),"")</f>
        <v>Plasma</v>
      </c>
      <c r="G832" s="194">
        <v>10</v>
      </c>
      <c r="H832" s="194" t="s">
        <v>60</v>
      </c>
      <c r="I832" s="187">
        <v>10</v>
      </c>
      <c r="J832" s="187" t="s">
        <v>1026</v>
      </c>
      <c r="K832" s="187" t="s">
        <v>264</v>
      </c>
      <c r="L832" s="195"/>
      <c r="M832" s="195"/>
      <c r="N832" s="195"/>
      <c r="O832" s="199"/>
      <c r="P832" s="188"/>
      <c r="Q832" s="174">
        <f>IF(ISNUMBER(VLOOKUP(A832,NotghiID!A:A,1,FALSE)),1,0)</f>
        <v>0</v>
      </c>
    </row>
    <row r="833" spans="1:17" ht="14.25" x14ac:dyDescent="0.2">
      <c r="A833" s="183">
        <v>259</v>
      </c>
      <c r="B833" s="232" t="str">
        <f>IF(AND(A833&lt;&gt;"",ISNUMBER(A833)),VLOOKUP(A833,Studies!A:BR,2,FALSE),"")</f>
        <v>Heizmann 1983</v>
      </c>
      <c r="C833" s="232" t="str">
        <f>IF(AND(A833&lt;&gt;"",ISNUMBER(A833)),VLOOKUP(A833,Studies!A:BR,3,FALSE),"")</f>
        <v>http://www.ncbi.nlm.nih.gov/pubmed/6138080</v>
      </c>
      <c r="D833" s="232" t="str">
        <f>IF(AND(A833&lt;&gt;"",ISNUMBER(A833)),VLOOKUP(A833,Studies!A:BR,4,FALSE),"")</f>
        <v>po 40 mg - Indiv. CH.B.</v>
      </c>
      <c r="E833" s="206" t="str">
        <f>IF(AND(A833&lt;&gt;"",ISNUMBER(A833)),VLOOKUP(A833,Studies!A:BR,5,FALSE),"")</f>
        <v>Midazolam</v>
      </c>
      <c r="F833" s="207" t="str">
        <f>IF(AND(A833&lt;&gt;"",ISNUMBER(A833)),VLOOKUP(A833,Studies!A:BR,6,FALSE),"")</f>
        <v>Plasma</v>
      </c>
      <c r="G833" s="194">
        <v>12</v>
      </c>
      <c r="H833" s="194" t="s">
        <v>60</v>
      </c>
      <c r="I833" s="187">
        <v>10</v>
      </c>
      <c r="J833" s="187" t="s">
        <v>1026</v>
      </c>
      <c r="K833" s="187" t="s">
        <v>264</v>
      </c>
      <c r="L833" s="195"/>
      <c r="M833" s="195"/>
      <c r="N833" s="195"/>
      <c r="O833" s="199"/>
      <c r="P833" s="188"/>
      <c r="Q833" s="174">
        <f>IF(ISNUMBER(VLOOKUP(A833,NotghiID!A:A,1,FALSE)),1,0)</f>
        <v>0</v>
      </c>
    </row>
    <row r="834" spans="1:17" ht="14.25" x14ac:dyDescent="0.2">
      <c r="A834" s="183">
        <v>245</v>
      </c>
      <c r="B834" s="232" t="str">
        <f>IF(AND(A834&lt;&gt;"",ISNUMBER(A834)),VLOOKUP(A834,Studies!A:BR,2,FALSE),"")</f>
        <v>Heizmann 1983</v>
      </c>
      <c r="C834" s="232" t="str">
        <f>IF(AND(A834&lt;&gt;"",ISNUMBER(A834)),VLOOKUP(A834,Studies!A:BR,3,FALSE),"")</f>
        <v>http://www.ncbi.nlm.nih.gov/pubmed/6138080</v>
      </c>
      <c r="D834" s="232" t="str">
        <f>IF(AND(A834&lt;&gt;"",ISNUMBER(A834)),VLOOKUP(A834,Studies!A:BR,4,FALSE),"")</f>
        <v>iv 0.15 mg/kg - Indiv. E.Sch.</v>
      </c>
      <c r="E834" s="206" t="str">
        <f>IF(AND(A834&lt;&gt;"",ISNUMBER(A834)),VLOOKUP(A834,Studies!A:BR,5,FALSE),"")</f>
        <v>Midazolam</v>
      </c>
      <c r="F834" s="207" t="str">
        <f>IF(AND(A834&lt;&gt;"",ISNUMBER(A834)),VLOOKUP(A834,Studies!A:BR,6,FALSE),"")</f>
        <v>Plasma</v>
      </c>
      <c r="G834" s="194">
        <v>8.3333329999999997E-2</v>
      </c>
      <c r="H834" s="194" t="s">
        <v>60</v>
      </c>
      <c r="I834" s="187">
        <v>425</v>
      </c>
      <c r="J834" s="187" t="s">
        <v>1026</v>
      </c>
      <c r="K834" s="187" t="s">
        <v>264</v>
      </c>
      <c r="L834" s="195"/>
      <c r="M834" s="195"/>
      <c r="N834" s="195"/>
      <c r="O834" s="199"/>
      <c r="P834" s="188"/>
      <c r="Q834" s="174">
        <f>IF(ISNUMBER(VLOOKUP(A834,NotghiID!A:A,1,FALSE)),1,0)</f>
        <v>0</v>
      </c>
    </row>
    <row r="835" spans="1:17" ht="14.25" x14ac:dyDescent="0.2">
      <c r="A835" s="183">
        <v>245</v>
      </c>
      <c r="B835" s="232" t="str">
        <f>IF(AND(A835&lt;&gt;"",ISNUMBER(A835)),VLOOKUP(A835,Studies!A:BR,2,FALSE),"")</f>
        <v>Heizmann 1983</v>
      </c>
      <c r="C835" s="232" t="str">
        <f>IF(AND(A835&lt;&gt;"",ISNUMBER(A835)),VLOOKUP(A835,Studies!A:BR,3,FALSE),"")</f>
        <v>http://www.ncbi.nlm.nih.gov/pubmed/6138080</v>
      </c>
      <c r="D835" s="232" t="str">
        <f>IF(AND(A835&lt;&gt;"",ISNUMBER(A835)),VLOOKUP(A835,Studies!A:BR,4,FALSE),"")</f>
        <v>iv 0.15 mg/kg - Indiv. E.Sch.</v>
      </c>
      <c r="E835" s="206" t="str">
        <f>IF(AND(A835&lt;&gt;"",ISNUMBER(A835)),VLOOKUP(A835,Studies!A:BR,5,FALSE),"")</f>
        <v>Midazolam</v>
      </c>
      <c r="F835" s="207" t="str">
        <f>IF(AND(A835&lt;&gt;"",ISNUMBER(A835)),VLOOKUP(A835,Studies!A:BR,6,FALSE),"")</f>
        <v>Plasma</v>
      </c>
      <c r="G835" s="194">
        <v>0.16666666999999999</v>
      </c>
      <c r="H835" s="194" t="s">
        <v>60</v>
      </c>
      <c r="I835" s="187">
        <v>372</v>
      </c>
      <c r="J835" s="187" t="s">
        <v>1026</v>
      </c>
      <c r="K835" s="187" t="s">
        <v>264</v>
      </c>
      <c r="L835" s="195"/>
      <c r="M835" s="195"/>
      <c r="N835" s="195"/>
      <c r="O835" s="199"/>
      <c r="P835" s="188"/>
      <c r="Q835" s="174">
        <f>IF(ISNUMBER(VLOOKUP(A835,NotghiID!A:A,1,FALSE)),1,0)</f>
        <v>0</v>
      </c>
    </row>
    <row r="836" spans="1:17" ht="14.25" x14ac:dyDescent="0.2">
      <c r="A836" s="183">
        <v>245</v>
      </c>
      <c r="B836" s="232" t="str">
        <f>IF(AND(A836&lt;&gt;"",ISNUMBER(A836)),VLOOKUP(A836,Studies!A:BR,2,FALSE),"")</f>
        <v>Heizmann 1983</v>
      </c>
      <c r="C836" s="232" t="str">
        <f>IF(AND(A836&lt;&gt;"",ISNUMBER(A836)),VLOOKUP(A836,Studies!A:BR,3,FALSE),"")</f>
        <v>http://www.ncbi.nlm.nih.gov/pubmed/6138080</v>
      </c>
      <c r="D836" s="232" t="str">
        <f>IF(AND(A836&lt;&gt;"",ISNUMBER(A836)),VLOOKUP(A836,Studies!A:BR,4,FALSE),"")</f>
        <v>iv 0.15 mg/kg - Indiv. E.Sch.</v>
      </c>
      <c r="E836" s="206" t="str">
        <f>IF(AND(A836&lt;&gt;"",ISNUMBER(A836)),VLOOKUP(A836,Studies!A:BR,5,FALSE),"")</f>
        <v>Midazolam</v>
      </c>
      <c r="F836" s="207" t="str">
        <f>IF(AND(A836&lt;&gt;"",ISNUMBER(A836)),VLOOKUP(A836,Studies!A:BR,6,FALSE),"")</f>
        <v>Plasma</v>
      </c>
      <c r="G836" s="194">
        <v>0.25</v>
      </c>
      <c r="H836" s="194" t="s">
        <v>60</v>
      </c>
      <c r="I836" s="187">
        <v>321</v>
      </c>
      <c r="J836" s="187" t="s">
        <v>1026</v>
      </c>
      <c r="K836" s="187" t="s">
        <v>264</v>
      </c>
      <c r="L836" s="195"/>
      <c r="M836" s="195"/>
      <c r="N836" s="195"/>
      <c r="O836" s="199"/>
      <c r="P836" s="188"/>
      <c r="Q836" s="174">
        <f>IF(ISNUMBER(VLOOKUP(A836,NotghiID!A:A,1,FALSE)),1,0)</f>
        <v>0</v>
      </c>
    </row>
    <row r="837" spans="1:17" ht="14.25" x14ac:dyDescent="0.2">
      <c r="A837" s="183">
        <v>245</v>
      </c>
      <c r="B837" s="232" t="str">
        <f>IF(AND(A837&lt;&gt;"",ISNUMBER(A837)),VLOOKUP(A837,Studies!A:BR,2,FALSE),"")</f>
        <v>Heizmann 1983</v>
      </c>
      <c r="C837" s="232" t="str">
        <f>IF(AND(A837&lt;&gt;"",ISNUMBER(A837)),VLOOKUP(A837,Studies!A:BR,3,FALSE),"")</f>
        <v>http://www.ncbi.nlm.nih.gov/pubmed/6138080</v>
      </c>
      <c r="D837" s="232" t="str">
        <f>IF(AND(A837&lt;&gt;"",ISNUMBER(A837)),VLOOKUP(A837,Studies!A:BR,4,FALSE),"")</f>
        <v>iv 0.15 mg/kg - Indiv. E.Sch.</v>
      </c>
      <c r="E837" s="206" t="str">
        <f>IF(AND(A837&lt;&gt;"",ISNUMBER(A837)),VLOOKUP(A837,Studies!A:BR,5,FALSE),"")</f>
        <v>Midazolam</v>
      </c>
      <c r="F837" s="207" t="str">
        <f>IF(AND(A837&lt;&gt;"",ISNUMBER(A837)),VLOOKUP(A837,Studies!A:BR,6,FALSE),"")</f>
        <v>Plasma</v>
      </c>
      <c r="G837" s="194">
        <v>0.5</v>
      </c>
      <c r="H837" s="194" t="s">
        <v>60</v>
      </c>
      <c r="I837" s="187">
        <v>264</v>
      </c>
      <c r="J837" s="187" t="s">
        <v>1026</v>
      </c>
      <c r="K837" s="187" t="s">
        <v>264</v>
      </c>
      <c r="L837" s="195"/>
      <c r="M837" s="195"/>
      <c r="N837" s="195"/>
      <c r="O837" s="199"/>
      <c r="P837" s="188"/>
      <c r="Q837" s="174">
        <f>IF(ISNUMBER(VLOOKUP(A837,NotghiID!A:A,1,FALSE)),1,0)</f>
        <v>0</v>
      </c>
    </row>
    <row r="838" spans="1:17" ht="14.25" x14ac:dyDescent="0.2">
      <c r="A838" s="183">
        <v>245</v>
      </c>
      <c r="B838" s="232" t="str">
        <f>IF(AND(A838&lt;&gt;"",ISNUMBER(A838)),VLOOKUP(A838,Studies!A:BR,2,FALSE),"")</f>
        <v>Heizmann 1983</v>
      </c>
      <c r="C838" s="232" t="str">
        <f>IF(AND(A838&lt;&gt;"",ISNUMBER(A838)),VLOOKUP(A838,Studies!A:BR,3,FALSE),"")</f>
        <v>http://www.ncbi.nlm.nih.gov/pubmed/6138080</v>
      </c>
      <c r="D838" s="232" t="str">
        <f>IF(AND(A838&lt;&gt;"",ISNUMBER(A838)),VLOOKUP(A838,Studies!A:BR,4,FALSE),"")</f>
        <v>iv 0.15 mg/kg - Indiv. E.Sch.</v>
      </c>
      <c r="E838" s="206" t="str">
        <f>IF(AND(A838&lt;&gt;"",ISNUMBER(A838)),VLOOKUP(A838,Studies!A:BR,5,FALSE),"")</f>
        <v>Midazolam</v>
      </c>
      <c r="F838" s="207" t="str">
        <f>IF(AND(A838&lt;&gt;"",ISNUMBER(A838)),VLOOKUP(A838,Studies!A:BR,6,FALSE),"")</f>
        <v>Plasma</v>
      </c>
      <c r="G838" s="194">
        <v>0.75</v>
      </c>
      <c r="H838" s="194" t="s">
        <v>60</v>
      </c>
      <c r="I838" s="187">
        <v>206</v>
      </c>
      <c r="J838" s="187" t="s">
        <v>1026</v>
      </c>
      <c r="K838" s="187" t="s">
        <v>264</v>
      </c>
      <c r="L838" s="195"/>
      <c r="M838" s="195"/>
      <c r="N838" s="195"/>
      <c r="O838" s="199"/>
      <c r="P838" s="188"/>
      <c r="Q838" s="174">
        <f>IF(ISNUMBER(VLOOKUP(A838,NotghiID!A:A,1,FALSE)),1,0)</f>
        <v>0</v>
      </c>
    </row>
    <row r="839" spans="1:17" ht="14.25" x14ac:dyDescent="0.2">
      <c r="A839" s="183">
        <v>245</v>
      </c>
      <c r="B839" s="232" t="str">
        <f>IF(AND(A839&lt;&gt;"",ISNUMBER(A839)),VLOOKUP(A839,Studies!A:BR,2,FALSE),"")</f>
        <v>Heizmann 1983</v>
      </c>
      <c r="C839" s="232" t="str">
        <f>IF(AND(A839&lt;&gt;"",ISNUMBER(A839)),VLOOKUP(A839,Studies!A:BR,3,FALSE),"")</f>
        <v>http://www.ncbi.nlm.nih.gov/pubmed/6138080</v>
      </c>
      <c r="D839" s="232" t="str">
        <f>IF(AND(A839&lt;&gt;"",ISNUMBER(A839)),VLOOKUP(A839,Studies!A:BR,4,FALSE),"")</f>
        <v>iv 0.15 mg/kg - Indiv. E.Sch.</v>
      </c>
      <c r="E839" s="206" t="str">
        <f>IF(AND(A839&lt;&gt;"",ISNUMBER(A839)),VLOOKUP(A839,Studies!A:BR,5,FALSE),"")</f>
        <v>Midazolam</v>
      </c>
      <c r="F839" s="207" t="str">
        <f>IF(AND(A839&lt;&gt;"",ISNUMBER(A839)),VLOOKUP(A839,Studies!A:BR,6,FALSE),"")</f>
        <v>Plasma</v>
      </c>
      <c r="G839" s="194">
        <v>1</v>
      </c>
      <c r="H839" s="194" t="s">
        <v>60</v>
      </c>
      <c r="I839" s="187">
        <v>187</v>
      </c>
      <c r="J839" s="187" t="s">
        <v>1026</v>
      </c>
      <c r="K839" s="187" t="s">
        <v>264</v>
      </c>
      <c r="L839" s="195"/>
      <c r="M839" s="195"/>
      <c r="N839" s="195"/>
      <c r="O839" s="199"/>
      <c r="P839" s="188"/>
      <c r="Q839" s="174">
        <f>IF(ISNUMBER(VLOOKUP(A839,NotghiID!A:A,1,FALSE)),1,0)</f>
        <v>0</v>
      </c>
    </row>
    <row r="840" spans="1:17" ht="14.25" x14ac:dyDescent="0.2">
      <c r="A840" s="183">
        <v>245</v>
      </c>
      <c r="B840" s="232" t="str">
        <f>IF(AND(A840&lt;&gt;"",ISNUMBER(A840)),VLOOKUP(A840,Studies!A:BR,2,FALSE),"")</f>
        <v>Heizmann 1983</v>
      </c>
      <c r="C840" s="232" t="str">
        <f>IF(AND(A840&lt;&gt;"",ISNUMBER(A840)),VLOOKUP(A840,Studies!A:BR,3,FALSE),"")</f>
        <v>http://www.ncbi.nlm.nih.gov/pubmed/6138080</v>
      </c>
      <c r="D840" s="232" t="str">
        <f>IF(AND(A840&lt;&gt;"",ISNUMBER(A840)),VLOOKUP(A840,Studies!A:BR,4,FALSE),"")</f>
        <v>iv 0.15 mg/kg - Indiv. E.Sch.</v>
      </c>
      <c r="E840" s="206" t="str">
        <f>IF(AND(A840&lt;&gt;"",ISNUMBER(A840)),VLOOKUP(A840,Studies!A:BR,5,FALSE),"")</f>
        <v>Midazolam</v>
      </c>
      <c r="F840" s="207" t="str">
        <f>IF(AND(A840&lt;&gt;"",ISNUMBER(A840)),VLOOKUP(A840,Studies!A:BR,6,FALSE),"")</f>
        <v>Plasma</v>
      </c>
      <c r="G840" s="194">
        <v>1.5</v>
      </c>
      <c r="H840" s="194" t="s">
        <v>60</v>
      </c>
      <c r="I840" s="187">
        <v>142</v>
      </c>
      <c r="J840" s="187" t="s">
        <v>1026</v>
      </c>
      <c r="K840" s="187" t="s">
        <v>264</v>
      </c>
      <c r="L840" s="195"/>
      <c r="M840" s="195"/>
      <c r="N840" s="195"/>
      <c r="O840" s="199"/>
      <c r="P840" s="188"/>
      <c r="Q840" s="174">
        <f>IF(ISNUMBER(VLOOKUP(A840,NotghiID!A:A,1,FALSE)),1,0)</f>
        <v>0</v>
      </c>
    </row>
    <row r="841" spans="1:17" ht="14.25" x14ac:dyDescent="0.2">
      <c r="A841" s="183">
        <v>245</v>
      </c>
      <c r="B841" s="232" t="str">
        <f>IF(AND(A841&lt;&gt;"",ISNUMBER(A841)),VLOOKUP(A841,Studies!A:BR,2,FALSE),"")</f>
        <v>Heizmann 1983</v>
      </c>
      <c r="C841" s="232" t="str">
        <f>IF(AND(A841&lt;&gt;"",ISNUMBER(A841)),VLOOKUP(A841,Studies!A:BR,3,FALSE),"")</f>
        <v>http://www.ncbi.nlm.nih.gov/pubmed/6138080</v>
      </c>
      <c r="D841" s="232" t="str">
        <f>IF(AND(A841&lt;&gt;"",ISNUMBER(A841)),VLOOKUP(A841,Studies!A:BR,4,FALSE),"")</f>
        <v>iv 0.15 mg/kg - Indiv. E.Sch.</v>
      </c>
      <c r="E841" s="206" t="str">
        <f>IF(AND(A841&lt;&gt;"",ISNUMBER(A841)),VLOOKUP(A841,Studies!A:BR,5,FALSE),"")</f>
        <v>Midazolam</v>
      </c>
      <c r="F841" s="207" t="str">
        <f>IF(AND(A841&lt;&gt;"",ISNUMBER(A841)),VLOOKUP(A841,Studies!A:BR,6,FALSE),"")</f>
        <v>Plasma</v>
      </c>
      <c r="G841" s="194">
        <v>2</v>
      </c>
      <c r="H841" s="194" t="s">
        <v>60</v>
      </c>
      <c r="I841" s="187">
        <v>115</v>
      </c>
      <c r="J841" s="187" t="s">
        <v>1026</v>
      </c>
      <c r="K841" s="187" t="s">
        <v>264</v>
      </c>
      <c r="L841" s="195"/>
      <c r="M841" s="195"/>
      <c r="N841" s="195"/>
      <c r="O841" s="199"/>
      <c r="P841" s="188"/>
      <c r="Q841" s="174">
        <f>IF(ISNUMBER(VLOOKUP(A841,NotghiID!A:A,1,FALSE)),1,0)</f>
        <v>0</v>
      </c>
    </row>
    <row r="842" spans="1:17" ht="14.25" x14ac:dyDescent="0.2">
      <c r="A842" s="183">
        <v>245</v>
      </c>
      <c r="B842" s="232" t="str">
        <f>IF(AND(A842&lt;&gt;"",ISNUMBER(A842)),VLOOKUP(A842,Studies!A:BR,2,FALSE),"")</f>
        <v>Heizmann 1983</v>
      </c>
      <c r="C842" s="232" t="str">
        <f>IF(AND(A842&lt;&gt;"",ISNUMBER(A842)),VLOOKUP(A842,Studies!A:BR,3,FALSE),"")</f>
        <v>http://www.ncbi.nlm.nih.gov/pubmed/6138080</v>
      </c>
      <c r="D842" s="232" t="str">
        <f>IF(AND(A842&lt;&gt;"",ISNUMBER(A842)),VLOOKUP(A842,Studies!A:BR,4,FALSE),"")</f>
        <v>iv 0.15 mg/kg - Indiv. E.Sch.</v>
      </c>
      <c r="E842" s="206" t="str">
        <f>IF(AND(A842&lt;&gt;"",ISNUMBER(A842)),VLOOKUP(A842,Studies!A:BR,5,FALSE),"")</f>
        <v>Midazolam</v>
      </c>
      <c r="F842" s="207" t="str">
        <f>IF(AND(A842&lt;&gt;"",ISNUMBER(A842)),VLOOKUP(A842,Studies!A:BR,6,FALSE),"")</f>
        <v>Plasma</v>
      </c>
      <c r="G842" s="194">
        <v>3</v>
      </c>
      <c r="H842" s="194" t="s">
        <v>60</v>
      </c>
      <c r="I842" s="187">
        <v>63</v>
      </c>
      <c r="J842" s="187" t="s">
        <v>1026</v>
      </c>
      <c r="K842" s="187" t="s">
        <v>264</v>
      </c>
      <c r="L842" s="195"/>
      <c r="M842" s="195"/>
      <c r="N842" s="195"/>
      <c r="O842" s="199"/>
      <c r="P842" s="188"/>
      <c r="Q842" s="174">
        <f>IF(ISNUMBER(VLOOKUP(A842,NotghiID!A:A,1,FALSE)),1,0)</f>
        <v>0</v>
      </c>
    </row>
    <row r="843" spans="1:17" ht="14.25" x14ac:dyDescent="0.2">
      <c r="A843" s="183">
        <v>245</v>
      </c>
      <c r="B843" s="232" t="str">
        <f>IF(AND(A843&lt;&gt;"",ISNUMBER(A843)),VLOOKUP(A843,Studies!A:BR,2,FALSE),"")</f>
        <v>Heizmann 1983</v>
      </c>
      <c r="C843" s="232" t="str">
        <f>IF(AND(A843&lt;&gt;"",ISNUMBER(A843)),VLOOKUP(A843,Studies!A:BR,3,FALSE),"")</f>
        <v>http://www.ncbi.nlm.nih.gov/pubmed/6138080</v>
      </c>
      <c r="D843" s="232" t="str">
        <f>IF(AND(A843&lt;&gt;"",ISNUMBER(A843)),VLOOKUP(A843,Studies!A:BR,4,FALSE),"")</f>
        <v>iv 0.15 mg/kg - Indiv. E.Sch.</v>
      </c>
      <c r="E843" s="206" t="str">
        <f>IF(AND(A843&lt;&gt;"",ISNUMBER(A843)),VLOOKUP(A843,Studies!A:BR,5,FALSE),"")</f>
        <v>Midazolam</v>
      </c>
      <c r="F843" s="207" t="str">
        <f>IF(AND(A843&lt;&gt;"",ISNUMBER(A843)),VLOOKUP(A843,Studies!A:BR,6,FALSE),"")</f>
        <v>Plasma</v>
      </c>
      <c r="G843" s="194">
        <v>4</v>
      </c>
      <c r="H843" s="194" t="s">
        <v>60</v>
      </c>
      <c r="I843" s="187">
        <v>48</v>
      </c>
      <c r="J843" s="187" t="s">
        <v>1026</v>
      </c>
      <c r="K843" s="187" t="s">
        <v>264</v>
      </c>
      <c r="L843" s="195"/>
      <c r="M843" s="195"/>
      <c r="N843" s="195"/>
      <c r="O843" s="199"/>
      <c r="P843" s="188"/>
      <c r="Q843" s="174">
        <f>IF(ISNUMBER(VLOOKUP(A843,NotghiID!A:A,1,FALSE)),1,0)</f>
        <v>0</v>
      </c>
    </row>
    <row r="844" spans="1:17" ht="14.25" x14ac:dyDescent="0.2">
      <c r="A844" s="183">
        <v>245</v>
      </c>
      <c r="B844" s="232" t="str">
        <f>IF(AND(A844&lt;&gt;"",ISNUMBER(A844)),VLOOKUP(A844,Studies!A:BR,2,FALSE),"")</f>
        <v>Heizmann 1983</v>
      </c>
      <c r="C844" s="232" t="str">
        <f>IF(AND(A844&lt;&gt;"",ISNUMBER(A844)),VLOOKUP(A844,Studies!A:BR,3,FALSE),"")</f>
        <v>http://www.ncbi.nlm.nih.gov/pubmed/6138080</v>
      </c>
      <c r="D844" s="232" t="str">
        <f>IF(AND(A844&lt;&gt;"",ISNUMBER(A844)),VLOOKUP(A844,Studies!A:BR,4,FALSE),"")</f>
        <v>iv 0.15 mg/kg - Indiv. E.Sch.</v>
      </c>
      <c r="E844" s="206" t="str">
        <f>IF(AND(A844&lt;&gt;"",ISNUMBER(A844)),VLOOKUP(A844,Studies!A:BR,5,FALSE),"")</f>
        <v>Midazolam</v>
      </c>
      <c r="F844" s="207" t="str">
        <f>IF(AND(A844&lt;&gt;"",ISNUMBER(A844)),VLOOKUP(A844,Studies!A:BR,6,FALSE),"")</f>
        <v>Plasma</v>
      </c>
      <c r="G844" s="194">
        <v>5</v>
      </c>
      <c r="H844" s="194" t="s">
        <v>60</v>
      </c>
      <c r="I844" s="187">
        <v>34</v>
      </c>
      <c r="J844" s="187" t="s">
        <v>1026</v>
      </c>
      <c r="K844" s="187" t="s">
        <v>264</v>
      </c>
      <c r="L844" s="195"/>
      <c r="M844" s="195"/>
      <c r="N844" s="195"/>
      <c r="O844" s="199"/>
      <c r="P844" s="188"/>
      <c r="Q844" s="174">
        <f>IF(ISNUMBER(VLOOKUP(A844,NotghiID!A:A,1,FALSE)),1,0)</f>
        <v>0</v>
      </c>
    </row>
    <row r="845" spans="1:17" ht="14.25" x14ac:dyDescent="0.2">
      <c r="A845" s="183">
        <v>245</v>
      </c>
      <c r="B845" s="232" t="str">
        <f>IF(AND(A845&lt;&gt;"",ISNUMBER(A845)),VLOOKUP(A845,Studies!A:BR,2,FALSE),"")</f>
        <v>Heizmann 1983</v>
      </c>
      <c r="C845" s="232" t="str">
        <f>IF(AND(A845&lt;&gt;"",ISNUMBER(A845)),VLOOKUP(A845,Studies!A:BR,3,FALSE),"")</f>
        <v>http://www.ncbi.nlm.nih.gov/pubmed/6138080</v>
      </c>
      <c r="D845" s="232" t="str">
        <f>IF(AND(A845&lt;&gt;"",ISNUMBER(A845)),VLOOKUP(A845,Studies!A:BR,4,FALSE),"")</f>
        <v>iv 0.15 mg/kg - Indiv. E.Sch.</v>
      </c>
      <c r="E845" s="206" t="str">
        <f>IF(AND(A845&lt;&gt;"",ISNUMBER(A845)),VLOOKUP(A845,Studies!A:BR,5,FALSE),"")</f>
        <v>Midazolam</v>
      </c>
      <c r="F845" s="207" t="str">
        <f>IF(AND(A845&lt;&gt;"",ISNUMBER(A845)),VLOOKUP(A845,Studies!A:BR,6,FALSE),"")</f>
        <v>Plasma</v>
      </c>
      <c r="G845" s="194">
        <v>6</v>
      </c>
      <c r="H845" s="194" t="s">
        <v>60</v>
      </c>
      <c r="I845" s="187">
        <v>29</v>
      </c>
      <c r="J845" s="187" t="s">
        <v>1026</v>
      </c>
      <c r="K845" s="187" t="s">
        <v>264</v>
      </c>
      <c r="L845" s="195"/>
      <c r="M845" s="195"/>
      <c r="N845" s="195"/>
      <c r="O845" s="199"/>
      <c r="P845" s="188"/>
      <c r="Q845" s="174">
        <f>IF(ISNUMBER(VLOOKUP(A845,NotghiID!A:A,1,FALSE)),1,0)</f>
        <v>0</v>
      </c>
    </row>
    <row r="846" spans="1:17" ht="14.25" x14ac:dyDescent="0.2">
      <c r="A846" s="183">
        <v>245</v>
      </c>
      <c r="B846" s="232" t="str">
        <f>IF(AND(A846&lt;&gt;"",ISNUMBER(A846)),VLOOKUP(A846,Studies!A:BR,2,FALSE),"")</f>
        <v>Heizmann 1983</v>
      </c>
      <c r="C846" s="232" t="str">
        <f>IF(AND(A846&lt;&gt;"",ISNUMBER(A846)),VLOOKUP(A846,Studies!A:BR,3,FALSE),"")</f>
        <v>http://www.ncbi.nlm.nih.gov/pubmed/6138080</v>
      </c>
      <c r="D846" s="232" t="str">
        <f>IF(AND(A846&lt;&gt;"",ISNUMBER(A846)),VLOOKUP(A846,Studies!A:BR,4,FALSE),"")</f>
        <v>iv 0.15 mg/kg - Indiv. E.Sch.</v>
      </c>
      <c r="E846" s="206" t="str">
        <f>IF(AND(A846&lt;&gt;"",ISNUMBER(A846)),VLOOKUP(A846,Studies!A:BR,5,FALSE),"")</f>
        <v>Midazolam</v>
      </c>
      <c r="F846" s="207" t="str">
        <f>IF(AND(A846&lt;&gt;"",ISNUMBER(A846)),VLOOKUP(A846,Studies!A:BR,6,FALSE),"")</f>
        <v>Plasma</v>
      </c>
      <c r="G846" s="194">
        <v>8</v>
      </c>
      <c r="H846" s="194" t="s">
        <v>60</v>
      </c>
      <c r="I846" s="187">
        <v>16</v>
      </c>
      <c r="J846" s="187" t="s">
        <v>1026</v>
      </c>
      <c r="K846" s="187" t="s">
        <v>264</v>
      </c>
      <c r="L846" s="195"/>
      <c r="M846" s="195"/>
      <c r="N846" s="195"/>
      <c r="O846" s="199"/>
      <c r="P846" s="188"/>
      <c r="Q846" s="174">
        <f>IF(ISNUMBER(VLOOKUP(A846,NotghiID!A:A,1,FALSE)),1,0)</f>
        <v>0</v>
      </c>
    </row>
    <row r="847" spans="1:17" ht="14.25" x14ac:dyDescent="0.2">
      <c r="A847" s="183">
        <v>245</v>
      </c>
      <c r="B847" s="232" t="str">
        <f>IF(AND(A847&lt;&gt;"",ISNUMBER(A847)),VLOOKUP(A847,Studies!A:BR,2,FALSE),"")</f>
        <v>Heizmann 1983</v>
      </c>
      <c r="C847" s="232" t="str">
        <f>IF(AND(A847&lt;&gt;"",ISNUMBER(A847)),VLOOKUP(A847,Studies!A:BR,3,FALSE),"")</f>
        <v>http://www.ncbi.nlm.nih.gov/pubmed/6138080</v>
      </c>
      <c r="D847" s="232" t="str">
        <f>IF(AND(A847&lt;&gt;"",ISNUMBER(A847)),VLOOKUP(A847,Studies!A:BR,4,FALSE),"")</f>
        <v>iv 0.15 mg/kg - Indiv. E.Sch.</v>
      </c>
      <c r="E847" s="206" t="str">
        <f>IF(AND(A847&lt;&gt;"",ISNUMBER(A847)),VLOOKUP(A847,Studies!A:BR,5,FALSE),"")</f>
        <v>Midazolam</v>
      </c>
      <c r="F847" s="207" t="str">
        <f>IF(AND(A847&lt;&gt;"",ISNUMBER(A847)),VLOOKUP(A847,Studies!A:BR,6,FALSE),"")</f>
        <v>Plasma</v>
      </c>
      <c r="G847" s="194">
        <v>10</v>
      </c>
      <c r="H847" s="194" t="s">
        <v>60</v>
      </c>
      <c r="I847" s="187">
        <v>15</v>
      </c>
      <c r="J847" s="187" t="s">
        <v>1026</v>
      </c>
      <c r="K847" s="187" t="s">
        <v>264</v>
      </c>
      <c r="L847" s="195"/>
      <c r="M847" s="195"/>
      <c r="N847" s="195"/>
      <c r="O847" s="199"/>
      <c r="P847" s="188"/>
      <c r="Q847" s="174">
        <f>IF(ISNUMBER(VLOOKUP(A847,NotghiID!A:A,1,FALSE)),1,0)</f>
        <v>0</v>
      </c>
    </row>
    <row r="848" spans="1:17" ht="14.25" x14ac:dyDescent="0.2">
      <c r="A848" s="183">
        <v>245</v>
      </c>
      <c r="B848" s="232" t="str">
        <f>IF(AND(A848&lt;&gt;"",ISNUMBER(A848)),VLOOKUP(A848,Studies!A:BR,2,FALSE),"")</f>
        <v>Heizmann 1983</v>
      </c>
      <c r="C848" s="232" t="str">
        <f>IF(AND(A848&lt;&gt;"",ISNUMBER(A848)),VLOOKUP(A848,Studies!A:BR,3,FALSE),"")</f>
        <v>http://www.ncbi.nlm.nih.gov/pubmed/6138080</v>
      </c>
      <c r="D848" s="232" t="str">
        <f>IF(AND(A848&lt;&gt;"",ISNUMBER(A848)),VLOOKUP(A848,Studies!A:BR,4,FALSE),"")</f>
        <v>iv 0.15 mg/kg - Indiv. E.Sch.</v>
      </c>
      <c r="E848" s="206" t="str">
        <f>IF(AND(A848&lt;&gt;"",ISNUMBER(A848)),VLOOKUP(A848,Studies!A:BR,5,FALSE),"")</f>
        <v>Midazolam</v>
      </c>
      <c r="F848" s="207" t="str">
        <f>IF(AND(A848&lt;&gt;"",ISNUMBER(A848)),VLOOKUP(A848,Studies!A:BR,6,FALSE),"")</f>
        <v>Plasma</v>
      </c>
      <c r="G848" s="194">
        <v>12</v>
      </c>
      <c r="H848" s="194" t="s">
        <v>60</v>
      </c>
      <c r="I848" s="187">
        <v>11</v>
      </c>
      <c r="J848" s="187" t="s">
        <v>1026</v>
      </c>
      <c r="K848" s="187" t="s">
        <v>264</v>
      </c>
      <c r="L848" s="195"/>
      <c r="M848" s="195"/>
      <c r="N848" s="195"/>
      <c r="O848" s="199"/>
      <c r="P848" s="188"/>
      <c r="Q848" s="174">
        <f>IF(ISNUMBER(VLOOKUP(A848,NotghiID!A:A,1,FALSE)),1,0)</f>
        <v>0</v>
      </c>
    </row>
    <row r="849" spans="1:17" ht="14.25" x14ac:dyDescent="0.2">
      <c r="A849" s="183">
        <v>254</v>
      </c>
      <c r="B849" s="232" t="str">
        <f>IF(AND(A849&lt;&gt;"",ISNUMBER(A849)),VLOOKUP(A849,Studies!A:BR,2,FALSE),"")</f>
        <v>Heizmann 1983</v>
      </c>
      <c r="C849" s="232" t="str">
        <f>IF(AND(A849&lt;&gt;"",ISNUMBER(A849)),VLOOKUP(A849,Studies!A:BR,3,FALSE),"")</f>
        <v>http://www.ncbi.nlm.nih.gov/pubmed/6138080</v>
      </c>
      <c r="D849" s="232" t="str">
        <f>IF(AND(A849&lt;&gt;"",ISNUMBER(A849)),VLOOKUP(A849,Studies!A:BR,4,FALSE),"")</f>
        <v>po 20 mg - Indiv. E.Sch.</v>
      </c>
      <c r="E849" s="206" t="str">
        <f>IF(AND(A849&lt;&gt;"",ISNUMBER(A849)),VLOOKUP(A849,Studies!A:BR,5,FALSE),"")</f>
        <v>Midazolam</v>
      </c>
      <c r="F849" s="207" t="str">
        <f>IF(AND(A849&lt;&gt;"",ISNUMBER(A849)),VLOOKUP(A849,Studies!A:BR,6,FALSE),"")</f>
        <v>Plasma</v>
      </c>
      <c r="G849" s="194">
        <v>0.25</v>
      </c>
      <c r="H849" s="194" t="s">
        <v>60</v>
      </c>
      <c r="I849" s="187">
        <v>367</v>
      </c>
      <c r="J849" s="187" t="s">
        <v>1026</v>
      </c>
      <c r="K849" s="187" t="s">
        <v>264</v>
      </c>
      <c r="L849" s="195"/>
      <c r="M849" s="195"/>
      <c r="N849" s="195"/>
      <c r="O849" s="199"/>
      <c r="P849" s="188"/>
      <c r="Q849" s="174">
        <f>IF(ISNUMBER(VLOOKUP(A849,NotghiID!A:A,1,FALSE)),1,0)</f>
        <v>0</v>
      </c>
    </row>
    <row r="850" spans="1:17" ht="14.25" x14ac:dyDescent="0.2">
      <c r="A850" s="183">
        <v>254</v>
      </c>
      <c r="B850" s="232" t="str">
        <f>IF(AND(A850&lt;&gt;"",ISNUMBER(A850)),VLOOKUP(A850,Studies!A:BR,2,FALSE),"")</f>
        <v>Heizmann 1983</v>
      </c>
      <c r="C850" s="232" t="str">
        <f>IF(AND(A850&lt;&gt;"",ISNUMBER(A850)),VLOOKUP(A850,Studies!A:BR,3,FALSE),"")</f>
        <v>http://www.ncbi.nlm.nih.gov/pubmed/6138080</v>
      </c>
      <c r="D850" s="232" t="str">
        <f>IF(AND(A850&lt;&gt;"",ISNUMBER(A850)),VLOOKUP(A850,Studies!A:BR,4,FALSE),"")</f>
        <v>po 20 mg - Indiv. E.Sch.</v>
      </c>
      <c r="E850" s="206" t="str">
        <f>IF(AND(A850&lt;&gt;"",ISNUMBER(A850)),VLOOKUP(A850,Studies!A:BR,5,FALSE),"")</f>
        <v>Midazolam</v>
      </c>
      <c r="F850" s="207" t="str">
        <f>IF(AND(A850&lt;&gt;"",ISNUMBER(A850)),VLOOKUP(A850,Studies!A:BR,6,FALSE),"")</f>
        <v>Plasma</v>
      </c>
      <c r="G850" s="194">
        <v>0.5</v>
      </c>
      <c r="H850" s="194" t="s">
        <v>60</v>
      </c>
      <c r="I850" s="187">
        <v>280</v>
      </c>
      <c r="J850" s="187" t="s">
        <v>1026</v>
      </c>
      <c r="K850" s="187" t="s">
        <v>264</v>
      </c>
      <c r="L850" s="195"/>
      <c r="M850" s="195"/>
      <c r="N850" s="195"/>
      <c r="O850" s="199"/>
      <c r="P850" s="188"/>
      <c r="Q850" s="174">
        <f>IF(ISNUMBER(VLOOKUP(A850,NotghiID!A:A,1,FALSE)),1,0)</f>
        <v>0</v>
      </c>
    </row>
    <row r="851" spans="1:17" ht="14.25" x14ac:dyDescent="0.2">
      <c r="A851" s="183">
        <v>254</v>
      </c>
      <c r="B851" s="232" t="str">
        <f>IF(AND(A851&lt;&gt;"",ISNUMBER(A851)),VLOOKUP(A851,Studies!A:BR,2,FALSE),"")</f>
        <v>Heizmann 1983</v>
      </c>
      <c r="C851" s="232" t="str">
        <f>IF(AND(A851&lt;&gt;"",ISNUMBER(A851)),VLOOKUP(A851,Studies!A:BR,3,FALSE),"")</f>
        <v>http://www.ncbi.nlm.nih.gov/pubmed/6138080</v>
      </c>
      <c r="D851" s="232" t="str">
        <f>IF(AND(A851&lt;&gt;"",ISNUMBER(A851)),VLOOKUP(A851,Studies!A:BR,4,FALSE),"")</f>
        <v>po 20 mg - Indiv. E.Sch.</v>
      </c>
      <c r="E851" s="206" t="str">
        <f>IF(AND(A851&lt;&gt;"",ISNUMBER(A851)),VLOOKUP(A851,Studies!A:BR,5,FALSE),"")</f>
        <v>Midazolam</v>
      </c>
      <c r="F851" s="207" t="str">
        <f>IF(AND(A851&lt;&gt;"",ISNUMBER(A851)),VLOOKUP(A851,Studies!A:BR,6,FALSE),"")</f>
        <v>Plasma</v>
      </c>
      <c r="G851" s="194">
        <v>0.75</v>
      </c>
      <c r="H851" s="194" t="s">
        <v>60</v>
      </c>
      <c r="I851" s="187">
        <v>197</v>
      </c>
      <c r="J851" s="187" t="s">
        <v>1026</v>
      </c>
      <c r="K851" s="187" t="s">
        <v>264</v>
      </c>
      <c r="L851" s="195"/>
      <c r="M851" s="195"/>
      <c r="N851" s="195"/>
      <c r="O851" s="199"/>
      <c r="P851" s="188"/>
      <c r="Q851" s="174">
        <f>IF(ISNUMBER(VLOOKUP(A851,NotghiID!A:A,1,FALSE)),1,0)</f>
        <v>0</v>
      </c>
    </row>
    <row r="852" spans="1:17" ht="14.25" x14ac:dyDescent="0.2">
      <c r="A852" s="183">
        <v>254</v>
      </c>
      <c r="B852" s="232" t="str">
        <f>IF(AND(A852&lt;&gt;"",ISNUMBER(A852)),VLOOKUP(A852,Studies!A:BR,2,FALSE),"")</f>
        <v>Heizmann 1983</v>
      </c>
      <c r="C852" s="232" t="str">
        <f>IF(AND(A852&lt;&gt;"",ISNUMBER(A852)),VLOOKUP(A852,Studies!A:BR,3,FALSE),"")</f>
        <v>http://www.ncbi.nlm.nih.gov/pubmed/6138080</v>
      </c>
      <c r="D852" s="232" t="str">
        <f>IF(AND(A852&lt;&gt;"",ISNUMBER(A852)),VLOOKUP(A852,Studies!A:BR,4,FALSE),"")</f>
        <v>po 20 mg - Indiv. E.Sch.</v>
      </c>
      <c r="E852" s="206" t="str">
        <f>IF(AND(A852&lt;&gt;"",ISNUMBER(A852)),VLOOKUP(A852,Studies!A:BR,5,FALSE),"")</f>
        <v>Midazolam</v>
      </c>
      <c r="F852" s="207" t="str">
        <f>IF(AND(A852&lt;&gt;"",ISNUMBER(A852)),VLOOKUP(A852,Studies!A:BR,6,FALSE),"")</f>
        <v>Plasma</v>
      </c>
      <c r="G852" s="194">
        <v>1</v>
      </c>
      <c r="H852" s="194" t="s">
        <v>60</v>
      </c>
      <c r="I852" s="187">
        <v>177</v>
      </c>
      <c r="J852" s="187" t="s">
        <v>1026</v>
      </c>
      <c r="K852" s="187" t="s">
        <v>264</v>
      </c>
      <c r="L852" s="195"/>
      <c r="M852" s="195"/>
      <c r="N852" s="195"/>
      <c r="O852" s="199"/>
      <c r="P852" s="188"/>
      <c r="Q852" s="174">
        <f>IF(ISNUMBER(VLOOKUP(A852,NotghiID!A:A,1,FALSE)),1,0)</f>
        <v>0</v>
      </c>
    </row>
    <row r="853" spans="1:17" ht="14.25" x14ac:dyDescent="0.2">
      <c r="A853" s="183">
        <v>254</v>
      </c>
      <c r="B853" s="232" t="str">
        <f>IF(AND(A853&lt;&gt;"",ISNUMBER(A853)),VLOOKUP(A853,Studies!A:BR,2,FALSE),"")</f>
        <v>Heizmann 1983</v>
      </c>
      <c r="C853" s="232" t="str">
        <f>IF(AND(A853&lt;&gt;"",ISNUMBER(A853)),VLOOKUP(A853,Studies!A:BR,3,FALSE),"")</f>
        <v>http://www.ncbi.nlm.nih.gov/pubmed/6138080</v>
      </c>
      <c r="D853" s="232" t="str">
        <f>IF(AND(A853&lt;&gt;"",ISNUMBER(A853)),VLOOKUP(A853,Studies!A:BR,4,FALSE),"")</f>
        <v>po 20 mg - Indiv. E.Sch.</v>
      </c>
      <c r="E853" s="206" t="str">
        <f>IF(AND(A853&lt;&gt;"",ISNUMBER(A853)),VLOOKUP(A853,Studies!A:BR,5,FALSE),"")</f>
        <v>Midazolam</v>
      </c>
      <c r="F853" s="207" t="str">
        <f>IF(AND(A853&lt;&gt;"",ISNUMBER(A853)),VLOOKUP(A853,Studies!A:BR,6,FALSE),"")</f>
        <v>Plasma</v>
      </c>
      <c r="G853" s="194">
        <v>1.5</v>
      </c>
      <c r="H853" s="194" t="s">
        <v>60</v>
      </c>
      <c r="I853" s="187">
        <v>129</v>
      </c>
      <c r="J853" s="187" t="s">
        <v>1026</v>
      </c>
      <c r="K853" s="187" t="s">
        <v>264</v>
      </c>
      <c r="L853" s="195"/>
      <c r="M853" s="195"/>
      <c r="N853" s="195"/>
      <c r="O853" s="199"/>
      <c r="P853" s="188"/>
      <c r="Q853" s="174">
        <f>IF(ISNUMBER(VLOOKUP(A853,NotghiID!A:A,1,FALSE)),1,0)</f>
        <v>0</v>
      </c>
    </row>
    <row r="854" spans="1:17" ht="14.25" x14ac:dyDescent="0.2">
      <c r="A854" s="183">
        <v>254</v>
      </c>
      <c r="B854" s="232" t="str">
        <f>IF(AND(A854&lt;&gt;"",ISNUMBER(A854)),VLOOKUP(A854,Studies!A:BR,2,FALSE),"")</f>
        <v>Heizmann 1983</v>
      </c>
      <c r="C854" s="232" t="str">
        <f>IF(AND(A854&lt;&gt;"",ISNUMBER(A854)),VLOOKUP(A854,Studies!A:BR,3,FALSE),"")</f>
        <v>http://www.ncbi.nlm.nih.gov/pubmed/6138080</v>
      </c>
      <c r="D854" s="232" t="str">
        <f>IF(AND(A854&lt;&gt;"",ISNUMBER(A854)),VLOOKUP(A854,Studies!A:BR,4,FALSE),"")</f>
        <v>po 20 mg - Indiv. E.Sch.</v>
      </c>
      <c r="E854" s="206" t="str">
        <f>IF(AND(A854&lt;&gt;"",ISNUMBER(A854)),VLOOKUP(A854,Studies!A:BR,5,FALSE),"")</f>
        <v>Midazolam</v>
      </c>
      <c r="F854" s="207" t="str">
        <f>IF(AND(A854&lt;&gt;"",ISNUMBER(A854)),VLOOKUP(A854,Studies!A:BR,6,FALSE),"")</f>
        <v>Plasma</v>
      </c>
      <c r="G854" s="194">
        <v>2</v>
      </c>
      <c r="H854" s="194" t="s">
        <v>60</v>
      </c>
      <c r="I854" s="187">
        <v>102</v>
      </c>
      <c r="J854" s="187" t="s">
        <v>1026</v>
      </c>
      <c r="K854" s="187" t="s">
        <v>264</v>
      </c>
      <c r="L854" s="195"/>
      <c r="M854" s="195"/>
      <c r="N854" s="195"/>
      <c r="O854" s="199"/>
      <c r="P854" s="188"/>
      <c r="Q854" s="174">
        <f>IF(ISNUMBER(VLOOKUP(A854,NotghiID!A:A,1,FALSE)),1,0)</f>
        <v>0</v>
      </c>
    </row>
    <row r="855" spans="1:17" ht="14.25" x14ac:dyDescent="0.2">
      <c r="A855" s="183">
        <v>254</v>
      </c>
      <c r="B855" s="232" t="str">
        <f>IF(AND(A855&lt;&gt;"",ISNUMBER(A855)),VLOOKUP(A855,Studies!A:BR,2,FALSE),"")</f>
        <v>Heizmann 1983</v>
      </c>
      <c r="C855" s="232" t="str">
        <f>IF(AND(A855&lt;&gt;"",ISNUMBER(A855)),VLOOKUP(A855,Studies!A:BR,3,FALSE),"")</f>
        <v>http://www.ncbi.nlm.nih.gov/pubmed/6138080</v>
      </c>
      <c r="D855" s="232" t="str">
        <f>IF(AND(A855&lt;&gt;"",ISNUMBER(A855)),VLOOKUP(A855,Studies!A:BR,4,FALSE),"")</f>
        <v>po 20 mg - Indiv. E.Sch.</v>
      </c>
      <c r="E855" s="206" t="str">
        <f>IF(AND(A855&lt;&gt;"",ISNUMBER(A855)),VLOOKUP(A855,Studies!A:BR,5,FALSE),"")</f>
        <v>Midazolam</v>
      </c>
      <c r="F855" s="207" t="str">
        <f>IF(AND(A855&lt;&gt;"",ISNUMBER(A855)),VLOOKUP(A855,Studies!A:BR,6,FALSE),"")</f>
        <v>Plasma</v>
      </c>
      <c r="G855" s="194">
        <v>3</v>
      </c>
      <c r="H855" s="194" t="s">
        <v>60</v>
      </c>
      <c r="I855" s="187">
        <v>67</v>
      </c>
      <c r="J855" s="187" t="s">
        <v>1026</v>
      </c>
      <c r="K855" s="187" t="s">
        <v>264</v>
      </c>
      <c r="L855" s="195"/>
      <c r="M855" s="195"/>
      <c r="N855" s="195"/>
      <c r="O855" s="199"/>
      <c r="P855" s="188"/>
      <c r="Q855" s="174">
        <f>IF(ISNUMBER(VLOOKUP(A855,NotghiID!A:A,1,FALSE)),1,0)</f>
        <v>0</v>
      </c>
    </row>
    <row r="856" spans="1:17" ht="14.25" x14ac:dyDescent="0.2">
      <c r="A856" s="183">
        <v>254</v>
      </c>
      <c r="B856" s="232" t="str">
        <f>IF(AND(A856&lt;&gt;"",ISNUMBER(A856)),VLOOKUP(A856,Studies!A:BR,2,FALSE),"")</f>
        <v>Heizmann 1983</v>
      </c>
      <c r="C856" s="232" t="str">
        <f>IF(AND(A856&lt;&gt;"",ISNUMBER(A856)),VLOOKUP(A856,Studies!A:BR,3,FALSE),"")</f>
        <v>http://www.ncbi.nlm.nih.gov/pubmed/6138080</v>
      </c>
      <c r="D856" s="232" t="str">
        <f>IF(AND(A856&lt;&gt;"",ISNUMBER(A856)),VLOOKUP(A856,Studies!A:BR,4,FALSE),"")</f>
        <v>po 20 mg - Indiv. E.Sch.</v>
      </c>
      <c r="E856" s="206" t="str">
        <f>IF(AND(A856&lt;&gt;"",ISNUMBER(A856)),VLOOKUP(A856,Studies!A:BR,5,FALSE),"")</f>
        <v>Midazolam</v>
      </c>
      <c r="F856" s="207" t="str">
        <f>IF(AND(A856&lt;&gt;"",ISNUMBER(A856)),VLOOKUP(A856,Studies!A:BR,6,FALSE),"")</f>
        <v>Plasma</v>
      </c>
      <c r="G856" s="194">
        <v>4</v>
      </c>
      <c r="H856" s="194" t="s">
        <v>60</v>
      </c>
      <c r="I856" s="187">
        <v>49</v>
      </c>
      <c r="J856" s="187" t="s">
        <v>1026</v>
      </c>
      <c r="K856" s="187" t="s">
        <v>264</v>
      </c>
      <c r="L856" s="195"/>
      <c r="M856" s="195"/>
      <c r="N856" s="195"/>
      <c r="O856" s="199"/>
      <c r="P856" s="188"/>
      <c r="Q856" s="174">
        <f>IF(ISNUMBER(VLOOKUP(A856,NotghiID!A:A,1,FALSE)),1,0)</f>
        <v>0</v>
      </c>
    </row>
    <row r="857" spans="1:17" ht="14.25" x14ac:dyDescent="0.2">
      <c r="A857" s="183">
        <v>254</v>
      </c>
      <c r="B857" s="232" t="str">
        <f>IF(AND(A857&lt;&gt;"",ISNUMBER(A857)),VLOOKUP(A857,Studies!A:BR,2,FALSE),"")</f>
        <v>Heizmann 1983</v>
      </c>
      <c r="C857" s="232" t="str">
        <f>IF(AND(A857&lt;&gt;"",ISNUMBER(A857)),VLOOKUP(A857,Studies!A:BR,3,FALSE),"")</f>
        <v>http://www.ncbi.nlm.nih.gov/pubmed/6138080</v>
      </c>
      <c r="D857" s="232" t="str">
        <f>IF(AND(A857&lt;&gt;"",ISNUMBER(A857)),VLOOKUP(A857,Studies!A:BR,4,FALSE),"")</f>
        <v>po 20 mg - Indiv. E.Sch.</v>
      </c>
      <c r="E857" s="206" t="str">
        <f>IF(AND(A857&lt;&gt;"",ISNUMBER(A857)),VLOOKUP(A857,Studies!A:BR,5,FALSE),"")</f>
        <v>Midazolam</v>
      </c>
      <c r="F857" s="207" t="str">
        <f>IF(AND(A857&lt;&gt;"",ISNUMBER(A857)),VLOOKUP(A857,Studies!A:BR,6,FALSE),"")</f>
        <v>Plasma</v>
      </c>
      <c r="G857" s="194">
        <v>5</v>
      </c>
      <c r="H857" s="194" t="s">
        <v>60</v>
      </c>
      <c r="I857" s="187">
        <v>29</v>
      </c>
      <c r="J857" s="187" t="s">
        <v>1026</v>
      </c>
      <c r="K857" s="187" t="s">
        <v>264</v>
      </c>
      <c r="L857" s="195"/>
      <c r="M857" s="195"/>
      <c r="N857" s="195"/>
      <c r="O857" s="199"/>
      <c r="P857" s="188"/>
      <c r="Q857" s="174">
        <f>IF(ISNUMBER(VLOOKUP(A857,NotghiID!A:A,1,FALSE)),1,0)</f>
        <v>0</v>
      </c>
    </row>
    <row r="858" spans="1:17" ht="14.25" x14ac:dyDescent="0.2">
      <c r="A858" s="183">
        <v>254</v>
      </c>
      <c r="B858" s="232" t="str">
        <f>IF(AND(A858&lt;&gt;"",ISNUMBER(A858)),VLOOKUP(A858,Studies!A:BR,2,FALSE),"")</f>
        <v>Heizmann 1983</v>
      </c>
      <c r="C858" s="232" t="str">
        <f>IF(AND(A858&lt;&gt;"",ISNUMBER(A858)),VLOOKUP(A858,Studies!A:BR,3,FALSE),"")</f>
        <v>http://www.ncbi.nlm.nih.gov/pubmed/6138080</v>
      </c>
      <c r="D858" s="232" t="str">
        <f>IF(AND(A858&lt;&gt;"",ISNUMBER(A858)),VLOOKUP(A858,Studies!A:BR,4,FALSE),"")</f>
        <v>po 20 mg - Indiv. E.Sch.</v>
      </c>
      <c r="E858" s="206" t="str">
        <f>IF(AND(A858&lt;&gt;"",ISNUMBER(A858)),VLOOKUP(A858,Studies!A:BR,5,FALSE),"")</f>
        <v>Midazolam</v>
      </c>
      <c r="F858" s="207" t="str">
        <f>IF(AND(A858&lt;&gt;"",ISNUMBER(A858)),VLOOKUP(A858,Studies!A:BR,6,FALSE),"")</f>
        <v>Plasma</v>
      </c>
      <c r="G858" s="194">
        <v>6</v>
      </c>
      <c r="H858" s="194" t="s">
        <v>60</v>
      </c>
      <c r="I858" s="187">
        <v>25</v>
      </c>
      <c r="J858" s="187" t="s">
        <v>1026</v>
      </c>
      <c r="K858" s="187" t="s">
        <v>264</v>
      </c>
      <c r="L858" s="195"/>
      <c r="M858" s="195"/>
      <c r="N858" s="195"/>
      <c r="O858" s="199"/>
      <c r="P858" s="188"/>
      <c r="Q858" s="174">
        <f>IF(ISNUMBER(VLOOKUP(A858,NotghiID!A:A,1,FALSE)),1,0)</f>
        <v>0</v>
      </c>
    </row>
    <row r="859" spans="1:17" ht="14.25" x14ac:dyDescent="0.2">
      <c r="A859" s="183">
        <v>254</v>
      </c>
      <c r="B859" s="232" t="str">
        <f>IF(AND(A859&lt;&gt;"",ISNUMBER(A859)),VLOOKUP(A859,Studies!A:BR,2,FALSE),"")</f>
        <v>Heizmann 1983</v>
      </c>
      <c r="C859" s="232" t="str">
        <f>IF(AND(A859&lt;&gt;"",ISNUMBER(A859)),VLOOKUP(A859,Studies!A:BR,3,FALSE),"")</f>
        <v>http://www.ncbi.nlm.nih.gov/pubmed/6138080</v>
      </c>
      <c r="D859" s="232" t="str">
        <f>IF(AND(A859&lt;&gt;"",ISNUMBER(A859)),VLOOKUP(A859,Studies!A:BR,4,FALSE),"")</f>
        <v>po 20 mg - Indiv. E.Sch.</v>
      </c>
      <c r="E859" s="206" t="str">
        <f>IF(AND(A859&lt;&gt;"",ISNUMBER(A859)),VLOOKUP(A859,Studies!A:BR,5,FALSE),"")</f>
        <v>Midazolam</v>
      </c>
      <c r="F859" s="207" t="str">
        <f>IF(AND(A859&lt;&gt;"",ISNUMBER(A859)),VLOOKUP(A859,Studies!A:BR,6,FALSE),"")</f>
        <v>Plasma</v>
      </c>
      <c r="G859" s="194">
        <v>8</v>
      </c>
      <c r="H859" s="194" t="s">
        <v>60</v>
      </c>
      <c r="I859" s="187">
        <v>14</v>
      </c>
      <c r="J859" s="187" t="s">
        <v>1026</v>
      </c>
      <c r="K859" s="187" t="s">
        <v>264</v>
      </c>
      <c r="L859" s="195"/>
      <c r="M859" s="195"/>
      <c r="N859" s="195"/>
      <c r="O859" s="199"/>
      <c r="P859" s="188"/>
      <c r="Q859" s="174">
        <f>IF(ISNUMBER(VLOOKUP(A859,NotghiID!A:A,1,FALSE)),1,0)</f>
        <v>0</v>
      </c>
    </row>
    <row r="860" spans="1:17" ht="14.25" x14ac:dyDescent="0.2">
      <c r="A860" s="183">
        <v>254</v>
      </c>
      <c r="B860" s="232" t="str">
        <f>IF(AND(A860&lt;&gt;"",ISNUMBER(A860)),VLOOKUP(A860,Studies!A:BR,2,FALSE),"")</f>
        <v>Heizmann 1983</v>
      </c>
      <c r="C860" s="232" t="str">
        <f>IF(AND(A860&lt;&gt;"",ISNUMBER(A860)),VLOOKUP(A860,Studies!A:BR,3,FALSE),"")</f>
        <v>http://www.ncbi.nlm.nih.gov/pubmed/6138080</v>
      </c>
      <c r="D860" s="232" t="str">
        <f>IF(AND(A860&lt;&gt;"",ISNUMBER(A860)),VLOOKUP(A860,Studies!A:BR,4,FALSE),"")</f>
        <v>po 20 mg - Indiv. E.Sch.</v>
      </c>
      <c r="E860" s="206" t="str">
        <f>IF(AND(A860&lt;&gt;"",ISNUMBER(A860)),VLOOKUP(A860,Studies!A:BR,5,FALSE),"")</f>
        <v>Midazolam</v>
      </c>
      <c r="F860" s="207" t="str">
        <f>IF(AND(A860&lt;&gt;"",ISNUMBER(A860)),VLOOKUP(A860,Studies!A:BR,6,FALSE),"")</f>
        <v>Plasma</v>
      </c>
      <c r="G860" s="194">
        <v>10</v>
      </c>
      <c r="H860" s="194" t="s">
        <v>60</v>
      </c>
      <c r="I860" s="187">
        <v>11</v>
      </c>
      <c r="J860" s="187" t="s">
        <v>1026</v>
      </c>
      <c r="K860" s="187" t="s">
        <v>264</v>
      </c>
      <c r="L860" s="195"/>
      <c r="M860" s="195"/>
      <c r="N860" s="195"/>
      <c r="O860" s="199"/>
      <c r="P860" s="188"/>
      <c r="Q860" s="174">
        <f>IF(ISNUMBER(VLOOKUP(A860,NotghiID!A:A,1,FALSE)),1,0)</f>
        <v>0</v>
      </c>
    </row>
    <row r="861" spans="1:17" ht="14.25" x14ac:dyDescent="0.2">
      <c r="A861" s="183">
        <v>254</v>
      </c>
      <c r="B861" s="232" t="str">
        <f>IF(AND(A861&lt;&gt;"",ISNUMBER(A861)),VLOOKUP(A861,Studies!A:BR,2,FALSE),"")</f>
        <v>Heizmann 1983</v>
      </c>
      <c r="C861" s="232" t="str">
        <f>IF(AND(A861&lt;&gt;"",ISNUMBER(A861)),VLOOKUP(A861,Studies!A:BR,3,FALSE),"")</f>
        <v>http://www.ncbi.nlm.nih.gov/pubmed/6138080</v>
      </c>
      <c r="D861" s="232" t="str">
        <f>IF(AND(A861&lt;&gt;"",ISNUMBER(A861)),VLOOKUP(A861,Studies!A:BR,4,FALSE),"")</f>
        <v>po 20 mg - Indiv. E.Sch.</v>
      </c>
      <c r="E861" s="206" t="str">
        <f>IF(AND(A861&lt;&gt;"",ISNUMBER(A861)),VLOOKUP(A861,Studies!A:BR,5,FALSE),"")</f>
        <v>Midazolam</v>
      </c>
      <c r="F861" s="207" t="str">
        <f>IF(AND(A861&lt;&gt;"",ISNUMBER(A861)),VLOOKUP(A861,Studies!A:BR,6,FALSE),"")</f>
        <v>Plasma</v>
      </c>
      <c r="G861" s="194">
        <v>12</v>
      </c>
      <c r="H861" s="194" t="s">
        <v>60</v>
      </c>
      <c r="I861" s="187">
        <v>13</v>
      </c>
      <c r="J861" s="187" t="s">
        <v>1026</v>
      </c>
      <c r="K861" s="187" t="s">
        <v>264</v>
      </c>
      <c r="L861" s="195"/>
      <c r="M861" s="195"/>
      <c r="N861" s="195"/>
      <c r="O861" s="199"/>
      <c r="P861" s="188"/>
      <c r="Q861" s="174">
        <f>IF(ISNUMBER(VLOOKUP(A861,NotghiID!A:A,1,FALSE)),1,0)</f>
        <v>0</v>
      </c>
    </row>
    <row r="862" spans="1:17" ht="14.25" x14ac:dyDescent="0.2">
      <c r="A862" s="183">
        <v>260</v>
      </c>
      <c r="B862" s="232" t="str">
        <f>IF(AND(A862&lt;&gt;"",ISNUMBER(A862)),VLOOKUP(A862,Studies!A:BR,2,FALSE),"")</f>
        <v>Heizmann 1983</v>
      </c>
      <c r="C862" s="232" t="str">
        <f>IF(AND(A862&lt;&gt;"",ISNUMBER(A862)),VLOOKUP(A862,Studies!A:BR,3,FALSE),"")</f>
        <v>http://www.ncbi.nlm.nih.gov/pubmed/6138080</v>
      </c>
      <c r="D862" s="232" t="str">
        <f>IF(AND(A862&lt;&gt;"",ISNUMBER(A862)),VLOOKUP(A862,Studies!A:BR,4,FALSE),"")</f>
        <v>po 40 mg - Indiv. E.Sch.</v>
      </c>
      <c r="E862" s="206" t="str">
        <f>IF(AND(A862&lt;&gt;"",ISNUMBER(A862)),VLOOKUP(A862,Studies!A:BR,5,FALSE),"")</f>
        <v>Midazolam</v>
      </c>
      <c r="F862" s="207" t="str">
        <f>IF(AND(A862&lt;&gt;"",ISNUMBER(A862)),VLOOKUP(A862,Studies!A:BR,6,FALSE),"")</f>
        <v>Plasma</v>
      </c>
      <c r="G862" s="194">
        <v>0.25</v>
      </c>
      <c r="H862" s="194" t="s">
        <v>60</v>
      </c>
      <c r="I862" s="187">
        <v>1449</v>
      </c>
      <c r="J862" s="187" t="s">
        <v>1026</v>
      </c>
      <c r="K862" s="187" t="s">
        <v>264</v>
      </c>
      <c r="L862" s="195"/>
      <c r="M862" s="195"/>
      <c r="N862" s="195"/>
      <c r="O862" s="199"/>
      <c r="P862" s="188"/>
      <c r="Q862" s="174">
        <f>IF(ISNUMBER(VLOOKUP(A862,NotghiID!A:A,1,FALSE)),1,0)</f>
        <v>0</v>
      </c>
    </row>
    <row r="863" spans="1:17" ht="14.25" x14ac:dyDescent="0.2">
      <c r="A863" s="183">
        <v>260</v>
      </c>
      <c r="B863" s="232" t="str">
        <f>IF(AND(A863&lt;&gt;"",ISNUMBER(A863)),VLOOKUP(A863,Studies!A:BR,2,FALSE),"")</f>
        <v>Heizmann 1983</v>
      </c>
      <c r="C863" s="232" t="str">
        <f>IF(AND(A863&lt;&gt;"",ISNUMBER(A863)),VLOOKUP(A863,Studies!A:BR,3,FALSE),"")</f>
        <v>http://www.ncbi.nlm.nih.gov/pubmed/6138080</v>
      </c>
      <c r="D863" s="232" t="str">
        <f>IF(AND(A863&lt;&gt;"",ISNUMBER(A863)),VLOOKUP(A863,Studies!A:BR,4,FALSE),"")</f>
        <v>po 40 mg - Indiv. E.Sch.</v>
      </c>
      <c r="E863" s="206" t="str">
        <f>IF(AND(A863&lt;&gt;"",ISNUMBER(A863)),VLOOKUP(A863,Studies!A:BR,5,FALSE),"")</f>
        <v>Midazolam</v>
      </c>
      <c r="F863" s="207" t="str">
        <f>IF(AND(A863&lt;&gt;"",ISNUMBER(A863)),VLOOKUP(A863,Studies!A:BR,6,FALSE),"")</f>
        <v>Plasma</v>
      </c>
      <c r="G863" s="194">
        <v>0.5</v>
      </c>
      <c r="H863" s="194" t="s">
        <v>60</v>
      </c>
      <c r="I863" s="187">
        <v>538</v>
      </c>
      <c r="J863" s="187" t="s">
        <v>1026</v>
      </c>
      <c r="K863" s="187" t="s">
        <v>264</v>
      </c>
      <c r="L863" s="195"/>
      <c r="M863" s="195"/>
      <c r="N863" s="195"/>
      <c r="O863" s="199"/>
      <c r="P863" s="188"/>
      <c r="Q863" s="174">
        <f>IF(ISNUMBER(VLOOKUP(A863,NotghiID!A:A,1,FALSE)),1,0)</f>
        <v>0</v>
      </c>
    </row>
    <row r="864" spans="1:17" ht="14.25" x14ac:dyDescent="0.2">
      <c r="A864" s="183">
        <v>260</v>
      </c>
      <c r="B864" s="232" t="str">
        <f>IF(AND(A864&lt;&gt;"",ISNUMBER(A864)),VLOOKUP(A864,Studies!A:BR,2,FALSE),"")</f>
        <v>Heizmann 1983</v>
      </c>
      <c r="C864" s="232" t="str">
        <f>IF(AND(A864&lt;&gt;"",ISNUMBER(A864)),VLOOKUP(A864,Studies!A:BR,3,FALSE),"")</f>
        <v>http://www.ncbi.nlm.nih.gov/pubmed/6138080</v>
      </c>
      <c r="D864" s="232" t="str">
        <f>IF(AND(A864&lt;&gt;"",ISNUMBER(A864)),VLOOKUP(A864,Studies!A:BR,4,FALSE),"")</f>
        <v>po 40 mg - Indiv. E.Sch.</v>
      </c>
      <c r="E864" s="206" t="str">
        <f>IF(AND(A864&lt;&gt;"",ISNUMBER(A864)),VLOOKUP(A864,Studies!A:BR,5,FALSE),"")</f>
        <v>Midazolam</v>
      </c>
      <c r="F864" s="207" t="str">
        <f>IF(AND(A864&lt;&gt;"",ISNUMBER(A864)),VLOOKUP(A864,Studies!A:BR,6,FALSE),"")</f>
        <v>Plasma</v>
      </c>
      <c r="G864" s="194">
        <v>0.75</v>
      </c>
      <c r="H864" s="194" t="s">
        <v>60</v>
      </c>
      <c r="I864" s="187">
        <v>390</v>
      </c>
      <c r="J864" s="187" t="s">
        <v>1026</v>
      </c>
      <c r="K864" s="187" t="s">
        <v>264</v>
      </c>
      <c r="L864" s="195"/>
      <c r="M864" s="195"/>
      <c r="N864" s="195"/>
      <c r="O864" s="199"/>
      <c r="P864" s="188"/>
      <c r="Q864" s="174">
        <f>IF(ISNUMBER(VLOOKUP(A864,NotghiID!A:A,1,FALSE)),1,0)</f>
        <v>0</v>
      </c>
    </row>
    <row r="865" spans="1:17" ht="14.25" x14ac:dyDescent="0.2">
      <c r="A865" s="183">
        <v>260</v>
      </c>
      <c r="B865" s="232" t="str">
        <f>IF(AND(A865&lt;&gt;"",ISNUMBER(A865)),VLOOKUP(A865,Studies!A:BR,2,FALSE),"")</f>
        <v>Heizmann 1983</v>
      </c>
      <c r="C865" s="232" t="str">
        <f>IF(AND(A865&lt;&gt;"",ISNUMBER(A865)),VLOOKUP(A865,Studies!A:BR,3,FALSE),"")</f>
        <v>http://www.ncbi.nlm.nih.gov/pubmed/6138080</v>
      </c>
      <c r="D865" s="232" t="str">
        <f>IF(AND(A865&lt;&gt;"",ISNUMBER(A865)),VLOOKUP(A865,Studies!A:BR,4,FALSE),"")</f>
        <v>po 40 mg - Indiv. E.Sch.</v>
      </c>
      <c r="E865" s="206" t="str">
        <f>IF(AND(A865&lt;&gt;"",ISNUMBER(A865)),VLOOKUP(A865,Studies!A:BR,5,FALSE),"")</f>
        <v>Midazolam</v>
      </c>
      <c r="F865" s="207" t="str">
        <f>IF(AND(A865&lt;&gt;"",ISNUMBER(A865)),VLOOKUP(A865,Studies!A:BR,6,FALSE),"")</f>
        <v>Plasma</v>
      </c>
      <c r="G865" s="194">
        <v>1</v>
      </c>
      <c r="H865" s="194" t="s">
        <v>60</v>
      </c>
      <c r="I865" s="187">
        <v>315</v>
      </c>
      <c r="J865" s="187" t="s">
        <v>1026</v>
      </c>
      <c r="K865" s="187" t="s">
        <v>264</v>
      </c>
      <c r="L865" s="195"/>
      <c r="M865" s="195"/>
      <c r="N865" s="195"/>
      <c r="O865" s="199"/>
      <c r="P865" s="188"/>
      <c r="Q865" s="174">
        <f>IF(ISNUMBER(VLOOKUP(A865,NotghiID!A:A,1,FALSE)),1,0)</f>
        <v>0</v>
      </c>
    </row>
    <row r="866" spans="1:17" ht="14.25" x14ac:dyDescent="0.2">
      <c r="A866" s="183">
        <v>260</v>
      </c>
      <c r="B866" s="232" t="str">
        <f>IF(AND(A866&lt;&gt;"",ISNUMBER(A866)),VLOOKUP(A866,Studies!A:BR,2,FALSE),"")</f>
        <v>Heizmann 1983</v>
      </c>
      <c r="C866" s="232" t="str">
        <f>IF(AND(A866&lt;&gt;"",ISNUMBER(A866)),VLOOKUP(A866,Studies!A:BR,3,FALSE),"")</f>
        <v>http://www.ncbi.nlm.nih.gov/pubmed/6138080</v>
      </c>
      <c r="D866" s="232" t="str">
        <f>IF(AND(A866&lt;&gt;"",ISNUMBER(A866)),VLOOKUP(A866,Studies!A:BR,4,FALSE),"")</f>
        <v>po 40 mg - Indiv. E.Sch.</v>
      </c>
      <c r="E866" s="206" t="str">
        <f>IF(AND(A866&lt;&gt;"",ISNUMBER(A866)),VLOOKUP(A866,Studies!A:BR,5,FALSE),"")</f>
        <v>Midazolam</v>
      </c>
      <c r="F866" s="207" t="str">
        <f>IF(AND(A866&lt;&gt;"",ISNUMBER(A866)),VLOOKUP(A866,Studies!A:BR,6,FALSE),"")</f>
        <v>Plasma</v>
      </c>
      <c r="G866" s="194">
        <v>1.5</v>
      </c>
      <c r="H866" s="194" t="s">
        <v>60</v>
      </c>
      <c r="I866" s="187">
        <v>264</v>
      </c>
      <c r="J866" s="187" t="s">
        <v>1026</v>
      </c>
      <c r="K866" s="187" t="s">
        <v>264</v>
      </c>
      <c r="L866" s="195"/>
      <c r="M866" s="195"/>
      <c r="N866" s="195"/>
      <c r="O866" s="199"/>
      <c r="P866" s="188"/>
      <c r="Q866" s="174">
        <f>IF(ISNUMBER(VLOOKUP(A866,NotghiID!A:A,1,FALSE)),1,0)</f>
        <v>0</v>
      </c>
    </row>
    <row r="867" spans="1:17" ht="14.25" x14ac:dyDescent="0.2">
      <c r="A867" s="183">
        <v>260</v>
      </c>
      <c r="B867" s="232" t="str">
        <f>IF(AND(A867&lt;&gt;"",ISNUMBER(A867)),VLOOKUP(A867,Studies!A:BR,2,FALSE),"")</f>
        <v>Heizmann 1983</v>
      </c>
      <c r="C867" s="232" t="str">
        <f>IF(AND(A867&lt;&gt;"",ISNUMBER(A867)),VLOOKUP(A867,Studies!A:BR,3,FALSE),"")</f>
        <v>http://www.ncbi.nlm.nih.gov/pubmed/6138080</v>
      </c>
      <c r="D867" s="232" t="str">
        <f>IF(AND(A867&lt;&gt;"",ISNUMBER(A867)),VLOOKUP(A867,Studies!A:BR,4,FALSE),"")</f>
        <v>po 40 mg - Indiv. E.Sch.</v>
      </c>
      <c r="E867" s="206" t="str">
        <f>IF(AND(A867&lt;&gt;"",ISNUMBER(A867)),VLOOKUP(A867,Studies!A:BR,5,FALSE),"")</f>
        <v>Midazolam</v>
      </c>
      <c r="F867" s="207" t="str">
        <f>IF(AND(A867&lt;&gt;"",ISNUMBER(A867)),VLOOKUP(A867,Studies!A:BR,6,FALSE),"")</f>
        <v>Plasma</v>
      </c>
      <c r="G867" s="194">
        <v>2</v>
      </c>
      <c r="H867" s="194" t="s">
        <v>60</v>
      </c>
      <c r="I867" s="187">
        <v>207</v>
      </c>
      <c r="J867" s="187" t="s">
        <v>1026</v>
      </c>
      <c r="K867" s="187" t="s">
        <v>264</v>
      </c>
      <c r="L867" s="195"/>
      <c r="M867" s="195"/>
      <c r="N867" s="195"/>
      <c r="O867" s="199"/>
      <c r="P867" s="188"/>
      <c r="Q867" s="174">
        <f>IF(ISNUMBER(VLOOKUP(A867,NotghiID!A:A,1,FALSE)),1,0)</f>
        <v>0</v>
      </c>
    </row>
    <row r="868" spans="1:17" ht="14.25" x14ac:dyDescent="0.2">
      <c r="A868" s="183">
        <v>260</v>
      </c>
      <c r="B868" s="232" t="str">
        <f>IF(AND(A868&lt;&gt;"",ISNUMBER(A868)),VLOOKUP(A868,Studies!A:BR,2,FALSE),"")</f>
        <v>Heizmann 1983</v>
      </c>
      <c r="C868" s="232" t="str">
        <f>IF(AND(A868&lt;&gt;"",ISNUMBER(A868)),VLOOKUP(A868,Studies!A:BR,3,FALSE),"")</f>
        <v>http://www.ncbi.nlm.nih.gov/pubmed/6138080</v>
      </c>
      <c r="D868" s="232" t="str">
        <f>IF(AND(A868&lt;&gt;"",ISNUMBER(A868)),VLOOKUP(A868,Studies!A:BR,4,FALSE),"")</f>
        <v>po 40 mg - Indiv. E.Sch.</v>
      </c>
      <c r="E868" s="206" t="str">
        <f>IF(AND(A868&lt;&gt;"",ISNUMBER(A868)),VLOOKUP(A868,Studies!A:BR,5,FALSE),"")</f>
        <v>Midazolam</v>
      </c>
      <c r="F868" s="207" t="str">
        <f>IF(AND(A868&lt;&gt;"",ISNUMBER(A868)),VLOOKUP(A868,Studies!A:BR,6,FALSE),"")</f>
        <v>Plasma</v>
      </c>
      <c r="G868" s="194">
        <v>3</v>
      </c>
      <c r="H868" s="194" t="s">
        <v>60</v>
      </c>
      <c r="I868" s="187">
        <v>126</v>
      </c>
      <c r="J868" s="187" t="s">
        <v>1026</v>
      </c>
      <c r="K868" s="187" t="s">
        <v>264</v>
      </c>
      <c r="L868" s="195"/>
      <c r="M868" s="195"/>
      <c r="N868" s="195"/>
      <c r="O868" s="199"/>
      <c r="P868" s="188"/>
      <c r="Q868" s="174">
        <f>IF(ISNUMBER(VLOOKUP(A868,NotghiID!A:A,1,FALSE)),1,0)</f>
        <v>0</v>
      </c>
    </row>
    <row r="869" spans="1:17" ht="14.25" x14ac:dyDescent="0.2">
      <c r="A869" s="183">
        <v>260</v>
      </c>
      <c r="B869" s="232" t="str">
        <f>IF(AND(A869&lt;&gt;"",ISNUMBER(A869)),VLOOKUP(A869,Studies!A:BR,2,FALSE),"")</f>
        <v>Heizmann 1983</v>
      </c>
      <c r="C869" s="232" t="str">
        <f>IF(AND(A869&lt;&gt;"",ISNUMBER(A869)),VLOOKUP(A869,Studies!A:BR,3,FALSE),"")</f>
        <v>http://www.ncbi.nlm.nih.gov/pubmed/6138080</v>
      </c>
      <c r="D869" s="232" t="str">
        <f>IF(AND(A869&lt;&gt;"",ISNUMBER(A869)),VLOOKUP(A869,Studies!A:BR,4,FALSE),"")</f>
        <v>po 40 mg - Indiv. E.Sch.</v>
      </c>
      <c r="E869" s="206" t="str">
        <f>IF(AND(A869&lt;&gt;"",ISNUMBER(A869)),VLOOKUP(A869,Studies!A:BR,5,FALSE),"")</f>
        <v>Midazolam</v>
      </c>
      <c r="F869" s="207" t="str">
        <f>IF(AND(A869&lt;&gt;"",ISNUMBER(A869)),VLOOKUP(A869,Studies!A:BR,6,FALSE),"")</f>
        <v>Plasma</v>
      </c>
      <c r="G869" s="194">
        <v>4</v>
      </c>
      <c r="H869" s="194" t="s">
        <v>60</v>
      </c>
      <c r="I869" s="187">
        <v>109</v>
      </c>
      <c r="J869" s="187" t="s">
        <v>1026</v>
      </c>
      <c r="K869" s="187" t="s">
        <v>264</v>
      </c>
      <c r="L869" s="195"/>
      <c r="M869" s="195"/>
      <c r="N869" s="195"/>
      <c r="O869" s="199"/>
      <c r="P869" s="188"/>
      <c r="Q869" s="174">
        <f>IF(ISNUMBER(VLOOKUP(A869,NotghiID!A:A,1,FALSE)),1,0)</f>
        <v>0</v>
      </c>
    </row>
    <row r="870" spans="1:17" ht="14.25" x14ac:dyDescent="0.2">
      <c r="A870" s="183">
        <v>260</v>
      </c>
      <c r="B870" s="232" t="str">
        <f>IF(AND(A870&lt;&gt;"",ISNUMBER(A870)),VLOOKUP(A870,Studies!A:BR,2,FALSE),"")</f>
        <v>Heizmann 1983</v>
      </c>
      <c r="C870" s="232" t="str">
        <f>IF(AND(A870&lt;&gt;"",ISNUMBER(A870)),VLOOKUP(A870,Studies!A:BR,3,FALSE),"")</f>
        <v>http://www.ncbi.nlm.nih.gov/pubmed/6138080</v>
      </c>
      <c r="D870" s="232" t="str">
        <f>IF(AND(A870&lt;&gt;"",ISNUMBER(A870)),VLOOKUP(A870,Studies!A:BR,4,FALSE),"")</f>
        <v>po 40 mg - Indiv. E.Sch.</v>
      </c>
      <c r="E870" s="206" t="str">
        <f>IF(AND(A870&lt;&gt;"",ISNUMBER(A870)),VLOOKUP(A870,Studies!A:BR,5,FALSE),"")</f>
        <v>Midazolam</v>
      </c>
      <c r="F870" s="207" t="str">
        <f>IF(AND(A870&lt;&gt;"",ISNUMBER(A870)),VLOOKUP(A870,Studies!A:BR,6,FALSE),"")</f>
        <v>Plasma</v>
      </c>
      <c r="G870" s="194">
        <v>5</v>
      </c>
      <c r="H870" s="194" t="s">
        <v>60</v>
      </c>
      <c r="I870" s="187">
        <v>86</v>
      </c>
      <c r="J870" s="187" t="s">
        <v>1026</v>
      </c>
      <c r="K870" s="187" t="s">
        <v>264</v>
      </c>
      <c r="L870" s="195"/>
      <c r="M870" s="195"/>
      <c r="N870" s="195"/>
      <c r="O870" s="199"/>
      <c r="P870" s="188"/>
      <c r="Q870" s="174">
        <f>IF(ISNUMBER(VLOOKUP(A870,NotghiID!A:A,1,FALSE)),1,0)</f>
        <v>0</v>
      </c>
    </row>
    <row r="871" spans="1:17" ht="14.25" x14ac:dyDescent="0.2">
      <c r="A871" s="183">
        <v>260</v>
      </c>
      <c r="B871" s="232" t="str">
        <f>IF(AND(A871&lt;&gt;"",ISNUMBER(A871)),VLOOKUP(A871,Studies!A:BR,2,FALSE),"")</f>
        <v>Heizmann 1983</v>
      </c>
      <c r="C871" s="232" t="str">
        <f>IF(AND(A871&lt;&gt;"",ISNUMBER(A871)),VLOOKUP(A871,Studies!A:BR,3,FALSE),"")</f>
        <v>http://www.ncbi.nlm.nih.gov/pubmed/6138080</v>
      </c>
      <c r="D871" s="232" t="str">
        <f>IF(AND(A871&lt;&gt;"",ISNUMBER(A871)),VLOOKUP(A871,Studies!A:BR,4,FALSE),"")</f>
        <v>po 40 mg - Indiv. E.Sch.</v>
      </c>
      <c r="E871" s="206" t="str">
        <f>IF(AND(A871&lt;&gt;"",ISNUMBER(A871)),VLOOKUP(A871,Studies!A:BR,5,FALSE),"")</f>
        <v>Midazolam</v>
      </c>
      <c r="F871" s="207" t="str">
        <f>IF(AND(A871&lt;&gt;"",ISNUMBER(A871)),VLOOKUP(A871,Studies!A:BR,6,FALSE),"")</f>
        <v>Plasma</v>
      </c>
      <c r="G871" s="194">
        <v>6</v>
      </c>
      <c r="H871" s="194" t="s">
        <v>60</v>
      </c>
      <c r="I871" s="187">
        <v>69</v>
      </c>
      <c r="J871" s="187" t="s">
        <v>1026</v>
      </c>
      <c r="K871" s="187" t="s">
        <v>264</v>
      </c>
      <c r="L871" s="195"/>
      <c r="M871" s="195"/>
      <c r="N871" s="195"/>
      <c r="O871" s="199"/>
      <c r="P871" s="188"/>
      <c r="Q871" s="174">
        <f>IF(ISNUMBER(VLOOKUP(A871,NotghiID!A:A,1,FALSE)),1,0)</f>
        <v>0</v>
      </c>
    </row>
    <row r="872" spans="1:17" ht="14.25" x14ac:dyDescent="0.2">
      <c r="A872" s="183">
        <v>260</v>
      </c>
      <c r="B872" s="232" t="str">
        <f>IF(AND(A872&lt;&gt;"",ISNUMBER(A872)),VLOOKUP(A872,Studies!A:BR,2,FALSE),"")</f>
        <v>Heizmann 1983</v>
      </c>
      <c r="C872" s="232" t="str">
        <f>IF(AND(A872&lt;&gt;"",ISNUMBER(A872)),VLOOKUP(A872,Studies!A:BR,3,FALSE),"")</f>
        <v>http://www.ncbi.nlm.nih.gov/pubmed/6138080</v>
      </c>
      <c r="D872" s="232" t="str">
        <f>IF(AND(A872&lt;&gt;"",ISNUMBER(A872)),VLOOKUP(A872,Studies!A:BR,4,FALSE),"")</f>
        <v>po 40 mg - Indiv. E.Sch.</v>
      </c>
      <c r="E872" s="206" t="str">
        <f>IF(AND(A872&lt;&gt;"",ISNUMBER(A872)),VLOOKUP(A872,Studies!A:BR,5,FALSE),"")</f>
        <v>Midazolam</v>
      </c>
      <c r="F872" s="207" t="str">
        <f>IF(AND(A872&lt;&gt;"",ISNUMBER(A872)),VLOOKUP(A872,Studies!A:BR,6,FALSE),"")</f>
        <v>Plasma</v>
      </c>
      <c r="G872" s="194">
        <v>8</v>
      </c>
      <c r="H872" s="194" t="s">
        <v>60</v>
      </c>
      <c r="I872" s="187">
        <v>47</v>
      </c>
      <c r="J872" s="187" t="s">
        <v>1026</v>
      </c>
      <c r="K872" s="187" t="s">
        <v>264</v>
      </c>
      <c r="L872" s="195"/>
      <c r="M872" s="195"/>
      <c r="N872" s="195"/>
      <c r="O872" s="199"/>
      <c r="P872" s="188"/>
      <c r="Q872" s="174">
        <f>IF(ISNUMBER(VLOOKUP(A872,NotghiID!A:A,1,FALSE)),1,0)</f>
        <v>0</v>
      </c>
    </row>
    <row r="873" spans="1:17" ht="14.25" x14ac:dyDescent="0.2">
      <c r="A873" s="183">
        <v>260</v>
      </c>
      <c r="B873" s="232" t="str">
        <f>IF(AND(A873&lt;&gt;"",ISNUMBER(A873)),VLOOKUP(A873,Studies!A:BR,2,FALSE),"")</f>
        <v>Heizmann 1983</v>
      </c>
      <c r="C873" s="232" t="str">
        <f>IF(AND(A873&lt;&gt;"",ISNUMBER(A873)),VLOOKUP(A873,Studies!A:BR,3,FALSE),"")</f>
        <v>http://www.ncbi.nlm.nih.gov/pubmed/6138080</v>
      </c>
      <c r="D873" s="232" t="str">
        <f>IF(AND(A873&lt;&gt;"",ISNUMBER(A873)),VLOOKUP(A873,Studies!A:BR,4,FALSE),"")</f>
        <v>po 40 mg - Indiv. E.Sch.</v>
      </c>
      <c r="E873" s="206" t="str">
        <f>IF(AND(A873&lt;&gt;"",ISNUMBER(A873)),VLOOKUP(A873,Studies!A:BR,5,FALSE),"")</f>
        <v>Midazolam</v>
      </c>
      <c r="F873" s="207" t="str">
        <f>IF(AND(A873&lt;&gt;"",ISNUMBER(A873)),VLOOKUP(A873,Studies!A:BR,6,FALSE),"")</f>
        <v>Plasma</v>
      </c>
      <c r="G873" s="194">
        <v>10</v>
      </c>
      <c r="H873" s="194" t="s">
        <v>60</v>
      </c>
      <c r="I873" s="187">
        <v>36</v>
      </c>
      <c r="J873" s="187" t="s">
        <v>1026</v>
      </c>
      <c r="K873" s="187" t="s">
        <v>264</v>
      </c>
      <c r="L873" s="195"/>
      <c r="M873" s="195"/>
      <c r="N873" s="195"/>
      <c r="O873" s="199"/>
      <c r="P873" s="188"/>
      <c r="Q873" s="174">
        <f>IF(ISNUMBER(VLOOKUP(A873,NotghiID!A:A,1,FALSE)),1,0)</f>
        <v>0</v>
      </c>
    </row>
    <row r="874" spans="1:17" ht="14.25" x14ac:dyDescent="0.2">
      <c r="A874" s="183">
        <v>260</v>
      </c>
      <c r="B874" s="232" t="str">
        <f>IF(AND(A874&lt;&gt;"",ISNUMBER(A874)),VLOOKUP(A874,Studies!A:BR,2,FALSE),"")</f>
        <v>Heizmann 1983</v>
      </c>
      <c r="C874" s="232" t="str">
        <f>IF(AND(A874&lt;&gt;"",ISNUMBER(A874)),VLOOKUP(A874,Studies!A:BR,3,FALSE),"")</f>
        <v>http://www.ncbi.nlm.nih.gov/pubmed/6138080</v>
      </c>
      <c r="D874" s="232" t="str">
        <f>IF(AND(A874&lt;&gt;"",ISNUMBER(A874)),VLOOKUP(A874,Studies!A:BR,4,FALSE),"")</f>
        <v>po 40 mg - Indiv. E.Sch.</v>
      </c>
      <c r="E874" s="206" t="str">
        <f>IF(AND(A874&lt;&gt;"",ISNUMBER(A874)),VLOOKUP(A874,Studies!A:BR,5,FALSE),"")</f>
        <v>Midazolam</v>
      </c>
      <c r="F874" s="207" t="str">
        <f>IF(AND(A874&lt;&gt;"",ISNUMBER(A874)),VLOOKUP(A874,Studies!A:BR,6,FALSE),"")</f>
        <v>Plasma</v>
      </c>
      <c r="G874" s="194">
        <v>12</v>
      </c>
      <c r="H874" s="194" t="s">
        <v>60</v>
      </c>
      <c r="I874" s="187">
        <v>27</v>
      </c>
      <c r="J874" s="187" t="s">
        <v>1026</v>
      </c>
      <c r="K874" s="187" t="s">
        <v>264</v>
      </c>
      <c r="L874" s="195"/>
      <c r="M874" s="195"/>
      <c r="N874" s="195"/>
      <c r="O874" s="199"/>
      <c r="P874" s="188"/>
      <c r="Q874" s="174">
        <f>IF(ISNUMBER(VLOOKUP(A874,NotghiID!A:A,1,FALSE)),1,0)</f>
        <v>0</v>
      </c>
    </row>
    <row r="875" spans="1:17" ht="14.25" x14ac:dyDescent="0.2">
      <c r="A875" s="183">
        <v>244</v>
      </c>
      <c r="B875" s="232" t="str">
        <f>IF(AND(A875&lt;&gt;"",ISNUMBER(A875)),VLOOKUP(A875,Studies!A:BR,2,FALSE),"")</f>
        <v>Heizmann 1983</v>
      </c>
      <c r="C875" s="232" t="str">
        <f>IF(AND(A875&lt;&gt;"",ISNUMBER(A875)),VLOOKUP(A875,Studies!A:BR,3,FALSE),"")</f>
        <v>http://www.ncbi.nlm.nih.gov/pubmed/6138080</v>
      </c>
      <c r="D875" s="232" t="str">
        <f>IF(AND(A875&lt;&gt;"",ISNUMBER(A875)),VLOOKUP(A875,Studies!A:BR,4,FALSE),"")</f>
        <v>iv 0.15 mg/kg - Indiv. K.M.</v>
      </c>
      <c r="E875" s="206" t="str">
        <f>IF(AND(A875&lt;&gt;"",ISNUMBER(A875)),VLOOKUP(A875,Studies!A:BR,5,FALSE),"")</f>
        <v>Midazolam</v>
      </c>
      <c r="F875" s="207" t="str">
        <f>IF(AND(A875&lt;&gt;"",ISNUMBER(A875)),VLOOKUP(A875,Studies!A:BR,6,FALSE),"")</f>
        <v>Plasma</v>
      </c>
      <c r="G875" s="194">
        <v>8.3333329999999997E-2</v>
      </c>
      <c r="H875" s="194" t="s">
        <v>60</v>
      </c>
      <c r="I875" s="187">
        <v>298</v>
      </c>
      <c r="J875" s="187" t="s">
        <v>1026</v>
      </c>
      <c r="K875" s="187" t="s">
        <v>264</v>
      </c>
      <c r="L875" s="195"/>
      <c r="M875" s="195"/>
      <c r="N875" s="195"/>
      <c r="O875" s="199"/>
      <c r="P875" s="188"/>
      <c r="Q875" s="174">
        <f>IF(ISNUMBER(VLOOKUP(A875,NotghiID!A:A,1,FALSE)),1,0)</f>
        <v>0</v>
      </c>
    </row>
    <row r="876" spans="1:17" ht="14.25" x14ac:dyDescent="0.2">
      <c r="A876" s="183">
        <v>244</v>
      </c>
      <c r="B876" s="232" t="str">
        <f>IF(AND(A876&lt;&gt;"",ISNUMBER(A876)),VLOOKUP(A876,Studies!A:BR,2,FALSE),"")</f>
        <v>Heizmann 1983</v>
      </c>
      <c r="C876" s="232" t="str">
        <f>IF(AND(A876&lt;&gt;"",ISNUMBER(A876)),VLOOKUP(A876,Studies!A:BR,3,FALSE),"")</f>
        <v>http://www.ncbi.nlm.nih.gov/pubmed/6138080</v>
      </c>
      <c r="D876" s="232" t="str">
        <f>IF(AND(A876&lt;&gt;"",ISNUMBER(A876)),VLOOKUP(A876,Studies!A:BR,4,FALSE),"")</f>
        <v>iv 0.15 mg/kg - Indiv. K.M.</v>
      </c>
      <c r="E876" s="206" t="str">
        <f>IF(AND(A876&lt;&gt;"",ISNUMBER(A876)),VLOOKUP(A876,Studies!A:BR,5,FALSE),"")</f>
        <v>Midazolam</v>
      </c>
      <c r="F876" s="207" t="str">
        <f>IF(AND(A876&lt;&gt;"",ISNUMBER(A876)),VLOOKUP(A876,Studies!A:BR,6,FALSE),"")</f>
        <v>Plasma</v>
      </c>
      <c r="G876" s="194">
        <v>0.16666666999999999</v>
      </c>
      <c r="H876" s="194" t="s">
        <v>60</v>
      </c>
      <c r="I876" s="187">
        <v>249</v>
      </c>
      <c r="J876" s="187" t="s">
        <v>1026</v>
      </c>
      <c r="K876" s="187" t="s">
        <v>264</v>
      </c>
      <c r="L876" s="195"/>
      <c r="M876" s="195"/>
      <c r="N876" s="195"/>
      <c r="O876" s="199"/>
      <c r="P876" s="188"/>
      <c r="Q876" s="174">
        <f>IF(ISNUMBER(VLOOKUP(A876,NotghiID!A:A,1,FALSE)),1,0)</f>
        <v>0</v>
      </c>
    </row>
    <row r="877" spans="1:17" ht="14.25" x14ac:dyDescent="0.2">
      <c r="A877" s="183">
        <v>244</v>
      </c>
      <c r="B877" s="232" t="str">
        <f>IF(AND(A877&lt;&gt;"",ISNUMBER(A877)),VLOOKUP(A877,Studies!A:BR,2,FALSE),"")</f>
        <v>Heizmann 1983</v>
      </c>
      <c r="C877" s="232" t="str">
        <f>IF(AND(A877&lt;&gt;"",ISNUMBER(A877)),VLOOKUP(A877,Studies!A:BR,3,FALSE),"")</f>
        <v>http://www.ncbi.nlm.nih.gov/pubmed/6138080</v>
      </c>
      <c r="D877" s="232" t="str">
        <f>IF(AND(A877&lt;&gt;"",ISNUMBER(A877)),VLOOKUP(A877,Studies!A:BR,4,FALSE),"")</f>
        <v>iv 0.15 mg/kg - Indiv. K.M.</v>
      </c>
      <c r="E877" s="206" t="str">
        <f>IF(AND(A877&lt;&gt;"",ISNUMBER(A877)),VLOOKUP(A877,Studies!A:BR,5,FALSE),"")</f>
        <v>Midazolam</v>
      </c>
      <c r="F877" s="207" t="str">
        <f>IF(AND(A877&lt;&gt;"",ISNUMBER(A877)),VLOOKUP(A877,Studies!A:BR,6,FALSE),"")</f>
        <v>Plasma</v>
      </c>
      <c r="G877" s="194">
        <v>0.25</v>
      </c>
      <c r="H877" s="194" t="s">
        <v>60</v>
      </c>
      <c r="I877" s="187">
        <v>235</v>
      </c>
      <c r="J877" s="187" t="s">
        <v>1026</v>
      </c>
      <c r="K877" s="187" t="s">
        <v>264</v>
      </c>
      <c r="L877" s="195"/>
      <c r="M877" s="195"/>
      <c r="N877" s="195"/>
      <c r="O877" s="199"/>
      <c r="P877" s="188"/>
      <c r="Q877" s="174">
        <f>IF(ISNUMBER(VLOOKUP(A877,NotghiID!A:A,1,FALSE)),1,0)</f>
        <v>0</v>
      </c>
    </row>
    <row r="878" spans="1:17" ht="14.25" x14ac:dyDescent="0.2">
      <c r="A878" s="183">
        <v>244</v>
      </c>
      <c r="B878" s="232" t="str">
        <f>IF(AND(A878&lt;&gt;"",ISNUMBER(A878)),VLOOKUP(A878,Studies!A:BR,2,FALSE),"")</f>
        <v>Heizmann 1983</v>
      </c>
      <c r="C878" s="232" t="str">
        <f>IF(AND(A878&lt;&gt;"",ISNUMBER(A878)),VLOOKUP(A878,Studies!A:BR,3,FALSE),"")</f>
        <v>http://www.ncbi.nlm.nih.gov/pubmed/6138080</v>
      </c>
      <c r="D878" s="232" t="str">
        <f>IF(AND(A878&lt;&gt;"",ISNUMBER(A878)),VLOOKUP(A878,Studies!A:BR,4,FALSE),"")</f>
        <v>iv 0.15 mg/kg - Indiv. K.M.</v>
      </c>
      <c r="E878" s="206" t="str">
        <f>IF(AND(A878&lt;&gt;"",ISNUMBER(A878)),VLOOKUP(A878,Studies!A:BR,5,FALSE),"")</f>
        <v>Midazolam</v>
      </c>
      <c r="F878" s="207" t="str">
        <f>IF(AND(A878&lt;&gt;"",ISNUMBER(A878)),VLOOKUP(A878,Studies!A:BR,6,FALSE),"")</f>
        <v>Plasma</v>
      </c>
      <c r="G878" s="194">
        <v>0.5</v>
      </c>
      <c r="H878" s="194" t="s">
        <v>60</v>
      </c>
      <c r="I878" s="187">
        <v>169</v>
      </c>
      <c r="J878" s="187" t="s">
        <v>1026</v>
      </c>
      <c r="K878" s="187" t="s">
        <v>264</v>
      </c>
      <c r="L878" s="195"/>
      <c r="M878" s="195"/>
      <c r="N878" s="195"/>
      <c r="O878" s="199"/>
      <c r="P878" s="188"/>
      <c r="Q878" s="174">
        <f>IF(ISNUMBER(VLOOKUP(A878,NotghiID!A:A,1,FALSE)),1,0)</f>
        <v>0</v>
      </c>
    </row>
    <row r="879" spans="1:17" ht="14.25" x14ac:dyDescent="0.2">
      <c r="A879" s="183">
        <v>244</v>
      </c>
      <c r="B879" s="232" t="str">
        <f>IF(AND(A879&lt;&gt;"",ISNUMBER(A879)),VLOOKUP(A879,Studies!A:BR,2,FALSE),"")</f>
        <v>Heizmann 1983</v>
      </c>
      <c r="C879" s="232" t="str">
        <f>IF(AND(A879&lt;&gt;"",ISNUMBER(A879)),VLOOKUP(A879,Studies!A:BR,3,FALSE),"")</f>
        <v>http://www.ncbi.nlm.nih.gov/pubmed/6138080</v>
      </c>
      <c r="D879" s="232" t="str">
        <f>IF(AND(A879&lt;&gt;"",ISNUMBER(A879)),VLOOKUP(A879,Studies!A:BR,4,FALSE),"")</f>
        <v>iv 0.15 mg/kg - Indiv. K.M.</v>
      </c>
      <c r="E879" s="206" t="str">
        <f>IF(AND(A879&lt;&gt;"",ISNUMBER(A879)),VLOOKUP(A879,Studies!A:BR,5,FALSE),"")</f>
        <v>Midazolam</v>
      </c>
      <c r="F879" s="207" t="str">
        <f>IF(AND(A879&lt;&gt;"",ISNUMBER(A879)),VLOOKUP(A879,Studies!A:BR,6,FALSE),"")</f>
        <v>Plasma</v>
      </c>
      <c r="G879" s="194">
        <v>0.75</v>
      </c>
      <c r="H879" s="194" t="s">
        <v>60</v>
      </c>
      <c r="I879" s="187">
        <v>144</v>
      </c>
      <c r="J879" s="187" t="s">
        <v>1026</v>
      </c>
      <c r="K879" s="187" t="s">
        <v>264</v>
      </c>
      <c r="L879" s="195"/>
      <c r="M879" s="195"/>
      <c r="N879" s="195"/>
      <c r="O879" s="199"/>
      <c r="P879" s="188"/>
      <c r="Q879" s="174">
        <f>IF(ISNUMBER(VLOOKUP(A879,NotghiID!A:A,1,FALSE)),1,0)</f>
        <v>0</v>
      </c>
    </row>
    <row r="880" spans="1:17" ht="14.25" x14ac:dyDescent="0.2">
      <c r="A880" s="183">
        <v>244</v>
      </c>
      <c r="B880" s="232" t="str">
        <f>IF(AND(A880&lt;&gt;"",ISNUMBER(A880)),VLOOKUP(A880,Studies!A:BR,2,FALSE),"")</f>
        <v>Heizmann 1983</v>
      </c>
      <c r="C880" s="232" t="str">
        <f>IF(AND(A880&lt;&gt;"",ISNUMBER(A880)),VLOOKUP(A880,Studies!A:BR,3,FALSE),"")</f>
        <v>http://www.ncbi.nlm.nih.gov/pubmed/6138080</v>
      </c>
      <c r="D880" s="232" t="str">
        <f>IF(AND(A880&lt;&gt;"",ISNUMBER(A880)),VLOOKUP(A880,Studies!A:BR,4,FALSE),"")</f>
        <v>iv 0.15 mg/kg - Indiv. K.M.</v>
      </c>
      <c r="E880" s="206" t="str">
        <f>IF(AND(A880&lt;&gt;"",ISNUMBER(A880)),VLOOKUP(A880,Studies!A:BR,5,FALSE),"")</f>
        <v>Midazolam</v>
      </c>
      <c r="F880" s="207" t="str">
        <f>IF(AND(A880&lt;&gt;"",ISNUMBER(A880)),VLOOKUP(A880,Studies!A:BR,6,FALSE),"")</f>
        <v>Plasma</v>
      </c>
      <c r="G880" s="194">
        <v>1</v>
      </c>
      <c r="H880" s="194" t="s">
        <v>60</v>
      </c>
      <c r="I880" s="187">
        <v>104</v>
      </c>
      <c r="J880" s="187" t="s">
        <v>1026</v>
      </c>
      <c r="K880" s="187" t="s">
        <v>264</v>
      </c>
      <c r="L880" s="195"/>
      <c r="M880" s="195"/>
      <c r="N880" s="195"/>
      <c r="O880" s="199"/>
      <c r="P880" s="188"/>
      <c r="Q880" s="174">
        <f>IF(ISNUMBER(VLOOKUP(A880,NotghiID!A:A,1,FALSE)),1,0)</f>
        <v>0</v>
      </c>
    </row>
    <row r="881" spans="1:17" ht="14.25" x14ac:dyDescent="0.2">
      <c r="A881" s="183">
        <v>244</v>
      </c>
      <c r="B881" s="232" t="str">
        <f>IF(AND(A881&lt;&gt;"",ISNUMBER(A881)),VLOOKUP(A881,Studies!A:BR,2,FALSE),"")</f>
        <v>Heizmann 1983</v>
      </c>
      <c r="C881" s="232" t="str">
        <f>IF(AND(A881&lt;&gt;"",ISNUMBER(A881)),VLOOKUP(A881,Studies!A:BR,3,FALSE),"")</f>
        <v>http://www.ncbi.nlm.nih.gov/pubmed/6138080</v>
      </c>
      <c r="D881" s="232" t="str">
        <f>IF(AND(A881&lt;&gt;"",ISNUMBER(A881)),VLOOKUP(A881,Studies!A:BR,4,FALSE),"")</f>
        <v>iv 0.15 mg/kg - Indiv. K.M.</v>
      </c>
      <c r="E881" s="206" t="str">
        <f>IF(AND(A881&lt;&gt;"",ISNUMBER(A881)),VLOOKUP(A881,Studies!A:BR,5,FALSE),"")</f>
        <v>Midazolam</v>
      </c>
      <c r="F881" s="207" t="str">
        <f>IF(AND(A881&lt;&gt;"",ISNUMBER(A881)),VLOOKUP(A881,Studies!A:BR,6,FALSE),"")</f>
        <v>Plasma</v>
      </c>
      <c r="G881" s="194">
        <v>1.5</v>
      </c>
      <c r="H881" s="194" t="s">
        <v>60</v>
      </c>
      <c r="I881" s="187">
        <v>89</v>
      </c>
      <c r="J881" s="187" t="s">
        <v>1026</v>
      </c>
      <c r="K881" s="187" t="s">
        <v>264</v>
      </c>
      <c r="L881" s="195"/>
      <c r="M881" s="195"/>
      <c r="N881" s="195"/>
      <c r="O881" s="199"/>
      <c r="P881" s="188"/>
      <c r="Q881" s="174">
        <f>IF(ISNUMBER(VLOOKUP(A881,NotghiID!A:A,1,FALSE)),1,0)</f>
        <v>0</v>
      </c>
    </row>
    <row r="882" spans="1:17" ht="14.25" x14ac:dyDescent="0.2">
      <c r="A882" s="183">
        <v>244</v>
      </c>
      <c r="B882" s="232" t="str">
        <f>IF(AND(A882&lt;&gt;"",ISNUMBER(A882)),VLOOKUP(A882,Studies!A:BR,2,FALSE),"")</f>
        <v>Heizmann 1983</v>
      </c>
      <c r="C882" s="232" t="str">
        <f>IF(AND(A882&lt;&gt;"",ISNUMBER(A882)),VLOOKUP(A882,Studies!A:BR,3,FALSE),"")</f>
        <v>http://www.ncbi.nlm.nih.gov/pubmed/6138080</v>
      </c>
      <c r="D882" s="232" t="str">
        <f>IF(AND(A882&lt;&gt;"",ISNUMBER(A882)),VLOOKUP(A882,Studies!A:BR,4,FALSE),"")</f>
        <v>iv 0.15 mg/kg - Indiv. K.M.</v>
      </c>
      <c r="E882" s="206" t="str">
        <f>IF(AND(A882&lt;&gt;"",ISNUMBER(A882)),VLOOKUP(A882,Studies!A:BR,5,FALSE),"")</f>
        <v>Midazolam</v>
      </c>
      <c r="F882" s="207" t="str">
        <f>IF(AND(A882&lt;&gt;"",ISNUMBER(A882)),VLOOKUP(A882,Studies!A:BR,6,FALSE),"")</f>
        <v>Plasma</v>
      </c>
      <c r="G882" s="194">
        <v>2</v>
      </c>
      <c r="H882" s="194" t="s">
        <v>60</v>
      </c>
      <c r="I882" s="187">
        <v>54</v>
      </c>
      <c r="J882" s="187" t="s">
        <v>1026</v>
      </c>
      <c r="K882" s="187" t="s">
        <v>264</v>
      </c>
      <c r="L882" s="195"/>
      <c r="M882" s="195"/>
      <c r="N882" s="195"/>
      <c r="O882" s="199"/>
      <c r="P882" s="188"/>
      <c r="Q882" s="174">
        <f>IF(ISNUMBER(VLOOKUP(A882,NotghiID!A:A,1,FALSE)),1,0)</f>
        <v>0</v>
      </c>
    </row>
    <row r="883" spans="1:17" ht="14.25" x14ac:dyDescent="0.2">
      <c r="A883" s="183">
        <v>244</v>
      </c>
      <c r="B883" s="232" t="str">
        <f>IF(AND(A883&lt;&gt;"",ISNUMBER(A883)),VLOOKUP(A883,Studies!A:BR,2,FALSE),"")</f>
        <v>Heizmann 1983</v>
      </c>
      <c r="C883" s="232" t="str">
        <f>IF(AND(A883&lt;&gt;"",ISNUMBER(A883)),VLOOKUP(A883,Studies!A:BR,3,FALSE),"")</f>
        <v>http://www.ncbi.nlm.nih.gov/pubmed/6138080</v>
      </c>
      <c r="D883" s="232" t="str">
        <f>IF(AND(A883&lt;&gt;"",ISNUMBER(A883)),VLOOKUP(A883,Studies!A:BR,4,FALSE),"")</f>
        <v>iv 0.15 mg/kg - Indiv. K.M.</v>
      </c>
      <c r="E883" s="206" t="str">
        <f>IF(AND(A883&lt;&gt;"",ISNUMBER(A883)),VLOOKUP(A883,Studies!A:BR,5,FALSE),"")</f>
        <v>Midazolam</v>
      </c>
      <c r="F883" s="207" t="str">
        <f>IF(AND(A883&lt;&gt;"",ISNUMBER(A883)),VLOOKUP(A883,Studies!A:BR,6,FALSE),"")</f>
        <v>Plasma</v>
      </c>
      <c r="G883" s="194">
        <v>3</v>
      </c>
      <c r="H883" s="194" t="s">
        <v>60</v>
      </c>
      <c r="I883" s="187">
        <v>36</v>
      </c>
      <c r="J883" s="187" t="s">
        <v>1026</v>
      </c>
      <c r="K883" s="187" t="s">
        <v>264</v>
      </c>
      <c r="L883" s="195"/>
      <c r="M883" s="195"/>
      <c r="N883" s="195"/>
      <c r="O883" s="199"/>
      <c r="P883" s="188"/>
      <c r="Q883" s="174">
        <f>IF(ISNUMBER(VLOOKUP(A883,NotghiID!A:A,1,FALSE)),1,0)</f>
        <v>0</v>
      </c>
    </row>
    <row r="884" spans="1:17" ht="14.25" x14ac:dyDescent="0.2">
      <c r="A884" s="183">
        <v>244</v>
      </c>
      <c r="B884" s="232" t="str">
        <f>IF(AND(A884&lt;&gt;"",ISNUMBER(A884)),VLOOKUP(A884,Studies!A:BR,2,FALSE),"")</f>
        <v>Heizmann 1983</v>
      </c>
      <c r="C884" s="232" t="str">
        <f>IF(AND(A884&lt;&gt;"",ISNUMBER(A884)),VLOOKUP(A884,Studies!A:BR,3,FALSE),"")</f>
        <v>http://www.ncbi.nlm.nih.gov/pubmed/6138080</v>
      </c>
      <c r="D884" s="232" t="str">
        <f>IF(AND(A884&lt;&gt;"",ISNUMBER(A884)),VLOOKUP(A884,Studies!A:BR,4,FALSE),"")</f>
        <v>iv 0.15 mg/kg - Indiv. K.M.</v>
      </c>
      <c r="E884" s="206" t="str">
        <f>IF(AND(A884&lt;&gt;"",ISNUMBER(A884)),VLOOKUP(A884,Studies!A:BR,5,FALSE),"")</f>
        <v>Midazolam</v>
      </c>
      <c r="F884" s="207" t="str">
        <f>IF(AND(A884&lt;&gt;"",ISNUMBER(A884)),VLOOKUP(A884,Studies!A:BR,6,FALSE),"")</f>
        <v>Plasma</v>
      </c>
      <c r="G884" s="194">
        <v>4</v>
      </c>
      <c r="H884" s="194" t="s">
        <v>60</v>
      </c>
      <c r="I884" s="187">
        <v>27</v>
      </c>
      <c r="J884" s="187" t="s">
        <v>1026</v>
      </c>
      <c r="K884" s="187" t="s">
        <v>264</v>
      </c>
      <c r="L884" s="195"/>
      <c r="M884" s="195"/>
      <c r="N884" s="195"/>
      <c r="O884" s="199"/>
      <c r="P884" s="188"/>
      <c r="Q884" s="174">
        <f>IF(ISNUMBER(VLOOKUP(A884,NotghiID!A:A,1,FALSE)),1,0)</f>
        <v>0</v>
      </c>
    </row>
    <row r="885" spans="1:17" ht="14.25" x14ac:dyDescent="0.2">
      <c r="A885" s="183">
        <v>244</v>
      </c>
      <c r="B885" s="232" t="str">
        <f>IF(AND(A885&lt;&gt;"",ISNUMBER(A885)),VLOOKUP(A885,Studies!A:BR,2,FALSE),"")</f>
        <v>Heizmann 1983</v>
      </c>
      <c r="C885" s="232" t="str">
        <f>IF(AND(A885&lt;&gt;"",ISNUMBER(A885)),VLOOKUP(A885,Studies!A:BR,3,FALSE),"")</f>
        <v>http://www.ncbi.nlm.nih.gov/pubmed/6138080</v>
      </c>
      <c r="D885" s="232" t="str">
        <f>IF(AND(A885&lt;&gt;"",ISNUMBER(A885)),VLOOKUP(A885,Studies!A:BR,4,FALSE),"")</f>
        <v>iv 0.15 mg/kg - Indiv. K.M.</v>
      </c>
      <c r="E885" s="206" t="str">
        <f>IF(AND(A885&lt;&gt;"",ISNUMBER(A885)),VLOOKUP(A885,Studies!A:BR,5,FALSE),"")</f>
        <v>Midazolam</v>
      </c>
      <c r="F885" s="207" t="str">
        <f>IF(AND(A885&lt;&gt;"",ISNUMBER(A885)),VLOOKUP(A885,Studies!A:BR,6,FALSE),"")</f>
        <v>Plasma</v>
      </c>
      <c r="G885" s="194">
        <v>5</v>
      </c>
      <c r="H885" s="194" t="s">
        <v>60</v>
      </c>
      <c r="I885" s="187">
        <v>14</v>
      </c>
      <c r="J885" s="187" t="s">
        <v>1026</v>
      </c>
      <c r="K885" s="187" t="s">
        <v>264</v>
      </c>
      <c r="L885" s="195"/>
      <c r="M885" s="195"/>
      <c r="N885" s="195"/>
      <c r="O885" s="199"/>
      <c r="P885" s="188"/>
      <c r="Q885" s="174">
        <f>IF(ISNUMBER(VLOOKUP(A885,NotghiID!A:A,1,FALSE)),1,0)</f>
        <v>0</v>
      </c>
    </row>
    <row r="886" spans="1:17" ht="14.25" x14ac:dyDescent="0.2">
      <c r="A886" s="183">
        <v>244</v>
      </c>
      <c r="B886" s="232" t="str">
        <f>IF(AND(A886&lt;&gt;"",ISNUMBER(A886)),VLOOKUP(A886,Studies!A:BR,2,FALSE),"")</f>
        <v>Heizmann 1983</v>
      </c>
      <c r="C886" s="232" t="str">
        <f>IF(AND(A886&lt;&gt;"",ISNUMBER(A886)),VLOOKUP(A886,Studies!A:BR,3,FALSE),"")</f>
        <v>http://www.ncbi.nlm.nih.gov/pubmed/6138080</v>
      </c>
      <c r="D886" s="232" t="str">
        <f>IF(AND(A886&lt;&gt;"",ISNUMBER(A886)),VLOOKUP(A886,Studies!A:BR,4,FALSE),"")</f>
        <v>iv 0.15 mg/kg - Indiv. K.M.</v>
      </c>
      <c r="E886" s="206" t="str">
        <f>IF(AND(A886&lt;&gt;"",ISNUMBER(A886)),VLOOKUP(A886,Studies!A:BR,5,FALSE),"")</f>
        <v>Midazolam</v>
      </c>
      <c r="F886" s="207" t="str">
        <f>IF(AND(A886&lt;&gt;"",ISNUMBER(A886)),VLOOKUP(A886,Studies!A:BR,6,FALSE),"")</f>
        <v>Plasma</v>
      </c>
      <c r="G886" s="194">
        <v>6</v>
      </c>
      <c r="H886" s="194" t="s">
        <v>60</v>
      </c>
      <c r="I886" s="187">
        <v>12</v>
      </c>
      <c r="J886" s="187" t="s">
        <v>1026</v>
      </c>
      <c r="K886" s="187" t="s">
        <v>264</v>
      </c>
      <c r="L886" s="195"/>
      <c r="M886" s="195"/>
      <c r="N886" s="195"/>
      <c r="O886" s="199"/>
      <c r="P886" s="188"/>
      <c r="Q886" s="174">
        <f>IF(ISNUMBER(VLOOKUP(A886,NotghiID!A:A,1,FALSE)),1,0)</f>
        <v>0</v>
      </c>
    </row>
    <row r="887" spans="1:17" ht="14.25" x14ac:dyDescent="0.2">
      <c r="A887" s="183">
        <v>244</v>
      </c>
      <c r="B887" s="232" t="str">
        <f>IF(AND(A887&lt;&gt;"",ISNUMBER(A887)),VLOOKUP(A887,Studies!A:BR,2,FALSE),"")</f>
        <v>Heizmann 1983</v>
      </c>
      <c r="C887" s="232" t="str">
        <f>IF(AND(A887&lt;&gt;"",ISNUMBER(A887)),VLOOKUP(A887,Studies!A:BR,3,FALSE),"")</f>
        <v>http://www.ncbi.nlm.nih.gov/pubmed/6138080</v>
      </c>
      <c r="D887" s="232" t="str">
        <f>IF(AND(A887&lt;&gt;"",ISNUMBER(A887)),VLOOKUP(A887,Studies!A:BR,4,FALSE),"")</f>
        <v>iv 0.15 mg/kg - Indiv. K.M.</v>
      </c>
      <c r="E887" s="206" t="str">
        <f>IF(AND(A887&lt;&gt;"",ISNUMBER(A887)),VLOOKUP(A887,Studies!A:BR,5,FALSE),"")</f>
        <v>Midazolam</v>
      </c>
      <c r="F887" s="207" t="str">
        <f>IF(AND(A887&lt;&gt;"",ISNUMBER(A887)),VLOOKUP(A887,Studies!A:BR,6,FALSE),"")</f>
        <v>Plasma</v>
      </c>
      <c r="G887" s="194">
        <v>8</v>
      </c>
      <c r="H887" s="194" t="s">
        <v>60</v>
      </c>
      <c r="I887" s="187">
        <v>6</v>
      </c>
      <c r="J887" s="187" t="s">
        <v>1026</v>
      </c>
      <c r="K887" s="187" t="s">
        <v>264</v>
      </c>
      <c r="L887" s="195"/>
      <c r="M887" s="195"/>
      <c r="N887" s="195"/>
      <c r="O887" s="199"/>
      <c r="P887" s="188"/>
      <c r="Q887" s="174">
        <f>IF(ISNUMBER(VLOOKUP(A887,NotghiID!A:A,1,FALSE)),1,0)</f>
        <v>0</v>
      </c>
    </row>
    <row r="888" spans="1:17" ht="14.25" x14ac:dyDescent="0.2">
      <c r="A888" s="183">
        <v>244</v>
      </c>
      <c r="B888" s="232" t="str">
        <f>IF(AND(A888&lt;&gt;"",ISNUMBER(A888)),VLOOKUP(A888,Studies!A:BR,2,FALSE),"")</f>
        <v>Heizmann 1983</v>
      </c>
      <c r="C888" s="232" t="str">
        <f>IF(AND(A888&lt;&gt;"",ISNUMBER(A888)),VLOOKUP(A888,Studies!A:BR,3,FALSE),"")</f>
        <v>http://www.ncbi.nlm.nih.gov/pubmed/6138080</v>
      </c>
      <c r="D888" s="232" t="str">
        <f>IF(AND(A888&lt;&gt;"",ISNUMBER(A888)),VLOOKUP(A888,Studies!A:BR,4,FALSE),"")</f>
        <v>iv 0.15 mg/kg - Indiv. K.M.</v>
      </c>
      <c r="E888" s="206" t="str">
        <f>IF(AND(A888&lt;&gt;"",ISNUMBER(A888)),VLOOKUP(A888,Studies!A:BR,5,FALSE),"")</f>
        <v>Midazolam</v>
      </c>
      <c r="F888" s="207" t="str">
        <f>IF(AND(A888&lt;&gt;"",ISNUMBER(A888)),VLOOKUP(A888,Studies!A:BR,6,FALSE),"")</f>
        <v>Plasma</v>
      </c>
      <c r="G888" s="194">
        <v>10</v>
      </c>
      <c r="H888" s="194" t="s">
        <v>60</v>
      </c>
      <c r="I888" s="187">
        <v>6</v>
      </c>
      <c r="J888" s="187" t="s">
        <v>1026</v>
      </c>
      <c r="K888" s="187" t="s">
        <v>264</v>
      </c>
      <c r="L888" s="195"/>
      <c r="M888" s="195"/>
      <c r="N888" s="195"/>
      <c r="O888" s="199"/>
      <c r="P888" s="188"/>
      <c r="Q888" s="174">
        <f>IF(ISNUMBER(VLOOKUP(A888,NotghiID!A:A,1,FALSE)),1,0)</f>
        <v>0</v>
      </c>
    </row>
    <row r="889" spans="1:17" ht="14.25" x14ac:dyDescent="0.2">
      <c r="A889" s="183">
        <v>244</v>
      </c>
      <c r="B889" s="232" t="str">
        <f>IF(AND(A889&lt;&gt;"",ISNUMBER(A889)),VLOOKUP(A889,Studies!A:BR,2,FALSE),"")</f>
        <v>Heizmann 1983</v>
      </c>
      <c r="C889" s="232" t="str">
        <f>IF(AND(A889&lt;&gt;"",ISNUMBER(A889)),VLOOKUP(A889,Studies!A:BR,3,FALSE),"")</f>
        <v>http://www.ncbi.nlm.nih.gov/pubmed/6138080</v>
      </c>
      <c r="D889" s="232" t="str">
        <f>IF(AND(A889&lt;&gt;"",ISNUMBER(A889)),VLOOKUP(A889,Studies!A:BR,4,FALSE),"")</f>
        <v>iv 0.15 mg/kg - Indiv. K.M.</v>
      </c>
      <c r="E889" s="206" t="str">
        <f>IF(AND(A889&lt;&gt;"",ISNUMBER(A889)),VLOOKUP(A889,Studies!A:BR,5,FALSE),"")</f>
        <v>Midazolam</v>
      </c>
      <c r="F889" s="207" t="str">
        <f>IF(AND(A889&lt;&gt;"",ISNUMBER(A889)),VLOOKUP(A889,Studies!A:BR,6,FALSE),"")</f>
        <v>Plasma</v>
      </c>
      <c r="G889" s="194">
        <v>12</v>
      </c>
      <c r="H889" s="194" t="s">
        <v>60</v>
      </c>
      <c r="I889" s="187" t="s">
        <v>1119</v>
      </c>
      <c r="J889" s="187" t="s">
        <v>1026</v>
      </c>
      <c r="K889" s="187" t="s">
        <v>264</v>
      </c>
      <c r="L889" s="195"/>
      <c r="M889" s="195"/>
      <c r="N889" s="195"/>
      <c r="O889" s="199">
        <v>1</v>
      </c>
      <c r="P889" s="188"/>
      <c r="Q889" s="174">
        <f>IF(ISNUMBER(VLOOKUP(A889,NotghiID!A:A,1,FALSE)),1,0)</f>
        <v>0</v>
      </c>
    </row>
    <row r="890" spans="1:17" ht="14.25" x14ac:dyDescent="0.2">
      <c r="A890" s="183">
        <v>249</v>
      </c>
      <c r="B890" s="232" t="str">
        <f>IF(AND(A890&lt;&gt;"",ISNUMBER(A890)),VLOOKUP(A890,Studies!A:BR,2,FALSE),"")</f>
        <v>Heizmann 1983</v>
      </c>
      <c r="C890" s="232" t="str">
        <f>IF(AND(A890&lt;&gt;"",ISNUMBER(A890)),VLOOKUP(A890,Studies!A:BR,3,FALSE),"")</f>
        <v>http://www.ncbi.nlm.nih.gov/pubmed/6138080</v>
      </c>
      <c r="D890" s="232" t="str">
        <f>IF(AND(A890&lt;&gt;"",ISNUMBER(A890)),VLOOKUP(A890,Studies!A:BR,4,FALSE),"")</f>
        <v>po 10 mg - Indiv. K.M.</v>
      </c>
      <c r="E890" s="206" t="str">
        <f>IF(AND(A890&lt;&gt;"",ISNUMBER(A890)),VLOOKUP(A890,Studies!A:BR,5,FALSE),"")</f>
        <v>Midazolam</v>
      </c>
      <c r="F890" s="207" t="str">
        <f>IF(AND(A890&lt;&gt;"",ISNUMBER(A890)),VLOOKUP(A890,Studies!A:BR,6,FALSE),"")</f>
        <v>Plasma</v>
      </c>
      <c r="G890" s="194">
        <v>0.25</v>
      </c>
      <c r="H890" s="194" t="s">
        <v>60</v>
      </c>
      <c r="I890" s="187">
        <v>157</v>
      </c>
      <c r="J890" s="187" t="s">
        <v>1026</v>
      </c>
      <c r="K890" s="187" t="s">
        <v>264</v>
      </c>
      <c r="L890" s="195"/>
      <c r="M890" s="195"/>
      <c r="N890" s="195"/>
      <c r="O890" s="199"/>
      <c r="P890" s="188"/>
      <c r="Q890" s="174">
        <f>IF(ISNUMBER(VLOOKUP(A890,NotghiID!A:A,1,FALSE)),1,0)</f>
        <v>0</v>
      </c>
    </row>
    <row r="891" spans="1:17" ht="14.25" x14ac:dyDescent="0.2">
      <c r="A891" s="183">
        <v>249</v>
      </c>
      <c r="B891" s="232" t="str">
        <f>IF(AND(A891&lt;&gt;"",ISNUMBER(A891)),VLOOKUP(A891,Studies!A:BR,2,FALSE),"")</f>
        <v>Heizmann 1983</v>
      </c>
      <c r="C891" s="232" t="str">
        <f>IF(AND(A891&lt;&gt;"",ISNUMBER(A891)),VLOOKUP(A891,Studies!A:BR,3,FALSE),"")</f>
        <v>http://www.ncbi.nlm.nih.gov/pubmed/6138080</v>
      </c>
      <c r="D891" s="232" t="str">
        <f>IF(AND(A891&lt;&gt;"",ISNUMBER(A891)),VLOOKUP(A891,Studies!A:BR,4,FALSE),"")</f>
        <v>po 10 mg - Indiv. K.M.</v>
      </c>
      <c r="E891" s="206" t="str">
        <f>IF(AND(A891&lt;&gt;"",ISNUMBER(A891)),VLOOKUP(A891,Studies!A:BR,5,FALSE),"")</f>
        <v>Midazolam</v>
      </c>
      <c r="F891" s="207" t="str">
        <f>IF(AND(A891&lt;&gt;"",ISNUMBER(A891)),VLOOKUP(A891,Studies!A:BR,6,FALSE),"")</f>
        <v>Plasma</v>
      </c>
      <c r="G891" s="194">
        <v>0.5</v>
      </c>
      <c r="H891" s="194" t="s">
        <v>60</v>
      </c>
      <c r="I891" s="187">
        <v>78</v>
      </c>
      <c r="J891" s="187" t="s">
        <v>1026</v>
      </c>
      <c r="K891" s="187" t="s">
        <v>264</v>
      </c>
      <c r="L891" s="195"/>
      <c r="M891" s="195"/>
      <c r="N891" s="195"/>
      <c r="O891" s="199"/>
      <c r="P891" s="188"/>
      <c r="Q891" s="174">
        <f>IF(ISNUMBER(VLOOKUP(A891,NotghiID!A:A,1,FALSE)),1,0)</f>
        <v>0</v>
      </c>
    </row>
    <row r="892" spans="1:17" ht="14.25" x14ac:dyDescent="0.2">
      <c r="A892" s="183">
        <v>249</v>
      </c>
      <c r="B892" s="232" t="str">
        <f>IF(AND(A892&lt;&gt;"",ISNUMBER(A892)),VLOOKUP(A892,Studies!A:BR,2,FALSE),"")</f>
        <v>Heizmann 1983</v>
      </c>
      <c r="C892" s="232" t="str">
        <f>IF(AND(A892&lt;&gt;"",ISNUMBER(A892)),VLOOKUP(A892,Studies!A:BR,3,FALSE),"")</f>
        <v>http://www.ncbi.nlm.nih.gov/pubmed/6138080</v>
      </c>
      <c r="D892" s="232" t="str">
        <f>IF(AND(A892&lt;&gt;"",ISNUMBER(A892)),VLOOKUP(A892,Studies!A:BR,4,FALSE),"")</f>
        <v>po 10 mg - Indiv. K.M.</v>
      </c>
      <c r="E892" s="206" t="str">
        <f>IF(AND(A892&lt;&gt;"",ISNUMBER(A892)),VLOOKUP(A892,Studies!A:BR,5,FALSE),"")</f>
        <v>Midazolam</v>
      </c>
      <c r="F892" s="207" t="str">
        <f>IF(AND(A892&lt;&gt;"",ISNUMBER(A892)),VLOOKUP(A892,Studies!A:BR,6,FALSE),"")</f>
        <v>Plasma</v>
      </c>
      <c r="G892" s="194">
        <v>0.75</v>
      </c>
      <c r="H892" s="194" t="s">
        <v>60</v>
      </c>
      <c r="I892" s="187">
        <v>51</v>
      </c>
      <c r="J892" s="187" t="s">
        <v>1026</v>
      </c>
      <c r="K892" s="187" t="s">
        <v>264</v>
      </c>
      <c r="L892" s="195"/>
      <c r="M892" s="195"/>
      <c r="N892" s="195"/>
      <c r="O892" s="199"/>
      <c r="P892" s="188"/>
      <c r="Q892" s="174">
        <f>IF(ISNUMBER(VLOOKUP(A892,NotghiID!A:A,1,FALSE)),1,0)</f>
        <v>0</v>
      </c>
    </row>
    <row r="893" spans="1:17" ht="14.25" x14ac:dyDescent="0.2">
      <c r="A893" s="183">
        <v>249</v>
      </c>
      <c r="B893" s="232" t="str">
        <f>IF(AND(A893&lt;&gt;"",ISNUMBER(A893)),VLOOKUP(A893,Studies!A:BR,2,FALSE),"")</f>
        <v>Heizmann 1983</v>
      </c>
      <c r="C893" s="232" t="str">
        <f>IF(AND(A893&lt;&gt;"",ISNUMBER(A893)),VLOOKUP(A893,Studies!A:BR,3,FALSE),"")</f>
        <v>http://www.ncbi.nlm.nih.gov/pubmed/6138080</v>
      </c>
      <c r="D893" s="232" t="str">
        <f>IF(AND(A893&lt;&gt;"",ISNUMBER(A893)),VLOOKUP(A893,Studies!A:BR,4,FALSE),"")</f>
        <v>po 10 mg - Indiv. K.M.</v>
      </c>
      <c r="E893" s="206" t="str">
        <f>IF(AND(A893&lt;&gt;"",ISNUMBER(A893)),VLOOKUP(A893,Studies!A:BR,5,FALSE),"")</f>
        <v>Midazolam</v>
      </c>
      <c r="F893" s="207" t="str">
        <f>IF(AND(A893&lt;&gt;"",ISNUMBER(A893)),VLOOKUP(A893,Studies!A:BR,6,FALSE),"")</f>
        <v>Plasma</v>
      </c>
      <c r="G893" s="194">
        <v>1</v>
      </c>
      <c r="H893" s="194" t="s">
        <v>60</v>
      </c>
      <c r="I893" s="187">
        <v>38</v>
      </c>
      <c r="J893" s="187" t="s">
        <v>1026</v>
      </c>
      <c r="K893" s="187" t="s">
        <v>264</v>
      </c>
      <c r="L893" s="195"/>
      <c r="M893" s="195"/>
      <c r="N893" s="195"/>
      <c r="O893" s="199"/>
      <c r="P893" s="188"/>
      <c r="Q893" s="174">
        <f>IF(ISNUMBER(VLOOKUP(A893,NotghiID!A:A,1,FALSE)),1,0)</f>
        <v>0</v>
      </c>
    </row>
    <row r="894" spans="1:17" ht="14.25" x14ac:dyDescent="0.2">
      <c r="A894" s="183">
        <v>249</v>
      </c>
      <c r="B894" s="232" t="str">
        <f>IF(AND(A894&lt;&gt;"",ISNUMBER(A894)),VLOOKUP(A894,Studies!A:BR,2,FALSE),"")</f>
        <v>Heizmann 1983</v>
      </c>
      <c r="C894" s="232" t="str">
        <f>IF(AND(A894&lt;&gt;"",ISNUMBER(A894)),VLOOKUP(A894,Studies!A:BR,3,FALSE),"")</f>
        <v>http://www.ncbi.nlm.nih.gov/pubmed/6138080</v>
      </c>
      <c r="D894" s="232" t="str">
        <f>IF(AND(A894&lt;&gt;"",ISNUMBER(A894)),VLOOKUP(A894,Studies!A:BR,4,FALSE),"")</f>
        <v>po 10 mg - Indiv. K.M.</v>
      </c>
      <c r="E894" s="206" t="str">
        <f>IF(AND(A894&lt;&gt;"",ISNUMBER(A894)),VLOOKUP(A894,Studies!A:BR,5,FALSE),"")</f>
        <v>Midazolam</v>
      </c>
      <c r="F894" s="207" t="str">
        <f>IF(AND(A894&lt;&gt;"",ISNUMBER(A894)),VLOOKUP(A894,Studies!A:BR,6,FALSE),"")</f>
        <v>Plasma</v>
      </c>
      <c r="G894" s="194">
        <v>1.5</v>
      </c>
      <c r="H894" s="194" t="s">
        <v>60</v>
      </c>
      <c r="I894" s="187">
        <v>26</v>
      </c>
      <c r="J894" s="187" t="s">
        <v>1026</v>
      </c>
      <c r="K894" s="187" t="s">
        <v>264</v>
      </c>
      <c r="L894" s="195"/>
      <c r="M894" s="195"/>
      <c r="N894" s="195"/>
      <c r="O894" s="199"/>
      <c r="P894" s="188"/>
      <c r="Q894" s="174">
        <f>IF(ISNUMBER(VLOOKUP(A894,NotghiID!A:A,1,FALSE)),1,0)</f>
        <v>0</v>
      </c>
    </row>
    <row r="895" spans="1:17" ht="14.25" x14ac:dyDescent="0.2">
      <c r="A895" s="183">
        <v>249</v>
      </c>
      <c r="B895" s="232" t="str">
        <f>IF(AND(A895&lt;&gt;"",ISNUMBER(A895)),VLOOKUP(A895,Studies!A:BR,2,FALSE),"")</f>
        <v>Heizmann 1983</v>
      </c>
      <c r="C895" s="232" t="str">
        <f>IF(AND(A895&lt;&gt;"",ISNUMBER(A895)),VLOOKUP(A895,Studies!A:BR,3,FALSE),"")</f>
        <v>http://www.ncbi.nlm.nih.gov/pubmed/6138080</v>
      </c>
      <c r="D895" s="232" t="str">
        <f>IF(AND(A895&lt;&gt;"",ISNUMBER(A895)),VLOOKUP(A895,Studies!A:BR,4,FALSE),"")</f>
        <v>po 10 mg - Indiv. K.M.</v>
      </c>
      <c r="E895" s="206" t="str">
        <f>IF(AND(A895&lt;&gt;"",ISNUMBER(A895)),VLOOKUP(A895,Studies!A:BR,5,FALSE),"")</f>
        <v>Midazolam</v>
      </c>
      <c r="F895" s="207" t="str">
        <f>IF(AND(A895&lt;&gt;"",ISNUMBER(A895)),VLOOKUP(A895,Studies!A:BR,6,FALSE),"")</f>
        <v>Plasma</v>
      </c>
      <c r="G895" s="194">
        <v>2</v>
      </c>
      <c r="H895" s="194" t="s">
        <v>60</v>
      </c>
      <c r="I895" s="187">
        <v>21</v>
      </c>
      <c r="J895" s="187" t="s">
        <v>1026</v>
      </c>
      <c r="K895" s="187" t="s">
        <v>264</v>
      </c>
      <c r="L895" s="195"/>
      <c r="M895" s="195"/>
      <c r="N895" s="195"/>
      <c r="O895" s="199"/>
      <c r="P895" s="188"/>
      <c r="Q895" s="174">
        <f>IF(ISNUMBER(VLOOKUP(A895,NotghiID!A:A,1,FALSE)),1,0)</f>
        <v>0</v>
      </c>
    </row>
    <row r="896" spans="1:17" ht="14.25" x14ac:dyDescent="0.2">
      <c r="A896" s="183">
        <v>249</v>
      </c>
      <c r="B896" s="232" t="str">
        <f>IF(AND(A896&lt;&gt;"",ISNUMBER(A896)),VLOOKUP(A896,Studies!A:BR,2,FALSE),"")</f>
        <v>Heizmann 1983</v>
      </c>
      <c r="C896" s="232" t="str">
        <f>IF(AND(A896&lt;&gt;"",ISNUMBER(A896)),VLOOKUP(A896,Studies!A:BR,3,FALSE),"")</f>
        <v>http://www.ncbi.nlm.nih.gov/pubmed/6138080</v>
      </c>
      <c r="D896" s="232" t="str">
        <f>IF(AND(A896&lt;&gt;"",ISNUMBER(A896)),VLOOKUP(A896,Studies!A:BR,4,FALSE),"")</f>
        <v>po 10 mg - Indiv. K.M.</v>
      </c>
      <c r="E896" s="206" t="str">
        <f>IF(AND(A896&lt;&gt;"",ISNUMBER(A896)),VLOOKUP(A896,Studies!A:BR,5,FALSE),"")</f>
        <v>Midazolam</v>
      </c>
      <c r="F896" s="207" t="str">
        <f>IF(AND(A896&lt;&gt;"",ISNUMBER(A896)),VLOOKUP(A896,Studies!A:BR,6,FALSE),"")</f>
        <v>Plasma</v>
      </c>
      <c r="G896" s="194">
        <v>3</v>
      </c>
      <c r="H896" s="194" t="s">
        <v>60</v>
      </c>
      <c r="I896" s="187">
        <v>16</v>
      </c>
      <c r="J896" s="187" t="s">
        <v>1026</v>
      </c>
      <c r="K896" s="187" t="s">
        <v>264</v>
      </c>
      <c r="L896" s="195"/>
      <c r="M896" s="195"/>
      <c r="N896" s="195"/>
      <c r="O896" s="199"/>
      <c r="P896" s="188"/>
      <c r="Q896" s="174">
        <f>IF(ISNUMBER(VLOOKUP(A896,NotghiID!A:A,1,FALSE)),1,0)</f>
        <v>0</v>
      </c>
    </row>
    <row r="897" spans="1:17" ht="14.25" x14ac:dyDescent="0.2">
      <c r="A897" s="183">
        <v>249</v>
      </c>
      <c r="B897" s="232" t="str">
        <f>IF(AND(A897&lt;&gt;"",ISNUMBER(A897)),VLOOKUP(A897,Studies!A:BR,2,FALSE),"")</f>
        <v>Heizmann 1983</v>
      </c>
      <c r="C897" s="232" t="str">
        <f>IF(AND(A897&lt;&gt;"",ISNUMBER(A897)),VLOOKUP(A897,Studies!A:BR,3,FALSE),"")</f>
        <v>http://www.ncbi.nlm.nih.gov/pubmed/6138080</v>
      </c>
      <c r="D897" s="232" t="str">
        <f>IF(AND(A897&lt;&gt;"",ISNUMBER(A897)),VLOOKUP(A897,Studies!A:BR,4,FALSE),"")</f>
        <v>po 10 mg - Indiv. K.M.</v>
      </c>
      <c r="E897" s="206" t="str">
        <f>IF(AND(A897&lt;&gt;"",ISNUMBER(A897)),VLOOKUP(A897,Studies!A:BR,5,FALSE),"")</f>
        <v>Midazolam</v>
      </c>
      <c r="F897" s="207" t="str">
        <f>IF(AND(A897&lt;&gt;"",ISNUMBER(A897)),VLOOKUP(A897,Studies!A:BR,6,FALSE),"")</f>
        <v>Plasma</v>
      </c>
      <c r="G897" s="194">
        <v>4</v>
      </c>
      <c r="H897" s="194" t="s">
        <v>60</v>
      </c>
      <c r="I897" s="187">
        <v>10</v>
      </c>
      <c r="J897" s="187" t="s">
        <v>1026</v>
      </c>
      <c r="K897" s="187" t="s">
        <v>264</v>
      </c>
      <c r="L897" s="195"/>
      <c r="M897" s="195"/>
      <c r="N897" s="195"/>
      <c r="O897" s="199"/>
      <c r="P897" s="188"/>
      <c r="Q897" s="174">
        <f>IF(ISNUMBER(VLOOKUP(A897,NotghiID!A:A,1,FALSE)),1,0)</f>
        <v>0</v>
      </c>
    </row>
    <row r="898" spans="1:17" ht="14.25" x14ac:dyDescent="0.2">
      <c r="A898" s="183">
        <v>249</v>
      </c>
      <c r="B898" s="232" t="str">
        <f>IF(AND(A898&lt;&gt;"",ISNUMBER(A898)),VLOOKUP(A898,Studies!A:BR,2,FALSE),"")</f>
        <v>Heizmann 1983</v>
      </c>
      <c r="C898" s="232" t="str">
        <f>IF(AND(A898&lt;&gt;"",ISNUMBER(A898)),VLOOKUP(A898,Studies!A:BR,3,FALSE),"")</f>
        <v>http://www.ncbi.nlm.nih.gov/pubmed/6138080</v>
      </c>
      <c r="D898" s="232" t="str">
        <f>IF(AND(A898&lt;&gt;"",ISNUMBER(A898)),VLOOKUP(A898,Studies!A:BR,4,FALSE),"")</f>
        <v>po 10 mg - Indiv. K.M.</v>
      </c>
      <c r="E898" s="206" t="str">
        <f>IF(AND(A898&lt;&gt;"",ISNUMBER(A898)),VLOOKUP(A898,Studies!A:BR,5,FALSE),"")</f>
        <v>Midazolam</v>
      </c>
      <c r="F898" s="207" t="str">
        <f>IF(AND(A898&lt;&gt;"",ISNUMBER(A898)),VLOOKUP(A898,Studies!A:BR,6,FALSE),"")</f>
        <v>Plasma</v>
      </c>
      <c r="G898" s="194">
        <v>5</v>
      </c>
      <c r="H898" s="194" t="s">
        <v>60</v>
      </c>
      <c r="I898" s="187">
        <v>6</v>
      </c>
      <c r="J898" s="187" t="s">
        <v>1026</v>
      </c>
      <c r="K898" s="187" t="s">
        <v>264</v>
      </c>
      <c r="L898" s="195"/>
      <c r="M898" s="195"/>
      <c r="N898" s="195"/>
      <c r="O898" s="199"/>
      <c r="P898" s="188"/>
      <c r="Q898" s="174">
        <f>IF(ISNUMBER(VLOOKUP(A898,NotghiID!A:A,1,FALSE)),1,0)</f>
        <v>0</v>
      </c>
    </row>
    <row r="899" spans="1:17" ht="14.25" x14ac:dyDescent="0.2">
      <c r="A899" s="183">
        <v>249</v>
      </c>
      <c r="B899" s="232" t="str">
        <f>IF(AND(A899&lt;&gt;"",ISNUMBER(A899)),VLOOKUP(A899,Studies!A:BR,2,FALSE),"")</f>
        <v>Heizmann 1983</v>
      </c>
      <c r="C899" s="232" t="str">
        <f>IF(AND(A899&lt;&gt;"",ISNUMBER(A899)),VLOOKUP(A899,Studies!A:BR,3,FALSE),"")</f>
        <v>http://www.ncbi.nlm.nih.gov/pubmed/6138080</v>
      </c>
      <c r="D899" s="232" t="str">
        <f>IF(AND(A899&lt;&gt;"",ISNUMBER(A899)),VLOOKUP(A899,Studies!A:BR,4,FALSE),"")</f>
        <v>po 10 mg - Indiv. K.M.</v>
      </c>
      <c r="E899" s="206" t="str">
        <f>IF(AND(A899&lt;&gt;"",ISNUMBER(A899)),VLOOKUP(A899,Studies!A:BR,5,FALSE),"")</f>
        <v>Midazolam</v>
      </c>
      <c r="F899" s="207" t="str">
        <f>IF(AND(A899&lt;&gt;"",ISNUMBER(A899)),VLOOKUP(A899,Studies!A:BR,6,FALSE),"")</f>
        <v>Plasma</v>
      </c>
      <c r="G899" s="194">
        <v>6</v>
      </c>
      <c r="H899" s="194" t="s">
        <v>60</v>
      </c>
      <c r="I899" s="187" t="s">
        <v>1119</v>
      </c>
      <c r="J899" s="187" t="s">
        <v>1026</v>
      </c>
      <c r="K899" s="187" t="s">
        <v>264</v>
      </c>
      <c r="L899" s="195"/>
      <c r="M899" s="195"/>
      <c r="N899" s="195"/>
      <c r="O899" s="199">
        <v>1</v>
      </c>
      <c r="P899" s="188"/>
      <c r="Q899" s="174">
        <f>IF(ISNUMBER(VLOOKUP(A899,NotghiID!A:A,1,FALSE)),1,0)</f>
        <v>0</v>
      </c>
    </row>
    <row r="900" spans="1:17" ht="14.25" x14ac:dyDescent="0.2">
      <c r="A900" s="183">
        <v>249</v>
      </c>
      <c r="B900" s="232" t="str">
        <f>IF(AND(A900&lt;&gt;"",ISNUMBER(A900)),VLOOKUP(A900,Studies!A:BR,2,FALSE),"")</f>
        <v>Heizmann 1983</v>
      </c>
      <c r="C900" s="232" t="str">
        <f>IF(AND(A900&lt;&gt;"",ISNUMBER(A900)),VLOOKUP(A900,Studies!A:BR,3,FALSE),"")</f>
        <v>http://www.ncbi.nlm.nih.gov/pubmed/6138080</v>
      </c>
      <c r="D900" s="232" t="str">
        <f>IF(AND(A900&lt;&gt;"",ISNUMBER(A900)),VLOOKUP(A900,Studies!A:BR,4,FALSE),"")</f>
        <v>po 10 mg - Indiv. K.M.</v>
      </c>
      <c r="E900" s="206" t="str">
        <f>IF(AND(A900&lt;&gt;"",ISNUMBER(A900)),VLOOKUP(A900,Studies!A:BR,5,FALSE),"")</f>
        <v>Midazolam</v>
      </c>
      <c r="F900" s="207" t="str">
        <f>IF(AND(A900&lt;&gt;"",ISNUMBER(A900)),VLOOKUP(A900,Studies!A:BR,6,FALSE),"")</f>
        <v>Plasma</v>
      </c>
      <c r="G900" s="194">
        <v>8</v>
      </c>
      <c r="H900" s="194" t="s">
        <v>60</v>
      </c>
      <c r="I900" s="187" t="s">
        <v>1119</v>
      </c>
      <c r="J900" s="187" t="s">
        <v>1026</v>
      </c>
      <c r="K900" s="187" t="s">
        <v>264</v>
      </c>
      <c r="L900" s="195"/>
      <c r="M900" s="195"/>
      <c r="N900" s="195"/>
      <c r="O900" s="199">
        <v>1</v>
      </c>
      <c r="P900" s="188"/>
      <c r="Q900" s="174">
        <f>IF(ISNUMBER(VLOOKUP(A900,NotghiID!A:A,1,FALSE)),1,0)</f>
        <v>0</v>
      </c>
    </row>
    <row r="901" spans="1:17" ht="14.25" x14ac:dyDescent="0.2">
      <c r="A901" s="183">
        <v>249</v>
      </c>
      <c r="B901" s="232" t="str">
        <f>IF(AND(A901&lt;&gt;"",ISNUMBER(A901)),VLOOKUP(A901,Studies!A:BR,2,FALSE),"")</f>
        <v>Heizmann 1983</v>
      </c>
      <c r="C901" s="232" t="str">
        <f>IF(AND(A901&lt;&gt;"",ISNUMBER(A901)),VLOOKUP(A901,Studies!A:BR,3,FALSE),"")</f>
        <v>http://www.ncbi.nlm.nih.gov/pubmed/6138080</v>
      </c>
      <c r="D901" s="232" t="str">
        <f>IF(AND(A901&lt;&gt;"",ISNUMBER(A901)),VLOOKUP(A901,Studies!A:BR,4,FALSE),"")</f>
        <v>po 10 mg - Indiv. K.M.</v>
      </c>
      <c r="E901" s="206" t="str">
        <f>IF(AND(A901&lt;&gt;"",ISNUMBER(A901)),VLOOKUP(A901,Studies!A:BR,5,FALSE),"")</f>
        <v>Midazolam</v>
      </c>
      <c r="F901" s="207" t="str">
        <f>IF(AND(A901&lt;&gt;"",ISNUMBER(A901)),VLOOKUP(A901,Studies!A:BR,6,FALSE),"")</f>
        <v>Plasma</v>
      </c>
      <c r="G901" s="194">
        <v>10</v>
      </c>
      <c r="H901" s="194" t="s">
        <v>60</v>
      </c>
      <c r="I901" s="187" t="s">
        <v>1119</v>
      </c>
      <c r="J901" s="187" t="s">
        <v>1026</v>
      </c>
      <c r="K901" s="187" t="s">
        <v>264</v>
      </c>
      <c r="L901" s="195"/>
      <c r="M901" s="195"/>
      <c r="N901" s="195"/>
      <c r="O901" s="199">
        <v>1</v>
      </c>
      <c r="P901" s="188"/>
      <c r="Q901" s="174">
        <f>IF(ISNUMBER(VLOOKUP(A901,NotghiID!A:A,1,FALSE)),1,0)</f>
        <v>0</v>
      </c>
    </row>
    <row r="902" spans="1:17" ht="14.25" x14ac:dyDescent="0.2">
      <c r="A902" s="183">
        <v>249</v>
      </c>
      <c r="B902" s="232" t="str">
        <f>IF(AND(A902&lt;&gt;"",ISNUMBER(A902)),VLOOKUP(A902,Studies!A:BR,2,FALSE),"")</f>
        <v>Heizmann 1983</v>
      </c>
      <c r="C902" s="232" t="str">
        <f>IF(AND(A902&lt;&gt;"",ISNUMBER(A902)),VLOOKUP(A902,Studies!A:BR,3,FALSE),"")</f>
        <v>http://www.ncbi.nlm.nih.gov/pubmed/6138080</v>
      </c>
      <c r="D902" s="232" t="str">
        <f>IF(AND(A902&lt;&gt;"",ISNUMBER(A902)),VLOOKUP(A902,Studies!A:BR,4,FALSE),"")</f>
        <v>po 10 mg - Indiv. K.M.</v>
      </c>
      <c r="E902" s="206" t="str">
        <f>IF(AND(A902&lt;&gt;"",ISNUMBER(A902)),VLOOKUP(A902,Studies!A:BR,5,FALSE),"")</f>
        <v>Midazolam</v>
      </c>
      <c r="F902" s="207" t="str">
        <f>IF(AND(A902&lt;&gt;"",ISNUMBER(A902)),VLOOKUP(A902,Studies!A:BR,6,FALSE),"")</f>
        <v>Plasma</v>
      </c>
      <c r="G902" s="194">
        <v>12</v>
      </c>
      <c r="H902" s="194" t="s">
        <v>60</v>
      </c>
      <c r="I902" s="187" t="s">
        <v>1119</v>
      </c>
      <c r="J902" s="187" t="s">
        <v>1026</v>
      </c>
      <c r="K902" s="187" t="s">
        <v>264</v>
      </c>
      <c r="L902" s="195"/>
      <c r="M902" s="195"/>
      <c r="N902" s="195"/>
      <c r="O902" s="199">
        <v>1</v>
      </c>
      <c r="P902" s="188"/>
      <c r="Q902" s="174">
        <f>IF(ISNUMBER(VLOOKUP(A902,NotghiID!A:A,1,FALSE)),1,0)</f>
        <v>0</v>
      </c>
    </row>
    <row r="903" spans="1:17" ht="14.25" x14ac:dyDescent="0.2">
      <c r="A903" s="183">
        <v>255</v>
      </c>
      <c r="B903" s="232" t="str">
        <f>IF(AND(A903&lt;&gt;"",ISNUMBER(A903)),VLOOKUP(A903,Studies!A:BR,2,FALSE),"")</f>
        <v>Heizmann 1983</v>
      </c>
      <c r="C903" s="232" t="str">
        <f>IF(AND(A903&lt;&gt;"",ISNUMBER(A903)),VLOOKUP(A903,Studies!A:BR,3,FALSE),"")</f>
        <v>http://www.ncbi.nlm.nih.gov/pubmed/6138080</v>
      </c>
      <c r="D903" s="232" t="str">
        <f>IF(AND(A903&lt;&gt;"",ISNUMBER(A903)),VLOOKUP(A903,Studies!A:BR,4,FALSE),"")</f>
        <v>po 20 mg - Indiv. K.M.</v>
      </c>
      <c r="E903" s="206" t="str">
        <f>IF(AND(A903&lt;&gt;"",ISNUMBER(A903)),VLOOKUP(A903,Studies!A:BR,5,FALSE),"")</f>
        <v>Midazolam</v>
      </c>
      <c r="F903" s="207" t="str">
        <f>IF(AND(A903&lt;&gt;"",ISNUMBER(A903)),VLOOKUP(A903,Studies!A:BR,6,FALSE),"")</f>
        <v>Plasma</v>
      </c>
      <c r="G903" s="194">
        <v>0.25</v>
      </c>
      <c r="H903" s="194" t="s">
        <v>60</v>
      </c>
      <c r="I903" s="187">
        <v>80</v>
      </c>
      <c r="J903" s="187" t="s">
        <v>1026</v>
      </c>
      <c r="K903" s="187" t="s">
        <v>264</v>
      </c>
      <c r="L903" s="195"/>
      <c r="M903" s="195"/>
      <c r="N903" s="195"/>
      <c r="O903" s="199"/>
      <c r="P903" s="188"/>
      <c r="Q903" s="174">
        <f>IF(ISNUMBER(VLOOKUP(A903,NotghiID!A:A,1,FALSE)),1,0)</f>
        <v>0</v>
      </c>
    </row>
    <row r="904" spans="1:17" ht="14.25" x14ac:dyDescent="0.2">
      <c r="A904" s="183">
        <v>255</v>
      </c>
      <c r="B904" s="232" t="str">
        <f>IF(AND(A904&lt;&gt;"",ISNUMBER(A904)),VLOOKUP(A904,Studies!A:BR,2,FALSE),"")</f>
        <v>Heizmann 1983</v>
      </c>
      <c r="C904" s="232" t="str">
        <f>IF(AND(A904&lt;&gt;"",ISNUMBER(A904)),VLOOKUP(A904,Studies!A:BR,3,FALSE),"")</f>
        <v>http://www.ncbi.nlm.nih.gov/pubmed/6138080</v>
      </c>
      <c r="D904" s="232" t="str">
        <f>IF(AND(A904&lt;&gt;"",ISNUMBER(A904)),VLOOKUP(A904,Studies!A:BR,4,FALSE),"")</f>
        <v>po 20 mg - Indiv. K.M.</v>
      </c>
      <c r="E904" s="206" t="str">
        <f>IF(AND(A904&lt;&gt;"",ISNUMBER(A904)),VLOOKUP(A904,Studies!A:BR,5,FALSE),"")</f>
        <v>Midazolam</v>
      </c>
      <c r="F904" s="207" t="str">
        <f>IF(AND(A904&lt;&gt;"",ISNUMBER(A904)),VLOOKUP(A904,Studies!A:BR,6,FALSE),"")</f>
        <v>Plasma</v>
      </c>
      <c r="G904" s="194">
        <v>0.5</v>
      </c>
      <c r="H904" s="194" t="s">
        <v>60</v>
      </c>
      <c r="I904" s="187">
        <v>126</v>
      </c>
      <c r="J904" s="187" t="s">
        <v>1026</v>
      </c>
      <c r="K904" s="187" t="s">
        <v>264</v>
      </c>
      <c r="L904" s="195"/>
      <c r="M904" s="195"/>
      <c r="N904" s="195"/>
      <c r="O904" s="199"/>
      <c r="P904" s="188"/>
      <c r="Q904" s="174">
        <f>IF(ISNUMBER(VLOOKUP(A904,NotghiID!A:A,1,FALSE)),1,0)</f>
        <v>0</v>
      </c>
    </row>
    <row r="905" spans="1:17" ht="14.25" x14ac:dyDescent="0.2">
      <c r="A905" s="183">
        <v>255</v>
      </c>
      <c r="B905" s="232" t="str">
        <f>IF(AND(A905&lt;&gt;"",ISNUMBER(A905)),VLOOKUP(A905,Studies!A:BR,2,FALSE),"")</f>
        <v>Heizmann 1983</v>
      </c>
      <c r="C905" s="232" t="str">
        <f>IF(AND(A905&lt;&gt;"",ISNUMBER(A905)),VLOOKUP(A905,Studies!A:BR,3,FALSE),"")</f>
        <v>http://www.ncbi.nlm.nih.gov/pubmed/6138080</v>
      </c>
      <c r="D905" s="232" t="str">
        <f>IF(AND(A905&lt;&gt;"",ISNUMBER(A905)),VLOOKUP(A905,Studies!A:BR,4,FALSE),"")</f>
        <v>po 20 mg - Indiv. K.M.</v>
      </c>
      <c r="E905" s="206" t="str">
        <f>IF(AND(A905&lt;&gt;"",ISNUMBER(A905)),VLOOKUP(A905,Studies!A:BR,5,FALSE),"")</f>
        <v>Midazolam</v>
      </c>
      <c r="F905" s="207" t="str">
        <f>IF(AND(A905&lt;&gt;"",ISNUMBER(A905)),VLOOKUP(A905,Studies!A:BR,6,FALSE),"")</f>
        <v>Plasma</v>
      </c>
      <c r="G905" s="194">
        <v>0.75</v>
      </c>
      <c r="H905" s="194" t="s">
        <v>60</v>
      </c>
      <c r="I905" s="187">
        <v>77</v>
      </c>
      <c r="J905" s="187" t="s">
        <v>1026</v>
      </c>
      <c r="K905" s="187" t="s">
        <v>264</v>
      </c>
      <c r="L905" s="195"/>
      <c r="M905" s="195"/>
      <c r="N905" s="195"/>
      <c r="O905" s="199"/>
      <c r="P905" s="188"/>
      <c r="Q905" s="174">
        <f>IF(ISNUMBER(VLOOKUP(A905,NotghiID!A:A,1,FALSE)),1,0)</f>
        <v>0</v>
      </c>
    </row>
    <row r="906" spans="1:17" ht="14.25" x14ac:dyDescent="0.2">
      <c r="A906" s="183">
        <v>255</v>
      </c>
      <c r="B906" s="232" t="str">
        <f>IF(AND(A906&lt;&gt;"",ISNUMBER(A906)),VLOOKUP(A906,Studies!A:BR,2,FALSE),"")</f>
        <v>Heizmann 1983</v>
      </c>
      <c r="C906" s="232" t="str">
        <f>IF(AND(A906&lt;&gt;"",ISNUMBER(A906)),VLOOKUP(A906,Studies!A:BR,3,FALSE),"")</f>
        <v>http://www.ncbi.nlm.nih.gov/pubmed/6138080</v>
      </c>
      <c r="D906" s="232" t="str">
        <f>IF(AND(A906&lt;&gt;"",ISNUMBER(A906)),VLOOKUP(A906,Studies!A:BR,4,FALSE),"")</f>
        <v>po 20 mg - Indiv. K.M.</v>
      </c>
      <c r="E906" s="206" t="str">
        <f>IF(AND(A906&lt;&gt;"",ISNUMBER(A906)),VLOOKUP(A906,Studies!A:BR,5,FALSE),"")</f>
        <v>Midazolam</v>
      </c>
      <c r="F906" s="207" t="str">
        <f>IF(AND(A906&lt;&gt;"",ISNUMBER(A906)),VLOOKUP(A906,Studies!A:BR,6,FALSE),"")</f>
        <v>Plasma</v>
      </c>
      <c r="G906" s="194">
        <v>1</v>
      </c>
      <c r="H906" s="194" t="s">
        <v>60</v>
      </c>
      <c r="I906" s="187">
        <v>73</v>
      </c>
      <c r="J906" s="187" t="s">
        <v>1026</v>
      </c>
      <c r="K906" s="187" t="s">
        <v>264</v>
      </c>
      <c r="L906" s="195"/>
      <c r="M906" s="195"/>
      <c r="N906" s="195"/>
      <c r="O906" s="199"/>
      <c r="P906" s="188"/>
      <c r="Q906" s="174">
        <f>IF(ISNUMBER(VLOOKUP(A906,NotghiID!A:A,1,FALSE)),1,0)</f>
        <v>0</v>
      </c>
    </row>
    <row r="907" spans="1:17" ht="14.25" x14ac:dyDescent="0.2">
      <c r="A907" s="183">
        <v>255</v>
      </c>
      <c r="B907" s="232" t="str">
        <f>IF(AND(A907&lt;&gt;"",ISNUMBER(A907)),VLOOKUP(A907,Studies!A:BR,2,FALSE),"")</f>
        <v>Heizmann 1983</v>
      </c>
      <c r="C907" s="232" t="str">
        <f>IF(AND(A907&lt;&gt;"",ISNUMBER(A907)),VLOOKUP(A907,Studies!A:BR,3,FALSE),"")</f>
        <v>http://www.ncbi.nlm.nih.gov/pubmed/6138080</v>
      </c>
      <c r="D907" s="232" t="str">
        <f>IF(AND(A907&lt;&gt;"",ISNUMBER(A907)),VLOOKUP(A907,Studies!A:BR,4,FALSE),"")</f>
        <v>po 20 mg - Indiv. K.M.</v>
      </c>
      <c r="E907" s="206" t="str">
        <f>IF(AND(A907&lt;&gt;"",ISNUMBER(A907)),VLOOKUP(A907,Studies!A:BR,5,FALSE),"")</f>
        <v>Midazolam</v>
      </c>
      <c r="F907" s="207" t="str">
        <f>IF(AND(A907&lt;&gt;"",ISNUMBER(A907)),VLOOKUP(A907,Studies!A:BR,6,FALSE),"")</f>
        <v>Plasma</v>
      </c>
      <c r="G907" s="194">
        <v>1.5</v>
      </c>
      <c r="H907" s="194" t="s">
        <v>60</v>
      </c>
      <c r="I907" s="187">
        <v>57</v>
      </c>
      <c r="J907" s="187" t="s">
        <v>1026</v>
      </c>
      <c r="K907" s="187" t="s">
        <v>264</v>
      </c>
      <c r="L907" s="195"/>
      <c r="M907" s="195"/>
      <c r="N907" s="195"/>
      <c r="O907" s="199"/>
      <c r="P907" s="188"/>
      <c r="Q907" s="174">
        <f>IF(ISNUMBER(VLOOKUP(A907,NotghiID!A:A,1,FALSE)),1,0)</f>
        <v>0</v>
      </c>
    </row>
    <row r="908" spans="1:17" ht="14.25" x14ac:dyDescent="0.2">
      <c r="A908" s="183">
        <v>255</v>
      </c>
      <c r="B908" s="232" t="str">
        <f>IF(AND(A908&lt;&gt;"",ISNUMBER(A908)),VLOOKUP(A908,Studies!A:BR,2,FALSE),"")</f>
        <v>Heizmann 1983</v>
      </c>
      <c r="C908" s="232" t="str">
        <f>IF(AND(A908&lt;&gt;"",ISNUMBER(A908)),VLOOKUP(A908,Studies!A:BR,3,FALSE),"")</f>
        <v>http://www.ncbi.nlm.nih.gov/pubmed/6138080</v>
      </c>
      <c r="D908" s="232" t="str">
        <f>IF(AND(A908&lt;&gt;"",ISNUMBER(A908)),VLOOKUP(A908,Studies!A:BR,4,FALSE),"")</f>
        <v>po 20 mg - Indiv. K.M.</v>
      </c>
      <c r="E908" s="206" t="str">
        <f>IF(AND(A908&lt;&gt;"",ISNUMBER(A908)),VLOOKUP(A908,Studies!A:BR,5,FALSE),"")</f>
        <v>Midazolam</v>
      </c>
      <c r="F908" s="207" t="str">
        <f>IF(AND(A908&lt;&gt;"",ISNUMBER(A908)),VLOOKUP(A908,Studies!A:BR,6,FALSE),"")</f>
        <v>Plasma</v>
      </c>
      <c r="G908" s="194">
        <v>2</v>
      </c>
      <c r="H908" s="194" t="s">
        <v>60</v>
      </c>
      <c r="I908" s="187">
        <v>49</v>
      </c>
      <c r="J908" s="187" t="s">
        <v>1026</v>
      </c>
      <c r="K908" s="187" t="s">
        <v>264</v>
      </c>
      <c r="L908" s="195"/>
      <c r="M908" s="195"/>
      <c r="N908" s="195"/>
      <c r="O908" s="199"/>
      <c r="P908" s="188"/>
      <c r="Q908" s="174">
        <f>IF(ISNUMBER(VLOOKUP(A908,NotghiID!A:A,1,FALSE)),1,0)</f>
        <v>0</v>
      </c>
    </row>
    <row r="909" spans="1:17" ht="14.25" x14ac:dyDescent="0.2">
      <c r="A909" s="183">
        <v>255</v>
      </c>
      <c r="B909" s="232" t="str">
        <f>IF(AND(A909&lt;&gt;"",ISNUMBER(A909)),VLOOKUP(A909,Studies!A:BR,2,FALSE),"")</f>
        <v>Heizmann 1983</v>
      </c>
      <c r="C909" s="232" t="str">
        <f>IF(AND(A909&lt;&gt;"",ISNUMBER(A909)),VLOOKUP(A909,Studies!A:BR,3,FALSE),"")</f>
        <v>http://www.ncbi.nlm.nih.gov/pubmed/6138080</v>
      </c>
      <c r="D909" s="232" t="str">
        <f>IF(AND(A909&lt;&gt;"",ISNUMBER(A909)),VLOOKUP(A909,Studies!A:BR,4,FALSE),"")</f>
        <v>po 20 mg - Indiv. K.M.</v>
      </c>
      <c r="E909" s="206" t="str">
        <f>IF(AND(A909&lt;&gt;"",ISNUMBER(A909)),VLOOKUP(A909,Studies!A:BR,5,FALSE),"")</f>
        <v>Midazolam</v>
      </c>
      <c r="F909" s="207" t="str">
        <f>IF(AND(A909&lt;&gt;"",ISNUMBER(A909)),VLOOKUP(A909,Studies!A:BR,6,FALSE),"")</f>
        <v>Plasma</v>
      </c>
      <c r="G909" s="194">
        <v>3</v>
      </c>
      <c r="H909" s="194" t="s">
        <v>60</v>
      </c>
      <c r="I909" s="187">
        <v>32</v>
      </c>
      <c r="J909" s="187" t="s">
        <v>1026</v>
      </c>
      <c r="K909" s="187" t="s">
        <v>264</v>
      </c>
      <c r="L909" s="195"/>
      <c r="M909" s="195"/>
      <c r="N909" s="195"/>
      <c r="O909" s="199"/>
      <c r="P909" s="188"/>
      <c r="Q909" s="174">
        <f>IF(ISNUMBER(VLOOKUP(A909,NotghiID!A:A,1,FALSE)),1,0)</f>
        <v>0</v>
      </c>
    </row>
    <row r="910" spans="1:17" ht="14.25" x14ac:dyDescent="0.2">
      <c r="A910" s="183">
        <v>255</v>
      </c>
      <c r="B910" s="232" t="str">
        <f>IF(AND(A910&lt;&gt;"",ISNUMBER(A910)),VLOOKUP(A910,Studies!A:BR,2,FALSE),"")</f>
        <v>Heizmann 1983</v>
      </c>
      <c r="C910" s="232" t="str">
        <f>IF(AND(A910&lt;&gt;"",ISNUMBER(A910)),VLOOKUP(A910,Studies!A:BR,3,FALSE),"")</f>
        <v>http://www.ncbi.nlm.nih.gov/pubmed/6138080</v>
      </c>
      <c r="D910" s="232" t="str">
        <f>IF(AND(A910&lt;&gt;"",ISNUMBER(A910)),VLOOKUP(A910,Studies!A:BR,4,FALSE),"")</f>
        <v>po 20 mg - Indiv. K.M.</v>
      </c>
      <c r="E910" s="206" t="str">
        <f>IF(AND(A910&lt;&gt;"",ISNUMBER(A910)),VLOOKUP(A910,Studies!A:BR,5,FALSE),"")</f>
        <v>Midazolam</v>
      </c>
      <c r="F910" s="207" t="str">
        <f>IF(AND(A910&lt;&gt;"",ISNUMBER(A910)),VLOOKUP(A910,Studies!A:BR,6,FALSE),"")</f>
        <v>Plasma</v>
      </c>
      <c r="G910" s="194">
        <v>4</v>
      </c>
      <c r="H910" s="194" t="s">
        <v>60</v>
      </c>
      <c r="I910" s="187">
        <v>25</v>
      </c>
      <c r="J910" s="187" t="s">
        <v>1026</v>
      </c>
      <c r="K910" s="187" t="s">
        <v>264</v>
      </c>
      <c r="L910" s="195"/>
      <c r="M910" s="195"/>
      <c r="N910" s="195"/>
      <c r="O910" s="199"/>
      <c r="P910" s="188"/>
      <c r="Q910" s="174">
        <f>IF(ISNUMBER(VLOOKUP(A910,NotghiID!A:A,1,FALSE)),1,0)</f>
        <v>0</v>
      </c>
    </row>
    <row r="911" spans="1:17" ht="14.25" x14ac:dyDescent="0.2">
      <c r="A911" s="183">
        <v>255</v>
      </c>
      <c r="B911" s="232" t="str">
        <f>IF(AND(A911&lt;&gt;"",ISNUMBER(A911)),VLOOKUP(A911,Studies!A:BR,2,FALSE),"")</f>
        <v>Heizmann 1983</v>
      </c>
      <c r="C911" s="232" t="str">
        <f>IF(AND(A911&lt;&gt;"",ISNUMBER(A911)),VLOOKUP(A911,Studies!A:BR,3,FALSE),"")</f>
        <v>http://www.ncbi.nlm.nih.gov/pubmed/6138080</v>
      </c>
      <c r="D911" s="232" t="str">
        <f>IF(AND(A911&lt;&gt;"",ISNUMBER(A911)),VLOOKUP(A911,Studies!A:BR,4,FALSE),"")</f>
        <v>po 20 mg - Indiv. K.M.</v>
      </c>
      <c r="E911" s="206" t="str">
        <f>IF(AND(A911&lt;&gt;"",ISNUMBER(A911)),VLOOKUP(A911,Studies!A:BR,5,FALSE),"")</f>
        <v>Midazolam</v>
      </c>
      <c r="F911" s="207" t="str">
        <f>IF(AND(A911&lt;&gt;"",ISNUMBER(A911)),VLOOKUP(A911,Studies!A:BR,6,FALSE),"")</f>
        <v>Plasma</v>
      </c>
      <c r="G911" s="194">
        <v>5</v>
      </c>
      <c r="H911" s="194" t="s">
        <v>60</v>
      </c>
      <c r="I911" s="187">
        <v>11</v>
      </c>
      <c r="J911" s="187" t="s">
        <v>1026</v>
      </c>
      <c r="K911" s="187" t="s">
        <v>264</v>
      </c>
      <c r="L911" s="195"/>
      <c r="M911" s="195"/>
      <c r="N911" s="195"/>
      <c r="O911" s="199"/>
      <c r="P911" s="188"/>
      <c r="Q911" s="174">
        <f>IF(ISNUMBER(VLOOKUP(A911,NotghiID!A:A,1,FALSE)),1,0)</f>
        <v>0</v>
      </c>
    </row>
    <row r="912" spans="1:17" ht="14.25" x14ac:dyDescent="0.2">
      <c r="A912" s="183">
        <v>255</v>
      </c>
      <c r="B912" s="232" t="str">
        <f>IF(AND(A912&lt;&gt;"",ISNUMBER(A912)),VLOOKUP(A912,Studies!A:BR,2,FALSE),"")</f>
        <v>Heizmann 1983</v>
      </c>
      <c r="C912" s="232" t="str">
        <f>IF(AND(A912&lt;&gt;"",ISNUMBER(A912)),VLOOKUP(A912,Studies!A:BR,3,FALSE),"")</f>
        <v>http://www.ncbi.nlm.nih.gov/pubmed/6138080</v>
      </c>
      <c r="D912" s="232" t="str">
        <f>IF(AND(A912&lt;&gt;"",ISNUMBER(A912)),VLOOKUP(A912,Studies!A:BR,4,FALSE),"")</f>
        <v>po 20 mg - Indiv. K.M.</v>
      </c>
      <c r="E912" s="206" t="str">
        <f>IF(AND(A912&lt;&gt;"",ISNUMBER(A912)),VLOOKUP(A912,Studies!A:BR,5,FALSE),"")</f>
        <v>Midazolam</v>
      </c>
      <c r="F912" s="207" t="str">
        <f>IF(AND(A912&lt;&gt;"",ISNUMBER(A912)),VLOOKUP(A912,Studies!A:BR,6,FALSE),"")</f>
        <v>Plasma</v>
      </c>
      <c r="G912" s="194">
        <v>6</v>
      </c>
      <c r="H912" s="194" t="s">
        <v>60</v>
      </c>
      <c r="I912" s="187">
        <v>8</v>
      </c>
      <c r="J912" s="187" t="s">
        <v>1026</v>
      </c>
      <c r="K912" s="187" t="s">
        <v>264</v>
      </c>
      <c r="L912" s="195"/>
      <c r="M912" s="195"/>
      <c r="N912" s="195"/>
      <c r="O912" s="199"/>
      <c r="P912" s="188"/>
      <c r="Q912" s="174">
        <f>IF(ISNUMBER(VLOOKUP(A912,NotghiID!A:A,1,FALSE)),1,0)</f>
        <v>0</v>
      </c>
    </row>
    <row r="913" spans="1:17" ht="14.25" x14ac:dyDescent="0.2">
      <c r="A913" s="183">
        <v>255</v>
      </c>
      <c r="B913" s="232" t="str">
        <f>IF(AND(A913&lt;&gt;"",ISNUMBER(A913)),VLOOKUP(A913,Studies!A:BR,2,FALSE),"")</f>
        <v>Heizmann 1983</v>
      </c>
      <c r="C913" s="232" t="str">
        <f>IF(AND(A913&lt;&gt;"",ISNUMBER(A913)),VLOOKUP(A913,Studies!A:BR,3,FALSE),"")</f>
        <v>http://www.ncbi.nlm.nih.gov/pubmed/6138080</v>
      </c>
      <c r="D913" s="232" t="str">
        <f>IF(AND(A913&lt;&gt;"",ISNUMBER(A913)),VLOOKUP(A913,Studies!A:BR,4,FALSE),"")</f>
        <v>po 20 mg - Indiv. K.M.</v>
      </c>
      <c r="E913" s="206" t="str">
        <f>IF(AND(A913&lt;&gt;"",ISNUMBER(A913)),VLOOKUP(A913,Studies!A:BR,5,FALSE),"")</f>
        <v>Midazolam</v>
      </c>
      <c r="F913" s="207" t="str">
        <f>IF(AND(A913&lt;&gt;"",ISNUMBER(A913)),VLOOKUP(A913,Studies!A:BR,6,FALSE),"")</f>
        <v>Plasma</v>
      </c>
      <c r="G913" s="194">
        <v>8</v>
      </c>
      <c r="H913" s="194" t="s">
        <v>60</v>
      </c>
      <c r="I913" s="187">
        <v>4</v>
      </c>
      <c r="J913" s="187" t="s">
        <v>1026</v>
      </c>
      <c r="K913" s="187" t="s">
        <v>264</v>
      </c>
      <c r="L913" s="195"/>
      <c r="M913" s="195"/>
      <c r="N913" s="195"/>
      <c r="O913" s="199"/>
      <c r="P913" s="188"/>
      <c r="Q913" s="174">
        <f>IF(ISNUMBER(VLOOKUP(A913,NotghiID!A:A,1,FALSE)),1,0)</f>
        <v>0</v>
      </c>
    </row>
    <row r="914" spans="1:17" ht="14.25" x14ac:dyDescent="0.2">
      <c r="A914" s="183">
        <v>255</v>
      </c>
      <c r="B914" s="232" t="str">
        <f>IF(AND(A914&lt;&gt;"",ISNUMBER(A914)),VLOOKUP(A914,Studies!A:BR,2,FALSE),"")</f>
        <v>Heizmann 1983</v>
      </c>
      <c r="C914" s="232" t="str">
        <f>IF(AND(A914&lt;&gt;"",ISNUMBER(A914)),VLOOKUP(A914,Studies!A:BR,3,FALSE),"")</f>
        <v>http://www.ncbi.nlm.nih.gov/pubmed/6138080</v>
      </c>
      <c r="D914" s="232" t="str">
        <f>IF(AND(A914&lt;&gt;"",ISNUMBER(A914)),VLOOKUP(A914,Studies!A:BR,4,FALSE),"")</f>
        <v>po 20 mg - Indiv. K.M.</v>
      </c>
      <c r="E914" s="206" t="str">
        <f>IF(AND(A914&lt;&gt;"",ISNUMBER(A914)),VLOOKUP(A914,Studies!A:BR,5,FALSE),"")</f>
        <v>Midazolam</v>
      </c>
      <c r="F914" s="207" t="str">
        <f>IF(AND(A914&lt;&gt;"",ISNUMBER(A914)),VLOOKUP(A914,Studies!A:BR,6,FALSE),"")</f>
        <v>Plasma</v>
      </c>
      <c r="G914" s="194">
        <v>10</v>
      </c>
      <c r="H914" s="194" t="s">
        <v>60</v>
      </c>
      <c r="I914" s="187" t="s">
        <v>1119</v>
      </c>
      <c r="J914" s="187" t="s">
        <v>1026</v>
      </c>
      <c r="K914" s="187" t="s">
        <v>264</v>
      </c>
      <c r="L914" s="195"/>
      <c r="M914" s="195"/>
      <c r="N914" s="195"/>
      <c r="O914" s="199">
        <v>1</v>
      </c>
      <c r="P914" s="188"/>
      <c r="Q914" s="174">
        <f>IF(ISNUMBER(VLOOKUP(A914,NotghiID!A:A,1,FALSE)),1,0)</f>
        <v>0</v>
      </c>
    </row>
    <row r="915" spans="1:17" ht="14.25" x14ac:dyDescent="0.2">
      <c r="A915" s="183">
        <v>255</v>
      </c>
      <c r="B915" s="232" t="str">
        <f>IF(AND(A915&lt;&gt;"",ISNUMBER(A915)),VLOOKUP(A915,Studies!A:BR,2,FALSE),"")</f>
        <v>Heizmann 1983</v>
      </c>
      <c r="C915" s="232" t="str">
        <f>IF(AND(A915&lt;&gt;"",ISNUMBER(A915)),VLOOKUP(A915,Studies!A:BR,3,FALSE),"")</f>
        <v>http://www.ncbi.nlm.nih.gov/pubmed/6138080</v>
      </c>
      <c r="D915" s="232" t="str">
        <f>IF(AND(A915&lt;&gt;"",ISNUMBER(A915)),VLOOKUP(A915,Studies!A:BR,4,FALSE),"")</f>
        <v>po 20 mg - Indiv. K.M.</v>
      </c>
      <c r="E915" s="206" t="str">
        <f>IF(AND(A915&lt;&gt;"",ISNUMBER(A915)),VLOOKUP(A915,Studies!A:BR,5,FALSE),"")</f>
        <v>Midazolam</v>
      </c>
      <c r="F915" s="207" t="str">
        <f>IF(AND(A915&lt;&gt;"",ISNUMBER(A915)),VLOOKUP(A915,Studies!A:BR,6,FALSE),"")</f>
        <v>Plasma</v>
      </c>
      <c r="G915" s="194">
        <v>12</v>
      </c>
      <c r="H915" s="194" t="s">
        <v>60</v>
      </c>
      <c r="I915" s="187" t="s">
        <v>1119</v>
      </c>
      <c r="J915" s="187" t="s">
        <v>1026</v>
      </c>
      <c r="K915" s="187" t="s">
        <v>264</v>
      </c>
      <c r="L915" s="195"/>
      <c r="M915" s="195"/>
      <c r="N915" s="195"/>
      <c r="O915" s="199">
        <v>1</v>
      </c>
      <c r="P915" s="188"/>
      <c r="Q915" s="174">
        <f>IF(ISNUMBER(VLOOKUP(A915,NotghiID!A:A,1,FALSE)),1,0)</f>
        <v>0</v>
      </c>
    </row>
    <row r="916" spans="1:17" ht="14.25" x14ac:dyDescent="0.2">
      <c r="A916" s="183">
        <v>248</v>
      </c>
      <c r="B916" s="232" t="str">
        <f>IF(AND(A916&lt;&gt;"",ISNUMBER(A916)),VLOOKUP(A916,Studies!A:BR,2,FALSE),"")</f>
        <v>Heizmann 1983</v>
      </c>
      <c r="C916" s="232" t="str">
        <f>IF(AND(A916&lt;&gt;"",ISNUMBER(A916)),VLOOKUP(A916,Studies!A:BR,3,FALSE),"")</f>
        <v>http://www.ncbi.nlm.nih.gov/pubmed/6138080</v>
      </c>
      <c r="D916" s="232" t="str">
        <f>IF(AND(A916&lt;&gt;"",ISNUMBER(A916)),VLOOKUP(A916,Studies!A:BR,4,FALSE),"")</f>
        <v>iv 0.15 mg/kg - Indiv. O.A.</v>
      </c>
      <c r="E916" s="206" t="str">
        <f>IF(AND(A916&lt;&gt;"",ISNUMBER(A916)),VLOOKUP(A916,Studies!A:BR,5,FALSE),"")</f>
        <v>Midazolam</v>
      </c>
      <c r="F916" s="207" t="str">
        <f>IF(AND(A916&lt;&gt;"",ISNUMBER(A916)),VLOOKUP(A916,Studies!A:BR,6,FALSE),"")</f>
        <v>Plasma</v>
      </c>
      <c r="G916" s="194">
        <v>8.3333329999999997E-2</v>
      </c>
      <c r="H916" s="194" t="s">
        <v>60</v>
      </c>
      <c r="I916" s="187">
        <v>310</v>
      </c>
      <c r="J916" s="187" t="s">
        <v>1026</v>
      </c>
      <c r="K916" s="187" t="s">
        <v>264</v>
      </c>
      <c r="L916" s="195"/>
      <c r="M916" s="195"/>
      <c r="N916" s="195"/>
      <c r="O916" s="199"/>
      <c r="P916" s="188"/>
      <c r="Q916" s="174">
        <f>IF(ISNUMBER(VLOOKUP(A916,NotghiID!A:A,1,FALSE)),1,0)</f>
        <v>0</v>
      </c>
    </row>
    <row r="917" spans="1:17" ht="14.25" x14ac:dyDescent="0.2">
      <c r="A917" s="183">
        <v>248</v>
      </c>
      <c r="B917" s="232" t="str">
        <f>IF(AND(A917&lt;&gt;"",ISNUMBER(A917)),VLOOKUP(A917,Studies!A:BR,2,FALSE),"")</f>
        <v>Heizmann 1983</v>
      </c>
      <c r="C917" s="232" t="str">
        <f>IF(AND(A917&lt;&gt;"",ISNUMBER(A917)),VLOOKUP(A917,Studies!A:BR,3,FALSE),"")</f>
        <v>http://www.ncbi.nlm.nih.gov/pubmed/6138080</v>
      </c>
      <c r="D917" s="232" t="str">
        <f>IF(AND(A917&lt;&gt;"",ISNUMBER(A917)),VLOOKUP(A917,Studies!A:BR,4,FALSE),"")</f>
        <v>iv 0.15 mg/kg - Indiv. O.A.</v>
      </c>
      <c r="E917" s="206" t="str">
        <f>IF(AND(A917&lt;&gt;"",ISNUMBER(A917)),VLOOKUP(A917,Studies!A:BR,5,FALSE),"")</f>
        <v>Midazolam</v>
      </c>
      <c r="F917" s="207" t="str">
        <f>IF(AND(A917&lt;&gt;"",ISNUMBER(A917)),VLOOKUP(A917,Studies!A:BR,6,FALSE),"")</f>
        <v>Plasma</v>
      </c>
      <c r="G917" s="194">
        <v>0.16666666999999999</v>
      </c>
      <c r="H917" s="194" t="s">
        <v>60</v>
      </c>
      <c r="I917" s="187">
        <v>281</v>
      </c>
      <c r="J917" s="187" t="s">
        <v>1026</v>
      </c>
      <c r="K917" s="187" t="s">
        <v>264</v>
      </c>
      <c r="L917" s="195"/>
      <c r="M917" s="195"/>
      <c r="N917" s="195"/>
      <c r="O917" s="199"/>
      <c r="P917" s="188"/>
      <c r="Q917" s="174">
        <f>IF(ISNUMBER(VLOOKUP(A917,NotghiID!A:A,1,FALSE)),1,0)</f>
        <v>0</v>
      </c>
    </row>
    <row r="918" spans="1:17" ht="14.25" x14ac:dyDescent="0.2">
      <c r="A918" s="183">
        <v>248</v>
      </c>
      <c r="B918" s="232" t="str">
        <f>IF(AND(A918&lt;&gt;"",ISNUMBER(A918)),VLOOKUP(A918,Studies!A:BR,2,FALSE),"")</f>
        <v>Heizmann 1983</v>
      </c>
      <c r="C918" s="232" t="str">
        <f>IF(AND(A918&lt;&gt;"",ISNUMBER(A918)),VLOOKUP(A918,Studies!A:BR,3,FALSE),"")</f>
        <v>http://www.ncbi.nlm.nih.gov/pubmed/6138080</v>
      </c>
      <c r="D918" s="232" t="str">
        <f>IF(AND(A918&lt;&gt;"",ISNUMBER(A918)),VLOOKUP(A918,Studies!A:BR,4,FALSE),"")</f>
        <v>iv 0.15 mg/kg - Indiv. O.A.</v>
      </c>
      <c r="E918" s="206" t="str">
        <f>IF(AND(A918&lt;&gt;"",ISNUMBER(A918)),VLOOKUP(A918,Studies!A:BR,5,FALSE),"")</f>
        <v>Midazolam</v>
      </c>
      <c r="F918" s="207" t="str">
        <f>IF(AND(A918&lt;&gt;"",ISNUMBER(A918)),VLOOKUP(A918,Studies!A:BR,6,FALSE),"")</f>
        <v>Plasma</v>
      </c>
      <c r="G918" s="194">
        <v>0.25</v>
      </c>
      <c r="H918" s="194" t="s">
        <v>60</v>
      </c>
      <c r="I918" s="187">
        <v>262</v>
      </c>
      <c r="J918" s="187" t="s">
        <v>1026</v>
      </c>
      <c r="K918" s="187" t="s">
        <v>264</v>
      </c>
      <c r="L918" s="195"/>
      <c r="M918" s="195"/>
      <c r="N918" s="195"/>
      <c r="O918" s="199"/>
      <c r="P918" s="188"/>
      <c r="Q918" s="174">
        <f>IF(ISNUMBER(VLOOKUP(A918,NotghiID!A:A,1,FALSE)),1,0)</f>
        <v>0</v>
      </c>
    </row>
    <row r="919" spans="1:17" ht="14.25" x14ac:dyDescent="0.2">
      <c r="A919" s="183">
        <v>248</v>
      </c>
      <c r="B919" s="232" t="str">
        <f>IF(AND(A919&lt;&gt;"",ISNUMBER(A919)),VLOOKUP(A919,Studies!A:BR,2,FALSE),"")</f>
        <v>Heizmann 1983</v>
      </c>
      <c r="C919" s="232" t="str">
        <f>IF(AND(A919&lt;&gt;"",ISNUMBER(A919)),VLOOKUP(A919,Studies!A:BR,3,FALSE),"")</f>
        <v>http://www.ncbi.nlm.nih.gov/pubmed/6138080</v>
      </c>
      <c r="D919" s="232" t="str">
        <f>IF(AND(A919&lt;&gt;"",ISNUMBER(A919)),VLOOKUP(A919,Studies!A:BR,4,FALSE),"")</f>
        <v>iv 0.15 mg/kg - Indiv. O.A.</v>
      </c>
      <c r="E919" s="206" t="str">
        <f>IF(AND(A919&lt;&gt;"",ISNUMBER(A919)),VLOOKUP(A919,Studies!A:BR,5,FALSE),"")</f>
        <v>Midazolam</v>
      </c>
      <c r="F919" s="207" t="str">
        <f>IF(AND(A919&lt;&gt;"",ISNUMBER(A919)),VLOOKUP(A919,Studies!A:BR,6,FALSE),"")</f>
        <v>Plasma</v>
      </c>
      <c r="G919" s="194">
        <v>0.5</v>
      </c>
      <c r="H919" s="194" t="s">
        <v>60</v>
      </c>
      <c r="I919" s="187">
        <v>220</v>
      </c>
      <c r="J919" s="187" t="s">
        <v>1026</v>
      </c>
      <c r="K919" s="187" t="s">
        <v>264</v>
      </c>
      <c r="L919" s="195"/>
      <c r="M919" s="195"/>
      <c r="N919" s="195"/>
      <c r="O919" s="199"/>
      <c r="P919" s="188"/>
      <c r="Q919" s="174">
        <f>IF(ISNUMBER(VLOOKUP(A919,NotghiID!A:A,1,FALSE)),1,0)</f>
        <v>0</v>
      </c>
    </row>
    <row r="920" spans="1:17" ht="14.25" x14ac:dyDescent="0.2">
      <c r="A920" s="183">
        <v>248</v>
      </c>
      <c r="B920" s="232" t="str">
        <f>IF(AND(A920&lt;&gt;"",ISNUMBER(A920)),VLOOKUP(A920,Studies!A:BR,2,FALSE),"")</f>
        <v>Heizmann 1983</v>
      </c>
      <c r="C920" s="232" t="str">
        <f>IF(AND(A920&lt;&gt;"",ISNUMBER(A920)),VLOOKUP(A920,Studies!A:BR,3,FALSE),"")</f>
        <v>http://www.ncbi.nlm.nih.gov/pubmed/6138080</v>
      </c>
      <c r="D920" s="232" t="str">
        <f>IF(AND(A920&lt;&gt;"",ISNUMBER(A920)),VLOOKUP(A920,Studies!A:BR,4,FALSE),"")</f>
        <v>iv 0.15 mg/kg - Indiv. O.A.</v>
      </c>
      <c r="E920" s="206" t="str">
        <f>IF(AND(A920&lt;&gt;"",ISNUMBER(A920)),VLOOKUP(A920,Studies!A:BR,5,FALSE),"")</f>
        <v>Midazolam</v>
      </c>
      <c r="F920" s="207" t="str">
        <f>IF(AND(A920&lt;&gt;"",ISNUMBER(A920)),VLOOKUP(A920,Studies!A:BR,6,FALSE),"")</f>
        <v>Plasma</v>
      </c>
      <c r="G920" s="194">
        <v>0.75</v>
      </c>
      <c r="H920" s="194" t="s">
        <v>60</v>
      </c>
      <c r="I920" s="187">
        <v>190</v>
      </c>
      <c r="J920" s="187" t="s">
        <v>1026</v>
      </c>
      <c r="K920" s="187" t="s">
        <v>264</v>
      </c>
      <c r="L920" s="195"/>
      <c r="M920" s="195"/>
      <c r="N920" s="195"/>
      <c r="O920" s="199"/>
      <c r="P920" s="188"/>
      <c r="Q920" s="174">
        <f>IF(ISNUMBER(VLOOKUP(A920,NotghiID!A:A,1,FALSE)),1,0)</f>
        <v>0</v>
      </c>
    </row>
    <row r="921" spans="1:17" ht="14.25" x14ac:dyDescent="0.2">
      <c r="A921" s="183">
        <v>248</v>
      </c>
      <c r="B921" s="232" t="str">
        <f>IF(AND(A921&lt;&gt;"",ISNUMBER(A921)),VLOOKUP(A921,Studies!A:BR,2,FALSE),"")</f>
        <v>Heizmann 1983</v>
      </c>
      <c r="C921" s="232" t="str">
        <f>IF(AND(A921&lt;&gt;"",ISNUMBER(A921)),VLOOKUP(A921,Studies!A:BR,3,FALSE),"")</f>
        <v>http://www.ncbi.nlm.nih.gov/pubmed/6138080</v>
      </c>
      <c r="D921" s="232" t="str">
        <f>IF(AND(A921&lt;&gt;"",ISNUMBER(A921)),VLOOKUP(A921,Studies!A:BR,4,FALSE),"")</f>
        <v>iv 0.15 mg/kg - Indiv. O.A.</v>
      </c>
      <c r="E921" s="206" t="str">
        <f>IF(AND(A921&lt;&gt;"",ISNUMBER(A921)),VLOOKUP(A921,Studies!A:BR,5,FALSE),"")</f>
        <v>Midazolam</v>
      </c>
      <c r="F921" s="207" t="str">
        <f>IF(AND(A921&lt;&gt;"",ISNUMBER(A921)),VLOOKUP(A921,Studies!A:BR,6,FALSE),"")</f>
        <v>Plasma</v>
      </c>
      <c r="G921" s="194">
        <v>1</v>
      </c>
      <c r="H921" s="194" t="s">
        <v>60</v>
      </c>
      <c r="I921" s="187">
        <v>171</v>
      </c>
      <c r="J921" s="187" t="s">
        <v>1026</v>
      </c>
      <c r="K921" s="187" t="s">
        <v>264</v>
      </c>
      <c r="L921" s="195"/>
      <c r="M921" s="195"/>
      <c r="N921" s="195"/>
      <c r="O921" s="199"/>
      <c r="P921" s="188"/>
      <c r="Q921" s="174">
        <f>IF(ISNUMBER(VLOOKUP(A921,NotghiID!A:A,1,FALSE)),1,0)</f>
        <v>0</v>
      </c>
    </row>
    <row r="922" spans="1:17" ht="14.25" x14ac:dyDescent="0.2">
      <c r="A922" s="183">
        <v>248</v>
      </c>
      <c r="B922" s="232" t="str">
        <f>IF(AND(A922&lt;&gt;"",ISNUMBER(A922)),VLOOKUP(A922,Studies!A:BR,2,FALSE),"")</f>
        <v>Heizmann 1983</v>
      </c>
      <c r="C922" s="232" t="str">
        <f>IF(AND(A922&lt;&gt;"",ISNUMBER(A922)),VLOOKUP(A922,Studies!A:BR,3,FALSE),"")</f>
        <v>http://www.ncbi.nlm.nih.gov/pubmed/6138080</v>
      </c>
      <c r="D922" s="232" t="str">
        <f>IF(AND(A922&lt;&gt;"",ISNUMBER(A922)),VLOOKUP(A922,Studies!A:BR,4,FALSE),"")</f>
        <v>iv 0.15 mg/kg - Indiv. O.A.</v>
      </c>
      <c r="E922" s="206" t="str">
        <f>IF(AND(A922&lt;&gt;"",ISNUMBER(A922)),VLOOKUP(A922,Studies!A:BR,5,FALSE),"")</f>
        <v>Midazolam</v>
      </c>
      <c r="F922" s="207" t="str">
        <f>IF(AND(A922&lt;&gt;"",ISNUMBER(A922)),VLOOKUP(A922,Studies!A:BR,6,FALSE),"")</f>
        <v>Plasma</v>
      </c>
      <c r="G922" s="194">
        <v>1.5</v>
      </c>
      <c r="H922" s="194" t="s">
        <v>60</v>
      </c>
      <c r="I922" s="187">
        <v>138</v>
      </c>
      <c r="J922" s="187" t="s">
        <v>1026</v>
      </c>
      <c r="K922" s="187" t="s">
        <v>264</v>
      </c>
      <c r="L922" s="195"/>
      <c r="M922" s="195"/>
      <c r="N922" s="195"/>
      <c r="O922" s="199"/>
      <c r="P922" s="188"/>
      <c r="Q922" s="174">
        <f>IF(ISNUMBER(VLOOKUP(A922,NotghiID!A:A,1,FALSE)),1,0)</f>
        <v>0</v>
      </c>
    </row>
    <row r="923" spans="1:17" ht="14.25" x14ac:dyDescent="0.2">
      <c r="A923" s="183">
        <v>248</v>
      </c>
      <c r="B923" s="232" t="str">
        <f>IF(AND(A923&lt;&gt;"",ISNUMBER(A923)),VLOOKUP(A923,Studies!A:BR,2,FALSE),"")</f>
        <v>Heizmann 1983</v>
      </c>
      <c r="C923" s="232" t="str">
        <f>IF(AND(A923&lt;&gt;"",ISNUMBER(A923)),VLOOKUP(A923,Studies!A:BR,3,FALSE),"")</f>
        <v>http://www.ncbi.nlm.nih.gov/pubmed/6138080</v>
      </c>
      <c r="D923" s="232" t="str">
        <f>IF(AND(A923&lt;&gt;"",ISNUMBER(A923)),VLOOKUP(A923,Studies!A:BR,4,FALSE),"")</f>
        <v>iv 0.15 mg/kg - Indiv. O.A.</v>
      </c>
      <c r="E923" s="206" t="str">
        <f>IF(AND(A923&lt;&gt;"",ISNUMBER(A923)),VLOOKUP(A923,Studies!A:BR,5,FALSE),"")</f>
        <v>Midazolam</v>
      </c>
      <c r="F923" s="207" t="str">
        <f>IF(AND(A923&lt;&gt;"",ISNUMBER(A923)),VLOOKUP(A923,Studies!A:BR,6,FALSE),"")</f>
        <v>Plasma</v>
      </c>
      <c r="G923" s="194">
        <v>2</v>
      </c>
      <c r="H923" s="194" t="s">
        <v>60</v>
      </c>
      <c r="I923" s="187">
        <v>121</v>
      </c>
      <c r="J923" s="187" t="s">
        <v>1026</v>
      </c>
      <c r="K923" s="187" t="s">
        <v>264</v>
      </c>
      <c r="L923" s="195"/>
      <c r="M923" s="195"/>
      <c r="N923" s="195"/>
      <c r="O923" s="199"/>
      <c r="P923" s="188"/>
      <c r="Q923" s="174">
        <f>IF(ISNUMBER(VLOOKUP(A923,NotghiID!A:A,1,FALSE)),1,0)</f>
        <v>0</v>
      </c>
    </row>
    <row r="924" spans="1:17" ht="14.25" x14ac:dyDescent="0.2">
      <c r="A924" s="183">
        <v>248</v>
      </c>
      <c r="B924" s="232" t="str">
        <f>IF(AND(A924&lt;&gt;"",ISNUMBER(A924)),VLOOKUP(A924,Studies!A:BR,2,FALSE),"")</f>
        <v>Heizmann 1983</v>
      </c>
      <c r="C924" s="232" t="str">
        <f>IF(AND(A924&lt;&gt;"",ISNUMBER(A924)),VLOOKUP(A924,Studies!A:BR,3,FALSE),"")</f>
        <v>http://www.ncbi.nlm.nih.gov/pubmed/6138080</v>
      </c>
      <c r="D924" s="232" t="str">
        <f>IF(AND(A924&lt;&gt;"",ISNUMBER(A924)),VLOOKUP(A924,Studies!A:BR,4,FALSE),"")</f>
        <v>iv 0.15 mg/kg - Indiv. O.A.</v>
      </c>
      <c r="E924" s="206" t="str">
        <f>IF(AND(A924&lt;&gt;"",ISNUMBER(A924)),VLOOKUP(A924,Studies!A:BR,5,FALSE),"")</f>
        <v>Midazolam</v>
      </c>
      <c r="F924" s="207" t="str">
        <f>IF(AND(A924&lt;&gt;"",ISNUMBER(A924)),VLOOKUP(A924,Studies!A:BR,6,FALSE),"")</f>
        <v>Plasma</v>
      </c>
      <c r="G924" s="194">
        <v>3</v>
      </c>
      <c r="H924" s="194" t="s">
        <v>60</v>
      </c>
      <c r="I924" s="187">
        <v>73</v>
      </c>
      <c r="J924" s="187" t="s">
        <v>1026</v>
      </c>
      <c r="K924" s="187" t="s">
        <v>264</v>
      </c>
      <c r="L924" s="195"/>
      <c r="M924" s="195"/>
      <c r="N924" s="195"/>
      <c r="O924" s="199"/>
      <c r="P924" s="188"/>
      <c r="Q924" s="174">
        <f>IF(ISNUMBER(VLOOKUP(A924,NotghiID!A:A,1,FALSE)),1,0)</f>
        <v>0</v>
      </c>
    </row>
    <row r="925" spans="1:17" ht="14.25" x14ac:dyDescent="0.2">
      <c r="A925" s="183">
        <v>248</v>
      </c>
      <c r="B925" s="232" t="str">
        <f>IF(AND(A925&lt;&gt;"",ISNUMBER(A925)),VLOOKUP(A925,Studies!A:BR,2,FALSE),"")</f>
        <v>Heizmann 1983</v>
      </c>
      <c r="C925" s="232" t="str">
        <f>IF(AND(A925&lt;&gt;"",ISNUMBER(A925)),VLOOKUP(A925,Studies!A:BR,3,FALSE),"")</f>
        <v>http://www.ncbi.nlm.nih.gov/pubmed/6138080</v>
      </c>
      <c r="D925" s="232" t="str">
        <f>IF(AND(A925&lt;&gt;"",ISNUMBER(A925)),VLOOKUP(A925,Studies!A:BR,4,FALSE),"")</f>
        <v>iv 0.15 mg/kg - Indiv. O.A.</v>
      </c>
      <c r="E925" s="206" t="str">
        <f>IF(AND(A925&lt;&gt;"",ISNUMBER(A925)),VLOOKUP(A925,Studies!A:BR,5,FALSE),"")</f>
        <v>Midazolam</v>
      </c>
      <c r="F925" s="207" t="str">
        <f>IF(AND(A925&lt;&gt;"",ISNUMBER(A925)),VLOOKUP(A925,Studies!A:BR,6,FALSE),"")</f>
        <v>Plasma</v>
      </c>
      <c r="G925" s="194">
        <v>4</v>
      </c>
      <c r="H925" s="194" t="s">
        <v>60</v>
      </c>
      <c r="I925" s="187">
        <v>53</v>
      </c>
      <c r="J925" s="187" t="s">
        <v>1026</v>
      </c>
      <c r="K925" s="187" t="s">
        <v>264</v>
      </c>
      <c r="L925" s="195"/>
      <c r="M925" s="195"/>
      <c r="N925" s="195"/>
      <c r="O925" s="199"/>
      <c r="P925" s="188"/>
      <c r="Q925" s="174">
        <f>IF(ISNUMBER(VLOOKUP(A925,NotghiID!A:A,1,FALSE)),1,0)</f>
        <v>0</v>
      </c>
    </row>
    <row r="926" spans="1:17" ht="14.25" x14ac:dyDescent="0.2">
      <c r="A926" s="183">
        <v>248</v>
      </c>
      <c r="B926" s="232" t="str">
        <f>IF(AND(A926&lt;&gt;"",ISNUMBER(A926)),VLOOKUP(A926,Studies!A:BR,2,FALSE),"")</f>
        <v>Heizmann 1983</v>
      </c>
      <c r="C926" s="232" t="str">
        <f>IF(AND(A926&lt;&gt;"",ISNUMBER(A926)),VLOOKUP(A926,Studies!A:BR,3,FALSE),"")</f>
        <v>http://www.ncbi.nlm.nih.gov/pubmed/6138080</v>
      </c>
      <c r="D926" s="232" t="str">
        <f>IF(AND(A926&lt;&gt;"",ISNUMBER(A926)),VLOOKUP(A926,Studies!A:BR,4,FALSE),"")</f>
        <v>iv 0.15 mg/kg - Indiv. O.A.</v>
      </c>
      <c r="E926" s="206" t="str">
        <f>IF(AND(A926&lt;&gt;"",ISNUMBER(A926)),VLOOKUP(A926,Studies!A:BR,5,FALSE),"")</f>
        <v>Midazolam</v>
      </c>
      <c r="F926" s="207" t="str">
        <f>IF(AND(A926&lt;&gt;"",ISNUMBER(A926)),VLOOKUP(A926,Studies!A:BR,6,FALSE),"")</f>
        <v>Plasma</v>
      </c>
      <c r="G926" s="194">
        <v>5</v>
      </c>
      <c r="H926" s="194" t="s">
        <v>60</v>
      </c>
      <c r="I926" s="187">
        <v>39</v>
      </c>
      <c r="J926" s="187" t="s">
        <v>1026</v>
      </c>
      <c r="K926" s="187" t="s">
        <v>264</v>
      </c>
      <c r="L926" s="195"/>
      <c r="M926" s="195"/>
      <c r="N926" s="195"/>
      <c r="O926" s="199"/>
      <c r="P926" s="188"/>
      <c r="Q926" s="174">
        <f>IF(ISNUMBER(VLOOKUP(A926,NotghiID!A:A,1,FALSE)),1,0)</f>
        <v>0</v>
      </c>
    </row>
    <row r="927" spans="1:17" ht="14.25" x14ac:dyDescent="0.2">
      <c r="A927" s="183">
        <v>248</v>
      </c>
      <c r="B927" s="232" t="str">
        <f>IF(AND(A927&lt;&gt;"",ISNUMBER(A927)),VLOOKUP(A927,Studies!A:BR,2,FALSE),"")</f>
        <v>Heizmann 1983</v>
      </c>
      <c r="C927" s="232" t="str">
        <f>IF(AND(A927&lt;&gt;"",ISNUMBER(A927)),VLOOKUP(A927,Studies!A:BR,3,FALSE),"")</f>
        <v>http://www.ncbi.nlm.nih.gov/pubmed/6138080</v>
      </c>
      <c r="D927" s="232" t="str">
        <f>IF(AND(A927&lt;&gt;"",ISNUMBER(A927)),VLOOKUP(A927,Studies!A:BR,4,FALSE),"")</f>
        <v>iv 0.15 mg/kg - Indiv. O.A.</v>
      </c>
      <c r="E927" s="206" t="str">
        <f>IF(AND(A927&lt;&gt;"",ISNUMBER(A927)),VLOOKUP(A927,Studies!A:BR,5,FALSE),"")</f>
        <v>Midazolam</v>
      </c>
      <c r="F927" s="207" t="str">
        <f>IF(AND(A927&lt;&gt;"",ISNUMBER(A927)),VLOOKUP(A927,Studies!A:BR,6,FALSE),"")</f>
        <v>Plasma</v>
      </c>
      <c r="G927" s="194">
        <v>6</v>
      </c>
      <c r="H927" s="194" t="s">
        <v>60</v>
      </c>
      <c r="I927" s="187">
        <v>30</v>
      </c>
      <c r="J927" s="187" t="s">
        <v>1026</v>
      </c>
      <c r="K927" s="187" t="s">
        <v>264</v>
      </c>
      <c r="L927" s="195"/>
      <c r="M927" s="195"/>
      <c r="N927" s="195"/>
      <c r="O927" s="199"/>
      <c r="P927" s="188"/>
      <c r="Q927" s="174">
        <f>IF(ISNUMBER(VLOOKUP(A927,NotghiID!A:A,1,FALSE)),1,0)</f>
        <v>0</v>
      </c>
    </row>
    <row r="928" spans="1:17" ht="14.25" x14ac:dyDescent="0.2">
      <c r="A928" s="183">
        <v>248</v>
      </c>
      <c r="B928" s="232" t="str">
        <f>IF(AND(A928&lt;&gt;"",ISNUMBER(A928)),VLOOKUP(A928,Studies!A:BR,2,FALSE),"")</f>
        <v>Heizmann 1983</v>
      </c>
      <c r="C928" s="232" t="str">
        <f>IF(AND(A928&lt;&gt;"",ISNUMBER(A928)),VLOOKUP(A928,Studies!A:BR,3,FALSE),"")</f>
        <v>http://www.ncbi.nlm.nih.gov/pubmed/6138080</v>
      </c>
      <c r="D928" s="232" t="str">
        <f>IF(AND(A928&lt;&gt;"",ISNUMBER(A928)),VLOOKUP(A928,Studies!A:BR,4,FALSE),"")</f>
        <v>iv 0.15 mg/kg - Indiv. O.A.</v>
      </c>
      <c r="E928" s="206" t="str">
        <f>IF(AND(A928&lt;&gt;"",ISNUMBER(A928)),VLOOKUP(A928,Studies!A:BR,5,FALSE),"")</f>
        <v>Midazolam</v>
      </c>
      <c r="F928" s="207" t="str">
        <f>IF(AND(A928&lt;&gt;"",ISNUMBER(A928)),VLOOKUP(A928,Studies!A:BR,6,FALSE),"")</f>
        <v>Plasma</v>
      </c>
      <c r="G928" s="194">
        <v>8</v>
      </c>
      <c r="H928" s="194" t="s">
        <v>60</v>
      </c>
      <c r="I928" s="187">
        <v>19</v>
      </c>
      <c r="J928" s="187" t="s">
        <v>1026</v>
      </c>
      <c r="K928" s="187" t="s">
        <v>264</v>
      </c>
      <c r="L928" s="195"/>
      <c r="M928" s="195"/>
      <c r="N928" s="195"/>
      <c r="O928" s="199"/>
      <c r="P928" s="188"/>
      <c r="Q928" s="174">
        <f>IF(ISNUMBER(VLOOKUP(A928,NotghiID!A:A,1,FALSE)),1,0)</f>
        <v>0</v>
      </c>
    </row>
    <row r="929" spans="1:17" ht="14.25" x14ac:dyDescent="0.2">
      <c r="A929" s="183">
        <v>248</v>
      </c>
      <c r="B929" s="232" t="str">
        <f>IF(AND(A929&lt;&gt;"",ISNUMBER(A929)),VLOOKUP(A929,Studies!A:BR,2,FALSE),"")</f>
        <v>Heizmann 1983</v>
      </c>
      <c r="C929" s="232" t="str">
        <f>IF(AND(A929&lt;&gt;"",ISNUMBER(A929)),VLOOKUP(A929,Studies!A:BR,3,FALSE),"")</f>
        <v>http://www.ncbi.nlm.nih.gov/pubmed/6138080</v>
      </c>
      <c r="D929" s="232" t="str">
        <f>IF(AND(A929&lt;&gt;"",ISNUMBER(A929)),VLOOKUP(A929,Studies!A:BR,4,FALSE),"")</f>
        <v>iv 0.15 mg/kg - Indiv. O.A.</v>
      </c>
      <c r="E929" s="206" t="str">
        <f>IF(AND(A929&lt;&gt;"",ISNUMBER(A929)),VLOOKUP(A929,Studies!A:BR,5,FALSE),"")</f>
        <v>Midazolam</v>
      </c>
      <c r="F929" s="207" t="str">
        <f>IF(AND(A929&lt;&gt;"",ISNUMBER(A929)),VLOOKUP(A929,Studies!A:BR,6,FALSE),"")</f>
        <v>Plasma</v>
      </c>
      <c r="G929" s="194">
        <v>10</v>
      </c>
      <c r="H929" s="194" t="s">
        <v>60</v>
      </c>
      <c r="I929" s="187">
        <v>10</v>
      </c>
      <c r="J929" s="187" t="s">
        <v>1026</v>
      </c>
      <c r="K929" s="187" t="s">
        <v>264</v>
      </c>
      <c r="L929" s="195"/>
      <c r="M929" s="195"/>
      <c r="N929" s="195"/>
      <c r="O929" s="199"/>
      <c r="P929" s="188"/>
      <c r="Q929" s="174">
        <f>IF(ISNUMBER(VLOOKUP(A929,NotghiID!A:A,1,FALSE)),1,0)</f>
        <v>0</v>
      </c>
    </row>
    <row r="930" spans="1:17" ht="14.25" x14ac:dyDescent="0.2">
      <c r="A930" s="183">
        <v>248</v>
      </c>
      <c r="B930" s="232" t="str">
        <f>IF(AND(A930&lt;&gt;"",ISNUMBER(A930)),VLOOKUP(A930,Studies!A:BR,2,FALSE),"")</f>
        <v>Heizmann 1983</v>
      </c>
      <c r="C930" s="232" t="str">
        <f>IF(AND(A930&lt;&gt;"",ISNUMBER(A930)),VLOOKUP(A930,Studies!A:BR,3,FALSE),"")</f>
        <v>http://www.ncbi.nlm.nih.gov/pubmed/6138080</v>
      </c>
      <c r="D930" s="232" t="str">
        <f>IF(AND(A930&lt;&gt;"",ISNUMBER(A930)),VLOOKUP(A930,Studies!A:BR,4,FALSE),"")</f>
        <v>iv 0.15 mg/kg - Indiv. O.A.</v>
      </c>
      <c r="E930" s="206" t="str">
        <f>IF(AND(A930&lt;&gt;"",ISNUMBER(A930)),VLOOKUP(A930,Studies!A:BR,5,FALSE),"")</f>
        <v>Midazolam</v>
      </c>
      <c r="F930" s="207" t="str">
        <f>IF(AND(A930&lt;&gt;"",ISNUMBER(A930)),VLOOKUP(A930,Studies!A:BR,6,FALSE),"")</f>
        <v>Plasma</v>
      </c>
      <c r="G930" s="194">
        <v>12</v>
      </c>
      <c r="H930" s="194" t="s">
        <v>60</v>
      </c>
      <c r="I930" s="187">
        <v>7</v>
      </c>
      <c r="J930" s="187" t="s">
        <v>1026</v>
      </c>
      <c r="K930" s="187" t="s">
        <v>264</v>
      </c>
      <c r="L930" s="195"/>
      <c r="M930" s="195"/>
      <c r="N930" s="195"/>
      <c r="O930" s="199"/>
      <c r="P930" s="188"/>
      <c r="Q930" s="174">
        <f>IF(ISNUMBER(VLOOKUP(A930,NotghiID!A:A,1,FALSE)),1,0)</f>
        <v>0</v>
      </c>
    </row>
    <row r="931" spans="1:17" ht="14.25" x14ac:dyDescent="0.2">
      <c r="A931" s="183">
        <v>250</v>
      </c>
      <c r="B931" s="232" t="str">
        <f>IF(AND(A931&lt;&gt;"",ISNUMBER(A931)),VLOOKUP(A931,Studies!A:BR,2,FALSE),"")</f>
        <v>Heizmann 1983</v>
      </c>
      <c r="C931" s="232" t="str">
        <f>IF(AND(A931&lt;&gt;"",ISNUMBER(A931)),VLOOKUP(A931,Studies!A:BR,3,FALSE),"")</f>
        <v>http://www.ncbi.nlm.nih.gov/pubmed/6138080</v>
      </c>
      <c r="D931" s="232" t="str">
        <f>IF(AND(A931&lt;&gt;"",ISNUMBER(A931)),VLOOKUP(A931,Studies!A:BR,4,FALSE),"")</f>
        <v>po 10 mg - Indiv. O.A.</v>
      </c>
      <c r="E931" s="206" t="str">
        <f>IF(AND(A931&lt;&gt;"",ISNUMBER(A931)),VLOOKUP(A931,Studies!A:BR,5,FALSE),"")</f>
        <v>Midazolam</v>
      </c>
      <c r="F931" s="207" t="str">
        <f>IF(AND(A931&lt;&gt;"",ISNUMBER(A931)),VLOOKUP(A931,Studies!A:BR,6,FALSE),"")</f>
        <v>Plasma</v>
      </c>
      <c r="G931" s="194">
        <v>0.25</v>
      </c>
      <c r="H931" s="194" t="s">
        <v>60</v>
      </c>
      <c r="I931" s="187">
        <v>170</v>
      </c>
      <c r="J931" s="187" t="s">
        <v>1026</v>
      </c>
      <c r="K931" s="187" t="s">
        <v>264</v>
      </c>
      <c r="L931" s="195"/>
      <c r="M931" s="195"/>
      <c r="N931" s="195"/>
      <c r="O931" s="199"/>
      <c r="P931" s="188"/>
      <c r="Q931" s="174">
        <f>IF(ISNUMBER(VLOOKUP(A931,NotghiID!A:A,1,FALSE)),1,0)</f>
        <v>0</v>
      </c>
    </row>
    <row r="932" spans="1:17" ht="14.25" x14ac:dyDescent="0.2">
      <c r="A932" s="183">
        <v>250</v>
      </c>
      <c r="B932" s="232" t="str">
        <f>IF(AND(A932&lt;&gt;"",ISNUMBER(A932)),VLOOKUP(A932,Studies!A:BR,2,FALSE),"")</f>
        <v>Heizmann 1983</v>
      </c>
      <c r="C932" s="232" t="str">
        <f>IF(AND(A932&lt;&gt;"",ISNUMBER(A932)),VLOOKUP(A932,Studies!A:BR,3,FALSE),"")</f>
        <v>http://www.ncbi.nlm.nih.gov/pubmed/6138080</v>
      </c>
      <c r="D932" s="232" t="str">
        <f>IF(AND(A932&lt;&gt;"",ISNUMBER(A932)),VLOOKUP(A932,Studies!A:BR,4,FALSE),"")</f>
        <v>po 10 mg - Indiv. O.A.</v>
      </c>
      <c r="E932" s="206" t="str">
        <f>IF(AND(A932&lt;&gt;"",ISNUMBER(A932)),VLOOKUP(A932,Studies!A:BR,5,FALSE),"")</f>
        <v>Midazolam</v>
      </c>
      <c r="F932" s="207" t="str">
        <f>IF(AND(A932&lt;&gt;"",ISNUMBER(A932)),VLOOKUP(A932,Studies!A:BR,6,FALSE),"")</f>
        <v>Plasma</v>
      </c>
      <c r="G932" s="194">
        <v>0.5</v>
      </c>
      <c r="H932" s="194" t="s">
        <v>60</v>
      </c>
      <c r="I932" s="187">
        <v>140</v>
      </c>
      <c r="J932" s="187" t="s">
        <v>1026</v>
      </c>
      <c r="K932" s="187" t="s">
        <v>264</v>
      </c>
      <c r="L932" s="195"/>
      <c r="M932" s="195"/>
      <c r="N932" s="195"/>
      <c r="O932" s="199"/>
      <c r="P932" s="188"/>
      <c r="Q932" s="174">
        <f>IF(ISNUMBER(VLOOKUP(A932,NotghiID!A:A,1,FALSE)),1,0)</f>
        <v>0</v>
      </c>
    </row>
    <row r="933" spans="1:17" ht="14.25" x14ac:dyDescent="0.2">
      <c r="A933" s="183">
        <v>250</v>
      </c>
      <c r="B933" s="232" t="str">
        <f>IF(AND(A933&lt;&gt;"",ISNUMBER(A933)),VLOOKUP(A933,Studies!A:BR,2,FALSE),"")</f>
        <v>Heizmann 1983</v>
      </c>
      <c r="C933" s="232" t="str">
        <f>IF(AND(A933&lt;&gt;"",ISNUMBER(A933)),VLOOKUP(A933,Studies!A:BR,3,FALSE),"")</f>
        <v>http://www.ncbi.nlm.nih.gov/pubmed/6138080</v>
      </c>
      <c r="D933" s="232" t="str">
        <f>IF(AND(A933&lt;&gt;"",ISNUMBER(A933)),VLOOKUP(A933,Studies!A:BR,4,FALSE),"")</f>
        <v>po 10 mg - Indiv. O.A.</v>
      </c>
      <c r="E933" s="206" t="str">
        <f>IF(AND(A933&lt;&gt;"",ISNUMBER(A933)),VLOOKUP(A933,Studies!A:BR,5,FALSE),"")</f>
        <v>Midazolam</v>
      </c>
      <c r="F933" s="207" t="str">
        <f>IF(AND(A933&lt;&gt;"",ISNUMBER(A933)),VLOOKUP(A933,Studies!A:BR,6,FALSE),"")</f>
        <v>Plasma</v>
      </c>
      <c r="G933" s="194">
        <v>0.75</v>
      </c>
      <c r="H933" s="194" t="s">
        <v>60</v>
      </c>
      <c r="I933" s="187">
        <v>101</v>
      </c>
      <c r="J933" s="187" t="s">
        <v>1026</v>
      </c>
      <c r="K933" s="187" t="s">
        <v>264</v>
      </c>
      <c r="L933" s="195"/>
      <c r="M933" s="195"/>
      <c r="N933" s="195"/>
      <c r="O933" s="199"/>
      <c r="P933" s="188"/>
      <c r="Q933" s="174">
        <f>IF(ISNUMBER(VLOOKUP(A933,NotghiID!A:A,1,FALSE)),1,0)</f>
        <v>0</v>
      </c>
    </row>
    <row r="934" spans="1:17" ht="14.25" x14ac:dyDescent="0.2">
      <c r="A934" s="183">
        <v>250</v>
      </c>
      <c r="B934" s="232" t="str">
        <f>IF(AND(A934&lt;&gt;"",ISNUMBER(A934)),VLOOKUP(A934,Studies!A:BR,2,FALSE),"")</f>
        <v>Heizmann 1983</v>
      </c>
      <c r="C934" s="232" t="str">
        <f>IF(AND(A934&lt;&gt;"",ISNUMBER(A934)),VLOOKUP(A934,Studies!A:BR,3,FALSE),"")</f>
        <v>http://www.ncbi.nlm.nih.gov/pubmed/6138080</v>
      </c>
      <c r="D934" s="232" t="str">
        <f>IF(AND(A934&lt;&gt;"",ISNUMBER(A934)),VLOOKUP(A934,Studies!A:BR,4,FALSE),"")</f>
        <v>po 10 mg - Indiv. O.A.</v>
      </c>
      <c r="E934" s="206" t="str">
        <f>IF(AND(A934&lt;&gt;"",ISNUMBER(A934)),VLOOKUP(A934,Studies!A:BR,5,FALSE),"")</f>
        <v>Midazolam</v>
      </c>
      <c r="F934" s="207" t="str">
        <f>IF(AND(A934&lt;&gt;"",ISNUMBER(A934)),VLOOKUP(A934,Studies!A:BR,6,FALSE),"")</f>
        <v>Plasma</v>
      </c>
      <c r="G934" s="194">
        <v>1</v>
      </c>
      <c r="H934" s="194" t="s">
        <v>60</v>
      </c>
      <c r="I934" s="187">
        <v>75</v>
      </c>
      <c r="J934" s="187" t="s">
        <v>1026</v>
      </c>
      <c r="K934" s="187" t="s">
        <v>264</v>
      </c>
      <c r="L934" s="195"/>
      <c r="M934" s="195"/>
      <c r="N934" s="195"/>
      <c r="O934" s="199"/>
      <c r="P934" s="188"/>
      <c r="Q934" s="174">
        <f>IF(ISNUMBER(VLOOKUP(A934,NotghiID!A:A,1,FALSE)),1,0)</f>
        <v>0</v>
      </c>
    </row>
    <row r="935" spans="1:17" ht="14.25" x14ac:dyDescent="0.2">
      <c r="A935" s="183">
        <v>250</v>
      </c>
      <c r="B935" s="232" t="str">
        <f>IF(AND(A935&lt;&gt;"",ISNUMBER(A935)),VLOOKUP(A935,Studies!A:BR,2,FALSE),"")</f>
        <v>Heizmann 1983</v>
      </c>
      <c r="C935" s="232" t="str">
        <f>IF(AND(A935&lt;&gt;"",ISNUMBER(A935)),VLOOKUP(A935,Studies!A:BR,3,FALSE),"")</f>
        <v>http://www.ncbi.nlm.nih.gov/pubmed/6138080</v>
      </c>
      <c r="D935" s="232" t="str">
        <f>IF(AND(A935&lt;&gt;"",ISNUMBER(A935)),VLOOKUP(A935,Studies!A:BR,4,FALSE),"")</f>
        <v>po 10 mg - Indiv. O.A.</v>
      </c>
      <c r="E935" s="206" t="str">
        <f>IF(AND(A935&lt;&gt;"",ISNUMBER(A935)),VLOOKUP(A935,Studies!A:BR,5,FALSE),"")</f>
        <v>Midazolam</v>
      </c>
      <c r="F935" s="207" t="str">
        <f>IF(AND(A935&lt;&gt;"",ISNUMBER(A935)),VLOOKUP(A935,Studies!A:BR,6,FALSE),"")</f>
        <v>Plasma</v>
      </c>
      <c r="G935" s="194">
        <v>1.5</v>
      </c>
      <c r="H935" s="194" t="s">
        <v>60</v>
      </c>
      <c r="I935" s="187">
        <v>55</v>
      </c>
      <c r="J935" s="187" t="s">
        <v>1026</v>
      </c>
      <c r="K935" s="187" t="s">
        <v>264</v>
      </c>
      <c r="L935" s="195"/>
      <c r="M935" s="195"/>
      <c r="N935" s="195"/>
      <c r="O935" s="199"/>
      <c r="P935" s="188"/>
      <c r="Q935" s="174">
        <f>IF(ISNUMBER(VLOOKUP(A935,NotghiID!A:A,1,FALSE)),1,0)</f>
        <v>0</v>
      </c>
    </row>
    <row r="936" spans="1:17" ht="14.25" x14ac:dyDescent="0.2">
      <c r="A936" s="183">
        <v>250</v>
      </c>
      <c r="B936" s="232" t="str">
        <f>IF(AND(A936&lt;&gt;"",ISNUMBER(A936)),VLOOKUP(A936,Studies!A:BR,2,FALSE),"")</f>
        <v>Heizmann 1983</v>
      </c>
      <c r="C936" s="232" t="str">
        <f>IF(AND(A936&lt;&gt;"",ISNUMBER(A936)),VLOOKUP(A936,Studies!A:BR,3,FALSE),"")</f>
        <v>http://www.ncbi.nlm.nih.gov/pubmed/6138080</v>
      </c>
      <c r="D936" s="232" t="str">
        <f>IF(AND(A936&lt;&gt;"",ISNUMBER(A936)),VLOOKUP(A936,Studies!A:BR,4,FALSE),"")</f>
        <v>po 10 mg - Indiv. O.A.</v>
      </c>
      <c r="E936" s="206" t="str">
        <f>IF(AND(A936&lt;&gt;"",ISNUMBER(A936)),VLOOKUP(A936,Studies!A:BR,5,FALSE),"")</f>
        <v>Midazolam</v>
      </c>
      <c r="F936" s="207" t="str">
        <f>IF(AND(A936&lt;&gt;"",ISNUMBER(A936)),VLOOKUP(A936,Studies!A:BR,6,FALSE),"")</f>
        <v>Plasma</v>
      </c>
      <c r="G936" s="194">
        <v>2</v>
      </c>
      <c r="H936" s="194" t="s">
        <v>60</v>
      </c>
      <c r="I936" s="187">
        <v>43</v>
      </c>
      <c r="J936" s="187" t="s">
        <v>1026</v>
      </c>
      <c r="K936" s="187" t="s">
        <v>264</v>
      </c>
      <c r="L936" s="195"/>
      <c r="M936" s="195"/>
      <c r="N936" s="195"/>
      <c r="O936" s="199"/>
      <c r="P936" s="188"/>
      <c r="Q936" s="174">
        <f>IF(ISNUMBER(VLOOKUP(A936,NotghiID!A:A,1,FALSE)),1,0)</f>
        <v>0</v>
      </c>
    </row>
    <row r="937" spans="1:17" ht="14.25" x14ac:dyDescent="0.2">
      <c r="A937" s="183">
        <v>250</v>
      </c>
      <c r="B937" s="232" t="str">
        <f>IF(AND(A937&lt;&gt;"",ISNUMBER(A937)),VLOOKUP(A937,Studies!A:BR,2,FALSE),"")</f>
        <v>Heizmann 1983</v>
      </c>
      <c r="C937" s="232" t="str">
        <f>IF(AND(A937&lt;&gt;"",ISNUMBER(A937)),VLOOKUP(A937,Studies!A:BR,3,FALSE),"")</f>
        <v>http://www.ncbi.nlm.nih.gov/pubmed/6138080</v>
      </c>
      <c r="D937" s="232" t="str">
        <f>IF(AND(A937&lt;&gt;"",ISNUMBER(A937)),VLOOKUP(A937,Studies!A:BR,4,FALSE),"")</f>
        <v>po 10 mg - Indiv. O.A.</v>
      </c>
      <c r="E937" s="206" t="str">
        <f>IF(AND(A937&lt;&gt;"",ISNUMBER(A937)),VLOOKUP(A937,Studies!A:BR,5,FALSE),"")</f>
        <v>Midazolam</v>
      </c>
      <c r="F937" s="207" t="str">
        <f>IF(AND(A937&lt;&gt;"",ISNUMBER(A937)),VLOOKUP(A937,Studies!A:BR,6,FALSE),"")</f>
        <v>Plasma</v>
      </c>
      <c r="G937" s="194">
        <v>3</v>
      </c>
      <c r="H937" s="194" t="s">
        <v>60</v>
      </c>
      <c r="I937" s="187">
        <v>24</v>
      </c>
      <c r="J937" s="187" t="s">
        <v>1026</v>
      </c>
      <c r="K937" s="187" t="s">
        <v>264</v>
      </c>
      <c r="L937" s="195"/>
      <c r="M937" s="195"/>
      <c r="N937" s="195"/>
      <c r="O937" s="199"/>
      <c r="P937" s="188"/>
      <c r="Q937" s="174">
        <f>IF(ISNUMBER(VLOOKUP(A937,NotghiID!A:A,1,FALSE)),1,0)</f>
        <v>0</v>
      </c>
    </row>
    <row r="938" spans="1:17" ht="14.25" x14ac:dyDescent="0.2">
      <c r="A938" s="183">
        <v>250</v>
      </c>
      <c r="B938" s="232" t="str">
        <f>IF(AND(A938&lt;&gt;"",ISNUMBER(A938)),VLOOKUP(A938,Studies!A:BR,2,FALSE),"")</f>
        <v>Heizmann 1983</v>
      </c>
      <c r="C938" s="232" t="str">
        <f>IF(AND(A938&lt;&gt;"",ISNUMBER(A938)),VLOOKUP(A938,Studies!A:BR,3,FALSE),"")</f>
        <v>http://www.ncbi.nlm.nih.gov/pubmed/6138080</v>
      </c>
      <c r="D938" s="232" t="str">
        <f>IF(AND(A938&lt;&gt;"",ISNUMBER(A938)),VLOOKUP(A938,Studies!A:BR,4,FALSE),"")</f>
        <v>po 10 mg - Indiv. O.A.</v>
      </c>
      <c r="E938" s="206" t="str">
        <f>IF(AND(A938&lt;&gt;"",ISNUMBER(A938)),VLOOKUP(A938,Studies!A:BR,5,FALSE),"")</f>
        <v>Midazolam</v>
      </c>
      <c r="F938" s="207" t="str">
        <f>IF(AND(A938&lt;&gt;"",ISNUMBER(A938)),VLOOKUP(A938,Studies!A:BR,6,FALSE),"")</f>
        <v>Plasma</v>
      </c>
      <c r="G938" s="194">
        <v>4</v>
      </c>
      <c r="H938" s="194" t="s">
        <v>60</v>
      </c>
      <c r="I938" s="187">
        <v>15</v>
      </c>
      <c r="J938" s="187" t="s">
        <v>1026</v>
      </c>
      <c r="K938" s="187" t="s">
        <v>264</v>
      </c>
      <c r="L938" s="195"/>
      <c r="M938" s="195"/>
      <c r="N938" s="195"/>
      <c r="O938" s="199"/>
      <c r="P938" s="188"/>
      <c r="Q938" s="174">
        <f>IF(ISNUMBER(VLOOKUP(A938,NotghiID!A:A,1,FALSE)),1,0)</f>
        <v>0</v>
      </c>
    </row>
    <row r="939" spans="1:17" ht="14.25" x14ac:dyDescent="0.2">
      <c r="A939" s="183">
        <v>250</v>
      </c>
      <c r="B939" s="232" t="str">
        <f>IF(AND(A939&lt;&gt;"",ISNUMBER(A939)),VLOOKUP(A939,Studies!A:BR,2,FALSE),"")</f>
        <v>Heizmann 1983</v>
      </c>
      <c r="C939" s="232" t="str">
        <f>IF(AND(A939&lt;&gt;"",ISNUMBER(A939)),VLOOKUP(A939,Studies!A:BR,3,FALSE),"")</f>
        <v>http://www.ncbi.nlm.nih.gov/pubmed/6138080</v>
      </c>
      <c r="D939" s="232" t="str">
        <f>IF(AND(A939&lt;&gt;"",ISNUMBER(A939)),VLOOKUP(A939,Studies!A:BR,4,FALSE),"")</f>
        <v>po 10 mg - Indiv. O.A.</v>
      </c>
      <c r="E939" s="206" t="str">
        <f>IF(AND(A939&lt;&gt;"",ISNUMBER(A939)),VLOOKUP(A939,Studies!A:BR,5,FALSE),"")</f>
        <v>Midazolam</v>
      </c>
      <c r="F939" s="207" t="str">
        <f>IF(AND(A939&lt;&gt;"",ISNUMBER(A939)),VLOOKUP(A939,Studies!A:BR,6,FALSE),"")</f>
        <v>Plasma</v>
      </c>
      <c r="G939" s="194">
        <v>5</v>
      </c>
      <c r="H939" s="194" t="s">
        <v>60</v>
      </c>
      <c r="I939" s="187">
        <v>12</v>
      </c>
      <c r="J939" s="187" t="s">
        <v>1026</v>
      </c>
      <c r="K939" s="187" t="s">
        <v>264</v>
      </c>
      <c r="L939" s="195"/>
      <c r="M939" s="195"/>
      <c r="N939" s="195"/>
      <c r="O939" s="199"/>
      <c r="P939" s="188"/>
      <c r="Q939" s="174">
        <f>IF(ISNUMBER(VLOOKUP(A939,NotghiID!A:A,1,FALSE)),1,0)</f>
        <v>0</v>
      </c>
    </row>
    <row r="940" spans="1:17" ht="14.25" x14ac:dyDescent="0.2">
      <c r="A940" s="183">
        <v>250</v>
      </c>
      <c r="B940" s="232" t="str">
        <f>IF(AND(A940&lt;&gt;"",ISNUMBER(A940)),VLOOKUP(A940,Studies!A:BR,2,FALSE),"")</f>
        <v>Heizmann 1983</v>
      </c>
      <c r="C940" s="232" t="str">
        <f>IF(AND(A940&lt;&gt;"",ISNUMBER(A940)),VLOOKUP(A940,Studies!A:BR,3,FALSE),"")</f>
        <v>http://www.ncbi.nlm.nih.gov/pubmed/6138080</v>
      </c>
      <c r="D940" s="232" t="str">
        <f>IF(AND(A940&lt;&gt;"",ISNUMBER(A940)),VLOOKUP(A940,Studies!A:BR,4,FALSE),"")</f>
        <v>po 10 mg - Indiv. O.A.</v>
      </c>
      <c r="E940" s="206" t="str">
        <f>IF(AND(A940&lt;&gt;"",ISNUMBER(A940)),VLOOKUP(A940,Studies!A:BR,5,FALSE),"")</f>
        <v>Midazolam</v>
      </c>
      <c r="F940" s="207" t="str">
        <f>IF(AND(A940&lt;&gt;"",ISNUMBER(A940)),VLOOKUP(A940,Studies!A:BR,6,FALSE),"")</f>
        <v>Plasma</v>
      </c>
      <c r="G940" s="194">
        <v>6</v>
      </c>
      <c r="H940" s="194" t="s">
        <v>60</v>
      </c>
      <c r="I940" s="187">
        <v>8</v>
      </c>
      <c r="J940" s="187" t="s">
        <v>1026</v>
      </c>
      <c r="K940" s="187" t="s">
        <v>264</v>
      </c>
      <c r="L940" s="195"/>
      <c r="M940" s="195"/>
      <c r="N940" s="195"/>
      <c r="O940" s="199"/>
      <c r="P940" s="188"/>
      <c r="Q940" s="174">
        <f>IF(ISNUMBER(VLOOKUP(A940,NotghiID!A:A,1,FALSE)),1,0)</f>
        <v>0</v>
      </c>
    </row>
    <row r="941" spans="1:17" ht="14.25" x14ac:dyDescent="0.2">
      <c r="A941" s="183">
        <v>250</v>
      </c>
      <c r="B941" s="232" t="str">
        <f>IF(AND(A941&lt;&gt;"",ISNUMBER(A941)),VLOOKUP(A941,Studies!A:BR,2,FALSE),"")</f>
        <v>Heizmann 1983</v>
      </c>
      <c r="C941" s="232" t="str">
        <f>IF(AND(A941&lt;&gt;"",ISNUMBER(A941)),VLOOKUP(A941,Studies!A:BR,3,FALSE),"")</f>
        <v>http://www.ncbi.nlm.nih.gov/pubmed/6138080</v>
      </c>
      <c r="D941" s="232" t="str">
        <f>IF(AND(A941&lt;&gt;"",ISNUMBER(A941)),VLOOKUP(A941,Studies!A:BR,4,FALSE),"")</f>
        <v>po 10 mg - Indiv. O.A.</v>
      </c>
      <c r="E941" s="206" t="str">
        <f>IF(AND(A941&lt;&gt;"",ISNUMBER(A941)),VLOOKUP(A941,Studies!A:BR,5,FALSE),"")</f>
        <v>Midazolam</v>
      </c>
      <c r="F941" s="207" t="str">
        <f>IF(AND(A941&lt;&gt;"",ISNUMBER(A941)),VLOOKUP(A941,Studies!A:BR,6,FALSE),"")</f>
        <v>Plasma</v>
      </c>
      <c r="G941" s="194">
        <v>8</v>
      </c>
      <c r="H941" s="194" t="s">
        <v>60</v>
      </c>
      <c r="I941" s="187">
        <v>4</v>
      </c>
      <c r="J941" s="187" t="s">
        <v>1026</v>
      </c>
      <c r="K941" s="187" t="s">
        <v>264</v>
      </c>
      <c r="L941" s="195"/>
      <c r="M941" s="195"/>
      <c r="N941" s="195"/>
      <c r="O941" s="199"/>
      <c r="P941" s="188"/>
      <c r="Q941" s="174">
        <f>IF(ISNUMBER(VLOOKUP(A941,NotghiID!A:A,1,FALSE)),1,0)</f>
        <v>0</v>
      </c>
    </row>
    <row r="942" spans="1:17" ht="14.25" x14ac:dyDescent="0.2">
      <c r="A942" s="183">
        <v>250</v>
      </c>
      <c r="B942" s="232" t="str">
        <f>IF(AND(A942&lt;&gt;"",ISNUMBER(A942)),VLOOKUP(A942,Studies!A:BR,2,FALSE),"")</f>
        <v>Heizmann 1983</v>
      </c>
      <c r="C942" s="232" t="str">
        <f>IF(AND(A942&lt;&gt;"",ISNUMBER(A942)),VLOOKUP(A942,Studies!A:BR,3,FALSE),"")</f>
        <v>http://www.ncbi.nlm.nih.gov/pubmed/6138080</v>
      </c>
      <c r="D942" s="232" t="str">
        <f>IF(AND(A942&lt;&gt;"",ISNUMBER(A942)),VLOOKUP(A942,Studies!A:BR,4,FALSE),"")</f>
        <v>po 10 mg - Indiv. O.A.</v>
      </c>
      <c r="E942" s="206" t="str">
        <f>IF(AND(A942&lt;&gt;"",ISNUMBER(A942)),VLOOKUP(A942,Studies!A:BR,5,FALSE),"")</f>
        <v>Midazolam</v>
      </c>
      <c r="F942" s="207" t="str">
        <f>IF(AND(A942&lt;&gt;"",ISNUMBER(A942)),VLOOKUP(A942,Studies!A:BR,6,FALSE),"")</f>
        <v>Plasma</v>
      </c>
      <c r="G942" s="194">
        <v>10</v>
      </c>
      <c r="H942" s="194" t="s">
        <v>60</v>
      </c>
      <c r="I942" s="187" t="s">
        <v>1119</v>
      </c>
      <c r="J942" s="187" t="s">
        <v>1026</v>
      </c>
      <c r="K942" s="187" t="s">
        <v>264</v>
      </c>
      <c r="L942" s="195"/>
      <c r="M942" s="195"/>
      <c r="N942" s="195"/>
      <c r="O942" s="199">
        <v>1</v>
      </c>
      <c r="P942" s="188"/>
      <c r="Q942" s="174">
        <f>IF(ISNUMBER(VLOOKUP(A942,NotghiID!A:A,1,FALSE)),1,0)</f>
        <v>0</v>
      </c>
    </row>
    <row r="943" spans="1:17" ht="14.25" x14ac:dyDescent="0.2">
      <c r="A943" s="183">
        <v>250</v>
      </c>
      <c r="B943" s="232" t="str">
        <f>IF(AND(A943&lt;&gt;"",ISNUMBER(A943)),VLOOKUP(A943,Studies!A:BR,2,FALSE),"")</f>
        <v>Heizmann 1983</v>
      </c>
      <c r="C943" s="232" t="str">
        <f>IF(AND(A943&lt;&gt;"",ISNUMBER(A943)),VLOOKUP(A943,Studies!A:BR,3,FALSE),"")</f>
        <v>http://www.ncbi.nlm.nih.gov/pubmed/6138080</v>
      </c>
      <c r="D943" s="232" t="str">
        <f>IF(AND(A943&lt;&gt;"",ISNUMBER(A943)),VLOOKUP(A943,Studies!A:BR,4,FALSE),"")</f>
        <v>po 10 mg - Indiv. O.A.</v>
      </c>
      <c r="E943" s="206" t="str">
        <f>IF(AND(A943&lt;&gt;"",ISNUMBER(A943)),VLOOKUP(A943,Studies!A:BR,5,FALSE),"")</f>
        <v>Midazolam</v>
      </c>
      <c r="F943" s="207" t="str">
        <f>IF(AND(A943&lt;&gt;"",ISNUMBER(A943)),VLOOKUP(A943,Studies!A:BR,6,FALSE),"")</f>
        <v>Plasma</v>
      </c>
      <c r="G943" s="194">
        <v>12</v>
      </c>
      <c r="H943" s="194" t="s">
        <v>60</v>
      </c>
      <c r="I943" s="187" t="s">
        <v>1119</v>
      </c>
      <c r="J943" s="187" t="s">
        <v>1026</v>
      </c>
      <c r="K943" s="187" t="s">
        <v>264</v>
      </c>
      <c r="L943" s="195"/>
      <c r="M943" s="195"/>
      <c r="N943" s="195"/>
      <c r="O943" s="199">
        <v>1</v>
      </c>
      <c r="P943" s="188"/>
      <c r="Q943" s="174">
        <f>IF(ISNUMBER(VLOOKUP(A943,NotghiID!A:A,1,FALSE)),1,0)</f>
        <v>0</v>
      </c>
    </row>
    <row r="944" spans="1:17" ht="14.25" x14ac:dyDescent="0.2">
      <c r="A944" s="183">
        <v>256</v>
      </c>
      <c r="B944" s="232" t="str">
        <f>IF(AND(A944&lt;&gt;"",ISNUMBER(A944)),VLOOKUP(A944,Studies!A:BR,2,FALSE),"")</f>
        <v>Heizmann 1983</v>
      </c>
      <c r="C944" s="232" t="str">
        <f>IF(AND(A944&lt;&gt;"",ISNUMBER(A944)),VLOOKUP(A944,Studies!A:BR,3,FALSE),"")</f>
        <v>http://www.ncbi.nlm.nih.gov/pubmed/6138080</v>
      </c>
      <c r="D944" s="232" t="str">
        <f>IF(AND(A944&lt;&gt;"",ISNUMBER(A944)),VLOOKUP(A944,Studies!A:BR,4,FALSE),"")</f>
        <v>po 20 mg - Indiv. O.A.</v>
      </c>
      <c r="E944" s="206" t="str">
        <f>IF(AND(A944&lt;&gt;"",ISNUMBER(A944)),VLOOKUP(A944,Studies!A:BR,5,FALSE),"")</f>
        <v>Midazolam</v>
      </c>
      <c r="F944" s="207" t="str">
        <f>IF(AND(A944&lt;&gt;"",ISNUMBER(A944)),VLOOKUP(A944,Studies!A:BR,6,FALSE),"")</f>
        <v>Plasma</v>
      </c>
      <c r="G944" s="194">
        <v>0.25</v>
      </c>
      <c r="H944" s="194" t="s">
        <v>60</v>
      </c>
      <c r="I944" s="187">
        <v>162</v>
      </c>
      <c r="J944" s="187" t="s">
        <v>1026</v>
      </c>
      <c r="K944" s="187" t="s">
        <v>264</v>
      </c>
      <c r="L944" s="195"/>
      <c r="M944" s="195"/>
      <c r="N944" s="195"/>
      <c r="O944" s="199"/>
      <c r="P944" s="188"/>
      <c r="Q944" s="174">
        <f>IF(ISNUMBER(VLOOKUP(A944,NotghiID!A:A,1,FALSE)),1,0)</f>
        <v>0</v>
      </c>
    </row>
    <row r="945" spans="1:17" ht="14.25" x14ac:dyDescent="0.2">
      <c r="A945" s="183">
        <v>256</v>
      </c>
      <c r="B945" s="232" t="str">
        <f>IF(AND(A945&lt;&gt;"",ISNUMBER(A945)),VLOOKUP(A945,Studies!A:BR,2,FALSE),"")</f>
        <v>Heizmann 1983</v>
      </c>
      <c r="C945" s="232" t="str">
        <f>IF(AND(A945&lt;&gt;"",ISNUMBER(A945)),VLOOKUP(A945,Studies!A:BR,3,FALSE),"")</f>
        <v>http://www.ncbi.nlm.nih.gov/pubmed/6138080</v>
      </c>
      <c r="D945" s="232" t="str">
        <f>IF(AND(A945&lt;&gt;"",ISNUMBER(A945)),VLOOKUP(A945,Studies!A:BR,4,FALSE),"")</f>
        <v>po 20 mg - Indiv. O.A.</v>
      </c>
      <c r="E945" s="206" t="str">
        <f>IF(AND(A945&lt;&gt;"",ISNUMBER(A945)),VLOOKUP(A945,Studies!A:BR,5,FALSE),"")</f>
        <v>Midazolam</v>
      </c>
      <c r="F945" s="207" t="str">
        <f>IF(AND(A945&lt;&gt;"",ISNUMBER(A945)),VLOOKUP(A945,Studies!A:BR,6,FALSE),"")</f>
        <v>Plasma</v>
      </c>
      <c r="G945" s="194">
        <v>0.5</v>
      </c>
      <c r="H945" s="194" t="s">
        <v>60</v>
      </c>
      <c r="I945" s="187">
        <v>139</v>
      </c>
      <c r="J945" s="187" t="s">
        <v>1026</v>
      </c>
      <c r="K945" s="187" t="s">
        <v>264</v>
      </c>
      <c r="L945" s="195"/>
      <c r="M945" s="195"/>
      <c r="N945" s="195"/>
      <c r="O945" s="199"/>
      <c r="P945" s="188"/>
      <c r="Q945" s="174">
        <f>IF(ISNUMBER(VLOOKUP(A945,NotghiID!A:A,1,FALSE)),1,0)</f>
        <v>0</v>
      </c>
    </row>
    <row r="946" spans="1:17" ht="14.25" x14ac:dyDescent="0.2">
      <c r="A946" s="183">
        <v>256</v>
      </c>
      <c r="B946" s="232" t="str">
        <f>IF(AND(A946&lt;&gt;"",ISNUMBER(A946)),VLOOKUP(A946,Studies!A:BR,2,FALSE),"")</f>
        <v>Heizmann 1983</v>
      </c>
      <c r="C946" s="232" t="str">
        <f>IF(AND(A946&lt;&gt;"",ISNUMBER(A946)),VLOOKUP(A946,Studies!A:BR,3,FALSE),"")</f>
        <v>http://www.ncbi.nlm.nih.gov/pubmed/6138080</v>
      </c>
      <c r="D946" s="232" t="str">
        <f>IF(AND(A946&lt;&gt;"",ISNUMBER(A946)),VLOOKUP(A946,Studies!A:BR,4,FALSE),"")</f>
        <v>po 20 mg - Indiv. O.A.</v>
      </c>
      <c r="E946" s="206" t="str">
        <f>IF(AND(A946&lt;&gt;"",ISNUMBER(A946)),VLOOKUP(A946,Studies!A:BR,5,FALSE),"")</f>
        <v>Midazolam</v>
      </c>
      <c r="F946" s="207" t="str">
        <f>IF(AND(A946&lt;&gt;"",ISNUMBER(A946)),VLOOKUP(A946,Studies!A:BR,6,FALSE),"")</f>
        <v>Plasma</v>
      </c>
      <c r="G946" s="194">
        <v>0.75</v>
      </c>
      <c r="H946" s="194" t="s">
        <v>60</v>
      </c>
      <c r="I946" s="187">
        <v>110</v>
      </c>
      <c r="J946" s="187" t="s">
        <v>1026</v>
      </c>
      <c r="K946" s="187" t="s">
        <v>264</v>
      </c>
      <c r="L946" s="195"/>
      <c r="M946" s="195"/>
      <c r="N946" s="195"/>
      <c r="O946" s="199"/>
      <c r="P946" s="188"/>
      <c r="Q946" s="174">
        <f>IF(ISNUMBER(VLOOKUP(A946,NotghiID!A:A,1,FALSE)),1,0)</f>
        <v>0</v>
      </c>
    </row>
    <row r="947" spans="1:17" ht="14.25" x14ac:dyDescent="0.2">
      <c r="A947" s="183">
        <v>256</v>
      </c>
      <c r="B947" s="232" t="str">
        <f>IF(AND(A947&lt;&gt;"",ISNUMBER(A947)),VLOOKUP(A947,Studies!A:BR,2,FALSE),"")</f>
        <v>Heizmann 1983</v>
      </c>
      <c r="C947" s="232" t="str">
        <f>IF(AND(A947&lt;&gt;"",ISNUMBER(A947)),VLOOKUP(A947,Studies!A:BR,3,FALSE),"")</f>
        <v>http://www.ncbi.nlm.nih.gov/pubmed/6138080</v>
      </c>
      <c r="D947" s="232" t="str">
        <f>IF(AND(A947&lt;&gt;"",ISNUMBER(A947)),VLOOKUP(A947,Studies!A:BR,4,FALSE),"")</f>
        <v>po 20 mg - Indiv. O.A.</v>
      </c>
      <c r="E947" s="206" t="str">
        <f>IF(AND(A947&lt;&gt;"",ISNUMBER(A947)),VLOOKUP(A947,Studies!A:BR,5,FALSE),"")</f>
        <v>Midazolam</v>
      </c>
      <c r="F947" s="207" t="str">
        <f>IF(AND(A947&lt;&gt;"",ISNUMBER(A947)),VLOOKUP(A947,Studies!A:BR,6,FALSE),"")</f>
        <v>Plasma</v>
      </c>
      <c r="G947" s="194">
        <v>1</v>
      </c>
      <c r="H947" s="194" t="s">
        <v>60</v>
      </c>
      <c r="I947" s="187">
        <v>99</v>
      </c>
      <c r="J947" s="187" t="s">
        <v>1026</v>
      </c>
      <c r="K947" s="187" t="s">
        <v>264</v>
      </c>
      <c r="L947" s="195"/>
      <c r="M947" s="195"/>
      <c r="N947" s="195"/>
      <c r="O947" s="199"/>
      <c r="P947" s="188"/>
      <c r="Q947" s="174">
        <f>IF(ISNUMBER(VLOOKUP(A947,NotghiID!A:A,1,FALSE)),1,0)</f>
        <v>0</v>
      </c>
    </row>
    <row r="948" spans="1:17" ht="14.25" x14ac:dyDescent="0.2">
      <c r="A948" s="183">
        <v>256</v>
      </c>
      <c r="B948" s="232" t="str">
        <f>IF(AND(A948&lt;&gt;"",ISNUMBER(A948)),VLOOKUP(A948,Studies!A:BR,2,FALSE),"")</f>
        <v>Heizmann 1983</v>
      </c>
      <c r="C948" s="232" t="str">
        <f>IF(AND(A948&lt;&gt;"",ISNUMBER(A948)),VLOOKUP(A948,Studies!A:BR,3,FALSE),"")</f>
        <v>http://www.ncbi.nlm.nih.gov/pubmed/6138080</v>
      </c>
      <c r="D948" s="232" t="str">
        <f>IF(AND(A948&lt;&gt;"",ISNUMBER(A948)),VLOOKUP(A948,Studies!A:BR,4,FALSE),"")</f>
        <v>po 20 mg - Indiv. O.A.</v>
      </c>
      <c r="E948" s="206" t="str">
        <f>IF(AND(A948&lt;&gt;"",ISNUMBER(A948)),VLOOKUP(A948,Studies!A:BR,5,FALSE),"")</f>
        <v>Midazolam</v>
      </c>
      <c r="F948" s="207" t="str">
        <f>IF(AND(A948&lt;&gt;"",ISNUMBER(A948)),VLOOKUP(A948,Studies!A:BR,6,FALSE),"")</f>
        <v>Plasma</v>
      </c>
      <c r="G948" s="194">
        <v>1.5</v>
      </c>
      <c r="H948" s="194" t="s">
        <v>60</v>
      </c>
      <c r="I948" s="187">
        <v>79</v>
      </c>
      <c r="J948" s="187" t="s">
        <v>1026</v>
      </c>
      <c r="K948" s="187" t="s">
        <v>264</v>
      </c>
      <c r="L948" s="195"/>
      <c r="M948" s="195"/>
      <c r="N948" s="195"/>
      <c r="O948" s="199"/>
      <c r="P948" s="188"/>
      <c r="Q948" s="174">
        <f>IF(ISNUMBER(VLOOKUP(A948,NotghiID!A:A,1,FALSE)),1,0)</f>
        <v>0</v>
      </c>
    </row>
    <row r="949" spans="1:17" ht="14.25" x14ac:dyDescent="0.2">
      <c r="A949" s="183">
        <v>256</v>
      </c>
      <c r="B949" s="232" t="str">
        <f>IF(AND(A949&lt;&gt;"",ISNUMBER(A949)),VLOOKUP(A949,Studies!A:BR,2,FALSE),"")</f>
        <v>Heizmann 1983</v>
      </c>
      <c r="C949" s="232" t="str">
        <f>IF(AND(A949&lt;&gt;"",ISNUMBER(A949)),VLOOKUP(A949,Studies!A:BR,3,FALSE),"")</f>
        <v>http://www.ncbi.nlm.nih.gov/pubmed/6138080</v>
      </c>
      <c r="D949" s="232" t="str">
        <f>IF(AND(A949&lt;&gt;"",ISNUMBER(A949)),VLOOKUP(A949,Studies!A:BR,4,FALSE),"")</f>
        <v>po 20 mg - Indiv. O.A.</v>
      </c>
      <c r="E949" s="206" t="str">
        <f>IF(AND(A949&lt;&gt;"",ISNUMBER(A949)),VLOOKUP(A949,Studies!A:BR,5,FALSE),"")</f>
        <v>Midazolam</v>
      </c>
      <c r="F949" s="207" t="str">
        <f>IF(AND(A949&lt;&gt;"",ISNUMBER(A949)),VLOOKUP(A949,Studies!A:BR,6,FALSE),"")</f>
        <v>Plasma</v>
      </c>
      <c r="G949" s="194">
        <v>2</v>
      </c>
      <c r="H949" s="194" t="s">
        <v>60</v>
      </c>
      <c r="I949" s="187">
        <v>75</v>
      </c>
      <c r="J949" s="187" t="s">
        <v>1026</v>
      </c>
      <c r="K949" s="187" t="s">
        <v>264</v>
      </c>
      <c r="L949" s="195"/>
      <c r="M949" s="195"/>
      <c r="N949" s="195"/>
      <c r="O949" s="199"/>
      <c r="P949" s="188"/>
      <c r="Q949" s="174">
        <f>IF(ISNUMBER(VLOOKUP(A949,NotghiID!A:A,1,FALSE)),1,0)</f>
        <v>0</v>
      </c>
    </row>
    <row r="950" spans="1:17" ht="14.25" x14ac:dyDescent="0.2">
      <c r="A950" s="183">
        <v>256</v>
      </c>
      <c r="B950" s="232" t="str">
        <f>IF(AND(A950&lt;&gt;"",ISNUMBER(A950)),VLOOKUP(A950,Studies!A:BR,2,FALSE),"")</f>
        <v>Heizmann 1983</v>
      </c>
      <c r="C950" s="232" t="str">
        <f>IF(AND(A950&lt;&gt;"",ISNUMBER(A950)),VLOOKUP(A950,Studies!A:BR,3,FALSE),"")</f>
        <v>http://www.ncbi.nlm.nih.gov/pubmed/6138080</v>
      </c>
      <c r="D950" s="232" t="str">
        <f>IF(AND(A950&lt;&gt;"",ISNUMBER(A950)),VLOOKUP(A950,Studies!A:BR,4,FALSE),"")</f>
        <v>po 20 mg - Indiv. O.A.</v>
      </c>
      <c r="E950" s="206" t="str">
        <f>IF(AND(A950&lt;&gt;"",ISNUMBER(A950)),VLOOKUP(A950,Studies!A:BR,5,FALSE),"")</f>
        <v>Midazolam</v>
      </c>
      <c r="F950" s="207" t="str">
        <f>IF(AND(A950&lt;&gt;"",ISNUMBER(A950)),VLOOKUP(A950,Studies!A:BR,6,FALSE),"")</f>
        <v>Plasma</v>
      </c>
      <c r="G950" s="194">
        <v>3</v>
      </c>
      <c r="H950" s="194" t="s">
        <v>60</v>
      </c>
      <c r="I950" s="187">
        <v>59</v>
      </c>
      <c r="J950" s="187" t="s">
        <v>1026</v>
      </c>
      <c r="K950" s="187" t="s">
        <v>264</v>
      </c>
      <c r="L950" s="195"/>
      <c r="M950" s="195"/>
      <c r="N950" s="195"/>
      <c r="O950" s="199"/>
      <c r="P950" s="188"/>
      <c r="Q950" s="174">
        <f>IF(ISNUMBER(VLOOKUP(A950,NotghiID!A:A,1,FALSE)),1,0)</f>
        <v>0</v>
      </c>
    </row>
    <row r="951" spans="1:17" ht="14.25" x14ac:dyDescent="0.2">
      <c r="A951" s="183">
        <v>256</v>
      </c>
      <c r="B951" s="232" t="str">
        <f>IF(AND(A951&lt;&gt;"",ISNUMBER(A951)),VLOOKUP(A951,Studies!A:BR,2,FALSE),"")</f>
        <v>Heizmann 1983</v>
      </c>
      <c r="C951" s="232" t="str">
        <f>IF(AND(A951&lt;&gt;"",ISNUMBER(A951)),VLOOKUP(A951,Studies!A:BR,3,FALSE),"")</f>
        <v>http://www.ncbi.nlm.nih.gov/pubmed/6138080</v>
      </c>
      <c r="D951" s="232" t="str">
        <f>IF(AND(A951&lt;&gt;"",ISNUMBER(A951)),VLOOKUP(A951,Studies!A:BR,4,FALSE),"")</f>
        <v>po 20 mg - Indiv. O.A.</v>
      </c>
      <c r="E951" s="206" t="str">
        <f>IF(AND(A951&lt;&gt;"",ISNUMBER(A951)),VLOOKUP(A951,Studies!A:BR,5,FALSE),"")</f>
        <v>Midazolam</v>
      </c>
      <c r="F951" s="207" t="str">
        <f>IF(AND(A951&lt;&gt;"",ISNUMBER(A951)),VLOOKUP(A951,Studies!A:BR,6,FALSE),"")</f>
        <v>Plasma</v>
      </c>
      <c r="G951" s="194">
        <v>4</v>
      </c>
      <c r="H951" s="194" t="s">
        <v>60</v>
      </c>
      <c r="I951" s="187">
        <v>46</v>
      </c>
      <c r="J951" s="187" t="s">
        <v>1026</v>
      </c>
      <c r="K951" s="187" t="s">
        <v>264</v>
      </c>
      <c r="L951" s="195"/>
      <c r="M951" s="195"/>
      <c r="N951" s="195"/>
      <c r="O951" s="199"/>
      <c r="P951" s="188"/>
      <c r="Q951" s="174">
        <f>IF(ISNUMBER(VLOOKUP(A951,NotghiID!A:A,1,FALSE)),1,0)</f>
        <v>0</v>
      </c>
    </row>
    <row r="952" spans="1:17" ht="14.25" x14ac:dyDescent="0.2">
      <c r="A952" s="183">
        <v>256</v>
      </c>
      <c r="B952" s="232" t="str">
        <f>IF(AND(A952&lt;&gt;"",ISNUMBER(A952)),VLOOKUP(A952,Studies!A:BR,2,FALSE),"")</f>
        <v>Heizmann 1983</v>
      </c>
      <c r="C952" s="232" t="str">
        <f>IF(AND(A952&lt;&gt;"",ISNUMBER(A952)),VLOOKUP(A952,Studies!A:BR,3,FALSE),"")</f>
        <v>http://www.ncbi.nlm.nih.gov/pubmed/6138080</v>
      </c>
      <c r="D952" s="232" t="str">
        <f>IF(AND(A952&lt;&gt;"",ISNUMBER(A952)),VLOOKUP(A952,Studies!A:BR,4,FALSE),"")</f>
        <v>po 20 mg - Indiv. O.A.</v>
      </c>
      <c r="E952" s="206" t="str">
        <f>IF(AND(A952&lt;&gt;"",ISNUMBER(A952)),VLOOKUP(A952,Studies!A:BR,5,FALSE),"")</f>
        <v>Midazolam</v>
      </c>
      <c r="F952" s="207" t="str">
        <f>IF(AND(A952&lt;&gt;"",ISNUMBER(A952)),VLOOKUP(A952,Studies!A:BR,6,FALSE),"")</f>
        <v>Plasma</v>
      </c>
      <c r="G952" s="194">
        <v>5</v>
      </c>
      <c r="H952" s="194" t="s">
        <v>60</v>
      </c>
      <c r="I952" s="187">
        <v>36</v>
      </c>
      <c r="J952" s="187" t="s">
        <v>1026</v>
      </c>
      <c r="K952" s="187" t="s">
        <v>264</v>
      </c>
      <c r="L952" s="195"/>
      <c r="M952" s="195"/>
      <c r="N952" s="195"/>
      <c r="O952" s="199"/>
      <c r="P952" s="188"/>
      <c r="Q952" s="174">
        <f>IF(ISNUMBER(VLOOKUP(A952,NotghiID!A:A,1,FALSE)),1,0)</f>
        <v>0</v>
      </c>
    </row>
    <row r="953" spans="1:17" ht="14.25" x14ac:dyDescent="0.2">
      <c r="A953" s="183">
        <v>256</v>
      </c>
      <c r="B953" s="232" t="str">
        <f>IF(AND(A953&lt;&gt;"",ISNUMBER(A953)),VLOOKUP(A953,Studies!A:BR,2,FALSE),"")</f>
        <v>Heizmann 1983</v>
      </c>
      <c r="C953" s="232" t="str">
        <f>IF(AND(A953&lt;&gt;"",ISNUMBER(A953)),VLOOKUP(A953,Studies!A:BR,3,FALSE),"")</f>
        <v>http://www.ncbi.nlm.nih.gov/pubmed/6138080</v>
      </c>
      <c r="D953" s="232" t="str">
        <f>IF(AND(A953&lt;&gt;"",ISNUMBER(A953)),VLOOKUP(A953,Studies!A:BR,4,FALSE),"")</f>
        <v>po 20 mg - Indiv. O.A.</v>
      </c>
      <c r="E953" s="206" t="str">
        <f>IF(AND(A953&lt;&gt;"",ISNUMBER(A953)),VLOOKUP(A953,Studies!A:BR,5,FALSE),"")</f>
        <v>Midazolam</v>
      </c>
      <c r="F953" s="207" t="str">
        <f>IF(AND(A953&lt;&gt;"",ISNUMBER(A953)),VLOOKUP(A953,Studies!A:BR,6,FALSE),"")</f>
        <v>Plasma</v>
      </c>
      <c r="G953" s="194">
        <v>6</v>
      </c>
      <c r="H953" s="194" t="s">
        <v>60</v>
      </c>
      <c r="I953" s="187">
        <v>26</v>
      </c>
      <c r="J953" s="187" t="s">
        <v>1026</v>
      </c>
      <c r="K953" s="187" t="s">
        <v>264</v>
      </c>
      <c r="L953" s="195"/>
      <c r="M953" s="195"/>
      <c r="N953" s="195"/>
      <c r="O953" s="199"/>
      <c r="P953" s="188"/>
      <c r="Q953" s="174">
        <f>IF(ISNUMBER(VLOOKUP(A953,NotghiID!A:A,1,FALSE)),1,0)</f>
        <v>0</v>
      </c>
    </row>
    <row r="954" spans="1:17" ht="14.25" x14ac:dyDescent="0.2">
      <c r="A954" s="183">
        <v>256</v>
      </c>
      <c r="B954" s="232" t="str">
        <f>IF(AND(A954&lt;&gt;"",ISNUMBER(A954)),VLOOKUP(A954,Studies!A:BR,2,FALSE),"")</f>
        <v>Heizmann 1983</v>
      </c>
      <c r="C954" s="232" t="str">
        <f>IF(AND(A954&lt;&gt;"",ISNUMBER(A954)),VLOOKUP(A954,Studies!A:BR,3,FALSE),"")</f>
        <v>http://www.ncbi.nlm.nih.gov/pubmed/6138080</v>
      </c>
      <c r="D954" s="232" t="str">
        <f>IF(AND(A954&lt;&gt;"",ISNUMBER(A954)),VLOOKUP(A954,Studies!A:BR,4,FALSE),"")</f>
        <v>po 20 mg - Indiv. O.A.</v>
      </c>
      <c r="E954" s="206" t="str">
        <f>IF(AND(A954&lt;&gt;"",ISNUMBER(A954)),VLOOKUP(A954,Studies!A:BR,5,FALSE),"")</f>
        <v>Midazolam</v>
      </c>
      <c r="F954" s="207" t="str">
        <f>IF(AND(A954&lt;&gt;"",ISNUMBER(A954)),VLOOKUP(A954,Studies!A:BR,6,FALSE),"")</f>
        <v>Plasma</v>
      </c>
      <c r="G954" s="194">
        <v>8</v>
      </c>
      <c r="H954" s="194" t="s">
        <v>60</v>
      </c>
      <c r="I954" s="187">
        <v>14</v>
      </c>
      <c r="J954" s="187" t="s">
        <v>1026</v>
      </c>
      <c r="K954" s="187" t="s">
        <v>264</v>
      </c>
      <c r="L954" s="195"/>
      <c r="M954" s="195"/>
      <c r="N954" s="195"/>
      <c r="O954" s="199"/>
      <c r="P954" s="188"/>
      <c r="Q954" s="174">
        <f>IF(ISNUMBER(VLOOKUP(A954,NotghiID!A:A,1,FALSE)),1,0)</f>
        <v>0</v>
      </c>
    </row>
    <row r="955" spans="1:17" ht="14.25" x14ac:dyDescent="0.2">
      <c r="A955" s="183">
        <v>256</v>
      </c>
      <c r="B955" s="232" t="str">
        <f>IF(AND(A955&lt;&gt;"",ISNUMBER(A955)),VLOOKUP(A955,Studies!A:BR,2,FALSE),"")</f>
        <v>Heizmann 1983</v>
      </c>
      <c r="C955" s="232" t="str">
        <f>IF(AND(A955&lt;&gt;"",ISNUMBER(A955)),VLOOKUP(A955,Studies!A:BR,3,FALSE),"")</f>
        <v>http://www.ncbi.nlm.nih.gov/pubmed/6138080</v>
      </c>
      <c r="D955" s="232" t="str">
        <f>IF(AND(A955&lt;&gt;"",ISNUMBER(A955)),VLOOKUP(A955,Studies!A:BR,4,FALSE),"")</f>
        <v>po 20 mg - Indiv. O.A.</v>
      </c>
      <c r="E955" s="206" t="str">
        <f>IF(AND(A955&lt;&gt;"",ISNUMBER(A955)),VLOOKUP(A955,Studies!A:BR,5,FALSE),"")</f>
        <v>Midazolam</v>
      </c>
      <c r="F955" s="207" t="str">
        <f>IF(AND(A955&lt;&gt;"",ISNUMBER(A955)),VLOOKUP(A955,Studies!A:BR,6,FALSE),"")</f>
        <v>Plasma</v>
      </c>
      <c r="G955" s="194">
        <v>10</v>
      </c>
      <c r="H955" s="194" t="s">
        <v>60</v>
      </c>
      <c r="I955" s="187">
        <v>8</v>
      </c>
      <c r="J955" s="187" t="s">
        <v>1026</v>
      </c>
      <c r="K955" s="187" t="s">
        <v>264</v>
      </c>
      <c r="L955" s="195"/>
      <c r="M955" s="195"/>
      <c r="N955" s="195"/>
      <c r="O955" s="199"/>
      <c r="P955" s="188"/>
      <c r="Q955" s="174">
        <f>IF(ISNUMBER(VLOOKUP(A955,NotghiID!A:A,1,FALSE)),1,0)</f>
        <v>0</v>
      </c>
    </row>
    <row r="956" spans="1:17" ht="14.25" x14ac:dyDescent="0.2">
      <c r="A956" s="183">
        <v>256</v>
      </c>
      <c r="B956" s="232" t="str">
        <f>IF(AND(A956&lt;&gt;"",ISNUMBER(A956)),VLOOKUP(A956,Studies!A:BR,2,FALSE),"")</f>
        <v>Heizmann 1983</v>
      </c>
      <c r="C956" s="232" t="str">
        <f>IF(AND(A956&lt;&gt;"",ISNUMBER(A956)),VLOOKUP(A956,Studies!A:BR,3,FALSE),"")</f>
        <v>http://www.ncbi.nlm.nih.gov/pubmed/6138080</v>
      </c>
      <c r="D956" s="232" t="str">
        <f>IF(AND(A956&lt;&gt;"",ISNUMBER(A956)),VLOOKUP(A956,Studies!A:BR,4,FALSE),"")</f>
        <v>po 20 mg - Indiv. O.A.</v>
      </c>
      <c r="E956" s="206" t="str">
        <f>IF(AND(A956&lt;&gt;"",ISNUMBER(A956)),VLOOKUP(A956,Studies!A:BR,5,FALSE),"")</f>
        <v>Midazolam</v>
      </c>
      <c r="F956" s="207" t="str">
        <f>IF(AND(A956&lt;&gt;"",ISNUMBER(A956)),VLOOKUP(A956,Studies!A:BR,6,FALSE),"")</f>
        <v>Plasma</v>
      </c>
      <c r="G956" s="194">
        <v>12</v>
      </c>
      <c r="H956" s="194" t="s">
        <v>60</v>
      </c>
      <c r="I956" s="187">
        <v>4</v>
      </c>
      <c r="J956" s="187" t="s">
        <v>1026</v>
      </c>
      <c r="K956" s="187" t="s">
        <v>264</v>
      </c>
      <c r="L956" s="195"/>
      <c r="M956" s="195"/>
      <c r="N956" s="195"/>
      <c r="O956" s="199"/>
      <c r="P956" s="188"/>
      <c r="Q956" s="174">
        <f>IF(ISNUMBER(VLOOKUP(A956,NotghiID!A:A,1,FALSE)),1,0)</f>
        <v>0</v>
      </c>
    </row>
    <row r="957" spans="1:17" ht="14.25" x14ac:dyDescent="0.2">
      <c r="A957" s="183">
        <v>246</v>
      </c>
      <c r="B957" s="232" t="str">
        <f>IF(AND(A957&lt;&gt;"",ISNUMBER(A957)),VLOOKUP(A957,Studies!A:BR,2,FALSE),"")</f>
        <v>Heizmann 1983</v>
      </c>
      <c r="C957" s="232" t="str">
        <f>IF(AND(A957&lt;&gt;"",ISNUMBER(A957)),VLOOKUP(A957,Studies!A:BR,3,FALSE),"")</f>
        <v>http://www.ncbi.nlm.nih.gov/pubmed/6138080</v>
      </c>
      <c r="D957" s="232" t="str">
        <f>IF(AND(A957&lt;&gt;"",ISNUMBER(A957)),VLOOKUP(A957,Studies!A:BR,4,FALSE),"")</f>
        <v>iv 0.15 mg/kg - Indiv. R.H.</v>
      </c>
      <c r="E957" s="206" t="str">
        <f>IF(AND(A957&lt;&gt;"",ISNUMBER(A957)),VLOOKUP(A957,Studies!A:BR,5,FALSE),"")</f>
        <v>Midazolam</v>
      </c>
      <c r="F957" s="207" t="str">
        <f>IF(AND(A957&lt;&gt;"",ISNUMBER(A957)),VLOOKUP(A957,Studies!A:BR,6,FALSE),"")</f>
        <v>Plasma</v>
      </c>
      <c r="G957" s="194">
        <v>8.3333329999999997E-2</v>
      </c>
      <c r="H957" s="194" t="s">
        <v>60</v>
      </c>
      <c r="I957" s="187">
        <v>291</v>
      </c>
      <c r="J957" s="187" t="s">
        <v>1026</v>
      </c>
      <c r="K957" s="187" t="s">
        <v>264</v>
      </c>
      <c r="L957" s="195"/>
      <c r="M957" s="195"/>
      <c r="N957" s="195"/>
      <c r="O957" s="199"/>
      <c r="P957" s="188"/>
      <c r="Q957" s="174">
        <f>IF(ISNUMBER(VLOOKUP(A957,NotghiID!A:A,1,FALSE)),1,0)</f>
        <v>0</v>
      </c>
    </row>
    <row r="958" spans="1:17" ht="14.25" x14ac:dyDescent="0.2">
      <c r="A958" s="183">
        <v>246</v>
      </c>
      <c r="B958" s="232" t="str">
        <f>IF(AND(A958&lt;&gt;"",ISNUMBER(A958)),VLOOKUP(A958,Studies!A:BR,2,FALSE),"")</f>
        <v>Heizmann 1983</v>
      </c>
      <c r="C958" s="232" t="str">
        <f>IF(AND(A958&lt;&gt;"",ISNUMBER(A958)),VLOOKUP(A958,Studies!A:BR,3,FALSE),"")</f>
        <v>http://www.ncbi.nlm.nih.gov/pubmed/6138080</v>
      </c>
      <c r="D958" s="232" t="str">
        <f>IF(AND(A958&lt;&gt;"",ISNUMBER(A958)),VLOOKUP(A958,Studies!A:BR,4,FALSE),"")</f>
        <v>iv 0.15 mg/kg - Indiv. R.H.</v>
      </c>
      <c r="E958" s="206" t="str">
        <f>IF(AND(A958&lt;&gt;"",ISNUMBER(A958)),VLOOKUP(A958,Studies!A:BR,5,FALSE),"")</f>
        <v>Midazolam</v>
      </c>
      <c r="F958" s="207" t="str">
        <f>IF(AND(A958&lt;&gt;"",ISNUMBER(A958)),VLOOKUP(A958,Studies!A:BR,6,FALSE),"")</f>
        <v>Plasma</v>
      </c>
      <c r="G958" s="194">
        <v>0.16666666999999999</v>
      </c>
      <c r="H958" s="194" t="s">
        <v>60</v>
      </c>
      <c r="I958" s="187">
        <v>240</v>
      </c>
      <c r="J958" s="187" t="s">
        <v>1026</v>
      </c>
      <c r="K958" s="187" t="s">
        <v>264</v>
      </c>
      <c r="L958" s="195"/>
      <c r="M958" s="195"/>
      <c r="N958" s="195"/>
      <c r="O958" s="199"/>
      <c r="P958" s="188"/>
      <c r="Q958" s="174">
        <f>IF(ISNUMBER(VLOOKUP(A958,NotghiID!A:A,1,FALSE)),1,0)</f>
        <v>0</v>
      </c>
    </row>
    <row r="959" spans="1:17" ht="14.25" x14ac:dyDescent="0.2">
      <c r="A959" s="183">
        <v>246</v>
      </c>
      <c r="B959" s="232" t="str">
        <f>IF(AND(A959&lt;&gt;"",ISNUMBER(A959)),VLOOKUP(A959,Studies!A:BR,2,FALSE),"")</f>
        <v>Heizmann 1983</v>
      </c>
      <c r="C959" s="232" t="str">
        <f>IF(AND(A959&lt;&gt;"",ISNUMBER(A959)),VLOOKUP(A959,Studies!A:BR,3,FALSE),"")</f>
        <v>http://www.ncbi.nlm.nih.gov/pubmed/6138080</v>
      </c>
      <c r="D959" s="232" t="str">
        <f>IF(AND(A959&lt;&gt;"",ISNUMBER(A959)),VLOOKUP(A959,Studies!A:BR,4,FALSE),"")</f>
        <v>iv 0.15 mg/kg - Indiv. R.H.</v>
      </c>
      <c r="E959" s="206" t="str">
        <f>IF(AND(A959&lt;&gt;"",ISNUMBER(A959)),VLOOKUP(A959,Studies!A:BR,5,FALSE),"")</f>
        <v>Midazolam</v>
      </c>
      <c r="F959" s="207" t="str">
        <f>IF(AND(A959&lt;&gt;"",ISNUMBER(A959)),VLOOKUP(A959,Studies!A:BR,6,FALSE),"")</f>
        <v>Plasma</v>
      </c>
      <c r="G959" s="194">
        <v>0.25</v>
      </c>
      <c r="H959" s="194" t="s">
        <v>60</v>
      </c>
      <c r="I959" s="187">
        <v>226</v>
      </c>
      <c r="J959" s="187" t="s">
        <v>1026</v>
      </c>
      <c r="K959" s="187" t="s">
        <v>264</v>
      </c>
      <c r="L959" s="195"/>
      <c r="M959" s="195"/>
      <c r="N959" s="195"/>
      <c r="O959" s="199"/>
      <c r="P959" s="188"/>
      <c r="Q959" s="174">
        <f>IF(ISNUMBER(VLOOKUP(A959,NotghiID!A:A,1,FALSE)),1,0)</f>
        <v>0</v>
      </c>
    </row>
    <row r="960" spans="1:17" ht="14.25" x14ac:dyDescent="0.2">
      <c r="A960" s="183">
        <v>246</v>
      </c>
      <c r="B960" s="232" t="str">
        <f>IF(AND(A960&lt;&gt;"",ISNUMBER(A960)),VLOOKUP(A960,Studies!A:BR,2,FALSE),"")</f>
        <v>Heizmann 1983</v>
      </c>
      <c r="C960" s="232" t="str">
        <f>IF(AND(A960&lt;&gt;"",ISNUMBER(A960)),VLOOKUP(A960,Studies!A:BR,3,FALSE),"")</f>
        <v>http://www.ncbi.nlm.nih.gov/pubmed/6138080</v>
      </c>
      <c r="D960" s="232" t="str">
        <f>IF(AND(A960&lt;&gt;"",ISNUMBER(A960)),VLOOKUP(A960,Studies!A:BR,4,FALSE),"")</f>
        <v>iv 0.15 mg/kg - Indiv. R.H.</v>
      </c>
      <c r="E960" s="206" t="str">
        <f>IF(AND(A960&lt;&gt;"",ISNUMBER(A960)),VLOOKUP(A960,Studies!A:BR,5,FALSE),"")</f>
        <v>Midazolam</v>
      </c>
      <c r="F960" s="207" t="str">
        <f>IF(AND(A960&lt;&gt;"",ISNUMBER(A960)),VLOOKUP(A960,Studies!A:BR,6,FALSE),"")</f>
        <v>Plasma</v>
      </c>
      <c r="G960" s="194">
        <v>0.5</v>
      </c>
      <c r="H960" s="194" t="s">
        <v>60</v>
      </c>
      <c r="I960" s="187">
        <v>172</v>
      </c>
      <c r="J960" s="187" t="s">
        <v>1026</v>
      </c>
      <c r="K960" s="187" t="s">
        <v>264</v>
      </c>
      <c r="L960" s="195"/>
      <c r="M960" s="195"/>
      <c r="N960" s="195"/>
      <c r="O960" s="199"/>
      <c r="P960" s="188"/>
      <c r="Q960" s="174">
        <f>IF(ISNUMBER(VLOOKUP(A960,NotghiID!A:A,1,FALSE)),1,0)</f>
        <v>0</v>
      </c>
    </row>
    <row r="961" spans="1:17" ht="14.25" x14ac:dyDescent="0.2">
      <c r="A961" s="183">
        <v>246</v>
      </c>
      <c r="B961" s="232" t="str">
        <f>IF(AND(A961&lt;&gt;"",ISNUMBER(A961)),VLOOKUP(A961,Studies!A:BR,2,FALSE),"")</f>
        <v>Heizmann 1983</v>
      </c>
      <c r="C961" s="232" t="str">
        <f>IF(AND(A961&lt;&gt;"",ISNUMBER(A961)),VLOOKUP(A961,Studies!A:BR,3,FALSE),"")</f>
        <v>http://www.ncbi.nlm.nih.gov/pubmed/6138080</v>
      </c>
      <c r="D961" s="232" t="str">
        <f>IF(AND(A961&lt;&gt;"",ISNUMBER(A961)),VLOOKUP(A961,Studies!A:BR,4,FALSE),"")</f>
        <v>iv 0.15 mg/kg - Indiv. R.H.</v>
      </c>
      <c r="E961" s="206" t="str">
        <f>IF(AND(A961&lt;&gt;"",ISNUMBER(A961)),VLOOKUP(A961,Studies!A:BR,5,FALSE),"")</f>
        <v>Midazolam</v>
      </c>
      <c r="F961" s="207" t="str">
        <f>IF(AND(A961&lt;&gt;"",ISNUMBER(A961)),VLOOKUP(A961,Studies!A:BR,6,FALSE),"")</f>
        <v>Plasma</v>
      </c>
      <c r="G961" s="194">
        <v>0.75</v>
      </c>
      <c r="H961" s="194" t="s">
        <v>60</v>
      </c>
      <c r="I961" s="187">
        <v>142</v>
      </c>
      <c r="J961" s="187" t="s">
        <v>1026</v>
      </c>
      <c r="K961" s="187" t="s">
        <v>264</v>
      </c>
      <c r="L961" s="195"/>
      <c r="M961" s="195"/>
      <c r="N961" s="195"/>
      <c r="O961" s="199"/>
      <c r="P961" s="188"/>
      <c r="Q961" s="174">
        <f>IF(ISNUMBER(VLOOKUP(A961,NotghiID!A:A,1,FALSE)),1,0)</f>
        <v>0</v>
      </c>
    </row>
    <row r="962" spans="1:17" ht="14.25" x14ac:dyDescent="0.2">
      <c r="A962" s="183">
        <v>246</v>
      </c>
      <c r="B962" s="232" t="str">
        <f>IF(AND(A962&lt;&gt;"",ISNUMBER(A962)),VLOOKUP(A962,Studies!A:BR,2,FALSE),"")</f>
        <v>Heizmann 1983</v>
      </c>
      <c r="C962" s="232" t="str">
        <f>IF(AND(A962&lt;&gt;"",ISNUMBER(A962)),VLOOKUP(A962,Studies!A:BR,3,FALSE),"")</f>
        <v>http://www.ncbi.nlm.nih.gov/pubmed/6138080</v>
      </c>
      <c r="D962" s="232" t="str">
        <f>IF(AND(A962&lt;&gt;"",ISNUMBER(A962)),VLOOKUP(A962,Studies!A:BR,4,FALSE),"")</f>
        <v>iv 0.15 mg/kg - Indiv. R.H.</v>
      </c>
      <c r="E962" s="206" t="str">
        <f>IF(AND(A962&lt;&gt;"",ISNUMBER(A962)),VLOOKUP(A962,Studies!A:BR,5,FALSE),"")</f>
        <v>Midazolam</v>
      </c>
      <c r="F962" s="207" t="str">
        <f>IF(AND(A962&lt;&gt;"",ISNUMBER(A962)),VLOOKUP(A962,Studies!A:BR,6,FALSE),"")</f>
        <v>Plasma</v>
      </c>
      <c r="G962" s="194">
        <v>1</v>
      </c>
      <c r="H962" s="194" t="s">
        <v>60</v>
      </c>
      <c r="I962" s="187">
        <v>119</v>
      </c>
      <c r="J962" s="187" t="s">
        <v>1026</v>
      </c>
      <c r="K962" s="187" t="s">
        <v>264</v>
      </c>
      <c r="L962" s="195"/>
      <c r="M962" s="195"/>
      <c r="N962" s="195"/>
      <c r="O962" s="199"/>
      <c r="P962" s="188"/>
      <c r="Q962" s="174">
        <f>IF(ISNUMBER(VLOOKUP(A962,NotghiID!A:A,1,FALSE)),1,0)</f>
        <v>0</v>
      </c>
    </row>
    <row r="963" spans="1:17" ht="14.25" x14ac:dyDescent="0.2">
      <c r="A963" s="183">
        <v>246</v>
      </c>
      <c r="B963" s="232" t="str">
        <f>IF(AND(A963&lt;&gt;"",ISNUMBER(A963)),VLOOKUP(A963,Studies!A:BR,2,FALSE),"")</f>
        <v>Heizmann 1983</v>
      </c>
      <c r="C963" s="232" t="str">
        <f>IF(AND(A963&lt;&gt;"",ISNUMBER(A963)),VLOOKUP(A963,Studies!A:BR,3,FALSE),"")</f>
        <v>http://www.ncbi.nlm.nih.gov/pubmed/6138080</v>
      </c>
      <c r="D963" s="232" t="str">
        <f>IF(AND(A963&lt;&gt;"",ISNUMBER(A963)),VLOOKUP(A963,Studies!A:BR,4,FALSE),"")</f>
        <v>iv 0.15 mg/kg - Indiv. R.H.</v>
      </c>
      <c r="E963" s="206" t="str">
        <f>IF(AND(A963&lt;&gt;"",ISNUMBER(A963)),VLOOKUP(A963,Studies!A:BR,5,FALSE),"")</f>
        <v>Midazolam</v>
      </c>
      <c r="F963" s="207" t="str">
        <f>IF(AND(A963&lt;&gt;"",ISNUMBER(A963)),VLOOKUP(A963,Studies!A:BR,6,FALSE),"")</f>
        <v>Plasma</v>
      </c>
      <c r="G963" s="194">
        <v>1.5</v>
      </c>
      <c r="H963" s="194" t="s">
        <v>60</v>
      </c>
      <c r="I963" s="187">
        <v>83</v>
      </c>
      <c r="J963" s="187" t="s">
        <v>1026</v>
      </c>
      <c r="K963" s="187" t="s">
        <v>264</v>
      </c>
      <c r="L963" s="195"/>
      <c r="M963" s="195"/>
      <c r="N963" s="195"/>
      <c r="O963" s="199"/>
      <c r="P963" s="188"/>
      <c r="Q963" s="174">
        <f>IF(ISNUMBER(VLOOKUP(A963,NotghiID!A:A,1,FALSE)),1,0)</f>
        <v>0</v>
      </c>
    </row>
    <row r="964" spans="1:17" ht="14.25" x14ac:dyDescent="0.2">
      <c r="A964" s="183">
        <v>246</v>
      </c>
      <c r="B964" s="232" t="str">
        <f>IF(AND(A964&lt;&gt;"",ISNUMBER(A964)),VLOOKUP(A964,Studies!A:BR,2,FALSE),"")</f>
        <v>Heizmann 1983</v>
      </c>
      <c r="C964" s="232" t="str">
        <f>IF(AND(A964&lt;&gt;"",ISNUMBER(A964)),VLOOKUP(A964,Studies!A:BR,3,FALSE),"")</f>
        <v>http://www.ncbi.nlm.nih.gov/pubmed/6138080</v>
      </c>
      <c r="D964" s="232" t="str">
        <f>IF(AND(A964&lt;&gt;"",ISNUMBER(A964)),VLOOKUP(A964,Studies!A:BR,4,FALSE),"")</f>
        <v>iv 0.15 mg/kg - Indiv. R.H.</v>
      </c>
      <c r="E964" s="206" t="str">
        <f>IF(AND(A964&lt;&gt;"",ISNUMBER(A964)),VLOOKUP(A964,Studies!A:BR,5,FALSE),"")</f>
        <v>Midazolam</v>
      </c>
      <c r="F964" s="207" t="str">
        <f>IF(AND(A964&lt;&gt;"",ISNUMBER(A964)),VLOOKUP(A964,Studies!A:BR,6,FALSE),"")</f>
        <v>Plasma</v>
      </c>
      <c r="G964" s="194">
        <v>2</v>
      </c>
      <c r="H964" s="194" t="s">
        <v>60</v>
      </c>
      <c r="I964" s="187">
        <v>55</v>
      </c>
      <c r="J964" s="187" t="s">
        <v>1026</v>
      </c>
      <c r="K964" s="187" t="s">
        <v>264</v>
      </c>
      <c r="L964" s="195"/>
      <c r="M964" s="195"/>
      <c r="N964" s="195"/>
      <c r="O964" s="199"/>
      <c r="P964" s="188"/>
      <c r="Q964" s="174">
        <f>IF(ISNUMBER(VLOOKUP(A964,NotghiID!A:A,1,FALSE)),1,0)</f>
        <v>0</v>
      </c>
    </row>
    <row r="965" spans="1:17" ht="14.25" x14ac:dyDescent="0.2">
      <c r="A965" s="183">
        <v>246</v>
      </c>
      <c r="B965" s="232" t="str">
        <f>IF(AND(A965&lt;&gt;"",ISNUMBER(A965)),VLOOKUP(A965,Studies!A:BR,2,FALSE),"")</f>
        <v>Heizmann 1983</v>
      </c>
      <c r="C965" s="232" t="str">
        <f>IF(AND(A965&lt;&gt;"",ISNUMBER(A965)),VLOOKUP(A965,Studies!A:BR,3,FALSE),"")</f>
        <v>http://www.ncbi.nlm.nih.gov/pubmed/6138080</v>
      </c>
      <c r="D965" s="232" t="str">
        <f>IF(AND(A965&lt;&gt;"",ISNUMBER(A965)),VLOOKUP(A965,Studies!A:BR,4,FALSE),"")</f>
        <v>iv 0.15 mg/kg - Indiv. R.H.</v>
      </c>
      <c r="E965" s="206" t="str">
        <f>IF(AND(A965&lt;&gt;"",ISNUMBER(A965)),VLOOKUP(A965,Studies!A:BR,5,FALSE),"")</f>
        <v>Midazolam</v>
      </c>
      <c r="F965" s="207" t="str">
        <f>IF(AND(A965&lt;&gt;"",ISNUMBER(A965)),VLOOKUP(A965,Studies!A:BR,6,FALSE),"")</f>
        <v>Plasma</v>
      </c>
      <c r="G965" s="194">
        <v>3</v>
      </c>
      <c r="H965" s="194" t="s">
        <v>60</v>
      </c>
      <c r="I965" s="187">
        <v>35</v>
      </c>
      <c r="J965" s="187" t="s">
        <v>1026</v>
      </c>
      <c r="K965" s="187" t="s">
        <v>264</v>
      </c>
      <c r="L965" s="195"/>
      <c r="M965" s="195"/>
      <c r="N965" s="195"/>
      <c r="O965" s="199"/>
      <c r="P965" s="188"/>
      <c r="Q965" s="174">
        <f>IF(ISNUMBER(VLOOKUP(A965,NotghiID!A:A,1,FALSE)),1,0)</f>
        <v>0</v>
      </c>
    </row>
    <row r="966" spans="1:17" ht="14.25" x14ac:dyDescent="0.2">
      <c r="A966" s="183">
        <v>246</v>
      </c>
      <c r="B966" s="232" t="str">
        <f>IF(AND(A966&lt;&gt;"",ISNUMBER(A966)),VLOOKUP(A966,Studies!A:BR,2,FALSE),"")</f>
        <v>Heizmann 1983</v>
      </c>
      <c r="C966" s="232" t="str">
        <f>IF(AND(A966&lt;&gt;"",ISNUMBER(A966)),VLOOKUP(A966,Studies!A:BR,3,FALSE),"")</f>
        <v>http://www.ncbi.nlm.nih.gov/pubmed/6138080</v>
      </c>
      <c r="D966" s="232" t="str">
        <f>IF(AND(A966&lt;&gt;"",ISNUMBER(A966)),VLOOKUP(A966,Studies!A:BR,4,FALSE),"")</f>
        <v>iv 0.15 mg/kg - Indiv. R.H.</v>
      </c>
      <c r="E966" s="206" t="str">
        <f>IF(AND(A966&lt;&gt;"",ISNUMBER(A966)),VLOOKUP(A966,Studies!A:BR,5,FALSE),"")</f>
        <v>Midazolam</v>
      </c>
      <c r="F966" s="207" t="str">
        <f>IF(AND(A966&lt;&gt;"",ISNUMBER(A966)),VLOOKUP(A966,Studies!A:BR,6,FALSE),"")</f>
        <v>Plasma</v>
      </c>
      <c r="G966" s="194">
        <v>4</v>
      </c>
      <c r="H966" s="194" t="s">
        <v>60</v>
      </c>
      <c r="I966" s="187">
        <v>24</v>
      </c>
      <c r="J966" s="187" t="s">
        <v>1026</v>
      </c>
      <c r="K966" s="187" t="s">
        <v>264</v>
      </c>
      <c r="L966" s="195"/>
      <c r="M966" s="195"/>
      <c r="N966" s="195"/>
      <c r="O966" s="199"/>
      <c r="P966" s="188"/>
      <c r="Q966" s="174">
        <f>IF(ISNUMBER(VLOOKUP(A966,NotghiID!A:A,1,FALSE)),1,0)</f>
        <v>0</v>
      </c>
    </row>
    <row r="967" spans="1:17" ht="14.25" x14ac:dyDescent="0.2">
      <c r="A967" s="183">
        <v>246</v>
      </c>
      <c r="B967" s="232" t="str">
        <f>IF(AND(A967&lt;&gt;"",ISNUMBER(A967)),VLOOKUP(A967,Studies!A:BR,2,FALSE),"")</f>
        <v>Heizmann 1983</v>
      </c>
      <c r="C967" s="232" t="str">
        <f>IF(AND(A967&lt;&gt;"",ISNUMBER(A967)),VLOOKUP(A967,Studies!A:BR,3,FALSE),"")</f>
        <v>http://www.ncbi.nlm.nih.gov/pubmed/6138080</v>
      </c>
      <c r="D967" s="232" t="str">
        <f>IF(AND(A967&lt;&gt;"",ISNUMBER(A967)),VLOOKUP(A967,Studies!A:BR,4,FALSE),"")</f>
        <v>iv 0.15 mg/kg - Indiv. R.H.</v>
      </c>
      <c r="E967" s="206" t="str">
        <f>IF(AND(A967&lt;&gt;"",ISNUMBER(A967)),VLOOKUP(A967,Studies!A:BR,5,FALSE),"")</f>
        <v>Midazolam</v>
      </c>
      <c r="F967" s="207" t="str">
        <f>IF(AND(A967&lt;&gt;"",ISNUMBER(A967)),VLOOKUP(A967,Studies!A:BR,6,FALSE),"")</f>
        <v>Plasma</v>
      </c>
      <c r="G967" s="194">
        <v>5</v>
      </c>
      <c r="H967" s="194" t="s">
        <v>60</v>
      </c>
      <c r="I967" s="187">
        <v>16</v>
      </c>
      <c r="J967" s="187" t="s">
        <v>1026</v>
      </c>
      <c r="K967" s="187" t="s">
        <v>264</v>
      </c>
      <c r="L967" s="195"/>
      <c r="M967" s="195"/>
      <c r="N967" s="195"/>
      <c r="O967" s="199"/>
      <c r="P967" s="188"/>
      <c r="Q967" s="174">
        <f>IF(ISNUMBER(VLOOKUP(A967,NotghiID!A:A,1,FALSE)),1,0)</f>
        <v>0</v>
      </c>
    </row>
    <row r="968" spans="1:17" ht="14.25" x14ac:dyDescent="0.2">
      <c r="A968" s="183">
        <v>246</v>
      </c>
      <c r="B968" s="232" t="str">
        <f>IF(AND(A968&lt;&gt;"",ISNUMBER(A968)),VLOOKUP(A968,Studies!A:BR,2,FALSE),"")</f>
        <v>Heizmann 1983</v>
      </c>
      <c r="C968" s="232" t="str">
        <f>IF(AND(A968&lt;&gt;"",ISNUMBER(A968)),VLOOKUP(A968,Studies!A:BR,3,FALSE),"")</f>
        <v>http://www.ncbi.nlm.nih.gov/pubmed/6138080</v>
      </c>
      <c r="D968" s="232" t="str">
        <f>IF(AND(A968&lt;&gt;"",ISNUMBER(A968)),VLOOKUP(A968,Studies!A:BR,4,FALSE),"")</f>
        <v>iv 0.15 mg/kg - Indiv. R.H.</v>
      </c>
      <c r="E968" s="206" t="str">
        <f>IF(AND(A968&lt;&gt;"",ISNUMBER(A968)),VLOOKUP(A968,Studies!A:BR,5,FALSE),"")</f>
        <v>Midazolam</v>
      </c>
      <c r="F968" s="207" t="str">
        <f>IF(AND(A968&lt;&gt;"",ISNUMBER(A968)),VLOOKUP(A968,Studies!A:BR,6,FALSE),"")</f>
        <v>Plasma</v>
      </c>
      <c r="G968" s="194">
        <v>6</v>
      </c>
      <c r="H968" s="194" t="s">
        <v>60</v>
      </c>
      <c r="I968" s="187">
        <v>9</v>
      </c>
      <c r="J968" s="187" t="s">
        <v>1026</v>
      </c>
      <c r="K968" s="187" t="s">
        <v>264</v>
      </c>
      <c r="L968" s="195"/>
      <c r="M968" s="195"/>
      <c r="N968" s="195"/>
      <c r="O968" s="199"/>
      <c r="P968" s="188"/>
      <c r="Q968" s="174">
        <f>IF(ISNUMBER(VLOOKUP(A968,NotghiID!A:A,1,FALSE)),1,0)</f>
        <v>0</v>
      </c>
    </row>
    <row r="969" spans="1:17" ht="14.25" x14ac:dyDescent="0.2">
      <c r="A969" s="183">
        <v>246</v>
      </c>
      <c r="B969" s="232" t="str">
        <f>IF(AND(A969&lt;&gt;"",ISNUMBER(A969)),VLOOKUP(A969,Studies!A:BR,2,FALSE),"")</f>
        <v>Heizmann 1983</v>
      </c>
      <c r="C969" s="232" t="str">
        <f>IF(AND(A969&lt;&gt;"",ISNUMBER(A969)),VLOOKUP(A969,Studies!A:BR,3,FALSE),"")</f>
        <v>http://www.ncbi.nlm.nih.gov/pubmed/6138080</v>
      </c>
      <c r="D969" s="232" t="str">
        <f>IF(AND(A969&lt;&gt;"",ISNUMBER(A969)),VLOOKUP(A969,Studies!A:BR,4,FALSE),"")</f>
        <v>iv 0.15 mg/kg - Indiv. R.H.</v>
      </c>
      <c r="E969" s="206" t="str">
        <f>IF(AND(A969&lt;&gt;"",ISNUMBER(A969)),VLOOKUP(A969,Studies!A:BR,5,FALSE),"")</f>
        <v>Midazolam</v>
      </c>
      <c r="F969" s="207" t="str">
        <f>IF(AND(A969&lt;&gt;"",ISNUMBER(A969)),VLOOKUP(A969,Studies!A:BR,6,FALSE),"")</f>
        <v>Plasma</v>
      </c>
      <c r="G969" s="194">
        <v>8</v>
      </c>
      <c r="H969" s="194" t="s">
        <v>60</v>
      </c>
      <c r="I969" s="187">
        <v>4</v>
      </c>
      <c r="J969" s="187" t="s">
        <v>1026</v>
      </c>
      <c r="K969" s="187" t="s">
        <v>264</v>
      </c>
      <c r="L969" s="195"/>
      <c r="M969" s="195"/>
      <c r="N969" s="195"/>
      <c r="O969" s="199"/>
      <c r="P969" s="188"/>
      <c r="Q969" s="174">
        <f>IF(ISNUMBER(VLOOKUP(A969,NotghiID!A:A,1,FALSE)),1,0)</f>
        <v>0</v>
      </c>
    </row>
    <row r="970" spans="1:17" ht="14.25" x14ac:dyDescent="0.2">
      <c r="A970" s="183">
        <v>246</v>
      </c>
      <c r="B970" s="232" t="str">
        <f>IF(AND(A970&lt;&gt;"",ISNUMBER(A970)),VLOOKUP(A970,Studies!A:BR,2,FALSE),"")</f>
        <v>Heizmann 1983</v>
      </c>
      <c r="C970" s="232" t="str">
        <f>IF(AND(A970&lt;&gt;"",ISNUMBER(A970)),VLOOKUP(A970,Studies!A:BR,3,FALSE),"")</f>
        <v>http://www.ncbi.nlm.nih.gov/pubmed/6138080</v>
      </c>
      <c r="D970" s="232" t="str">
        <f>IF(AND(A970&lt;&gt;"",ISNUMBER(A970)),VLOOKUP(A970,Studies!A:BR,4,FALSE),"")</f>
        <v>iv 0.15 mg/kg - Indiv. R.H.</v>
      </c>
      <c r="E970" s="206" t="str">
        <f>IF(AND(A970&lt;&gt;"",ISNUMBER(A970)),VLOOKUP(A970,Studies!A:BR,5,FALSE),"")</f>
        <v>Midazolam</v>
      </c>
      <c r="F970" s="207" t="str">
        <f>IF(AND(A970&lt;&gt;"",ISNUMBER(A970)),VLOOKUP(A970,Studies!A:BR,6,FALSE),"")</f>
        <v>Plasma</v>
      </c>
      <c r="G970" s="194">
        <v>10</v>
      </c>
      <c r="H970" s="194" t="s">
        <v>60</v>
      </c>
      <c r="I970" s="187" t="s">
        <v>1119</v>
      </c>
      <c r="J970" s="187" t="s">
        <v>1026</v>
      </c>
      <c r="K970" s="187" t="s">
        <v>264</v>
      </c>
      <c r="L970" s="195"/>
      <c r="M970" s="195"/>
      <c r="N970" s="195"/>
      <c r="O970" s="199">
        <v>1</v>
      </c>
      <c r="P970" s="188"/>
      <c r="Q970" s="174">
        <f>IF(ISNUMBER(VLOOKUP(A970,NotghiID!A:A,1,FALSE)),1,0)</f>
        <v>0</v>
      </c>
    </row>
    <row r="971" spans="1:17" ht="14.25" x14ac:dyDescent="0.2">
      <c r="A971" s="183">
        <v>246</v>
      </c>
      <c r="B971" s="232" t="str">
        <f>IF(AND(A971&lt;&gt;"",ISNUMBER(A971)),VLOOKUP(A971,Studies!A:BR,2,FALSE),"")</f>
        <v>Heizmann 1983</v>
      </c>
      <c r="C971" s="232" t="str">
        <f>IF(AND(A971&lt;&gt;"",ISNUMBER(A971)),VLOOKUP(A971,Studies!A:BR,3,FALSE),"")</f>
        <v>http://www.ncbi.nlm.nih.gov/pubmed/6138080</v>
      </c>
      <c r="D971" s="232" t="str">
        <f>IF(AND(A971&lt;&gt;"",ISNUMBER(A971)),VLOOKUP(A971,Studies!A:BR,4,FALSE),"")</f>
        <v>iv 0.15 mg/kg - Indiv. R.H.</v>
      </c>
      <c r="E971" s="206" t="str">
        <f>IF(AND(A971&lt;&gt;"",ISNUMBER(A971)),VLOOKUP(A971,Studies!A:BR,5,FALSE),"")</f>
        <v>Midazolam</v>
      </c>
      <c r="F971" s="207" t="str">
        <f>IF(AND(A971&lt;&gt;"",ISNUMBER(A971)),VLOOKUP(A971,Studies!A:BR,6,FALSE),"")</f>
        <v>Plasma</v>
      </c>
      <c r="G971" s="194">
        <v>12</v>
      </c>
      <c r="H971" s="194" t="s">
        <v>60</v>
      </c>
      <c r="I971" s="187" t="s">
        <v>1119</v>
      </c>
      <c r="J971" s="187" t="s">
        <v>1026</v>
      </c>
      <c r="K971" s="187" t="s">
        <v>264</v>
      </c>
      <c r="L971" s="195"/>
      <c r="M971" s="195"/>
      <c r="N971" s="195"/>
      <c r="O971" s="199">
        <v>1</v>
      </c>
      <c r="P971" s="188"/>
      <c r="Q971" s="174">
        <f>IF(ISNUMBER(VLOOKUP(A971,NotghiID!A:A,1,FALSE)),1,0)</f>
        <v>0</v>
      </c>
    </row>
    <row r="972" spans="1:17" ht="14.25" x14ac:dyDescent="0.2">
      <c r="A972" s="183">
        <v>251</v>
      </c>
      <c r="B972" s="232" t="str">
        <f>IF(AND(A972&lt;&gt;"",ISNUMBER(A972)),VLOOKUP(A972,Studies!A:BR,2,FALSE),"")</f>
        <v>Heizmann 1983</v>
      </c>
      <c r="C972" s="232" t="str">
        <f>IF(AND(A972&lt;&gt;"",ISNUMBER(A972)),VLOOKUP(A972,Studies!A:BR,3,FALSE),"")</f>
        <v>http://www.ncbi.nlm.nih.gov/pubmed/6138080</v>
      </c>
      <c r="D972" s="232" t="str">
        <f>IF(AND(A972&lt;&gt;"",ISNUMBER(A972)),VLOOKUP(A972,Studies!A:BR,4,FALSE),"")</f>
        <v>po 10 mg - Indiv. R.H.</v>
      </c>
      <c r="E972" s="206" t="str">
        <f>IF(AND(A972&lt;&gt;"",ISNUMBER(A972)),VLOOKUP(A972,Studies!A:BR,5,FALSE),"")</f>
        <v>Midazolam</v>
      </c>
      <c r="F972" s="207" t="str">
        <f>IF(AND(A972&lt;&gt;"",ISNUMBER(A972)),VLOOKUP(A972,Studies!A:BR,6,FALSE),"")</f>
        <v>Plasma</v>
      </c>
      <c r="G972" s="194">
        <v>0.25</v>
      </c>
      <c r="H972" s="194" t="s">
        <v>60</v>
      </c>
      <c r="I972" s="187">
        <v>52</v>
      </c>
      <c r="J972" s="187" t="s">
        <v>1026</v>
      </c>
      <c r="K972" s="187" t="s">
        <v>264</v>
      </c>
      <c r="L972" s="195"/>
      <c r="M972" s="195"/>
      <c r="N972" s="195"/>
      <c r="O972" s="199"/>
      <c r="P972" s="188"/>
      <c r="Q972" s="174">
        <f>IF(ISNUMBER(VLOOKUP(A972,NotghiID!A:A,1,FALSE)),1,0)</f>
        <v>0</v>
      </c>
    </row>
    <row r="973" spans="1:17" ht="14.25" x14ac:dyDescent="0.2">
      <c r="A973" s="183">
        <v>251</v>
      </c>
      <c r="B973" s="232" t="str">
        <f>IF(AND(A973&lt;&gt;"",ISNUMBER(A973)),VLOOKUP(A973,Studies!A:BR,2,FALSE),"")</f>
        <v>Heizmann 1983</v>
      </c>
      <c r="C973" s="232" t="str">
        <f>IF(AND(A973&lt;&gt;"",ISNUMBER(A973)),VLOOKUP(A973,Studies!A:BR,3,FALSE),"")</f>
        <v>http://www.ncbi.nlm.nih.gov/pubmed/6138080</v>
      </c>
      <c r="D973" s="232" t="str">
        <f>IF(AND(A973&lt;&gt;"",ISNUMBER(A973)),VLOOKUP(A973,Studies!A:BR,4,FALSE),"")</f>
        <v>po 10 mg - Indiv. R.H.</v>
      </c>
      <c r="E973" s="206" t="str">
        <f>IF(AND(A973&lt;&gt;"",ISNUMBER(A973)),VLOOKUP(A973,Studies!A:BR,5,FALSE),"")</f>
        <v>Midazolam</v>
      </c>
      <c r="F973" s="207" t="str">
        <f>IF(AND(A973&lt;&gt;"",ISNUMBER(A973)),VLOOKUP(A973,Studies!A:BR,6,FALSE),"")</f>
        <v>Plasma</v>
      </c>
      <c r="G973" s="194">
        <v>0.5</v>
      </c>
      <c r="H973" s="194" t="s">
        <v>60</v>
      </c>
      <c r="I973" s="187">
        <v>82</v>
      </c>
      <c r="J973" s="187" t="s">
        <v>1026</v>
      </c>
      <c r="K973" s="187" t="s">
        <v>264</v>
      </c>
      <c r="L973" s="195"/>
      <c r="M973" s="195"/>
      <c r="N973" s="195"/>
      <c r="O973" s="199"/>
      <c r="P973" s="188"/>
      <c r="Q973" s="174">
        <f>IF(ISNUMBER(VLOOKUP(A973,NotghiID!A:A,1,FALSE)),1,0)</f>
        <v>0</v>
      </c>
    </row>
    <row r="974" spans="1:17" ht="14.25" x14ac:dyDescent="0.2">
      <c r="A974" s="183">
        <v>251</v>
      </c>
      <c r="B974" s="232" t="str">
        <f>IF(AND(A974&lt;&gt;"",ISNUMBER(A974)),VLOOKUP(A974,Studies!A:BR,2,FALSE),"")</f>
        <v>Heizmann 1983</v>
      </c>
      <c r="C974" s="232" t="str">
        <f>IF(AND(A974&lt;&gt;"",ISNUMBER(A974)),VLOOKUP(A974,Studies!A:BR,3,FALSE),"")</f>
        <v>http://www.ncbi.nlm.nih.gov/pubmed/6138080</v>
      </c>
      <c r="D974" s="232" t="str">
        <f>IF(AND(A974&lt;&gt;"",ISNUMBER(A974)),VLOOKUP(A974,Studies!A:BR,4,FALSE),"")</f>
        <v>po 10 mg - Indiv. R.H.</v>
      </c>
      <c r="E974" s="206" t="str">
        <f>IF(AND(A974&lt;&gt;"",ISNUMBER(A974)),VLOOKUP(A974,Studies!A:BR,5,FALSE),"")</f>
        <v>Midazolam</v>
      </c>
      <c r="F974" s="207" t="str">
        <f>IF(AND(A974&lt;&gt;"",ISNUMBER(A974)),VLOOKUP(A974,Studies!A:BR,6,FALSE),"")</f>
        <v>Plasma</v>
      </c>
      <c r="G974" s="194">
        <v>0.75</v>
      </c>
      <c r="H974" s="194" t="s">
        <v>60</v>
      </c>
      <c r="I974" s="187">
        <v>59</v>
      </c>
      <c r="J974" s="187" t="s">
        <v>1026</v>
      </c>
      <c r="K974" s="187" t="s">
        <v>264</v>
      </c>
      <c r="L974" s="195"/>
      <c r="M974" s="195"/>
      <c r="N974" s="195"/>
      <c r="O974" s="199"/>
      <c r="P974" s="188"/>
      <c r="Q974" s="174">
        <f>IF(ISNUMBER(VLOOKUP(A974,NotghiID!A:A,1,FALSE)),1,0)</f>
        <v>0</v>
      </c>
    </row>
    <row r="975" spans="1:17" ht="14.25" x14ac:dyDescent="0.2">
      <c r="A975" s="183">
        <v>251</v>
      </c>
      <c r="B975" s="232" t="str">
        <f>IF(AND(A975&lt;&gt;"",ISNUMBER(A975)),VLOOKUP(A975,Studies!A:BR,2,FALSE),"")</f>
        <v>Heizmann 1983</v>
      </c>
      <c r="C975" s="232" t="str">
        <f>IF(AND(A975&lt;&gt;"",ISNUMBER(A975)),VLOOKUP(A975,Studies!A:BR,3,FALSE),"")</f>
        <v>http://www.ncbi.nlm.nih.gov/pubmed/6138080</v>
      </c>
      <c r="D975" s="232" t="str">
        <f>IF(AND(A975&lt;&gt;"",ISNUMBER(A975)),VLOOKUP(A975,Studies!A:BR,4,FALSE),"")</f>
        <v>po 10 mg - Indiv. R.H.</v>
      </c>
      <c r="E975" s="206" t="str">
        <f>IF(AND(A975&lt;&gt;"",ISNUMBER(A975)),VLOOKUP(A975,Studies!A:BR,5,FALSE),"")</f>
        <v>Midazolam</v>
      </c>
      <c r="F975" s="207" t="str">
        <f>IF(AND(A975&lt;&gt;"",ISNUMBER(A975)),VLOOKUP(A975,Studies!A:BR,6,FALSE),"")</f>
        <v>Plasma</v>
      </c>
      <c r="G975" s="194">
        <v>1</v>
      </c>
      <c r="H975" s="194" t="s">
        <v>60</v>
      </c>
      <c r="I975" s="187">
        <v>45</v>
      </c>
      <c r="J975" s="187" t="s">
        <v>1026</v>
      </c>
      <c r="K975" s="187" t="s">
        <v>264</v>
      </c>
      <c r="L975" s="195"/>
      <c r="M975" s="195"/>
      <c r="N975" s="195"/>
      <c r="O975" s="199"/>
      <c r="P975" s="188"/>
      <c r="Q975" s="174">
        <f>IF(ISNUMBER(VLOOKUP(A975,NotghiID!A:A,1,FALSE)),1,0)</f>
        <v>0</v>
      </c>
    </row>
    <row r="976" spans="1:17" ht="14.25" x14ac:dyDescent="0.2">
      <c r="A976" s="183">
        <v>251</v>
      </c>
      <c r="B976" s="232" t="str">
        <f>IF(AND(A976&lt;&gt;"",ISNUMBER(A976)),VLOOKUP(A976,Studies!A:BR,2,FALSE),"")</f>
        <v>Heizmann 1983</v>
      </c>
      <c r="C976" s="232" t="str">
        <f>IF(AND(A976&lt;&gt;"",ISNUMBER(A976)),VLOOKUP(A976,Studies!A:BR,3,FALSE),"")</f>
        <v>http://www.ncbi.nlm.nih.gov/pubmed/6138080</v>
      </c>
      <c r="D976" s="232" t="str">
        <f>IF(AND(A976&lt;&gt;"",ISNUMBER(A976)),VLOOKUP(A976,Studies!A:BR,4,FALSE),"")</f>
        <v>po 10 mg - Indiv. R.H.</v>
      </c>
      <c r="E976" s="206" t="str">
        <f>IF(AND(A976&lt;&gt;"",ISNUMBER(A976)),VLOOKUP(A976,Studies!A:BR,5,FALSE),"")</f>
        <v>Midazolam</v>
      </c>
      <c r="F976" s="207" t="str">
        <f>IF(AND(A976&lt;&gt;"",ISNUMBER(A976)),VLOOKUP(A976,Studies!A:BR,6,FALSE),"")</f>
        <v>Plasma</v>
      </c>
      <c r="G976" s="194">
        <v>1.5</v>
      </c>
      <c r="H976" s="194" t="s">
        <v>60</v>
      </c>
      <c r="I976" s="187">
        <v>36</v>
      </c>
      <c r="J976" s="187" t="s">
        <v>1026</v>
      </c>
      <c r="K976" s="187" t="s">
        <v>264</v>
      </c>
      <c r="L976" s="195"/>
      <c r="M976" s="195"/>
      <c r="N976" s="195"/>
      <c r="O976" s="199"/>
      <c r="P976" s="188"/>
      <c r="Q976" s="174">
        <f>IF(ISNUMBER(VLOOKUP(A976,NotghiID!A:A,1,FALSE)),1,0)</f>
        <v>0</v>
      </c>
    </row>
    <row r="977" spans="1:17" ht="14.25" x14ac:dyDescent="0.2">
      <c r="A977" s="183">
        <v>251</v>
      </c>
      <c r="B977" s="232" t="str">
        <f>IF(AND(A977&lt;&gt;"",ISNUMBER(A977)),VLOOKUP(A977,Studies!A:BR,2,FALSE),"")</f>
        <v>Heizmann 1983</v>
      </c>
      <c r="C977" s="232" t="str">
        <f>IF(AND(A977&lt;&gt;"",ISNUMBER(A977)),VLOOKUP(A977,Studies!A:BR,3,FALSE),"")</f>
        <v>http://www.ncbi.nlm.nih.gov/pubmed/6138080</v>
      </c>
      <c r="D977" s="232" t="str">
        <f>IF(AND(A977&lt;&gt;"",ISNUMBER(A977)),VLOOKUP(A977,Studies!A:BR,4,FALSE),"")</f>
        <v>po 10 mg - Indiv. R.H.</v>
      </c>
      <c r="E977" s="206" t="str">
        <f>IF(AND(A977&lt;&gt;"",ISNUMBER(A977)),VLOOKUP(A977,Studies!A:BR,5,FALSE),"")</f>
        <v>Midazolam</v>
      </c>
      <c r="F977" s="207" t="str">
        <f>IF(AND(A977&lt;&gt;"",ISNUMBER(A977)),VLOOKUP(A977,Studies!A:BR,6,FALSE),"")</f>
        <v>Plasma</v>
      </c>
      <c r="G977" s="194">
        <v>2</v>
      </c>
      <c r="H977" s="194" t="s">
        <v>60</v>
      </c>
      <c r="I977" s="187">
        <v>23</v>
      </c>
      <c r="J977" s="187" t="s">
        <v>1026</v>
      </c>
      <c r="K977" s="187" t="s">
        <v>264</v>
      </c>
      <c r="L977" s="195"/>
      <c r="M977" s="195"/>
      <c r="N977" s="195"/>
      <c r="O977" s="199"/>
      <c r="P977" s="188"/>
      <c r="Q977" s="174">
        <f>IF(ISNUMBER(VLOOKUP(A977,NotghiID!A:A,1,FALSE)),1,0)</f>
        <v>0</v>
      </c>
    </row>
    <row r="978" spans="1:17" ht="14.25" x14ac:dyDescent="0.2">
      <c r="A978" s="183">
        <v>251</v>
      </c>
      <c r="B978" s="232" t="str">
        <f>IF(AND(A978&lt;&gt;"",ISNUMBER(A978)),VLOOKUP(A978,Studies!A:BR,2,FALSE),"")</f>
        <v>Heizmann 1983</v>
      </c>
      <c r="C978" s="232" t="str">
        <f>IF(AND(A978&lt;&gt;"",ISNUMBER(A978)),VLOOKUP(A978,Studies!A:BR,3,FALSE),"")</f>
        <v>http://www.ncbi.nlm.nih.gov/pubmed/6138080</v>
      </c>
      <c r="D978" s="232" t="str">
        <f>IF(AND(A978&lt;&gt;"",ISNUMBER(A978)),VLOOKUP(A978,Studies!A:BR,4,FALSE),"")</f>
        <v>po 10 mg - Indiv. R.H.</v>
      </c>
      <c r="E978" s="206" t="str">
        <f>IF(AND(A978&lt;&gt;"",ISNUMBER(A978)),VLOOKUP(A978,Studies!A:BR,5,FALSE),"")</f>
        <v>Midazolam</v>
      </c>
      <c r="F978" s="207" t="str">
        <f>IF(AND(A978&lt;&gt;"",ISNUMBER(A978)),VLOOKUP(A978,Studies!A:BR,6,FALSE),"")</f>
        <v>Plasma</v>
      </c>
      <c r="G978" s="194">
        <v>3</v>
      </c>
      <c r="H978" s="194" t="s">
        <v>60</v>
      </c>
      <c r="I978" s="187">
        <v>16</v>
      </c>
      <c r="J978" s="187" t="s">
        <v>1026</v>
      </c>
      <c r="K978" s="187" t="s">
        <v>264</v>
      </c>
      <c r="L978" s="195"/>
      <c r="M978" s="195"/>
      <c r="N978" s="195"/>
      <c r="O978" s="199"/>
      <c r="P978" s="188"/>
      <c r="Q978" s="174">
        <f>IF(ISNUMBER(VLOOKUP(A978,NotghiID!A:A,1,FALSE)),1,0)</f>
        <v>0</v>
      </c>
    </row>
    <row r="979" spans="1:17" ht="14.25" x14ac:dyDescent="0.2">
      <c r="A979" s="183">
        <v>251</v>
      </c>
      <c r="B979" s="232" t="str">
        <f>IF(AND(A979&lt;&gt;"",ISNUMBER(A979)),VLOOKUP(A979,Studies!A:BR,2,FALSE),"")</f>
        <v>Heizmann 1983</v>
      </c>
      <c r="C979" s="232" t="str">
        <f>IF(AND(A979&lt;&gt;"",ISNUMBER(A979)),VLOOKUP(A979,Studies!A:BR,3,FALSE),"")</f>
        <v>http://www.ncbi.nlm.nih.gov/pubmed/6138080</v>
      </c>
      <c r="D979" s="232" t="str">
        <f>IF(AND(A979&lt;&gt;"",ISNUMBER(A979)),VLOOKUP(A979,Studies!A:BR,4,FALSE),"")</f>
        <v>po 10 mg - Indiv. R.H.</v>
      </c>
      <c r="E979" s="206" t="str">
        <f>IF(AND(A979&lt;&gt;"",ISNUMBER(A979)),VLOOKUP(A979,Studies!A:BR,5,FALSE),"")</f>
        <v>Midazolam</v>
      </c>
      <c r="F979" s="207" t="str">
        <f>IF(AND(A979&lt;&gt;"",ISNUMBER(A979)),VLOOKUP(A979,Studies!A:BR,6,FALSE),"")</f>
        <v>Plasma</v>
      </c>
      <c r="G979" s="194">
        <v>4</v>
      </c>
      <c r="H979" s="194" t="s">
        <v>60</v>
      </c>
      <c r="I979" s="187">
        <v>11</v>
      </c>
      <c r="J979" s="187" t="s">
        <v>1026</v>
      </c>
      <c r="K979" s="187" t="s">
        <v>264</v>
      </c>
      <c r="L979" s="195"/>
      <c r="M979" s="195"/>
      <c r="N979" s="195"/>
      <c r="O979" s="199"/>
      <c r="P979" s="188"/>
      <c r="Q979" s="174">
        <f>IF(ISNUMBER(VLOOKUP(A979,NotghiID!A:A,1,FALSE)),1,0)</f>
        <v>0</v>
      </c>
    </row>
    <row r="980" spans="1:17" ht="14.25" x14ac:dyDescent="0.2">
      <c r="A980" s="183">
        <v>251</v>
      </c>
      <c r="B980" s="232" t="str">
        <f>IF(AND(A980&lt;&gt;"",ISNUMBER(A980)),VLOOKUP(A980,Studies!A:BR,2,FALSE),"")</f>
        <v>Heizmann 1983</v>
      </c>
      <c r="C980" s="232" t="str">
        <f>IF(AND(A980&lt;&gt;"",ISNUMBER(A980)),VLOOKUP(A980,Studies!A:BR,3,FALSE),"")</f>
        <v>http://www.ncbi.nlm.nih.gov/pubmed/6138080</v>
      </c>
      <c r="D980" s="232" t="str">
        <f>IF(AND(A980&lt;&gt;"",ISNUMBER(A980)),VLOOKUP(A980,Studies!A:BR,4,FALSE),"")</f>
        <v>po 10 mg - Indiv. R.H.</v>
      </c>
      <c r="E980" s="206" t="str">
        <f>IF(AND(A980&lt;&gt;"",ISNUMBER(A980)),VLOOKUP(A980,Studies!A:BR,5,FALSE),"")</f>
        <v>Midazolam</v>
      </c>
      <c r="F980" s="207" t="str">
        <f>IF(AND(A980&lt;&gt;"",ISNUMBER(A980)),VLOOKUP(A980,Studies!A:BR,6,FALSE),"")</f>
        <v>Plasma</v>
      </c>
      <c r="G980" s="194">
        <v>5</v>
      </c>
      <c r="H980" s="194" t="s">
        <v>60</v>
      </c>
      <c r="I980" s="187">
        <v>6</v>
      </c>
      <c r="J980" s="187" t="s">
        <v>1026</v>
      </c>
      <c r="K980" s="187" t="s">
        <v>264</v>
      </c>
      <c r="L980" s="195"/>
      <c r="M980" s="195"/>
      <c r="N980" s="195"/>
      <c r="O980" s="199"/>
      <c r="P980" s="188"/>
      <c r="Q980" s="174">
        <f>IF(ISNUMBER(VLOOKUP(A980,NotghiID!A:A,1,FALSE)),1,0)</f>
        <v>0</v>
      </c>
    </row>
    <row r="981" spans="1:17" ht="14.25" x14ac:dyDescent="0.2">
      <c r="A981" s="183">
        <v>251</v>
      </c>
      <c r="B981" s="232" t="str">
        <f>IF(AND(A981&lt;&gt;"",ISNUMBER(A981)),VLOOKUP(A981,Studies!A:BR,2,FALSE),"")</f>
        <v>Heizmann 1983</v>
      </c>
      <c r="C981" s="232" t="str">
        <f>IF(AND(A981&lt;&gt;"",ISNUMBER(A981)),VLOOKUP(A981,Studies!A:BR,3,FALSE),"")</f>
        <v>http://www.ncbi.nlm.nih.gov/pubmed/6138080</v>
      </c>
      <c r="D981" s="232" t="str">
        <f>IF(AND(A981&lt;&gt;"",ISNUMBER(A981)),VLOOKUP(A981,Studies!A:BR,4,FALSE),"")</f>
        <v>po 10 mg - Indiv. R.H.</v>
      </c>
      <c r="E981" s="206" t="str">
        <f>IF(AND(A981&lt;&gt;"",ISNUMBER(A981)),VLOOKUP(A981,Studies!A:BR,5,FALSE),"")</f>
        <v>Midazolam</v>
      </c>
      <c r="F981" s="207" t="str">
        <f>IF(AND(A981&lt;&gt;"",ISNUMBER(A981)),VLOOKUP(A981,Studies!A:BR,6,FALSE),"")</f>
        <v>Plasma</v>
      </c>
      <c r="G981" s="194">
        <v>6</v>
      </c>
      <c r="H981" s="194" t="s">
        <v>60</v>
      </c>
      <c r="I981" s="187">
        <v>4</v>
      </c>
      <c r="J981" s="187" t="s">
        <v>1026</v>
      </c>
      <c r="K981" s="187" t="s">
        <v>264</v>
      </c>
      <c r="L981" s="195"/>
      <c r="M981" s="195"/>
      <c r="N981" s="195"/>
      <c r="O981" s="199"/>
      <c r="P981" s="188"/>
      <c r="Q981" s="174">
        <f>IF(ISNUMBER(VLOOKUP(A981,NotghiID!A:A,1,FALSE)),1,0)</f>
        <v>0</v>
      </c>
    </row>
    <row r="982" spans="1:17" ht="14.25" x14ac:dyDescent="0.2">
      <c r="A982" s="183">
        <v>251</v>
      </c>
      <c r="B982" s="232" t="str">
        <f>IF(AND(A982&lt;&gt;"",ISNUMBER(A982)),VLOOKUP(A982,Studies!A:BR,2,FALSE),"")</f>
        <v>Heizmann 1983</v>
      </c>
      <c r="C982" s="232" t="str">
        <f>IF(AND(A982&lt;&gt;"",ISNUMBER(A982)),VLOOKUP(A982,Studies!A:BR,3,FALSE),"")</f>
        <v>http://www.ncbi.nlm.nih.gov/pubmed/6138080</v>
      </c>
      <c r="D982" s="232" t="str">
        <f>IF(AND(A982&lt;&gt;"",ISNUMBER(A982)),VLOOKUP(A982,Studies!A:BR,4,FALSE),"")</f>
        <v>po 10 mg - Indiv. R.H.</v>
      </c>
      <c r="E982" s="206" t="str">
        <f>IF(AND(A982&lt;&gt;"",ISNUMBER(A982)),VLOOKUP(A982,Studies!A:BR,5,FALSE),"")</f>
        <v>Midazolam</v>
      </c>
      <c r="F982" s="207" t="str">
        <f>IF(AND(A982&lt;&gt;"",ISNUMBER(A982)),VLOOKUP(A982,Studies!A:BR,6,FALSE),"")</f>
        <v>Plasma</v>
      </c>
      <c r="G982" s="194">
        <v>8</v>
      </c>
      <c r="H982" s="194" t="s">
        <v>60</v>
      </c>
      <c r="I982" s="187" t="s">
        <v>1119</v>
      </c>
      <c r="J982" s="187" t="s">
        <v>1026</v>
      </c>
      <c r="K982" s="187" t="s">
        <v>264</v>
      </c>
      <c r="L982" s="195"/>
      <c r="M982" s="195"/>
      <c r="N982" s="195"/>
      <c r="O982" s="199">
        <v>1</v>
      </c>
      <c r="P982" s="188"/>
      <c r="Q982" s="174">
        <f>IF(ISNUMBER(VLOOKUP(A982,NotghiID!A:A,1,FALSE)),1,0)</f>
        <v>0</v>
      </c>
    </row>
    <row r="983" spans="1:17" ht="14.25" x14ac:dyDescent="0.2">
      <c r="A983" s="183">
        <v>251</v>
      </c>
      <c r="B983" s="232" t="str">
        <f>IF(AND(A983&lt;&gt;"",ISNUMBER(A983)),VLOOKUP(A983,Studies!A:BR,2,FALSE),"")</f>
        <v>Heizmann 1983</v>
      </c>
      <c r="C983" s="232" t="str">
        <f>IF(AND(A983&lt;&gt;"",ISNUMBER(A983)),VLOOKUP(A983,Studies!A:BR,3,FALSE),"")</f>
        <v>http://www.ncbi.nlm.nih.gov/pubmed/6138080</v>
      </c>
      <c r="D983" s="232" t="str">
        <f>IF(AND(A983&lt;&gt;"",ISNUMBER(A983)),VLOOKUP(A983,Studies!A:BR,4,FALSE),"")</f>
        <v>po 10 mg - Indiv. R.H.</v>
      </c>
      <c r="E983" s="206" t="str">
        <f>IF(AND(A983&lt;&gt;"",ISNUMBER(A983)),VLOOKUP(A983,Studies!A:BR,5,FALSE),"")</f>
        <v>Midazolam</v>
      </c>
      <c r="F983" s="207" t="str">
        <f>IF(AND(A983&lt;&gt;"",ISNUMBER(A983)),VLOOKUP(A983,Studies!A:BR,6,FALSE),"")</f>
        <v>Plasma</v>
      </c>
      <c r="G983" s="194">
        <v>10</v>
      </c>
      <c r="H983" s="194" t="s">
        <v>60</v>
      </c>
      <c r="I983" s="187" t="s">
        <v>1119</v>
      </c>
      <c r="J983" s="187" t="s">
        <v>1026</v>
      </c>
      <c r="K983" s="187" t="s">
        <v>264</v>
      </c>
      <c r="L983" s="195"/>
      <c r="M983" s="195"/>
      <c r="N983" s="195"/>
      <c r="O983" s="199">
        <v>1</v>
      </c>
      <c r="P983" s="188"/>
      <c r="Q983" s="174">
        <f>IF(ISNUMBER(VLOOKUP(A983,NotghiID!A:A,1,FALSE)),1,0)</f>
        <v>0</v>
      </c>
    </row>
    <row r="984" spans="1:17" ht="14.25" x14ac:dyDescent="0.2">
      <c r="A984" s="183">
        <v>251</v>
      </c>
      <c r="B984" s="232" t="str">
        <f>IF(AND(A984&lt;&gt;"",ISNUMBER(A984)),VLOOKUP(A984,Studies!A:BR,2,FALSE),"")</f>
        <v>Heizmann 1983</v>
      </c>
      <c r="C984" s="232" t="str">
        <f>IF(AND(A984&lt;&gt;"",ISNUMBER(A984)),VLOOKUP(A984,Studies!A:BR,3,FALSE),"")</f>
        <v>http://www.ncbi.nlm.nih.gov/pubmed/6138080</v>
      </c>
      <c r="D984" s="232" t="str">
        <f>IF(AND(A984&lt;&gt;"",ISNUMBER(A984)),VLOOKUP(A984,Studies!A:BR,4,FALSE),"")</f>
        <v>po 10 mg - Indiv. R.H.</v>
      </c>
      <c r="E984" s="206" t="str">
        <f>IF(AND(A984&lt;&gt;"",ISNUMBER(A984)),VLOOKUP(A984,Studies!A:BR,5,FALSE),"")</f>
        <v>Midazolam</v>
      </c>
      <c r="F984" s="207" t="str">
        <f>IF(AND(A984&lt;&gt;"",ISNUMBER(A984)),VLOOKUP(A984,Studies!A:BR,6,FALSE),"")</f>
        <v>Plasma</v>
      </c>
      <c r="G984" s="194">
        <v>12</v>
      </c>
      <c r="H984" s="194" t="s">
        <v>60</v>
      </c>
      <c r="I984" s="187" t="s">
        <v>1119</v>
      </c>
      <c r="J984" s="187" t="s">
        <v>1026</v>
      </c>
      <c r="K984" s="187" t="s">
        <v>264</v>
      </c>
      <c r="L984" s="195"/>
      <c r="M984" s="195"/>
      <c r="N984" s="195"/>
      <c r="O984" s="199">
        <v>1</v>
      </c>
      <c r="P984" s="188"/>
      <c r="Q984" s="174">
        <f>IF(ISNUMBER(VLOOKUP(A984,NotghiID!A:A,1,FALSE)),1,0)</f>
        <v>0</v>
      </c>
    </row>
    <row r="985" spans="1:17" ht="14.25" x14ac:dyDescent="0.2">
      <c r="A985" s="183">
        <v>257</v>
      </c>
      <c r="B985" s="232" t="str">
        <f>IF(AND(A985&lt;&gt;"",ISNUMBER(A985)),VLOOKUP(A985,Studies!A:BR,2,FALSE),"")</f>
        <v>Heizmann 1983</v>
      </c>
      <c r="C985" s="232" t="str">
        <f>IF(AND(A985&lt;&gt;"",ISNUMBER(A985)),VLOOKUP(A985,Studies!A:BR,3,FALSE),"")</f>
        <v>http://www.ncbi.nlm.nih.gov/pubmed/6138080</v>
      </c>
      <c r="D985" s="232" t="str">
        <f>IF(AND(A985&lt;&gt;"",ISNUMBER(A985)),VLOOKUP(A985,Studies!A:BR,4,FALSE),"")</f>
        <v>po 20 mg - Indiv. R.H.</v>
      </c>
      <c r="E985" s="206" t="str">
        <f>IF(AND(A985&lt;&gt;"",ISNUMBER(A985)),VLOOKUP(A985,Studies!A:BR,5,FALSE),"")</f>
        <v>Midazolam</v>
      </c>
      <c r="F985" s="207" t="str">
        <f>IF(AND(A985&lt;&gt;"",ISNUMBER(A985)),VLOOKUP(A985,Studies!A:BR,6,FALSE),"")</f>
        <v>Plasma</v>
      </c>
      <c r="G985" s="194">
        <v>0.25</v>
      </c>
      <c r="H985" s="194" t="s">
        <v>60</v>
      </c>
      <c r="I985" s="187">
        <v>121</v>
      </c>
      <c r="J985" s="187" t="s">
        <v>1026</v>
      </c>
      <c r="K985" s="187" t="s">
        <v>264</v>
      </c>
      <c r="L985" s="195"/>
      <c r="M985" s="195"/>
      <c r="N985" s="195"/>
      <c r="O985" s="199"/>
      <c r="P985" s="188"/>
      <c r="Q985" s="174">
        <f>IF(ISNUMBER(VLOOKUP(A985,NotghiID!A:A,1,FALSE)),1,0)</f>
        <v>0</v>
      </c>
    </row>
    <row r="986" spans="1:17" ht="14.25" x14ac:dyDescent="0.2">
      <c r="A986" s="183">
        <v>257</v>
      </c>
      <c r="B986" s="232" t="str">
        <f>IF(AND(A986&lt;&gt;"",ISNUMBER(A986)),VLOOKUP(A986,Studies!A:BR,2,FALSE),"")</f>
        <v>Heizmann 1983</v>
      </c>
      <c r="C986" s="232" t="str">
        <f>IF(AND(A986&lt;&gt;"",ISNUMBER(A986)),VLOOKUP(A986,Studies!A:BR,3,FALSE),"")</f>
        <v>http://www.ncbi.nlm.nih.gov/pubmed/6138080</v>
      </c>
      <c r="D986" s="232" t="str">
        <f>IF(AND(A986&lt;&gt;"",ISNUMBER(A986)),VLOOKUP(A986,Studies!A:BR,4,FALSE),"")</f>
        <v>po 20 mg - Indiv. R.H.</v>
      </c>
      <c r="E986" s="206" t="str">
        <f>IF(AND(A986&lt;&gt;"",ISNUMBER(A986)),VLOOKUP(A986,Studies!A:BR,5,FALSE),"")</f>
        <v>Midazolam</v>
      </c>
      <c r="F986" s="207" t="str">
        <f>IF(AND(A986&lt;&gt;"",ISNUMBER(A986)),VLOOKUP(A986,Studies!A:BR,6,FALSE),"")</f>
        <v>Plasma</v>
      </c>
      <c r="G986" s="194">
        <v>0.5</v>
      </c>
      <c r="H986" s="194" t="s">
        <v>60</v>
      </c>
      <c r="I986" s="187">
        <v>223</v>
      </c>
      <c r="J986" s="187" t="s">
        <v>1026</v>
      </c>
      <c r="K986" s="187" t="s">
        <v>264</v>
      </c>
      <c r="L986" s="195"/>
      <c r="M986" s="195"/>
      <c r="N986" s="195"/>
      <c r="O986" s="199"/>
      <c r="P986" s="188"/>
      <c r="Q986" s="174">
        <f>IF(ISNUMBER(VLOOKUP(A986,NotghiID!A:A,1,FALSE)),1,0)</f>
        <v>0</v>
      </c>
    </row>
    <row r="987" spans="1:17" ht="14.25" x14ac:dyDescent="0.2">
      <c r="A987" s="183">
        <v>257</v>
      </c>
      <c r="B987" s="232" t="str">
        <f>IF(AND(A987&lt;&gt;"",ISNUMBER(A987)),VLOOKUP(A987,Studies!A:BR,2,FALSE),"")</f>
        <v>Heizmann 1983</v>
      </c>
      <c r="C987" s="232" t="str">
        <f>IF(AND(A987&lt;&gt;"",ISNUMBER(A987)),VLOOKUP(A987,Studies!A:BR,3,FALSE),"")</f>
        <v>http://www.ncbi.nlm.nih.gov/pubmed/6138080</v>
      </c>
      <c r="D987" s="232" t="str">
        <f>IF(AND(A987&lt;&gt;"",ISNUMBER(A987)),VLOOKUP(A987,Studies!A:BR,4,FALSE),"")</f>
        <v>po 20 mg - Indiv. R.H.</v>
      </c>
      <c r="E987" s="206" t="str">
        <f>IF(AND(A987&lt;&gt;"",ISNUMBER(A987)),VLOOKUP(A987,Studies!A:BR,5,FALSE),"")</f>
        <v>Midazolam</v>
      </c>
      <c r="F987" s="207" t="str">
        <f>IF(AND(A987&lt;&gt;"",ISNUMBER(A987)),VLOOKUP(A987,Studies!A:BR,6,FALSE),"")</f>
        <v>Plasma</v>
      </c>
      <c r="G987" s="194">
        <v>0.75</v>
      </c>
      <c r="H987" s="194" t="s">
        <v>60</v>
      </c>
      <c r="I987" s="187">
        <v>133</v>
      </c>
      <c r="J987" s="187" t="s">
        <v>1026</v>
      </c>
      <c r="K987" s="187" t="s">
        <v>264</v>
      </c>
      <c r="L987" s="195"/>
      <c r="M987" s="195"/>
      <c r="N987" s="195"/>
      <c r="O987" s="199"/>
      <c r="P987" s="188"/>
      <c r="Q987" s="174">
        <f>IF(ISNUMBER(VLOOKUP(A987,NotghiID!A:A,1,FALSE)),1,0)</f>
        <v>0</v>
      </c>
    </row>
    <row r="988" spans="1:17" ht="14.25" x14ac:dyDescent="0.2">
      <c r="A988" s="183">
        <v>257</v>
      </c>
      <c r="B988" s="232" t="str">
        <f>IF(AND(A988&lt;&gt;"",ISNUMBER(A988)),VLOOKUP(A988,Studies!A:BR,2,FALSE),"")</f>
        <v>Heizmann 1983</v>
      </c>
      <c r="C988" s="232" t="str">
        <f>IF(AND(A988&lt;&gt;"",ISNUMBER(A988)),VLOOKUP(A988,Studies!A:BR,3,FALSE),"")</f>
        <v>http://www.ncbi.nlm.nih.gov/pubmed/6138080</v>
      </c>
      <c r="D988" s="232" t="str">
        <f>IF(AND(A988&lt;&gt;"",ISNUMBER(A988)),VLOOKUP(A988,Studies!A:BR,4,FALSE),"")</f>
        <v>po 20 mg - Indiv. R.H.</v>
      </c>
      <c r="E988" s="206" t="str">
        <f>IF(AND(A988&lt;&gt;"",ISNUMBER(A988)),VLOOKUP(A988,Studies!A:BR,5,FALSE),"")</f>
        <v>Midazolam</v>
      </c>
      <c r="F988" s="207" t="str">
        <f>IF(AND(A988&lt;&gt;"",ISNUMBER(A988)),VLOOKUP(A988,Studies!A:BR,6,FALSE),"")</f>
        <v>Plasma</v>
      </c>
      <c r="G988" s="194">
        <v>1</v>
      </c>
      <c r="H988" s="194" t="s">
        <v>60</v>
      </c>
      <c r="I988" s="187">
        <v>100</v>
      </c>
      <c r="J988" s="187" t="s">
        <v>1026</v>
      </c>
      <c r="K988" s="187" t="s">
        <v>264</v>
      </c>
      <c r="L988" s="195"/>
      <c r="M988" s="195"/>
      <c r="N988" s="195"/>
      <c r="O988" s="199"/>
      <c r="P988" s="188"/>
      <c r="Q988" s="174">
        <f>IF(ISNUMBER(VLOOKUP(A988,NotghiID!A:A,1,FALSE)),1,0)</f>
        <v>0</v>
      </c>
    </row>
    <row r="989" spans="1:17" ht="14.25" x14ac:dyDescent="0.2">
      <c r="A989" s="183">
        <v>257</v>
      </c>
      <c r="B989" s="232" t="str">
        <f>IF(AND(A989&lt;&gt;"",ISNUMBER(A989)),VLOOKUP(A989,Studies!A:BR,2,FALSE),"")</f>
        <v>Heizmann 1983</v>
      </c>
      <c r="C989" s="232" t="str">
        <f>IF(AND(A989&lt;&gt;"",ISNUMBER(A989)),VLOOKUP(A989,Studies!A:BR,3,FALSE),"")</f>
        <v>http://www.ncbi.nlm.nih.gov/pubmed/6138080</v>
      </c>
      <c r="D989" s="232" t="str">
        <f>IF(AND(A989&lt;&gt;"",ISNUMBER(A989)),VLOOKUP(A989,Studies!A:BR,4,FALSE),"")</f>
        <v>po 20 mg - Indiv. R.H.</v>
      </c>
      <c r="E989" s="206" t="str">
        <f>IF(AND(A989&lt;&gt;"",ISNUMBER(A989)),VLOOKUP(A989,Studies!A:BR,5,FALSE),"")</f>
        <v>Midazolam</v>
      </c>
      <c r="F989" s="207" t="str">
        <f>IF(AND(A989&lt;&gt;"",ISNUMBER(A989)),VLOOKUP(A989,Studies!A:BR,6,FALSE),"")</f>
        <v>Plasma</v>
      </c>
      <c r="G989" s="194">
        <v>1.5</v>
      </c>
      <c r="H989" s="194" t="s">
        <v>60</v>
      </c>
      <c r="I989" s="187">
        <v>76</v>
      </c>
      <c r="J989" s="187" t="s">
        <v>1026</v>
      </c>
      <c r="K989" s="187" t="s">
        <v>264</v>
      </c>
      <c r="L989" s="195"/>
      <c r="M989" s="195"/>
      <c r="N989" s="195"/>
      <c r="O989" s="199"/>
      <c r="P989" s="188"/>
      <c r="Q989" s="174">
        <f>IF(ISNUMBER(VLOOKUP(A989,NotghiID!A:A,1,FALSE)),1,0)</f>
        <v>0</v>
      </c>
    </row>
    <row r="990" spans="1:17" ht="14.25" x14ac:dyDescent="0.2">
      <c r="A990" s="183">
        <v>257</v>
      </c>
      <c r="B990" s="232" t="str">
        <f>IF(AND(A990&lt;&gt;"",ISNUMBER(A990)),VLOOKUP(A990,Studies!A:BR,2,FALSE),"")</f>
        <v>Heizmann 1983</v>
      </c>
      <c r="C990" s="232" t="str">
        <f>IF(AND(A990&lt;&gt;"",ISNUMBER(A990)),VLOOKUP(A990,Studies!A:BR,3,FALSE),"")</f>
        <v>http://www.ncbi.nlm.nih.gov/pubmed/6138080</v>
      </c>
      <c r="D990" s="232" t="str">
        <f>IF(AND(A990&lt;&gt;"",ISNUMBER(A990)),VLOOKUP(A990,Studies!A:BR,4,FALSE),"")</f>
        <v>po 20 mg - Indiv. R.H.</v>
      </c>
      <c r="E990" s="206" t="str">
        <f>IF(AND(A990&lt;&gt;"",ISNUMBER(A990)),VLOOKUP(A990,Studies!A:BR,5,FALSE),"")</f>
        <v>Midazolam</v>
      </c>
      <c r="F990" s="207" t="str">
        <f>IF(AND(A990&lt;&gt;"",ISNUMBER(A990)),VLOOKUP(A990,Studies!A:BR,6,FALSE),"")</f>
        <v>Plasma</v>
      </c>
      <c r="G990" s="194">
        <v>2</v>
      </c>
      <c r="H990" s="194" t="s">
        <v>60</v>
      </c>
      <c r="I990" s="187">
        <v>64</v>
      </c>
      <c r="J990" s="187" t="s">
        <v>1026</v>
      </c>
      <c r="K990" s="187" t="s">
        <v>264</v>
      </c>
      <c r="L990" s="195"/>
      <c r="M990" s="195"/>
      <c r="N990" s="195"/>
      <c r="O990" s="199"/>
      <c r="P990" s="188"/>
      <c r="Q990" s="174">
        <f>IF(ISNUMBER(VLOOKUP(A990,NotghiID!A:A,1,FALSE)),1,0)</f>
        <v>0</v>
      </c>
    </row>
    <row r="991" spans="1:17" ht="14.25" x14ac:dyDescent="0.2">
      <c r="A991" s="183">
        <v>257</v>
      </c>
      <c r="B991" s="232" t="str">
        <f>IF(AND(A991&lt;&gt;"",ISNUMBER(A991)),VLOOKUP(A991,Studies!A:BR,2,FALSE),"")</f>
        <v>Heizmann 1983</v>
      </c>
      <c r="C991" s="232" t="str">
        <f>IF(AND(A991&lt;&gt;"",ISNUMBER(A991)),VLOOKUP(A991,Studies!A:BR,3,FALSE),"")</f>
        <v>http://www.ncbi.nlm.nih.gov/pubmed/6138080</v>
      </c>
      <c r="D991" s="232" t="str">
        <f>IF(AND(A991&lt;&gt;"",ISNUMBER(A991)),VLOOKUP(A991,Studies!A:BR,4,FALSE),"")</f>
        <v>po 20 mg - Indiv. R.H.</v>
      </c>
      <c r="E991" s="206" t="str">
        <f>IF(AND(A991&lt;&gt;"",ISNUMBER(A991)),VLOOKUP(A991,Studies!A:BR,5,FALSE),"")</f>
        <v>Midazolam</v>
      </c>
      <c r="F991" s="207" t="str">
        <f>IF(AND(A991&lt;&gt;"",ISNUMBER(A991)),VLOOKUP(A991,Studies!A:BR,6,FALSE),"")</f>
        <v>Plasma</v>
      </c>
      <c r="G991" s="194">
        <v>3</v>
      </c>
      <c r="H991" s="194" t="s">
        <v>60</v>
      </c>
      <c r="I991" s="187">
        <v>52</v>
      </c>
      <c r="J991" s="187" t="s">
        <v>1026</v>
      </c>
      <c r="K991" s="187" t="s">
        <v>264</v>
      </c>
      <c r="L991" s="195"/>
      <c r="M991" s="195"/>
      <c r="N991" s="195"/>
      <c r="O991" s="199"/>
      <c r="P991" s="188"/>
      <c r="Q991" s="174">
        <f>IF(ISNUMBER(VLOOKUP(A991,NotghiID!A:A,1,FALSE)),1,0)</f>
        <v>0</v>
      </c>
    </row>
    <row r="992" spans="1:17" ht="14.25" x14ac:dyDescent="0.2">
      <c r="A992" s="183">
        <v>257</v>
      </c>
      <c r="B992" s="232" t="str">
        <f>IF(AND(A992&lt;&gt;"",ISNUMBER(A992)),VLOOKUP(A992,Studies!A:BR,2,FALSE),"")</f>
        <v>Heizmann 1983</v>
      </c>
      <c r="C992" s="232" t="str">
        <f>IF(AND(A992&lt;&gt;"",ISNUMBER(A992)),VLOOKUP(A992,Studies!A:BR,3,FALSE),"")</f>
        <v>http://www.ncbi.nlm.nih.gov/pubmed/6138080</v>
      </c>
      <c r="D992" s="232" t="str">
        <f>IF(AND(A992&lt;&gt;"",ISNUMBER(A992)),VLOOKUP(A992,Studies!A:BR,4,FALSE),"")</f>
        <v>po 20 mg - Indiv. R.H.</v>
      </c>
      <c r="E992" s="206" t="str">
        <f>IF(AND(A992&lt;&gt;"",ISNUMBER(A992)),VLOOKUP(A992,Studies!A:BR,5,FALSE),"")</f>
        <v>Midazolam</v>
      </c>
      <c r="F992" s="207" t="str">
        <f>IF(AND(A992&lt;&gt;"",ISNUMBER(A992)),VLOOKUP(A992,Studies!A:BR,6,FALSE),"")</f>
        <v>Plasma</v>
      </c>
      <c r="G992" s="194">
        <v>4</v>
      </c>
      <c r="H992" s="194" t="s">
        <v>60</v>
      </c>
      <c r="I992" s="187">
        <v>28</v>
      </c>
      <c r="J992" s="187" t="s">
        <v>1026</v>
      </c>
      <c r="K992" s="187" t="s">
        <v>264</v>
      </c>
      <c r="L992" s="195"/>
      <c r="M992" s="195"/>
      <c r="N992" s="195"/>
      <c r="O992" s="199"/>
      <c r="P992" s="188"/>
      <c r="Q992" s="174">
        <f>IF(ISNUMBER(VLOOKUP(A992,NotghiID!A:A,1,FALSE)),1,0)</f>
        <v>0</v>
      </c>
    </row>
    <row r="993" spans="1:17" ht="14.25" x14ac:dyDescent="0.2">
      <c r="A993" s="183">
        <v>257</v>
      </c>
      <c r="B993" s="232" t="str">
        <f>IF(AND(A993&lt;&gt;"",ISNUMBER(A993)),VLOOKUP(A993,Studies!A:BR,2,FALSE),"")</f>
        <v>Heizmann 1983</v>
      </c>
      <c r="C993" s="232" t="str">
        <f>IF(AND(A993&lt;&gt;"",ISNUMBER(A993)),VLOOKUP(A993,Studies!A:BR,3,FALSE),"")</f>
        <v>http://www.ncbi.nlm.nih.gov/pubmed/6138080</v>
      </c>
      <c r="D993" s="232" t="str">
        <f>IF(AND(A993&lt;&gt;"",ISNUMBER(A993)),VLOOKUP(A993,Studies!A:BR,4,FALSE),"")</f>
        <v>po 20 mg - Indiv. R.H.</v>
      </c>
      <c r="E993" s="206" t="str">
        <f>IF(AND(A993&lt;&gt;"",ISNUMBER(A993)),VLOOKUP(A993,Studies!A:BR,5,FALSE),"")</f>
        <v>Midazolam</v>
      </c>
      <c r="F993" s="207" t="str">
        <f>IF(AND(A993&lt;&gt;"",ISNUMBER(A993)),VLOOKUP(A993,Studies!A:BR,6,FALSE),"")</f>
        <v>Plasma</v>
      </c>
      <c r="G993" s="194">
        <v>5</v>
      </c>
      <c r="H993" s="194" t="s">
        <v>60</v>
      </c>
      <c r="I993" s="187">
        <v>17</v>
      </c>
      <c r="J993" s="187" t="s">
        <v>1026</v>
      </c>
      <c r="K993" s="187" t="s">
        <v>264</v>
      </c>
      <c r="L993" s="195"/>
      <c r="M993" s="195"/>
      <c r="N993" s="195"/>
      <c r="O993" s="199"/>
      <c r="P993" s="188"/>
      <c r="Q993" s="174">
        <f>IF(ISNUMBER(VLOOKUP(A993,NotghiID!A:A,1,FALSE)),1,0)</f>
        <v>0</v>
      </c>
    </row>
    <row r="994" spans="1:17" ht="14.25" x14ac:dyDescent="0.2">
      <c r="A994" s="183">
        <v>257</v>
      </c>
      <c r="B994" s="232" t="str">
        <f>IF(AND(A994&lt;&gt;"",ISNUMBER(A994)),VLOOKUP(A994,Studies!A:BR,2,FALSE),"")</f>
        <v>Heizmann 1983</v>
      </c>
      <c r="C994" s="232" t="str">
        <f>IF(AND(A994&lt;&gt;"",ISNUMBER(A994)),VLOOKUP(A994,Studies!A:BR,3,FALSE),"")</f>
        <v>http://www.ncbi.nlm.nih.gov/pubmed/6138080</v>
      </c>
      <c r="D994" s="232" t="str">
        <f>IF(AND(A994&lt;&gt;"",ISNUMBER(A994)),VLOOKUP(A994,Studies!A:BR,4,FALSE),"")</f>
        <v>po 20 mg - Indiv. R.H.</v>
      </c>
      <c r="E994" s="206" t="str">
        <f>IF(AND(A994&lt;&gt;"",ISNUMBER(A994)),VLOOKUP(A994,Studies!A:BR,5,FALSE),"")</f>
        <v>Midazolam</v>
      </c>
      <c r="F994" s="207" t="str">
        <f>IF(AND(A994&lt;&gt;"",ISNUMBER(A994)),VLOOKUP(A994,Studies!A:BR,6,FALSE),"")</f>
        <v>Plasma</v>
      </c>
      <c r="G994" s="194">
        <v>6</v>
      </c>
      <c r="H994" s="194" t="s">
        <v>60</v>
      </c>
      <c r="I994" s="187">
        <v>11</v>
      </c>
      <c r="J994" s="187" t="s">
        <v>1026</v>
      </c>
      <c r="K994" s="187" t="s">
        <v>264</v>
      </c>
      <c r="L994" s="195"/>
      <c r="M994" s="195"/>
      <c r="N994" s="195"/>
      <c r="O994" s="199"/>
      <c r="P994" s="188"/>
      <c r="Q994" s="174">
        <f>IF(ISNUMBER(VLOOKUP(A994,NotghiID!A:A,1,FALSE)),1,0)</f>
        <v>0</v>
      </c>
    </row>
    <row r="995" spans="1:17" ht="14.25" x14ac:dyDescent="0.2">
      <c r="A995" s="183">
        <v>257</v>
      </c>
      <c r="B995" s="232" t="str">
        <f>IF(AND(A995&lt;&gt;"",ISNUMBER(A995)),VLOOKUP(A995,Studies!A:BR,2,FALSE),"")</f>
        <v>Heizmann 1983</v>
      </c>
      <c r="C995" s="232" t="str">
        <f>IF(AND(A995&lt;&gt;"",ISNUMBER(A995)),VLOOKUP(A995,Studies!A:BR,3,FALSE),"")</f>
        <v>http://www.ncbi.nlm.nih.gov/pubmed/6138080</v>
      </c>
      <c r="D995" s="232" t="str">
        <f>IF(AND(A995&lt;&gt;"",ISNUMBER(A995)),VLOOKUP(A995,Studies!A:BR,4,FALSE),"")</f>
        <v>po 20 mg - Indiv. R.H.</v>
      </c>
      <c r="E995" s="206" t="str">
        <f>IF(AND(A995&lt;&gt;"",ISNUMBER(A995)),VLOOKUP(A995,Studies!A:BR,5,FALSE),"")</f>
        <v>Midazolam</v>
      </c>
      <c r="F995" s="207" t="str">
        <f>IF(AND(A995&lt;&gt;"",ISNUMBER(A995)),VLOOKUP(A995,Studies!A:BR,6,FALSE),"")</f>
        <v>Plasma</v>
      </c>
      <c r="G995" s="194">
        <v>8</v>
      </c>
      <c r="H995" s="194" t="s">
        <v>60</v>
      </c>
      <c r="I995" s="187">
        <v>4.5</v>
      </c>
      <c r="J995" s="187" t="s">
        <v>1026</v>
      </c>
      <c r="K995" s="187" t="s">
        <v>264</v>
      </c>
      <c r="L995" s="195"/>
      <c r="M995" s="195"/>
      <c r="N995" s="195"/>
      <c r="O995" s="199"/>
      <c r="P995" s="188"/>
      <c r="Q995" s="174">
        <f>IF(ISNUMBER(VLOOKUP(A995,NotghiID!A:A,1,FALSE)),1,0)</f>
        <v>0</v>
      </c>
    </row>
    <row r="996" spans="1:17" ht="14.25" x14ac:dyDescent="0.2">
      <c r="A996" s="183">
        <v>257</v>
      </c>
      <c r="B996" s="232" t="str">
        <f>IF(AND(A996&lt;&gt;"",ISNUMBER(A996)),VLOOKUP(A996,Studies!A:BR,2,FALSE),"")</f>
        <v>Heizmann 1983</v>
      </c>
      <c r="C996" s="232" t="str">
        <f>IF(AND(A996&lt;&gt;"",ISNUMBER(A996)),VLOOKUP(A996,Studies!A:BR,3,FALSE),"")</f>
        <v>http://www.ncbi.nlm.nih.gov/pubmed/6138080</v>
      </c>
      <c r="D996" s="232" t="str">
        <f>IF(AND(A996&lt;&gt;"",ISNUMBER(A996)),VLOOKUP(A996,Studies!A:BR,4,FALSE),"")</f>
        <v>po 20 mg - Indiv. R.H.</v>
      </c>
      <c r="E996" s="206" t="str">
        <f>IF(AND(A996&lt;&gt;"",ISNUMBER(A996)),VLOOKUP(A996,Studies!A:BR,5,FALSE),"")</f>
        <v>Midazolam</v>
      </c>
      <c r="F996" s="207" t="str">
        <f>IF(AND(A996&lt;&gt;"",ISNUMBER(A996)),VLOOKUP(A996,Studies!A:BR,6,FALSE),"")</f>
        <v>Plasma</v>
      </c>
      <c r="G996" s="194">
        <v>10</v>
      </c>
      <c r="H996" s="194" t="s">
        <v>60</v>
      </c>
      <c r="I996" s="187" t="s">
        <v>1119</v>
      </c>
      <c r="J996" s="187" t="s">
        <v>1026</v>
      </c>
      <c r="K996" s="187" t="s">
        <v>264</v>
      </c>
      <c r="L996" s="195"/>
      <c r="M996" s="195"/>
      <c r="N996" s="195"/>
      <c r="O996" s="199">
        <v>1</v>
      </c>
      <c r="P996" s="188"/>
      <c r="Q996" s="174">
        <f>IF(ISNUMBER(VLOOKUP(A996,NotghiID!A:A,1,FALSE)),1,0)</f>
        <v>0</v>
      </c>
    </row>
    <row r="997" spans="1:17" ht="14.25" x14ac:dyDescent="0.2">
      <c r="A997" s="183">
        <v>257</v>
      </c>
      <c r="B997" s="232" t="str">
        <f>IF(AND(A997&lt;&gt;"",ISNUMBER(A997)),VLOOKUP(A997,Studies!A:BR,2,FALSE),"")</f>
        <v>Heizmann 1983</v>
      </c>
      <c r="C997" s="232" t="str">
        <f>IF(AND(A997&lt;&gt;"",ISNUMBER(A997)),VLOOKUP(A997,Studies!A:BR,3,FALSE),"")</f>
        <v>http://www.ncbi.nlm.nih.gov/pubmed/6138080</v>
      </c>
      <c r="D997" s="232" t="str">
        <f>IF(AND(A997&lt;&gt;"",ISNUMBER(A997)),VLOOKUP(A997,Studies!A:BR,4,FALSE),"")</f>
        <v>po 20 mg - Indiv. R.H.</v>
      </c>
      <c r="E997" s="206" t="str">
        <f>IF(AND(A997&lt;&gt;"",ISNUMBER(A997)),VLOOKUP(A997,Studies!A:BR,5,FALSE),"")</f>
        <v>Midazolam</v>
      </c>
      <c r="F997" s="207" t="str">
        <f>IF(AND(A997&lt;&gt;"",ISNUMBER(A997)),VLOOKUP(A997,Studies!A:BR,6,FALSE),"")</f>
        <v>Plasma</v>
      </c>
      <c r="G997" s="194">
        <v>12</v>
      </c>
      <c r="H997" s="194" t="s">
        <v>60</v>
      </c>
      <c r="I997" s="187" t="s">
        <v>1119</v>
      </c>
      <c r="J997" s="187" t="s">
        <v>1026</v>
      </c>
      <c r="K997" s="187" t="s">
        <v>264</v>
      </c>
      <c r="L997" s="195"/>
      <c r="M997" s="195"/>
      <c r="N997" s="195"/>
      <c r="O997" s="199">
        <v>1</v>
      </c>
      <c r="P997" s="188"/>
      <c r="Q997" s="174">
        <f>IF(ISNUMBER(VLOOKUP(A997,NotghiID!A:A,1,FALSE)),1,0)</f>
        <v>0</v>
      </c>
    </row>
    <row r="998" spans="1:17" ht="14.25" x14ac:dyDescent="0.2">
      <c r="A998" s="183">
        <v>265</v>
      </c>
      <c r="B998" s="232" t="str">
        <f>IF(AND(A998&lt;&gt;"",ISNUMBER(A998)),VLOOKUP(A998,Studies!A:BR,2,FALSE),"")</f>
        <v>Hyland 2009</v>
      </c>
      <c r="C998" s="232" t="str">
        <f>IF(AND(A998&lt;&gt;"",ISNUMBER(A998)),VLOOKUP(A998,Studies!A:BR,3,FALSE),"")</f>
        <v>https://www.ncbi.nlm.nih.gov/pubmed/19371318</v>
      </c>
      <c r="D998" s="232" t="str">
        <f>IF(AND(A998&lt;&gt;"",ISNUMBER(A998)),VLOOKUP(A998,Studies!A:BR,4,FALSE),"")</f>
        <v>3-mg oral dose</v>
      </c>
      <c r="E998" s="206" t="str">
        <f>IF(AND(A998&lt;&gt;"",ISNUMBER(A998)),VLOOKUP(A998,Studies!A:BR,5,FALSE),"")</f>
        <v>Midazolam-N-Glucuronide</v>
      </c>
      <c r="F998" s="207" t="str">
        <f>IF(AND(A998&lt;&gt;"",ISNUMBER(A998)),VLOOKUP(A998,Studies!A:BR,6,FALSE),"")</f>
        <v>Urine</v>
      </c>
      <c r="G998" s="194">
        <v>24</v>
      </c>
      <c r="H998" s="194" t="s">
        <v>60</v>
      </c>
      <c r="I998" s="187">
        <v>48.8473531364221</v>
      </c>
      <c r="J998" s="187" t="s">
        <v>531</v>
      </c>
      <c r="K998" s="187" t="s">
        <v>1029</v>
      </c>
      <c r="L998" s="195">
        <v>1.9361755584488149</v>
      </c>
      <c r="M998" s="195"/>
      <c r="N998" s="195" t="s">
        <v>1120</v>
      </c>
      <c r="O998" s="199"/>
      <c r="P998" s="188" t="s">
        <v>1121</v>
      </c>
      <c r="Q998" s="174">
        <f>IF(ISNUMBER(VLOOKUP(A998,NotghiID!A:A,1,FALSE)),1,0)</f>
        <v>0</v>
      </c>
    </row>
    <row r="999" spans="1:17" ht="14.25" x14ac:dyDescent="0.2">
      <c r="A999" s="183">
        <v>266</v>
      </c>
      <c r="B999" s="232" t="str">
        <f>IF(AND(A999&lt;&gt;"",ISNUMBER(A999)),VLOOKUP(A999,Studies!A:BR,2,FALSE),"")</f>
        <v>Hyland 2009</v>
      </c>
      <c r="C999" s="232" t="str">
        <f>IF(AND(A999&lt;&gt;"",ISNUMBER(A999)),VLOOKUP(A999,Studies!A:BR,3,FALSE),"")</f>
        <v>https://www.ncbi.nlm.nih.gov/pubmed/19371318</v>
      </c>
      <c r="D999" s="232" t="str">
        <f>IF(AND(A999&lt;&gt;"",ISNUMBER(A999)),VLOOKUP(A999,Studies!A:BR,4,FALSE),"")</f>
        <v>1-mg i.v. dose</v>
      </c>
      <c r="E999" s="206" t="str">
        <f>IF(AND(A999&lt;&gt;"",ISNUMBER(A999)),VLOOKUP(A999,Studies!A:BR,5,FALSE),"")</f>
        <v>Midazolam-N-Glucuronide</v>
      </c>
      <c r="F999" s="207" t="str">
        <f>IF(AND(A999&lt;&gt;"",ISNUMBER(A999)),VLOOKUP(A999,Studies!A:BR,6,FALSE),"")</f>
        <v>Urine</v>
      </c>
      <c r="G999" s="194">
        <v>24</v>
      </c>
      <c r="H999" s="194" t="s">
        <v>60</v>
      </c>
      <c r="I999" s="187">
        <v>30.648138229076729</v>
      </c>
      <c r="J999" s="187" t="s">
        <v>531</v>
      </c>
      <c r="K999" s="187" t="s">
        <v>1029</v>
      </c>
      <c r="L999" s="195">
        <v>1.5725638076882553</v>
      </c>
      <c r="M999" s="195"/>
      <c r="N999" s="195" t="s">
        <v>1120</v>
      </c>
      <c r="O999" s="199"/>
      <c r="P999" s="188" t="s">
        <v>1121</v>
      </c>
      <c r="Q999" s="174">
        <f>IF(ISNUMBER(VLOOKUP(A999,NotghiID!A:A,1,FALSE)),1,0)</f>
        <v>0</v>
      </c>
    </row>
    <row r="1000" spans="1:17" ht="14.25" x14ac:dyDescent="0.2">
      <c r="A1000" s="183">
        <v>267</v>
      </c>
      <c r="B1000" s="232" t="str">
        <f>IF(AND(A1000&lt;&gt;"",ISNUMBER(A1000)),VLOOKUP(A1000,Studies!A:BR,2,FALSE),"")</f>
        <v>Hyland 2009</v>
      </c>
      <c r="C1000" s="232" t="str">
        <f>IF(AND(A1000&lt;&gt;"",ISNUMBER(A1000)),VLOOKUP(A1000,Studies!A:BR,3,FALSE),"")</f>
        <v>https://www.ncbi.nlm.nih.gov/pubmed/19371318</v>
      </c>
      <c r="D1000" s="232" t="str">
        <f>IF(AND(A1000&lt;&gt;"",ISNUMBER(A1000)),VLOOKUP(A1000,Studies!A:BR,4,FALSE),"")</f>
        <v>3-mg oral dose (as fraction of dose)</v>
      </c>
      <c r="E1000" s="206" t="str">
        <f>IF(AND(A1000&lt;&gt;"",ISNUMBER(A1000)),VLOOKUP(A1000,Studies!A:BR,5,FALSE),"")</f>
        <v>Midazolam-N-Glucuronide</v>
      </c>
      <c r="F1000" s="207" t="str">
        <f>IF(AND(A1000&lt;&gt;"",ISNUMBER(A1000)),VLOOKUP(A1000,Studies!A:BR,6,FALSE),"")</f>
        <v>Urine</v>
      </c>
      <c r="G1000" s="194">
        <v>24</v>
      </c>
      <c r="H1000" s="194" t="s">
        <v>60</v>
      </c>
      <c r="I1000" s="187">
        <v>1.2851317726488485</v>
      </c>
      <c r="J1000" s="187" t="s">
        <v>517</v>
      </c>
      <c r="K1000" s="187" t="s">
        <v>116</v>
      </c>
      <c r="L1000" s="195">
        <v>0.98703771508340676</v>
      </c>
      <c r="M1000" s="195" t="s">
        <v>517</v>
      </c>
      <c r="N1000" s="195" t="s">
        <v>117</v>
      </c>
      <c r="O1000" s="199"/>
      <c r="P1000" s="188" t="s">
        <v>1121</v>
      </c>
      <c r="Q1000" s="174">
        <f>IF(ISNUMBER(VLOOKUP(A1000,NotghiID!A:A,1,FALSE)),1,0)</f>
        <v>0</v>
      </c>
    </row>
    <row r="1001" spans="1:17" ht="14.25" x14ac:dyDescent="0.2">
      <c r="A1001" s="183">
        <v>268</v>
      </c>
      <c r="B1001" s="232" t="str">
        <f>IF(AND(A1001&lt;&gt;"",ISNUMBER(A1001)),VLOOKUP(A1001,Studies!A:BR,2,FALSE),"")</f>
        <v>Hyland 2009</v>
      </c>
      <c r="C1001" s="232" t="str">
        <f>IF(AND(A1001&lt;&gt;"",ISNUMBER(A1001)),VLOOKUP(A1001,Studies!A:BR,3,FALSE),"")</f>
        <v>https://www.ncbi.nlm.nih.gov/pubmed/19371318</v>
      </c>
      <c r="D1001" s="232" t="str">
        <f>IF(AND(A1001&lt;&gt;"",ISNUMBER(A1001)),VLOOKUP(A1001,Studies!A:BR,4,FALSE),"")</f>
        <v>1-mg i.v. dose (as fraction of dose)</v>
      </c>
      <c r="E1001" s="206" t="str">
        <f>IF(AND(A1001&lt;&gt;"",ISNUMBER(A1001)),VLOOKUP(A1001,Studies!A:BR,5,FALSE),"")</f>
        <v>Midazolam-N-Glucuronide</v>
      </c>
      <c r="F1001" s="207" t="str">
        <f>IF(AND(A1001&lt;&gt;"",ISNUMBER(A1001)),VLOOKUP(A1001,Studies!A:BR,6,FALSE),"")</f>
        <v>Urine</v>
      </c>
      <c r="G1001" s="194">
        <v>24</v>
      </c>
      <c r="H1001" s="194" t="s">
        <v>60</v>
      </c>
      <c r="I1001" s="187">
        <v>2.164678692938343</v>
      </c>
      <c r="J1001" s="187" t="s">
        <v>517</v>
      </c>
      <c r="K1001" s="187" t="s">
        <v>116</v>
      </c>
      <c r="L1001" s="195">
        <v>1.007360933439339</v>
      </c>
      <c r="M1001" s="195" t="s">
        <v>517</v>
      </c>
      <c r="N1001" s="195" t="s">
        <v>117</v>
      </c>
      <c r="O1001" s="199"/>
      <c r="P1001" s="188" t="s">
        <v>1121</v>
      </c>
      <c r="Q1001" s="174">
        <f>IF(ISNUMBER(VLOOKUP(A1001,NotghiID!A:A,1,FALSE)),1,0)</f>
        <v>0</v>
      </c>
    </row>
    <row r="1002" spans="1:17" ht="14.25" x14ac:dyDescent="0.2">
      <c r="A1002" s="183">
        <v>429</v>
      </c>
      <c r="B1002" s="232" t="str">
        <f>IF(AND(A1002&lt;&gt;"",ISNUMBER(A1002)),VLOOKUP(A1002,Studies!A:BR,2,FALSE),"")</f>
        <v>Thummel 1996</v>
      </c>
      <c r="C1002" s="232" t="str">
        <f>IF(AND(A1002&lt;&gt;"",ISNUMBER(A1002)),VLOOKUP(A1002,Studies!A:BR,3,FALSE),"")</f>
        <v>https://www.ncbi.nlm.nih.gov/pubmed/8646820</v>
      </c>
      <c r="D1002" s="232" t="str">
        <f>IF(AND(A1002&lt;&gt;"",ISNUMBER(A1002)),VLOOKUP(A1002,Studies!A:BR,4,FALSE),"")</f>
        <v>iv - female</v>
      </c>
      <c r="E1002" s="206" t="str">
        <f>IF(AND(A1002&lt;&gt;"",ISNUMBER(A1002)),VLOOKUP(A1002,Studies!A:BR,5,FALSE),"")</f>
        <v>Midazolam</v>
      </c>
      <c r="F1002" s="207" t="str">
        <f>IF(AND(A1002&lt;&gt;"",ISNUMBER(A1002)),VLOOKUP(A1002,Studies!A:BR,6,FALSE),"")</f>
        <v>Urine</v>
      </c>
      <c r="G1002" s="194">
        <v>24</v>
      </c>
      <c r="H1002" s="194" t="s">
        <v>60</v>
      </c>
      <c r="I1002" s="187">
        <v>0.27</v>
      </c>
      <c r="J1002" s="187" t="s">
        <v>517</v>
      </c>
      <c r="K1002" s="187" t="s">
        <v>116</v>
      </c>
      <c r="L1002" s="195">
        <v>0.06</v>
      </c>
      <c r="M1002" s="195" t="s">
        <v>517</v>
      </c>
      <c r="N1002" s="195" t="s">
        <v>117</v>
      </c>
      <c r="O1002" s="199"/>
      <c r="P1002" s="188" t="s">
        <v>1118</v>
      </c>
      <c r="Q1002" s="174">
        <f>IF(ISNUMBER(VLOOKUP(A1002,NotghiID!A:A,1,FALSE)),1,0)</f>
        <v>0</v>
      </c>
    </row>
    <row r="1003" spans="1:17" ht="14.25" x14ac:dyDescent="0.2">
      <c r="A1003" s="183">
        <v>430</v>
      </c>
      <c r="B1003" s="232" t="str">
        <f>IF(AND(A1003&lt;&gt;"",ISNUMBER(A1003)),VLOOKUP(A1003,Studies!A:BR,2,FALSE),"")</f>
        <v>Thummel 1996</v>
      </c>
      <c r="C1003" s="232" t="str">
        <f>IF(AND(A1003&lt;&gt;"",ISNUMBER(A1003)),VLOOKUP(A1003,Studies!A:BR,3,FALSE),"")</f>
        <v>https://www.ncbi.nlm.nih.gov/pubmed/8646820</v>
      </c>
      <c r="D1003" s="232" t="str">
        <f>IF(AND(A1003&lt;&gt;"",ISNUMBER(A1003)),VLOOKUP(A1003,Studies!A:BR,4,FALSE),"")</f>
        <v>iv - male</v>
      </c>
      <c r="E1003" s="206" t="str">
        <f>IF(AND(A1003&lt;&gt;"",ISNUMBER(A1003)),VLOOKUP(A1003,Studies!A:BR,5,FALSE),"")</f>
        <v>Midazolam</v>
      </c>
      <c r="F1003" s="207" t="str">
        <f>IF(AND(A1003&lt;&gt;"",ISNUMBER(A1003)),VLOOKUP(A1003,Studies!A:BR,6,FALSE),"")</f>
        <v>Urine</v>
      </c>
      <c r="G1003" s="194">
        <v>24</v>
      </c>
      <c r="H1003" s="194" t="s">
        <v>60</v>
      </c>
      <c r="I1003" s="187">
        <v>0.28000000000000003</v>
      </c>
      <c r="J1003" s="187" t="s">
        <v>517</v>
      </c>
      <c r="K1003" s="187" t="s">
        <v>116</v>
      </c>
      <c r="L1003" s="195">
        <v>0.09</v>
      </c>
      <c r="M1003" s="195" t="s">
        <v>517</v>
      </c>
      <c r="N1003" s="195" t="s">
        <v>117</v>
      </c>
      <c r="O1003" s="199"/>
      <c r="P1003" s="188" t="s">
        <v>1118</v>
      </c>
      <c r="Q1003" s="174">
        <f>IF(ISNUMBER(VLOOKUP(A1003,NotghiID!A:A,1,FALSE)),1,0)</f>
        <v>0</v>
      </c>
    </row>
    <row r="1004" spans="1:17" ht="14.25" x14ac:dyDescent="0.2">
      <c r="A1004" s="183">
        <v>431</v>
      </c>
      <c r="B1004" s="232" t="str">
        <f>IF(AND(A1004&lt;&gt;"",ISNUMBER(A1004)),VLOOKUP(A1004,Studies!A:BR,2,FALSE),"")</f>
        <v>Thummel 1996</v>
      </c>
      <c r="C1004" s="232" t="str">
        <f>IF(AND(A1004&lt;&gt;"",ISNUMBER(A1004)),VLOOKUP(A1004,Studies!A:BR,3,FALSE),"")</f>
        <v>https://www.ncbi.nlm.nih.gov/pubmed/8646820</v>
      </c>
      <c r="D1004" s="232" t="str">
        <f>IF(AND(A1004&lt;&gt;"",ISNUMBER(A1004)),VLOOKUP(A1004,Studies!A:BR,4,FALSE),"")</f>
        <v>po - female</v>
      </c>
      <c r="E1004" s="206" t="str">
        <f>IF(AND(A1004&lt;&gt;"",ISNUMBER(A1004)),VLOOKUP(A1004,Studies!A:BR,5,FALSE),"")</f>
        <v>Midazolam</v>
      </c>
      <c r="F1004" s="207" t="str">
        <f>IF(AND(A1004&lt;&gt;"",ISNUMBER(A1004)),VLOOKUP(A1004,Studies!A:BR,6,FALSE),"")</f>
        <v>Urine</v>
      </c>
      <c r="G1004" s="194">
        <v>24</v>
      </c>
      <c r="H1004" s="194" t="s">
        <v>60</v>
      </c>
      <c r="I1004" s="187">
        <v>0.31</v>
      </c>
      <c r="J1004" s="187" t="s">
        <v>517</v>
      </c>
      <c r="K1004" s="187" t="s">
        <v>116</v>
      </c>
      <c r="L1004" s="195">
        <v>0.08</v>
      </c>
      <c r="M1004" s="195" t="s">
        <v>517</v>
      </c>
      <c r="N1004" s="195" t="s">
        <v>117</v>
      </c>
      <c r="O1004" s="199"/>
      <c r="P1004" s="188" t="s">
        <v>1118</v>
      </c>
      <c r="Q1004" s="174">
        <f>IF(ISNUMBER(VLOOKUP(A1004,NotghiID!A:A,1,FALSE)),1,0)</f>
        <v>0</v>
      </c>
    </row>
    <row r="1005" spans="1:17" ht="14.25" x14ac:dyDescent="0.2">
      <c r="A1005" s="183">
        <v>432</v>
      </c>
      <c r="B1005" s="232" t="str">
        <f>IF(AND(A1005&lt;&gt;"",ISNUMBER(A1005)),VLOOKUP(A1005,Studies!A:BR,2,FALSE),"")</f>
        <v>Thummel 1996</v>
      </c>
      <c r="C1005" s="232" t="str">
        <f>IF(AND(A1005&lt;&gt;"",ISNUMBER(A1005)),VLOOKUP(A1005,Studies!A:BR,3,FALSE),"")</f>
        <v>https://www.ncbi.nlm.nih.gov/pubmed/8646820</v>
      </c>
      <c r="D1005" s="232" t="str">
        <f>IF(AND(A1005&lt;&gt;"",ISNUMBER(A1005)),VLOOKUP(A1005,Studies!A:BR,4,FALSE),"")</f>
        <v>po - male</v>
      </c>
      <c r="E1005" s="206" t="str">
        <f>IF(AND(A1005&lt;&gt;"",ISNUMBER(A1005)),VLOOKUP(A1005,Studies!A:BR,5,FALSE),"")</f>
        <v>Midazolam</v>
      </c>
      <c r="F1005" s="207" t="str">
        <f>IF(AND(A1005&lt;&gt;"",ISNUMBER(A1005)),VLOOKUP(A1005,Studies!A:BR,6,FALSE),"")</f>
        <v>Urine</v>
      </c>
      <c r="G1005" s="194">
        <v>24</v>
      </c>
      <c r="H1005" s="194" t="s">
        <v>60</v>
      </c>
      <c r="I1005" s="187">
        <v>0.47</v>
      </c>
      <c r="J1005" s="187" t="s">
        <v>517</v>
      </c>
      <c r="K1005" s="187" t="s">
        <v>116</v>
      </c>
      <c r="L1005" s="195">
        <v>0.17</v>
      </c>
      <c r="M1005" s="195" t="s">
        <v>517</v>
      </c>
      <c r="N1005" s="195" t="s">
        <v>117</v>
      </c>
      <c r="O1005" s="199"/>
      <c r="P1005" s="188" t="s">
        <v>1118</v>
      </c>
      <c r="Q1005" s="174">
        <f>IF(ISNUMBER(VLOOKUP(A1005,NotghiID!A:A,1,FALSE)),1,0)</f>
        <v>0</v>
      </c>
    </row>
    <row r="1006" spans="1:17" ht="14.25" x14ac:dyDescent="0.2">
      <c r="A1006" s="183">
        <v>93</v>
      </c>
      <c r="B1006" s="232" t="str">
        <f>IF(AND(A1006&lt;&gt;"",ISNUMBER(A1006)),VLOOKUP(A1006,Studies!A:BR,2,FALSE),"")</f>
        <v>Barone 1998b</v>
      </c>
      <c r="C1006" s="232" t="str">
        <f>IF(AND(A1006&lt;&gt;"",ISNUMBER(A1006)),VLOOKUP(A1006,Studies!A:BR,3,FALSE),"")</f>
        <v>https://www.ncbi.nlm.nih.gov/pubmed/9661037</v>
      </c>
      <c r="D1006" s="232" t="str">
        <f>IF(AND(A1006&lt;&gt;"",ISNUMBER(A1006)),VLOOKUP(A1006,Studies!A:BR,4,FALSE),"")</f>
        <v>Solution</v>
      </c>
      <c r="E1006" s="206" t="str">
        <f>IF(AND(A1006&lt;&gt;"",ISNUMBER(A1006)),VLOOKUP(A1006,Studies!A:BR,5,FALSE),"")</f>
        <v>Itraconazole</v>
      </c>
      <c r="F1006" s="207" t="str">
        <f>IF(AND(A1006&lt;&gt;"",ISNUMBER(A1006)),VLOOKUP(A1006,Studies!A:BR,6,FALSE),"")</f>
        <v>Plasma</v>
      </c>
      <c r="G1006" s="194">
        <v>0.5</v>
      </c>
      <c r="H1006" s="194" t="s">
        <v>60</v>
      </c>
      <c r="I1006" s="187">
        <v>20.44727897644043</v>
      </c>
      <c r="J1006" s="187" t="s">
        <v>1026</v>
      </c>
      <c r="K1006" s="187" t="s">
        <v>116</v>
      </c>
      <c r="L1006" s="195"/>
      <c r="M1006" s="195"/>
      <c r="N1006" s="195"/>
      <c r="O1006" s="199"/>
      <c r="P1006" s="188"/>
      <c r="Q1006" s="174">
        <f>IF(ISNUMBER(VLOOKUP(A1006,NotghiID!A:A,1,FALSE)),1,0)</f>
        <v>0</v>
      </c>
    </row>
    <row r="1007" spans="1:17" ht="14.25" x14ac:dyDescent="0.2">
      <c r="A1007" s="183">
        <v>93</v>
      </c>
      <c r="B1007" s="232" t="str">
        <f>IF(AND(A1007&lt;&gt;"",ISNUMBER(A1007)),VLOOKUP(A1007,Studies!A:BR,2,FALSE),"")</f>
        <v>Barone 1998b</v>
      </c>
      <c r="C1007" s="232" t="str">
        <f>IF(AND(A1007&lt;&gt;"",ISNUMBER(A1007)),VLOOKUP(A1007,Studies!A:BR,3,FALSE),"")</f>
        <v>https://www.ncbi.nlm.nih.gov/pubmed/9661037</v>
      </c>
      <c r="D1007" s="232" t="str">
        <f>IF(AND(A1007&lt;&gt;"",ISNUMBER(A1007)),VLOOKUP(A1007,Studies!A:BR,4,FALSE),"")</f>
        <v>Solution</v>
      </c>
      <c r="E1007" s="206" t="str">
        <f>IF(AND(A1007&lt;&gt;"",ISNUMBER(A1007)),VLOOKUP(A1007,Studies!A:BR,5,FALSE),"")</f>
        <v>Itraconazole</v>
      </c>
      <c r="F1007" s="207" t="str">
        <f>IF(AND(A1007&lt;&gt;"",ISNUMBER(A1007)),VLOOKUP(A1007,Studies!A:BR,6,FALSE),"")</f>
        <v>Plasma</v>
      </c>
      <c r="G1007" s="194">
        <v>1</v>
      </c>
      <c r="H1007" s="194" t="s">
        <v>60</v>
      </c>
      <c r="I1007" s="187">
        <v>47.284339904785156</v>
      </c>
      <c r="J1007" s="187" t="s">
        <v>1026</v>
      </c>
      <c r="K1007" s="187" t="s">
        <v>116</v>
      </c>
      <c r="L1007" s="195"/>
      <c r="M1007" s="195"/>
      <c r="N1007" s="195"/>
      <c r="O1007" s="199"/>
      <c r="P1007" s="188"/>
      <c r="Q1007" s="174">
        <f>IF(ISNUMBER(VLOOKUP(A1007,NotghiID!A:A,1,FALSE)),1,0)</f>
        <v>0</v>
      </c>
    </row>
    <row r="1008" spans="1:17" ht="14.25" x14ac:dyDescent="0.2">
      <c r="A1008" s="183">
        <v>93</v>
      </c>
      <c r="B1008" s="232" t="str">
        <f>IF(AND(A1008&lt;&gt;"",ISNUMBER(A1008)),VLOOKUP(A1008,Studies!A:BR,2,FALSE),"")</f>
        <v>Barone 1998b</v>
      </c>
      <c r="C1008" s="232" t="str">
        <f>IF(AND(A1008&lt;&gt;"",ISNUMBER(A1008)),VLOOKUP(A1008,Studies!A:BR,3,FALSE),"")</f>
        <v>https://www.ncbi.nlm.nih.gov/pubmed/9661037</v>
      </c>
      <c r="D1008" s="232" t="str">
        <f>IF(AND(A1008&lt;&gt;"",ISNUMBER(A1008)),VLOOKUP(A1008,Studies!A:BR,4,FALSE),"")</f>
        <v>Solution</v>
      </c>
      <c r="E1008" s="206" t="str">
        <f>IF(AND(A1008&lt;&gt;"",ISNUMBER(A1008)),VLOOKUP(A1008,Studies!A:BR,5,FALSE),"")</f>
        <v>Itraconazole</v>
      </c>
      <c r="F1008" s="207" t="str">
        <f>IF(AND(A1008&lt;&gt;"",ISNUMBER(A1008)),VLOOKUP(A1008,Studies!A:BR,6,FALSE),"")</f>
        <v>Plasma</v>
      </c>
      <c r="G1008" s="194">
        <v>2</v>
      </c>
      <c r="H1008" s="194" t="s">
        <v>60</v>
      </c>
      <c r="I1008" s="187">
        <v>107.34819793701172</v>
      </c>
      <c r="J1008" s="187" t="s">
        <v>1026</v>
      </c>
      <c r="K1008" s="187" t="s">
        <v>116</v>
      </c>
      <c r="L1008" s="195"/>
      <c r="M1008" s="195"/>
      <c r="N1008" s="195"/>
      <c r="O1008" s="199"/>
      <c r="P1008" s="188"/>
      <c r="Q1008" s="174">
        <f>IF(ISNUMBER(VLOOKUP(A1008,NotghiID!A:A,1,FALSE)),1,0)</f>
        <v>0</v>
      </c>
    </row>
    <row r="1009" spans="1:17" ht="14.25" x14ac:dyDescent="0.2">
      <c r="A1009" s="183">
        <v>93</v>
      </c>
      <c r="B1009" s="232" t="str">
        <f>IF(AND(A1009&lt;&gt;"",ISNUMBER(A1009)),VLOOKUP(A1009,Studies!A:BR,2,FALSE),"")</f>
        <v>Barone 1998b</v>
      </c>
      <c r="C1009" s="232" t="str">
        <f>IF(AND(A1009&lt;&gt;"",ISNUMBER(A1009)),VLOOKUP(A1009,Studies!A:BR,3,FALSE),"")</f>
        <v>https://www.ncbi.nlm.nih.gov/pubmed/9661037</v>
      </c>
      <c r="D1009" s="232" t="str">
        <f>IF(AND(A1009&lt;&gt;"",ISNUMBER(A1009)),VLOOKUP(A1009,Studies!A:BR,4,FALSE),"")</f>
        <v>Solution</v>
      </c>
      <c r="E1009" s="206" t="str">
        <f>IF(AND(A1009&lt;&gt;"",ISNUMBER(A1009)),VLOOKUP(A1009,Studies!A:BR,5,FALSE),"")</f>
        <v>Itraconazole</v>
      </c>
      <c r="F1009" s="207" t="str">
        <f>IF(AND(A1009&lt;&gt;"",ISNUMBER(A1009)),VLOOKUP(A1009,Studies!A:BR,6,FALSE),"")</f>
        <v>Plasma</v>
      </c>
      <c r="G1009" s="194">
        <v>3</v>
      </c>
      <c r="H1009" s="194" t="s">
        <v>60</v>
      </c>
      <c r="I1009" s="187">
        <v>180.19171142578125</v>
      </c>
      <c r="J1009" s="187" t="s">
        <v>1026</v>
      </c>
      <c r="K1009" s="187" t="s">
        <v>116</v>
      </c>
      <c r="L1009" s="195"/>
      <c r="M1009" s="195"/>
      <c r="N1009" s="195"/>
      <c r="O1009" s="199"/>
      <c r="P1009" s="188"/>
      <c r="Q1009" s="174">
        <f>IF(ISNUMBER(VLOOKUP(A1009,NotghiID!A:A,1,FALSE)),1,0)</f>
        <v>0</v>
      </c>
    </row>
    <row r="1010" spans="1:17" ht="14.25" x14ac:dyDescent="0.2">
      <c r="A1010" s="183">
        <v>93</v>
      </c>
      <c r="B1010" s="232" t="str">
        <f>IF(AND(A1010&lt;&gt;"",ISNUMBER(A1010)),VLOOKUP(A1010,Studies!A:BR,2,FALSE),"")</f>
        <v>Barone 1998b</v>
      </c>
      <c r="C1010" s="232" t="str">
        <f>IF(AND(A1010&lt;&gt;"",ISNUMBER(A1010)),VLOOKUP(A1010,Studies!A:BR,3,FALSE),"")</f>
        <v>https://www.ncbi.nlm.nih.gov/pubmed/9661037</v>
      </c>
      <c r="D1010" s="232" t="str">
        <f>IF(AND(A1010&lt;&gt;"",ISNUMBER(A1010)),VLOOKUP(A1010,Studies!A:BR,4,FALSE),"")</f>
        <v>Solution</v>
      </c>
      <c r="E1010" s="206" t="str">
        <f>IF(AND(A1010&lt;&gt;"",ISNUMBER(A1010)),VLOOKUP(A1010,Studies!A:BR,5,FALSE),"")</f>
        <v>Itraconazole</v>
      </c>
      <c r="F1010" s="207" t="str">
        <f>IF(AND(A1010&lt;&gt;"",ISNUMBER(A1010)),VLOOKUP(A1010,Studies!A:BR,6,FALSE),"")</f>
        <v>Plasma</v>
      </c>
      <c r="G1010" s="194">
        <v>4</v>
      </c>
      <c r="H1010" s="194" t="s">
        <v>60</v>
      </c>
      <c r="I1010" s="187">
        <v>247.92330932617187</v>
      </c>
      <c r="J1010" s="187" t="s">
        <v>1026</v>
      </c>
      <c r="K1010" s="187" t="s">
        <v>116</v>
      </c>
      <c r="L1010" s="195"/>
      <c r="M1010" s="195"/>
      <c r="N1010" s="195"/>
      <c r="O1010" s="199"/>
      <c r="P1010" s="188"/>
      <c r="Q1010" s="174">
        <f>IF(ISNUMBER(VLOOKUP(A1010,NotghiID!A:A,1,FALSE)),1,0)</f>
        <v>0</v>
      </c>
    </row>
    <row r="1011" spans="1:17" ht="14.25" x14ac:dyDescent="0.2">
      <c r="A1011" s="183">
        <v>93</v>
      </c>
      <c r="B1011" s="232" t="str">
        <f>IF(AND(A1011&lt;&gt;"",ISNUMBER(A1011)),VLOOKUP(A1011,Studies!A:BR,2,FALSE),"")</f>
        <v>Barone 1998b</v>
      </c>
      <c r="C1011" s="232" t="str">
        <f>IF(AND(A1011&lt;&gt;"",ISNUMBER(A1011)),VLOOKUP(A1011,Studies!A:BR,3,FALSE),"")</f>
        <v>https://www.ncbi.nlm.nih.gov/pubmed/9661037</v>
      </c>
      <c r="D1011" s="232" t="str">
        <f>IF(AND(A1011&lt;&gt;"",ISNUMBER(A1011)),VLOOKUP(A1011,Studies!A:BR,4,FALSE),"")</f>
        <v>Solution</v>
      </c>
      <c r="E1011" s="206" t="str">
        <f>IF(AND(A1011&lt;&gt;"",ISNUMBER(A1011)),VLOOKUP(A1011,Studies!A:BR,5,FALSE),"")</f>
        <v>Itraconazole</v>
      </c>
      <c r="F1011" s="207" t="str">
        <f>IF(AND(A1011&lt;&gt;"",ISNUMBER(A1011)),VLOOKUP(A1011,Studies!A:BR,6,FALSE),"")</f>
        <v>Plasma</v>
      </c>
      <c r="G1011" s="194">
        <v>5</v>
      </c>
      <c r="H1011" s="194" t="s">
        <v>60</v>
      </c>
      <c r="I1011" s="187">
        <v>304.15338134765625</v>
      </c>
      <c r="J1011" s="187" t="s">
        <v>1026</v>
      </c>
      <c r="K1011" s="187" t="s">
        <v>116</v>
      </c>
      <c r="L1011" s="195"/>
      <c r="M1011" s="195"/>
      <c r="N1011" s="195"/>
      <c r="O1011" s="199"/>
      <c r="P1011" s="188"/>
      <c r="Q1011" s="174">
        <f>IF(ISNUMBER(VLOOKUP(A1011,NotghiID!A:A,1,FALSE)),1,0)</f>
        <v>0</v>
      </c>
    </row>
    <row r="1012" spans="1:17" ht="14.25" x14ac:dyDescent="0.2">
      <c r="A1012" s="183">
        <v>93</v>
      </c>
      <c r="B1012" s="232" t="str">
        <f>IF(AND(A1012&lt;&gt;"",ISNUMBER(A1012)),VLOOKUP(A1012,Studies!A:BR,2,FALSE),"")</f>
        <v>Barone 1998b</v>
      </c>
      <c r="C1012" s="232" t="str">
        <f>IF(AND(A1012&lt;&gt;"",ISNUMBER(A1012)),VLOOKUP(A1012,Studies!A:BR,3,FALSE),"")</f>
        <v>https://www.ncbi.nlm.nih.gov/pubmed/9661037</v>
      </c>
      <c r="D1012" s="232" t="str">
        <f>IF(AND(A1012&lt;&gt;"",ISNUMBER(A1012)),VLOOKUP(A1012,Studies!A:BR,4,FALSE),"")</f>
        <v>Solution</v>
      </c>
      <c r="E1012" s="206" t="str">
        <f>IF(AND(A1012&lt;&gt;"",ISNUMBER(A1012)),VLOOKUP(A1012,Studies!A:BR,5,FALSE),"")</f>
        <v>Itraconazole</v>
      </c>
      <c r="F1012" s="207" t="str">
        <f>IF(AND(A1012&lt;&gt;"",ISNUMBER(A1012)),VLOOKUP(A1012,Studies!A:BR,6,FALSE),"")</f>
        <v>Plasma</v>
      </c>
      <c r="G1012" s="194">
        <v>6</v>
      </c>
      <c r="H1012" s="194" t="s">
        <v>60</v>
      </c>
      <c r="I1012" s="187">
        <v>254.3131103515625</v>
      </c>
      <c r="J1012" s="187" t="s">
        <v>1026</v>
      </c>
      <c r="K1012" s="187" t="s">
        <v>116</v>
      </c>
      <c r="L1012" s="195"/>
      <c r="M1012" s="195"/>
      <c r="N1012" s="195"/>
      <c r="O1012" s="199"/>
      <c r="P1012" s="188"/>
      <c r="Q1012" s="174">
        <f>IF(ISNUMBER(VLOOKUP(A1012,NotghiID!A:A,1,FALSE)),1,0)</f>
        <v>0</v>
      </c>
    </row>
    <row r="1013" spans="1:17" ht="14.25" x14ac:dyDescent="0.2">
      <c r="A1013" s="183">
        <v>93</v>
      </c>
      <c r="B1013" s="232" t="str">
        <f>IF(AND(A1013&lt;&gt;"",ISNUMBER(A1013)),VLOOKUP(A1013,Studies!A:BR,2,FALSE),"")</f>
        <v>Barone 1998b</v>
      </c>
      <c r="C1013" s="232" t="str">
        <f>IF(AND(A1013&lt;&gt;"",ISNUMBER(A1013)),VLOOKUP(A1013,Studies!A:BR,3,FALSE),"")</f>
        <v>https://www.ncbi.nlm.nih.gov/pubmed/9661037</v>
      </c>
      <c r="D1013" s="232" t="str">
        <f>IF(AND(A1013&lt;&gt;"",ISNUMBER(A1013)),VLOOKUP(A1013,Studies!A:BR,4,FALSE),"")</f>
        <v>Solution</v>
      </c>
      <c r="E1013" s="206" t="str">
        <f>IF(AND(A1013&lt;&gt;"",ISNUMBER(A1013)),VLOOKUP(A1013,Studies!A:BR,5,FALSE),"")</f>
        <v>Itraconazole</v>
      </c>
      <c r="F1013" s="207" t="str">
        <f>IF(AND(A1013&lt;&gt;"",ISNUMBER(A1013)),VLOOKUP(A1013,Studies!A:BR,6,FALSE),"")</f>
        <v>Plasma</v>
      </c>
      <c r="G1013" s="194">
        <v>8</v>
      </c>
      <c r="H1013" s="194" t="s">
        <v>60</v>
      </c>
      <c r="I1013" s="187">
        <v>187.85940551757812</v>
      </c>
      <c r="J1013" s="187" t="s">
        <v>1026</v>
      </c>
      <c r="K1013" s="187" t="s">
        <v>116</v>
      </c>
      <c r="L1013" s="195"/>
      <c r="M1013" s="195"/>
      <c r="N1013" s="195"/>
      <c r="O1013" s="199"/>
      <c r="P1013" s="188"/>
      <c r="Q1013" s="174">
        <f>IF(ISNUMBER(VLOOKUP(A1013,NotghiID!A:A,1,FALSE)),1,0)</f>
        <v>0</v>
      </c>
    </row>
    <row r="1014" spans="1:17" ht="14.25" x14ac:dyDescent="0.2">
      <c r="A1014" s="183">
        <v>93</v>
      </c>
      <c r="B1014" s="232" t="str">
        <f>IF(AND(A1014&lt;&gt;"",ISNUMBER(A1014)),VLOOKUP(A1014,Studies!A:BR,2,FALSE),"")</f>
        <v>Barone 1998b</v>
      </c>
      <c r="C1014" s="232" t="str">
        <f>IF(AND(A1014&lt;&gt;"",ISNUMBER(A1014)),VLOOKUP(A1014,Studies!A:BR,3,FALSE),"")</f>
        <v>https://www.ncbi.nlm.nih.gov/pubmed/9661037</v>
      </c>
      <c r="D1014" s="232" t="str">
        <f>IF(AND(A1014&lt;&gt;"",ISNUMBER(A1014)),VLOOKUP(A1014,Studies!A:BR,4,FALSE),"")</f>
        <v>Solution</v>
      </c>
      <c r="E1014" s="206" t="str">
        <f>IF(AND(A1014&lt;&gt;"",ISNUMBER(A1014)),VLOOKUP(A1014,Studies!A:BR,5,FALSE),"")</f>
        <v>Itraconazole</v>
      </c>
      <c r="F1014" s="207" t="str">
        <f>IF(AND(A1014&lt;&gt;"",ISNUMBER(A1014)),VLOOKUP(A1014,Studies!A:BR,6,FALSE),"")</f>
        <v>Plasma</v>
      </c>
      <c r="G1014" s="194">
        <v>12</v>
      </c>
      <c r="H1014" s="194" t="s">
        <v>60</v>
      </c>
      <c r="I1014" s="187">
        <v>131.62940979003906</v>
      </c>
      <c r="J1014" s="187" t="s">
        <v>1026</v>
      </c>
      <c r="K1014" s="187" t="s">
        <v>116</v>
      </c>
      <c r="L1014" s="195"/>
      <c r="M1014" s="195"/>
      <c r="N1014" s="195"/>
      <c r="O1014" s="199"/>
      <c r="P1014" s="188"/>
      <c r="Q1014" s="174">
        <f>IF(ISNUMBER(VLOOKUP(A1014,NotghiID!A:A,1,FALSE)),1,0)</f>
        <v>0</v>
      </c>
    </row>
    <row r="1015" spans="1:17" ht="14.25" x14ac:dyDescent="0.2">
      <c r="A1015" s="183">
        <v>93</v>
      </c>
      <c r="B1015" s="232" t="str">
        <f>IF(AND(A1015&lt;&gt;"",ISNUMBER(A1015)),VLOOKUP(A1015,Studies!A:BR,2,FALSE),"")</f>
        <v>Barone 1998b</v>
      </c>
      <c r="C1015" s="232" t="str">
        <f>IF(AND(A1015&lt;&gt;"",ISNUMBER(A1015)),VLOOKUP(A1015,Studies!A:BR,3,FALSE),"")</f>
        <v>https://www.ncbi.nlm.nih.gov/pubmed/9661037</v>
      </c>
      <c r="D1015" s="232" t="str">
        <f>IF(AND(A1015&lt;&gt;"",ISNUMBER(A1015)),VLOOKUP(A1015,Studies!A:BR,4,FALSE),"")</f>
        <v>Solution</v>
      </c>
      <c r="E1015" s="206" t="str">
        <f>IF(AND(A1015&lt;&gt;"",ISNUMBER(A1015)),VLOOKUP(A1015,Studies!A:BR,5,FALSE),"")</f>
        <v>Itraconazole</v>
      </c>
      <c r="F1015" s="207" t="str">
        <f>IF(AND(A1015&lt;&gt;"",ISNUMBER(A1015)),VLOOKUP(A1015,Studies!A:BR,6,FALSE),"")</f>
        <v>Plasma</v>
      </c>
      <c r="G1015" s="194">
        <v>24</v>
      </c>
      <c r="H1015" s="194" t="s">
        <v>60</v>
      </c>
      <c r="I1015" s="187">
        <v>72.84344482421875</v>
      </c>
      <c r="J1015" s="187" t="s">
        <v>1026</v>
      </c>
      <c r="K1015" s="187" t="s">
        <v>116</v>
      </c>
      <c r="L1015" s="195"/>
      <c r="M1015" s="195"/>
      <c r="N1015" s="195"/>
      <c r="O1015" s="199"/>
      <c r="P1015" s="188"/>
      <c r="Q1015" s="174">
        <f>IF(ISNUMBER(VLOOKUP(A1015,NotghiID!A:A,1,FALSE)),1,0)</f>
        <v>0</v>
      </c>
    </row>
    <row r="1016" spans="1:17" ht="14.25" x14ac:dyDescent="0.2">
      <c r="A1016" s="183">
        <v>93</v>
      </c>
      <c r="B1016" s="232" t="str">
        <f>IF(AND(A1016&lt;&gt;"",ISNUMBER(A1016)),VLOOKUP(A1016,Studies!A:BR,2,FALSE),"")</f>
        <v>Barone 1998b</v>
      </c>
      <c r="C1016" s="232" t="str">
        <f>IF(AND(A1016&lt;&gt;"",ISNUMBER(A1016)),VLOOKUP(A1016,Studies!A:BR,3,FALSE),"")</f>
        <v>https://www.ncbi.nlm.nih.gov/pubmed/9661037</v>
      </c>
      <c r="D1016" s="232" t="str">
        <f>IF(AND(A1016&lt;&gt;"",ISNUMBER(A1016)),VLOOKUP(A1016,Studies!A:BR,4,FALSE),"")</f>
        <v>Solution</v>
      </c>
      <c r="E1016" s="206" t="str">
        <f>IF(AND(A1016&lt;&gt;"",ISNUMBER(A1016)),VLOOKUP(A1016,Studies!A:BR,5,FALSE),"")</f>
        <v>Itraconazole</v>
      </c>
      <c r="F1016" s="207" t="str">
        <f>IF(AND(A1016&lt;&gt;"",ISNUMBER(A1016)),VLOOKUP(A1016,Studies!A:BR,6,FALSE),"")</f>
        <v>Plasma</v>
      </c>
      <c r="G1016" s="194">
        <v>36</v>
      </c>
      <c r="H1016" s="194" t="s">
        <v>60</v>
      </c>
      <c r="I1016" s="187">
        <v>49.840259552001953</v>
      </c>
      <c r="J1016" s="187" t="s">
        <v>1026</v>
      </c>
      <c r="K1016" s="187" t="s">
        <v>116</v>
      </c>
      <c r="L1016" s="195"/>
      <c r="M1016" s="195"/>
      <c r="N1016" s="195"/>
      <c r="O1016" s="199"/>
      <c r="P1016" s="188"/>
      <c r="Q1016" s="174">
        <f>IF(ISNUMBER(VLOOKUP(A1016,NotghiID!A:A,1,FALSE)),1,0)</f>
        <v>0</v>
      </c>
    </row>
    <row r="1017" spans="1:17" ht="14.25" x14ac:dyDescent="0.2">
      <c r="A1017" s="183">
        <v>93</v>
      </c>
      <c r="B1017" s="232" t="str">
        <f>IF(AND(A1017&lt;&gt;"",ISNUMBER(A1017)),VLOOKUP(A1017,Studies!A:BR,2,FALSE),"")</f>
        <v>Barone 1998b</v>
      </c>
      <c r="C1017" s="232" t="str">
        <f>IF(AND(A1017&lt;&gt;"",ISNUMBER(A1017)),VLOOKUP(A1017,Studies!A:BR,3,FALSE),"")</f>
        <v>https://www.ncbi.nlm.nih.gov/pubmed/9661037</v>
      </c>
      <c r="D1017" s="232" t="str">
        <f>IF(AND(A1017&lt;&gt;"",ISNUMBER(A1017)),VLOOKUP(A1017,Studies!A:BR,4,FALSE),"")</f>
        <v>Solution</v>
      </c>
      <c r="E1017" s="206" t="str">
        <f>IF(AND(A1017&lt;&gt;"",ISNUMBER(A1017)),VLOOKUP(A1017,Studies!A:BR,5,FALSE),"")</f>
        <v>Itraconazole</v>
      </c>
      <c r="F1017" s="207" t="str">
        <f>IF(AND(A1017&lt;&gt;"",ISNUMBER(A1017)),VLOOKUP(A1017,Studies!A:BR,6,FALSE),"")</f>
        <v>Plasma</v>
      </c>
      <c r="G1017" s="194">
        <v>48</v>
      </c>
      <c r="H1017" s="194" t="s">
        <v>60</v>
      </c>
      <c r="I1017" s="187">
        <v>39.616619110107422</v>
      </c>
      <c r="J1017" s="187" t="s">
        <v>1026</v>
      </c>
      <c r="K1017" s="187" t="s">
        <v>116</v>
      </c>
      <c r="L1017" s="195"/>
      <c r="M1017" s="195"/>
      <c r="N1017" s="195"/>
      <c r="O1017" s="199"/>
      <c r="P1017" s="188"/>
      <c r="Q1017" s="174">
        <f>IF(ISNUMBER(VLOOKUP(A1017,NotghiID!A:A,1,FALSE)),1,0)</f>
        <v>0</v>
      </c>
    </row>
    <row r="1018" spans="1:17" ht="14.25" x14ac:dyDescent="0.2">
      <c r="A1018" s="183">
        <v>93</v>
      </c>
      <c r="B1018" s="232" t="str">
        <f>IF(AND(A1018&lt;&gt;"",ISNUMBER(A1018)),VLOOKUP(A1018,Studies!A:BR,2,FALSE),"")</f>
        <v>Barone 1998b</v>
      </c>
      <c r="C1018" s="232" t="str">
        <f>IF(AND(A1018&lt;&gt;"",ISNUMBER(A1018)),VLOOKUP(A1018,Studies!A:BR,3,FALSE),"")</f>
        <v>https://www.ncbi.nlm.nih.gov/pubmed/9661037</v>
      </c>
      <c r="D1018" s="232" t="str">
        <f>IF(AND(A1018&lt;&gt;"",ISNUMBER(A1018)),VLOOKUP(A1018,Studies!A:BR,4,FALSE),"")</f>
        <v>Solution</v>
      </c>
      <c r="E1018" s="206" t="str">
        <f>IF(AND(A1018&lt;&gt;"",ISNUMBER(A1018)),VLOOKUP(A1018,Studies!A:BR,5,FALSE),"")</f>
        <v>Itraconazole</v>
      </c>
      <c r="F1018" s="207" t="str">
        <f>IF(AND(A1018&lt;&gt;"",ISNUMBER(A1018)),VLOOKUP(A1018,Studies!A:BR,6,FALSE),"")</f>
        <v>Plasma</v>
      </c>
      <c r="G1018" s="194">
        <v>72</v>
      </c>
      <c r="H1018" s="194" t="s">
        <v>60</v>
      </c>
      <c r="I1018" s="187">
        <v>16.613420486450195</v>
      </c>
      <c r="J1018" s="187" t="s">
        <v>1026</v>
      </c>
      <c r="K1018" s="187" t="s">
        <v>116</v>
      </c>
      <c r="L1018" s="195"/>
      <c r="M1018" s="195"/>
      <c r="N1018" s="195"/>
      <c r="O1018" s="199"/>
      <c r="P1018" s="188"/>
      <c r="Q1018" s="174">
        <f>IF(ISNUMBER(VLOOKUP(A1018,NotghiID!A:A,1,FALSE)),1,0)</f>
        <v>0</v>
      </c>
    </row>
    <row r="1019" spans="1:17" ht="14.25" x14ac:dyDescent="0.2">
      <c r="A1019" s="183">
        <v>93</v>
      </c>
      <c r="B1019" s="232" t="str">
        <f>IF(AND(A1019&lt;&gt;"",ISNUMBER(A1019)),VLOOKUP(A1019,Studies!A:BR,2,FALSE),"")</f>
        <v>Barone 1998b</v>
      </c>
      <c r="C1019" s="232" t="str">
        <f>IF(AND(A1019&lt;&gt;"",ISNUMBER(A1019)),VLOOKUP(A1019,Studies!A:BR,3,FALSE),"")</f>
        <v>https://www.ncbi.nlm.nih.gov/pubmed/9661037</v>
      </c>
      <c r="D1019" s="232" t="str">
        <f>IF(AND(A1019&lt;&gt;"",ISNUMBER(A1019)),VLOOKUP(A1019,Studies!A:BR,4,FALSE),"")</f>
        <v>Solution</v>
      </c>
      <c r="E1019" s="206" t="str">
        <f>IF(AND(A1019&lt;&gt;"",ISNUMBER(A1019)),VLOOKUP(A1019,Studies!A:BR,5,FALSE),"")</f>
        <v>Itraconazole</v>
      </c>
      <c r="F1019" s="207" t="str">
        <f>IF(AND(A1019&lt;&gt;"",ISNUMBER(A1019)),VLOOKUP(A1019,Studies!A:BR,6,FALSE),"")</f>
        <v>Plasma</v>
      </c>
      <c r="G1019" s="194">
        <v>96</v>
      </c>
      <c r="H1019" s="194" t="s">
        <v>60</v>
      </c>
      <c r="I1019" s="187">
        <v>10.223639488220215</v>
      </c>
      <c r="J1019" s="187" t="s">
        <v>1026</v>
      </c>
      <c r="K1019" s="187" t="s">
        <v>116</v>
      </c>
      <c r="L1019" s="195"/>
      <c r="M1019" s="195"/>
      <c r="N1019" s="195"/>
      <c r="O1019" s="199"/>
      <c r="P1019" s="188"/>
      <c r="Q1019" s="174">
        <f>IF(ISNUMBER(VLOOKUP(A1019,NotghiID!A:A,1,FALSE)),1,0)</f>
        <v>0</v>
      </c>
    </row>
    <row r="1020" spans="1:17" ht="14.25" x14ac:dyDescent="0.2">
      <c r="A1020" s="183">
        <v>94</v>
      </c>
      <c r="B1020" s="232" t="str">
        <f>IF(AND(A1020&lt;&gt;"",ISNUMBER(A1020)),VLOOKUP(A1020,Studies!A:BR,2,FALSE),"")</f>
        <v>Barone 1998b</v>
      </c>
      <c r="C1020" s="232" t="str">
        <f>IF(AND(A1020&lt;&gt;"",ISNUMBER(A1020)),VLOOKUP(A1020,Studies!A:BR,3,FALSE),"")</f>
        <v>https://www.ncbi.nlm.nih.gov/pubmed/9661037</v>
      </c>
      <c r="D1020" s="232" t="str">
        <f>IF(AND(A1020&lt;&gt;"",ISNUMBER(A1020)),VLOOKUP(A1020,Studies!A:BR,4,FALSE),"")</f>
        <v>Solution</v>
      </c>
      <c r="E1020" s="206" t="str">
        <f>IF(AND(A1020&lt;&gt;"",ISNUMBER(A1020)),VLOOKUP(A1020,Studies!A:BR,5,FALSE),"")</f>
        <v>Hydroxy-Itraconazole</v>
      </c>
      <c r="F1020" s="207" t="str">
        <f>IF(AND(A1020&lt;&gt;"",ISNUMBER(A1020)),VLOOKUP(A1020,Studies!A:BR,6,FALSE),"")</f>
        <v>Plasma</v>
      </c>
      <c r="G1020" s="194">
        <v>0.5</v>
      </c>
      <c r="H1020" s="194" t="s">
        <v>60</v>
      </c>
      <c r="I1020" s="187">
        <v>38.297870635986328</v>
      </c>
      <c r="J1020" s="187" t="s">
        <v>1026</v>
      </c>
      <c r="K1020" s="187" t="s">
        <v>116</v>
      </c>
      <c r="L1020" s="195"/>
      <c r="M1020" s="195"/>
      <c r="N1020" s="195"/>
      <c r="O1020" s="199"/>
      <c r="P1020" s="188"/>
      <c r="Q1020" s="174">
        <f>IF(ISNUMBER(VLOOKUP(A1020,NotghiID!A:A,1,FALSE)),1,0)</f>
        <v>0</v>
      </c>
    </row>
    <row r="1021" spans="1:17" ht="14.25" x14ac:dyDescent="0.2">
      <c r="A1021" s="183">
        <v>94</v>
      </c>
      <c r="B1021" s="232" t="str">
        <f>IF(AND(A1021&lt;&gt;"",ISNUMBER(A1021)),VLOOKUP(A1021,Studies!A:BR,2,FALSE),"")</f>
        <v>Barone 1998b</v>
      </c>
      <c r="C1021" s="232" t="str">
        <f>IF(AND(A1021&lt;&gt;"",ISNUMBER(A1021)),VLOOKUP(A1021,Studies!A:BR,3,FALSE),"")</f>
        <v>https://www.ncbi.nlm.nih.gov/pubmed/9661037</v>
      </c>
      <c r="D1021" s="232" t="str">
        <f>IF(AND(A1021&lt;&gt;"",ISNUMBER(A1021)),VLOOKUP(A1021,Studies!A:BR,4,FALSE),"")</f>
        <v>Solution</v>
      </c>
      <c r="E1021" s="206" t="str">
        <f>IF(AND(A1021&lt;&gt;"",ISNUMBER(A1021)),VLOOKUP(A1021,Studies!A:BR,5,FALSE),"")</f>
        <v>Hydroxy-Itraconazole</v>
      </c>
      <c r="F1021" s="207" t="str">
        <f>IF(AND(A1021&lt;&gt;"",ISNUMBER(A1021)),VLOOKUP(A1021,Studies!A:BR,6,FALSE),"")</f>
        <v>Plasma</v>
      </c>
      <c r="G1021" s="194">
        <v>1</v>
      </c>
      <c r="H1021" s="194" t="s">
        <v>60</v>
      </c>
      <c r="I1021" s="187">
        <v>102.12770080566406</v>
      </c>
      <c r="J1021" s="187" t="s">
        <v>1026</v>
      </c>
      <c r="K1021" s="187" t="s">
        <v>116</v>
      </c>
      <c r="L1021" s="195"/>
      <c r="M1021" s="195"/>
      <c r="N1021" s="195"/>
      <c r="O1021" s="199"/>
      <c r="P1021" s="188"/>
      <c r="Q1021" s="174">
        <f>IF(ISNUMBER(VLOOKUP(A1021,NotghiID!A:A,1,FALSE)),1,0)</f>
        <v>0</v>
      </c>
    </row>
    <row r="1022" spans="1:17" ht="14.25" x14ac:dyDescent="0.2">
      <c r="A1022" s="183">
        <v>94</v>
      </c>
      <c r="B1022" s="232" t="str">
        <f>IF(AND(A1022&lt;&gt;"",ISNUMBER(A1022)),VLOOKUP(A1022,Studies!A:BR,2,FALSE),"")</f>
        <v>Barone 1998b</v>
      </c>
      <c r="C1022" s="232" t="str">
        <f>IF(AND(A1022&lt;&gt;"",ISNUMBER(A1022)),VLOOKUP(A1022,Studies!A:BR,3,FALSE),"")</f>
        <v>https://www.ncbi.nlm.nih.gov/pubmed/9661037</v>
      </c>
      <c r="D1022" s="232" t="str">
        <f>IF(AND(A1022&lt;&gt;"",ISNUMBER(A1022)),VLOOKUP(A1022,Studies!A:BR,4,FALSE),"")</f>
        <v>Solution</v>
      </c>
      <c r="E1022" s="206" t="str">
        <f>IF(AND(A1022&lt;&gt;"",ISNUMBER(A1022)),VLOOKUP(A1022,Studies!A:BR,5,FALSE),"")</f>
        <v>Hydroxy-Itraconazole</v>
      </c>
      <c r="F1022" s="207" t="str">
        <f>IF(AND(A1022&lt;&gt;"",ISNUMBER(A1022)),VLOOKUP(A1022,Studies!A:BR,6,FALSE),"")</f>
        <v>Plasma</v>
      </c>
      <c r="G1022" s="194">
        <v>2</v>
      </c>
      <c r="H1022" s="194" t="s">
        <v>60</v>
      </c>
      <c r="I1022" s="187">
        <v>213.19149780273437</v>
      </c>
      <c r="J1022" s="187" t="s">
        <v>1026</v>
      </c>
      <c r="K1022" s="187" t="s">
        <v>116</v>
      </c>
      <c r="L1022" s="195"/>
      <c r="M1022" s="195"/>
      <c r="N1022" s="195"/>
      <c r="O1022" s="199"/>
      <c r="P1022" s="188"/>
      <c r="Q1022" s="174">
        <f>IF(ISNUMBER(VLOOKUP(A1022,NotghiID!A:A,1,FALSE)),1,0)</f>
        <v>0</v>
      </c>
    </row>
    <row r="1023" spans="1:17" ht="14.25" x14ac:dyDescent="0.2">
      <c r="A1023" s="183">
        <v>94</v>
      </c>
      <c r="B1023" s="232" t="str">
        <f>IF(AND(A1023&lt;&gt;"",ISNUMBER(A1023)),VLOOKUP(A1023,Studies!A:BR,2,FALSE),"")</f>
        <v>Barone 1998b</v>
      </c>
      <c r="C1023" s="232" t="str">
        <f>IF(AND(A1023&lt;&gt;"",ISNUMBER(A1023)),VLOOKUP(A1023,Studies!A:BR,3,FALSE),"")</f>
        <v>https://www.ncbi.nlm.nih.gov/pubmed/9661037</v>
      </c>
      <c r="D1023" s="232" t="str">
        <f>IF(AND(A1023&lt;&gt;"",ISNUMBER(A1023)),VLOOKUP(A1023,Studies!A:BR,4,FALSE),"")</f>
        <v>Solution</v>
      </c>
      <c r="E1023" s="206" t="str">
        <f>IF(AND(A1023&lt;&gt;"",ISNUMBER(A1023)),VLOOKUP(A1023,Studies!A:BR,5,FALSE),"")</f>
        <v>Hydroxy-Itraconazole</v>
      </c>
      <c r="F1023" s="207" t="str">
        <f>IF(AND(A1023&lt;&gt;"",ISNUMBER(A1023)),VLOOKUP(A1023,Studies!A:BR,6,FALSE),"")</f>
        <v>Plasma</v>
      </c>
      <c r="G1023" s="194">
        <v>3</v>
      </c>
      <c r="H1023" s="194" t="s">
        <v>60</v>
      </c>
      <c r="I1023" s="187">
        <v>333.19149780273437</v>
      </c>
      <c r="J1023" s="187" t="s">
        <v>1026</v>
      </c>
      <c r="K1023" s="187" t="s">
        <v>116</v>
      </c>
      <c r="L1023" s="195"/>
      <c r="M1023" s="195"/>
      <c r="N1023" s="195"/>
      <c r="O1023" s="199"/>
      <c r="P1023" s="188"/>
      <c r="Q1023" s="174">
        <f>IF(ISNUMBER(VLOOKUP(A1023,NotghiID!A:A,1,FALSE)),1,0)</f>
        <v>0</v>
      </c>
    </row>
    <row r="1024" spans="1:17" ht="14.25" x14ac:dyDescent="0.2">
      <c r="A1024" s="183">
        <v>94</v>
      </c>
      <c r="B1024" s="232" t="str">
        <f>IF(AND(A1024&lt;&gt;"",ISNUMBER(A1024)),VLOOKUP(A1024,Studies!A:BR,2,FALSE),"")</f>
        <v>Barone 1998b</v>
      </c>
      <c r="C1024" s="232" t="str">
        <f>IF(AND(A1024&lt;&gt;"",ISNUMBER(A1024)),VLOOKUP(A1024,Studies!A:BR,3,FALSE),"")</f>
        <v>https://www.ncbi.nlm.nih.gov/pubmed/9661037</v>
      </c>
      <c r="D1024" s="232" t="str">
        <f>IF(AND(A1024&lt;&gt;"",ISNUMBER(A1024)),VLOOKUP(A1024,Studies!A:BR,4,FALSE),"")</f>
        <v>Solution</v>
      </c>
      <c r="E1024" s="206" t="str">
        <f>IF(AND(A1024&lt;&gt;"",ISNUMBER(A1024)),VLOOKUP(A1024,Studies!A:BR,5,FALSE),"")</f>
        <v>Hydroxy-Itraconazole</v>
      </c>
      <c r="F1024" s="207" t="str">
        <f>IF(AND(A1024&lt;&gt;"",ISNUMBER(A1024)),VLOOKUP(A1024,Studies!A:BR,6,FALSE),"")</f>
        <v>Plasma</v>
      </c>
      <c r="G1024" s="194">
        <v>4</v>
      </c>
      <c r="H1024" s="194" t="s">
        <v>60</v>
      </c>
      <c r="I1024" s="187">
        <v>448.08511352539062</v>
      </c>
      <c r="J1024" s="187" t="s">
        <v>1026</v>
      </c>
      <c r="K1024" s="187" t="s">
        <v>116</v>
      </c>
      <c r="L1024" s="195"/>
      <c r="M1024" s="195"/>
      <c r="N1024" s="195"/>
      <c r="O1024" s="199"/>
      <c r="P1024" s="188"/>
      <c r="Q1024" s="174">
        <f>IF(ISNUMBER(VLOOKUP(A1024,NotghiID!A:A,1,FALSE)),1,0)</f>
        <v>0</v>
      </c>
    </row>
    <row r="1025" spans="1:17" ht="14.25" x14ac:dyDescent="0.2">
      <c r="A1025" s="183">
        <v>94</v>
      </c>
      <c r="B1025" s="232" t="str">
        <f>IF(AND(A1025&lt;&gt;"",ISNUMBER(A1025)),VLOOKUP(A1025,Studies!A:BR,2,FALSE),"")</f>
        <v>Barone 1998b</v>
      </c>
      <c r="C1025" s="232" t="str">
        <f>IF(AND(A1025&lt;&gt;"",ISNUMBER(A1025)),VLOOKUP(A1025,Studies!A:BR,3,FALSE),"")</f>
        <v>https://www.ncbi.nlm.nih.gov/pubmed/9661037</v>
      </c>
      <c r="D1025" s="232" t="str">
        <f>IF(AND(A1025&lt;&gt;"",ISNUMBER(A1025)),VLOOKUP(A1025,Studies!A:BR,4,FALSE),"")</f>
        <v>Solution</v>
      </c>
      <c r="E1025" s="206" t="str">
        <f>IF(AND(A1025&lt;&gt;"",ISNUMBER(A1025)),VLOOKUP(A1025,Studies!A:BR,5,FALSE),"")</f>
        <v>Hydroxy-Itraconazole</v>
      </c>
      <c r="F1025" s="207" t="str">
        <f>IF(AND(A1025&lt;&gt;"",ISNUMBER(A1025)),VLOOKUP(A1025,Studies!A:BR,6,FALSE),"")</f>
        <v>Plasma</v>
      </c>
      <c r="G1025" s="194">
        <v>5</v>
      </c>
      <c r="H1025" s="194" t="s">
        <v>60</v>
      </c>
      <c r="I1025" s="187">
        <v>519.574462890625</v>
      </c>
      <c r="J1025" s="187" t="s">
        <v>1026</v>
      </c>
      <c r="K1025" s="187" t="s">
        <v>116</v>
      </c>
      <c r="L1025" s="195"/>
      <c r="M1025" s="195"/>
      <c r="N1025" s="195"/>
      <c r="O1025" s="199"/>
      <c r="P1025" s="188"/>
      <c r="Q1025" s="174">
        <f>IF(ISNUMBER(VLOOKUP(A1025,NotghiID!A:A,1,FALSE)),1,0)</f>
        <v>0</v>
      </c>
    </row>
    <row r="1026" spans="1:17" ht="14.25" x14ac:dyDescent="0.2">
      <c r="A1026" s="183">
        <v>94</v>
      </c>
      <c r="B1026" s="232" t="str">
        <f>IF(AND(A1026&lt;&gt;"",ISNUMBER(A1026)),VLOOKUP(A1026,Studies!A:BR,2,FALSE),"")</f>
        <v>Barone 1998b</v>
      </c>
      <c r="C1026" s="232" t="str">
        <f>IF(AND(A1026&lt;&gt;"",ISNUMBER(A1026)),VLOOKUP(A1026,Studies!A:BR,3,FALSE),"")</f>
        <v>https://www.ncbi.nlm.nih.gov/pubmed/9661037</v>
      </c>
      <c r="D1026" s="232" t="str">
        <f>IF(AND(A1026&lt;&gt;"",ISNUMBER(A1026)),VLOOKUP(A1026,Studies!A:BR,4,FALSE),"")</f>
        <v>Solution</v>
      </c>
      <c r="E1026" s="206" t="str">
        <f>IF(AND(A1026&lt;&gt;"",ISNUMBER(A1026)),VLOOKUP(A1026,Studies!A:BR,5,FALSE),"")</f>
        <v>Hydroxy-Itraconazole</v>
      </c>
      <c r="F1026" s="207" t="str">
        <f>IF(AND(A1026&lt;&gt;"",ISNUMBER(A1026)),VLOOKUP(A1026,Studies!A:BR,6,FALSE),"")</f>
        <v>Plasma</v>
      </c>
      <c r="G1026" s="194">
        <v>6</v>
      </c>
      <c r="H1026" s="194" t="s">
        <v>60</v>
      </c>
      <c r="I1026" s="187">
        <v>511.91488647460937</v>
      </c>
      <c r="J1026" s="187" t="s">
        <v>1026</v>
      </c>
      <c r="K1026" s="187" t="s">
        <v>116</v>
      </c>
      <c r="L1026" s="195"/>
      <c r="M1026" s="195"/>
      <c r="N1026" s="195"/>
      <c r="O1026" s="199"/>
      <c r="P1026" s="188"/>
      <c r="Q1026" s="174">
        <f>IF(ISNUMBER(VLOOKUP(A1026,NotghiID!A:A,1,FALSE)),1,0)</f>
        <v>0</v>
      </c>
    </row>
    <row r="1027" spans="1:17" ht="14.25" x14ac:dyDescent="0.2">
      <c r="A1027" s="183">
        <v>94</v>
      </c>
      <c r="B1027" s="232" t="str">
        <f>IF(AND(A1027&lt;&gt;"",ISNUMBER(A1027)),VLOOKUP(A1027,Studies!A:BR,2,FALSE),"")</f>
        <v>Barone 1998b</v>
      </c>
      <c r="C1027" s="232" t="str">
        <f>IF(AND(A1027&lt;&gt;"",ISNUMBER(A1027)),VLOOKUP(A1027,Studies!A:BR,3,FALSE),"")</f>
        <v>https://www.ncbi.nlm.nih.gov/pubmed/9661037</v>
      </c>
      <c r="D1027" s="232" t="str">
        <f>IF(AND(A1027&lt;&gt;"",ISNUMBER(A1027)),VLOOKUP(A1027,Studies!A:BR,4,FALSE),"")</f>
        <v>Solution</v>
      </c>
      <c r="E1027" s="206" t="str">
        <f>IF(AND(A1027&lt;&gt;"",ISNUMBER(A1027)),VLOOKUP(A1027,Studies!A:BR,5,FALSE),"")</f>
        <v>Hydroxy-Itraconazole</v>
      </c>
      <c r="F1027" s="207" t="str">
        <f>IF(AND(A1027&lt;&gt;"",ISNUMBER(A1027)),VLOOKUP(A1027,Studies!A:BR,6,FALSE),"")</f>
        <v>Plasma</v>
      </c>
      <c r="G1027" s="194">
        <v>8</v>
      </c>
      <c r="H1027" s="194" t="s">
        <v>60</v>
      </c>
      <c r="I1027" s="187">
        <v>478.723388671875</v>
      </c>
      <c r="J1027" s="187" t="s">
        <v>1026</v>
      </c>
      <c r="K1027" s="187" t="s">
        <v>116</v>
      </c>
      <c r="L1027" s="195"/>
      <c r="M1027" s="195"/>
      <c r="N1027" s="195"/>
      <c r="O1027" s="199"/>
      <c r="P1027" s="188"/>
      <c r="Q1027" s="174">
        <f>IF(ISNUMBER(VLOOKUP(A1027,NotghiID!A:A,1,FALSE)),1,0)</f>
        <v>0</v>
      </c>
    </row>
    <row r="1028" spans="1:17" ht="14.25" x14ac:dyDescent="0.2">
      <c r="A1028" s="183">
        <v>94</v>
      </c>
      <c r="B1028" s="232" t="str">
        <f>IF(AND(A1028&lt;&gt;"",ISNUMBER(A1028)),VLOOKUP(A1028,Studies!A:BR,2,FALSE),"")</f>
        <v>Barone 1998b</v>
      </c>
      <c r="C1028" s="232" t="str">
        <f>IF(AND(A1028&lt;&gt;"",ISNUMBER(A1028)),VLOOKUP(A1028,Studies!A:BR,3,FALSE),"")</f>
        <v>https://www.ncbi.nlm.nih.gov/pubmed/9661037</v>
      </c>
      <c r="D1028" s="232" t="str">
        <f>IF(AND(A1028&lt;&gt;"",ISNUMBER(A1028)),VLOOKUP(A1028,Studies!A:BR,4,FALSE),"")</f>
        <v>Solution</v>
      </c>
      <c r="E1028" s="206" t="str">
        <f>IF(AND(A1028&lt;&gt;"",ISNUMBER(A1028)),VLOOKUP(A1028,Studies!A:BR,5,FALSE),"")</f>
        <v>Hydroxy-Itraconazole</v>
      </c>
      <c r="F1028" s="207" t="str">
        <f>IF(AND(A1028&lt;&gt;"",ISNUMBER(A1028)),VLOOKUP(A1028,Studies!A:BR,6,FALSE),"")</f>
        <v>Plasma</v>
      </c>
      <c r="G1028" s="194">
        <v>12</v>
      </c>
      <c r="H1028" s="194" t="s">
        <v>60</v>
      </c>
      <c r="I1028" s="187">
        <v>435.3192138671875</v>
      </c>
      <c r="J1028" s="187" t="s">
        <v>1026</v>
      </c>
      <c r="K1028" s="187" t="s">
        <v>116</v>
      </c>
      <c r="L1028" s="195"/>
      <c r="M1028" s="195"/>
      <c r="N1028" s="195"/>
      <c r="O1028" s="199"/>
      <c r="P1028" s="188"/>
      <c r="Q1028" s="174">
        <f>IF(ISNUMBER(VLOOKUP(A1028,NotghiID!A:A,1,FALSE)),1,0)</f>
        <v>0</v>
      </c>
    </row>
    <row r="1029" spans="1:17" ht="14.25" x14ac:dyDescent="0.2">
      <c r="A1029" s="183">
        <v>94</v>
      </c>
      <c r="B1029" s="232" t="str">
        <f>IF(AND(A1029&lt;&gt;"",ISNUMBER(A1029)),VLOOKUP(A1029,Studies!A:BR,2,FALSE),"")</f>
        <v>Barone 1998b</v>
      </c>
      <c r="C1029" s="232" t="str">
        <f>IF(AND(A1029&lt;&gt;"",ISNUMBER(A1029)),VLOOKUP(A1029,Studies!A:BR,3,FALSE),"")</f>
        <v>https://www.ncbi.nlm.nih.gov/pubmed/9661037</v>
      </c>
      <c r="D1029" s="232" t="str">
        <f>IF(AND(A1029&lt;&gt;"",ISNUMBER(A1029)),VLOOKUP(A1029,Studies!A:BR,4,FALSE),"")</f>
        <v>Solution</v>
      </c>
      <c r="E1029" s="206" t="str">
        <f>IF(AND(A1029&lt;&gt;"",ISNUMBER(A1029)),VLOOKUP(A1029,Studies!A:BR,5,FALSE),"")</f>
        <v>Hydroxy-Itraconazole</v>
      </c>
      <c r="F1029" s="207" t="str">
        <f>IF(AND(A1029&lt;&gt;"",ISNUMBER(A1029)),VLOOKUP(A1029,Studies!A:BR,6,FALSE),"")</f>
        <v>Plasma</v>
      </c>
      <c r="G1029" s="194">
        <v>24</v>
      </c>
      <c r="H1029" s="194" t="s">
        <v>60</v>
      </c>
      <c r="I1029" s="187">
        <v>277.02127075195312</v>
      </c>
      <c r="J1029" s="187" t="s">
        <v>1026</v>
      </c>
      <c r="K1029" s="187" t="s">
        <v>116</v>
      </c>
      <c r="L1029" s="195"/>
      <c r="M1029" s="195"/>
      <c r="N1029" s="195"/>
      <c r="O1029" s="199"/>
      <c r="P1029" s="188"/>
      <c r="Q1029" s="174">
        <f>IF(ISNUMBER(VLOOKUP(A1029,NotghiID!A:A,1,FALSE)),1,0)</f>
        <v>0</v>
      </c>
    </row>
    <row r="1030" spans="1:17" ht="14.25" x14ac:dyDescent="0.2">
      <c r="A1030" s="183">
        <v>94</v>
      </c>
      <c r="B1030" s="232" t="str">
        <f>IF(AND(A1030&lt;&gt;"",ISNUMBER(A1030)),VLOOKUP(A1030,Studies!A:BR,2,FALSE),"")</f>
        <v>Barone 1998b</v>
      </c>
      <c r="C1030" s="232" t="str">
        <f>IF(AND(A1030&lt;&gt;"",ISNUMBER(A1030)),VLOOKUP(A1030,Studies!A:BR,3,FALSE),"")</f>
        <v>https://www.ncbi.nlm.nih.gov/pubmed/9661037</v>
      </c>
      <c r="D1030" s="232" t="str">
        <f>IF(AND(A1030&lt;&gt;"",ISNUMBER(A1030)),VLOOKUP(A1030,Studies!A:BR,4,FALSE),"")</f>
        <v>Solution</v>
      </c>
      <c r="E1030" s="206" t="str">
        <f>IF(AND(A1030&lt;&gt;"",ISNUMBER(A1030)),VLOOKUP(A1030,Studies!A:BR,5,FALSE),"")</f>
        <v>Hydroxy-Itraconazole</v>
      </c>
      <c r="F1030" s="207" t="str">
        <f>IF(AND(A1030&lt;&gt;"",ISNUMBER(A1030)),VLOOKUP(A1030,Studies!A:BR,6,FALSE),"")</f>
        <v>Plasma</v>
      </c>
      <c r="G1030" s="194">
        <v>36</v>
      </c>
      <c r="H1030" s="194" t="s">
        <v>60</v>
      </c>
      <c r="I1030" s="187">
        <v>165.9573974609375</v>
      </c>
      <c r="J1030" s="187" t="s">
        <v>1026</v>
      </c>
      <c r="K1030" s="187" t="s">
        <v>116</v>
      </c>
      <c r="L1030" s="195"/>
      <c r="M1030" s="195"/>
      <c r="N1030" s="195"/>
      <c r="O1030" s="199"/>
      <c r="P1030" s="188"/>
      <c r="Q1030" s="174">
        <f>IF(ISNUMBER(VLOOKUP(A1030,NotghiID!A:A,1,FALSE)),1,0)</f>
        <v>0</v>
      </c>
    </row>
    <row r="1031" spans="1:17" ht="14.25" x14ac:dyDescent="0.2">
      <c r="A1031" s="183">
        <v>94</v>
      </c>
      <c r="B1031" s="232" t="str">
        <f>IF(AND(A1031&lt;&gt;"",ISNUMBER(A1031)),VLOOKUP(A1031,Studies!A:BR,2,FALSE),"")</f>
        <v>Barone 1998b</v>
      </c>
      <c r="C1031" s="232" t="str">
        <f>IF(AND(A1031&lt;&gt;"",ISNUMBER(A1031)),VLOOKUP(A1031,Studies!A:BR,3,FALSE),"")</f>
        <v>https://www.ncbi.nlm.nih.gov/pubmed/9661037</v>
      </c>
      <c r="D1031" s="232" t="str">
        <f>IF(AND(A1031&lt;&gt;"",ISNUMBER(A1031)),VLOOKUP(A1031,Studies!A:BR,4,FALSE),"")</f>
        <v>Solution</v>
      </c>
      <c r="E1031" s="206" t="str">
        <f>IF(AND(A1031&lt;&gt;"",ISNUMBER(A1031)),VLOOKUP(A1031,Studies!A:BR,5,FALSE),"")</f>
        <v>Hydroxy-Itraconazole</v>
      </c>
      <c r="F1031" s="207" t="str">
        <f>IF(AND(A1031&lt;&gt;"",ISNUMBER(A1031)),VLOOKUP(A1031,Studies!A:BR,6,FALSE),"")</f>
        <v>Plasma</v>
      </c>
      <c r="G1031" s="194">
        <v>48</v>
      </c>
      <c r="H1031" s="194" t="s">
        <v>60</v>
      </c>
      <c r="I1031" s="187">
        <v>86.808509826660156</v>
      </c>
      <c r="J1031" s="187" t="s">
        <v>1026</v>
      </c>
      <c r="K1031" s="187" t="s">
        <v>116</v>
      </c>
      <c r="L1031" s="195"/>
      <c r="M1031" s="195"/>
      <c r="N1031" s="195"/>
      <c r="O1031" s="199"/>
      <c r="P1031" s="188"/>
      <c r="Q1031" s="174">
        <f>IF(ISNUMBER(VLOOKUP(A1031,NotghiID!A:A,1,FALSE)),1,0)</f>
        <v>0</v>
      </c>
    </row>
    <row r="1032" spans="1:17" ht="14.25" x14ac:dyDescent="0.2">
      <c r="A1032" s="183">
        <v>94</v>
      </c>
      <c r="B1032" s="232" t="str">
        <f>IF(AND(A1032&lt;&gt;"",ISNUMBER(A1032)),VLOOKUP(A1032,Studies!A:BR,2,FALSE),"")</f>
        <v>Barone 1998b</v>
      </c>
      <c r="C1032" s="232" t="str">
        <f>IF(AND(A1032&lt;&gt;"",ISNUMBER(A1032)),VLOOKUP(A1032,Studies!A:BR,3,FALSE),"")</f>
        <v>https://www.ncbi.nlm.nih.gov/pubmed/9661037</v>
      </c>
      <c r="D1032" s="232" t="str">
        <f>IF(AND(A1032&lt;&gt;"",ISNUMBER(A1032)),VLOOKUP(A1032,Studies!A:BR,4,FALSE),"")</f>
        <v>Solution</v>
      </c>
      <c r="E1032" s="206" t="str">
        <f>IF(AND(A1032&lt;&gt;"",ISNUMBER(A1032)),VLOOKUP(A1032,Studies!A:BR,5,FALSE),"")</f>
        <v>Hydroxy-Itraconazole</v>
      </c>
      <c r="F1032" s="207" t="str">
        <f>IF(AND(A1032&lt;&gt;"",ISNUMBER(A1032)),VLOOKUP(A1032,Studies!A:BR,6,FALSE),"")</f>
        <v>Plasma</v>
      </c>
      <c r="G1032" s="194">
        <v>72</v>
      </c>
      <c r="H1032" s="194" t="s">
        <v>60</v>
      </c>
      <c r="I1032" s="187">
        <v>19.148941040039063</v>
      </c>
      <c r="J1032" s="187" t="s">
        <v>1026</v>
      </c>
      <c r="K1032" s="187" t="s">
        <v>116</v>
      </c>
      <c r="L1032" s="195"/>
      <c r="M1032" s="195"/>
      <c r="N1032" s="195"/>
      <c r="O1032" s="199"/>
      <c r="P1032" s="188"/>
      <c r="Q1032" s="174">
        <f>IF(ISNUMBER(VLOOKUP(A1032,NotghiID!A:A,1,FALSE)),1,0)</f>
        <v>0</v>
      </c>
    </row>
    <row r="1033" spans="1:17" ht="14.25" x14ac:dyDescent="0.2">
      <c r="A1033" s="183">
        <v>94</v>
      </c>
      <c r="B1033" s="232" t="str">
        <f>IF(AND(A1033&lt;&gt;"",ISNUMBER(A1033)),VLOOKUP(A1033,Studies!A:BR,2,FALSE),"")</f>
        <v>Barone 1998b</v>
      </c>
      <c r="C1033" s="232" t="str">
        <f>IF(AND(A1033&lt;&gt;"",ISNUMBER(A1033)),VLOOKUP(A1033,Studies!A:BR,3,FALSE),"")</f>
        <v>https://www.ncbi.nlm.nih.gov/pubmed/9661037</v>
      </c>
      <c r="D1033" s="232" t="str">
        <f>IF(AND(A1033&lt;&gt;"",ISNUMBER(A1033)),VLOOKUP(A1033,Studies!A:BR,4,FALSE),"")</f>
        <v>Solution</v>
      </c>
      <c r="E1033" s="206" t="str">
        <f>IF(AND(A1033&lt;&gt;"",ISNUMBER(A1033)),VLOOKUP(A1033,Studies!A:BR,5,FALSE),"")</f>
        <v>Hydroxy-Itraconazole</v>
      </c>
      <c r="F1033" s="207" t="str">
        <f>IF(AND(A1033&lt;&gt;"",ISNUMBER(A1033)),VLOOKUP(A1033,Studies!A:BR,6,FALSE),"")</f>
        <v>Plasma</v>
      </c>
      <c r="G1033" s="194">
        <v>96</v>
      </c>
      <c r="H1033" s="194" t="s">
        <v>60</v>
      </c>
      <c r="I1033" s="187">
        <v>2.5531909465789795</v>
      </c>
      <c r="J1033" s="187" t="s">
        <v>1026</v>
      </c>
      <c r="K1033" s="187" t="s">
        <v>116</v>
      </c>
      <c r="L1033" s="195"/>
      <c r="M1033" s="195"/>
      <c r="N1033" s="195"/>
      <c r="O1033" s="199"/>
      <c r="P1033" s="188"/>
      <c r="Q1033" s="174">
        <f>IF(ISNUMBER(VLOOKUP(A1033,NotghiID!A:A,1,FALSE)),1,0)</f>
        <v>0</v>
      </c>
    </row>
    <row r="1034" spans="1:17" ht="14.25" x14ac:dyDescent="0.2">
      <c r="A1034" s="183">
        <v>95</v>
      </c>
      <c r="B1034" s="232" t="str">
        <f>IF(AND(A1034&lt;&gt;"",ISNUMBER(A1034)),VLOOKUP(A1034,Studies!A:BR,2,FALSE),"")</f>
        <v>Barone 1998b</v>
      </c>
      <c r="C1034" s="232" t="str">
        <f>IF(AND(A1034&lt;&gt;"",ISNUMBER(A1034)),VLOOKUP(A1034,Studies!A:BR,3,FALSE),"")</f>
        <v>https://www.ncbi.nlm.nih.gov/pubmed/9661037</v>
      </c>
      <c r="D1034" s="232" t="str">
        <f>IF(AND(A1034&lt;&gt;"",ISNUMBER(A1034)),VLOOKUP(A1034,Studies!A:BR,4,FALSE),"")</f>
        <v>F05 Capsule</v>
      </c>
      <c r="E1034" s="206" t="str">
        <f>IF(AND(A1034&lt;&gt;"",ISNUMBER(A1034)),VLOOKUP(A1034,Studies!A:BR,5,FALSE),"")</f>
        <v>Itraconazole</v>
      </c>
      <c r="F1034" s="207" t="str">
        <f>IF(AND(A1034&lt;&gt;"",ISNUMBER(A1034)),VLOOKUP(A1034,Studies!A:BR,6,FALSE),"")</f>
        <v>Plasma</v>
      </c>
      <c r="G1034" s="194">
        <v>1</v>
      </c>
      <c r="H1034" s="194" t="s">
        <v>60</v>
      </c>
      <c r="I1034" s="187">
        <v>0</v>
      </c>
      <c r="J1034" s="187" t="s">
        <v>1026</v>
      </c>
      <c r="K1034" s="187" t="s">
        <v>116</v>
      </c>
      <c r="L1034" s="195"/>
      <c r="M1034" s="195"/>
      <c r="N1034" s="195"/>
      <c r="O1034" s="199"/>
      <c r="P1034" s="188"/>
      <c r="Q1034" s="174">
        <f>IF(ISNUMBER(VLOOKUP(A1034,NotghiID!A:A,1,FALSE)),1,0)</f>
        <v>0</v>
      </c>
    </row>
    <row r="1035" spans="1:17" ht="14.25" x14ac:dyDescent="0.2">
      <c r="A1035" s="183">
        <v>95</v>
      </c>
      <c r="B1035" s="232" t="str">
        <f>IF(AND(A1035&lt;&gt;"",ISNUMBER(A1035)),VLOOKUP(A1035,Studies!A:BR,2,FALSE),"")</f>
        <v>Barone 1998b</v>
      </c>
      <c r="C1035" s="232" t="str">
        <f>IF(AND(A1035&lt;&gt;"",ISNUMBER(A1035)),VLOOKUP(A1035,Studies!A:BR,3,FALSE),"")</f>
        <v>https://www.ncbi.nlm.nih.gov/pubmed/9661037</v>
      </c>
      <c r="D1035" s="232" t="str">
        <f>IF(AND(A1035&lt;&gt;"",ISNUMBER(A1035)),VLOOKUP(A1035,Studies!A:BR,4,FALSE),"")</f>
        <v>F05 Capsule</v>
      </c>
      <c r="E1035" s="206" t="str">
        <f>IF(AND(A1035&lt;&gt;"",ISNUMBER(A1035)),VLOOKUP(A1035,Studies!A:BR,5,FALSE),"")</f>
        <v>Itraconazole</v>
      </c>
      <c r="F1035" s="207" t="str">
        <f>IF(AND(A1035&lt;&gt;"",ISNUMBER(A1035)),VLOOKUP(A1035,Studies!A:BR,6,FALSE),"")</f>
        <v>Plasma</v>
      </c>
      <c r="G1035" s="194">
        <v>2</v>
      </c>
      <c r="H1035" s="194" t="s">
        <v>60</v>
      </c>
      <c r="I1035" s="187">
        <v>48.562299460172653</v>
      </c>
      <c r="J1035" s="187" t="s">
        <v>1026</v>
      </c>
      <c r="K1035" s="187" t="s">
        <v>116</v>
      </c>
      <c r="L1035" s="195"/>
      <c r="M1035" s="195"/>
      <c r="N1035" s="195"/>
      <c r="O1035" s="199"/>
      <c r="P1035" s="188"/>
      <c r="Q1035" s="174">
        <f>IF(ISNUMBER(VLOOKUP(A1035,NotghiID!A:A,1,FALSE)),1,0)</f>
        <v>0</v>
      </c>
    </row>
    <row r="1036" spans="1:17" ht="14.25" x14ac:dyDescent="0.2">
      <c r="A1036" s="183">
        <v>95</v>
      </c>
      <c r="B1036" s="232" t="str">
        <f>IF(AND(A1036&lt;&gt;"",ISNUMBER(A1036)),VLOOKUP(A1036,Studies!A:BR,2,FALSE),"")</f>
        <v>Barone 1998b</v>
      </c>
      <c r="C1036" s="232" t="str">
        <f>IF(AND(A1036&lt;&gt;"",ISNUMBER(A1036)),VLOOKUP(A1036,Studies!A:BR,3,FALSE),"")</f>
        <v>https://www.ncbi.nlm.nih.gov/pubmed/9661037</v>
      </c>
      <c r="D1036" s="232" t="str">
        <f>IF(AND(A1036&lt;&gt;"",ISNUMBER(A1036)),VLOOKUP(A1036,Studies!A:BR,4,FALSE),"")</f>
        <v>F05 Capsule</v>
      </c>
      <c r="E1036" s="206" t="str">
        <f>IF(AND(A1036&lt;&gt;"",ISNUMBER(A1036)),VLOOKUP(A1036,Studies!A:BR,5,FALSE),"")</f>
        <v>Itraconazole</v>
      </c>
      <c r="F1036" s="207" t="str">
        <f>IF(AND(A1036&lt;&gt;"",ISNUMBER(A1036)),VLOOKUP(A1036,Studies!A:BR,6,FALSE),"")</f>
        <v>Plasma</v>
      </c>
      <c r="G1036" s="194">
        <v>3</v>
      </c>
      <c r="H1036" s="194" t="s">
        <v>60</v>
      </c>
      <c r="I1036" s="187">
        <v>144.40900087356567</v>
      </c>
      <c r="J1036" s="187" t="s">
        <v>1026</v>
      </c>
      <c r="K1036" s="187" t="s">
        <v>116</v>
      </c>
      <c r="L1036" s="195"/>
      <c r="M1036" s="195"/>
      <c r="N1036" s="195"/>
      <c r="O1036" s="199"/>
      <c r="P1036" s="188"/>
      <c r="Q1036" s="174">
        <f>IF(ISNUMBER(VLOOKUP(A1036,NotghiID!A:A,1,FALSE)),1,0)</f>
        <v>0</v>
      </c>
    </row>
    <row r="1037" spans="1:17" ht="14.25" x14ac:dyDescent="0.2">
      <c r="A1037" s="183">
        <v>95</v>
      </c>
      <c r="B1037" s="232" t="str">
        <f>IF(AND(A1037&lt;&gt;"",ISNUMBER(A1037)),VLOOKUP(A1037,Studies!A:BR,2,FALSE),"")</f>
        <v>Barone 1998b</v>
      </c>
      <c r="C1037" s="232" t="str">
        <f>IF(AND(A1037&lt;&gt;"",ISNUMBER(A1037)),VLOOKUP(A1037,Studies!A:BR,3,FALSE),"")</f>
        <v>https://www.ncbi.nlm.nih.gov/pubmed/9661037</v>
      </c>
      <c r="D1037" s="232" t="str">
        <f>IF(AND(A1037&lt;&gt;"",ISNUMBER(A1037)),VLOOKUP(A1037,Studies!A:BR,4,FALSE),"")</f>
        <v>F05 Capsule</v>
      </c>
      <c r="E1037" s="206" t="str">
        <f>IF(AND(A1037&lt;&gt;"",ISNUMBER(A1037)),VLOOKUP(A1037,Studies!A:BR,5,FALSE),"")</f>
        <v>Itraconazole</v>
      </c>
      <c r="F1037" s="207" t="str">
        <f>IF(AND(A1037&lt;&gt;"",ISNUMBER(A1037)),VLOOKUP(A1037,Studies!A:BR,6,FALSE),"")</f>
        <v>Plasma</v>
      </c>
      <c r="G1037" s="194">
        <v>5</v>
      </c>
      <c r="H1037" s="194" t="s">
        <v>60</v>
      </c>
      <c r="I1037" s="187">
        <v>299.04147982597351</v>
      </c>
      <c r="J1037" s="187" t="s">
        <v>1026</v>
      </c>
      <c r="K1037" s="187" t="s">
        <v>116</v>
      </c>
      <c r="L1037" s="195"/>
      <c r="M1037" s="195"/>
      <c r="N1037" s="195"/>
      <c r="O1037" s="199"/>
      <c r="P1037" s="188"/>
      <c r="Q1037" s="174">
        <f>IF(ISNUMBER(VLOOKUP(A1037,NotghiID!A:A,1,FALSE)),1,0)</f>
        <v>0</v>
      </c>
    </row>
    <row r="1038" spans="1:17" ht="14.25" x14ac:dyDescent="0.2">
      <c r="A1038" s="183">
        <v>95</v>
      </c>
      <c r="B1038" s="232" t="str">
        <f>IF(AND(A1038&lt;&gt;"",ISNUMBER(A1038)),VLOOKUP(A1038,Studies!A:BR,2,FALSE),"")</f>
        <v>Barone 1998b</v>
      </c>
      <c r="C1038" s="232" t="str">
        <f>IF(AND(A1038&lt;&gt;"",ISNUMBER(A1038)),VLOOKUP(A1038,Studies!A:BR,3,FALSE),"")</f>
        <v>https://www.ncbi.nlm.nih.gov/pubmed/9661037</v>
      </c>
      <c r="D1038" s="232" t="str">
        <f>IF(AND(A1038&lt;&gt;"",ISNUMBER(A1038)),VLOOKUP(A1038,Studies!A:BR,4,FALSE),"")</f>
        <v>F05 Capsule</v>
      </c>
      <c r="E1038" s="206" t="str">
        <f>IF(AND(A1038&lt;&gt;"",ISNUMBER(A1038)),VLOOKUP(A1038,Studies!A:BR,5,FALSE),"")</f>
        <v>Itraconazole</v>
      </c>
      <c r="F1038" s="207" t="str">
        <f>IF(AND(A1038&lt;&gt;"",ISNUMBER(A1038)),VLOOKUP(A1038,Studies!A:BR,6,FALSE),"")</f>
        <v>Plasma</v>
      </c>
      <c r="G1038" s="194">
        <v>6</v>
      </c>
      <c r="H1038" s="194" t="s">
        <v>60</v>
      </c>
      <c r="I1038" s="187">
        <v>250.47919154167175</v>
      </c>
      <c r="J1038" s="187" t="s">
        <v>1026</v>
      </c>
      <c r="K1038" s="187" t="s">
        <v>116</v>
      </c>
      <c r="L1038" s="195"/>
      <c r="M1038" s="195"/>
      <c r="N1038" s="195"/>
      <c r="O1038" s="199"/>
      <c r="P1038" s="188"/>
      <c r="Q1038" s="174">
        <f>IF(ISNUMBER(VLOOKUP(A1038,NotghiID!A:A,1,FALSE)),1,0)</f>
        <v>0</v>
      </c>
    </row>
    <row r="1039" spans="1:17" ht="14.25" x14ac:dyDescent="0.2">
      <c r="A1039" s="183">
        <v>95</v>
      </c>
      <c r="B1039" s="232" t="str">
        <f>IF(AND(A1039&lt;&gt;"",ISNUMBER(A1039)),VLOOKUP(A1039,Studies!A:BR,2,FALSE),"")</f>
        <v>Barone 1998b</v>
      </c>
      <c r="C1039" s="232" t="str">
        <f>IF(AND(A1039&lt;&gt;"",ISNUMBER(A1039)),VLOOKUP(A1039,Studies!A:BR,3,FALSE),"")</f>
        <v>https://www.ncbi.nlm.nih.gov/pubmed/9661037</v>
      </c>
      <c r="D1039" s="232" t="str">
        <f>IF(AND(A1039&lt;&gt;"",ISNUMBER(A1039)),VLOOKUP(A1039,Studies!A:BR,4,FALSE),"")</f>
        <v>F05 Capsule</v>
      </c>
      <c r="E1039" s="206" t="str">
        <f>IF(AND(A1039&lt;&gt;"",ISNUMBER(A1039)),VLOOKUP(A1039,Studies!A:BR,5,FALSE),"")</f>
        <v>Itraconazole</v>
      </c>
      <c r="F1039" s="207" t="str">
        <f>IF(AND(A1039&lt;&gt;"",ISNUMBER(A1039)),VLOOKUP(A1039,Studies!A:BR,6,FALSE),"")</f>
        <v>Plasma</v>
      </c>
      <c r="G1039" s="194">
        <v>8</v>
      </c>
      <c r="H1039" s="194" t="s">
        <v>60</v>
      </c>
      <c r="I1039" s="187">
        <v>175.07989704608917</v>
      </c>
      <c r="J1039" s="187" t="s">
        <v>1026</v>
      </c>
      <c r="K1039" s="187" t="s">
        <v>116</v>
      </c>
      <c r="L1039" s="195"/>
      <c r="M1039" s="195"/>
      <c r="N1039" s="195"/>
      <c r="O1039" s="199"/>
      <c r="P1039" s="188"/>
      <c r="Q1039" s="174">
        <f>IF(ISNUMBER(VLOOKUP(A1039,NotghiID!A:A,1,FALSE)),1,0)</f>
        <v>0</v>
      </c>
    </row>
    <row r="1040" spans="1:17" ht="14.25" x14ac:dyDescent="0.2">
      <c r="A1040" s="183">
        <v>95</v>
      </c>
      <c r="B1040" s="232" t="str">
        <f>IF(AND(A1040&lt;&gt;"",ISNUMBER(A1040)),VLOOKUP(A1040,Studies!A:BR,2,FALSE),"")</f>
        <v>Barone 1998b</v>
      </c>
      <c r="C1040" s="232" t="str">
        <f>IF(AND(A1040&lt;&gt;"",ISNUMBER(A1040)),VLOOKUP(A1040,Studies!A:BR,3,FALSE),"")</f>
        <v>https://www.ncbi.nlm.nih.gov/pubmed/9661037</v>
      </c>
      <c r="D1040" s="232" t="str">
        <f>IF(AND(A1040&lt;&gt;"",ISNUMBER(A1040)),VLOOKUP(A1040,Studies!A:BR,4,FALSE),"")</f>
        <v>F05 Capsule</v>
      </c>
      <c r="E1040" s="206" t="str">
        <f>IF(AND(A1040&lt;&gt;"",ISNUMBER(A1040)),VLOOKUP(A1040,Studies!A:BR,5,FALSE),"")</f>
        <v>Itraconazole</v>
      </c>
      <c r="F1040" s="207" t="str">
        <f>IF(AND(A1040&lt;&gt;"",ISNUMBER(A1040)),VLOOKUP(A1040,Studies!A:BR,6,FALSE),"")</f>
        <v>Plasma</v>
      </c>
      <c r="G1040" s="194">
        <v>12</v>
      </c>
      <c r="H1040" s="194" t="s">
        <v>60</v>
      </c>
      <c r="I1040" s="187">
        <v>97.124598920345306</v>
      </c>
      <c r="J1040" s="187" t="s">
        <v>1026</v>
      </c>
      <c r="K1040" s="187" t="s">
        <v>116</v>
      </c>
      <c r="L1040" s="195"/>
      <c r="M1040" s="195"/>
      <c r="N1040" s="195"/>
      <c r="O1040" s="199"/>
      <c r="P1040" s="188"/>
      <c r="Q1040" s="174">
        <f>IF(ISNUMBER(VLOOKUP(A1040,NotghiID!A:A,1,FALSE)),1,0)</f>
        <v>0</v>
      </c>
    </row>
    <row r="1041" spans="1:17" ht="14.25" x14ac:dyDescent="0.2">
      <c r="A1041" s="183">
        <v>95</v>
      </c>
      <c r="B1041" s="232" t="str">
        <f>IF(AND(A1041&lt;&gt;"",ISNUMBER(A1041)),VLOOKUP(A1041,Studies!A:BR,2,FALSE),"")</f>
        <v>Barone 1998b</v>
      </c>
      <c r="C1041" s="232" t="str">
        <f>IF(AND(A1041&lt;&gt;"",ISNUMBER(A1041)),VLOOKUP(A1041,Studies!A:BR,3,FALSE),"")</f>
        <v>https://www.ncbi.nlm.nih.gov/pubmed/9661037</v>
      </c>
      <c r="D1041" s="232" t="str">
        <f>IF(AND(A1041&lt;&gt;"",ISNUMBER(A1041)),VLOOKUP(A1041,Studies!A:BR,4,FALSE),"")</f>
        <v>F05 Capsule</v>
      </c>
      <c r="E1041" s="206" t="str">
        <f>IF(AND(A1041&lt;&gt;"",ISNUMBER(A1041)),VLOOKUP(A1041,Studies!A:BR,5,FALSE),"")</f>
        <v>Itraconazole</v>
      </c>
      <c r="F1041" s="207" t="str">
        <f>IF(AND(A1041&lt;&gt;"",ISNUMBER(A1041)),VLOOKUP(A1041,Studies!A:BR,6,FALSE),"")</f>
        <v>Plasma</v>
      </c>
      <c r="G1041" s="194">
        <v>24</v>
      </c>
      <c r="H1041" s="194" t="s">
        <v>60</v>
      </c>
      <c r="I1041" s="187">
        <v>53.674120455980301</v>
      </c>
      <c r="J1041" s="187" t="s">
        <v>1026</v>
      </c>
      <c r="K1041" s="187" t="s">
        <v>116</v>
      </c>
      <c r="L1041" s="195"/>
      <c r="M1041" s="195"/>
      <c r="N1041" s="195"/>
      <c r="O1041" s="199"/>
      <c r="P1041" s="188"/>
      <c r="Q1041" s="174">
        <f>IF(ISNUMBER(VLOOKUP(A1041,NotghiID!A:A,1,FALSE)),1,0)</f>
        <v>0</v>
      </c>
    </row>
    <row r="1042" spans="1:17" ht="14.25" x14ac:dyDescent="0.2">
      <c r="A1042" s="183">
        <v>95</v>
      </c>
      <c r="B1042" s="232" t="str">
        <f>IF(AND(A1042&lt;&gt;"",ISNUMBER(A1042)),VLOOKUP(A1042,Studies!A:BR,2,FALSE),"")</f>
        <v>Barone 1998b</v>
      </c>
      <c r="C1042" s="232" t="str">
        <f>IF(AND(A1042&lt;&gt;"",ISNUMBER(A1042)),VLOOKUP(A1042,Studies!A:BR,3,FALSE),"")</f>
        <v>https://www.ncbi.nlm.nih.gov/pubmed/9661037</v>
      </c>
      <c r="D1042" s="232" t="str">
        <f>IF(AND(A1042&lt;&gt;"",ISNUMBER(A1042)),VLOOKUP(A1042,Studies!A:BR,4,FALSE),"")</f>
        <v>F05 Capsule</v>
      </c>
      <c r="E1042" s="206" t="str">
        <f>IF(AND(A1042&lt;&gt;"",ISNUMBER(A1042)),VLOOKUP(A1042,Studies!A:BR,5,FALSE),"")</f>
        <v>Itraconazole</v>
      </c>
      <c r="F1042" s="207" t="str">
        <f>IF(AND(A1042&lt;&gt;"",ISNUMBER(A1042)),VLOOKUP(A1042,Studies!A:BR,6,FALSE),"")</f>
        <v>Plasma</v>
      </c>
      <c r="G1042" s="194">
        <v>36</v>
      </c>
      <c r="H1042" s="194" t="s">
        <v>60</v>
      </c>
      <c r="I1042" s="187">
        <v>37.060700356960297</v>
      </c>
      <c r="J1042" s="187" t="s">
        <v>1026</v>
      </c>
      <c r="K1042" s="187" t="s">
        <v>116</v>
      </c>
      <c r="L1042" s="195"/>
      <c r="M1042" s="195"/>
      <c r="N1042" s="195"/>
      <c r="O1042" s="199"/>
      <c r="P1042" s="188"/>
      <c r="Q1042" s="174">
        <f>IF(ISNUMBER(VLOOKUP(A1042,NotghiID!A:A,1,FALSE)),1,0)</f>
        <v>0</v>
      </c>
    </row>
    <row r="1043" spans="1:17" ht="14.25" x14ac:dyDescent="0.2">
      <c r="A1043" s="183">
        <v>95</v>
      </c>
      <c r="B1043" s="232" t="str">
        <f>IF(AND(A1043&lt;&gt;"",ISNUMBER(A1043)),VLOOKUP(A1043,Studies!A:BR,2,FALSE),"")</f>
        <v>Barone 1998b</v>
      </c>
      <c r="C1043" s="232" t="str">
        <f>IF(AND(A1043&lt;&gt;"",ISNUMBER(A1043)),VLOOKUP(A1043,Studies!A:BR,3,FALSE),"")</f>
        <v>https://www.ncbi.nlm.nih.gov/pubmed/9661037</v>
      </c>
      <c r="D1043" s="232" t="str">
        <f>IF(AND(A1043&lt;&gt;"",ISNUMBER(A1043)),VLOOKUP(A1043,Studies!A:BR,4,FALSE),"")</f>
        <v>F05 Capsule</v>
      </c>
      <c r="E1043" s="206" t="str">
        <f>IF(AND(A1043&lt;&gt;"",ISNUMBER(A1043)),VLOOKUP(A1043,Studies!A:BR,5,FALSE),"")</f>
        <v>Itraconazole</v>
      </c>
      <c r="F1043" s="207" t="str">
        <f>IF(AND(A1043&lt;&gt;"",ISNUMBER(A1043)),VLOOKUP(A1043,Studies!A:BR,6,FALSE),"")</f>
        <v>Plasma</v>
      </c>
      <c r="G1043" s="194">
        <v>48</v>
      </c>
      <c r="H1043" s="194" t="s">
        <v>60</v>
      </c>
      <c r="I1043" s="187">
        <v>23.003190755844116</v>
      </c>
      <c r="J1043" s="187" t="s">
        <v>1026</v>
      </c>
      <c r="K1043" s="187" t="s">
        <v>116</v>
      </c>
      <c r="L1043" s="195"/>
      <c r="M1043" s="195"/>
      <c r="N1043" s="195"/>
      <c r="O1043" s="199"/>
      <c r="P1043" s="188"/>
      <c r="Q1043" s="174">
        <f>IF(ISNUMBER(VLOOKUP(A1043,NotghiID!A:A,1,FALSE)),1,0)</f>
        <v>0</v>
      </c>
    </row>
    <row r="1044" spans="1:17" ht="14.25" x14ac:dyDescent="0.2">
      <c r="A1044" s="183">
        <v>95</v>
      </c>
      <c r="B1044" s="232" t="str">
        <f>IF(AND(A1044&lt;&gt;"",ISNUMBER(A1044)),VLOOKUP(A1044,Studies!A:BR,2,FALSE),"")</f>
        <v>Barone 1998b</v>
      </c>
      <c r="C1044" s="232" t="str">
        <f>IF(AND(A1044&lt;&gt;"",ISNUMBER(A1044)),VLOOKUP(A1044,Studies!A:BR,3,FALSE),"")</f>
        <v>https://www.ncbi.nlm.nih.gov/pubmed/9661037</v>
      </c>
      <c r="D1044" s="232" t="str">
        <f>IF(AND(A1044&lt;&gt;"",ISNUMBER(A1044)),VLOOKUP(A1044,Studies!A:BR,4,FALSE),"")</f>
        <v>F05 Capsule</v>
      </c>
      <c r="E1044" s="206" t="str">
        <f>IF(AND(A1044&lt;&gt;"",ISNUMBER(A1044)),VLOOKUP(A1044,Studies!A:BR,5,FALSE),"")</f>
        <v>Itraconazole</v>
      </c>
      <c r="F1044" s="207" t="str">
        <f>IF(AND(A1044&lt;&gt;"",ISNUMBER(A1044)),VLOOKUP(A1044,Studies!A:BR,6,FALSE),"")</f>
        <v>Plasma</v>
      </c>
      <c r="G1044" s="194">
        <v>72</v>
      </c>
      <c r="H1044" s="194" t="s">
        <v>60</v>
      </c>
      <c r="I1044" s="187">
        <v>14.05750960111618</v>
      </c>
      <c r="J1044" s="187" t="s">
        <v>1026</v>
      </c>
      <c r="K1044" s="187" t="s">
        <v>116</v>
      </c>
      <c r="L1044" s="195"/>
      <c r="M1044" s="195"/>
      <c r="N1044" s="195"/>
      <c r="O1044" s="199"/>
      <c r="P1044" s="188"/>
      <c r="Q1044" s="174">
        <f>IF(ISNUMBER(VLOOKUP(A1044,NotghiID!A:A,1,FALSE)),1,0)</f>
        <v>0</v>
      </c>
    </row>
    <row r="1045" spans="1:17" ht="14.25" x14ac:dyDescent="0.2">
      <c r="A1045" s="183">
        <v>95</v>
      </c>
      <c r="B1045" s="232" t="str">
        <f>IF(AND(A1045&lt;&gt;"",ISNUMBER(A1045)),VLOOKUP(A1045,Studies!A:BR,2,FALSE),"")</f>
        <v>Barone 1998b</v>
      </c>
      <c r="C1045" s="232" t="str">
        <f>IF(AND(A1045&lt;&gt;"",ISNUMBER(A1045)),VLOOKUP(A1045,Studies!A:BR,3,FALSE),"")</f>
        <v>https://www.ncbi.nlm.nih.gov/pubmed/9661037</v>
      </c>
      <c r="D1045" s="232" t="str">
        <f>IF(AND(A1045&lt;&gt;"",ISNUMBER(A1045)),VLOOKUP(A1045,Studies!A:BR,4,FALSE),"")</f>
        <v>F05 Capsule</v>
      </c>
      <c r="E1045" s="206" t="str">
        <f>IF(AND(A1045&lt;&gt;"",ISNUMBER(A1045)),VLOOKUP(A1045,Studies!A:BR,5,FALSE),"")</f>
        <v>Itraconazole</v>
      </c>
      <c r="F1045" s="207" t="str">
        <f>IF(AND(A1045&lt;&gt;"",ISNUMBER(A1045)),VLOOKUP(A1045,Studies!A:BR,6,FALSE),"")</f>
        <v>Plasma</v>
      </c>
      <c r="G1045" s="194">
        <v>96</v>
      </c>
      <c r="H1045" s="194" t="s">
        <v>60</v>
      </c>
      <c r="I1045" s="187">
        <v>7.6677324250340462</v>
      </c>
      <c r="J1045" s="187" t="s">
        <v>1026</v>
      </c>
      <c r="K1045" s="187" t="s">
        <v>116</v>
      </c>
      <c r="L1045" s="195"/>
      <c r="M1045" s="195"/>
      <c r="N1045" s="195"/>
      <c r="O1045" s="199"/>
      <c r="P1045" s="188"/>
      <c r="Q1045" s="174">
        <f>IF(ISNUMBER(VLOOKUP(A1045,NotghiID!A:A,1,FALSE)),1,0)</f>
        <v>0</v>
      </c>
    </row>
    <row r="1046" spans="1:17" ht="14.25" x14ac:dyDescent="0.2">
      <c r="A1046" s="183">
        <v>96</v>
      </c>
      <c r="B1046" s="232" t="str">
        <f>IF(AND(A1046&lt;&gt;"",ISNUMBER(A1046)),VLOOKUP(A1046,Studies!A:BR,2,FALSE),"")</f>
        <v>Barone 1998b</v>
      </c>
      <c r="C1046" s="232" t="str">
        <f>IF(AND(A1046&lt;&gt;"",ISNUMBER(A1046)),VLOOKUP(A1046,Studies!A:BR,3,FALSE),"")</f>
        <v>https://www.ncbi.nlm.nih.gov/pubmed/9661037</v>
      </c>
      <c r="D1046" s="232" t="str">
        <f>IF(AND(A1046&lt;&gt;"",ISNUMBER(A1046)),VLOOKUP(A1046,Studies!A:BR,4,FALSE),"")</f>
        <v>F05 Capsule</v>
      </c>
      <c r="E1046" s="206" t="str">
        <f>IF(AND(A1046&lt;&gt;"",ISNUMBER(A1046)),VLOOKUP(A1046,Studies!A:BR,5,FALSE),"")</f>
        <v>Hydroxy-Itraconazole</v>
      </c>
      <c r="F1046" s="207" t="str">
        <f>IF(AND(A1046&lt;&gt;"",ISNUMBER(A1046)),VLOOKUP(A1046,Studies!A:BR,6,FALSE),"")</f>
        <v>Plasma</v>
      </c>
      <c r="G1046" s="194">
        <v>1</v>
      </c>
      <c r="H1046" s="194" t="s">
        <v>60</v>
      </c>
      <c r="I1046" s="187">
        <v>1.2765961000695825</v>
      </c>
      <c r="J1046" s="187" t="s">
        <v>1026</v>
      </c>
      <c r="K1046" s="187" t="s">
        <v>116</v>
      </c>
      <c r="L1046" s="195"/>
      <c r="M1046" s="195"/>
      <c r="N1046" s="195"/>
      <c r="O1046" s="199"/>
      <c r="P1046" s="188"/>
      <c r="Q1046" s="174">
        <f>IF(ISNUMBER(VLOOKUP(A1046,NotghiID!A:A,1,FALSE)),1,0)</f>
        <v>0</v>
      </c>
    </row>
    <row r="1047" spans="1:17" ht="14.25" x14ac:dyDescent="0.2">
      <c r="A1047" s="183">
        <v>96</v>
      </c>
      <c r="B1047" s="232" t="str">
        <f>IF(AND(A1047&lt;&gt;"",ISNUMBER(A1047)),VLOOKUP(A1047,Studies!A:BR,2,FALSE),"")</f>
        <v>Barone 1998b</v>
      </c>
      <c r="C1047" s="232" t="str">
        <f>IF(AND(A1047&lt;&gt;"",ISNUMBER(A1047)),VLOOKUP(A1047,Studies!A:BR,3,FALSE),"")</f>
        <v>https://www.ncbi.nlm.nih.gov/pubmed/9661037</v>
      </c>
      <c r="D1047" s="232" t="str">
        <f>IF(AND(A1047&lt;&gt;"",ISNUMBER(A1047)),VLOOKUP(A1047,Studies!A:BR,4,FALSE),"")</f>
        <v>F05 Capsule</v>
      </c>
      <c r="E1047" s="206" t="str">
        <f>IF(AND(A1047&lt;&gt;"",ISNUMBER(A1047)),VLOOKUP(A1047,Studies!A:BR,5,FALSE),"")</f>
        <v>Hydroxy-Itraconazole</v>
      </c>
      <c r="F1047" s="207" t="str">
        <f>IF(AND(A1047&lt;&gt;"",ISNUMBER(A1047)),VLOOKUP(A1047,Studies!A:BR,6,FALSE),"")</f>
        <v>Plasma</v>
      </c>
      <c r="G1047" s="194">
        <v>2</v>
      </c>
      <c r="H1047" s="194" t="s">
        <v>60</v>
      </c>
      <c r="I1047" s="187">
        <v>81.702135503292084</v>
      </c>
      <c r="J1047" s="187" t="s">
        <v>1026</v>
      </c>
      <c r="K1047" s="187" t="s">
        <v>116</v>
      </c>
      <c r="L1047" s="195"/>
      <c r="M1047" s="195"/>
      <c r="N1047" s="195"/>
      <c r="O1047" s="199"/>
      <c r="P1047" s="188"/>
      <c r="Q1047" s="174">
        <f>IF(ISNUMBER(VLOOKUP(A1047,NotghiID!A:A,1,FALSE)),1,0)</f>
        <v>0</v>
      </c>
    </row>
    <row r="1048" spans="1:17" ht="14.25" x14ac:dyDescent="0.2">
      <c r="A1048" s="183">
        <v>96</v>
      </c>
      <c r="B1048" s="232" t="str">
        <f>IF(AND(A1048&lt;&gt;"",ISNUMBER(A1048)),VLOOKUP(A1048,Studies!A:BR,2,FALSE),"")</f>
        <v>Barone 1998b</v>
      </c>
      <c r="C1048" s="232" t="str">
        <f>IF(AND(A1048&lt;&gt;"",ISNUMBER(A1048)),VLOOKUP(A1048,Studies!A:BR,3,FALSE),"")</f>
        <v>https://www.ncbi.nlm.nih.gov/pubmed/9661037</v>
      </c>
      <c r="D1048" s="232" t="str">
        <f>IF(AND(A1048&lt;&gt;"",ISNUMBER(A1048)),VLOOKUP(A1048,Studies!A:BR,4,FALSE),"")</f>
        <v>F05 Capsule</v>
      </c>
      <c r="E1048" s="206" t="str">
        <f>IF(AND(A1048&lt;&gt;"",ISNUMBER(A1048)),VLOOKUP(A1048,Studies!A:BR,5,FALSE),"")</f>
        <v>Hydroxy-Itraconazole</v>
      </c>
      <c r="F1048" s="207" t="str">
        <f>IF(AND(A1048&lt;&gt;"",ISNUMBER(A1048)),VLOOKUP(A1048,Studies!A:BR,6,FALSE),"")</f>
        <v>Plasma</v>
      </c>
      <c r="G1048" s="194">
        <v>3</v>
      </c>
      <c r="H1048" s="194" t="s">
        <v>60</v>
      </c>
      <c r="I1048" s="187">
        <v>239.99999463558197</v>
      </c>
      <c r="J1048" s="187" t="s">
        <v>1026</v>
      </c>
      <c r="K1048" s="187" t="s">
        <v>116</v>
      </c>
      <c r="L1048" s="195"/>
      <c r="M1048" s="195"/>
      <c r="N1048" s="195"/>
      <c r="O1048" s="199"/>
      <c r="P1048" s="188"/>
      <c r="Q1048" s="174">
        <f>IF(ISNUMBER(VLOOKUP(A1048,NotghiID!A:A,1,FALSE)),1,0)</f>
        <v>0</v>
      </c>
    </row>
    <row r="1049" spans="1:17" ht="14.25" x14ac:dyDescent="0.2">
      <c r="A1049" s="183">
        <v>96</v>
      </c>
      <c r="B1049" s="232" t="str">
        <f>IF(AND(A1049&lt;&gt;"",ISNUMBER(A1049)),VLOOKUP(A1049,Studies!A:BR,2,FALSE),"")</f>
        <v>Barone 1998b</v>
      </c>
      <c r="C1049" s="232" t="str">
        <f>IF(AND(A1049&lt;&gt;"",ISNUMBER(A1049)),VLOOKUP(A1049,Studies!A:BR,3,FALSE),"")</f>
        <v>https://www.ncbi.nlm.nih.gov/pubmed/9661037</v>
      </c>
      <c r="D1049" s="232" t="str">
        <f>IF(AND(A1049&lt;&gt;"",ISNUMBER(A1049)),VLOOKUP(A1049,Studies!A:BR,4,FALSE),"")</f>
        <v>F05 Capsule</v>
      </c>
      <c r="E1049" s="206" t="str">
        <f>IF(AND(A1049&lt;&gt;"",ISNUMBER(A1049)),VLOOKUP(A1049,Studies!A:BR,5,FALSE),"")</f>
        <v>Hydroxy-Itraconazole</v>
      </c>
      <c r="F1049" s="207" t="str">
        <f>IF(AND(A1049&lt;&gt;"",ISNUMBER(A1049)),VLOOKUP(A1049,Studies!A:BR,6,FALSE),"")</f>
        <v>Plasma</v>
      </c>
      <c r="G1049" s="194">
        <v>4</v>
      </c>
      <c r="H1049" s="194" t="s">
        <v>60</v>
      </c>
      <c r="I1049" s="187">
        <v>395.74471116065979</v>
      </c>
      <c r="J1049" s="187" t="s">
        <v>1026</v>
      </c>
      <c r="K1049" s="187" t="s">
        <v>116</v>
      </c>
      <c r="L1049" s="195"/>
      <c r="M1049" s="195"/>
      <c r="N1049" s="195"/>
      <c r="O1049" s="199"/>
      <c r="P1049" s="188"/>
      <c r="Q1049" s="174">
        <f>IF(ISNUMBER(VLOOKUP(A1049,NotghiID!A:A,1,FALSE)),1,0)</f>
        <v>0</v>
      </c>
    </row>
    <row r="1050" spans="1:17" ht="14.25" x14ac:dyDescent="0.2">
      <c r="A1050" s="183">
        <v>96</v>
      </c>
      <c r="B1050" s="232" t="str">
        <f>IF(AND(A1050&lt;&gt;"",ISNUMBER(A1050)),VLOOKUP(A1050,Studies!A:BR,2,FALSE),"")</f>
        <v>Barone 1998b</v>
      </c>
      <c r="C1050" s="232" t="str">
        <f>IF(AND(A1050&lt;&gt;"",ISNUMBER(A1050)),VLOOKUP(A1050,Studies!A:BR,3,FALSE),"")</f>
        <v>https://www.ncbi.nlm.nih.gov/pubmed/9661037</v>
      </c>
      <c r="D1050" s="232" t="str">
        <f>IF(AND(A1050&lt;&gt;"",ISNUMBER(A1050)),VLOOKUP(A1050,Studies!A:BR,4,FALSE),"")</f>
        <v>F05 Capsule</v>
      </c>
      <c r="E1050" s="206" t="str">
        <f>IF(AND(A1050&lt;&gt;"",ISNUMBER(A1050)),VLOOKUP(A1050,Studies!A:BR,5,FALSE),"")</f>
        <v>Hydroxy-Itraconazole</v>
      </c>
      <c r="F1050" s="207" t="str">
        <f>IF(AND(A1050&lt;&gt;"",ISNUMBER(A1050)),VLOOKUP(A1050,Studies!A:BR,6,FALSE),"")</f>
        <v>Plasma</v>
      </c>
      <c r="G1050" s="194">
        <v>5</v>
      </c>
      <c r="H1050" s="194" t="s">
        <v>60</v>
      </c>
      <c r="I1050" s="187">
        <v>486.38299107551575</v>
      </c>
      <c r="J1050" s="187" t="s">
        <v>1026</v>
      </c>
      <c r="K1050" s="187" t="s">
        <v>116</v>
      </c>
      <c r="L1050" s="195"/>
      <c r="M1050" s="195"/>
      <c r="N1050" s="195"/>
      <c r="O1050" s="199"/>
      <c r="P1050" s="188"/>
      <c r="Q1050" s="174">
        <f>IF(ISNUMBER(VLOOKUP(A1050,NotghiID!A:A,1,FALSE)),1,0)</f>
        <v>0</v>
      </c>
    </row>
    <row r="1051" spans="1:17" ht="14.25" x14ac:dyDescent="0.2">
      <c r="A1051" s="183">
        <v>96</v>
      </c>
      <c r="B1051" s="232" t="str">
        <f>IF(AND(A1051&lt;&gt;"",ISNUMBER(A1051)),VLOOKUP(A1051,Studies!A:BR,2,FALSE),"")</f>
        <v>Barone 1998b</v>
      </c>
      <c r="C1051" s="232" t="str">
        <f>IF(AND(A1051&lt;&gt;"",ISNUMBER(A1051)),VLOOKUP(A1051,Studies!A:BR,3,FALSE),"")</f>
        <v>https://www.ncbi.nlm.nih.gov/pubmed/9661037</v>
      </c>
      <c r="D1051" s="232" t="str">
        <f>IF(AND(A1051&lt;&gt;"",ISNUMBER(A1051)),VLOOKUP(A1051,Studies!A:BR,4,FALSE),"")</f>
        <v>F05 Capsule</v>
      </c>
      <c r="E1051" s="206" t="str">
        <f>IF(AND(A1051&lt;&gt;"",ISNUMBER(A1051)),VLOOKUP(A1051,Studies!A:BR,5,FALSE),"")</f>
        <v>Hydroxy-Itraconazole</v>
      </c>
      <c r="F1051" s="207" t="str">
        <f>IF(AND(A1051&lt;&gt;"",ISNUMBER(A1051)),VLOOKUP(A1051,Studies!A:BR,6,FALSE),"")</f>
        <v>Plasma</v>
      </c>
      <c r="G1051" s="194">
        <v>8</v>
      </c>
      <c r="H1051" s="194" t="s">
        <v>60</v>
      </c>
      <c r="I1051" s="187">
        <v>434.04251337051392</v>
      </c>
      <c r="J1051" s="187" t="s">
        <v>1026</v>
      </c>
      <c r="K1051" s="187" t="s">
        <v>116</v>
      </c>
      <c r="L1051" s="195"/>
      <c r="M1051" s="195"/>
      <c r="N1051" s="195"/>
      <c r="O1051" s="199"/>
      <c r="P1051" s="188"/>
      <c r="Q1051" s="174">
        <f>IF(ISNUMBER(VLOOKUP(A1051,NotghiID!A:A,1,FALSE)),1,0)</f>
        <v>0</v>
      </c>
    </row>
    <row r="1052" spans="1:17" ht="14.25" x14ac:dyDescent="0.2">
      <c r="A1052" s="183">
        <v>96</v>
      </c>
      <c r="B1052" s="232" t="str">
        <f>IF(AND(A1052&lt;&gt;"",ISNUMBER(A1052)),VLOOKUP(A1052,Studies!A:BR,2,FALSE),"")</f>
        <v>Barone 1998b</v>
      </c>
      <c r="C1052" s="232" t="str">
        <f>IF(AND(A1052&lt;&gt;"",ISNUMBER(A1052)),VLOOKUP(A1052,Studies!A:BR,3,FALSE),"")</f>
        <v>https://www.ncbi.nlm.nih.gov/pubmed/9661037</v>
      </c>
      <c r="D1052" s="232" t="str">
        <f>IF(AND(A1052&lt;&gt;"",ISNUMBER(A1052)),VLOOKUP(A1052,Studies!A:BR,4,FALSE),"")</f>
        <v>F05 Capsule</v>
      </c>
      <c r="E1052" s="206" t="str">
        <f>IF(AND(A1052&lt;&gt;"",ISNUMBER(A1052)),VLOOKUP(A1052,Studies!A:BR,5,FALSE),"")</f>
        <v>Hydroxy-Itraconazole</v>
      </c>
      <c r="F1052" s="207" t="str">
        <f>IF(AND(A1052&lt;&gt;"",ISNUMBER(A1052)),VLOOKUP(A1052,Studies!A:BR,6,FALSE),"")</f>
        <v>Plasma</v>
      </c>
      <c r="G1052" s="194">
        <v>12</v>
      </c>
      <c r="H1052" s="194" t="s">
        <v>60</v>
      </c>
      <c r="I1052" s="187">
        <v>348.51068258285522</v>
      </c>
      <c r="J1052" s="187" t="s">
        <v>1026</v>
      </c>
      <c r="K1052" s="187" t="s">
        <v>116</v>
      </c>
      <c r="L1052" s="195"/>
      <c r="M1052" s="195"/>
      <c r="N1052" s="195"/>
      <c r="O1052" s="199"/>
      <c r="P1052" s="188"/>
      <c r="Q1052" s="174">
        <f>IF(ISNUMBER(VLOOKUP(A1052,NotghiID!A:A,1,FALSE)),1,0)</f>
        <v>0</v>
      </c>
    </row>
    <row r="1053" spans="1:17" ht="14.25" x14ac:dyDescent="0.2">
      <c r="A1053" s="183">
        <v>96</v>
      </c>
      <c r="B1053" s="232" t="str">
        <f>IF(AND(A1053&lt;&gt;"",ISNUMBER(A1053)),VLOOKUP(A1053,Studies!A:BR,2,FALSE),"")</f>
        <v>Barone 1998b</v>
      </c>
      <c r="C1053" s="232" t="str">
        <f>IF(AND(A1053&lt;&gt;"",ISNUMBER(A1053)),VLOOKUP(A1053,Studies!A:BR,3,FALSE),"")</f>
        <v>https://www.ncbi.nlm.nih.gov/pubmed/9661037</v>
      </c>
      <c r="D1053" s="232" t="str">
        <f>IF(AND(A1053&lt;&gt;"",ISNUMBER(A1053)),VLOOKUP(A1053,Studies!A:BR,4,FALSE),"")</f>
        <v>F05 Capsule</v>
      </c>
      <c r="E1053" s="206" t="str">
        <f>IF(AND(A1053&lt;&gt;"",ISNUMBER(A1053)),VLOOKUP(A1053,Studies!A:BR,5,FALSE),"")</f>
        <v>Hydroxy-Itraconazole</v>
      </c>
      <c r="F1053" s="207" t="str">
        <f>IF(AND(A1053&lt;&gt;"",ISNUMBER(A1053)),VLOOKUP(A1053,Studies!A:BR,6,FALSE),"")</f>
        <v>Plasma</v>
      </c>
      <c r="G1053" s="194">
        <v>24</v>
      </c>
      <c r="H1053" s="194" t="s">
        <v>60</v>
      </c>
      <c r="I1053" s="187">
        <v>194.04259324073792</v>
      </c>
      <c r="J1053" s="187" t="s">
        <v>1026</v>
      </c>
      <c r="K1053" s="187" t="s">
        <v>116</v>
      </c>
      <c r="L1053" s="195"/>
      <c r="M1053" s="195"/>
      <c r="N1053" s="195"/>
      <c r="O1053" s="199"/>
      <c r="P1053" s="188"/>
      <c r="Q1053" s="174">
        <f>IF(ISNUMBER(VLOOKUP(A1053,NotghiID!A:A,1,FALSE)),1,0)</f>
        <v>0</v>
      </c>
    </row>
    <row r="1054" spans="1:17" ht="14.25" x14ac:dyDescent="0.2">
      <c r="A1054" s="183">
        <v>96</v>
      </c>
      <c r="B1054" s="232" t="str">
        <f>IF(AND(A1054&lt;&gt;"",ISNUMBER(A1054)),VLOOKUP(A1054,Studies!A:BR,2,FALSE),"")</f>
        <v>Barone 1998b</v>
      </c>
      <c r="C1054" s="232" t="str">
        <f>IF(AND(A1054&lt;&gt;"",ISNUMBER(A1054)),VLOOKUP(A1054,Studies!A:BR,3,FALSE),"")</f>
        <v>https://www.ncbi.nlm.nih.gov/pubmed/9661037</v>
      </c>
      <c r="D1054" s="232" t="str">
        <f>IF(AND(A1054&lt;&gt;"",ISNUMBER(A1054)),VLOOKUP(A1054,Studies!A:BR,4,FALSE),"")</f>
        <v>F05 Capsule</v>
      </c>
      <c r="E1054" s="206" t="str">
        <f>IF(AND(A1054&lt;&gt;"",ISNUMBER(A1054)),VLOOKUP(A1054,Studies!A:BR,5,FALSE),"")</f>
        <v>Hydroxy-Itraconazole</v>
      </c>
      <c r="F1054" s="207" t="str">
        <f>IF(AND(A1054&lt;&gt;"",ISNUMBER(A1054)),VLOOKUP(A1054,Studies!A:BR,6,FALSE),"")</f>
        <v>Plasma</v>
      </c>
      <c r="G1054" s="194">
        <v>36</v>
      </c>
      <c r="H1054" s="194" t="s">
        <v>60</v>
      </c>
      <c r="I1054" s="187">
        <v>100.85110366344452</v>
      </c>
      <c r="J1054" s="187" t="s">
        <v>1026</v>
      </c>
      <c r="K1054" s="187" t="s">
        <v>116</v>
      </c>
      <c r="L1054" s="195"/>
      <c r="M1054" s="195"/>
      <c r="N1054" s="195"/>
      <c r="O1054" s="199"/>
      <c r="P1054" s="188"/>
      <c r="Q1054" s="174">
        <f>IF(ISNUMBER(VLOOKUP(A1054,NotghiID!A:A,1,FALSE)),1,0)</f>
        <v>0</v>
      </c>
    </row>
    <row r="1055" spans="1:17" ht="14.25" x14ac:dyDescent="0.2">
      <c r="A1055" s="183">
        <v>96</v>
      </c>
      <c r="B1055" s="232" t="str">
        <f>IF(AND(A1055&lt;&gt;"",ISNUMBER(A1055)),VLOOKUP(A1055,Studies!A:BR,2,FALSE),"")</f>
        <v>Barone 1998b</v>
      </c>
      <c r="C1055" s="232" t="str">
        <f>IF(AND(A1055&lt;&gt;"",ISNUMBER(A1055)),VLOOKUP(A1055,Studies!A:BR,3,FALSE),"")</f>
        <v>https://www.ncbi.nlm.nih.gov/pubmed/9661037</v>
      </c>
      <c r="D1055" s="232" t="str">
        <f>IF(AND(A1055&lt;&gt;"",ISNUMBER(A1055)),VLOOKUP(A1055,Studies!A:BR,4,FALSE),"")</f>
        <v>F05 Capsule</v>
      </c>
      <c r="E1055" s="206" t="str">
        <f>IF(AND(A1055&lt;&gt;"",ISNUMBER(A1055)),VLOOKUP(A1055,Studies!A:BR,5,FALSE),"")</f>
        <v>Hydroxy-Itraconazole</v>
      </c>
      <c r="F1055" s="207" t="str">
        <f>IF(AND(A1055&lt;&gt;"",ISNUMBER(A1055)),VLOOKUP(A1055,Studies!A:BR,6,FALSE),"")</f>
        <v>Plasma</v>
      </c>
      <c r="G1055" s="194">
        <v>48</v>
      </c>
      <c r="H1055" s="194" t="s">
        <v>60</v>
      </c>
      <c r="I1055" s="187">
        <v>52.340429276227951</v>
      </c>
      <c r="J1055" s="187" t="s">
        <v>1026</v>
      </c>
      <c r="K1055" s="187" t="s">
        <v>116</v>
      </c>
      <c r="L1055" s="195"/>
      <c r="M1055" s="195"/>
      <c r="N1055" s="195"/>
      <c r="O1055" s="199"/>
      <c r="P1055" s="188"/>
      <c r="Q1055" s="174">
        <f>IF(ISNUMBER(VLOOKUP(A1055,NotghiID!A:A,1,FALSE)),1,0)</f>
        <v>0</v>
      </c>
    </row>
    <row r="1056" spans="1:17" ht="14.25" x14ac:dyDescent="0.2">
      <c r="A1056" s="183">
        <v>96</v>
      </c>
      <c r="B1056" s="232" t="str">
        <f>IF(AND(A1056&lt;&gt;"",ISNUMBER(A1056)),VLOOKUP(A1056,Studies!A:BR,2,FALSE),"")</f>
        <v>Barone 1998b</v>
      </c>
      <c r="C1056" s="232" t="str">
        <f>IF(AND(A1056&lt;&gt;"",ISNUMBER(A1056)),VLOOKUP(A1056,Studies!A:BR,3,FALSE),"")</f>
        <v>https://www.ncbi.nlm.nih.gov/pubmed/9661037</v>
      </c>
      <c r="D1056" s="232" t="str">
        <f>IF(AND(A1056&lt;&gt;"",ISNUMBER(A1056)),VLOOKUP(A1056,Studies!A:BR,4,FALSE),"")</f>
        <v>F05 Capsule</v>
      </c>
      <c r="E1056" s="206" t="str">
        <f>IF(AND(A1056&lt;&gt;"",ISNUMBER(A1056)),VLOOKUP(A1056,Studies!A:BR,5,FALSE),"")</f>
        <v>Hydroxy-Itraconazole</v>
      </c>
      <c r="F1056" s="207" t="str">
        <f>IF(AND(A1056&lt;&gt;"",ISNUMBER(A1056)),VLOOKUP(A1056,Studies!A:BR,6,FALSE),"")</f>
        <v>Plasma</v>
      </c>
      <c r="G1056" s="194">
        <v>72</v>
      </c>
      <c r="H1056" s="194" t="s">
        <v>60</v>
      </c>
      <c r="I1056" s="187">
        <v>7.6595749706029892</v>
      </c>
      <c r="J1056" s="187" t="s">
        <v>1026</v>
      </c>
      <c r="K1056" s="187" t="s">
        <v>116</v>
      </c>
      <c r="L1056" s="195"/>
      <c r="M1056" s="195"/>
      <c r="N1056" s="195"/>
      <c r="O1056" s="199"/>
      <c r="P1056" s="188"/>
      <c r="Q1056" s="174">
        <f>IF(ISNUMBER(VLOOKUP(A1056,NotghiID!A:A,1,FALSE)),1,0)</f>
        <v>0</v>
      </c>
    </row>
    <row r="1057" spans="1:17" ht="14.25" x14ac:dyDescent="0.2">
      <c r="A1057" s="183">
        <v>96</v>
      </c>
      <c r="B1057" s="232" t="str">
        <f>IF(AND(A1057&lt;&gt;"",ISNUMBER(A1057)),VLOOKUP(A1057,Studies!A:BR,2,FALSE),"")</f>
        <v>Barone 1998b</v>
      </c>
      <c r="C1057" s="232" t="str">
        <f>IF(AND(A1057&lt;&gt;"",ISNUMBER(A1057)),VLOOKUP(A1057,Studies!A:BR,3,FALSE),"")</f>
        <v>https://www.ncbi.nlm.nih.gov/pubmed/9661037</v>
      </c>
      <c r="D1057" s="232" t="str">
        <f>IF(AND(A1057&lt;&gt;"",ISNUMBER(A1057)),VLOOKUP(A1057,Studies!A:BR,4,FALSE),"")</f>
        <v>F05 Capsule</v>
      </c>
      <c r="E1057" s="206" t="str">
        <f>IF(AND(A1057&lt;&gt;"",ISNUMBER(A1057)),VLOOKUP(A1057,Studies!A:BR,5,FALSE),"")</f>
        <v>Hydroxy-Itraconazole</v>
      </c>
      <c r="F1057" s="207" t="str">
        <f>IF(AND(A1057&lt;&gt;"",ISNUMBER(A1057)),VLOOKUP(A1057,Studies!A:BR,6,FALSE),"")</f>
        <v>Plasma</v>
      </c>
      <c r="G1057" s="194">
        <v>96</v>
      </c>
      <c r="H1057" s="194" t="s">
        <v>60</v>
      </c>
      <c r="I1057" s="187">
        <v>0</v>
      </c>
      <c r="J1057" s="187" t="s">
        <v>1026</v>
      </c>
      <c r="K1057" s="187" t="s">
        <v>116</v>
      </c>
      <c r="L1057" s="195"/>
      <c r="M1057" s="195"/>
      <c r="N1057" s="195"/>
      <c r="O1057" s="199"/>
      <c r="P1057" s="188"/>
      <c r="Q1057" s="174">
        <f>IF(ISNUMBER(VLOOKUP(A1057,NotghiID!A:A,1,FALSE)),1,0)</f>
        <v>0</v>
      </c>
    </row>
    <row r="1058" spans="1:17" ht="14.25" x14ac:dyDescent="0.2">
      <c r="A1058" s="183">
        <v>232</v>
      </c>
      <c r="B1058" s="232" t="str">
        <f>IF(AND(A1058&lt;&gt;"",ISNUMBER(A1058)),VLOOKUP(A1058,Studies!A:BR,2,FALSE),"")</f>
        <v>Hardin 1988</v>
      </c>
      <c r="C1058" s="232" t="str">
        <f>IF(AND(A1058&lt;&gt;"",ISNUMBER(A1058)),VLOOKUP(A1058,Studies!A:BR,3,FALSE),"")</f>
        <v>https://www.ncbi.nlm.nih.gov/pubmed/2848442</v>
      </c>
      <c r="D1058" s="232" t="str">
        <f>IF(AND(A1058&lt;&gt;"",ISNUMBER(A1058)),VLOOKUP(A1058,Studies!A:BR,4,FALSE),"")</f>
        <v>A 100 mg OD (day 1)</v>
      </c>
      <c r="E1058" s="206" t="str">
        <f>IF(AND(A1058&lt;&gt;"",ISNUMBER(A1058)),VLOOKUP(A1058,Studies!A:BR,5,FALSE),"")</f>
        <v>Itraconazole</v>
      </c>
      <c r="F1058" s="207" t="str">
        <f>IF(AND(A1058&lt;&gt;"",ISNUMBER(A1058)),VLOOKUP(A1058,Studies!A:BR,6,FALSE),"")</f>
        <v>Plasma</v>
      </c>
      <c r="G1058" s="194">
        <v>0.5</v>
      </c>
      <c r="H1058" s="194" t="s">
        <v>60</v>
      </c>
      <c r="I1058" s="187">
        <v>12.6</v>
      </c>
      <c r="J1058" s="187" t="s">
        <v>1026</v>
      </c>
      <c r="K1058" s="187" t="s">
        <v>116</v>
      </c>
      <c r="L1058" s="195">
        <v>21.6</v>
      </c>
      <c r="M1058" s="195" t="s">
        <v>1026</v>
      </c>
      <c r="N1058" s="195" t="s">
        <v>117</v>
      </c>
      <c r="O1058" s="199"/>
      <c r="P1058" s="188"/>
      <c r="Q1058" s="174">
        <f>IF(ISNUMBER(VLOOKUP(A1058,NotghiID!A:A,1,FALSE)),1,0)</f>
        <v>0</v>
      </c>
    </row>
    <row r="1059" spans="1:17" ht="14.25" x14ac:dyDescent="0.2">
      <c r="A1059" s="183">
        <v>232</v>
      </c>
      <c r="B1059" s="232" t="str">
        <f>IF(AND(A1059&lt;&gt;"",ISNUMBER(A1059)),VLOOKUP(A1059,Studies!A:BR,2,FALSE),"")</f>
        <v>Hardin 1988</v>
      </c>
      <c r="C1059" s="232" t="str">
        <f>IF(AND(A1059&lt;&gt;"",ISNUMBER(A1059)),VLOOKUP(A1059,Studies!A:BR,3,FALSE),"")</f>
        <v>https://www.ncbi.nlm.nih.gov/pubmed/2848442</v>
      </c>
      <c r="D1059" s="232" t="str">
        <f>IF(AND(A1059&lt;&gt;"",ISNUMBER(A1059)),VLOOKUP(A1059,Studies!A:BR,4,FALSE),"")</f>
        <v>A 100 mg OD (day 1)</v>
      </c>
      <c r="E1059" s="206" t="str">
        <f>IF(AND(A1059&lt;&gt;"",ISNUMBER(A1059)),VLOOKUP(A1059,Studies!A:BR,5,FALSE),"")</f>
        <v>Itraconazole</v>
      </c>
      <c r="F1059" s="207" t="str">
        <f>IF(AND(A1059&lt;&gt;"",ISNUMBER(A1059)),VLOOKUP(A1059,Studies!A:BR,6,FALSE),"")</f>
        <v>Plasma</v>
      </c>
      <c r="G1059" s="194">
        <v>1</v>
      </c>
      <c r="H1059" s="194" t="s">
        <v>60</v>
      </c>
      <c r="I1059" s="187">
        <v>52.6</v>
      </c>
      <c r="J1059" s="187" t="s">
        <v>1026</v>
      </c>
      <c r="K1059" s="187" t="s">
        <v>116</v>
      </c>
      <c r="L1059" s="195">
        <v>61.4</v>
      </c>
      <c r="M1059" s="195" t="s">
        <v>1026</v>
      </c>
      <c r="N1059" s="195" t="s">
        <v>117</v>
      </c>
      <c r="O1059" s="199"/>
      <c r="P1059" s="188"/>
      <c r="Q1059" s="174">
        <f>IF(ISNUMBER(VLOOKUP(A1059,NotghiID!A:A,1,FALSE)),1,0)</f>
        <v>0</v>
      </c>
    </row>
    <row r="1060" spans="1:17" ht="14.25" x14ac:dyDescent="0.2">
      <c r="A1060" s="183">
        <v>232</v>
      </c>
      <c r="B1060" s="232" t="str">
        <f>IF(AND(A1060&lt;&gt;"",ISNUMBER(A1060)),VLOOKUP(A1060,Studies!A:BR,2,FALSE),"")</f>
        <v>Hardin 1988</v>
      </c>
      <c r="C1060" s="232" t="str">
        <f>IF(AND(A1060&lt;&gt;"",ISNUMBER(A1060)),VLOOKUP(A1060,Studies!A:BR,3,FALSE),"")</f>
        <v>https://www.ncbi.nlm.nih.gov/pubmed/2848442</v>
      </c>
      <c r="D1060" s="232" t="str">
        <f>IF(AND(A1060&lt;&gt;"",ISNUMBER(A1060)),VLOOKUP(A1060,Studies!A:BR,4,FALSE),"")</f>
        <v>A 100 mg OD (day 1)</v>
      </c>
      <c r="E1060" s="206" t="str">
        <f>IF(AND(A1060&lt;&gt;"",ISNUMBER(A1060)),VLOOKUP(A1060,Studies!A:BR,5,FALSE),"")</f>
        <v>Itraconazole</v>
      </c>
      <c r="F1060" s="207" t="str">
        <f>IF(AND(A1060&lt;&gt;"",ISNUMBER(A1060)),VLOOKUP(A1060,Studies!A:BR,6,FALSE),"")</f>
        <v>Plasma</v>
      </c>
      <c r="G1060" s="194">
        <v>2</v>
      </c>
      <c r="H1060" s="194" t="s">
        <v>60</v>
      </c>
      <c r="I1060" s="187">
        <v>88.3</v>
      </c>
      <c r="J1060" s="187" t="s">
        <v>1026</v>
      </c>
      <c r="K1060" s="187" t="s">
        <v>116</v>
      </c>
      <c r="L1060" s="195">
        <v>59.5</v>
      </c>
      <c r="M1060" s="195" t="s">
        <v>1026</v>
      </c>
      <c r="N1060" s="195" t="s">
        <v>117</v>
      </c>
      <c r="O1060" s="199"/>
      <c r="P1060" s="188"/>
      <c r="Q1060" s="174">
        <f>IF(ISNUMBER(VLOOKUP(A1060,NotghiID!A:A,1,FALSE)),1,0)</f>
        <v>0</v>
      </c>
    </row>
    <row r="1061" spans="1:17" ht="14.25" x14ac:dyDescent="0.2">
      <c r="A1061" s="183">
        <v>232</v>
      </c>
      <c r="B1061" s="232" t="str">
        <f>IF(AND(A1061&lt;&gt;"",ISNUMBER(A1061)),VLOOKUP(A1061,Studies!A:BR,2,FALSE),"")</f>
        <v>Hardin 1988</v>
      </c>
      <c r="C1061" s="232" t="str">
        <f>IF(AND(A1061&lt;&gt;"",ISNUMBER(A1061)),VLOOKUP(A1061,Studies!A:BR,3,FALSE),"")</f>
        <v>https://www.ncbi.nlm.nih.gov/pubmed/2848442</v>
      </c>
      <c r="D1061" s="232" t="str">
        <f>IF(AND(A1061&lt;&gt;"",ISNUMBER(A1061)),VLOOKUP(A1061,Studies!A:BR,4,FALSE),"")</f>
        <v>A 100 mg OD (day 1)</v>
      </c>
      <c r="E1061" s="206" t="str">
        <f>IF(AND(A1061&lt;&gt;"",ISNUMBER(A1061)),VLOOKUP(A1061,Studies!A:BR,5,FALSE),"")</f>
        <v>Itraconazole</v>
      </c>
      <c r="F1061" s="207" t="str">
        <f>IF(AND(A1061&lt;&gt;"",ISNUMBER(A1061)),VLOOKUP(A1061,Studies!A:BR,6,FALSE),"")</f>
        <v>Plasma</v>
      </c>
      <c r="G1061" s="194">
        <v>3</v>
      </c>
      <c r="H1061" s="194" t="s">
        <v>60</v>
      </c>
      <c r="I1061" s="187">
        <v>94.6</v>
      </c>
      <c r="J1061" s="187" t="s">
        <v>1026</v>
      </c>
      <c r="K1061" s="187" t="s">
        <v>116</v>
      </c>
      <c r="L1061" s="195">
        <v>52.2</v>
      </c>
      <c r="M1061" s="195" t="s">
        <v>1026</v>
      </c>
      <c r="N1061" s="195" t="s">
        <v>117</v>
      </c>
      <c r="O1061" s="199"/>
      <c r="P1061" s="188"/>
      <c r="Q1061" s="174">
        <f>IF(ISNUMBER(VLOOKUP(A1061,NotghiID!A:A,1,FALSE)),1,0)</f>
        <v>0</v>
      </c>
    </row>
    <row r="1062" spans="1:17" ht="14.25" x14ac:dyDescent="0.2">
      <c r="A1062" s="183">
        <v>232</v>
      </c>
      <c r="B1062" s="232" t="str">
        <f>IF(AND(A1062&lt;&gt;"",ISNUMBER(A1062)),VLOOKUP(A1062,Studies!A:BR,2,FALSE),"")</f>
        <v>Hardin 1988</v>
      </c>
      <c r="C1062" s="232" t="str">
        <f>IF(AND(A1062&lt;&gt;"",ISNUMBER(A1062)),VLOOKUP(A1062,Studies!A:BR,3,FALSE),"")</f>
        <v>https://www.ncbi.nlm.nih.gov/pubmed/2848442</v>
      </c>
      <c r="D1062" s="232" t="str">
        <f>IF(AND(A1062&lt;&gt;"",ISNUMBER(A1062)),VLOOKUP(A1062,Studies!A:BR,4,FALSE),"")</f>
        <v>A 100 mg OD (day 1)</v>
      </c>
      <c r="E1062" s="206" t="str">
        <f>IF(AND(A1062&lt;&gt;"",ISNUMBER(A1062)),VLOOKUP(A1062,Studies!A:BR,5,FALSE),"")</f>
        <v>Itraconazole</v>
      </c>
      <c r="F1062" s="207" t="str">
        <f>IF(AND(A1062&lt;&gt;"",ISNUMBER(A1062)),VLOOKUP(A1062,Studies!A:BR,6,FALSE),"")</f>
        <v>Plasma</v>
      </c>
      <c r="G1062" s="194">
        <v>4</v>
      </c>
      <c r="H1062" s="194" t="s">
        <v>60</v>
      </c>
      <c r="I1062" s="187">
        <v>80.599999999999994</v>
      </c>
      <c r="J1062" s="187" t="s">
        <v>1026</v>
      </c>
      <c r="K1062" s="187" t="s">
        <v>116</v>
      </c>
      <c r="L1062" s="195">
        <v>38.200000000000003</v>
      </c>
      <c r="M1062" s="195" t="s">
        <v>1026</v>
      </c>
      <c r="N1062" s="195" t="s">
        <v>117</v>
      </c>
      <c r="O1062" s="199"/>
      <c r="P1062" s="188"/>
      <c r="Q1062" s="174">
        <f>IF(ISNUMBER(VLOOKUP(A1062,NotghiID!A:A,1,FALSE)),1,0)</f>
        <v>0</v>
      </c>
    </row>
    <row r="1063" spans="1:17" ht="14.25" x14ac:dyDescent="0.2">
      <c r="A1063" s="183">
        <v>232</v>
      </c>
      <c r="B1063" s="232" t="str">
        <f>IF(AND(A1063&lt;&gt;"",ISNUMBER(A1063)),VLOOKUP(A1063,Studies!A:BR,2,FALSE),"")</f>
        <v>Hardin 1988</v>
      </c>
      <c r="C1063" s="232" t="str">
        <f>IF(AND(A1063&lt;&gt;"",ISNUMBER(A1063)),VLOOKUP(A1063,Studies!A:BR,3,FALSE),"")</f>
        <v>https://www.ncbi.nlm.nih.gov/pubmed/2848442</v>
      </c>
      <c r="D1063" s="232" t="str">
        <f>IF(AND(A1063&lt;&gt;"",ISNUMBER(A1063)),VLOOKUP(A1063,Studies!A:BR,4,FALSE),"")</f>
        <v>A 100 mg OD (day 1)</v>
      </c>
      <c r="E1063" s="206" t="str">
        <f>IF(AND(A1063&lt;&gt;"",ISNUMBER(A1063)),VLOOKUP(A1063,Studies!A:BR,5,FALSE),"")</f>
        <v>Itraconazole</v>
      </c>
      <c r="F1063" s="207" t="str">
        <f>IF(AND(A1063&lt;&gt;"",ISNUMBER(A1063)),VLOOKUP(A1063,Studies!A:BR,6,FALSE),"")</f>
        <v>Plasma</v>
      </c>
      <c r="G1063" s="194">
        <v>6</v>
      </c>
      <c r="H1063" s="194" t="s">
        <v>60</v>
      </c>
      <c r="I1063" s="187">
        <v>69.400000000000006</v>
      </c>
      <c r="J1063" s="187" t="s">
        <v>1026</v>
      </c>
      <c r="K1063" s="187" t="s">
        <v>116</v>
      </c>
      <c r="L1063" s="195">
        <v>31.2</v>
      </c>
      <c r="M1063" s="195" t="s">
        <v>1026</v>
      </c>
      <c r="N1063" s="195" t="s">
        <v>117</v>
      </c>
      <c r="O1063" s="199"/>
      <c r="P1063" s="188"/>
      <c r="Q1063" s="174">
        <f>IF(ISNUMBER(VLOOKUP(A1063,NotghiID!A:A,1,FALSE)),1,0)</f>
        <v>0</v>
      </c>
    </row>
    <row r="1064" spans="1:17" ht="14.25" x14ac:dyDescent="0.2">
      <c r="A1064" s="183">
        <v>232</v>
      </c>
      <c r="B1064" s="232" t="str">
        <f>IF(AND(A1064&lt;&gt;"",ISNUMBER(A1064)),VLOOKUP(A1064,Studies!A:BR,2,FALSE),"")</f>
        <v>Hardin 1988</v>
      </c>
      <c r="C1064" s="232" t="str">
        <f>IF(AND(A1064&lt;&gt;"",ISNUMBER(A1064)),VLOOKUP(A1064,Studies!A:BR,3,FALSE),"")</f>
        <v>https://www.ncbi.nlm.nih.gov/pubmed/2848442</v>
      </c>
      <c r="D1064" s="232" t="str">
        <f>IF(AND(A1064&lt;&gt;"",ISNUMBER(A1064)),VLOOKUP(A1064,Studies!A:BR,4,FALSE),"")</f>
        <v>A 100 mg OD (day 1)</v>
      </c>
      <c r="E1064" s="206" t="str">
        <f>IF(AND(A1064&lt;&gt;"",ISNUMBER(A1064)),VLOOKUP(A1064,Studies!A:BR,5,FALSE),"")</f>
        <v>Itraconazole</v>
      </c>
      <c r="F1064" s="207" t="str">
        <f>IF(AND(A1064&lt;&gt;"",ISNUMBER(A1064)),VLOOKUP(A1064,Studies!A:BR,6,FALSE),"")</f>
        <v>Plasma</v>
      </c>
      <c r="G1064" s="194">
        <v>8</v>
      </c>
      <c r="H1064" s="194" t="s">
        <v>60</v>
      </c>
      <c r="I1064" s="187">
        <v>49.1</v>
      </c>
      <c r="J1064" s="187" t="s">
        <v>1026</v>
      </c>
      <c r="K1064" s="187" t="s">
        <v>116</v>
      </c>
      <c r="L1064" s="195">
        <v>19.399999999999999</v>
      </c>
      <c r="M1064" s="195" t="s">
        <v>1026</v>
      </c>
      <c r="N1064" s="195" t="s">
        <v>117</v>
      </c>
      <c r="O1064" s="199"/>
      <c r="P1064" s="188"/>
      <c r="Q1064" s="174">
        <f>IF(ISNUMBER(VLOOKUP(A1064,NotghiID!A:A,1,FALSE)),1,0)</f>
        <v>0</v>
      </c>
    </row>
    <row r="1065" spans="1:17" ht="14.25" x14ac:dyDescent="0.2">
      <c r="A1065" s="183">
        <v>232</v>
      </c>
      <c r="B1065" s="232" t="str">
        <f>IF(AND(A1065&lt;&gt;"",ISNUMBER(A1065)),VLOOKUP(A1065,Studies!A:BR,2,FALSE),"")</f>
        <v>Hardin 1988</v>
      </c>
      <c r="C1065" s="232" t="str">
        <f>IF(AND(A1065&lt;&gt;"",ISNUMBER(A1065)),VLOOKUP(A1065,Studies!A:BR,3,FALSE),"")</f>
        <v>https://www.ncbi.nlm.nih.gov/pubmed/2848442</v>
      </c>
      <c r="D1065" s="232" t="str">
        <f>IF(AND(A1065&lt;&gt;"",ISNUMBER(A1065)),VLOOKUP(A1065,Studies!A:BR,4,FALSE),"")</f>
        <v>A 100 mg OD (day 1)</v>
      </c>
      <c r="E1065" s="206" t="str">
        <f>IF(AND(A1065&lt;&gt;"",ISNUMBER(A1065)),VLOOKUP(A1065,Studies!A:BR,5,FALSE),"")</f>
        <v>Itraconazole</v>
      </c>
      <c r="F1065" s="207" t="str">
        <f>IF(AND(A1065&lt;&gt;"",ISNUMBER(A1065)),VLOOKUP(A1065,Studies!A:BR,6,FALSE),"")</f>
        <v>Plasma</v>
      </c>
      <c r="G1065" s="194">
        <v>12</v>
      </c>
      <c r="H1065" s="194" t="s">
        <v>60</v>
      </c>
      <c r="I1065" s="187">
        <v>29.8</v>
      </c>
      <c r="J1065" s="187" t="s">
        <v>1026</v>
      </c>
      <c r="K1065" s="187" t="s">
        <v>116</v>
      </c>
      <c r="L1065" s="195">
        <v>12.6</v>
      </c>
      <c r="M1065" s="195" t="s">
        <v>1026</v>
      </c>
      <c r="N1065" s="195" t="s">
        <v>117</v>
      </c>
      <c r="O1065" s="199"/>
      <c r="P1065" s="188"/>
      <c r="Q1065" s="174">
        <f>IF(ISNUMBER(VLOOKUP(A1065,NotghiID!A:A,1,FALSE)),1,0)</f>
        <v>0</v>
      </c>
    </row>
    <row r="1066" spans="1:17" ht="14.25" x14ac:dyDescent="0.2">
      <c r="A1066" s="183">
        <v>232</v>
      </c>
      <c r="B1066" s="232" t="str">
        <f>IF(AND(A1066&lt;&gt;"",ISNUMBER(A1066)),VLOOKUP(A1066,Studies!A:BR,2,FALSE),"")</f>
        <v>Hardin 1988</v>
      </c>
      <c r="C1066" s="232" t="str">
        <f>IF(AND(A1066&lt;&gt;"",ISNUMBER(A1066)),VLOOKUP(A1066,Studies!A:BR,3,FALSE),"")</f>
        <v>https://www.ncbi.nlm.nih.gov/pubmed/2848442</v>
      </c>
      <c r="D1066" s="232" t="str">
        <f>IF(AND(A1066&lt;&gt;"",ISNUMBER(A1066)),VLOOKUP(A1066,Studies!A:BR,4,FALSE),"")</f>
        <v>A 100 mg OD (day 1)</v>
      </c>
      <c r="E1066" s="206" t="str">
        <f>IF(AND(A1066&lt;&gt;"",ISNUMBER(A1066)),VLOOKUP(A1066,Studies!A:BR,5,FALSE),"")</f>
        <v>Itraconazole</v>
      </c>
      <c r="F1066" s="207" t="str">
        <f>IF(AND(A1066&lt;&gt;"",ISNUMBER(A1066)),VLOOKUP(A1066,Studies!A:BR,6,FALSE),"")</f>
        <v>Plasma</v>
      </c>
      <c r="G1066" s="194">
        <v>16</v>
      </c>
      <c r="H1066" s="194" t="s">
        <v>60</v>
      </c>
      <c r="I1066" s="187">
        <v>24.3</v>
      </c>
      <c r="J1066" s="187" t="s">
        <v>1026</v>
      </c>
      <c r="K1066" s="187" t="s">
        <v>116</v>
      </c>
      <c r="L1066" s="195">
        <v>11.3</v>
      </c>
      <c r="M1066" s="195" t="s">
        <v>1026</v>
      </c>
      <c r="N1066" s="195" t="s">
        <v>117</v>
      </c>
      <c r="O1066" s="199"/>
      <c r="P1066" s="188"/>
      <c r="Q1066" s="174">
        <f>IF(ISNUMBER(VLOOKUP(A1066,NotghiID!A:A,1,FALSE)),1,0)</f>
        <v>0</v>
      </c>
    </row>
    <row r="1067" spans="1:17" ht="14.25" x14ac:dyDescent="0.2">
      <c r="A1067" s="183">
        <v>232</v>
      </c>
      <c r="B1067" s="232" t="str">
        <f>IF(AND(A1067&lt;&gt;"",ISNUMBER(A1067)),VLOOKUP(A1067,Studies!A:BR,2,FALSE),"")</f>
        <v>Hardin 1988</v>
      </c>
      <c r="C1067" s="232" t="str">
        <f>IF(AND(A1067&lt;&gt;"",ISNUMBER(A1067)),VLOOKUP(A1067,Studies!A:BR,3,FALSE),"")</f>
        <v>https://www.ncbi.nlm.nih.gov/pubmed/2848442</v>
      </c>
      <c r="D1067" s="232" t="str">
        <f>IF(AND(A1067&lt;&gt;"",ISNUMBER(A1067)),VLOOKUP(A1067,Studies!A:BR,4,FALSE),"")</f>
        <v>A 100 mg OD (day 1)</v>
      </c>
      <c r="E1067" s="206" t="str">
        <f>IF(AND(A1067&lt;&gt;"",ISNUMBER(A1067)),VLOOKUP(A1067,Studies!A:BR,5,FALSE),"")</f>
        <v>Itraconazole</v>
      </c>
      <c r="F1067" s="207" t="str">
        <f>IF(AND(A1067&lt;&gt;"",ISNUMBER(A1067)),VLOOKUP(A1067,Studies!A:BR,6,FALSE),"")</f>
        <v>Plasma</v>
      </c>
      <c r="G1067" s="194">
        <v>24</v>
      </c>
      <c r="H1067" s="194" t="s">
        <v>60</v>
      </c>
      <c r="I1067" s="187">
        <v>15</v>
      </c>
      <c r="J1067" s="187" t="s">
        <v>1026</v>
      </c>
      <c r="K1067" s="187" t="s">
        <v>116</v>
      </c>
      <c r="L1067" s="195">
        <v>8.8000000000000007</v>
      </c>
      <c r="M1067" s="195" t="s">
        <v>1026</v>
      </c>
      <c r="N1067" s="195" t="s">
        <v>117</v>
      </c>
      <c r="O1067" s="199"/>
      <c r="P1067" s="188"/>
      <c r="Q1067" s="174">
        <f>IF(ISNUMBER(VLOOKUP(A1067,NotghiID!A:A,1,FALSE)),1,0)</f>
        <v>0</v>
      </c>
    </row>
    <row r="1068" spans="1:17" ht="14.25" x14ac:dyDescent="0.2">
      <c r="A1068" s="183">
        <v>232</v>
      </c>
      <c r="B1068" s="232" t="str">
        <f>IF(AND(A1068&lt;&gt;"",ISNUMBER(A1068)),VLOOKUP(A1068,Studies!A:BR,2,FALSE),"")</f>
        <v>Hardin 1988</v>
      </c>
      <c r="C1068" s="232" t="str">
        <f>IF(AND(A1068&lt;&gt;"",ISNUMBER(A1068)),VLOOKUP(A1068,Studies!A:BR,3,FALSE),"")</f>
        <v>https://www.ncbi.nlm.nih.gov/pubmed/2848442</v>
      </c>
      <c r="D1068" s="232" t="str">
        <f>IF(AND(A1068&lt;&gt;"",ISNUMBER(A1068)),VLOOKUP(A1068,Studies!A:BR,4,FALSE),"")</f>
        <v>A 100 mg OD (day 1)</v>
      </c>
      <c r="E1068" s="206" t="str">
        <f>IF(AND(A1068&lt;&gt;"",ISNUMBER(A1068)),VLOOKUP(A1068,Studies!A:BR,5,FALSE),"")</f>
        <v>Itraconazole</v>
      </c>
      <c r="F1068" s="207" t="str">
        <f>IF(AND(A1068&lt;&gt;"",ISNUMBER(A1068)),VLOOKUP(A1068,Studies!A:BR,6,FALSE),"")</f>
        <v>Plasma</v>
      </c>
      <c r="G1068" s="194">
        <v>48</v>
      </c>
      <c r="H1068" s="194" t="s">
        <v>60</v>
      </c>
      <c r="I1068" s="187">
        <v>6.6</v>
      </c>
      <c r="J1068" s="187" t="s">
        <v>1026</v>
      </c>
      <c r="K1068" s="187" t="s">
        <v>116</v>
      </c>
      <c r="L1068" s="195">
        <v>2.8</v>
      </c>
      <c r="M1068" s="195" t="s">
        <v>1026</v>
      </c>
      <c r="N1068" s="195" t="s">
        <v>117</v>
      </c>
      <c r="O1068" s="199"/>
      <c r="P1068" s="188"/>
      <c r="Q1068" s="174">
        <f>IF(ISNUMBER(VLOOKUP(A1068,NotghiID!A:A,1,FALSE)),1,0)</f>
        <v>0</v>
      </c>
    </row>
    <row r="1069" spans="1:17" ht="14.25" x14ac:dyDescent="0.2">
      <c r="A1069" s="183">
        <v>233</v>
      </c>
      <c r="B1069" s="232" t="str">
        <f>IF(AND(A1069&lt;&gt;"",ISNUMBER(A1069)),VLOOKUP(A1069,Studies!A:BR,2,FALSE),"")</f>
        <v>Hardin 1988</v>
      </c>
      <c r="C1069" s="232" t="str">
        <f>IF(AND(A1069&lt;&gt;"",ISNUMBER(A1069)),VLOOKUP(A1069,Studies!A:BR,3,FALSE),"")</f>
        <v>https://www.ncbi.nlm.nih.gov/pubmed/2848442</v>
      </c>
      <c r="D1069" s="232" t="str">
        <f>IF(AND(A1069&lt;&gt;"",ISNUMBER(A1069)),VLOOKUP(A1069,Studies!A:BR,4,FALSE),"")</f>
        <v>A 100 mg OD (day 7-15)</v>
      </c>
      <c r="E1069" s="206" t="str">
        <f>IF(AND(A1069&lt;&gt;"",ISNUMBER(A1069)),VLOOKUP(A1069,Studies!A:BR,5,FALSE),"")</f>
        <v>Itraconazole</v>
      </c>
      <c r="F1069" s="207" t="str">
        <f>IF(AND(A1069&lt;&gt;"",ISNUMBER(A1069)),VLOOKUP(A1069,Studies!A:BR,6,FALSE),"")</f>
        <v>Plasma</v>
      </c>
      <c r="G1069" s="194">
        <v>168</v>
      </c>
      <c r="H1069" s="194" t="s">
        <v>60</v>
      </c>
      <c r="I1069" s="187">
        <v>48.5</v>
      </c>
      <c r="J1069" s="187" t="s">
        <v>1026</v>
      </c>
      <c r="K1069" s="187" t="s">
        <v>116</v>
      </c>
      <c r="L1069" s="195">
        <v>24.5</v>
      </c>
      <c r="M1069" s="195" t="s">
        <v>1026</v>
      </c>
      <c r="N1069" s="195" t="s">
        <v>117</v>
      </c>
      <c r="O1069" s="199"/>
      <c r="P1069" s="188"/>
      <c r="Q1069" s="174">
        <f>IF(ISNUMBER(VLOOKUP(A1069,NotghiID!A:A,1,FALSE)),1,0)</f>
        <v>0</v>
      </c>
    </row>
    <row r="1070" spans="1:17" ht="14.25" x14ac:dyDescent="0.2">
      <c r="A1070" s="183">
        <v>233</v>
      </c>
      <c r="B1070" s="232" t="str">
        <f>IF(AND(A1070&lt;&gt;"",ISNUMBER(A1070)),VLOOKUP(A1070,Studies!A:BR,2,FALSE),"")</f>
        <v>Hardin 1988</v>
      </c>
      <c r="C1070" s="232" t="str">
        <f>IF(AND(A1070&lt;&gt;"",ISNUMBER(A1070)),VLOOKUP(A1070,Studies!A:BR,3,FALSE),"")</f>
        <v>https://www.ncbi.nlm.nih.gov/pubmed/2848442</v>
      </c>
      <c r="D1070" s="232" t="str">
        <f>IF(AND(A1070&lt;&gt;"",ISNUMBER(A1070)),VLOOKUP(A1070,Studies!A:BR,4,FALSE),"")</f>
        <v>A 100 mg OD (day 7-15)</v>
      </c>
      <c r="E1070" s="206" t="str">
        <f>IF(AND(A1070&lt;&gt;"",ISNUMBER(A1070)),VLOOKUP(A1070,Studies!A:BR,5,FALSE),"")</f>
        <v>Itraconazole</v>
      </c>
      <c r="F1070" s="207" t="str">
        <f>IF(AND(A1070&lt;&gt;"",ISNUMBER(A1070)),VLOOKUP(A1070,Studies!A:BR,6,FALSE),"")</f>
        <v>Plasma</v>
      </c>
      <c r="G1070" s="194">
        <v>240</v>
      </c>
      <c r="H1070" s="194" t="s">
        <v>60</v>
      </c>
      <c r="I1070" s="187">
        <v>76.7</v>
      </c>
      <c r="J1070" s="187" t="s">
        <v>1026</v>
      </c>
      <c r="K1070" s="187" t="s">
        <v>116</v>
      </c>
      <c r="L1070" s="195">
        <v>29.1</v>
      </c>
      <c r="M1070" s="195" t="s">
        <v>1026</v>
      </c>
      <c r="N1070" s="195" t="s">
        <v>117</v>
      </c>
      <c r="O1070" s="199"/>
      <c r="P1070" s="188"/>
      <c r="Q1070" s="174">
        <f>IF(ISNUMBER(VLOOKUP(A1070,NotghiID!A:A,1,FALSE)),1,0)</f>
        <v>0</v>
      </c>
    </row>
    <row r="1071" spans="1:17" ht="14.25" x14ac:dyDescent="0.2">
      <c r="A1071" s="183">
        <v>233</v>
      </c>
      <c r="B1071" s="232" t="str">
        <f>IF(AND(A1071&lt;&gt;"",ISNUMBER(A1071)),VLOOKUP(A1071,Studies!A:BR,2,FALSE),"")</f>
        <v>Hardin 1988</v>
      </c>
      <c r="C1071" s="232" t="str">
        <f>IF(AND(A1071&lt;&gt;"",ISNUMBER(A1071)),VLOOKUP(A1071,Studies!A:BR,3,FALSE),"")</f>
        <v>https://www.ncbi.nlm.nih.gov/pubmed/2848442</v>
      </c>
      <c r="D1071" s="232" t="str">
        <f>IF(AND(A1071&lt;&gt;"",ISNUMBER(A1071)),VLOOKUP(A1071,Studies!A:BR,4,FALSE),"")</f>
        <v>A 100 mg OD (day 7-15)</v>
      </c>
      <c r="E1071" s="206" t="str">
        <f>IF(AND(A1071&lt;&gt;"",ISNUMBER(A1071)),VLOOKUP(A1071,Studies!A:BR,5,FALSE),"")</f>
        <v>Itraconazole</v>
      </c>
      <c r="F1071" s="207" t="str">
        <f>IF(AND(A1071&lt;&gt;"",ISNUMBER(A1071)),VLOOKUP(A1071,Studies!A:BR,6,FALSE),"")</f>
        <v>Plasma</v>
      </c>
      <c r="G1071" s="194">
        <v>312</v>
      </c>
      <c r="H1071" s="194" t="s">
        <v>60</v>
      </c>
      <c r="I1071" s="187">
        <v>111</v>
      </c>
      <c r="J1071" s="187" t="s">
        <v>1026</v>
      </c>
      <c r="K1071" s="187" t="s">
        <v>116</v>
      </c>
      <c r="L1071" s="195">
        <v>39.4</v>
      </c>
      <c r="M1071" s="195" t="s">
        <v>1026</v>
      </c>
      <c r="N1071" s="195" t="s">
        <v>117</v>
      </c>
      <c r="O1071" s="199"/>
      <c r="P1071" s="188"/>
      <c r="Q1071" s="174">
        <f>IF(ISNUMBER(VLOOKUP(A1071,NotghiID!A:A,1,FALSE)),1,0)</f>
        <v>0</v>
      </c>
    </row>
    <row r="1072" spans="1:17" ht="14.25" x14ac:dyDescent="0.2">
      <c r="A1072" s="183">
        <v>233</v>
      </c>
      <c r="B1072" s="232" t="str">
        <f>IF(AND(A1072&lt;&gt;"",ISNUMBER(A1072)),VLOOKUP(A1072,Studies!A:BR,2,FALSE),"")</f>
        <v>Hardin 1988</v>
      </c>
      <c r="C1072" s="232" t="str">
        <f>IF(AND(A1072&lt;&gt;"",ISNUMBER(A1072)),VLOOKUP(A1072,Studies!A:BR,3,FALSE),"")</f>
        <v>https://www.ncbi.nlm.nih.gov/pubmed/2848442</v>
      </c>
      <c r="D1072" s="232" t="str">
        <f>IF(AND(A1072&lt;&gt;"",ISNUMBER(A1072)),VLOOKUP(A1072,Studies!A:BR,4,FALSE),"")</f>
        <v>A 100 mg OD (day 7-15)</v>
      </c>
      <c r="E1072" s="206" t="str">
        <f>IF(AND(A1072&lt;&gt;"",ISNUMBER(A1072)),VLOOKUP(A1072,Studies!A:BR,5,FALSE),"")</f>
        <v>Itraconazole</v>
      </c>
      <c r="F1072" s="207" t="str">
        <f>IF(AND(A1072&lt;&gt;"",ISNUMBER(A1072)),VLOOKUP(A1072,Studies!A:BR,6,FALSE),"")</f>
        <v>Plasma</v>
      </c>
      <c r="G1072" s="194">
        <v>360</v>
      </c>
      <c r="H1072" s="194" t="s">
        <v>60</v>
      </c>
      <c r="I1072" s="187">
        <v>124</v>
      </c>
      <c r="J1072" s="187" t="s">
        <v>1026</v>
      </c>
      <c r="K1072" s="187" t="s">
        <v>116</v>
      </c>
      <c r="L1072" s="195">
        <v>47.7</v>
      </c>
      <c r="M1072" s="195" t="s">
        <v>1026</v>
      </c>
      <c r="N1072" s="195" t="s">
        <v>117</v>
      </c>
      <c r="O1072" s="199"/>
      <c r="P1072" s="188"/>
      <c r="Q1072" s="174">
        <f>IF(ISNUMBER(VLOOKUP(A1072,NotghiID!A:A,1,FALSE)),1,0)</f>
        <v>0</v>
      </c>
    </row>
    <row r="1073" spans="1:17" ht="14.25" x14ac:dyDescent="0.2">
      <c r="A1073" s="183">
        <v>234</v>
      </c>
      <c r="B1073" s="232" t="str">
        <f>IF(AND(A1073&lt;&gt;"",ISNUMBER(A1073)),VLOOKUP(A1073,Studies!A:BR,2,FALSE),"")</f>
        <v>Hardin 1988</v>
      </c>
      <c r="C1073" s="232" t="str">
        <f>IF(AND(A1073&lt;&gt;"",ISNUMBER(A1073)),VLOOKUP(A1073,Studies!A:BR,3,FALSE),"")</f>
        <v>https://www.ncbi.nlm.nih.gov/pubmed/2848442</v>
      </c>
      <c r="D1073" s="232" t="str">
        <f>IF(AND(A1073&lt;&gt;"",ISNUMBER(A1073)),VLOOKUP(A1073,Studies!A:BR,4,FALSE),"")</f>
        <v>A 100 mg OD (day 15)</v>
      </c>
      <c r="E1073" s="206" t="str">
        <f>IF(AND(A1073&lt;&gt;"",ISNUMBER(A1073)),VLOOKUP(A1073,Studies!A:BR,5,FALSE),"")</f>
        <v>Itraconazole</v>
      </c>
      <c r="F1073" s="207" t="str">
        <f>IF(AND(A1073&lt;&gt;"",ISNUMBER(A1073)),VLOOKUP(A1073,Studies!A:BR,6,FALSE),"")</f>
        <v>Plasma</v>
      </c>
      <c r="G1073" s="194">
        <v>360.5</v>
      </c>
      <c r="H1073" s="194" t="s">
        <v>60</v>
      </c>
      <c r="I1073" s="187">
        <v>135</v>
      </c>
      <c r="J1073" s="187" t="s">
        <v>1026</v>
      </c>
      <c r="K1073" s="187" t="s">
        <v>116</v>
      </c>
      <c r="L1073" s="195">
        <v>27.6</v>
      </c>
      <c r="M1073" s="195" t="s">
        <v>1026</v>
      </c>
      <c r="N1073" s="195" t="s">
        <v>117</v>
      </c>
      <c r="O1073" s="199"/>
      <c r="P1073" s="188"/>
      <c r="Q1073" s="174">
        <f>IF(ISNUMBER(VLOOKUP(A1073,NotghiID!A:A,1,FALSE)),1,0)</f>
        <v>0</v>
      </c>
    </row>
    <row r="1074" spans="1:17" ht="14.25" x14ac:dyDescent="0.2">
      <c r="A1074" s="183">
        <v>234</v>
      </c>
      <c r="B1074" s="232" t="str">
        <f>IF(AND(A1074&lt;&gt;"",ISNUMBER(A1074)),VLOOKUP(A1074,Studies!A:BR,2,FALSE),"")</f>
        <v>Hardin 1988</v>
      </c>
      <c r="C1074" s="232" t="str">
        <f>IF(AND(A1074&lt;&gt;"",ISNUMBER(A1074)),VLOOKUP(A1074,Studies!A:BR,3,FALSE),"")</f>
        <v>https://www.ncbi.nlm.nih.gov/pubmed/2848442</v>
      </c>
      <c r="D1074" s="232" t="str">
        <f>IF(AND(A1074&lt;&gt;"",ISNUMBER(A1074)),VLOOKUP(A1074,Studies!A:BR,4,FALSE),"")</f>
        <v>A 100 mg OD (day 15)</v>
      </c>
      <c r="E1074" s="206" t="str">
        <f>IF(AND(A1074&lt;&gt;"",ISNUMBER(A1074)),VLOOKUP(A1074,Studies!A:BR,5,FALSE),"")</f>
        <v>Itraconazole</v>
      </c>
      <c r="F1074" s="207" t="str">
        <f>IF(AND(A1074&lt;&gt;"",ISNUMBER(A1074)),VLOOKUP(A1074,Studies!A:BR,6,FALSE),"")</f>
        <v>Plasma</v>
      </c>
      <c r="G1074" s="194">
        <v>361</v>
      </c>
      <c r="H1074" s="194" t="s">
        <v>60</v>
      </c>
      <c r="I1074" s="187">
        <v>280</v>
      </c>
      <c r="J1074" s="187" t="s">
        <v>1026</v>
      </c>
      <c r="K1074" s="187" t="s">
        <v>116</v>
      </c>
      <c r="L1074" s="195">
        <v>68.8</v>
      </c>
      <c r="M1074" s="195" t="s">
        <v>1026</v>
      </c>
      <c r="N1074" s="195" t="s">
        <v>117</v>
      </c>
      <c r="O1074" s="199"/>
      <c r="P1074" s="188"/>
      <c r="Q1074" s="174">
        <f>IF(ISNUMBER(VLOOKUP(A1074,NotghiID!A:A,1,FALSE)),1,0)</f>
        <v>0</v>
      </c>
    </row>
    <row r="1075" spans="1:17" ht="14.25" x14ac:dyDescent="0.2">
      <c r="A1075" s="183">
        <v>234</v>
      </c>
      <c r="B1075" s="232" t="str">
        <f>IF(AND(A1075&lt;&gt;"",ISNUMBER(A1075)),VLOOKUP(A1075,Studies!A:BR,2,FALSE),"")</f>
        <v>Hardin 1988</v>
      </c>
      <c r="C1075" s="232" t="str">
        <f>IF(AND(A1075&lt;&gt;"",ISNUMBER(A1075)),VLOOKUP(A1075,Studies!A:BR,3,FALSE),"")</f>
        <v>https://www.ncbi.nlm.nih.gov/pubmed/2848442</v>
      </c>
      <c r="D1075" s="232" t="str">
        <f>IF(AND(A1075&lt;&gt;"",ISNUMBER(A1075)),VLOOKUP(A1075,Studies!A:BR,4,FALSE),"")</f>
        <v>A 100 mg OD (day 15)</v>
      </c>
      <c r="E1075" s="206" t="str">
        <f>IF(AND(A1075&lt;&gt;"",ISNUMBER(A1075)),VLOOKUP(A1075,Studies!A:BR,5,FALSE),"")</f>
        <v>Itraconazole</v>
      </c>
      <c r="F1075" s="207" t="str">
        <f>IF(AND(A1075&lt;&gt;"",ISNUMBER(A1075)),VLOOKUP(A1075,Studies!A:BR,6,FALSE),"")</f>
        <v>Plasma</v>
      </c>
      <c r="G1075" s="194">
        <v>362</v>
      </c>
      <c r="H1075" s="194" t="s">
        <v>60</v>
      </c>
      <c r="I1075" s="187">
        <v>376</v>
      </c>
      <c r="J1075" s="187" t="s">
        <v>1026</v>
      </c>
      <c r="K1075" s="187" t="s">
        <v>116</v>
      </c>
      <c r="L1075" s="195">
        <v>73.3</v>
      </c>
      <c r="M1075" s="195" t="s">
        <v>1026</v>
      </c>
      <c r="N1075" s="195" t="s">
        <v>117</v>
      </c>
      <c r="O1075" s="199"/>
      <c r="P1075" s="188"/>
      <c r="Q1075" s="174">
        <f>IF(ISNUMBER(VLOOKUP(A1075,NotghiID!A:A,1,FALSE)),1,0)</f>
        <v>0</v>
      </c>
    </row>
    <row r="1076" spans="1:17" ht="14.25" x14ac:dyDescent="0.2">
      <c r="A1076" s="183">
        <v>234</v>
      </c>
      <c r="B1076" s="232" t="str">
        <f>IF(AND(A1076&lt;&gt;"",ISNUMBER(A1076)),VLOOKUP(A1076,Studies!A:BR,2,FALSE),"")</f>
        <v>Hardin 1988</v>
      </c>
      <c r="C1076" s="232" t="str">
        <f>IF(AND(A1076&lt;&gt;"",ISNUMBER(A1076)),VLOOKUP(A1076,Studies!A:BR,3,FALSE),"")</f>
        <v>https://www.ncbi.nlm.nih.gov/pubmed/2848442</v>
      </c>
      <c r="D1076" s="232" t="str">
        <f>IF(AND(A1076&lt;&gt;"",ISNUMBER(A1076)),VLOOKUP(A1076,Studies!A:BR,4,FALSE),"")</f>
        <v>A 100 mg OD (day 15)</v>
      </c>
      <c r="E1076" s="206" t="str">
        <f>IF(AND(A1076&lt;&gt;"",ISNUMBER(A1076)),VLOOKUP(A1076,Studies!A:BR,5,FALSE),"")</f>
        <v>Itraconazole</v>
      </c>
      <c r="F1076" s="207" t="str">
        <f>IF(AND(A1076&lt;&gt;"",ISNUMBER(A1076)),VLOOKUP(A1076,Studies!A:BR,6,FALSE),"")</f>
        <v>Plasma</v>
      </c>
      <c r="G1076" s="194">
        <v>363</v>
      </c>
      <c r="H1076" s="194" t="s">
        <v>60</v>
      </c>
      <c r="I1076" s="187">
        <v>385</v>
      </c>
      <c r="J1076" s="187" t="s">
        <v>1026</v>
      </c>
      <c r="K1076" s="187" t="s">
        <v>116</v>
      </c>
      <c r="L1076" s="195">
        <v>95.2</v>
      </c>
      <c r="M1076" s="195" t="s">
        <v>1026</v>
      </c>
      <c r="N1076" s="195" t="s">
        <v>117</v>
      </c>
      <c r="O1076" s="199"/>
      <c r="P1076" s="188"/>
      <c r="Q1076" s="174">
        <f>IF(ISNUMBER(VLOOKUP(A1076,NotghiID!A:A,1,FALSE)),1,0)</f>
        <v>0</v>
      </c>
    </row>
    <row r="1077" spans="1:17" ht="14.25" x14ac:dyDescent="0.2">
      <c r="A1077" s="183">
        <v>234</v>
      </c>
      <c r="B1077" s="232" t="str">
        <f>IF(AND(A1077&lt;&gt;"",ISNUMBER(A1077)),VLOOKUP(A1077,Studies!A:BR,2,FALSE),"")</f>
        <v>Hardin 1988</v>
      </c>
      <c r="C1077" s="232" t="str">
        <f>IF(AND(A1077&lt;&gt;"",ISNUMBER(A1077)),VLOOKUP(A1077,Studies!A:BR,3,FALSE),"")</f>
        <v>https://www.ncbi.nlm.nih.gov/pubmed/2848442</v>
      </c>
      <c r="D1077" s="232" t="str">
        <f>IF(AND(A1077&lt;&gt;"",ISNUMBER(A1077)),VLOOKUP(A1077,Studies!A:BR,4,FALSE),"")</f>
        <v>A 100 mg OD (day 15)</v>
      </c>
      <c r="E1077" s="206" t="str">
        <f>IF(AND(A1077&lt;&gt;"",ISNUMBER(A1077)),VLOOKUP(A1077,Studies!A:BR,5,FALSE),"")</f>
        <v>Itraconazole</v>
      </c>
      <c r="F1077" s="207" t="str">
        <f>IF(AND(A1077&lt;&gt;"",ISNUMBER(A1077)),VLOOKUP(A1077,Studies!A:BR,6,FALSE),"")</f>
        <v>Plasma</v>
      </c>
      <c r="G1077" s="194">
        <v>364</v>
      </c>
      <c r="H1077" s="194" t="s">
        <v>60</v>
      </c>
      <c r="I1077" s="187">
        <v>378</v>
      </c>
      <c r="J1077" s="187" t="s">
        <v>1026</v>
      </c>
      <c r="K1077" s="187" t="s">
        <v>116</v>
      </c>
      <c r="L1077" s="195">
        <v>116</v>
      </c>
      <c r="M1077" s="195" t="s">
        <v>1026</v>
      </c>
      <c r="N1077" s="195" t="s">
        <v>117</v>
      </c>
      <c r="O1077" s="199"/>
      <c r="P1077" s="188"/>
      <c r="Q1077" s="174">
        <f>IF(ISNUMBER(VLOOKUP(A1077,NotghiID!A:A,1,FALSE)),1,0)</f>
        <v>0</v>
      </c>
    </row>
    <row r="1078" spans="1:17" ht="14.25" x14ac:dyDescent="0.2">
      <c r="A1078" s="183">
        <v>234</v>
      </c>
      <c r="B1078" s="232" t="str">
        <f>IF(AND(A1078&lt;&gt;"",ISNUMBER(A1078)),VLOOKUP(A1078,Studies!A:BR,2,FALSE),"")</f>
        <v>Hardin 1988</v>
      </c>
      <c r="C1078" s="232" t="str">
        <f>IF(AND(A1078&lt;&gt;"",ISNUMBER(A1078)),VLOOKUP(A1078,Studies!A:BR,3,FALSE),"")</f>
        <v>https://www.ncbi.nlm.nih.gov/pubmed/2848442</v>
      </c>
      <c r="D1078" s="232" t="str">
        <f>IF(AND(A1078&lt;&gt;"",ISNUMBER(A1078)),VLOOKUP(A1078,Studies!A:BR,4,FALSE),"")</f>
        <v>A 100 mg OD (day 15)</v>
      </c>
      <c r="E1078" s="206" t="str">
        <f>IF(AND(A1078&lt;&gt;"",ISNUMBER(A1078)),VLOOKUP(A1078,Studies!A:BR,5,FALSE),"")</f>
        <v>Itraconazole</v>
      </c>
      <c r="F1078" s="207" t="str">
        <f>IF(AND(A1078&lt;&gt;"",ISNUMBER(A1078)),VLOOKUP(A1078,Studies!A:BR,6,FALSE),"")</f>
        <v>Plasma</v>
      </c>
      <c r="G1078" s="194">
        <v>366</v>
      </c>
      <c r="H1078" s="194" t="s">
        <v>60</v>
      </c>
      <c r="I1078" s="187">
        <v>323</v>
      </c>
      <c r="J1078" s="187" t="s">
        <v>1026</v>
      </c>
      <c r="K1078" s="187" t="s">
        <v>116</v>
      </c>
      <c r="L1078" s="195">
        <v>122</v>
      </c>
      <c r="M1078" s="195" t="s">
        <v>1026</v>
      </c>
      <c r="N1078" s="195" t="s">
        <v>117</v>
      </c>
      <c r="O1078" s="199"/>
      <c r="P1078" s="188"/>
      <c r="Q1078" s="174">
        <f>IF(ISNUMBER(VLOOKUP(A1078,NotghiID!A:A,1,FALSE)),1,0)</f>
        <v>0</v>
      </c>
    </row>
    <row r="1079" spans="1:17" ht="14.25" x14ac:dyDescent="0.2">
      <c r="A1079" s="183">
        <v>234</v>
      </c>
      <c r="B1079" s="232" t="str">
        <f>IF(AND(A1079&lt;&gt;"",ISNUMBER(A1079)),VLOOKUP(A1079,Studies!A:BR,2,FALSE),"")</f>
        <v>Hardin 1988</v>
      </c>
      <c r="C1079" s="232" t="str">
        <f>IF(AND(A1079&lt;&gt;"",ISNUMBER(A1079)),VLOOKUP(A1079,Studies!A:BR,3,FALSE),"")</f>
        <v>https://www.ncbi.nlm.nih.gov/pubmed/2848442</v>
      </c>
      <c r="D1079" s="232" t="str">
        <f>IF(AND(A1079&lt;&gt;"",ISNUMBER(A1079)),VLOOKUP(A1079,Studies!A:BR,4,FALSE),"")</f>
        <v>A 100 mg OD (day 15)</v>
      </c>
      <c r="E1079" s="206" t="str">
        <f>IF(AND(A1079&lt;&gt;"",ISNUMBER(A1079)),VLOOKUP(A1079,Studies!A:BR,5,FALSE),"")</f>
        <v>Itraconazole</v>
      </c>
      <c r="F1079" s="207" t="str">
        <f>IF(AND(A1079&lt;&gt;"",ISNUMBER(A1079)),VLOOKUP(A1079,Studies!A:BR,6,FALSE),"")</f>
        <v>Plasma</v>
      </c>
      <c r="G1079" s="194">
        <v>368</v>
      </c>
      <c r="H1079" s="194" t="s">
        <v>60</v>
      </c>
      <c r="I1079" s="187">
        <v>255</v>
      </c>
      <c r="J1079" s="187" t="s">
        <v>1026</v>
      </c>
      <c r="K1079" s="187" t="s">
        <v>116</v>
      </c>
      <c r="L1079" s="195">
        <v>97.7</v>
      </c>
      <c r="M1079" s="195" t="s">
        <v>1026</v>
      </c>
      <c r="N1079" s="195" t="s">
        <v>117</v>
      </c>
      <c r="O1079" s="199"/>
      <c r="P1079" s="188"/>
      <c r="Q1079" s="174">
        <f>IF(ISNUMBER(VLOOKUP(A1079,NotghiID!A:A,1,FALSE)),1,0)</f>
        <v>0</v>
      </c>
    </row>
    <row r="1080" spans="1:17" ht="14.25" x14ac:dyDescent="0.2">
      <c r="A1080" s="183">
        <v>234</v>
      </c>
      <c r="B1080" s="232" t="str">
        <f>IF(AND(A1080&lt;&gt;"",ISNUMBER(A1080)),VLOOKUP(A1080,Studies!A:BR,2,FALSE),"")</f>
        <v>Hardin 1988</v>
      </c>
      <c r="C1080" s="232" t="str">
        <f>IF(AND(A1080&lt;&gt;"",ISNUMBER(A1080)),VLOOKUP(A1080,Studies!A:BR,3,FALSE),"")</f>
        <v>https://www.ncbi.nlm.nih.gov/pubmed/2848442</v>
      </c>
      <c r="D1080" s="232" t="str">
        <f>IF(AND(A1080&lt;&gt;"",ISNUMBER(A1080)),VLOOKUP(A1080,Studies!A:BR,4,FALSE),"")</f>
        <v>A 100 mg OD (day 15)</v>
      </c>
      <c r="E1080" s="206" t="str">
        <f>IF(AND(A1080&lt;&gt;"",ISNUMBER(A1080)),VLOOKUP(A1080,Studies!A:BR,5,FALSE),"")</f>
        <v>Itraconazole</v>
      </c>
      <c r="F1080" s="207" t="str">
        <f>IF(AND(A1080&lt;&gt;"",ISNUMBER(A1080)),VLOOKUP(A1080,Studies!A:BR,6,FALSE),"")</f>
        <v>Plasma</v>
      </c>
      <c r="G1080" s="194">
        <v>372</v>
      </c>
      <c r="H1080" s="194" t="s">
        <v>60</v>
      </c>
      <c r="I1080" s="187">
        <v>190</v>
      </c>
      <c r="J1080" s="187" t="s">
        <v>1026</v>
      </c>
      <c r="K1080" s="187" t="s">
        <v>116</v>
      </c>
      <c r="L1080" s="195">
        <v>65.8</v>
      </c>
      <c r="M1080" s="195" t="s">
        <v>1026</v>
      </c>
      <c r="N1080" s="195" t="s">
        <v>117</v>
      </c>
      <c r="O1080" s="199"/>
      <c r="P1080" s="188"/>
      <c r="Q1080" s="174">
        <f>IF(ISNUMBER(VLOOKUP(A1080,NotghiID!A:A,1,FALSE)),1,0)</f>
        <v>0</v>
      </c>
    </row>
    <row r="1081" spans="1:17" ht="14.25" x14ac:dyDescent="0.2">
      <c r="A1081" s="183">
        <v>234</v>
      </c>
      <c r="B1081" s="232" t="str">
        <f>IF(AND(A1081&lt;&gt;"",ISNUMBER(A1081)),VLOOKUP(A1081,Studies!A:BR,2,FALSE),"")</f>
        <v>Hardin 1988</v>
      </c>
      <c r="C1081" s="232" t="str">
        <f>IF(AND(A1081&lt;&gt;"",ISNUMBER(A1081)),VLOOKUP(A1081,Studies!A:BR,3,FALSE),"")</f>
        <v>https://www.ncbi.nlm.nih.gov/pubmed/2848442</v>
      </c>
      <c r="D1081" s="232" t="str">
        <f>IF(AND(A1081&lt;&gt;"",ISNUMBER(A1081)),VLOOKUP(A1081,Studies!A:BR,4,FALSE),"")</f>
        <v>A 100 mg OD (day 15)</v>
      </c>
      <c r="E1081" s="206" t="str">
        <f>IF(AND(A1081&lt;&gt;"",ISNUMBER(A1081)),VLOOKUP(A1081,Studies!A:BR,5,FALSE),"")</f>
        <v>Itraconazole</v>
      </c>
      <c r="F1081" s="207" t="str">
        <f>IF(AND(A1081&lt;&gt;"",ISNUMBER(A1081)),VLOOKUP(A1081,Studies!A:BR,6,FALSE),"")</f>
        <v>Plasma</v>
      </c>
      <c r="G1081" s="194">
        <v>376</v>
      </c>
      <c r="H1081" s="194" t="s">
        <v>60</v>
      </c>
      <c r="I1081" s="187">
        <v>170</v>
      </c>
      <c r="J1081" s="187" t="s">
        <v>1026</v>
      </c>
      <c r="K1081" s="187" t="s">
        <v>116</v>
      </c>
      <c r="L1081" s="195">
        <v>47.7</v>
      </c>
      <c r="M1081" s="195" t="s">
        <v>1026</v>
      </c>
      <c r="N1081" s="195" t="s">
        <v>117</v>
      </c>
      <c r="O1081" s="199"/>
      <c r="P1081" s="188"/>
      <c r="Q1081" s="174">
        <f>IF(ISNUMBER(VLOOKUP(A1081,NotghiID!A:A,1,FALSE)),1,0)</f>
        <v>0</v>
      </c>
    </row>
    <row r="1082" spans="1:17" ht="14.25" x14ac:dyDescent="0.2">
      <c r="A1082" s="183">
        <v>234</v>
      </c>
      <c r="B1082" s="232" t="str">
        <f>IF(AND(A1082&lt;&gt;"",ISNUMBER(A1082)),VLOOKUP(A1082,Studies!A:BR,2,FALSE),"")</f>
        <v>Hardin 1988</v>
      </c>
      <c r="C1082" s="232" t="str">
        <f>IF(AND(A1082&lt;&gt;"",ISNUMBER(A1082)),VLOOKUP(A1082,Studies!A:BR,3,FALSE),"")</f>
        <v>https://www.ncbi.nlm.nih.gov/pubmed/2848442</v>
      </c>
      <c r="D1082" s="232" t="str">
        <f>IF(AND(A1082&lt;&gt;"",ISNUMBER(A1082)),VLOOKUP(A1082,Studies!A:BR,4,FALSE),"")</f>
        <v>A 100 mg OD (day 15)</v>
      </c>
      <c r="E1082" s="206" t="str">
        <f>IF(AND(A1082&lt;&gt;"",ISNUMBER(A1082)),VLOOKUP(A1082,Studies!A:BR,5,FALSE),"")</f>
        <v>Itraconazole</v>
      </c>
      <c r="F1082" s="207" t="str">
        <f>IF(AND(A1082&lt;&gt;"",ISNUMBER(A1082)),VLOOKUP(A1082,Studies!A:BR,6,FALSE),"")</f>
        <v>Plasma</v>
      </c>
      <c r="G1082" s="194">
        <v>384</v>
      </c>
      <c r="H1082" s="194" t="s">
        <v>60</v>
      </c>
      <c r="I1082" s="187">
        <v>124</v>
      </c>
      <c r="J1082" s="187" t="s">
        <v>1026</v>
      </c>
      <c r="K1082" s="187" t="s">
        <v>116</v>
      </c>
      <c r="L1082" s="195">
        <v>52.4</v>
      </c>
      <c r="M1082" s="195" t="s">
        <v>1026</v>
      </c>
      <c r="N1082" s="195" t="s">
        <v>117</v>
      </c>
      <c r="O1082" s="199"/>
      <c r="P1082" s="188"/>
      <c r="Q1082" s="174">
        <f>IF(ISNUMBER(VLOOKUP(A1082,NotghiID!A:A,1,FALSE)),1,0)</f>
        <v>0</v>
      </c>
    </row>
    <row r="1083" spans="1:17" ht="14.25" x14ac:dyDescent="0.2">
      <c r="A1083" s="183">
        <v>234</v>
      </c>
      <c r="B1083" s="232" t="str">
        <f>IF(AND(A1083&lt;&gt;"",ISNUMBER(A1083)),VLOOKUP(A1083,Studies!A:BR,2,FALSE),"")</f>
        <v>Hardin 1988</v>
      </c>
      <c r="C1083" s="232" t="str">
        <f>IF(AND(A1083&lt;&gt;"",ISNUMBER(A1083)),VLOOKUP(A1083,Studies!A:BR,3,FALSE),"")</f>
        <v>https://www.ncbi.nlm.nih.gov/pubmed/2848442</v>
      </c>
      <c r="D1083" s="232" t="str">
        <f>IF(AND(A1083&lt;&gt;"",ISNUMBER(A1083)),VLOOKUP(A1083,Studies!A:BR,4,FALSE),"")</f>
        <v>A 100 mg OD (day 15)</v>
      </c>
      <c r="E1083" s="206" t="str">
        <f>IF(AND(A1083&lt;&gt;"",ISNUMBER(A1083)),VLOOKUP(A1083,Studies!A:BR,5,FALSE),"")</f>
        <v>Itraconazole</v>
      </c>
      <c r="F1083" s="207" t="str">
        <f>IF(AND(A1083&lt;&gt;"",ISNUMBER(A1083)),VLOOKUP(A1083,Studies!A:BR,6,FALSE),"")</f>
        <v>Plasma</v>
      </c>
      <c r="G1083" s="194">
        <v>408</v>
      </c>
      <c r="H1083" s="194" t="s">
        <v>60</v>
      </c>
      <c r="I1083" s="187">
        <v>77.2</v>
      </c>
      <c r="J1083" s="187" t="s">
        <v>1026</v>
      </c>
      <c r="K1083" s="187" t="s">
        <v>116</v>
      </c>
      <c r="L1083" s="195">
        <v>37.6</v>
      </c>
      <c r="M1083" s="195" t="s">
        <v>1026</v>
      </c>
      <c r="N1083" s="195" t="s">
        <v>117</v>
      </c>
      <c r="O1083" s="199"/>
      <c r="P1083" s="188"/>
      <c r="Q1083" s="174">
        <f>IF(ISNUMBER(VLOOKUP(A1083,NotghiID!A:A,1,FALSE)),1,0)</f>
        <v>0</v>
      </c>
    </row>
    <row r="1084" spans="1:17" ht="14.25" x14ac:dyDescent="0.2">
      <c r="A1084" s="183">
        <v>234</v>
      </c>
      <c r="B1084" s="232" t="str">
        <f>IF(AND(A1084&lt;&gt;"",ISNUMBER(A1084)),VLOOKUP(A1084,Studies!A:BR,2,FALSE),"")</f>
        <v>Hardin 1988</v>
      </c>
      <c r="C1084" s="232" t="str">
        <f>IF(AND(A1084&lt;&gt;"",ISNUMBER(A1084)),VLOOKUP(A1084,Studies!A:BR,3,FALSE),"")</f>
        <v>https://www.ncbi.nlm.nih.gov/pubmed/2848442</v>
      </c>
      <c r="D1084" s="232" t="str">
        <f>IF(AND(A1084&lt;&gt;"",ISNUMBER(A1084)),VLOOKUP(A1084,Studies!A:BR,4,FALSE),"")</f>
        <v>A 100 mg OD (day 15)</v>
      </c>
      <c r="E1084" s="206" t="str">
        <f>IF(AND(A1084&lt;&gt;"",ISNUMBER(A1084)),VLOOKUP(A1084,Studies!A:BR,5,FALSE),"")</f>
        <v>Itraconazole</v>
      </c>
      <c r="F1084" s="207" t="str">
        <f>IF(AND(A1084&lt;&gt;"",ISNUMBER(A1084)),VLOOKUP(A1084,Studies!A:BR,6,FALSE),"")</f>
        <v>Plasma</v>
      </c>
      <c r="G1084" s="194">
        <v>432</v>
      </c>
      <c r="H1084" s="194" t="s">
        <v>60</v>
      </c>
      <c r="I1084" s="187">
        <v>41.1</v>
      </c>
      <c r="J1084" s="187" t="s">
        <v>1026</v>
      </c>
      <c r="K1084" s="187" t="s">
        <v>116</v>
      </c>
      <c r="L1084" s="195">
        <v>23.7</v>
      </c>
      <c r="M1084" s="195" t="s">
        <v>1026</v>
      </c>
      <c r="N1084" s="195" t="s">
        <v>117</v>
      </c>
      <c r="O1084" s="199"/>
      <c r="P1084" s="188"/>
      <c r="Q1084" s="174">
        <f>IF(ISNUMBER(VLOOKUP(A1084,NotghiID!A:A,1,FALSE)),1,0)</f>
        <v>0</v>
      </c>
    </row>
    <row r="1085" spans="1:17" ht="14.25" x14ac:dyDescent="0.2">
      <c r="A1085" s="183">
        <v>235</v>
      </c>
      <c r="B1085" s="232" t="str">
        <f>IF(AND(A1085&lt;&gt;"",ISNUMBER(A1085)),VLOOKUP(A1085,Studies!A:BR,2,FALSE),"")</f>
        <v>Hardin 1988</v>
      </c>
      <c r="C1085" s="232" t="str">
        <f>IF(AND(A1085&lt;&gt;"",ISNUMBER(A1085)),VLOOKUP(A1085,Studies!A:BR,3,FALSE),"")</f>
        <v>https://www.ncbi.nlm.nih.gov/pubmed/2848442</v>
      </c>
      <c r="D1085" s="232" t="str">
        <f>IF(AND(A1085&lt;&gt;"",ISNUMBER(A1085)),VLOOKUP(A1085,Studies!A:BR,4,FALSE),"")</f>
        <v>B 200 mg OD (day 1)</v>
      </c>
      <c r="E1085" s="206" t="str">
        <f>IF(AND(A1085&lt;&gt;"",ISNUMBER(A1085)),VLOOKUP(A1085,Studies!A:BR,5,FALSE),"")</f>
        <v>Itraconazole</v>
      </c>
      <c r="F1085" s="207" t="str">
        <f>IF(AND(A1085&lt;&gt;"",ISNUMBER(A1085)),VLOOKUP(A1085,Studies!A:BR,6,FALSE),"")</f>
        <v>Plasma</v>
      </c>
      <c r="G1085" s="194">
        <v>0.5</v>
      </c>
      <c r="H1085" s="194" t="s">
        <v>60</v>
      </c>
      <c r="I1085" s="187">
        <v>39.799999999999997</v>
      </c>
      <c r="J1085" s="187" t="s">
        <v>1026</v>
      </c>
      <c r="K1085" s="187" t="s">
        <v>116</v>
      </c>
      <c r="L1085" s="195">
        <v>22.2</v>
      </c>
      <c r="M1085" s="195" t="s">
        <v>1026</v>
      </c>
      <c r="N1085" s="195" t="s">
        <v>117</v>
      </c>
      <c r="O1085" s="199"/>
      <c r="P1085" s="188"/>
      <c r="Q1085" s="174">
        <f>IF(ISNUMBER(VLOOKUP(A1085,NotghiID!A:A,1,FALSE)),1,0)</f>
        <v>0</v>
      </c>
    </row>
    <row r="1086" spans="1:17" ht="14.25" x14ac:dyDescent="0.2">
      <c r="A1086" s="183">
        <v>235</v>
      </c>
      <c r="B1086" s="232" t="str">
        <f>IF(AND(A1086&lt;&gt;"",ISNUMBER(A1086)),VLOOKUP(A1086,Studies!A:BR,2,FALSE),"")</f>
        <v>Hardin 1988</v>
      </c>
      <c r="C1086" s="232" t="str">
        <f>IF(AND(A1086&lt;&gt;"",ISNUMBER(A1086)),VLOOKUP(A1086,Studies!A:BR,3,FALSE),"")</f>
        <v>https://www.ncbi.nlm.nih.gov/pubmed/2848442</v>
      </c>
      <c r="D1086" s="232" t="str">
        <f>IF(AND(A1086&lt;&gt;"",ISNUMBER(A1086)),VLOOKUP(A1086,Studies!A:BR,4,FALSE),"")</f>
        <v>B 200 mg OD (day 1)</v>
      </c>
      <c r="E1086" s="206" t="str">
        <f>IF(AND(A1086&lt;&gt;"",ISNUMBER(A1086)),VLOOKUP(A1086,Studies!A:BR,5,FALSE),"")</f>
        <v>Itraconazole</v>
      </c>
      <c r="F1086" s="207" t="str">
        <f>IF(AND(A1086&lt;&gt;"",ISNUMBER(A1086)),VLOOKUP(A1086,Studies!A:BR,6,FALSE),"")</f>
        <v>Plasma</v>
      </c>
      <c r="G1086" s="194">
        <v>1</v>
      </c>
      <c r="H1086" s="194" t="s">
        <v>60</v>
      </c>
      <c r="I1086" s="187">
        <v>72</v>
      </c>
      <c r="J1086" s="187" t="s">
        <v>1026</v>
      </c>
      <c r="K1086" s="187" t="s">
        <v>116</v>
      </c>
      <c r="L1086" s="195">
        <v>55.6</v>
      </c>
      <c r="M1086" s="195" t="s">
        <v>1026</v>
      </c>
      <c r="N1086" s="195" t="s">
        <v>117</v>
      </c>
      <c r="O1086" s="199"/>
      <c r="P1086" s="188"/>
      <c r="Q1086" s="174">
        <f>IF(ISNUMBER(VLOOKUP(A1086,NotghiID!A:A,1,FALSE)),1,0)</f>
        <v>0</v>
      </c>
    </row>
    <row r="1087" spans="1:17" ht="14.25" x14ac:dyDescent="0.2">
      <c r="A1087" s="183">
        <v>235</v>
      </c>
      <c r="B1087" s="232" t="str">
        <f>IF(AND(A1087&lt;&gt;"",ISNUMBER(A1087)),VLOOKUP(A1087,Studies!A:BR,2,FALSE),"")</f>
        <v>Hardin 1988</v>
      </c>
      <c r="C1087" s="232" t="str">
        <f>IF(AND(A1087&lt;&gt;"",ISNUMBER(A1087)),VLOOKUP(A1087,Studies!A:BR,3,FALSE),"")</f>
        <v>https://www.ncbi.nlm.nih.gov/pubmed/2848442</v>
      </c>
      <c r="D1087" s="232" t="str">
        <f>IF(AND(A1087&lt;&gt;"",ISNUMBER(A1087)),VLOOKUP(A1087,Studies!A:BR,4,FALSE),"")</f>
        <v>B 200 mg OD (day 1)</v>
      </c>
      <c r="E1087" s="206" t="str">
        <f>IF(AND(A1087&lt;&gt;"",ISNUMBER(A1087)),VLOOKUP(A1087,Studies!A:BR,5,FALSE),"")</f>
        <v>Itraconazole</v>
      </c>
      <c r="F1087" s="207" t="str">
        <f>IF(AND(A1087&lt;&gt;"",ISNUMBER(A1087)),VLOOKUP(A1087,Studies!A:BR,6,FALSE),"")</f>
        <v>Plasma</v>
      </c>
      <c r="G1087" s="194">
        <v>2</v>
      </c>
      <c r="H1087" s="194" t="s">
        <v>60</v>
      </c>
      <c r="I1087" s="187">
        <v>213</v>
      </c>
      <c r="J1087" s="187" t="s">
        <v>1026</v>
      </c>
      <c r="K1087" s="187" t="s">
        <v>116</v>
      </c>
      <c r="L1087" s="195">
        <v>128</v>
      </c>
      <c r="M1087" s="195" t="s">
        <v>1026</v>
      </c>
      <c r="N1087" s="195" t="s">
        <v>117</v>
      </c>
      <c r="O1087" s="199"/>
      <c r="P1087" s="188"/>
      <c r="Q1087" s="174">
        <f>IF(ISNUMBER(VLOOKUP(A1087,NotghiID!A:A,1,FALSE)),1,0)</f>
        <v>0</v>
      </c>
    </row>
    <row r="1088" spans="1:17" ht="14.25" x14ac:dyDescent="0.2">
      <c r="A1088" s="183">
        <v>235</v>
      </c>
      <c r="B1088" s="232" t="str">
        <f>IF(AND(A1088&lt;&gt;"",ISNUMBER(A1088)),VLOOKUP(A1088,Studies!A:BR,2,FALSE),"")</f>
        <v>Hardin 1988</v>
      </c>
      <c r="C1088" s="232" t="str">
        <f>IF(AND(A1088&lt;&gt;"",ISNUMBER(A1088)),VLOOKUP(A1088,Studies!A:BR,3,FALSE),"")</f>
        <v>https://www.ncbi.nlm.nih.gov/pubmed/2848442</v>
      </c>
      <c r="D1088" s="232" t="str">
        <f>IF(AND(A1088&lt;&gt;"",ISNUMBER(A1088)),VLOOKUP(A1088,Studies!A:BR,4,FALSE),"")</f>
        <v>B 200 mg OD (day 1)</v>
      </c>
      <c r="E1088" s="206" t="str">
        <f>IF(AND(A1088&lt;&gt;"",ISNUMBER(A1088)),VLOOKUP(A1088,Studies!A:BR,5,FALSE),"")</f>
        <v>Itraconazole</v>
      </c>
      <c r="F1088" s="207" t="str">
        <f>IF(AND(A1088&lt;&gt;"",ISNUMBER(A1088)),VLOOKUP(A1088,Studies!A:BR,6,FALSE),"")</f>
        <v>Plasma</v>
      </c>
      <c r="G1088" s="194">
        <v>3</v>
      </c>
      <c r="H1088" s="194" t="s">
        <v>60</v>
      </c>
      <c r="I1088" s="187">
        <v>248</v>
      </c>
      <c r="J1088" s="187" t="s">
        <v>1026</v>
      </c>
      <c r="K1088" s="187" t="s">
        <v>116</v>
      </c>
      <c r="L1088" s="195">
        <v>108</v>
      </c>
      <c r="M1088" s="195" t="s">
        <v>1026</v>
      </c>
      <c r="N1088" s="195" t="s">
        <v>117</v>
      </c>
      <c r="O1088" s="199"/>
      <c r="P1088" s="188"/>
      <c r="Q1088" s="174">
        <f>IF(ISNUMBER(VLOOKUP(A1088,NotghiID!A:A,1,FALSE)),1,0)</f>
        <v>0</v>
      </c>
    </row>
    <row r="1089" spans="1:17" ht="14.25" x14ac:dyDescent="0.2">
      <c r="A1089" s="183">
        <v>235</v>
      </c>
      <c r="B1089" s="232" t="str">
        <f>IF(AND(A1089&lt;&gt;"",ISNUMBER(A1089)),VLOOKUP(A1089,Studies!A:BR,2,FALSE),"")</f>
        <v>Hardin 1988</v>
      </c>
      <c r="C1089" s="232" t="str">
        <f>IF(AND(A1089&lt;&gt;"",ISNUMBER(A1089)),VLOOKUP(A1089,Studies!A:BR,3,FALSE),"")</f>
        <v>https://www.ncbi.nlm.nih.gov/pubmed/2848442</v>
      </c>
      <c r="D1089" s="232" t="str">
        <f>IF(AND(A1089&lt;&gt;"",ISNUMBER(A1089)),VLOOKUP(A1089,Studies!A:BR,4,FALSE),"")</f>
        <v>B 200 mg OD (day 1)</v>
      </c>
      <c r="E1089" s="206" t="str">
        <f>IF(AND(A1089&lt;&gt;"",ISNUMBER(A1089)),VLOOKUP(A1089,Studies!A:BR,5,FALSE),"")</f>
        <v>Itraconazole</v>
      </c>
      <c r="F1089" s="207" t="str">
        <f>IF(AND(A1089&lt;&gt;"",ISNUMBER(A1089)),VLOOKUP(A1089,Studies!A:BR,6,FALSE),"")</f>
        <v>Plasma</v>
      </c>
      <c r="G1089" s="194">
        <v>4</v>
      </c>
      <c r="H1089" s="194" t="s">
        <v>60</v>
      </c>
      <c r="I1089" s="187">
        <v>244</v>
      </c>
      <c r="J1089" s="187" t="s">
        <v>1026</v>
      </c>
      <c r="K1089" s="187" t="s">
        <v>116</v>
      </c>
      <c r="L1089" s="195">
        <v>89.8</v>
      </c>
      <c r="M1089" s="195" t="s">
        <v>1026</v>
      </c>
      <c r="N1089" s="195" t="s">
        <v>117</v>
      </c>
      <c r="O1089" s="199"/>
      <c r="P1089" s="188"/>
      <c r="Q1089" s="174">
        <f>IF(ISNUMBER(VLOOKUP(A1089,NotghiID!A:A,1,FALSE)),1,0)</f>
        <v>0</v>
      </c>
    </row>
    <row r="1090" spans="1:17" ht="14.25" x14ac:dyDescent="0.2">
      <c r="A1090" s="183">
        <v>235</v>
      </c>
      <c r="B1090" s="232" t="str">
        <f>IF(AND(A1090&lt;&gt;"",ISNUMBER(A1090)),VLOOKUP(A1090,Studies!A:BR,2,FALSE),"")</f>
        <v>Hardin 1988</v>
      </c>
      <c r="C1090" s="232" t="str">
        <f>IF(AND(A1090&lt;&gt;"",ISNUMBER(A1090)),VLOOKUP(A1090,Studies!A:BR,3,FALSE),"")</f>
        <v>https://www.ncbi.nlm.nih.gov/pubmed/2848442</v>
      </c>
      <c r="D1090" s="232" t="str">
        <f>IF(AND(A1090&lt;&gt;"",ISNUMBER(A1090)),VLOOKUP(A1090,Studies!A:BR,4,FALSE),"")</f>
        <v>B 200 mg OD (day 1)</v>
      </c>
      <c r="E1090" s="206" t="str">
        <f>IF(AND(A1090&lt;&gt;"",ISNUMBER(A1090)),VLOOKUP(A1090,Studies!A:BR,5,FALSE),"")</f>
        <v>Itraconazole</v>
      </c>
      <c r="F1090" s="207" t="str">
        <f>IF(AND(A1090&lt;&gt;"",ISNUMBER(A1090)),VLOOKUP(A1090,Studies!A:BR,6,FALSE),"")</f>
        <v>Plasma</v>
      </c>
      <c r="G1090" s="194">
        <v>6</v>
      </c>
      <c r="H1090" s="194" t="s">
        <v>60</v>
      </c>
      <c r="I1090" s="187">
        <v>159</v>
      </c>
      <c r="J1090" s="187" t="s">
        <v>1026</v>
      </c>
      <c r="K1090" s="187" t="s">
        <v>116</v>
      </c>
      <c r="L1090" s="195">
        <v>78.400000000000006</v>
      </c>
      <c r="M1090" s="195" t="s">
        <v>1026</v>
      </c>
      <c r="N1090" s="195" t="s">
        <v>117</v>
      </c>
      <c r="O1090" s="199"/>
      <c r="P1090" s="188"/>
      <c r="Q1090" s="174">
        <f>IF(ISNUMBER(VLOOKUP(A1090,NotghiID!A:A,1,FALSE)),1,0)</f>
        <v>0</v>
      </c>
    </row>
    <row r="1091" spans="1:17" ht="14.25" x14ac:dyDescent="0.2">
      <c r="A1091" s="183">
        <v>235</v>
      </c>
      <c r="B1091" s="232" t="str">
        <f>IF(AND(A1091&lt;&gt;"",ISNUMBER(A1091)),VLOOKUP(A1091,Studies!A:BR,2,FALSE),"")</f>
        <v>Hardin 1988</v>
      </c>
      <c r="C1091" s="232" t="str">
        <f>IF(AND(A1091&lt;&gt;"",ISNUMBER(A1091)),VLOOKUP(A1091,Studies!A:BR,3,FALSE),"")</f>
        <v>https://www.ncbi.nlm.nih.gov/pubmed/2848442</v>
      </c>
      <c r="D1091" s="232" t="str">
        <f>IF(AND(A1091&lt;&gt;"",ISNUMBER(A1091)),VLOOKUP(A1091,Studies!A:BR,4,FALSE),"")</f>
        <v>B 200 mg OD (day 1)</v>
      </c>
      <c r="E1091" s="206" t="str">
        <f>IF(AND(A1091&lt;&gt;"",ISNUMBER(A1091)),VLOOKUP(A1091,Studies!A:BR,5,FALSE),"")</f>
        <v>Itraconazole</v>
      </c>
      <c r="F1091" s="207" t="str">
        <f>IF(AND(A1091&lt;&gt;"",ISNUMBER(A1091)),VLOOKUP(A1091,Studies!A:BR,6,FALSE),"")</f>
        <v>Plasma</v>
      </c>
      <c r="G1091" s="194">
        <v>8</v>
      </c>
      <c r="H1091" s="194" t="s">
        <v>60</v>
      </c>
      <c r="I1091" s="187">
        <v>128</v>
      </c>
      <c r="J1091" s="187" t="s">
        <v>1026</v>
      </c>
      <c r="K1091" s="187" t="s">
        <v>116</v>
      </c>
      <c r="L1091" s="195">
        <v>65.599999999999994</v>
      </c>
      <c r="M1091" s="195" t="s">
        <v>1026</v>
      </c>
      <c r="N1091" s="195" t="s">
        <v>117</v>
      </c>
      <c r="O1091" s="199"/>
      <c r="P1091" s="188"/>
      <c r="Q1091" s="174">
        <f>IF(ISNUMBER(VLOOKUP(A1091,NotghiID!A:A,1,FALSE)),1,0)</f>
        <v>0</v>
      </c>
    </row>
    <row r="1092" spans="1:17" ht="14.25" x14ac:dyDescent="0.2">
      <c r="A1092" s="183">
        <v>235</v>
      </c>
      <c r="B1092" s="232" t="str">
        <f>IF(AND(A1092&lt;&gt;"",ISNUMBER(A1092)),VLOOKUP(A1092,Studies!A:BR,2,FALSE),"")</f>
        <v>Hardin 1988</v>
      </c>
      <c r="C1092" s="232" t="str">
        <f>IF(AND(A1092&lt;&gt;"",ISNUMBER(A1092)),VLOOKUP(A1092,Studies!A:BR,3,FALSE),"")</f>
        <v>https://www.ncbi.nlm.nih.gov/pubmed/2848442</v>
      </c>
      <c r="D1092" s="232" t="str">
        <f>IF(AND(A1092&lt;&gt;"",ISNUMBER(A1092)),VLOOKUP(A1092,Studies!A:BR,4,FALSE),"")</f>
        <v>B 200 mg OD (day 1)</v>
      </c>
      <c r="E1092" s="206" t="str">
        <f>IF(AND(A1092&lt;&gt;"",ISNUMBER(A1092)),VLOOKUP(A1092,Studies!A:BR,5,FALSE),"")</f>
        <v>Itraconazole</v>
      </c>
      <c r="F1092" s="207" t="str">
        <f>IF(AND(A1092&lt;&gt;"",ISNUMBER(A1092)),VLOOKUP(A1092,Studies!A:BR,6,FALSE),"")</f>
        <v>Plasma</v>
      </c>
      <c r="G1092" s="194">
        <v>12</v>
      </c>
      <c r="H1092" s="194" t="s">
        <v>60</v>
      </c>
      <c r="I1092" s="187">
        <v>79.2</v>
      </c>
      <c r="J1092" s="187" t="s">
        <v>1026</v>
      </c>
      <c r="K1092" s="187" t="s">
        <v>116</v>
      </c>
      <c r="L1092" s="195">
        <v>33.6</v>
      </c>
      <c r="M1092" s="195" t="s">
        <v>1026</v>
      </c>
      <c r="N1092" s="195" t="s">
        <v>117</v>
      </c>
      <c r="O1092" s="199"/>
      <c r="P1092" s="188"/>
      <c r="Q1092" s="174">
        <f>IF(ISNUMBER(VLOOKUP(A1092,NotghiID!A:A,1,FALSE)),1,0)</f>
        <v>0</v>
      </c>
    </row>
    <row r="1093" spans="1:17" ht="14.25" x14ac:dyDescent="0.2">
      <c r="A1093" s="183">
        <v>235</v>
      </c>
      <c r="B1093" s="232" t="str">
        <f>IF(AND(A1093&lt;&gt;"",ISNUMBER(A1093)),VLOOKUP(A1093,Studies!A:BR,2,FALSE),"")</f>
        <v>Hardin 1988</v>
      </c>
      <c r="C1093" s="232" t="str">
        <f>IF(AND(A1093&lt;&gt;"",ISNUMBER(A1093)),VLOOKUP(A1093,Studies!A:BR,3,FALSE),"")</f>
        <v>https://www.ncbi.nlm.nih.gov/pubmed/2848442</v>
      </c>
      <c r="D1093" s="232" t="str">
        <f>IF(AND(A1093&lt;&gt;"",ISNUMBER(A1093)),VLOOKUP(A1093,Studies!A:BR,4,FALSE),"")</f>
        <v>B 200 mg OD (day 1)</v>
      </c>
      <c r="E1093" s="206" t="str">
        <f>IF(AND(A1093&lt;&gt;"",ISNUMBER(A1093)),VLOOKUP(A1093,Studies!A:BR,5,FALSE),"")</f>
        <v>Itraconazole</v>
      </c>
      <c r="F1093" s="207" t="str">
        <f>IF(AND(A1093&lt;&gt;"",ISNUMBER(A1093)),VLOOKUP(A1093,Studies!A:BR,6,FALSE),"")</f>
        <v>Plasma</v>
      </c>
      <c r="G1093" s="194">
        <v>16</v>
      </c>
      <c r="H1093" s="194" t="s">
        <v>60</v>
      </c>
      <c r="I1093" s="187">
        <v>80.8</v>
      </c>
      <c r="J1093" s="187" t="s">
        <v>1026</v>
      </c>
      <c r="K1093" s="187" t="s">
        <v>116</v>
      </c>
      <c r="L1093" s="195">
        <v>35.299999999999997</v>
      </c>
      <c r="M1093" s="195" t="s">
        <v>1026</v>
      </c>
      <c r="N1093" s="195" t="s">
        <v>117</v>
      </c>
      <c r="O1093" s="199"/>
      <c r="P1093" s="188"/>
      <c r="Q1093" s="174">
        <f>IF(ISNUMBER(VLOOKUP(A1093,NotghiID!A:A,1,FALSE)),1,0)</f>
        <v>0</v>
      </c>
    </row>
    <row r="1094" spans="1:17" ht="14.25" x14ac:dyDescent="0.2">
      <c r="A1094" s="183">
        <v>235</v>
      </c>
      <c r="B1094" s="232" t="str">
        <f>IF(AND(A1094&lt;&gt;"",ISNUMBER(A1094)),VLOOKUP(A1094,Studies!A:BR,2,FALSE),"")</f>
        <v>Hardin 1988</v>
      </c>
      <c r="C1094" s="232" t="str">
        <f>IF(AND(A1094&lt;&gt;"",ISNUMBER(A1094)),VLOOKUP(A1094,Studies!A:BR,3,FALSE),"")</f>
        <v>https://www.ncbi.nlm.nih.gov/pubmed/2848442</v>
      </c>
      <c r="D1094" s="232" t="str">
        <f>IF(AND(A1094&lt;&gt;"",ISNUMBER(A1094)),VLOOKUP(A1094,Studies!A:BR,4,FALSE),"")</f>
        <v>B 200 mg OD (day 1)</v>
      </c>
      <c r="E1094" s="206" t="str">
        <f>IF(AND(A1094&lt;&gt;"",ISNUMBER(A1094)),VLOOKUP(A1094,Studies!A:BR,5,FALSE),"")</f>
        <v>Itraconazole</v>
      </c>
      <c r="F1094" s="207" t="str">
        <f>IF(AND(A1094&lt;&gt;"",ISNUMBER(A1094)),VLOOKUP(A1094,Studies!A:BR,6,FALSE),"")</f>
        <v>Plasma</v>
      </c>
      <c r="G1094" s="194">
        <v>24</v>
      </c>
      <c r="H1094" s="194" t="s">
        <v>60</v>
      </c>
      <c r="I1094" s="187">
        <v>50.2</v>
      </c>
      <c r="J1094" s="187" t="s">
        <v>1026</v>
      </c>
      <c r="K1094" s="187" t="s">
        <v>116</v>
      </c>
      <c r="L1094" s="195">
        <v>30.5</v>
      </c>
      <c r="M1094" s="195" t="s">
        <v>1026</v>
      </c>
      <c r="N1094" s="195" t="s">
        <v>117</v>
      </c>
      <c r="O1094" s="199"/>
      <c r="P1094" s="188"/>
      <c r="Q1094" s="174">
        <f>IF(ISNUMBER(VLOOKUP(A1094,NotghiID!A:A,1,FALSE)),1,0)</f>
        <v>0</v>
      </c>
    </row>
    <row r="1095" spans="1:17" ht="14.25" x14ac:dyDescent="0.2">
      <c r="A1095" s="183">
        <v>235</v>
      </c>
      <c r="B1095" s="232" t="str">
        <f>IF(AND(A1095&lt;&gt;"",ISNUMBER(A1095)),VLOOKUP(A1095,Studies!A:BR,2,FALSE),"")</f>
        <v>Hardin 1988</v>
      </c>
      <c r="C1095" s="232" t="str">
        <f>IF(AND(A1095&lt;&gt;"",ISNUMBER(A1095)),VLOOKUP(A1095,Studies!A:BR,3,FALSE),"")</f>
        <v>https://www.ncbi.nlm.nih.gov/pubmed/2848442</v>
      </c>
      <c r="D1095" s="232" t="str">
        <f>IF(AND(A1095&lt;&gt;"",ISNUMBER(A1095)),VLOOKUP(A1095,Studies!A:BR,4,FALSE),"")</f>
        <v>B 200 mg OD (day 1)</v>
      </c>
      <c r="E1095" s="206" t="str">
        <f>IF(AND(A1095&lt;&gt;"",ISNUMBER(A1095)),VLOOKUP(A1095,Studies!A:BR,5,FALSE),"")</f>
        <v>Itraconazole</v>
      </c>
      <c r="F1095" s="207" t="str">
        <f>IF(AND(A1095&lt;&gt;"",ISNUMBER(A1095)),VLOOKUP(A1095,Studies!A:BR,6,FALSE),"")</f>
        <v>Plasma</v>
      </c>
      <c r="G1095" s="194">
        <v>48</v>
      </c>
      <c r="H1095" s="194" t="s">
        <v>60</v>
      </c>
      <c r="I1095" s="187">
        <v>21.1</v>
      </c>
      <c r="J1095" s="187" t="s">
        <v>1026</v>
      </c>
      <c r="K1095" s="187" t="s">
        <v>116</v>
      </c>
      <c r="L1095" s="195">
        <v>4.5999999999999996</v>
      </c>
      <c r="M1095" s="195" t="s">
        <v>1026</v>
      </c>
      <c r="N1095" s="195" t="s">
        <v>117</v>
      </c>
      <c r="O1095" s="199"/>
      <c r="P1095" s="188"/>
      <c r="Q1095" s="174">
        <f>IF(ISNUMBER(VLOOKUP(A1095,NotghiID!A:A,1,FALSE)),1,0)</f>
        <v>0</v>
      </c>
    </row>
    <row r="1096" spans="1:17" ht="14.25" x14ac:dyDescent="0.2">
      <c r="A1096" s="183">
        <v>235</v>
      </c>
      <c r="B1096" s="232" t="str">
        <f>IF(AND(A1096&lt;&gt;"",ISNUMBER(A1096)),VLOOKUP(A1096,Studies!A:BR,2,FALSE),"")</f>
        <v>Hardin 1988</v>
      </c>
      <c r="C1096" s="232" t="str">
        <f>IF(AND(A1096&lt;&gt;"",ISNUMBER(A1096)),VLOOKUP(A1096,Studies!A:BR,3,FALSE),"")</f>
        <v>https://www.ncbi.nlm.nih.gov/pubmed/2848442</v>
      </c>
      <c r="D1096" s="232" t="str">
        <f>IF(AND(A1096&lt;&gt;"",ISNUMBER(A1096)),VLOOKUP(A1096,Studies!A:BR,4,FALSE),"")</f>
        <v>B 200 mg OD (day 1)</v>
      </c>
      <c r="E1096" s="206" t="str">
        <f>IF(AND(A1096&lt;&gt;"",ISNUMBER(A1096)),VLOOKUP(A1096,Studies!A:BR,5,FALSE),"")</f>
        <v>Itraconazole</v>
      </c>
      <c r="F1096" s="207" t="str">
        <f>IF(AND(A1096&lt;&gt;"",ISNUMBER(A1096)),VLOOKUP(A1096,Studies!A:BR,6,FALSE),"")</f>
        <v>Plasma</v>
      </c>
      <c r="G1096" s="194">
        <v>72</v>
      </c>
      <c r="H1096" s="194" t="s">
        <v>60</v>
      </c>
      <c r="I1096" s="187">
        <v>9</v>
      </c>
      <c r="J1096" s="187" t="s">
        <v>1026</v>
      </c>
      <c r="K1096" s="187" t="s">
        <v>116</v>
      </c>
      <c r="L1096" s="195">
        <v>10.3</v>
      </c>
      <c r="M1096" s="195" t="s">
        <v>1026</v>
      </c>
      <c r="N1096" s="195" t="s">
        <v>117</v>
      </c>
      <c r="O1096" s="199"/>
      <c r="P1096" s="188"/>
      <c r="Q1096" s="174">
        <f>IF(ISNUMBER(VLOOKUP(A1096,NotghiID!A:A,1,FALSE)),1,0)</f>
        <v>0</v>
      </c>
    </row>
    <row r="1097" spans="1:17" ht="14.25" x14ac:dyDescent="0.2">
      <c r="A1097" s="183">
        <v>236</v>
      </c>
      <c r="B1097" s="232" t="str">
        <f>IF(AND(A1097&lt;&gt;"",ISNUMBER(A1097)),VLOOKUP(A1097,Studies!A:BR,2,FALSE),"")</f>
        <v>Hardin 1988</v>
      </c>
      <c r="C1097" s="232" t="str">
        <f>IF(AND(A1097&lt;&gt;"",ISNUMBER(A1097)),VLOOKUP(A1097,Studies!A:BR,3,FALSE),"")</f>
        <v>https://www.ncbi.nlm.nih.gov/pubmed/2848442</v>
      </c>
      <c r="D1097" s="232" t="str">
        <f>IF(AND(A1097&lt;&gt;"",ISNUMBER(A1097)),VLOOKUP(A1097,Studies!A:BR,4,FALSE),"")</f>
        <v>B 200 mg OD (day 7-15)</v>
      </c>
      <c r="E1097" s="206" t="str">
        <f>IF(AND(A1097&lt;&gt;"",ISNUMBER(A1097)),VLOOKUP(A1097,Studies!A:BR,5,FALSE),"")</f>
        <v>Itraconazole</v>
      </c>
      <c r="F1097" s="207" t="str">
        <f>IF(AND(A1097&lt;&gt;"",ISNUMBER(A1097)),VLOOKUP(A1097,Studies!A:BR,6,FALSE),"")</f>
        <v>Plasma</v>
      </c>
      <c r="G1097" s="194">
        <v>168</v>
      </c>
      <c r="H1097" s="194" t="s">
        <v>60</v>
      </c>
      <c r="I1097" s="187">
        <v>287</v>
      </c>
      <c r="J1097" s="187" t="s">
        <v>1026</v>
      </c>
      <c r="K1097" s="187" t="s">
        <v>116</v>
      </c>
      <c r="L1097" s="195">
        <v>53.1</v>
      </c>
      <c r="M1097" s="195" t="s">
        <v>1026</v>
      </c>
      <c r="N1097" s="195" t="s">
        <v>117</v>
      </c>
      <c r="O1097" s="199"/>
      <c r="P1097" s="188"/>
      <c r="Q1097" s="174">
        <f>IF(ISNUMBER(VLOOKUP(A1097,NotghiID!A:A,1,FALSE)),1,0)</f>
        <v>0</v>
      </c>
    </row>
    <row r="1098" spans="1:17" ht="14.25" x14ac:dyDescent="0.2">
      <c r="A1098" s="183">
        <v>236</v>
      </c>
      <c r="B1098" s="232" t="str">
        <f>IF(AND(A1098&lt;&gt;"",ISNUMBER(A1098)),VLOOKUP(A1098,Studies!A:BR,2,FALSE),"")</f>
        <v>Hardin 1988</v>
      </c>
      <c r="C1098" s="232" t="str">
        <f>IF(AND(A1098&lt;&gt;"",ISNUMBER(A1098)),VLOOKUP(A1098,Studies!A:BR,3,FALSE),"")</f>
        <v>https://www.ncbi.nlm.nih.gov/pubmed/2848442</v>
      </c>
      <c r="D1098" s="232" t="str">
        <f>IF(AND(A1098&lt;&gt;"",ISNUMBER(A1098)),VLOOKUP(A1098,Studies!A:BR,4,FALSE),"")</f>
        <v>B 200 mg OD (day 7-15)</v>
      </c>
      <c r="E1098" s="206" t="str">
        <f>IF(AND(A1098&lt;&gt;"",ISNUMBER(A1098)),VLOOKUP(A1098,Studies!A:BR,5,FALSE),"")</f>
        <v>Itraconazole</v>
      </c>
      <c r="F1098" s="207" t="str">
        <f>IF(AND(A1098&lt;&gt;"",ISNUMBER(A1098)),VLOOKUP(A1098,Studies!A:BR,6,FALSE),"")</f>
        <v>Plasma</v>
      </c>
      <c r="G1098" s="194">
        <v>240</v>
      </c>
      <c r="H1098" s="194" t="s">
        <v>60</v>
      </c>
      <c r="I1098" s="187">
        <v>310</v>
      </c>
      <c r="J1098" s="187" t="s">
        <v>1026</v>
      </c>
      <c r="K1098" s="187" t="s">
        <v>116</v>
      </c>
      <c r="L1098" s="195">
        <v>123</v>
      </c>
      <c r="M1098" s="195" t="s">
        <v>1026</v>
      </c>
      <c r="N1098" s="195" t="s">
        <v>117</v>
      </c>
      <c r="O1098" s="199"/>
      <c r="P1098" s="188"/>
      <c r="Q1098" s="174">
        <f>IF(ISNUMBER(VLOOKUP(A1098,NotghiID!A:A,1,FALSE)),1,0)</f>
        <v>0</v>
      </c>
    </row>
    <row r="1099" spans="1:17" ht="14.25" x14ac:dyDescent="0.2">
      <c r="A1099" s="183">
        <v>236</v>
      </c>
      <c r="B1099" s="232" t="str">
        <f>IF(AND(A1099&lt;&gt;"",ISNUMBER(A1099)),VLOOKUP(A1099,Studies!A:BR,2,FALSE),"")</f>
        <v>Hardin 1988</v>
      </c>
      <c r="C1099" s="232" t="str">
        <f>IF(AND(A1099&lt;&gt;"",ISNUMBER(A1099)),VLOOKUP(A1099,Studies!A:BR,3,FALSE),"")</f>
        <v>https://www.ncbi.nlm.nih.gov/pubmed/2848442</v>
      </c>
      <c r="D1099" s="232" t="str">
        <f>IF(AND(A1099&lt;&gt;"",ISNUMBER(A1099)),VLOOKUP(A1099,Studies!A:BR,4,FALSE),"")</f>
        <v>B 200 mg OD (day 7-15)</v>
      </c>
      <c r="E1099" s="206" t="str">
        <f>IF(AND(A1099&lt;&gt;"",ISNUMBER(A1099)),VLOOKUP(A1099,Studies!A:BR,5,FALSE),"")</f>
        <v>Itraconazole</v>
      </c>
      <c r="F1099" s="207" t="str">
        <f>IF(AND(A1099&lt;&gt;"",ISNUMBER(A1099)),VLOOKUP(A1099,Studies!A:BR,6,FALSE),"")</f>
        <v>Plasma</v>
      </c>
      <c r="G1099" s="194">
        <v>312</v>
      </c>
      <c r="H1099" s="194" t="s">
        <v>60</v>
      </c>
      <c r="I1099" s="187">
        <v>371</v>
      </c>
      <c r="J1099" s="187" t="s">
        <v>1026</v>
      </c>
      <c r="K1099" s="187" t="s">
        <v>116</v>
      </c>
      <c r="L1099" s="195">
        <v>158</v>
      </c>
      <c r="M1099" s="195" t="s">
        <v>1026</v>
      </c>
      <c r="N1099" s="195" t="s">
        <v>117</v>
      </c>
      <c r="O1099" s="199"/>
      <c r="P1099" s="188"/>
      <c r="Q1099" s="174">
        <f>IF(ISNUMBER(VLOOKUP(A1099,NotghiID!A:A,1,FALSE)),1,0)</f>
        <v>0</v>
      </c>
    </row>
    <row r="1100" spans="1:17" ht="14.25" x14ac:dyDescent="0.2">
      <c r="A1100" s="183">
        <v>236</v>
      </c>
      <c r="B1100" s="232" t="str">
        <f>IF(AND(A1100&lt;&gt;"",ISNUMBER(A1100)),VLOOKUP(A1100,Studies!A:BR,2,FALSE),"")</f>
        <v>Hardin 1988</v>
      </c>
      <c r="C1100" s="232" t="str">
        <f>IF(AND(A1100&lt;&gt;"",ISNUMBER(A1100)),VLOOKUP(A1100,Studies!A:BR,3,FALSE),"")</f>
        <v>https://www.ncbi.nlm.nih.gov/pubmed/2848442</v>
      </c>
      <c r="D1100" s="232" t="str">
        <f>IF(AND(A1100&lt;&gt;"",ISNUMBER(A1100)),VLOOKUP(A1100,Studies!A:BR,4,FALSE),"")</f>
        <v>B 200 mg OD (day 7-15)</v>
      </c>
      <c r="E1100" s="206" t="str">
        <f>IF(AND(A1100&lt;&gt;"",ISNUMBER(A1100)),VLOOKUP(A1100,Studies!A:BR,5,FALSE),"")</f>
        <v>Itraconazole</v>
      </c>
      <c r="F1100" s="207" t="str">
        <f>IF(AND(A1100&lt;&gt;"",ISNUMBER(A1100)),VLOOKUP(A1100,Studies!A:BR,6,FALSE),"")</f>
        <v>Plasma</v>
      </c>
      <c r="G1100" s="194">
        <v>360</v>
      </c>
      <c r="H1100" s="194" t="s">
        <v>60</v>
      </c>
      <c r="I1100" s="187">
        <v>419</v>
      </c>
      <c r="J1100" s="187" t="s">
        <v>1026</v>
      </c>
      <c r="K1100" s="187" t="s">
        <v>116</v>
      </c>
      <c r="L1100" s="195">
        <v>180</v>
      </c>
      <c r="M1100" s="195" t="s">
        <v>1026</v>
      </c>
      <c r="N1100" s="195" t="s">
        <v>117</v>
      </c>
      <c r="O1100" s="199"/>
      <c r="P1100" s="188"/>
      <c r="Q1100" s="174">
        <f>IF(ISNUMBER(VLOOKUP(A1100,NotghiID!A:A,1,FALSE)),1,0)</f>
        <v>0</v>
      </c>
    </row>
    <row r="1101" spans="1:17" ht="14.25" x14ac:dyDescent="0.2">
      <c r="A1101" s="183">
        <v>237</v>
      </c>
      <c r="B1101" s="232" t="str">
        <f>IF(AND(A1101&lt;&gt;"",ISNUMBER(A1101)),VLOOKUP(A1101,Studies!A:BR,2,FALSE),"")</f>
        <v>Hardin 1988</v>
      </c>
      <c r="C1101" s="232" t="str">
        <f>IF(AND(A1101&lt;&gt;"",ISNUMBER(A1101)),VLOOKUP(A1101,Studies!A:BR,3,FALSE),"")</f>
        <v>https://www.ncbi.nlm.nih.gov/pubmed/2848442</v>
      </c>
      <c r="D1101" s="232" t="str">
        <f>IF(AND(A1101&lt;&gt;"",ISNUMBER(A1101)),VLOOKUP(A1101,Studies!A:BR,4,FALSE),"")</f>
        <v>B 200 mg OD (day 15)</v>
      </c>
      <c r="E1101" s="206" t="str">
        <f>IF(AND(A1101&lt;&gt;"",ISNUMBER(A1101)),VLOOKUP(A1101,Studies!A:BR,5,FALSE),"")</f>
        <v>Itraconazole</v>
      </c>
      <c r="F1101" s="207" t="str">
        <f>IF(AND(A1101&lt;&gt;"",ISNUMBER(A1101)),VLOOKUP(A1101,Studies!A:BR,6,FALSE),"")</f>
        <v>Plasma</v>
      </c>
      <c r="G1101" s="194">
        <v>360.5</v>
      </c>
      <c r="H1101" s="194" t="s">
        <v>60</v>
      </c>
      <c r="I1101" s="187">
        <v>407</v>
      </c>
      <c r="J1101" s="187" t="s">
        <v>1026</v>
      </c>
      <c r="K1101" s="187" t="s">
        <v>116</v>
      </c>
      <c r="L1101" s="195">
        <v>207</v>
      </c>
      <c r="M1101" s="195" t="s">
        <v>1026</v>
      </c>
      <c r="N1101" s="195" t="s">
        <v>117</v>
      </c>
      <c r="O1101" s="199"/>
      <c r="P1101" s="188"/>
      <c r="Q1101" s="174">
        <f>IF(ISNUMBER(VLOOKUP(A1101,NotghiID!A:A,1,FALSE)),1,0)</f>
        <v>0</v>
      </c>
    </row>
    <row r="1102" spans="1:17" ht="14.25" x14ac:dyDescent="0.2">
      <c r="A1102" s="183">
        <v>237</v>
      </c>
      <c r="B1102" s="232" t="str">
        <f>IF(AND(A1102&lt;&gt;"",ISNUMBER(A1102)),VLOOKUP(A1102,Studies!A:BR,2,FALSE),"")</f>
        <v>Hardin 1988</v>
      </c>
      <c r="C1102" s="232" t="str">
        <f>IF(AND(A1102&lt;&gt;"",ISNUMBER(A1102)),VLOOKUP(A1102,Studies!A:BR,3,FALSE),"")</f>
        <v>https://www.ncbi.nlm.nih.gov/pubmed/2848442</v>
      </c>
      <c r="D1102" s="232" t="str">
        <f>IF(AND(A1102&lt;&gt;"",ISNUMBER(A1102)),VLOOKUP(A1102,Studies!A:BR,4,FALSE),"")</f>
        <v>B 200 mg OD (day 15)</v>
      </c>
      <c r="E1102" s="206" t="str">
        <f>IF(AND(A1102&lt;&gt;"",ISNUMBER(A1102)),VLOOKUP(A1102,Studies!A:BR,5,FALSE),"")</f>
        <v>Itraconazole</v>
      </c>
      <c r="F1102" s="207" t="str">
        <f>IF(AND(A1102&lt;&gt;"",ISNUMBER(A1102)),VLOOKUP(A1102,Studies!A:BR,6,FALSE),"")</f>
        <v>Plasma</v>
      </c>
      <c r="G1102" s="194">
        <v>361</v>
      </c>
      <c r="H1102" s="194" t="s">
        <v>60</v>
      </c>
      <c r="I1102" s="187">
        <v>564</v>
      </c>
      <c r="J1102" s="187" t="s">
        <v>1026</v>
      </c>
      <c r="K1102" s="187" t="s">
        <v>116</v>
      </c>
      <c r="L1102" s="195">
        <v>260</v>
      </c>
      <c r="M1102" s="195" t="s">
        <v>1026</v>
      </c>
      <c r="N1102" s="195" t="s">
        <v>117</v>
      </c>
      <c r="O1102" s="199"/>
      <c r="P1102" s="188"/>
      <c r="Q1102" s="174">
        <f>IF(ISNUMBER(VLOOKUP(A1102,NotghiID!A:A,1,FALSE)),1,0)</f>
        <v>0</v>
      </c>
    </row>
    <row r="1103" spans="1:17" ht="14.25" x14ac:dyDescent="0.2">
      <c r="A1103" s="183">
        <v>237</v>
      </c>
      <c r="B1103" s="232" t="str">
        <f>IF(AND(A1103&lt;&gt;"",ISNUMBER(A1103)),VLOOKUP(A1103,Studies!A:BR,2,FALSE),"")</f>
        <v>Hardin 1988</v>
      </c>
      <c r="C1103" s="232" t="str">
        <f>IF(AND(A1103&lt;&gt;"",ISNUMBER(A1103)),VLOOKUP(A1103,Studies!A:BR,3,FALSE),"")</f>
        <v>https://www.ncbi.nlm.nih.gov/pubmed/2848442</v>
      </c>
      <c r="D1103" s="232" t="str">
        <f>IF(AND(A1103&lt;&gt;"",ISNUMBER(A1103)),VLOOKUP(A1103,Studies!A:BR,4,FALSE),"")</f>
        <v>B 200 mg OD (day 15)</v>
      </c>
      <c r="E1103" s="206" t="str">
        <f>IF(AND(A1103&lt;&gt;"",ISNUMBER(A1103)),VLOOKUP(A1103,Studies!A:BR,5,FALSE),"")</f>
        <v>Itraconazole</v>
      </c>
      <c r="F1103" s="207" t="str">
        <f>IF(AND(A1103&lt;&gt;"",ISNUMBER(A1103)),VLOOKUP(A1103,Studies!A:BR,6,FALSE),"")</f>
        <v>Plasma</v>
      </c>
      <c r="G1103" s="194">
        <v>362</v>
      </c>
      <c r="H1103" s="194" t="s">
        <v>60</v>
      </c>
      <c r="I1103" s="187">
        <v>820</v>
      </c>
      <c r="J1103" s="187" t="s">
        <v>1026</v>
      </c>
      <c r="K1103" s="187" t="s">
        <v>116</v>
      </c>
      <c r="L1103" s="195">
        <v>331</v>
      </c>
      <c r="M1103" s="195" t="s">
        <v>1026</v>
      </c>
      <c r="N1103" s="195" t="s">
        <v>117</v>
      </c>
      <c r="O1103" s="199"/>
      <c r="P1103" s="188"/>
      <c r="Q1103" s="174">
        <f>IF(ISNUMBER(VLOOKUP(A1103,NotghiID!A:A,1,FALSE)),1,0)</f>
        <v>0</v>
      </c>
    </row>
    <row r="1104" spans="1:17" ht="14.25" x14ac:dyDescent="0.2">
      <c r="A1104" s="183">
        <v>237</v>
      </c>
      <c r="B1104" s="232" t="str">
        <f>IF(AND(A1104&lt;&gt;"",ISNUMBER(A1104)),VLOOKUP(A1104,Studies!A:BR,2,FALSE),"")</f>
        <v>Hardin 1988</v>
      </c>
      <c r="C1104" s="232" t="str">
        <f>IF(AND(A1104&lt;&gt;"",ISNUMBER(A1104)),VLOOKUP(A1104,Studies!A:BR,3,FALSE),"")</f>
        <v>https://www.ncbi.nlm.nih.gov/pubmed/2848442</v>
      </c>
      <c r="D1104" s="232" t="str">
        <f>IF(AND(A1104&lt;&gt;"",ISNUMBER(A1104)),VLOOKUP(A1104,Studies!A:BR,4,FALSE),"")</f>
        <v>B 200 mg OD (day 15)</v>
      </c>
      <c r="E1104" s="206" t="str">
        <f>IF(AND(A1104&lt;&gt;"",ISNUMBER(A1104)),VLOOKUP(A1104,Studies!A:BR,5,FALSE),"")</f>
        <v>Itraconazole</v>
      </c>
      <c r="F1104" s="207" t="str">
        <f>IF(AND(A1104&lt;&gt;"",ISNUMBER(A1104)),VLOOKUP(A1104,Studies!A:BR,6,FALSE),"")</f>
        <v>Plasma</v>
      </c>
      <c r="G1104" s="194">
        <v>363</v>
      </c>
      <c r="H1104" s="194" t="s">
        <v>60</v>
      </c>
      <c r="I1104" s="187">
        <v>990</v>
      </c>
      <c r="J1104" s="187" t="s">
        <v>1026</v>
      </c>
      <c r="K1104" s="187" t="s">
        <v>116</v>
      </c>
      <c r="L1104" s="195">
        <v>383</v>
      </c>
      <c r="M1104" s="195" t="s">
        <v>1026</v>
      </c>
      <c r="N1104" s="195" t="s">
        <v>117</v>
      </c>
      <c r="O1104" s="199"/>
      <c r="P1104" s="188"/>
      <c r="Q1104" s="174">
        <f>IF(ISNUMBER(VLOOKUP(A1104,NotghiID!A:A,1,FALSE)),1,0)</f>
        <v>0</v>
      </c>
    </row>
    <row r="1105" spans="1:17" ht="14.25" x14ac:dyDescent="0.2">
      <c r="A1105" s="183">
        <v>237</v>
      </c>
      <c r="B1105" s="232" t="str">
        <f>IF(AND(A1105&lt;&gt;"",ISNUMBER(A1105)),VLOOKUP(A1105,Studies!A:BR,2,FALSE),"")</f>
        <v>Hardin 1988</v>
      </c>
      <c r="C1105" s="232" t="str">
        <f>IF(AND(A1105&lt;&gt;"",ISNUMBER(A1105)),VLOOKUP(A1105,Studies!A:BR,3,FALSE),"")</f>
        <v>https://www.ncbi.nlm.nih.gov/pubmed/2848442</v>
      </c>
      <c r="D1105" s="232" t="str">
        <f>IF(AND(A1105&lt;&gt;"",ISNUMBER(A1105)),VLOOKUP(A1105,Studies!A:BR,4,FALSE),"")</f>
        <v>B 200 mg OD (day 15)</v>
      </c>
      <c r="E1105" s="206" t="str">
        <f>IF(AND(A1105&lt;&gt;"",ISNUMBER(A1105)),VLOOKUP(A1105,Studies!A:BR,5,FALSE),"")</f>
        <v>Itraconazole</v>
      </c>
      <c r="F1105" s="207" t="str">
        <f>IF(AND(A1105&lt;&gt;"",ISNUMBER(A1105)),VLOOKUP(A1105,Studies!A:BR,6,FALSE),"")</f>
        <v>Plasma</v>
      </c>
      <c r="G1105" s="194">
        <v>364</v>
      </c>
      <c r="H1105" s="194" t="s">
        <v>60</v>
      </c>
      <c r="I1105" s="187">
        <v>1028</v>
      </c>
      <c r="J1105" s="187" t="s">
        <v>1026</v>
      </c>
      <c r="K1105" s="187" t="s">
        <v>116</v>
      </c>
      <c r="L1105" s="195">
        <v>447</v>
      </c>
      <c r="M1105" s="195" t="s">
        <v>1026</v>
      </c>
      <c r="N1105" s="195" t="s">
        <v>117</v>
      </c>
      <c r="O1105" s="199"/>
      <c r="P1105" s="188"/>
      <c r="Q1105" s="174">
        <f>IF(ISNUMBER(VLOOKUP(A1105,NotghiID!A:A,1,FALSE)),1,0)</f>
        <v>0</v>
      </c>
    </row>
    <row r="1106" spans="1:17" ht="14.25" x14ac:dyDescent="0.2">
      <c r="A1106" s="183">
        <v>237</v>
      </c>
      <c r="B1106" s="232" t="str">
        <f>IF(AND(A1106&lt;&gt;"",ISNUMBER(A1106)),VLOOKUP(A1106,Studies!A:BR,2,FALSE),"")</f>
        <v>Hardin 1988</v>
      </c>
      <c r="C1106" s="232" t="str">
        <f>IF(AND(A1106&lt;&gt;"",ISNUMBER(A1106)),VLOOKUP(A1106,Studies!A:BR,3,FALSE),"")</f>
        <v>https://www.ncbi.nlm.nih.gov/pubmed/2848442</v>
      </c>
      <c r="D1106" s="232" t="str">
        <f>IF(AND(A1106&lt;&gt;"",ISNUMBER(A1106)),VLOOKUP(A1106,Studies!A:BR,4,FALSE),"")</f>
        <v>B 200 mg OD (day 15)</v>
      </c>
      <c r="E1106" s="206" t="str">
        <f>IF(AND(A1106&lt;&gt;"",ISNUMBER(A1106)),VLOOKUP(A1106,Studies!A:BR,5,FALSE),"")</f>
        <v>Itraconazole</v>
      </c>
      <c r="F1106" s="207" t="str">
        <f>IF(AND(A1106&lt;&gt;"",ISNUMBER(A1106)),VLOOKUP(A1106,Studies!A:BR,6,FALSE),"")</f>
        <v>Plasma</v>
      </c>
      <c r="G1106" s="194">
        <v>366</v>
      </c>
      <c r="H1106" s="194" t="s">
        <v>60</v>
      </c>
      <c r="I1106" s="187">
        <v>822</v>
      </c>
      <c r="J1106" s="187" t="s">
        <v>1026</v>
      </c>
      <c r="K1106" s="187" t="s">
        <v>116</v>
      </c>
      <c r="L1106" s="195">
        <v>373</v>
      </c>
      <c r="M1106" s="195" t="s">
        <v>1026</v>
      </c>
      <c r="N1106" s="195" t="s">
        <v>117</v>
      </c>
      <c r="O1106" s="199"/>
      <c r="P1106" s="188"/>
      <c r="Q1106" s="174">
        <f>IF(ISNUMBER(VLOOKUP(A1106,NotghiID!A:A,1,FALSE)),1,0)</f>
        <v>0</v>
      </c>
    </row>
    <row r="1107" spans="1:17" ht="14.25" x14ac:dyDescent="0.2">
      <c r="A1107" s="183">
        <v>237</v>
      </c>
      <c r="B1107" s="232" t="str">
        <f>IF(AND(A1107&lt;&gt;"",ISNUMBER(A1107)),VLOOKUP(A1107,Studies!A:BR,2,FALSE),"")</f>
        <v>Hardin 1988</v>
      </c>
      <c r="C1107" s="232" t="str">
        <f>IF(AND(A1107&lt;&gt;"",ISNUMBER(A1107)),VLOOKUP(A1107,Studies!A:BR,3,FALSE),"")</f>
        <v>https://www.ncbi.nlm.nih.gov/pubmed/2848442</v>
      </c>
      <c r="D1107" s="232" t="str">
        <f>IF(AND(A1107&lt;&gt;"",ISNUMBER(A1107)),VLOOKUP(A1107,Studies!A:BR,4,FALSE),"")</f>
        <v>B 200 mg OD (day 15)</v>
      </c>
      <c r="E1107" s="206" t="str">
        <f>IF(AND(A1107&lt;&gt;"",ISNUMBER(A1107)),VLOOKUP(A1107,Studies!A:BR,5,FALSE),"")</f>
        <v>Itraconazole</v>
      </c>
      <c r="F1107" s="207" t="str">
        <f>IF(AND(A1107&lt;&gt;"",ISNUMBER(A1107)),VLOOKUP(A1107,Studies!A:BR,6,FALSE),"")</f>
        <v>Plasma</v>
      </c>
      <c r="G1107" s="194">
        <v>368</v>
      </c>
      <c r="H1107" s="194" t="s">
        <v>60</v>
      </c>
      <c r="I1107" s="187">
        <v>864</v>
      </c>
      <c r="J1107" s="187" t="s">
        <v>1026</v>
      </c>
      <c r="K1107" s="187" t="s">
        <v>116</v>
      </c>
      <c r="L1107" s="195">
        <v>560</v>
      </c>
      <c r="M1107" s="195" t="s">
        <v>1026</v>
      </c>
      <c r="N1107" s="195" t="s">
        <v>117</v>
      </c>
      <c r="O1107" s="199"/>
      <c r="P1107" s="188"/>
      <c r="Q1107" s="174">
        <f>IF(ISNUMBER(VLOOKUP(A1107,NotghiID!A:A,1,FALSE)),1,0)</f>
        <v>0</v>
      </c>
    </row>
    <row r="1108" spans="1:17" ht="14.25" x14ac:dyDescent="0.2">
      <c r="A1108" s="183">
        <v>237</v>
      </c>
      <c r="B1108" s="232" t="str">
        <f>IF(AND(A1108&lt;&gt;"",ISNUMBER(A1108)),VLOOKUP(A1108,Studies!A:BR,2,FALSE),"")</f>
        <v>Hardin 1988</v>
      </c>
      <c r="C1108" s="232" t="str">
        <f>IF(AND(A1108&lt;&gt;"",ISNUMBER(A1108)),VLOOKUP(A1108,Studies!A:BR,3,FALSE),"")</f>
        <v>https://www.ncbi.nlm.nih.gov/pubmed/2848442</v>
      </c>
      <c r="D1108" s="232" t="str">
        <f>IF(AND(A1108&lt;&gt;"",ISNUMBER(A1108)),VLOOKUP(A1108,Studies!A:BR,4,FALSE),"")</f>
        <v>B 200 mg OD (day 15)</v>
      </c>
      <c r="E1108" s="206" t="str">
        <f>IF(AND(A1108&lt;&gt;"",ISNUMBER(A1108)),VLOOKUP(A1108,Studies!A:BR,5,FALSE),"")</f>
        <v>Itraconazole</v>
      </c>
      <c r="F1108" s="207" t="str">
        <f>IF(AND(A1108&lt;&gt;"",ISNUMBER(A1108)),VLOOKUP(A1108,Studies!A:BR,6,FALSE),"")</f>
        <v>Plasma</v>
      </c>
      <c r="G1108" s="194">
        <v>372</v>
      </c>
      <c r="H1108" s="194" t="s">
        <v>60</v>
      </c>
      <c r="I1108" s="187">
        <v>557</v>
      </c>
      <c r="J1108" s="187" t="s">
        <v>1026</v>
      </c>
      <c r="K1108" s="187" t="s">
        <v>116</v>
      </c>
      <c r="L1108" s="195">
        <v>192</v>
      </c>
      <c r="M1108" s="195" t="s">
        <v>1026</v>
      </c>
      <c r="N1108" s="195" t="s">
        <v>117</v>
      </c>
      <c r="O1108" s="199"/>
      <c r="P1108" s="188"/>
      <c r="Q1108" s="174">
        <f>IF(ISNUMBER(VLOOKUP(A1108,NotghiID!A:A,1,FALSE)),1,0)</f>
        <v>0</v>
      </c>
    </row>
    <row r="1109" spans="1:17" ht="14.25" x14ac:dyDescent="0.2">
      <c r="A1109" s="183">
        <v>237</v>
      </c>
      <c r="B1109" s="232" t="str">
        <f>IF(AND(A1109&lt;&gt;"",ISNUMBER(A1109)),VLOOKUP(A1109,Studies!A:BR,2,FALSE),"")</f>
        <v>Hardin 1988</v>
      </c>
      <c r="C1109" s="232" t="str">
        <f>IF(AND(A1109&lt;&gt;"",ISNUMBER(A1109)),VLOOKUP(A1109,Studies!A:BR,3,FALSE),"")</f>
        <v>https://www.ncbi.nlm.nih.gov/pubmed/2848442</v>
      </c>
      <c r="D1109" s="232" t="str">
        <f>IF(AND(A1109&lt;&gt;"",ISNUMBER(A1109)),VLOOKUP(A1109,Studies!A:BR,4,FALSE),"")</f>
        <v>B 200 mg OD (day 15)</v>
      </c>
      <c r="E1109" s="206" t="str">
        <f>IF(AND(A1109&lt;&gt;"",ISNUMBER(A1109)),VLOOKUP(A1109,Studies!A:BR,5,FALSE),"")</f>
        <v>Itraconazole</v>
      </c>
      <c r="F1109" s="207" t="str">
        <f>IF(AND(A1109&lt;&gt;"",ISNUMBER(A1109)),VLOOKUP(A1109,Studies!A:BR,6,FALSE),"")</f>
        <v>Plasma</v>
      </c>
      <c r="G1109" s="194">
        <v>376</v>
      </c>
      <c r="H1109" s="194" t="s">
        <v>60</v>
      </c>
      <c r="I1109" s="187">
        <v>535</v>
      </c>
      <c r="J1109" s="187" t="s">
        <v>1026</v>
      </c>
      <c r="K1109" s="187" t="s">
        <v>116</v>
      </c>
      <c r="L1109" s="195">
        <v>251</v>
      </c>
      <c r="M1109" s="195" t="s">
        <v>1026</v>
      </c>
      <c r="N1109" s="195" t="s">
        <v>117</v>
      </c>
      <c r="O1109" s="199"/>
      <c r="P1109" s="188"/>
      <c r="Q1109" s="174">
        <f>IF(ISNUMBER(VLOOKUP(A1109,NotghiID!A:A,1,FALSE)),1,0)</f>
        <v>0</v>
      </c>
    </row>
    <row r="1110" spans="1:17" ht="14.25" x14ac:dyDescent="0.2">
      <c r="A1110" s="183">
        <v>237</v>
      </c>
      <c r="B1110" s="232" t="str">
        <f>IF(AND(A1110&lt;&gt;"",ISNUMBER(A1110)),VLOOKUP(A1110,Studies!A:BR,2,FALSE),"")</f>
        <v>Hardin 1988</v>
      </c>
      <c r="C1110" s="232" t="str">
        <f>IF(AND(A1110&lt;&gt;"",ISNUMBER(A1110)),VLOOKUP(A1110,Studies!A:BR,3,FALSE),"")</f>
        <v>https://www.ncbi.nlm.nih.gov/pubmed/2848442</v>
      </c>
      <c r="D1110" s="232" t="str">
        <f>IF(AND(A1110&lt;&gt;"",ISNUMBER(A1110)),VLOOKUP(A1110,Studies!A:BR,4,FALSE),"")</f>
        <v>B 200 mg OD (day 15)</v>
      </c>
      <c r="E1110" s="206" t="str">
        <f>IF(AND(A1110&lt;&gt;"",ISNUMBER(A1110)),VLOOKUP(A1110,Studies!A:BR,5,FALSE),"")</f>
        <v>Itraconazole</v>
      </c>
      <c r="F1110" s="207" t="str">
        <f>IF(AND(A1110&lt;&gt;"",ISNUMBER(A1110)),VLOOKUP(A1110,Studies!A:BR,6,FALSE),"")</f>
        <v>Plasma</v>
      </c>
      <c r="G1110" s="194">
        <v>384</v>
      </c>
      <c r="H1110" s="194" t="s">
        <v>60</v>
      </c>
      <c r="I1110" s="187">
        <v>419</v>
      </c>
      <c r="J1110" s="187" t="s">
        <v>1026</v>
      </c>
      <c r="K1110" s="187" t="s">
        <v>116</v>
      </c>
      <c r="L1110" s="195">
        <v>179</v>
      </c>
      <c r="M1110" s="195" t="s">
        <v>1026</v>
      </c>
      <c r="N1110" s="195" t="s">
        <v>117</v>
      </c>
      <c r="O1110" s="199"/>
      <c r="P1110" s="188"/>
      <c r="Q1110" s="174">
        <f>IF(ISNUMBER(VLOOKUP(A1110,NotghiID!A:A,1,FALSE)),1,0)</f>
        <v>0</v>
      </c>
    </row>
    <row r="1111" spans="1:17" ht="14.25" x14ac:dyDescent="0.2">
      <c r="A1111" s="183">
        <v>237</v>
      </c>
      <c r="B1111" s="232" t="str">
        <f>IF(AND(A1111&lt;&gt;"",ISNUMBER(A1111)),VLOOKUP(A1111,Studies!A:BR,2,FALSE),"")</f>
        <v>Hardin 1988</v>
      </c>
      <c r="C1111" s="232" t="str">
        <f>IF(AND(A1111&lt;&gt;"",ISNUMBER(A1111)),VLOOKUP(A1111,Studies!A:BR,3,FALSE),"")</f>
        <v>https://www.ncbi.nlm.nih.gov/pubmed/2848442</v>
      </c>
      <c r="D1111" s="232" t="str">
        <f>IF(AND(A1111&lt;&gt;"",ISNUMBER(A1111)),VLOOKUP(A1111,Studies!A:BR,4,FALSE),"")</f>
        <v>B 200 mg OD (day 15)</v>
      </c>
      <c r="E1111" s="206" t="str">
        <f>IF(AND(A1111&lt;&gt;"",ISNUMBER(A1111)),VLOOKUP(A1111,Studies!A:BR,5,FALSE),"")</f>
        <v>Itraconazole</v>
      </c>
      <c r="F1111" s="207" t="str">
        <f>IF(AND(A1111&lt;&gt;"",ISNUMBER(A1111)),VLOOKUP(A1111,Studies!A:BR,6,FALSE),"")</f>
        <v>Plasma</v>
      </c>
      <c r="G1111" s="194">
        <v>408</v>
      </c>
      <c r="H1111" s="194" t="s">
        <v>60</v>
      </c>
      <c r="I1111" s="187">
        <v>268</v>
      </c>
      <c r="J1111" s="187" t="s">
        <v>1026</v>
      </c>
      <c r="K1111" s="187" t="s">
        <v>116</v>
      </c>
      <c r="L1111" s="195">
        <v>122</v>
      </c>
      <c r="M1111" s="195" t="s">
        <v>1026</v>
      </c>
      <c r="N1111" s="195" t="s">
        <v>117</v>
      </c>
      <c r="O1111" s="199"/>
      <c r="P1111" s="188"/>
      <c r="Q1111" s="174">
        <f>IF(ISNUMBER(VLOOKUP(A1111,NotghiID!A:A,1,FALSE)),1,0)</f>
        <v>0</v>
      </c>
    </row>
    <row r="1112" spans="1:17" ht="14.25" x14ac:dyDescent="0.2">
      <c r="A1112" s="183">
        <v>237</v>
      </c>
      <c r="B1112" s="232" t="str">
        <f>IF(AND(A1112&lt;&gt;"",ISNUMBER(A1112)),VLOOKUP(A1112,Studies!A:BR,2,FALSE),"")</f>
        <v>Hardin 1988</v>
      </c>
      <c r="C1112" s="232" t="str">
        <f>IF(AND(A1112&lt;&gt;"",ISNUMBER(A1112)),VLOOKUP(A1112,Studies!A:BR,3,FALSE),"")</f>
        <v>https://www.ncbi.nlm.nih.gov/pubmed/2848442</v>
      </c>
      <c r="D1112" s="232" t="str">
        <f>IF(AND(A1112&lt;&gt;"",ISNUMBER(A1112)),VLOOKUP(A1112,Studies!A:BR,4,FALSE),"")</f>
        <v>B 200 mg OD (day 15)</v>
      </c>
      <c r="E1112" s="206" t="str">
        <f>IF(AND(A1112&lt;&gt;"",ISNUMBER(A1112)),VLOOKUP(A1112,Studies!A:BR,5,FALSE),"")</f>
        <v>Itraconazole</v>
      </c>
      <c r="F1112" s="207" t="str">
        <f>IF(AND(A1112&lt;&gt;"",ISNUMBER(A1112)),VLOOKUP(A1112,Studies!A:BR,6,FALSE),"")</f>
        <v>Plasma</v>
      </c>
      <c r="G1112" s="194">
        <v>432</v>
      </c>
      <c r="H1112" s="194" t="s">
        <v>60</v>
      </c>
      <c r="I1112" s="187">
        <v>214</v>
      </c>
      <c r="J1112" s="187" t="s">
        <v>1026</v>
      </c>
      <c r="K1112" s="187" t="s">
        <v>116</v>
      </c>
      <c r="L1112" s="195">
        <v>127</v>
      </c>
      <c r="M1112" s="195" t="s">
        <v>1026</v>
      </c>
      <c r="N1112" s="195" t="s">
        <v>117</v>
      </c>
      <c r="O1112" s="199"/>
      <c r="P1112" s="188"/>
      <c r="Q1112" s="174">
        <f>IF(ISNUMBER(VLOOKUP(A1112,NotghiID!A:A,1,FALSE)),1,0)</f>
        <v>0</v>
      </c>
    </row>
    <row r="1113" spans="1:17" ht="14.25" x14ac:dyDescent="0.2">
      <c r="A1113" s="183">
        <v>238</v>
      </c>
      <c r="B1113" s="232" t="str">
        <f>IF(AND(A1113&lt;&gt;"",ISNUMBER(A1113)),VLOOKUP(A1113,Studies!A:BR,2,FALSE),"")</f>
        <v>Hardin 1988</v>
      </c>
      <c r="C1113" s="232" t="str">
        <f>IF(AND(A1113&lt;&gt;"",ISNUMBER(A1113)),VLOOKUP(A1113,Studies!A:BR,3,FALSE),"")</f>
        <v>https://www.ncbi.nlm.nih.gov/pubmed/2848442</v>
      </c>
      <c r="D1113" s="232" t="str">
        <f>IF(AND(A1113&lt;&gt;"",ISNUMBER(A1113)),VLOOKUP(A1113,Studies!A:BR,4,FALSE),"")</f>
        <v>C 200 mg BID (day 1)</v>
      </c>
      <c r="E1113" s="206" t="str">
        <f>IF(AND(A1113&lt;&gt;"",ISNUMBER(A1113)),VLOOKUP(A1113,Studies!A:BR,5,FALSE),"")</f>
        <v>Itraconazole</v>
      </c>
      <c r="F1113" s="207" t="str">
        <f>IF(AND(A1113&lt;&gt;"",ISNUMBER(A1113)),VLOOKUP(A1113,Studies!A:BR,6,FALSE),"")</f>
        <v>Plasma</v>
      </c>
      <c r="G1113" s="194">
        <v>12.5</v>
      </c>
      <c r="H1113" s="194" t="s">
        <v>60</v>
      </c>
      <c r="I1113" s="187">
        <v>190</v>
      </c>
      <c r="J1113" s="187" t="s">
        <v>1026</v>
      </c>
      <c r="K1113" s="187" t="s">
        <v>116</v>
      </c>
      <c r="L1113" s="195">
        <v>163</v>
      </c>
      <c r="M1113" s="195" t="s">
        <v>1026</v>
      </c>
      <c r="N1113" s="195" t="s">
        <v>117</v>
      </c>
      <c r="O1113" s="199"/>
      <c r="P1113" s="188"/>
      <c r="Q1113" s="174">
        <f>IF(ISNUMBER(VLOOKUP(A1113,NotghiID!A:A,1,FALSE)),1,0)</f>
        <v>0</v>
      </c>
    </row>
    <row r="1114" spans="1:17" ht="14.25" x14ac:dyDescent="0.2">
      <c r="A1114" s="183">
        <v>238</v>
      </c>
      <c r="B1114" s="232" t="str">
        <f>IF(AND(A1114&lt;&gt;"",ISNUMBER(A1114)),VLOOKUP(A1114,Studies!A:BR,2,FALSE),"")</f>
        <v>Hardin 1988</v>
      </c>
      <c r="C1114" s="232" t="str">
        <f>IF(AND(A1114&lt;&gt;"",ISNUMBER(A1114)),VLOOKUP(A1114,Studies!A:BR,3,FALSE),"")</f>
        <v>https://www.ncbi.nlm.nih.gov/pubmed/2848442</v>
      </c>
      <c r="D1114" s="232" t="str">
        <f>IF(AND(A1114&lt;&gt;"",ISNUMBER(A1114)),VLOOKUP(A1114,Studies!A:BR,4,FALSE),"")</f>
        <v>C 200 mg BID (day 1)</v>
      </c>
      <c r="E1114" s="206" t="str">
        <f>IF(AND(A1114&lt;&gt;"",ISNUMBER(A1114)),VLOOKUP(A1114,Studies!A:BR,5,FALSE),"")</f>
        <v>Itraconazole</v>
      </c>
      <c r="F1114" s="207" t="str">
        <f>IF(AND(A1114&lt;&gt;"",ISNUMBER(A1114)),VLOOKUP(A1114,Studies!A:BR,6,FALSE),"")</f>
        <v>Plasma</v>
      </c>
      <c r="G1114" s="194">
        <v>13</v>
      </c>
      <c r="H1114" s="194" t="s">
        <v>60</v>
      </c>
      <c r="I1114" s="187">
        <v>275</v>
      </c>
      <c r="J1114" s="187" t="s">
        <v>1026</v>
      </c>
      <c r="K1114" s="187" t="s">
        <v>116</v>
      </c>
      <c r="L1114" s="195">
        <v>156</v>
      </c>
      <c r="M1114" s="195" t="s">
        <v>1026</v>
      </c>
      <c r="N1114" s="195" t="s">
        <v>117</v>
      </c>
      <c r="O1114" s="199"/>
      <c r="P1114" s="188"/>
      <c r="Q1114" s="174">
        <f>IF(ISNUMBER(VLOOKUP(A1114,NotghiID!A:A,1,FALSE)),1,0)</f>
        <v>0</v>
      </c>
    </row>
    <row r="1115" spans="1:17" ht="14.25" x14ac:dyDescent="0.2">
      <c r="A1115" s="183">
        <v>238</v>
      </c>
      <c r="B1115" s="232" t="str">
        <f>IF(AND(A1115&lt;&gt;"",ISNUMBER(A1115)),VLOOKUP(A1115,Studies!A:BR,2,FALSE),"")</f>
        <v>Hardin 1988</v>
      </c>
      <c r="C1115" s="232" t="str">
        <f>IF(AND(A1115&lt;&gt;"",ISNUMBER(A1115)),VLOOKUP(A1115,Studies!A:BR,3,FALSE),"")</f>
        <v>https://www.ncbi.nlm.nih.gov/pubmed/2848442</v>
      </c>
      <c r="D1115" s="232" t="str">
        <f>IF(AND(A1115&lt;&gt;"",ISNUMBER(A1115)),VLOOKUP(A1115,Studies!A:BR,4,FALSE),"")</f>
        <v>C 200 mg BID (day 1)</v>
      </c>
      <c r="E1115" s="206" t="str">
        <f>IF(AND(A1115&lt;&gt;"",ISNUMBER(A1115)),VLOOKUP(A1115,Studies!A:BR,5,FALSE),"")</f>
        <v>Itraconazole</v>
      </c>
      <c r="F1115" s="207" t="str">
        <f>IF(AND(A1115&lt;&gt;"",ISNUMBER(A1115)),VLOOKUP(A1115,Studies!A:BR,6,FALSE),"")</f>
        <v>Plasma</v>
      </c>
      <c r="G1115" s="194">
        <v>14</v>
      </c>
      <c r="H1115" s="194" t="s">
        <v>60</v>
      </c>
      <c r="I1115" s="187">
        <v>388</v>
      </c>
      <c r="J1115" s="187" t="s">
        <v>1026</v>
      </c>
      <c r="K1115" s="187" t="s">
        <v>116</v>
      </c>
      <c r="L1115" s="195">
        <v>149</v>
      </c>
      <c r="M1115" s="195" t="s">
        <v>1026</v>
      </c>
      <c r="N1115" s="195" t="s">
        <v>117</v>
      </c>
      <c r="O1115" s="199"/>
      <c r="P1115" s="188"/>
      <c r="Q1115" s="174">
        <f>IF(ISNUMBER(VLOOKUP(A1115,NotghiID!A:A,1,FALSE)),1,0)</f>
        <v>0</v>
      </c>
    </row>
    <row r="1116" spans="1:17" ht="14.25" x14ac:dyDescent="0.2">
      <c r="A1116" s="183">
        <v>238</v>
      </c>
      <c r="B1116" s="232" t="str">
        <f>IF(AND(A1116&lt;&gt;"",ISNUMBER(A1116)),VLOOKUP(A1116,Studies!A:BR,2,FALSE),"")</f>
        <v>Hardin 1988</v>
      </c>
      <c r="C1116" s="232" t="str">
        <f>IF(AND(A1116&lt;&gt;"",ISNUMBER(A1116)),VLOOKUP(A1116,Studies!A:BR,3,FALSE),"")</f>
        <v>https://www.ncbi.nlm.nih.gov/pubmed/2848442</v>
      </c>
      <c r="D1116" s="232" t="str">
        <f>IF(AND(A1116&lt;&gt;"",ISNUMBER(A1116)),VLOOKUP(A1116,Studies!A:BR,4,FALSE),"")</f>
        <v>C 200 mg BID (day 1)</v>
      </c>
      <c r="E1116" s="206" t="str">
        <f>IF(AND(A1116&lt;&gt;"",ISNUMBER(A1116)),VLOOKUP(A1116,Studies!A:BR,5,FALSE),"")</f>
        <v>Itraconazole</v>
      </c>
      <c r="F1116" s="207" t="str">
        <f>IF(AND(A1116&lt;&gt;"",ISNUMBER(A1116)),VLOOKUP(A1116,Studies!A:BR,6,FALSE),"")</f>
        <v>Plasma</v>
      </c>
      <c r="G1116" s="194">
        <v>15</v>
      </c>
      <c r="H1116" s="194" t="s">
        <v>60</v>
      </c>
      <c r="I1116" s="187">
        <v>508</v>
      </c>
      <c r="J1116" s="187" t="s">
        <v>1026</v>
      </c>
      <c r="K1116" s="187" t="s">
        <v>116</v>
      </c>
      <c r="L1116" s="195">
        <v>189</v>
      </c>
      <c r="M1116" s="195" t="s">
        <v>1026</v>
      </c>
      <c r="N1116" s="195" t="s">
        <v>117</v>
      </c>
      <c r="O1116" s="199"/>
      <c r="P1116" s="188"/>
      <c r="Q1116" s="174">
        <f>IF(ISNUMBER(VLOOKUP(A1116,NotghiID!A:A,1,FALSE)),1,0)</f>
        <v>0</v>
      </c>
    </row>
    <row r="1117" spans="1:17" ht="14.25" x14ac:dyDescent="0.2">
      <c r="A1117" s="183">
        <v>238</v>
      </c>
      <c r="B1117" s="232" t="str">
        <f>IF(AND(A1117&lt;&gt;"",ISNUMBER(A1117)),VLOOKUP(A1117,Studies!A:BR,2,FALSE),"")</f>
        <v>Hardin 1988</v>
      </c>
      <c r="C1117" s="232" t="str">
        <f>IF(AND(A1117&lt;&gt;"",ISNUMBER(A1117)),VLOOKUP(A1117,Studies!A:BR,3,FALSE),"")</f>
        <v>https://www.ncbi.nlm.nih.gov/pubmed/2848442</v>
      </c>
      <c r="D1117" s="232" t="str">
        <f>IF(AND(A1117&lt;&gt;"",ISNUMBER(A1117)),VLOOKUP(A1117,Studies!A:BR,4,FALSE),"")</f>
        <v>C 200 mg BID (day 1)</v>
      </c>
      <c r="E1117" s="206" t="str">
        <f>IF(AND(A1117&lt;&gt;"",ISNUMBER(A1117)),VLOOKUP(A1117,Studies!A:BR,5,FALSE),"")</f>
        <v>Itraconazole</v>
      </c>
      <c r="F1117" s="207" t="str">
        <f>IF(AND(A1117&lt;&gt;"",ISNUMBER(A1117)),VLOOKUP(A1117,Studies!A:BR,6,FALSE),"")</f>
        <v>Plasma</v>
      </c>
      <c r="G1117" s="194">
        <v>16</v>
      </c>
      <c r="H1117" s="194" t="s">
        <v>60</v>
      </c>
      <c r="I1117" s="187">
        <v>503</v>
      </c>
      <c r="J1117" s="187" t="s">
        <v>1026</v>
      </c>
      <c r="K1117" s="187" t="s">
        <v>116</v>
      </c>
      <c r="L1117" s="195">
        <v>200</v>
      </c>
      <c r="M1117" s="195" t="s">
        <v>1026</v>
      </c>
      <c r="N1117" s="195" t="s">
        <v>117</v>
      </c>
      <c r="O1117" s="199"/>
      <c r="P1117" s="188"/>
      <c r="Q1117" s="174">
        <f>IF(ISNUMBER(VLOOKUP(A1117,NotghiID!A:A,1,FALSE)),1,0)</f>
        <v>0</v>
      </c>
    </row>
    <row r="1118" spans="1:17" ht="14.25" x14ac:dyDescent="0.2">
      <c r="A1118" s="183">
        <v>238</v>
      </c>
      <c r="B1118" s="232" t="str">
        <f>IF(AND(A1118&lt;&gt;"",ISNUMBER(A1118)),VLOOKUP(A1118,Studies!A:BR,2,FALSE),"")</f>
        <v>Hardin 1988</v>
      </c>
      <c r="C1118" s="232" t="str">
        <f>IF(AND(A1118&lt;&gt;"",ISNUMBER(A1118)),VLOOKUP(A1118,Studies!A:BR,3,FALSE),"")</f>
        <v>https://www.ncbi.nlm.nih.gov/pubmed/2848442</v>
      </c>
      <c r="D1118" s="232" t="str">
        <f>IF(AND(A1118&lt;&gt;"",ISNUMBER(A1118)),VLOOKUP(A1118,Studies!A:BR,4,FALSE),"")</f>
        <v>C 200 mg BID (day 1)</v>
      </c>
      <c r="E1118" s="206" t="str">
        <f>IF(AND(A1118&lt;&gt;"",ISNUMBER(A1118)),VLOOKUP(A1118,Studies!A:BR,5,FALSE),"")</f>
        <v>Itraconazole</v>
      </c>
      <c r="F1118" s="207" t="str">
        <f>IF(AND(A1118&lt;&gt;"",ISNUMBER(A1118)),VLOOKUP(A1118,Studies!A:BR,6,FALSE),"")</f>
        <v>Plasma</v>
      </c>
      <c r="G1118" s="194">
        <v>18</v>
      </c>
      <c r="H1118" s="194" t="s">
        <v>60</v>
      </c>
      <c r="I1118" s="187">
        <v>296</v>
      </c>
      <c r="J1118" s="187" t="s">
        <v>1026</v>
      </c>
      <c r="K1118" s="187" t="s">
        <v>116</v>
      </c>
      <c r="L1118" s="195">
        <v>74.5</v>
      </c>
      <c r="M1118" s="195" t="s">
        <v>1026</v>
      </c>
      <c r="N1118" s="195" t="s">
        <v>117</v>
      </c>
      <c r="O1118" s="199"/>
      <c r="P1118" s="188"/>
      <c r="Q1118" s="174">
        <f>IF(ISNUMBER(VLOOKUP(A1118,NotghiID!A:A,1,FALSE)),1,0)</f>
        <v>0</v>
      </c>
    </row>
    <row r="1119" spans="1:17" ht="14.25" x14ac:dyDescent="0.2">
      <c r="A1119" s="183">
        <v>238</v>
      </c>
      <c r="B1119" s="232" t="str">
        <f>IF(AND(A1119&lt;&gt;"",ISNUMBER(A1119)),VLOOKUP(A1119,Studies!A:BR,2,FALSE),"")</f>
        <v>Hardin 1988</v>
      </c>
      <c r="C1119" s="232" t="str">
        <f>IF(AND(A1119&lt;&gt;"",ISNUMBER(A1119)),VLOOKUP(A1119,Studies!A:BR,3,FALSE),"")</f>
        <v>https://www.ncbi.nlm.nih.gov/pubmed/2848442</v>
      </c>
      <c r="D1119" s="232" t="str">
        <f>IF(AND(A1119&lt;&gt;"",ISNUMBER(A1119)),VLOOKUP(A1119,Studies!A:BR,4,FALSE),"")</f>
        <v>C 200 mg BID (day 1)</v>
      </c>
      <c r="E1119" s="206" t="str">
        <f>IF(AND(A1119&lt;&gt;"",ISNUMBER(A1119)),VLOOKUP(A1119,Studies!A:BR,5,FALSE),"")</f>
        <v>Itraconazole</v>
      </c>
      <c r="F1119" s="207" t="str">
        <f>IF(AND(A1119&lt;&gt;"",ISNUMBER(A1119)),VLOOKUP(A1119,Studies!A:BR,6,FALSE),"")</f>
        <v>Plasma</v>
      </c>
      <c r="G1119" s="194">
        <v>20</v>
      </c>
      <c r="H1119" s="194" t="s">
        <v>60</v>
      </c>
      <c r="I1119" s="187">
        <v>306</v>
      </c>
      <c r="J1119" s="187" t="s">
        <v>1026</v>
      </c>
      <c r="K1119" s="187" t="s">
        <v>116</v>
      </c>
      <c r="L1119" s="195">
        <v>96.3</v>
      </c>
      <c r="M1119" s="195" t="s">
        <v>1026</v>
      </c>
      <c r="N1119" s="195" t="s">
        <v>117</v>
      </c>
      <c r="O1119" s="199"/>
      <c r="P1119" s="188"/>
      <c r="Q1119" s="174">
        <f>IF(ISNUMBER(VLOOKUP(A1119,NotghiID!A:A,1,FALSE)),1,0)</f>
        <v>0</v>
      </c>
    </row>
    <row r="1120" spans="1:17" ht="14.25" x14ac:dyDescent="0.2">
      <c r="A1120" s="183">
        <v>238</v>
      </c>
      <c r="B1120" s="232" t="str">
        <f>IF(AND(A1120&lt;&gt;"",ISNUMBER(A1120)),VLOOKUP(A1120,Studies!A:BR,2,FALSE),"")</f>
        <v>Hardin 1988</v>
      </c>
      <c r="C1120" s="232" t="str">
        <f>IF(AND(A1120&lt;&gt;"",ISNUMBER(A1120)),VLOOKUP(A1120,Studies!A:BR,3,FALSE),"")</f>
        <v>https://www.ncbi.nlm.nih.gov/pubmed/2848442</v>
      </c>
      <c r="D1120" s="232" t="str">
        <f>IF(AND(A1120&lt;&gt;"",ISNUMBER(A1120)),VLOOKUP(A1120,Studies!A:BR,4,FALSE),"")</f>
        <v>C 200 mg BID (day 1)</v>
      </c>
      <c r="E1120" s="206" t="str">
        <f>IF(AND(A1120&lt;&gt;"",ISNUMBER(A1120)),VLOOKUP(A1120,Studies!A:BR,5,FALSE),"")</f>
        <v>Itraconazole</v>
      </c>
      <c r="F1120" s="207" t="str">
        <f>IF(AND(A1120&lt;&gt;"",ISNUMBER(A1120)),VLOOKUP(A1120,Studies!A:BR,6,FALSE),"")</f>
        <v>Plasma</v>
      </c>
      <c r="G1120" s="194">
        <v>24</v>
      </c>
      <c r="H1120" s="194" t="s">
        <v>60</v>
      </c>
      <c r="I1120" s="187">
        <v>195</v>
      </c>
      <c r="J1120" s="187" t="s">
        <v>1026</v>
      </c>
      <c r="K1120" s="187" t="s">
        <v>116</v>
      </c>
      <c r="L1120" s="195">
        <v>68</v>
      </c>
      <c r="M1120" s="195" t="s">
        <v>1026</v>
      </c>
      <c r="N1120" s="195" t="s">
        <v>117</v>
      </c>
      <c r="O1120" s="199"/>
      <c r="P1120" s="188"/>
      <c r="Q1120" s="174">
        <f>IF(ISNUMBER(VLOOKUP(A1120,NotghiID!A:A,1,FALSE)),1,0)</f>
        <v>0</v>
      </c>
    </row>
    <row r="1121" spans="1:17" ht="14.25" x14ac:dyDescent="0.2">
      <c r="A1121" s="183">
        <v>238</v>
      </c>
      <c r="B1121" s="232" t="str">
        <f>IF(AND(A1121&lt;&gt;"",ISNUMBER(A1121)),VLOOKUP(A1121,Studies!A:BR,2,FALSE),"")</f>
        <v>Hardin 1988</v>
      </c>
      <c r="C1121" s="232" t="str">
        <f>IF(AND(A1121&lt;&gt;"",ISNUMBER(A1121)),VLOOKUP(A1121,Studies!A:BR,3,FALSE),"")</f>
        <v>https://www.ncbi.nlm.nih.gov/pubmed/2848442</v>
      </c>
      <c r="D1121" s="232" t="str">
        <f>IF(AND(A1121&lt;&gt;"",ISNUMBER(A1121)),VLOOKUP(A1121,Studies!A:BR,4,FALSE),"")</f>
        <v>C 200 mg BID (day 1)</v>
      </c>
      <c r="E1121" s="206" t="str">
        <f>IF(AND(A1121&lt;&gt;"",ISNUMBER(A1121)),VLOOKUP(A1121,Studies!A:BR,5,FALSE),"")</f>
        <v>Itraconazole</v>
      </c>
      <c r="F1121" s="207" t="str">
        <f>IF(AND(A1121&lt;&gt;"",ISNUMBER(A1121)),VLOOKUP(A1121,Studies!A:BR,6,FALSE),"")</f>
        <v>Plasma</v>
      </c>
      <c r="G1121" s="194">
        <v>28</v>
      </c>
      <c r="H1121" s="194" t="s">
        <v>60</v>
      </c>
      <c r="I1121" s="187">
        <v>160</v>
      </c>
      <c r="J1121" s="187" t="s">
        <v>1026</v>
      </c>
      <c r="K1121" s="187" t="s">
        <v>116</v>
      </c>
      <c r="L1121" s="195">
        <v>65.599999999999994</v>
      </c>
      <c r="M1121" s="195" t="s">
        <v>1026</v>
      </c>
      <c r="N1121" s="195" t="s">
        <v>117</v>
      </c>
      <c r="O1121" s="199"/>
      <c r="P1121" s="188"/>
      <c r="Q1121" s="174">
        <f>IF(ISNUMBER(VLOOKUP(A1121,NotghiID!A:A,1,FALSE)),1,0)</f>
        <v>0</v>
      </c>
    </row>
    <row r="1122" spans="1:17" ht="14.25" x14ac:dyDescent="0.2">
      <c r="A1122" s="183">
        <v>238</v>
      </c>
      <c r="B1122" s="232" t="str">
        <f>IF(AND(A1122&lt;&gt;"",ISNUMBER(A1122)),VLOOKUP(A1122,Studies!A:BR,2,FALSE),"")</f>
        <v>Hardin 1988</v>
      </c>
      <c r="C1122" s="232" t="str">
        <f>IF(AND(A1122&lt;&gt;"",ISNUMBER(A1122)),VLOOKUP(A1122,Studies!A:BR,3,FALSE),"")</f>
        <v>https://www.ncbi.nlm.nih.gov/pubmed/2848442</v>
      </c>
      <c r="D1122" s="232" t="str">
        <f>IF(AND(A1122&lt;&gt;"",ISNUMBER(A1122)),VLOOKUP(A1122,Studies!A:BR,4,FALSE),"")</f>
        <v>C 200 mg BID (day 1)</v>
      </c>
      <c r="E1122" s="206" t="str">
        <f>IF(AND(A1122&lt;&gt;"",ISNUMBER(A1122)),VLOOKUP(A1122,Studies!A:BR,5,FALSE),"")</f>
        <v>Itraconazole</v>
      </c>
      <c r="F1122" s="207" t="str">
        <f>IF(AND(A1122&lt;&gt;"",ISNUMBER(A1122)),VLOOKUP(A1122,Studies!A:BR,6,FALSE),"")</f>
        <v>Plasma</v>
      </c>
      <c r="G1122" s="194">
        <v>36</v>
      </c>
      <c r="H1122" s="194" t="s">
        <v>60</v>
      </c>
      <c r="I1122" s="187">
        <v>130</v>
      </c>
      <c r="J1122" s="187" t="s">
        <v>1026</v>
      </c>
      <c r="K1122" s="187" t="s">
        <v>116</v>
      </c>
      <c r="L1122" s="195">
        <v>60.3</v>
      </c>
      <c r="M1122" s="195" t="s">
        <v>1026</v>
      </c>
      <c r="N1122" s="195" t="s">
        <v>117</v>
      </c>
      <c r="O1122" s="199"/>
      <c r="P1122" s="188"/>
      <c r="Q1122" s="174">
        <f>IF(ISNUMBER(VLOOKUP(A1122,NotghiID!A:A,1,FALSE)),1,0)</f>
        <v>0</v>
      </c>
    </row>
    <row r="1123" spans="1:17" ht="14.25" x14ac:dyDescent="0.2">
      <c r="A1123" s="183">
        <v>238</v>
      </c>
      <c r="B1123" s="232" t="str">
        <f>IF(AND(A1123&lt;&gt;"",ISNUMBER(A1123)),VLOOKUP(A1123,Studies!A:BR,2,FALSE),"")</f>
        <v>Hardin 1988</v>
      </c>
      <c r="C1123" s="232" t="str">
        <f>IF(AND(A1123&lt;&gt;"",ISNUMBER(A1123)),VLOOKUP(A1123,Studies!A:BR,3,FALSE),"")</f>
        <v>https://www.ncbi.nlm.nih.gov/pubmed/2848442</v>
      </c>
      <c r="D1123" s="232" t="str">
        <f>IF(AND(A1123&lt;&gt;"",ISNUMBER(A1123)),VLOOKUP(A1123,Studies!A:BR,4,FALSE),"")</f>
        <v>C 200 mg BID (day 1)</v>
      </c>
      <c r="E1123" s="206" t="str">
        <f>IF(AND(A1123&lt;&gt;"",ISNUMBER(A1123)),VLOOKUP(A1123,Studies!A:BR,5,FALSE),"")</f>
        <v>Itraconazole</v>
      </c>
      <c r="F1123" s="207" t="str">
        <f>IF(AND(A1123&lt;&gt;"",ISNUMBER(A1123)),VLOOKUP(A1123,Studies!A:BR,6,FALSE),"")</f>
        <v>Plasma</v>
      </c>
      <c r="G1123" s="194">
        <v>60</v>
      </c>
      <c r="H1123" s="194" t="s">
        <v>60</v>
      </c>
      <c r="I1123" s="187">
        <v>67.900000000000006</v>
      </c>
      <c r="J1123" s="187" t="s">
        <v>1026</v>
      </c>
      <c r="K1123" s="187" t="s">
        <v>116</v>
      </c>
      <c r="L1123" s="195">
        <v>44.3</v>
      </c>
      <c r="M1123" s="195" t="s">
        <v>1026</v>
      </c>
      <c r="N1123" s="195" t="s">
        <v>117</v>
      </c>
      <c r="O1123" s="199"/>
      <c r="P1123" s="188"/>
      <c r="Q1123" s="174">
        <f>IF(ISNUMBER(VLOOKUP(A1123,NotghiID!A:A,1,FALSE)),1,0)</f>
        <v>0</v>
      </c>
    </row>
    <row r="1124" spans="1:17" ht="14.25" x14ac:dyDescent="0.2">
      <c r="A1124" s="183">
        <v>238</v>
      </c>
      <c r="B1124" s="232" t="str">
        <f>IF(AND(A1124&lt;&gt;"",ISNUMBER(A1124)),VLOOKUP(A1124,Studies!A:BR,2,FALSE),"")</f>
        <v>Hardin 1988</v>
      </c>
      <c r="C1124" s="232" t="str">
        <f>IF(AND(A1124&lt;&gt;"",ISNUMBER(A1124)),VLOOKUP(A1124,Studies!A:BR,3,FALSE),"")</f>
        <v>https://www.ncbi.nlm.nih.gov/pubmed/2848442</v>
      </c>
      <c r="D1124" s="232" t="str">
        <f>IF(AND(A1124&lt;&gt;"",ISNUMBER(A1124)),VLOOKUP(A1124,Studies!A:BR,4,FALSE),"")</f>
        <v>C 200 mg BID (day 1)</v>
      </c>
      <c r="E1124" s="206" t="str">
        <f>IF(AND(A1124&lt;&gt;"",ISNUMBER(A1124)),VLOOKUP(A1124,Studies!A:BR,5,FALSE),"")</f>
        <v>Itraconazole</v>
      </c>
      <c r="F1124" s="207" t="str">
        <f>IF(AND(A1124&lt;&gt;"",ISNUMBER(A1124)),VLOOKUP(A1124,Studies!A:BR,6,FALSE),"")</f>
        <v>Plasma</v>
      </c>
      <c r="G1124" s="194">
        <v>84</v>
      </c>
      <c r="H1124" s="194" t="s">
        <v>60</v>
      </c>
      <c r="I1124" s="187">
        <v>36.9</v>
      </c>
      <c r="J1124" s="187" t="s">
        <v>1026</v>
      </c>
      <c r="K1124" s="187" t="s">
        <v>116</v>
      </c>
      <c r="L1124" s="195">
        <v>32.1</v>
      </c>
      <c r="M1124" s="195" t="s">
        <v>1026</v>
      </c>
      <c r="N1124" s="195" t="s">
        <v>117</v>
      </c>
      <c r="O1124" s="199"/>
      <c r="P1124" s="188"/>
      <c r="Q1124" s="174">
        <f>IF(ISNUMBER(VLOOKUP(A1124,NotghiID!A:A,1,FALSE)),1,0)</f>
        <v>0</v>
      </c>
    </row>
    <row r="1125" spans="1:17" ht="14.25" x14ac:dyDescent="0.2">
      <c r="A1125" s="183">
        <v>239</v>
      </c>
      <c r="B1125" s="232" t="str">
        <f>IF(AND(A1125&lt;&gt;"",ISNUMBER(A1125)),VLOOKUP(A1125,Studies!A:BR,2,FALSE),"")</f>
        <v>Hardin 1988</v>
      </c>
      <c r="C1125" s="232" t="str">
        <f>IF(AND(A1125&lt;&gt;"",ISNUMBER(A1125)),VLOOKUP(A1125,Studies!A:BR,3,FALSE),"")</f>
        <v>https://www.ncbi.nlm.nih.gov/pubmed/2848442</v>
      </c>
      <c r="D1125" s="232" t="str">
        <f>IF(AND(A1125&lt;&gt;"",ISNUMBER(A1125)),VLOOKUP(A1125,Studies!A:BR,4,FALSE),"")</f>
        <v>C 200 mg BID (day 7-15)</v>
      </c>
      <c r="E1125" s="206" t="str">
        <f>IF(AND(A1125&lt;&gt;"",ISNUMBER(A1125)),VLOOKUP(A1125,Studies!A:BR,5,FALSE),"")</f>
        <v>Itraconazole</v>
      </c>
      <c r="F1125" s="207" t="str">
        <f>IF(AND(A1125&lt;&gt;"",ISNUMBER(A1125)),VLOOKUP(A1125,Studies!A:BR,6,FALSE),"")</f>
        <v>Plasma</v>
      </c>
      <c r="G1125" s="194">
        <v>168</v>
      </c>
      <c r="H1125" s="194" t="s">
        <v>60</v>
      </c>
      <c r="I1125" s="187">
        <v>807</v>
      </c>
      <c r="J1125" s="187" t="s">
        <v>1026</v>
      </c>
      <c r="K1125" s="187" t="s">
        <v>116</v>
      </c>
      <c r="L1125" s="195">
        <v>190</v>
      </c>
      <c r="M1125" s="195" t="s">
        <v>1026</v>
      </c>
      <c r="N1125" s="195" t="s">
        <v>117</v>
      </c>
      <c r="O1125" s="199"/>
      <c r="P1125" s="188"/>
      <c r="Q1125" s="174">
        <f>IF(ISNUMBER(VLOOKUP(A1125,NotghiID!A:A,1,FALSE)),1,0)</f>
        <v>0</v>
      </c>
    </row>
    <row r="1126" spans="1:17" ht="14.25" x14ac:dyDescent="0.2">
      <c r="A1126" s="183">
        <v>239</v>
      </c>
      <c r="B1126" s="232" t="str">
        <f>IF(AND(A1126&lt;&gt;"",ISNUMBER(A1126)),VLOOKUP(A1126,Studies!A:BR,2,FALSE),"")</f>
        <v>Hardin 1988</v>
      </c>
      <c r="C1126" s="232" t="str">
        <f>IF(AND(A1126&lt;&gt;"",ISNUMBER(A1126)),VLOOKUP(A1126,Studies!A:BR,3,FALSE),"")</f>
        <v>https://www.ncbi.nlm.nih.gov/pubmed/2848442</v>
      </c>
      <c r="D1126" s="232" t="str">
        <f>IF(AND(A1126&lt;&gt;"",ISNUMBER(A1126)),VLOOKUP(A1126,Studies!A:BR,4,FALSE),"")</f>
        <v>C 200 mg BID (day 7-15)</v>
      </c>
      <c r="E1126" s="206" t="str">
        <f>IF(AND(A1126&lt;&gt;"",ISNUMBER(A1126)),VLOOKUP(A1126,Studies!A:BR,5,FALSE),"")</f>
        <v>Itraconazole</v>
      </c>
      <c r="F1126" s="207" t="str">
        <f>IF(AND(A1126&lt;&gt;"",ISNUMBER(A1126)),VLOOKUP(A1126,Studies!A:BR,6,FALSE),"")</f>
        <v>Plasma</v>
      </c>
      <c r="G1126" s="194">
        <v>240</v>
      </c>
      <c r="H1126" s="194" t="s">
        <v>60</v>
      </c>
      <c r="I1126" s="187">
        <v>980</v>
      </c>
      <c r="J1126" s="187" t="s">
        <v>1026</v>
      </c>
      <c r="K1126" s="187" t="s">
        <v>116</v>
      </c>
      <c r="L1126" s="195">
        <v>358</v>
      </c>
      <c r="M1126" s="195" t="s">
        <v>1026</v>
      </c>
      <c r="N1126" s="195" t="s">
        <v>117</v>
      </c>
      <c r="O1126" s="199"/>
      <c r="P1126" s="188"/>
      <c r="Q1126" s="174">
        <f>IF(ISNUMBER(VLOOKUP(A1126,NotghiID!A:A,1,FALSE)),1,0)</f>
        <v>0</v>
      </c>
    </row>
    <row r="1127" spans="1:17" ht="14.25" x14ac:dyDescent="0.2">
      <c r="A1127" s="183">
        <v>239</v>
      </c>
      <c r="B1127" s="232" t="str">
        <f>IF(AND(A1127&lt;&gt;"",ISNUMBER(A1127)),VLOOKUP(A1127,Studies!A:BR,2,FALSE),"")</f>
        <v>Hardin 1988</v>
      </c>
      <c r="C1127" s="232" t="str">
        <f>IF(AND(A1127&lt;&gt;"",ISNUMBER(A1127)),VLOOKUP(A1127,Studies!A:BR,3,FALSE),"")</f>
        <v>https://www.ncbi.nlm.nih.gov/pubmed/2848442</v>
      </c>
      <c r="D1127" s="232" t="str">
        <f>IF(AND(A1127&lt;&gt;"",ISNUMBER(A1127)),VLOOKUP(A1127,Studies!A:BR,4,FALSE),"")</f>
        <v>C 200 mg BID (day 7-15)</v>
      </c>
      <c r="E1127" s="206" t="str">
        <f>IF(AND(A1127&lt;&gt;"",ISNUMBER(A1127)),VLOOKUP(A1127,Studies!A:BR,5,FALSE),"")</f>
        <v>Itraconazole</v>
      </c>
      <c r="F1127" s="207" t="str">
        <f>IF(AND(A1127&lt;&gt;"",ISNUMBER(A1127)),VLOOKUP(A1127,Studies!A:BR,6,FALSE),"")</f>
        <v>Plasma</v>
      </c>
      <c r="G1127" s="194">
        <v>312</v>
      </c>
      <c r="H1127" s="194" t="s">
        <v>60</v>
      </c>
      <c r="I1127" s="187">
        <v>1330</v>
      </c>
      <c r="J1127" s="187" t="s">
        <v>1026</v>
      </c>
      <c r="K1127" s="187" t="s">
        <v>116</v>
      </c>
      <c r="L1127" s="195">
        <v>390</v>
      </c>
      <c r="M1127" s="195" t="s">
        <v>1026</v>
      </c>
      <c r="N1127" s="195" t="s">
        <v>117</v>
      </c>
      <c r="O1127" s="199"/>
      <c r="P1127" s="188"/>
      <c r="Q1127" s="174">
        <f>IF(ISNUMBER(VLOOKUP(A1127,NotghiID!A:A,1,FALSE)),1,0)</f>
        <v>0</v>
      </c>
    </row>
    <row r="1128" spans="1:17" ht="14.25" x14ac:dyDescent="0.2">
      <c r="A1128" s="183">
        <v>239</v>
      </c>
      <c r="B1128" s="232" t="str">
        <f>IF(AND(A1128&lt;&gt;"",ISNUMBER(A1128)),VLOOKUP(A1128,Studies!A:BR,2,FALSE),"")</f>
        <v>Hardin 1988</v>
      </c>
      <c r="C1128" s="232" t="str">
        <f>IF(AND(A1128&lt;&gt;"",ISNUMBER(A1128)),VLOOKUP(A1128,Studies!A:BR,3,FALSE),"")</f>
        <v>https://www.ncbi.nlm.nih.gov/pubmed/2848442</v>
      </c>
      <c r="D1128" s="232" t="str">
        <f>IF(AND(A1128&lt;&gt;"",ISNUMBER(A1128)),VLOOKUP(A1128,Studies!A:BR,4,FALSE),"")</f>
        <v>C 200 mg BID (day 7-15)</v>
      </c>
      <c r="E1128" s="206" t="str">
        <f>IF(AND(A1128&lt;&gt;"",ISNUMBER(A1128)),VLOOKUP(A1128,Studies!A:BR,5,FALSE),"")</f>
        <v>Itraconazole</v>
      </c>
      <c r="F1128" s="207" t="str">
        <f>IF(AND(A1128&lt;&gt;"",ISNUMBER(A1128)),VLOOKUP(A1128,Studies!A:BR,6,FALSE),"")</f>
        <v>Plasma</v>
      </c>
      <c r="G1128" s="194">
        <v>360</v>
      </c>
      <c r="H1128" s="194" t="s">
        <v>60</v>
      </c>
      <c r="I1128" s="187">
        <v>1420</v>
      </c>
      <c r="J1128" s="187" t="s">
        <v>1026</v>
      </c>
      <c r="K1128" s="187" t="s">
        <v>116</v>
      </c>
      <c r="L1128" s="195">
        <v>378</v>
      </c>
      <c r="M1128" s="195" t="s">
        <v>1026</v>
      </c>
      <c r="N1128" s="195" t="s">
        <v>117</v>
      </c>
      <c r="O1128" s="199"/>
      <c r="P1128" s="188"/>
      <c r="Q1128" s="174">
        <f>IF(ISNUMBER(VLOOKUP(A1128,NotghiID!A:A,1,FALSE)),1,0)</f>
        <v>0</v>
      </c>
    </row>
    <row r="1129" spans="1:17" ht="14.25" x14ac:dyDescent="0.2">
      <c r="A1129" s="183">
        <v>240</v>
      </c>
      <c r="B1129" s="232" t="str">
        <f>IF(AND(A1129&lt;&gt;"",ISNUMBER(A1129)),VLOOKUP(A1129,Studies!A:BR,2,FALSE),"")</f>
        <v>Hardin 1988</v>
      </c>
      <c r="C1129" s="232" t="str">
        <f>IF(AND(A1129&lt;&gt;"",ISNUMBER(A1129)),VLOOKUP(A1129,Studies!A:BR,3,FALSE),"")</f>
        <v>https://www.ncbi.nlm.nih.gov/pubmed/2848442</v>
      </c>
      <c r="D1129" s="232" t="str">
        <f>IF(AND(A1129&lt;&gt;"",ISNUMBER(A1129)),VLOOKUP(A1129,Studies!A:BR,4,FALSE),"")</f>
        <v>C 200 mg BID (day 15)</v>
      </c>
      <c r="E1129" s="206" t="str">
        <f>IF(AND(A1129&lt;&gt;"",ISNUMBER(A1129)),VLOOKUP(A1129,Studies!A:BR,5,FALSE),"")</f>
        <v>Itraconazole</v>
      </c>
      <c r="F1129" s="207" t="str">
        <f>IF(AND(A1129&lt;&gt;"",ISNUMBER(A1129)),VLOOKUP(A1129,Studies!A:BR,6,FALSE),"")</f>
        <v>Plasma</v>
      </c>
      <c r="G1129" s="194">
        <v>360.5</v>
      </c>
      <c r="H1129" s="194" t="s">
        <v>60</v>
      </c>
      <c r="I1129" s="187">
        <v>1420</v>
      </c>
      <c r="J1129" s="187" t="s">
        <v>1026</v>
      </c>
      <c r="K1129" s="187" t="s">
        <v>116</v>
      </c>
      <c r="L1129" s="195">
        <v>290</v>
      </c>
      <c r="M1129" s="195" t="s">
        <v>1026</v>
      </c>
      <c r="N1129" s="195" t="s">
        <v>117</v>
      </c>
      <c r="O1129" s="199"/>
      <c r="P1129" s="188"/>
      <c r="Q1129" s="174">
        <f>IF(ISNUMBER(VLOOKUP(A1129,NotghiID!A:A,1,FALSE)),1,0)</f>
        <v>0</v>
      </c>
    </row>
    <row r="1130" spans="1:17" ht="14.25" x14ac:dyDescent="0.2">
      <c r="A1130" s="183">
        <v>240</v>
      </c>
      <c r="B1130" s="232" t="str">
        <f>IF(AND(A1130&lt;&gt;"",ISNUMBER(A1130)),VLOOKUP(A1130,Studies!A:BR,2,FALSE),"")</f>
        <v>Hardin 1988</v>
      </c>
      <c r="C1130" s="232" t="str">
        <f>IF(AND(A1130&lt;&gt;"",ISNUMBER(A1130)),VLOOKUP(A1130,Studies!A:BR,3,FALSE),"")</f>
        <v>https://www.ncbi.nlm.nih.gov/pubmed/2848442</v>
      </c>
      <c r="D1130" s="232" t="str">
        <f>IF(AND(A1130&lt;&gt;"",ISNUMBER(A1130)),VLOOKUP(A1130,Studies!A:BR,4,FALSE),"")</f>
        <v>C 200 mg BID (day 15)</v>
      </c>
      <c r="E1130" s="206" t="str">
        <f>IF(AND(A1130&lt;&gt;"",ISNUMBER(A1130)),VLOOKUP(A1130,Studies!A:BR,5,FALSE),"")</f>
        <v>Itraconazole</v>
      </c>
      <c r="F1130" s="207" t="str">
        <f>IF(AND(A1130&lt;&gt;"",ISNUMBER(A1130)),VLOOKUP(A1130,Studies!A:BR,6,FALSE),"")</f>
        <v>Plasma</v>
      </c>
      <c r="G1130" s="194">
        <v>361</v>
      </c>
      <c r="H1130" s="194" t="s">
        <v>60</v>
      </c>
      <c r="I1130" s="187">
        <v>1450</v>
      </c>
      <c r="J1130" s="187" t="s">
        <v>1026</v>
      </c>
      <c r="K1130" s="187" t="s">
        <v>116</v>
      </c>
      <c r="L1130" s="195">
        <v>420</v>
      </c>
      <c r="M1130" s="195" t="s">
        <v>1026</v>
      </c>
      <c r="N1130" s="195" t="s">
        <v>117</v>
      </c>
      <c r="O1130" s="199"/>
      <c r="P1130" s="188"/>
      <c r="Q1130" s="174">
        <f>IF(ISNUMBER(VLOOKUP(A1130,NotghiID!A:A,1,FALSE)),1,0)</f>
        <v>0</v>
      </c>
    </row>
    <row r="1131" spans="1:17" ht="14.25" x14ac:dyDescent="0.2">
      <c r="A1131" s="183">
        <v>240</v>
      </c>
      <c r="B1131" s="232" t="str">
        <f>IF(AND(A1131&lt;&gt;"",ISNUMBER(A1131)),VLOOKUP(A1131,Studies!A:BR,2,FALSE),"")</f>
        <v>Hardin 1988</v>
      </c>
      <c r="C1131" s="232" t="str">
        <f>IF(AND(A1131&lt;&gt;"",ISNUMBER(A1131)),VLOOKUP(A1131,Studies!A:BR,3,FALSE),"")</f>
        <v>https://www.ncbi.nlm.nih.gov/pubmed/2848442</v>
      </c>
      <c r="D1131" s="232" t="str">
        <f>IF(AND(A1131&lt;&gt;"",ISNUMBER(A1131)),VLOOKUP(A1131,Studies!A:BR,4,FALSE),"")</f>
        <v>C 200 mg BID (day 15)</v>
      </c>
      <c r="E1131" s="206" t="str">
        <f>IF(AND(A1131&lt;&gt;"",ISNUMBER(A1131)),VLOOKUP(A1131,Studies!A:BR,5,FALSE),"")</f>
        <v>Itraconazole</v>
      </c>
      <c r="F1131" s="207" t="str">
        <f>IF(AND(A1131&lt;&gt;"",ISNUMBER(A1131)),VLOOKUP(A1131,Studies!A:BR,6,FALSE),"")</f>
        <v>Plasma</v>
      </c>
      <c r="G1131" s="194">
        <v>362</v>
      </c>
      <c r="H1131" s="194" t="s">
        <v>60</v>
      </c>
      <c r="I1131" s="187">
        <v>1640</v>
      </c>
      <c r="J1131" s="187" t="s">
        <v>1026</v>
      </c>
      <c r="K1131" s="187" t="s">
        <v>116</v>
      </c>
      <c r="L1131" s="195">
        <v>594</v>
      </c>
      <c r="M1131" s="195" t="s">
        <v>1026</v>
      </c>
      <c r="N1131" s="195" t="s">
        <v>117</v>
      </c>
      <c r="O1131" s="199"/>
      <c r="P1131" s="188"/>
      <c r="Q1131" s="174">
        <f>IF(ISNUMBER(VLOOKUP(A1131,NotghiID!A:A,1,FALSE)),1,0)</f>
        <v>0</v>
      </c>
    </row>
    <row r="1132" spans="1:17" ht="14.25" x14ac:dyDescent="0.2">
      <c r="A1132" s="183">
        <v>240</v>
      </c>
      <c r="B1132" s="232" t="str">
        <f>IF(AND(A1132&lt;&gt;"",ISNUMBER(A1132)),VLOOKUP(A1132,Studies!A:BR,2,FALSE),"")</f>
        <v>Hardin 1988</v>
      </c>
      <c r="C1132" s="232" t="str">
        <f>IF(AND(A1132&lt;&gt;"",ISNUMBER(A1132)),VLOOKUP(A1132,Studies!A:BR,3,FALSE),"")</f>
        <v>https://www.ncbi.nlm.nih.gov/pubmed/2848442</v>
      </c>
      <c r="D1132" s="232" t="str">
        <f>IF(AND(A1132&lt;&gt;"",ISNUMBER(A1132)),VLOOKUP(A1132,Studies!A:BR,4,FALSE),"")</f>
        <v>C 200 mg BID (day 15)</v>
      </c>
      <c r="E1132" s="206" t="str">
        <f>IF(AND(A1132&lt;&gt;"",ISNUMBER(A1132)),VLOOKUP(A1132,Studies!A:BR,5,FALSE),"")</f>
        <v>Itraconazole</v>
      </c>
      <c r="F1132" s="207" t="str">
        <f>IF(AND(A1132&lt;&gt;"",ISNUMBER(A1132)),VLOOKUP(A1132,Studies!A:BR,6,FALSE),"")</f>
        <v>Plasma</v>
      </c>
      <c r="G1132" s="194">
        <v>363</v>
      </c>
      <c r="H1132" s="194" t="s">
        <v>60</v>
      </c>
      <c r="I1132" s="187">
        <v>1730</v>
      </c>
      <c r="J1132" s="187" t="s">
        <v>1026</v>
      </c>
      <c r="K1132" s="187" t="s">
        <v>116</v>
      </c>
      <c r="L1132" s="195">
        <v>543</v>
      </c>
      <c r="M1132" s="195" t="s">
        <v>1026</v>
      </c>
      <c r="N1132" s="195" t="s">
        <v>117</v>
      </c>
      <c r="O1132" s="199"/>
      <c r="P1132" s="188"/>
      <c r="Q1132" s="174">
        <f>IF(ISNUMBER(VLOOKUP(A1132,NotghiID!A:A,1,FALSE)),1,0)</f>
        <v>0</v>
      </c>
    </row>
    <row r="1133" spans="1:17" ht="14.25" x14ac:dyDescent="0.2">
      <c r="A1133" s="183">
        <v>240</v>
      </c>
      <c r="B1133" s="232" t="str">
        <f>IF(AND(A1133&lt;&gt;"",ISNUMBER(A1133)),VLOOKUP(A1133,Studies!A:BR,2,FALSE),"")</f>
        <v>Hardin 1988</v>
      </c>
      <c r="C1133" s="232" t="str">
        <f>IF(AND(A1133&lt;&gt;"",ISNUMBER(A1133)),VLOOKUP(A1133,Studies!A:BR,3,FALSE),"")</f>
        <v>https://www.ncbi.nlm.nih.gov/pubmed/2848442</v>
      </c>
      <c r="D1133" s="232" t="str">
        <f>IF(AND(A1133&lt;&gt;"",ISNUMBER(A1133)),VLOOKUP(A1133,Studies!A:BR,4,FALSE),"")</f>
        <v>C 200 mg BID (day 15)</v>
      </c>
      <c r="E1133" s="206" t="str">
        <f>IF(AND(A1133&lt;&gt;"",ISNUMBER(A1133)),VLOOKUP(A1133,Studies!A:BR,5,FALSE),"")</f>
        <v>Itraconazole</v>
      </c>
      <c r="F1133" s="207" t="str">
        <f>IF(AND(A1133&lt;&gt;"",ISNUMBER(A1133)),VLOOKUP(A1133,Studies!A:BR,6,FALSE),"")</f>
        <v>Plasma</v>
      </c>
      <c r="G1133" s="194">
        <v>364</v>
      </c>
      <c r="H1133" s="194" t="s">
        <v>60</v>
      </c>
      <c r="I1133" s="187">
        <v>1820</v>
      </c>
      <c r="J1133" s="187" t="s">
        <v>1026</v>
      </c>
      <c r="K1133" s="187" t="s">
        <v>116</v>
      </c>
      <c r="L1133" s="195">
        <v>572</v>
      </c>
      <c r="M1133" s="195" t="s">
        <v>1026</v>
      </c>
      <c r="N1133" s="195" t="s">
        <v>117</v>
      </c>
      <c r="O1133" s="199"/>
      <c r="P1133" s="188"/>
      <c r="Q1133" s="174">
        <f>IF(ISNUMBER(VLOOKUP(A1133,NotghiID!A:A,1,FALSE)),1,0)</f>
        <v>0</v>
      </c>
    </row>
    <row r="1134" spans="1:17" ht="14.25" x14ac:dyDescent="0.2">
      <c r="A1134" s="183">
        <v>240</v>
      </c>
      <c r="B1134" s="232" t="str">
        <f>IF(AND(A1134&lt;&gt;"",ISNUMBER(A1134)),VLOOKUP(A1134,Studies!A:BR,2,FALSE),"")</f>
        <v>Hardin 1988</v>
      </c>
      <c r="C1134" s="232" t="str">
        <f>IF(AND(A1134&lt;&gt;"",ISNUMBER(A1134)),VLOOKUP(A1134,Studies!A:BR,3,FALSE),"")</f>
        <v>https://www.ncbi.nlm.nih.gov/pubmed/2848442</v>
      </c>
      <c r="D1134" s="232" t="str">
        <f>IF(AND(A1134&lt;&gt;"",ISNUMBER(A1134)),VLOOKUP(A1134,Studies!A:BR,4,FALSE),"")</f>
        <v>C 200 mg BID (day 15)</v>
      </c>
      <c r="E1134" s="206" t="str">
        <f>IF(AND(A1134&lt;&gt;"",ISNUMBER(A1134)),VLOOKUP(A1134,Studies!A:BR,5,FALSE),"")</f>
        <v>Itraconazole</v>
      </c>
      <c r="F1134" s="207" t="str">
        <f>IF(AND(A1134&lt;&gt;"",ISNUMBER(A1134)),VLOOKUP(A1134,Studies!A:BR,6,FALSE),"")</f>
        <v>Plasma</v>
      </c>
      <c r="G1134" s="194">
        <v>366</v>
      </c>
      <c r="H1134" s="194" t="s">
        <v>60</v>
      </c>
      <c r="I1134" s="187">
        <v>1660</v>
      </c>
      <c r="J1134" s="187" t="s">
        <v>1026</v>
      </c>
      <c r="K1134" s="187" t="s">
        <v>116</v>
      </c>
      <c r="L1134" s="195">
        <v>564</v>
      </c>
      <c r="M1134" s="195" t="s">
        <v>1026</v>
      </c>
      <c r="N1134" s="195" t="s">
        <v>117</v>
      </c>
      <c r="O1134" s="199"/>
      <c r="P1134" s="188"/>
      <c r="Q1134" s="174">
        <f>IF(ISNUMBER(VLOOKUP(A1134,NotghiID!A:A,1,FALSE)),1,0)</f>
        <v>0</v>
      </c>
    </row>
    <row r="1135" spans="1:17" ht="14.25" x14ac:dyDescent="0.2">
      <c r="A1135" s="183">
        <v>240</v>
      </c>
      <c r="B1135" s="232" t="str">
        <f>IF(AND(A1135&lt;&gt;"",ISNUMBER(A1135)),VLOOKUP(A1135,Studies!A:BR,2,FALSE),"")</f>
        <v>Hardin 1988</v>
      </c>
      <c r="C1135" s="232" t="str">
        <f>IF(AND(A1135&lt;&gt;"",ISNUMBER(A1135)),VLOOKUP(A1135,Studies!A:BR,3,FALSE),"")</f>
        <v>https://www.ncbi.nlm.nih.gov/pubmed/2848442</v>
      </c>
      <c r="D1135" s="232" t="str">
        <f>IF(AND(A1135&lt;&gt;"",ISNUMBER(A1135)),VLOOKUP(A1135,Studies!A:BR,4,FALSE),"")</f>
        <v>C 200 mg BID (day 15)</v>
      </c>
      <c r="E1135" s="206" t="str">
        <f>IF(AND(A1135&lt;&gt;"",ISNUMBER(A1135)),VLOOKUP(A1135,Studies!A:BR,5,FALSE),"")</f>
        <v>Itraconazole</v>
      </c>
      <c r="F1135" s="207" t="str">
        <f>IF(AND(A1135&lt;&gt;"",ISNUMBER(A1135)),VLOOKUP(A1135,Studies!A:BR,6,FALSE),"")</f>
        <v>Plasma</v>
      </c>
      <c r="G1135" s="194">
        <v>368</v>
      </c>
      <c r="H1135" s="194" t="s">
        <v>60</v>
      </c>
      <c r="I1135" s="187">
        <v>1720</v>
      </c>
      <c r="J1135" s="187" t="s">
        <v>1026</v>
      </c>
      <c r="K1135" s="187" t="s">
        <v>116</v>
      </c>
      <c r="L1135" s="195">
        <v>293</v>
      </c>
      <c r="M1135" s="195" t="s">
        <v>1026</v>
      </c>
      <c r="N1135" s="195" t="s">
        <v>117</v>
      </c>
      <c r="O1135" s="199"/>
      <c r="P1135" s="188"/>
      <c r="Q1135" s="174">
        <f>IF(ISNUMBER(VLOOKUP(A1135,NotghiID!A:A,1,FALSE)),1,0)</f>
        <v>0</v>
      </c>
    </row>
    <row r="1136" spans="1:17" ht="14.25" x14ac:dyDescent="0.2">
      <c r="A1136" s="183">
        <v>240</v>
      </c>
      <c r="B1136" s="232" t="str">
        <f>IF(AND(A1136&lt;&gt;"",ISNUMBER(A1136)),VLOOKUP(A1136,Studies!A:BR,2,FALSE),"")</f>
        <v>Hardin 1988</v>
      </c>
      <c r="C1136" s="232" t="str">
        <f>IF(AND(A1136&lt;&gt;"",ISNUMBER(A1136)),VLOOKUP(A1136,Studies!A:BR,3,FALSE),"")</f>
        <v>https://www.ncbi.nlm.nih.gov/pubmed/2848442</v>
      </c>
      <c r="D1136" s="232" t="str">
        <f>IF(AND(A1136&lt;&gt;"",ISNUMBER(A1136)),VLOOKUP(A1136,Studies!A:BR,4,FALSE),"")</f>
        <v>C 200 mg BID (day 15)</v>
      </c>
      <c r="E1136" s="206" t="str">
        <f>IF(AND(A1136&lt;&gt;"",ISNUMBER(A1136)),VLOOKUP(A1136,Studies!A:BR,5,FALSE),"")</f>
        <v>Itraconazole</v>
      </c>
      <c r="F1136" s="207" t="str">
        <f>IF(AND(A1136&lt;&gt;"",ISNUMBER(A1136)),VLOOKUP(A1136,Studies!A:BR,6,FALSE),"")</f>
        <v>Plasma</v>
      </c>
      <c r="G1136" s="194">
        <v>372</v>
      </c>
      <c r="H1136" s="194" t="s">
        <v>60</v>
      </c>
      <c r="I1136" s="187">
        <v>1420</v>
      </c>
      <c r="J1136" s="187" t="s">
        <v>1026</v>
      </c>
      <c r="K1136" s="187" t="s">
        <v>116</v>
      </c>
      <c r="L1136" s="195">
        <v>378</v>
      </c>
      <c r="M1136" s="195" t="s">
        <v>1026</v>
      </c>
      <c r="N1136" s="195" t="s">
        <v>117</v>
      </c>
      <c r="O1136" s="199"/>
      <c r="P1136" s="188"/>
      <c r="Q1136" s="174">
        <f>IF(ISNUMBER(VLOOKUP(A1136,NotghiID!A:A,1,FALSE)),1,0)</f>
        <v>0</v>
      </c>
    </row>
    <row r="1137" spans="1:17" ht="14.25" x14ac:dyDescent="0.2">
      <c r="A1137" s="183">
        <v>240</v>
      </c>
      <c r="B1137" s="232" t="str">
        <f>IF(AND(A1137&lt;&gt;"",ISNUMBER(A1137)),VLOOKUP(A1137,Studies!A:BR,2,FALSE),"")</f>
        <v>Hardin 1988</v>
      </c>
      <c r="C1137" s="232" t="str">
        <f>IF(AND(A1137&lt;&gt;"",ISNUMBER(A1137)),VLOOKUP(A1137,Studies!A:BR,3,FALSE),"")</f>
        <v>https://www.ncbi.nlm.nih.gov/pubmed/2848442</v>
      </c>
      <c r="D1137" s="232" t="str">
        <f>IF(AND(A1137&lt;&gt;"",ISNUMBER(A1137)),VLOOKUP(A1137,Studies!A:BR,4,FALSE),"")</f>
        <v>C 200 mg BID (day 15)</v>
      </c>
      <c r="E1137" s="206" t="str">
        <f>IF(AND(A1137&lt;&gt;"",ISNUMBER(A1137)),VLOOKUP(A1137,Studies!A:BR,5,FALSE),"")</f>
        <v>Itraconazole</v>
      </c>
      <c r="F1137" s="207" t="str">
        <f>IF(AND(A1137&lt;&gt;"",ISNUMBER(A1137)),VLOOKUP(A1137,Studies!A:BR,6,FALSE),"")</f>
        <v>Plasma</v>
      </c>
      <c r="G1137" s="194">
        <v>376</v>
      </c>
      <c r="H1137" s="194" t="s">
        <v>60</v>
      </c>
      <c r="I1137" s="187">
        <v>1390</v>
      </c>
      <c r="J1137" s="187" t="s">
        <v>1026</v>
      </c>
      <c r="K1137" s="187" t="s">
        <v>116</v>
      </c>
      <c r="L1137" s="195">
        <v>394</v>
      </c>
      <c r="M1137" s="195" t="s">
        <v>1026</v>
      </c>
      <c r="N1137" s="195" t="s">
        <v>117</v>
      </c>
      <c r="O1137" s="199"/>
      <c r="P1137" s="188"/>
      <c r="Q1137" s="174">
        <f>IF(ISNUMBER(VLOOKUP(A1137,NotghiID!A:A,1,FALSE)),1,0)</f>
        <v>0</v>
      </c>
    </row>
    <row r="1138" spans="1:17" ht="14.25" x14ac:dyDescent="0.2">
      <c r="A1138" s="183">
        <v>240</v>
      </c>
      <c r="B1138" s="232" t="str">
        <f>IF(AND(A1138&lt;&gt;"",ISNUMBER(A1138)),VLOOKUP(A1138,Studies!A:BR,2,FALSE),"")</f>
        <v>Hardin 1988</v>
      </c>
      <c r="C1138" s="232" t="str">
        <f>IF(AND(A1138&lt;&gt;"",ISNUMBER(A1138)),VLOOKUP(A1138,Studies!A:BR,3,FALSE),"")</f>
        <v>https://www.ncbi.nlm.nih.gov/pubmed/2848442</v>
      </c>
      <c r="D1138" s="232" t="str">
        <f>IF(AND(A1138&lt;&gt;"",ISNUMBER(A1138)),VLOOKUP(A1138,Studies!A:BR,4,FALSE),"")</f>
        <v>C 200 mg BID (day 15)</v>
      </c>
      <c r="E1138" s="206" t="str">
        <f>IF(AND(A1138&lt;&gt;"",ISNUMBER(A1138)),VLOOKUP(A1138,Studies!A:BR,5,FALSE),"")</f>
        <v>Itraconazole</v>
      </c>
      <c r="F1138" s="207" t="str">
        <f>IF(AND(A1138&lt;&gt;"",ISNUMBER(A1138)),VLOOKUP(A1138,Studies!A:BR,6,FALSE),"")</f>
        <v>Plasma</v>
      </c>
      <c r="G1138" s="194">
        <v>384</v>
      </c>
      <c r="H1138" s="194" t="s">
        <v>60</v>
      </c>
      <c r="I1138" s="187">
        <v>1230</v>
      </c>
      <c r="J1138" s="187" t="s">
        <v>1026</v>
      </c>
      <c r="K1138" s="187" t="s">
        <v>116</v>
      </c>
      <c r="L1138" s="195">
        <v>286</v>
      </c>
      <c r="M1138" s="195" t="s">
        <v>1026</v>
      </c>
      <c r="N1138" s="195" t="s">
        <v>117</v>
      </c>
      <c r="O1138" s="199"/>
      <c r="P1138" s="188"/>
      <c r="Q1138" s="174">
        <f>IF(ISNUMBER(VLOOKUP(A1138,NotghiID!A:A,1,FALSE)),1,0)</f>
        <v>0</v>
      </c>
    </row>
    <row r="1139" spans="1:17" ht="14.25" x14ac:dyDescent="0.2">
      <c r="A1139" s="183">
        <v>240</v>
      </c>
      <c r="B1139" s="232" t="str">
        <f>IF(AND(A1139&lt;&gt;"",ISNUMBER(A1139)),VLOOKUP(A1139,Studies!A:BR,2,FALSE),"")</f>
        <v>Hardin 1988</v>
      </c>
      <c r="C1139" s="232" t="str">
        <f>IF(AND(A1139&lt;&gt;"",ISNUMBER(A1139)),VLOOKUP(A1139,Studies!A:BR,3,FALSE),"")</f>
        <v>https://www.ncbi.nlm.nih.gov/pubmed/2848442</v>
      </c>
      <c r="D1139" s="232" t="str">
        <f>IF(AND(A1139&lt;&gt;"",ISNUMBER(A1139)),VLOOKUP(A1139,Studies!A:BR,4,FALSE),"")</f>
        <v>C 200 mg BID (day 15)</v>
      </c>
      <c r="E1139" s="206" t="str">
        <f>IF(AND(A1139&lt;&gt;"",ISNUMBER(A1139)),VLOOKUP(A1139,Studies!A:BR,5,FALSE),"")</f>
        <v>Itraconazole</v>
      </c>
      <c r="F1139" s="207" t="str">
        <f>IF(AND(A1139&lt;&gt;"",ISNUMBER(A1139)),VLOOKUP(A1139,Studies!A:BR,6,FALSE),"")</f>
        <v>Plasma</v>
      </c>
      <c r="G1139" s="194">
        <v>408</v>
      </c>
      <c r="H1139" s="194" t="s">
        <v>60</v>
      </c>
      <c r="I1139" s="187">
        <v>1040</v>
      </c>
      <c r="J1139" s="187" t="s">
        <v>1026</v>
      </c>
      <c r="K1139" s="187" t="s">
        <v>116</v>
      </c>
      <c r="L1139" s="195">
        <v>293</v>
      </c>
      <c r="M1139" s="195" t="s">
        <v>1026</v>
      </c>
      <c r="N1139" s="195" t="s">
        <v>117</v>
      </c>
      <c r="O1139" s="199"/>
      <c r="P1139" s="188"/>
      <c r="Q1139" s="174">
        <f>IF(ISNUMBER(VLOOKUP(A1139,NotghiID!A:A,1,FALSE)),1,0)</f>
        <v>0</v>
      </c>
    </row>
    <row r="1140" spans="1:17" ht="14.25" x14ac:dyDescent="0.2">
      <c r="A1140" s="183">
        <v>240</v>
      </c>
      <c r="B1140" s="232" t="str">
        <f>IF(AND(A1140&lt;&gt;"",ISNUMBER(A1140)),VLOOKUP(A1140,Studies!A:BR,2,FALSE),"")</f>
        <v>Hardin 1988</v>
      </c>
      <c r="C1140" s="232" t="str">
        <f>IF(AND(A1140&lt;&gt;"",ISNUMBER(A1140)),VLOOKUP(A1140,Studies!A:BR,3,FALSE),"")</f>
        <v>https://www.ncbi.nlm.nih.gov/pubmed/2848442</v>
      </c>
      <c r="D1140" s="232" t="str">
        <f>IF(AND(A1140&lt;&gt;"",ISNUMBER(A1140)),VLOOKUP(A1140,Studies!A:BR,4,FALSE),"")</f>
        <v>C 200 mg BID (day 15)</v>
      </c>
      <c r="E1140" s="206" t="str">
        <f>IF(AND(A1140&lt;&gt;"",ISNUMBER(A1140)),VLOOKUP(A1140,Studies!A:BR,5,FALSE),"")</f>
        <v>Itraconazole</v>
      </c>
      <c r="F1140" s="207" t="str">
        <f>IF(AND(A1140&lt;&gt;"",ISNUMBER(A1140)),VLOOKUP(A1140,Studies!A:BR,6,FALSE),"")</f>
        <v>Plasma</v>
      </c>
      <c r="G1140" s="194">
        <v>432</v>
      </c>
      <c r="H1140" s="194" t="s">
        <v>60</v>
      </c>
      <c r="I1140" s="187">
        <v>698</v>
      </c>
      <c r="J1140" s="187" t="s">
        <v>1026</v>
      </c>
      <c r="K1140" s="187" t="s">
        <v>116</v>
      </c>
      <c r="L1140" s="195">
        <v>110</v>
      </c>
      <c r="M1140" s="195" t="s">
        <v>1026</v>
      </c>
      <c r="N1140" s="195" t="s">
        <v>117</v>
      </c>
      <c r="O1140" s="199"/>
      <c r="P1140" s="188"/>
      <c r="Q1140" s="174">
        <f>IF(ISNUMBER(VLOOKUP(A1140,NotghiID!A:A,1,FALSE)),1,0)</f>
        <v>0</v>
      </c>
    </row>
    <row r="1141" spans="1:17" ht="14.25" x14ac:dyDescent="0.2">
      <c r="A1141" s="183">
        <v>472</v>
      </c>
      <c r="B1141" s="232" t="str">
        <f>IF(AND(A1141&lt;&gt;"",ISNUMBER(A1141)),VLOOKUP(A1141,Studies!A:BR,2,FALSE),"")</f>
        <v>Templeton 2008</v>
      </c>
      <c r="C1141" s="232" t="str">
        <f>IF(AND(A1141&lt;&gt;"",ISNUMBER(A1141)),VLOOKUP(A1141,Studies!A:BR,3,FALSE),"")</f>
        <v>https://www.ncbi.nlm.nih.gov/pubmed/17495874</v>
      </c>
      <c r="D1141" s="232" t="str">
        <f>IF(AND(A1141&lt;&gt;"",ISNUMBER(A1141)),VLOOKUP(A1141,Studies!A:BR,4,FALSE),"")</f>
        <v>ITZ day 1</v>
      </c>
      <c r="E1141" s="206" t="str">
        <f>IF(AND(A1141&lt;&gt;"",ISNUMBER(A1141)),VLOOKUP(A1141,Studies!A:BR,5,FALSE),"")</f>
        <v>Itraconazole</v>
      </c>
      <c r="F1141" s="207" t="str">
        <f>IF(AND(A1141&lt;&gt;"",ISNUMBER(A1141)),VLOOKUP(A1141,Studies!A:BR,6,FALSE),"")</f>
        <v>Plasma</v>
      </c>
      <c r="G1141" s="194">
        <v>0.5</v>
      </c>
      <c r="H1141" s="194" t="s">
        <v>60</v>
      </c>
      <c r="I1141" s="187">
        <v>106.79999738931656</v>
      </c>
      <c r="J1141" s="187" t="s">
        <v>1059</v>
      </c>
      <c r="K1141" s="187" t="s">
        <v>116</v>
      </c>
      <c r="L1141" s="195"/>
      <c r="M1141" s="195"/>
      <c r="N1141" s="195"/>
      <c r="O1141" s="199"/>
      <c r="P1141" s="188" t="s">
        <v>1122</v>
      </c>
      <c r="Q1141" s="174">
        <f>IF(ISNUMBER(VLOOKUP(A1141,NotghiID!A:A,1,FALSE)),1,0)</f>
        <v>0</v>
      </c>
    </row>
    <row r="1142" spans="1:17" ht="14.25" x14ac:dyDescent="0.2">
      <c r="A1142" s="183">
        <v>472</v>
      </c>
      <c r="B1142" s="232" t="str">
        <f>IF(AND(A1142&lt;&gt;"",ISNUMBER(A1142)),VLOOKUP(A1142,Studies!A:BR,2,FALSE),"")</f>
        <v>Templeton 2008</v>
      </c>
      <c r="C1142" s="232" t="str">
        <f>IF(AND(A1142&lt;&gt;"",ISNUMBER(A1142)),VLOOKUP(A1142,Studies!A:BR,3,FALSE),"")</f>
        <v>https://www.ncbi.nlm.nih.gov/pubmed/17495874</v>
      </c>
      <c r="D1142" s="232" t="str">
        <f>IF(AND(A1142&lt;&gt;"",ISNUMBER(A1142)),VLOOKUP(A1142,Studies!A:BR,4,FALSE),"")</f>
        <v>ITZ day 1</v>
      </c>
      <c r="E1142" s="206" t="str">
        <f>IF(AND(A1142&lt;&gt;"",ISNUMBER(A1142)),VLOOKUP(A1142,Studies!A:BR,5,FALSE),"")</f>
        <v>Itraconazole</v>
      </c>
      <c r="F1142" s="207" t="str">
        <f>IF(AND(A1142&lt;&gt;"",ISNUMBER(A1142)),VLOOKUP(A1142,Studies!A:BR,6,FALSE),"")</f>
        <v>Plasma</v>
      </c>
      <c r="G1142" s="194">
        <v>1</v>
      </c>
      <c r="H1142" s="194" t="s">
        <v>60</v>
      </c>
      <c r="I1142" s="187">
        <v>326.80279016494751</v>
      </c>
      <c r="J1142" s="187" t="s">
        <v>1059</v>
      </c>
      <c r="K1142" s="187" t="s">
        <v>116</v>
      </c>
      <c r="L1142" s="195"/>
      <c r="M1142" s="195"/>
      <c r="N1142" s="195"/>
      <c r="O1142" s="199"/>
      <c r="P1142" s="188" t="s">
        <v>1122</v>
      </c>
      <c r="Q1142" s="174">
        <f>IF(ISNUMBER(VLOOKUP(A1142,NotghiID!A:A,1,FALSE)),1,0)</f>
        <v>0</v>
      </c>
    </row>
    <row r="1143" spans="1:17" ht="14.25" x14ac:dyDescent="0.2">
      <c r="A1143" s="183">
        <v>472</v>
      </c>
      <c r="B1143" s="232" t="str">
        <f>IF(AND(A1143&lt;&gt;"",ISNUMBER(A1143)),VLOOKUP(A1143,Studies!A:BR,2,FALSE),"")</f>
        <v>Templeton 2008</v>
      </c>
      <c r="C1143" s="232" t="str">
        <f>IF(AND(A1143&lt;&gt;"",ISNUMBER(A1143)),VLOOKUP(A1143,Studies!A:BR,3,FALSE),"")</f>
        <v>https://www.ncbi.nlm.nih.gov/pubmed/17495874</v>
      </c>
      <c r="D1143" s="232" t="str">
        <f>IF(AND(A1143&lt;&gt;"",ISNUMBER(A1143)),VLOOKUP(A1143,Studies!A:BR,4,FALSE),"")</f>
        <v>ITZ day 1</v>
      </c>
      <c r="E1143" s="206" t="str">
        <f>IF(AND(A1143&lt;&gt;"",ISNUMBER(A1143)),VLOOKUP(A1143,Studies!A:BR,5,FALSE),"")</f>
        <v>Itraconazole</v>
      </c>
      <c r="F1143" s="207" t="str">
        <f>IF(AND(A1143&lt;&gt;"",ISNUMBER(A1143)),VLOOKUP(A1143,Studies!A:BR,6,FALSE),"")</f>
        <v>Plasma</v>
      </c>
      <c r="G1143" s="194">
        <v>2</v>
      </c>
      <c r="H1143" s="194" t="s">
        <v>60</v>
      </c>
      <c r="I1143" s="187">
        <v>259.58868861198425</v>
      </c>
      <c r="J1143" s="187" t="s">
        <v>1059</v>
      </c>
      <c r="K1143" s="187" t="s">
        <v>116</v>
      </c>
      <c r="L1143" s="195"/>
      <c r="M1143" s="195"/>
      <c r="N1143" s="195"/>
      <c r="O1143" s="199"/>
      <c r="P1143" s="188" t="s">
        <v>1122</v>
      </c>
      <c r="Q1143" s="174">
        <f>IF(ISNUMBER(VLOOKUP(A1143,NotghiID!A:A,1,FALSE)),1,0)</f>
        <v>0</v>
      </c>
    </row>
    <row r="1144" spans="1:17" ht="14.25" x14ac:dyDescent="0.2">
      <c r="A1144" s="183">
        <v>472</v>
      </c>
      <c r="B1144" s="232" t="str">
        <f>IF(AND(A1144&lt;&gt;"",ISNUMBER(A1144)),VLOOKUP(A1144,Studies!A:BR,2,FALSE),"")</f>
        <v>Templeton 2008</v>
      </c>
      <c r="C1144" s="232" t="str">
        <f>IF(AND(A1144&lt;&gt;"",ISNUMBER(A1144)),VLOOKUP(A1144,Studies!A:BR,3,FALSE),"")</f>
        <v>https://www.ncbi.nlm.nih.gov/pubmed/17495874</v>
      </c>
      <c r="D1144" s="232" t="str">
        <f>IF(AND(A1144&lt;&gt;"",ISNUMBER(A1144)),VLOOKUP(A1144,Studies!A:BR,4,FALSE),"")</f>
        <v>ITZ day 1</v>
      </c>
      <c r="E1144" s="206" t="str">
        <f>IF(AND(A1144&lt;&gt;"",ISNUMBER(A1144)),VLOOKUP(A1144,Studies!A:BR,5,FALSE),"")</f>
        <v>Itraconazole</v>
      </c>
      <c r="F1144" s="207" t="str">
        <f>IF(AND(A1144&lt;&gt;"",ISNUMBER(A1144)),VLOOKUP(A1144,Studies!A:BR,6,FALSE),"")</f>
        <v>Plasma</v>
      </c>
      <c r="G1144" s="194">
        <v>3</v>
      </c>
      <c r="H1144" s="194" t="s">
        <v>60</v>
      </c>
      <c r="I1144" s="187">
        <v>145.97739279270172</v>
      </c>
      <c r="J1144" s="187" t="s">
        <v>1059</v>
      </c>
      <c r="K1144" s="187" t="s">
        <v>116</v>
      </c>
      <c r="L1144" s="195"/>
      <c r="M1144" s="195"/>
      <c r="N1144" s="195"/>
      <c r="O1144" s="199"/>
      <c r="P1144" s="188" t="s">
        <v>1122</v>
      </c>
      <c r="Q1144" s="174">
        <f>IF(ISNUMBER(VLOOKUP(A1144,NotghiID!A:A,1,FALSE)),1,0)</f>
        <v>0</v>
      </c>
    </row>
    <row r="1145" spans="1:17" ht="14.25" x14ac:dyDescent="0.2">
      <c r="A1145" s="183">
        <v>472</v>
      </c>
      <c r="B1145" s="232" t="str">
        <f>IF(AND(A1145&lt;&gt;"",ISNUMBER(A1145)),VLOOKUP(A1145,Studies!A:BR,2,FALSE),"")</f>
        <v>Templeton 2008</v>
      </c>
      <c r="C1145" s="232" t="str">
        <f>IF(AND(A1145&lt;&gt;"",ISNUMBER(A1145)),VLOOKUP(A1145,Studies!A:BR,3,FALSE),"")</f>
        <v>https://www.ncbi.nlm.nih.gov/pubmed/17495874</v>
      </c>
      <c r="D1145" s="232" t="str">
        <f>IF(AND(A1145&lt;&gt;"",ISNUMBER(A1145)),VLOOKUP(A1145,Studies!A:BR,4,FALSE),"")</f>
        <v>ITZ day 1</v>
      </c>
      <c r="E1145" s="206" t="str">
        <f>IF(AND(A1145&lt;&gt;"",ISNUMBER(A1145)),VLOOKUP(A1145,Studies!A:BR,5,FALSE),"")</f>
        <v>Itraconazole</v>
      </c>
      <c r="F1145" s="207" t="str">
        <f>IF(AND(A1145&lt;&gt;"",ISNUMBER(A1145)),VLOOKUP(A1145,Studies!A:BR,6,FALSE),"")</f>
        <v>Plasma</v>
      </c>
      <c r="G1145" s="194">
        <v>4</v>
      </c>
      <c r="H1145" s="194" t="s">
        <v>60</v>
      </c>
      <c r="I1145" s="187">
        <v>98.368749022483826</v>
      </c>
      <c r="J1145" s="187" t="s">
        <v>1059</v>
      </c>
      <c r="K1145" s="187" t="s">
        <v>116</v>
      </c>
      <c r="L1145" s="195"/>
      <c r="M1145" s="195"/>
      <c r="N1145" s="195"/>
      <c r="O1145" s="199"/>
      <c r="P1145" s="188" t="s">
        <v>1122</v>
      </c>
      <c r="Q1145" s="174">
        <f>IF(ISNUMBER(VLOOKUP(A1145,NotghiID!A:A,1,FALSE)),1,0)</f>
        <v>0</v>
      </c>
    </row>
    <row r="1146" spans="1:17" ht="14.25" x14ac:dyDescent="0.2">
      <c r="A1146" s="183">
        <v>472</v>
      </c>
      <c r="B1146" s="232" t="str">
        <f>IF(AND(A1146&lt;&gt;"",ISNUMBER(A1146)),VLOOKUP(A1146,Studies!A:BR,2,FALSE),"")</f>
        <v>Templeton 2008</v>
      </c>
      <c r="C1146" s="232" t="str">
        <f>IF(AND(A1146&lt;&gt;"",ISNUMBER(A1146)),VLOOKUP(A1146,Studies!A:BR,3,FALSE),"")</f>
        <v>https://www.ncbi.nlm.nih.gov/pubmed/17495874</v>
      </c>
      <c r="D1146" s="232" t="str">
        <f>IF(AND(A1146&lt;&gt;"",ISNUMBER(A1146)),VLOOKUP(A1146,Studies!A:BR,4,FALSE),"")</f>
        <v>ITZ day 1</v>
      </c>
      <c r="E1146" s="206" t="str">
        <f>IF(AND(A1146&lt;&gt;"",ISNUMBER(A1146)),VLOOKUP(A1146,Studies!A:BR,5,FALSE),"")</f>
        <v>Itraconazole</v>
      </c>
      <c r="F1146" s="207" t="str">
        <f>IF(AND(A1146&lt;&gt;"",ISNUMBER(A1146)),VLOOKUP(A1146,Studies!A:BR,6,FALSE),"")</f>
        <v>Plasma</v>
      </c>
      <c r="G1146" s="194">
        <v>6</v>
      </c>
      <c r="H1146" s="194" t="s">
        <v>60</v>
      </c>
      <c r="I1146" s="187">
        <v>83.450429141521454</v>
      </c>
      <c r="J1146" s="187" t="s">
        <v>1059</v>
      </c>
      <c r="K1146" s="187" t="s">
        <v>116</v>
      </c>
      <c r="L1146" s="195"/>
      <c r="M1146" s="195"/>
      <c r="N1146" s="195"/>
      <c r="O1146" s="199"/>
      <c r="P1146" s="188" t="s">
        <v>1122</v>
      </c>
      <c r="Q1146" s="174">
        <f>IF(ISNUMBER(VLOOKUP(A1146,NotghiID!A:A,1,FALSE)),1,0)</f>
        <v>0</v>
      </c>
    </row>
    <row r="1147" spans="1:17" ht="14.25" x14ac:dyDescent="0.2">
      <c r="A1147" s="183">
        <v>472</v>
      </c>
      <c r="B1147" s="232" t="str">
        <f>IF(AND(A1147&lt;&gt;"",ISNUMBER(A1147)),VLOOKUP(A1147,Studies!A:BR,2,FALSE),"")</f>
        <v>Templeton 2008</v>
      </c>
      <c r="C1147" s="232" t="str">
        <f>IF(AND(A1147&lt;&gt;"",ISNUMBER(A1147)),VLOOKUP(A1147,Studies!A:BR,3,FALSE),"")</f>
        <v>https://www.ncbi.nlm.nih.gov/pubmed/17495874</v>
      </c>
      <c r="D1147" s="232" t="str">
        <f>IF(AND(A1147&lt;&gt;"",ISNUMBER(A1147)),VLOOKUP(A1147,Studies!A:BR,4,FALSE),"")</f>
        <v>ITZ day 1</v>
      </c>
      <c r="E1147" s="206" t="str">
        <f>IF(AND(A1147&lt;&gt;"",ISNUMBER(A1147)),VLOOKUP(A1147,Studies!A:BR,5,FALSE),"")</f>
        <v>Itraconazole</v>
      </c>
      <c r="F1147" s="207" t="str">
        <f>IF(AND(A1147&lt;&gt;"",ISNUMBER(A1147)),VLOOKUP(A1147,Studies!A:BR,6,FALSE),"")</f>
        <v>Plasma</v>
      </c>
      <c r="G1147" s="194">
        <v>8</v>
      </c>
      <c r="H1147" s="194" t="s">
        <v>60</v>
      </c>
      <c r="I1147" s="187">
        <v>76.862461864948273</v>
      </c>
      <c r="J1147" s="187" t="s">
        <v>1059</v>
      </c>
      <c r="K1147" s="187" t="s">
        <v>116</v>
      </c>
      <c r="L1147" s="195"/>
      <c r="M1147" s="195"/>
      <c r="N1147" s="195"/>
      <c r="O1147" s="199"/>
      <c r="P1147" s="188" t="s">
        <v>1122</v>
      </c>
      <c r="Q1147" s="174">
        <f>IF(ISNUMBER(VLOOKUP(A1147,NotghiID!A:A,1,FALSE)),1,0)</f>
        <v>0</v>
      </c>
    </row>
    <row r="1148" spans="1:17" ht="14.25" x14ac:dyDescent="0.2">
      <c r="A1148" s="183">
        <v>472</v>
      </c>
      <c r="B1148" s="232" t="str">
        <f>IF(AND(A1148&lt;&gt;"",ISNUMBER(A1148)),VLOOKUP(A1148,Studies!A:BR,2,FALSE),"")</f>
        <v>Templeton 2008</v>
      </c>
      <c r="C1148" s="232" t="str">
        <f>IF(AND(A1148&lt;&gt;"",ISNUMBER(A1148)),VLOOKUP(A1148,Studies!A:BR,3,FALSE),"")</f>
        <v>https://www.ncbi.nlm.nih.gov/pubmed/17495874</v>
      </c>
      <c r="D1148" s="232" t="str">
        <f>IF(AND(A1148&lt;&gt;"",ISNUMBER(A1148)),VLOOKUP(A1148,Studies!A:BR,4,FALSE),"")</f>
        <v>ITZ day 1</v>
      </c>
      <c r="E1148" s="206" t="str">
        <f>IF(AND(A1148&lt;&gt;"",ISNUMBER(A1148)),VLOOKUP(A1148,Studies!A:BR,5,FALSE),"")</f>
        <v>Itraconazole</v>
      </c>
      <c r="F1148" s="207" t="str">
        <f>IF(AND(A1148&lt;&gt;"",ISNUMBER(A1148)),VLOOKUP(A1148,Studies!A:BR,6,FALSE),"")</f>
        <v>Plasma</v>
      </c>
      <c r="G1148" s="194">
        <v>12</v>
      </c>
      <c r="H1148" s="194" t="s">
        <v>60</v>
      </c>
      <c r="I1148" s="187">
        <v>48.496931791305542</v>
      </c>
      <c r="J1148" s="187" t="s">
        <v>1059</v>
      </c>
      <c r="K1148" s="187" t="s">
        <v>116</v>
      </c>
      <c r="L1148" s="195"/>
      <c r="M1148" s="195"/>
      <c r="N1148" s="195"/>
      <c r="O1148" s="199"/>
      <c r="P1148" s="188" t="s">
        <v>1122</v>
      </c>
      <c r="Q1148" s="174">
        <f>IF(ISNUMBER(VLOOKUP(A1148,NotghiID!A:A,1,FALSE)),1,0)</f>
        <v>0</v>
      </c>
    </row>
    <row r="1149" spans="1:17" ht="14.25" x14ac:dyDescent="0.2">
      <c r="A1149" s="183">
        <v>472</v>
      </c>
      <c r="B1149" s="232" t="str">
        <f>IF(AND(A1149&lt;&gt;"",ISNUMBER(A1149)),VLOOKUP(A1149,Studies!A:BR,2,FALSE),"")</f>
        <v>Templeton 2008</v>
      </c>
      <c r="C1149" s="232" t="str">
        <f>IF(AND(A1149&lt;&gt;"",ISNUMBER(A1149)),VLOOKUP(A1149,Studies!A:BR,3,FALSE),"")</f>
        <v>https://www.ncbi.nlm.nih.gov/pubmed/17495874</v>
      </c>
      <c r="D1149" s="232" t="str">
        <f>IF(AND(A1149&lt;&gt;"",ISNUMBER(A1149)),VLOOKUP(A1149,Studies!A:BR,4,FALSE),"")</f>
        <v>ITZ day 1</v>
      </c>
      <c r="E1149" s="206" t="str">
        <f>IF(AND(A1149&lt;&gt;"",ISNUMBER(A1149)),VLOOKUP(A1149,Studies!A:BR,5,FALSE),"")</f>
        <v>Itraconazole</v>
      </c>
      <c r="F1149" s="207" t="str">
        <f>IF(AND(A1149&lt;&gt;"",ISNUMBER(A1149)),VLOOKUP(A1149,Studies!A:BR,6,FALSE),"")</f>
        <v>Plasma</v>
      </c>
      <c r="G1149" s="194">
        <v>24</v>
      </c>
      <c r="H1149" s="194" t="s">
        <v>60</v>
      </c>
      <c r="I1149" s="187">
        <v>34.902550280094147</v>
      </c>
      <c r="J1149" s="187" t="s">
        <v>1059</v>
      </c>
      <c r="K1149" s="187" t="s">
        <v>116</v>
      </c>
      <c r="L1149" s="195"/>
      <c r="M1149" s="195"/>
      <c r="N1149" s="195"/>
      <c r="O1149" s="199"/>
      <c r="P1149" s="188" t="s">
        <v>1122</v>
      </c>
      <c r="Q1149" s="174">
        <f>IF(ISNUMBER(VLOOKUP(A1149,NotghiID!A:A,1,FALSE)),1,0)</f>
        <v>0</v>
      </c>
    </row>
    <row r="1150" spans="1:17" ht="14.25" x14ac:dyDescent="0.2">
      <c r="A1150" s="183">
        <f>A1141+1</f>
        <v>473</v>
      </c>
      <c r="B1150" s="232" t="str">
        <f>IF(AND(A1150&lt;&gt;"",ISNUMBER(A1150)),VLOOKUP(A1150,Studies!A:BR,2,FALSE),"")</f>
        <v>Templeton 2008</v>
      </c>
      <c r="C1150" s="232" t="str">
        <f>IF(AND(A1150&lt;&gt;"",ISNUMBER(A1150)),VLOOKUP(A1150,Studies!A:BR,3,FALSE),"")</f>
        <v>https://www.ncbi.nlm.nih.gov/pubmed/17495874</v>
      </c>
      <c r="D1150" s="232" t="str">
        <f>IF(AND(A1150&lt;&gt;"",ISNUMBER(A1150)),VLOOKUP(A1150,Studies!A:BR,4,FALSE),"")</f>
        <v>ITZ day 7</v>
      </c>
      <c r="E1150" s="206" t="str">
        <f>IF(AND(A1150&lt;&gt;"",ISNUMBER(A1150)),VLOOKUP(A1150,Studies!A:BR,5,FALSE),"")</f>
        <v>Itraconazole</v>
      </c>
      <c r="F1150" s="207" t="str">
        <f>IF(AND(A1150&lt;&gt;"",ISNUMBER(A1150)),VLOOKUP(A1150,Studies!A:BR,6,FALSE),"")</f>
        <v>Plasma</v>
      </c>
      <c r="G1150" s="194">
        <v>144</v>
      </c>
      <c r="H1150" s="194" t="s">
        <v>60</v>
      </c>
      <c r="I1150" s="187">
        <v>196.27149403095245</v>
      </c>
      <c r="J1150" s="187" t="s">
        <v>1059</v>
      </c>
      <c r="K1150" s="187" t="s">
        <v>116</v>
      </c>
      <c r="L1150" s="195"/>
      <c r="M1150" s="195"/>
      <c r="N1150" s="195"/>
      <c r="O1150" s="199"/>
      <c r="P1150" s="188" t="s">
        <v>1122</v>
      </c>
      <c r="Q1150" s="174">
        <f>IF(ISNUMBER(VLOOKUP(A1150,NotghiID!A:A,1,FALSE)),1,0)</f>
        <v>0</v>
      </c>
    </row>
    <row r="1151" spans="1:17" ht="14.25" x14ac:dyDescent="0.2">
      <c r="A1151" s="183">
        <f t="shared" ref="A1151:A1158" si="0">A1142+1</f>
        <v>473</v>
      </c>
      <c r="B1151" s="232" t="str">
        <f>IF(AND(A1151&lt;&gt;"",ISNUMBER(A1151)),VLOOKUP(A1151,Studies!A:BR,2,FALSE),"")</f>
        <v>Templeton 2008</v>
      </c>
      <c r="C1151" s="232" t="str">
        <f>IF(AND(A1151&lt;&gt;"",ISNUMBER(A1151)),VLOOKUP(A1151,Studies!A:BR,3,FALSE),"")</f>
        <v>https://www.ncbi.nlm.nih.gov/pubmed/17495874</v>
      </c>
      <c r="D1151" s="232" t="str">
        <f>IF(AND(A1151&lt;&gt;"",ISNUMBER(A1151)),VLOOKUP(A1151,Studies!A:BR,4,FALSE),"")</f>
        <v>ITZ day 7</v>
      </c>
      <c r="E1151" s="206" t="str">
        <f>IF(AND(A1151&lt;&gt;"",ISNUMBER(A1151)),VLOOKUP(A1151,Studies!A:BR,5,FALSE),"")</f>
        <v>Itraconazole</v>
      </c>
      <c r="F1151" s="207" t="str">
        <f>IF(AND(A1151&lt;&gt;"",ISNUMBER(A1151)),VLOOKUP(A1151,Studies!A:BR,6,FALSE),"")</f>
        <v>Plasma</v>
      </c>
      <c r="G1151" s="194">
        <v>144.5</v>
      </c>
      <c r="H1151" s="194" t="s">
        <v>60</v>
      </c>
      <c r="I1151" s="187">
        <v>517.94737577438354</v>
      </c>
      <c r="J1151" s="187" t="s">
        <v>1059</v>
      </c>
      <c r="K1151" s="187" t="s">
        <v>116</v>
      </c>
      <c r="L1151" s="195"/>
      <c r="M1151" s="195"/>
      <c r="N1151" s="195"/>
      <c r="O1151" s="199"/>
      <c r="P1151" s="188" t="s">
        <v>1122</v>
      </c>
      <c r="Q1151" s="174">
        <f>IF(ISNUMBER(VLOOKUP(A1151,NotghiID!A:A,1,FALSE)),1,0)</f>
        <v>0</v>
      </c>
    </row>
    <row r="1152" spans="1:17" ht="14.25" x14ac:dyDescent="0.2">
      <c r="A1152" s="183">
        <f t="shared" si="0"/>
        <v>473</v>
      </c>
      <c r="B1152" s="232" t="str">
        <f>IF(AND(A1152&lt;&gt;"",ISNUMBER(A1152)),VLOOKUP(A1152,Studies!A:BR,2,FALSE),"")</f>
        <v>Templeton 2008</v>
      </c>
      <c r="C1152" s="232" t="str">
        <f>IF(AND(A1152&lt;&gt;"",ISNUMBER(A1152)),VLOOKUP(A1152,Studies!A:BR,3,FALSE),"")</f>
        <v>https://www.ncbi.nlm.nih.gov/pubmed/17495874</v>
      </c>
      <c r="D1152" s="232" t="str">
        <f>IF(AND(A1152&lt;&gt;"",ISNUMBER(A1152)),VLOOKUP(A1152,Studies!A:BR,4,FALSE),"")</f>
        <v>ITZ day 7</v>
      </c>
      <c r="E1152" s="206" t="str">
        <f>IF(AND(A1152&lt;&gt;"",ISNUMBER(A1152)),VLOOKUP(A1152,Studies!A:BR,5,FALSE),"")</f>
        <v>Itraconazole</v>
      </c>
      <c r="F1152" s="207" t="str">
        <f>IF(AND(A1152&lt;&gt;"",ISNUMBER(A1152)),VLOOKUP(A1152,Studies!A:BR,6,FALSE),"")</f>
        <v>Plasma</v>
      </c>
      <c r="G1152" s="194">
        <v>145</v>
      </c>
      <c r="H1152" s="194" t="s">
        <v>60</v>
      </c>
      <c r="I1152" s="187">
        <v>1140.625</v>
      </c>
      <c r="J1152" s="187" t="s">
        <v>1059</v>
      </c>
      <c r="K1152" s="187" t="s">
        <v>116</v>
      </c>
      <c r="L1152" s="195"/>
      <c r="M1152" s="195"/>
      <c r="N1152" s="195"/>
      <c r="O1152" s="199"/>
      <c r="P1152" s="188" t="s">
        <v>1122</v>
      </c>
      <c r="Q1152" s="174">
        <f>IF(ISNUMBER(VLOOKUP(A1152,NotghiID!A:A,1,FALSE)),1,0)</f>
        <v>0</v>
      </c>
    </row>
    <row r="1153" spans="1:17" ht="14.25" x14ac:dyDescent="0.2">
      <c r="A1153" s="183">
        <f t="shared" si="0"/>
        <v>473</v>
      </c>
      <c r="B1153" s="232" t="str">
        <f>IF(AND(A1153&lt;&gt;"",ISNUMBER(A1153)),VLOOKUP(A1153,Studies!A:BR,2,FALSE),"")</f>
        <v>Templeton 2008</v>
      </c>
      <c r="C1153" s="232" t="str">
        <f>IF(AND(A1153&lt;&gt;"",ISNUMBER(A1153)),VLOOKUP(A1153,Studies!A:BR,3,FALSE),"")</f>
        <v>https://www.ncbi.nlm.nih.gov/pubmed/17495874</v>
      </c>
      <c r="D1153" s="232" t="str">
        <f>IF(AND(A1153&lt;&gt;"",ISNUMBER(A1153)),VLOOKUP(A1153,Studies!A:BR,4,FALSE),"")</f>
        <v>ITZ day 7</v>
      </c>
      <c r="E1153" s="206" t="str">
        <f>IF(AND(A1153&lt;&gt;"",ISNUMBER(A1153)),VLOOKUP(A1153,Studies!A:BR,5,FALSE),"")</f>
        <v>Itraconazole</v>
      </c>
      <c r="F1153" s="207" t="str">
        <f>IF(AND(A1153&lt;&gt;"",ISNUMBER(A1153)),VLOOKUP(A1153,Studies!A:BR,6,FALSE),"")</f>
        <v>Plasma</v>
      </c>
      <c r="G1153" s="194">
        <v>146</v>
      </c>
      <c r="H1153" s="194" t="s">
        <v>60</v>
      </c>
      <c r="I1153" s="187">
        <v>807.50060081481934</v>
      </c>
      <c r="J1153" s="187" t="s">
        <v>1059</v>
      </c>
      <c r="K1153" s="187" t="s">
        <v>116</v>
      </c>
      <c r="L1153" s="195"/>
      <c r="M1153" s="195"/>
      <c r="N1153" s="195"/>
      <c r="O1153" s="199"/>
      <c r="P1153" s="188" t="s">
        <v>1122</v>
      </c>
      <c r="Q1153" s="174">
        <f>IF(ISNUMBER(VLOOKUP(A1153,NotghiID!A:A,1,FALSE)),1,0)</f>
        <v>0</v>
      </c>
    </row>
    <row r="1154" spans="1:17" ht="14.25" x14ac:dyDescent="0.2">
      <c r="A1154" s="183">
        <f t="shared" si="0"/>
        <v>473</v>
      </c>
      <c r="B1154" s="232" t="str">
        <f>IF(AND(A1154&lt;&gt;"",ISNUMBER(A1154)),VLOOKUP(A1154,Studies!A:BR,2,FALSE),"")</f>
        <v>Templeton 2008</v>
      </c>
      <c r="C1154" s="232" t="str">
        <f>IF(AND(A1154&lt;&gt;"",ISNUMBER(A1154)),VLOOKUP(A1154,Studies!A:BR,3,FALSE),"")</f>
        <v>https://www.ncbi.nlm.nih.gov/pubmed/17495874</v>
      </c>
      <c r="D1154" s="232" t="str">
        <f>IF(AND(A1154&lt;&gt;"",ISNUMBER(A1154)),VLOOKUP(A1154,Studies!A:BR,4,FALSE),"")</f>
        <v>ITZ day 7</v>
      </c>
      <c r="E1154" s="206" t="str">
        <f>IF(AND(A1154&lt;&gt;"",ISNUMBER(A1154)),VLOOKUP(A1154,Studies!A:BR,5,FALSE),"")</f>
        <v>Itraconazole</v>
      </c>
      <c r="F1154" s="207" t="str">
        <f>IF(AND(A1154&lt;&gt;"",ISNUMBER(A1154)),VLOOKUP(A1154,Studies!A:BR,6,FALSE),"")</f>
        <v>Plasma</v>
      </c>
      <c r="G1154" s="194">
        <v>147</v>
      </c>
      <c r="H1154" s="194" t="s">
        <v>60</v>
      </c>
      <c r="I1154" s="187">
        <v>620.66489458084106</v>
      </c>
      <c r="J1154" s="187" t="s">
        <v>1059</v>
      </c>
      <c r="K1154" s="187" t="s">
        <v>116</v>
      </c>
      <c r="L1154" s="195"/>
      <c r="M1154" s="195"/>
      <c r="N1154" s="195"/>
      <c r="O1154" s="199"/>
      <c r="P1154" s="188" t="s">
        <v>1122</v>
      </c>
      <c r="Q1154" s="174">
        <f>IF(ISNUMBER(VLOOKUP(A1154,NotghiID!A:A,1,FALSE)),1,0)</f>
        <v>0</v>
      </c>
    </row>
    <row r="1155" spans="1:17" ht="14.25" x14ac:dyDescent="0.2">
      <c r="A1155" s="183">
        <f t="shared" si="0"/>
        <v>473</v>
      </c>
      <c r="B1155" s="232" t="str">
        <f>IF(AND(A1155&lt;&gt;"",ISNUMBER(A1155)),VLOOKUP(A1155,Studies!A:BR,2,FALSE),"")</f>
        <v>Templeton 2008</v>
      </c>
      <c r="C1155" s="232" t="str">
        <f>IF(AND(A1155&lt;&gt;"",ISNUMBER(A1155)),VLOOKUP(A1155,Studies!A:BR,3,FALSE),"")</f>
        <v>https://www.ncbi.nlm.nih.gov/pubmed/17495874</v>
      </c>
      <c r="D1155" s="232" t="str">
        <f>IF(AND(A1155&lt;&gt;"",ISNUMBER(A1155)),VLOOKUP(A1155,Studies!A:BR,4,FALSE),"")</f>
        <v>ITZ day 7</v>
      </c>
      <c r="E1155" s="206" t="str">
        <f>IF(AND(A1155&lt;&gt;"",ISNUMBER(A1155)),VLOOKUP(A1155,Studies!A:BR,5,FALSE),"")</f>
        <v>Itraconazole</v>
      </c>
      <c r="F1155" s="207" t="str">
        <f>IF(AND(A1155&lt;&gt;"",ISNUMBER(A1155)),VLOOKUP(A1155,Studies!A:BR,6,FALSE),"")</f>
        <v>Plasma</v>
      </c>
      <c r="G1155" s="194">
        <v>148</v>
      </c>
      <c r="H1155" s="194" t="s">
        <v>60</v>
      </c>
      <c r="I1155" s="187">
        <v>385.22490859031677</v>
      </c>
      <c r="J1155" s="187" t="s">
        <v>1059</v>
      </c>
      <c r="K1155" s="187" t="s">
        <v>116</v>
      </c>
      <c r="L1155" s="195"/>
      <c r="M1155" s="195"/>
      <c r="N1155" s="195"/>
      <c r="O1155" s="199"/>
      <c r="P1155" s="188" t="s">
        <v>1122</v>
      </c>
      <c r="Q1155" s="174">
        <f>IF(ISNUMBER(VLOOKUP(A1155,NotghiID!A:A,1,FALSE)),1,0)</f>
        <v>0</v>
      </c>
    </row>
    <row r="1156" spans="1:17" ht="14.25" x14ac:dyDescent="0.2">
      <c r="A1156" s="183">
        <f t="shared" si="0"/>
        <v>473</v>
      </c>
      <c r="B1156" s="232" t="str">
        <f>IF(AND(A1156&lt;&gt;"",ISNUMBER(A1156)),VLOOKUP(A1156,Studies!A:BR,2,FALSE),"")</f>
        <v>Templeton 2008</v>
      </c>
      <c r="C1156" s="232" t="str">
        <f>IF(AND(A1156&lt;&gt;"",ISNUMBER(A1156)),VLOOKUP(A1156,Studies!A:BR,3,FALSE),"")</f>
        <v>https://www.ncbi.nlm.nih.gov/pubmed/17495874</v>
      </c>
      <c r="D1156" s="232" t="str">
        <f>IF(AND(A1156&lt;&gt;"",ISNUMBER(A1156)),VLOOKUP(A1156,Studies!A:BR,4,FALSE),"")</f>
        <v>ITZ day 7</v>
      </c>
      <c r="E1156" s="206" t="str">
        <f>IF(AND(A1156&lt;&gt;"",ISNUMBER(A1156)),VLOOKUP(A1156,Studies!A:BR,5,FALSE),"")</f>
        <v>Itraconazole</v>
      </c>
      <c r="F1156" s="207" t="str">
        <f>IF(AND(A1156&lt;&gt;"",ISNUMBER(A1156)),VLOOKUP(A1156,Studies!A:BR,6,FALSE),"")</f>
        <v>Plasma</v>
      </c>
      <c r="G1156" s="194">
        <v>150</v>
      </c>
      <c r="H1156" s="194" t="s">
        <v>60</v>
      </c>
      <c r="I1156" s="187">
        <v>354.81339693069458</v>
      </c>
      <c r="J1156" s="187" t="s">
        <v>1059</v>
      </c>
      <c r="K1156" s="187" t="s">
        <v>116</v>
      </c>
      <c r="L1156" s="195"/>
      <c r="M1156" s="195"/>
      <c r="N1156" s="195"/>
      <c r="O1156" s="199"/>
      <c r="P1156" s="188" t="s">
        <v>1122</v>
      </c>
      <c r="Q1156" s="174">
        <f>IF(ISNUMBER(VLOOKUP(A1156,NotghiID!A:A,1,FALSE)),1,0)</f>
        <v>0</v>
      </c>
    </row>
    <row r="1157" spans="1:17" ht="14.25" x14ac:dyDescent="0.2">
      <c r="A1157" s="183">
        <f t="shared" si="0"/>
        <v>473</v>
      </c>
      <c r="B1157" s="232" t="str">
        <f>IF(AND(A1157&lt;&gt;"",ISNUMBER(A1157)),VLOOKUP(A1157,Studies!A:BR,2,FALSE),"")</f>
        <v>Templeton 2008</v>
      </c>
      <c r="C1157" s="232" t="str">
        <f>IF(AND(A1157&lt;&gt;"",ISNUMBER(A1157)),VLOOKUP(A1157,Studies!A:BR,3,FALSE),"")</f>
        <v>https://www.ncbi.nlm.nih.gov/pubmed/17495874</v>
      </c>
      <c r="D1157" s="232" t="str">
        <f>IF(AND(A1157&lt;&gt;"",ISNUMBER(A1157)),VLOOKUP(A1157,Studies!A:BR,4,FALSE),"")</f>
        <v>ITZ day 7</v>
      </c>
      <c r="E1157" s="206" t="str">
        <f>IF(AND(A1157&lt;&gt;"",ISNUMBER(A1157)),VLOOKUP(A1157,Studies!A:BR,5,FALSE),"")</f>
        <v>Itraconazole</v>
      </c>
      <c r="F1157" s="207" t="str">
        <f>IF(AND(A1157&lt;&gt;"",ISNUMBER(A1157)),VLOOKUP(A1157,Studies!A:BR,6,FALSE),"")</f>
        <v>Plasma</v>
      </c>
      <c r="G1157" s="194">
        <v>152</v>
      </c>
      <c r="H1157" s="194" t="s">
        <v>60</v>
      </c>
      <c r="I1157" s="187">
        <v>263.89339566230774</v>
      </c>
      <c r="J1157" s="187" t="s">
        <v>1059</v>
      </c>
      <c r="K1157" s="187" t="s">
        <v>116</v>
      </c>
      <c r="L1157" s="195"/>
      <c r="M1157" s="195"/>
      <c r="N1157" s="195"/>
      <c r="O1157" s="199"/>
      <c r="P1157" s="188" t="s">
        <v>1122</v>
      </c>
      <c r="Q1157" s="174">
        <f>IF(ISNUMBER(VLOOKUP(A1157,NotghiID!A:A,1,FALSE)),1,0)</f>
        <v>0</v>
      </c>
    </row>
    <row r="1158" spans="1:17" ht="14.25" x14ac:dyDescent="0.2">
      <c r="A1158" s="183">
        <f t="shared" si="0"/>
        <v>473</v>
      </c>
      <c r="B1158" s="232" t="str">
        <f>IF(AND(A1158&lt;&gt;"",ISNUMBER(A1158)),VLOOKUP(A1158,Studies!A:BR,2,FALSE),"")</f>
        <v>Templeton 2008</v>
      </c>
      <c r="C1158" s="232" t="str">
        <f>IF(AND(A1158&lt;&gt;"",ISNUMBER(A1158)),VLOOKUP(A1158,Studies!A:BR,3,FALSE),"")</f>
        <v>https://www.ncbi.nlm.nih.gov/pubmed/17495874</v>
      </c>
      <c r="D1158" s="232" t="str">
        <f>IF(AND(A1158&lt;&gt;"",ISNUMBER(A1158)),VLOOKUP(A1158,Studies!A:BR,4,FALSE),"")</f>
        <v>ITZ day 7</v>
      </c>
      <c r="E1158" s="206" t="str">
        <f>IF(AND(A1158&lt;&gt;"",ISNUMBER(A1158)),VLOOKUP(A1158,Studies!A:BR,5,FALSE),"")</f>
        <v>Itraconazole</v>
      </c>
      <c r="F1158" s="207" t="str">
        <f>IF(AND(A1158&lt;&gt;"",ISNUMBER(A1158)),VLOOKUP(A1158,Studies!A:BR,6,FALSE),"")</f>
        <v>Plasma</v>
      </c>
      <c r="G1158" s="194">
        <v>156</v>
      </c>
      <c r="H1158" s="194" t="s">
        <v>60</v>
      </c>
      <c r="I1158" s="187">
        <v>223.87209534645081</v>
      </c>
      <c r="J1158" s="187" t="s">
        <v>1059</v>
      </c>
      <c r="K1158" s="187" t="s">
        <v>116</v>
      </c>
      <c r="L1158" s="195"/>
      <c r="M1158" s="195"/>
      <c r="N1158" s="195"/>
      <c r="O1158" s="199"/>
      <c r="P1158" s="188" t="s">
        <v>1122</v>
      </c>
      <c r="Q1158" s="174">
        <f>IF(ISNUMBER(VLOOKUP(A1158,NotghiID!A:A,1,FALSE)),1,0)</f>
        <v>0</v>
      </c>
    </row>
    <row r="1159" spans="1:17" ht="14.25" x14ac:dyDescent="0.2">
      <c r="A1159" s="183">
        <v>473</v>
      </c>
      <c r="B1159" s="232" t="str">
        <f>IF(AND(A1159&lt;&gt;"",ISNUMBER(A1159)),VLOOKUP(A1159,Studies!A:BR,2,FALSE),"")</f>
        <v>Templeton 2008</v>
      </c>
      <c r="C1159" s="232" t="str">
        <f>IF(AND(A1159&lt;&gt;"",ISNUMBER(A1159)),VLOOKUP(A1159,Studies!A:BR,3,FALSE),"")</f>
        <v>https://www.ncbi.nlm.nih.gov/pubmed/17495874</v>
      </c>
      <c r="D1159" s="232" t="str">
        <f>IF(AND(A1159&lt;&gt;"",ISNUMBER(A1159)),VLOOKUP(A1159,Studies!A:BR,4,FALSE),"")</f>
        <v>ITZ day 7</v>
      </c>
      <c r="E1159" s="206" t="str">
        <f>IF(AND(A1159&lt;&gt;"",ISNUMBER(A1159)),VLOOKUP(A1159,Studies!A:BR,5,FALSE),"")</f>
        <v>Itraconazole</v>
      </c>
      <c r="F1159" s="207" t="str">
        <f>IF(AND(A1159&lt;&gt;"",ISNUMBER(A1159)),VLOOKUP(A1159,Studies!A:BR,6,FALSE),"")</f>
        <v>Plasma</v>
      </c>
      <c r="G1159" s="194">
        <v>168</v>
      </c>
      <c r="H1159" s="194" t="s">
        <v>60</v>
      </c>
      <c r="I1159" s="187">
        <v>213.09410035610199</v>
      </c>
      <c r="J1159" s="187" t="s">
        <v>1059</v>
      </c>
      <c r="K1159" s="187" t="s">
        <v>116</v>
      </c>
      <c r="L1159" s="195"/>
      <c r="M1159" s="195"/>
      <c r="N1159" s="195"/>
      <c r="O1159" s="199"/>
      <c r="P1159" s="188" t="s">
        <v>1122</v>
      </c>
      <c r="Q1159" s="174">
        <f>IF(ISNUMBER(VLOOKUP(A1159,NotghiID!A:A,1,FALSE)),1,0)</f>
        <v>0</v>
      </c>
    </row>
    <row r="1160" spans="1:17" ht="14.25" x14ac:dyDescent="0.2">
      <c r="A1160" s="183">
        <f>A1141+2</f>
        <v>474</v>
      </c>
      <c r="B1160" s="232" t="str">
        <f>IF(AND(A1160&lt;&gt;"",ISNUMBER(A1160)),VLOOKUP(A1160,Studies!A:BR,2,FALSE),"")</f>
        <v>Templeton 2008</v>
      </c>
      <c r="C1160" s="232" t="str">
        <f>IF(AND(A1160&lt;&gt;"",ISNUMBER(A1160)),VLOOKUP(A1160,Studies!A:BR,3,FALSE),"")</f>
        <v>https://www.ncbi.nlm.nih.gov/pubmed/17495874</v>
      </c>
      <c r="D1160" s="232" t="str">
        <f>IF(AND(A1160&lt;&gt;"",ISNUMBER(A1160)),VLOOKUP(A1160,Studies!A:BR,4,FALSE),"")</f>
        <v>OH-ITZ day 1</v>
      </c>
      <c r="E1160" s="206" t="str">
        <f>IF(AND(A1160&lt;&gt;"",ISNUMBER(A1160)),VLOOKUP(A1160,Studies!A:BR,5,FALSE),"")</f>
        <v>Hydroxy-Itraconazole</v>
      </c>
      <c r="F1160" s="207" t="str">
        <f>IF(AND(A1160&lt;&gt;"",ISNUMBER(A1160)),VLOOKUP(A1160,Studies!A:BR,6,FALSE),"")</f>
        <v>Plasma</v>
      </c>
      <c r="G1160" s="194">
        <v>0.5</v>
      </c>
      <c r="H1160" s="194" t="s">
        <v>60</v>
      </c>
      <c r="I1160" s="187">
        <v>86.358629167079926</v>
      </c>
      <c r="J1160" s="187" t="s">
        <v>1059</v>
      </c>
      <c r="K1160" s="187" t="s">
        <v>116</v>
      </c>
      <c r="L1160" s="195"/>
      <c r="M1160" s="195"/>
      <c r="N1160" s="195"/>
      <c r="O1160" s="199"/>
      <c r="P1160" s="188" t="s">
        <v>1122</v>
      </c>
      <c r="Q1160" s="174">
        <f>IF(ISNUMBER(VLOOKUP(A1160,NotghiID!A:A,1,FALSE)),1,0)</f>
        <v>0</v>
      </c>
    </row>
    <row r="1161" spans="1:17" ht="14.25" x14ac:dyDescent="0.2">
      <c r="A1161" s="183">
        <f t="shared" ref="A1161:A1216" si="1">A1142+2</f>
        <v>474</v>
      </c>
      <c r="B1161" s="232" t="str">
        <f>IF(AND(A1161&lt;&gt;"",ISNUMBER(A1161)),VLOOKUP(A1161,Studies!A:BR,2,FALSE),"")</f>
        <v>Templeton 2008</v>
      </c>
      <c r="C1161" s="232" t="str">
        <f>IF(AND(A1161&lt;&gt;"",ISNUMBER(A1161)),VLOOKUP(A1161,Studies!A:BR,3,FALSE),"")</f>
        <v>https://www.ncbi.nlm.nih.gov/pubmed/17495874</v>
      </c>
      <c r="D1161" s="232" t="str">
        <f>IF(AND(A1161&lt;&gt;"",ISNUMBER(A1161)),VLOOKUP(A1161,Studies!A:BR,4,FALSE),"")</f>
        <v>OH-ITZ day 1</v>
      </c>
      <c r="E1161" s="206" t="str">
        <f>IF(AND(A1161&lt;&gt;"",ISNUMBER(A1161)),VLOOKUP(A1161,Studies!A:BR,5,FALSE),"")</f>
        <v>Hydroxy-Itraconazole</v>
      </c>
      <c r="F1161" s="207" t="str">
        <f>IF(AND(A1161&lt;&gt;"",ISNUMBER(A1161)),VLOOKUP(A1161,Studies!A:BR,6,FALSE),"")</f>
        <v>Plasma</v>
      </c>
      <c r="G1161" s="194">
        <v>1</v>
      </c>
      <c r="H1161" s="194" t="s">
        <v>60</v>
      </c>
      <c r="I1161" s="187">
        <v>255.64849376678467</v>
      </c>
      <c r="J1161" s="187" t="s">
        <v>1059</v>
      </c>
      <c r="K1161" s="187" t="s">
        <v>116</v>
      </c>
      <c r="L1161" s="195"/>
      <c r="M1161" s="195"/>
      <c r="N1161" s="195"/>
      <c r="O1161" s="199"/>
      <c r="P1161" s="188" t="s">
        <v>1122</v>
      </c>
      <c r="Q1161" s="174">
        <f>IF(ISNUMBER(VLOOKUP(A1161,NotghiID!A:A,1,FALSE)),1,0)</f>
        <v>0</v>
      </c>
    </row>
    <row r="1162" spans="1:17" ht="14.25" x14ac:dyDescent="0.2">
      <c r="A1162" s="183">
        <f t="shared" si="1"/>
        <v>474</v>
      </c>
      <c r="B1162" s="232" t="str">
        <f>IF(AND(A1162&lt;&gt;"",ISNUMBER(A1162)),VLOOKUP(A1162,Studies!A:BR,2,FALSE),"")</f>
        <v>Templeton 2008</v>
      </c>
      <c r="C1162" s="232" t="str">
        <f>IF(AND(A1162&lt;&gt;"",ISNUMBER(A1162)),VLOOKUP(A1162,Studies!A:BR,3,FALSE),"")</f>
        <v>https://www.ncbi.nlm.nih.gov/pubmed/17495874</v>
      </c>
      <c r="D1162" s="232" t="str">
        <f>IF(AND(A1162&lt;&gt;"",ISNUMBER(A1162)),VLOOKUP(A1162,Studies!A:BR,4,FALSE),"")</f>
        <v>OH-ITZ day 1</v>
      </c>
      <c r="E1162" s="206" t="str">
        <f>IF(AND(A1162&lt;&gt;"",ISNUMBER(A1162)),VLOOKUP(A1162,Studies!A:BR,5,FALSE),"")</f>
        <v>Hydroxy-Itraconazole</v>
      </c>
      <c r="F1162" s="207" t="str">
        <f>IF(AND(A1162&lt;&gt;"",ISNUMBER(A1162)),VLOOKUP(A1162,Studies!A:BR,6,FALSE),"")</f>
        <v>Plasma</v>
      </c>
      <c r="G1162" s="194">
        <v>2</v>
      </c>
      <c r="H1162" s="194" t="s">
        <v>60</v>
      </c>
      <c r="I1162" s="187">
        <v>313.91730904579163</v>
      </c>
      <c r="J1162" s="187" t="s">
        <v>1059</v>
      </c>
      <c r="K1162" s="187" t="s">
        <v>116</v>
      </c>
      <c r="L1162" s="195"/>
      <c r="M1162" s="195"/>
      <c r="N1162" s="195"/>
      <c r="O1162" s="199"/>
      <c r="P1162" s="188" t="s">
        <v>1122</v>
      </c>
      <c r="Q1162" s="174">
        <f>IF(ISNUMBER(VLOOKUP(A1162,NotghiID!A:A,1,FALSE)),1,0)</f>
        <v>0</v>
      </c>
    </row>
    <row r="1163" spans="1:17" ht="14.25" x14ac:dyDescent="0.2">
      <c r="A1163" s="183">
        <f t="shared" si="1"/>
        <v>474</v>
      </c>
      <c r="B1163" s="232" t="str">
        <f>IF(AND(A1163&lt;&gt;"",ISNUMBER(A1163)),VLOOKUP(A1163,Studies!A:BR,2,FALSE),"")</f>
        <v>Templeton 2008</v>
      </c>
      <c r="C1163" s="232" t="str">
        <f>IF(AND(A1163&lt;&gt;"",ISNUMBER(A1163)),VLOOKUP(A1163,Studies!A:BR,3,FALSE),"")</f>
        <v>https://www.ncbi.nlm.nih.gov/pubmed/17495874</v>
      </c>
      <c r="D1163" s="232" t="str">
        <f>IF(AND(A1163&lt;&gt;"",ISNUMBER(A1163)),VLOOKUP(A1163,Studies!A:BR,4,FALSE),"")</f>
        <v>OH-ITZ day 1</v>
      </c>
      <c r="E1163" s="206" t="str">
        <f>IF(AND(A1163&lt;&gt;"",ISNUMBER(A1163)),VLOOKUP(A1163,Studies!A:BR,5,FALSE),"")</f>
        <v>Hydroxy-Itraconazole</v>
      </c>
      <c r="F1163" s="207" t="str">
        <f>IF(AND(A1163&lt;&gt;"",ISNUMBER(A1163)),VLOOKUP(A1163,Studies!A:BR,6,FALSE),"")</f>
        <v>Plasma</v>
      </c>
      <c r="G1163" s="194">
        <v>3</v>
      </c>
      <c r="H1163" s="194" t="s">
        <v>60</v>
      </c>
      <c r="I1163" s="187">
        <v>255.64849376678467</v>
      </c>
      <c r="J1163" s="187" t="s">
        <v>1059</v>
      </c>
      <c r="K1163" s="187" t="s">
        <v>116</v>
      </c>
      <c r="L1163" s="195"/>
      <c r="M1163" s="195"/>
      <c r="N1163" s="195"/>
      <c r="O1163" s="199"/>
      <c r="P1163" s="188" t="s">
        <v>1122</v>
      </c>
      <c r="Q1163" s="174">
        <f>IF(ISNUMBER(VLOOKUP(A1163,NotghiID!A:A,1,FALSE)),1,0)</f>
        <v>0</v>
      </c>
    </row>
    <row r="1164" spans="1:17" ht="14.25" x14ac:dyDescent="0.2">
      <c r="A1164" s="183">
        <f t="shared" si="1"/>
        <v>474</v>
      </c>
      <c r="B1164" s="232" t="str">
        <f>IF(AND(A1164&lt;&gt;"",ISNUMBER(A1164)),VLOOKUP(A1164,Studies!A:BR,2,FALSE),"")</f>
        <v>Templeton 2008</v>
      </c>
      <c r="C1164" s="232" t="str">
        <f>IF(AND(A1164&lt;&gt;"",ISNUMBER(A1164)),VLOOKUP(A1164,Studies!A:BR,3,FALSE),"")</f>
        <v>https://www.ncbi.nlm.nih.gov/pubmed/17495874</v>
      </c>
      <c r="D1164" s="232" t="str">
        <f>IF(AND(A1164&lt;&gt;"",ISNUMBER(A1164)),VLOOKUP(A1164,Studies!A:BR,4,FALSE),"")</f>
        <v>OH-ITZ day 1</v>
      </c>
      <c r="E1164" s="206" t="str">
        <f>IF(AND(A1164&lt;&gt;"",ISNUMBER(A1164)),VLOOKUP(A1164,Studies!A:BR,5,FALSE),"")</f>
        <v>Hydroxy-Itraconazole</v>
      </c>
      <c r="F1164" s="207" t="str">
        <f>IF(AND(A1164&lt;&gt;"",ISNUMBER(A1164)),VLOOKUP(A1164,Studies!A:BR,6,FALSE),"")</f>
        <v>Plasma</v>
      </c>
      <c r="G1164" s="194">
        <v>4</v>
      </c>
      <c r="H1164" s="194" t="s">
        <v>60</v>
      </c>
      <c r="I1164" s="187">
        <v>208.19549262523651</v>
      </c>
      <c r="J1164" s="187" t="s">
        <v>1059</v>
      </c>
      <c r="K1164" s="187" t="s">
        <v>116</v>
      </c>
      <c r="L1164" s="195"/>
      <c r="M1164" s="195"/>
      <c r="N1164" s="195"/>
      <c r="O1164" s="199"/>
      <c r="P1164" s="188" t="s">
        <v>1122</v>
      </c>
      <c r="Q1164" s="174">
        <f>IF(ISNUMBER(VLOOKUP(A1164,NotghiID!A:A,1,FALSE)),1,0)</f>
        <v>0</v>
      </c>
    </row>
    <row r="1165" spans="1:17" ht="14.25" x14ac:dyDescent="0.2">
      <c r="A1165" s="183">
        <f t="shared" si="1"/>
        <v>474</v>
      </c>
      <c r="B1165" s="232" t="str">
        <f>IF(AND(A1165&lt;&gt;"",ISNUMBER(A1165)),VLOOKUP(A1165,Studies!A:BR,2,FALSE),"")</f>
        <v>Templeton 2008</v>
      </c>
      <c r="C1165" s="232" t="str">
        <f>IF(AND(A1165&lt;&gt;"",ISNUMBER(A1165)),VLOOKUP(A1165,Studies!A:BR,3,FALSE),"")</f>
        <v>https://www.ncbi.nlm.nih.gov/pubmed/17495874</v>
      </c>
      <c r="D1165" s="232" t="str">
        <f>IF(AND(A1165&lt;&gt;"",ISNUMBER(A1165)),VLOOKUP(A1165,Studies!A:BR,4,FALSE),"")</f>
        <v>OH-ITZ day 1</v>
      </c>
      <c r="E1165" s="206" t="str">
        <f>IF(AND(A1165&lt;&gt;"",ISNUMBER(A1165)),VLOOKUP(A1165,Studies!A:BR,5,FALSE),"")</f>
        <v>Hydroxy-Itraconazole</v>
      </c>
      <c r="F1165" s="207" t="str">
        <f>IF(AND(A1165&lt;&gt;"",ISNUMBER(A1165)),VLOOKUP(A1165,Studies!A:BR,6,FALSE),"")</f>
        <v>Plasma</v>
      </c>
      <c r="G1165" s="194">
        <v>6</v>
      </c>
      <c r="H1165" s="194" t="s">
        <v>60</v>
      </c>
      <c r="I1165" s="187">
        <v>196.33309543132782</v>
      </c>
      <c r="J1165" s="187" t="s">
        <v>1059</v>
      </c>
      <c r="K1165" s="187" t="s">
        <v>116</v>
      </c>
      <c r="L1165" s="195"/>
      <c r="M1165" s="195"/>
      <c r="N1165" s="195"/>
      <c r="O1165" s="199"/>
      <c r="P1165" s="188" t="s">
        <v>1122</v>
      </c>
      <c r="Q1165" s="174">
        <f>IF(ISNUMBER(VLOOKUP(A1165,NotghiID!A:A,1,FALSE)),1,0)</f>
        <v>0</v>
      </c>
    </row>
    <row r="1166" spans="1:17" ht="14.25" x14ac:dyDescent="0.2">
      <c r="A1166" s="183">
        <f t="shared" si="1"/>
        <v>474</v>
      </c>
      <c r="B1166" s="232" t="str">
        <f>IF(AND(A1166&lt;&gt;"",ISNUMBER(A1166)),VLOOKUP(A1166,Studies!A:BR,2,FALSE),"")</f>
        <v>Templeton 2008</v>
      </c>
      <c r="C1166" s="232" t="str">
        <f>IF(AND(A1166&lt;&gt;"",ISNUMBER(A1166)),VLOOKUP(A1166,Studies!A:BR,3,FALSE),"")</f>
        <v>https://www.ncbi.nlm.nih.gov/pubmed/17495874</v>
      </c>
      <c r="D1166" s="232" t="str">
        <f>IF(AND(A1166&lt;&gt;"",ISNUMBER(A1166)),VLOOKUP(A1166,Studies!A:BR,4,FALSE),"")</f>
        <v>OH-ITZ day 1</v>
      </c>
      <c r="E1166" s="206" t="str">
        <f>IF(AND(A1166&lt;&gt;"",ISNUMBER(A1166)),VLOOKUP(A1166,Studies!A:BR,5,FALSE),"")</f>
        <v>Hydroxy-Itraconazole</v>
      </c>
      <c r="F1166" s="207" t="str">
        <f>IF(AND(A1166&lt;&gt;"",ISNUMBER(A1166)),VLOOKUP(A1166,Studies!A:BR,6,FALSE),"")</f>
        <v>Plasma</v>
      </c>
      <c r="G1166" s="194">
        <v>8</v>
      </c>
      <c r="H1166" s="194" t="s">
        <v>60</v>
      </c>
      <c r="I1166" s="187">
        <v>170.63120007514954</v>
      </c>
      <c r="J1166" s="187" t="s">
        <v>1059</v>
      </c>
      <c r="K1166" s="187" t="s">
        <v>116</v>
      </c>
      <c r="L1166" s="195"/>
      <c r="M1166" s="195"/>
      <c r="N1166" s="195"/>
      <c r="O1166" s="199"/>
      <c r="P1166" s="188" t="s">
        <v>1122</v>
      </c>
      <c r="Q1166" s="174">
        <f>IF(ISNUMBER(VLOOKUP(A1166,NotghiID!A:A,1,FALSE)),1,0)</f>
        <v>0</v>
      </c>
    </row>
    <row r="1167" spans="1:17" ht="14.25" x14ac:dyDescent="0.2">
      <c r="A1167" s="183">
        <f t="shared" si="1"/>
        <v>474</v>
      </c>
      <c r="B1167" s="232" t="str">
        <f>IF(AND(A1167&lt;&gt;"",ISNUMBER(A1167)),VLOOKUP(A1167,Studies!A:BR,2,FALSE),"")</f>
        <v>Templeton 2008</v>
      </c>
      <c r="C1167" s="232" t="str">
        <f>IF(AND(A1167&lt;&gt;"",ISNUMBER(A1167)),VLOOKUP(A1167,Studies!A:BR,3,FALSE),"")</f>
        <v>https://www.ncbi.nlm.nih.gov/pubmed/17495874</v>
      </c>
      <c r="D1167" s="232" t="str">
        <f>IF(AND(A1167&lt;&gt;"",ISNUMBER(A1167)),VLOOKUP(A1167,Studies!A:BR,4,FALSE),"")</f>
        <v>OH-ITZ day 1</v>
      </c>
      <c r="E1167" s="206" t="str">
        <f>IF(AND(A1167&lt;&gt;"",ISNUMBER(A1167)),VLOOKUP(A1167,Studies!A:BR,5,FALSE),"")</f>
        <v>Hydroxy-Itraconazole</v>
      </c>
      <c r="F1167" s="207" t="str">
        <f>IF(AND(A1167&lt;&gt;"",ISNUMBER(A1167)),VLOOKUP(A1167,Studies!A:BR,6,FALSE),"")</f>
        <v>Plasma</v>
      </c>
      <c r="G1167" s="194">
        <v>12</v>
      </c>
      <c r="H1167" s="194" t="s">
        <v>60</v>
      </c>
      <c r="I1167" s="187">
        <v>119.24310028553009</v>
      </c>
      <c r="J1167" s="187" t="s">
        <v>1059</v>
      </c>
      <c r="K1167" s="187" t="s">
        <v>116</v>
      </c>
      <c r="L1167" s="195"/>
      <c r="M1167" s="195"/>
      <c r="N1167" s="195"/>
      <c r="O1167" s="199"/>
      <c r="P1167" s="188" t="s">
        <v>1122</v>
      </c>
      <c r="Q1167" s="174">
        <f>IF(ISNUMBER(VLOOKUP(A1167,NotghiID!A:A,1,FALSE)),1,0)</f>
        <v>0</v>
      </c>
    </row>
    <row r="1168" spans="1:17" ht="14.25" x14ac:dyDescent="0.2">
      <c r="A1168" s="183">
        <f t="shared" si="1"/>
        <v>474</v>
      </c>
      <c r="B1168" s="232" t="str">
        <f>IF(AND(A1168&lt;&gt;"",ISNUMBER(A1168)),VLOOKUP(A1168,Studies!A:BR,2,FALSE),"")</f>
        <v>Templeton 2008</v>
      </c>
      <c r="C1168" s="232" t="str">
        <f>IF(AND(A1168&lt;&gt;"",ISNUMBER(A1168)),VLOOKUP(A1168,Studies!A:BR,3,FALSE),"")</f>
        <v>https://www.ncbi.nlm.nih.gov/pubmed/17495874</v>
      </c>
      <c r="D1168" s="232" t="str">
        <f>IF(AND(A1168&lt;&gt;"",ISNUMBER(A1168)),VLOOKUP(A1168,Studies!A:BR,4,FALSE),"")</f>
        <v>OH-ITZ day 1</v>
      </c>
      <c r="E1168" s="206" t="str">
        <f>IF(AND(A1168&lt;&gt;"",ISNUMBER(A1168)),VLOOKUP(A1168,Studies!A:BR,5,FALSE),"")</f>
        <v>Hydroxy-Itraconazole</v>
      </c>
      <c r="F1168" s="207" t="str">
        <f>IF(AND(A1168&lt;&gt;"",ISNUMBER(A1168)),VLOOKUP(A1168,Studies!A:BR,6,FALSE),"")</f>
        <v>Plasma</v>
      </c>
      <c r="G1168" s="194">
        <v>24</v>
      </c>
      <c r="H1168" s="194" t="s">
        <v>60</v>
      </c>
      <c r="I1168" s="187">
        <v>55.618971586227417</v>
      </c>
      <c r="J1168" s="187" t="s">
        <v>1059</v>
      </c>
      <c r="K1168" s="187" t="s">
        <v>116</v>
      </c>
      <c r="L1168" s="195"/>
      <c r="M1168" s="195"/>
      <c r="N1168" s="195"/>
      <c r="O1168" s="199"/>
      <c r="P1168" s="188" t="s">
        <v>1122</v>
      </c>
      <c r="Q1168" s="174">
        <f>IF(ISNUMBER(VLOOKUP(A1168,NotghiID!A:A,1,FALSE)),1,0)</f>
        <v>0</v>
      </c>
    </row>
    <row r="1169" spans="1:17" ht="14.25" x14ac:dyDescent="0.2">
      <c r="A1169" s="183">
        <f t="shared" si="1"/>
        <v>475</v>
      </c>
      <c r="B1169" s="232" t="str">
        <f>IF(AND(A1169&lt;&gt;"",ISNUMBER(A1169)),VLOOKUP(A1169,Studies!A:BR,2,FALSE),"")</f>
        <v>Templeton 2008</v>
      </c>
      <c r="C1169" s="232" t="str">
        <f>IF(AND(A1169&lt;&gt;"",ISNUMBER(A1169)),VLOOKUP(A1169,Studies!A:BR,3,FALSE),"")</f>
        <v>https://www.ncbi.nlm.nih.gov/pubmed/17495874</v>
      </c>
      <c r="D1169" s="232" t="str">
        <f>IF(AND(A1169&lt;&gt;"",ISNUMBER(A1169)),VLOOKUP(A1169,Studies!A:BR,4,FALSE),"")</f>
        <v>OH-ITZ day 7</v>
      </c>
      <c r="E1169" s="206" t="str">
        <f>IF(AND(A1169&lt;&gt;"",ISNUMBER(A1169)),VLOOKUP(A1169,Studies!A:BR,5,FALSE),"")</f>
        <v>Hydroxy-Itraconazole</v>
      </c>
      <c r="F1169" s="207" t="str">
        <f>IF(AND(A1169&lt;&gt;"",ISNUMBER(A1169)),VLOOKUP(A1169,Studies!A:BR,6,FALSE),"")</f>
        <v>Plasma</v>
      </c>
      <c r="G1169" s="194">
        <v>144</v>
      </c>
      <c r="H1169" s="194" t="s">
        <v>60</v>
      </c>
      <c r="I1169" s="187">
        <v>337.80220150947571</v>
      </c>
      <c r="J1169" s="187" t="s">
        <v>1059</v>
      </c>
      <c r="K1169" s="187" t="s">
        <v>116</v>
      </c>
      <c r="L1169" s="195"/>
      <c r="M1169" s="195"/>
      <c r="N1169" s="195"/>
      <c r="O1169" s="199"/>
      <c r="P1169" s="188" t="s">
        <v>1122</v>
      </c>
      <c r="Q1169" s="174">
        <f>IF(ISNUMBER(VLOOKUP(A1169,NotghiID!A:A,1,FALSE)),1,0)</f>
        <v>0</v>
      </c>
    </row>
    <row r="1170" spans="1:17" ht="14.25" x14ac:dyDescent="0.2">
      <c r="A1170" s="183">
        <f t="shared" si="1"/>
        <v>475</v>
      </c>
      <c r="B1170" s="232" t="str">
        <f>IF(AND(A1170&lt;&gt;"",ISNUMBER(A1170)),VLOOKUP(A1170,Studies!A:BR,2,FALSE),"")</f>
        <v>Templeton 2008</v>
      </c>
      <c r="C1170" s="232" t="str">
        <f>IF(AND(A1170&lt;&gt;"",ISNUMBER(A1170)),VLOOKUP(A1170,Studies!A:BR,3,FALSE),"")</f>
        <v>https://www.ncbi.nlm.nih.gov/pubmed/17495874</v>
      </c>
      <c r="D1170" s="232" t="str">
        <f>IF(AND(A1170&lt;&gt;"",ISNUMBER(A1170)),VLOOKUP(A1170,Studies!A:BR,4,FALSE),"")</f>
        <v>OH-ITZ day 7</v>
      </c>
      <c r="E1170" s="206" t="str">
        <f>IF(AND(A1170&lt;&gt;"",ISNUMBER(A1170)),VLOOKUP(A1170,Studies!A:BR,5,FALSE),"")</f>
        <v>Hydroxy-Itraconazole</v>
      </c>
      <c r="F1170" s="207" t="str">
        <f>IF(AND(A1170&lt;&gt;"",ISNUMBER(A1170)),VLOOKUP(A1170,Studies!A:BR,6,FALSE),"")</f>
        <v>Plasma</v>
      </c>
      <c r="G1170" s="194">
        <v>144.5</v>
      </c>
      <c r="H1170" s="194" t="s">
        <v>60</v>
      </c>
      <c r="I1170" s="187">
        <v>385.46699285507202</v>
      </c>
      <c r="J1170" s="187" t="s">
        <v>1059</v>
      </c>
      <c r="K1170" s="187" t="s">
        <v>116</v>
      </c>
      <c r="L1170" s="195"/>
      <c r="M1170" s="195"/>
      <c r="N1170" s="195"/>
      <c r="O1170" s="199"/>
      <c r="P1170" s="188" t="s">
        <v>1122</v>
      </c>
      <c r="Q1170" s="174">
        <f>IF(ISNUMBER(VLOOKUP(A1170,NotghiID!A:A,1,FALSE)),1,0)</f>
        <v>0</v>
      </c>
    </row>
    <row r="1171" spans="1:17" ht="14.25" x14ac:dyDescent="0.2">
      <c r="A1171" s="183">
        <f t="shared" si="1"/>
        <v>475</v>
      </c>
      <c r="B1171" s="232" t="str">
        <f>IF(AND(A1171&lt;&gt;"",ISNUMBER(A1171)),VLOOKUP(A1171,Studies!A:BR,2,FALSE),"")</f>
        <v>Templeton 2008</v>
      </c>
      <c r="C1171" s="232" t="str">
        <f>IF(AND(A1171&lt;&gt;"",ISNUMBER(A1171)),VLOOKUP(A1171,Studies!A:BR,3,FALSE),"")</f>
        <v>https://www.ncbi.nlm.nih.gov/pubmed/17495874</v>
      </c>
      <c r="D1171" s="232" t="str">
        <f>IF(AND(A1171&lt;&gt;"",ISNUMBER(A1171)),VLOOKUP(A1171,Studies!A:BR,4,FALSE),"")</f>
        <v>OH-ITZ day 7</v>
      </c>
      <c r="E1171" s="206" t="str">
        <f>IF(AND(A1171&lt;&gt;"",ISNUMBER(A1171)),VLOOKUP(A1171,Studies!A:BR,5,FALSE),"")</f>
        <v>Hydroxy-Itraconazole</v>
      </c>
      <c r="F1171" s="207" t="str">
        <f>IF(AND(A1171&lt;&gt;"",ISNUMBER(A1171)),VLOOKUP(A1171,Studies!A:BR,6,FALSE),"")</f>
        <v>Plasma</v>
      </c>
      <c r="G1171" s="194">
        <v>145</v>
      </c>
      <c r="H1171" s="194" t="s">
        <v>60</v>
      </c>
      <c r="I1171" s="187">
        <v>556.18971586227417</v>
      </c>
      <c r="J1171" s="187" t="s">
        <v>1059</v>
      </c>
      <c r="K1171" s="187" t="s">
        <v>116</v>
      </c>
      <c r="L1171" s="195"/>
      <c r="M1171" s="195"/>
      <c r="N1171" s="195"/>
      <c r="O1171" s="199"/>
      <c r="P1171" s="188" t="s">
        <v>1122</v>
      </c>
      <c r="Q1171" s="174">
        <f>IF(ISNUMBER(VLOOKUP(A1171,NotghiID!A:A,1,FALSE)),1,0)</f>
        <v>0</v>
      </c>
    </row>
    <row r="1172" spans="1:17" ht="14.25" x14ac:dyDescent="0.2">
      <c r="A1172" s="183">
        <f t="shared" si="1"/>
        <v>475</v>
      </c>
      <c r="B1172" s="232" t="str">
        <f>IF(AND(A1172&lt;&gt;"",ISNUMBER(A1172)),VLOOKUP(A1172,Studies!A:BR,2,FALSE),"")</f>
        <v>Templeton 2008</v>
      </c>
      <c r="C1172" s="232" t="str">
        <f>IF(AND(A1172&lt;&gt;"",ISNUMBER(A1172)),VLOOKUP(A1172,Studies!A:BR,3,FALSE),"")</f>
        <v>https://www.ncbi.nlm.nih.gov/pubmed/17495874</v>
      </c>
      <c r="D1172" s="232" t="str">
        <f>IF(AND(A1172&lt;&gt;"",ISNUMBER(A1172)),VLOOKUP(A1172,Studies!A:BR,4,FALSE),"")</f>
        <v>OH-ITZ day 7</v>
      </c>
      <c r="E1172" s="206" t="str">
        <f>IF(AND(A1172&lt;&gt;"",ISNUMBER(A1172)),VLOOKUP(A1172,Studies!A:BR,5,FALSE),"")</f>
        <v>Hydroxy-Itraconazole</v>
      </c>
      <c r="F1172" s="207" t="str">
        <f>IF(AND(A1172&lt;&gt;"",ISNUMBER(A1172)),VLOOKUP(A1172,Studies!A:BR,6,FALSE),"")</f>
        <v>Plasma</v>
      </c>
      <c r="G1172" s="194">
        <v>146</v>
      </c>
      <c r="H1172" s="194" t="s">
        <v>60</v>
      </c>
      <c r="I1172" s="187">
        <v>598.50811958312988</v>
      </c>
      <c r="J1172" s="187" t="s">
        <v>1059</v>
      </c>
      <c r="K1172" s="187" t="s">
        <v>116</v>
      </c>
      <c r="L1172" s="195"/>
      <c r="M1172" s="195"/>
      <c r="N1172" s="195"/>
      <c r="O1172" s="199"/>
      <c r="P1172" s="188" t="s">
        <v>1122</v>
      </c>
      <c r="Q1172" s="174">
        <f>IF(ISNUMBER(VLOOKUP(A1172,NotghiID!A:A,1,FALSE)),1,0)</f>
        <v>0</v>
      </c>
    </row>
    <row r="1173" spans="1:17" ht="14.25" x14ac:dyDescent="0.2">
      <c r="A1173" s="183">
        <f t="shared" si="1"/>
        <v>475</v>
      </c>
      <c r="B1173" s="232" t="str">
        <f>IF(AND(A1173&lt;&gt;"",ISNUMBER(A1173)),VLOOKUP(A1173,Studies!A:BR,2,FALSE),"")</f>
        <v>Templeton 2008</v>
      </c>
      <c r="C1173" s="232" t="str">
        <f>IF(AND(A1173&lt;&gt;"",ISNUMBER(A1173)),VLOOKUP(A1173,Studies!A:BR,3,FALSE),"")</f>
        <v>https://www.ncbi.nlm.nih.gov/pubmed/17495874</v>
      </c>
      <c r="D1173" s="232" t="str">
        <f>IF(AND(A1173&lt;&gt;"",ISNUMBER(A1173)),VLOOKUP(A1173,Studies!A:BR,4,FALSE),"")</f>
        <v>OH-ITZ day 7</v>
      </c>
      <c r="E1173" s="206" t="str">
        <f>IF(AND(A1173&lt;&gt;"",ISNUMBER(A1173)),VLOOKUP(A1173,Studies!A:BR,5,FALSE),"")</f>
        <v>Hydroxy-Itraconazole</v>
      </c>
      <c r="F1173" s="207" t="str">
        <f>IF(AND(A1173&lt;&gt;"",ISNUMBER(A1173)),VLOOKUP(A1173,Studies!A:BR,6,FALSE),"")</f>
        <v>Plasma</v>
      </c>
      <c r="G1173" s="194">
        <v>147</v>
      </c>
      <c r="H1173" s="194" t="s">
        <v>60</v>
      </c>
      <c r="I1173" s="187">
        <v>581.2075138092041</v>
      </c>
      <c r="J1173" s="187" t="s">
        <v>1059</v>
      </c>
      <c r="K1173" s="187" t="s">
        <v>116</v>
      </c>
      <c r="L1173" s="195"/>
      <c r="M1173" s="195"/>
      <c r="N1173" s="195"/>
      <c r="O1173" s="199"/>
      <c r="P1173" s="188" t="s">
        <v>1122</v>
      </c>
      <c r="Q1173" s="174">
        <f>IF(ISNUMBER(VLOOKUP(A1173,NotghiID!A:A,1,FALSE)),1,0)</f>
        <v>0</v>
      </c>
    </row>
    <row r="1174" spans="1:17" ht="14.25" x14ac:dyDescent="0.2">
      <c r="A1174" s="183">
        <f t="shared" si="1"/>
        <v>475</v>
      </c>
      <c r="B1174" s="232" t="str">
        <f>IF(AND(A1174&lt;&gt;"",ISNUMBER(A1174)),VLOOKUP(A1174,Studies!A:BR,2,FALSE),"")</f>
        <v>Templeton 2008</v>
      </c>
      <c r="C1174" s="232" t="str">
        <f>IF(AND(A1174&lt;&gt;"",ISNUMBER(A1174)),VLOOKUP(A1174,Studies!A:BR,3,FALSE),"")</f>
        <v>https://www.ncbi.nlm.nih.gov/pubmed/17495874</v>
      </c>
      <c r="D1174" s="232" t="str">
        <f>IF(AND(A1174&lt;&gt;"",ISNUMBER(A1174)),VLOOKUP(A1174,Studies!A:BR,4,FALSE),"")</f>
        <v>OH-ITZ day 7</v>
      </c>
      <c r="E1174" s="206" t="str">
        <f>IF(AND(A1174&lt;&gt;"",ISNUMBER(A1174)),VLOOKUP(A1174,Studies!A:BR,5,FALSE),"")</f>
        <v>Hydroxy-Itraconazole</v>
      </c>
      <c r="F1174" s="207" t="str">
        <f>IF(AND(A1174&lt;&gt;"",ISNUMBER(A1174)),VLOOKUP(A1174,Studies!A:BR,6,FALSE),"")</f>
        <v>Plasma</v>
      </c>
      <c r="G1174" s="194">
        <v>148</v>
      </c>
      <c r="H1174" s="194" t="s">
        <v>60</v>
      </c>
      <c r="I1174" s="187">
        <v>466.43361449241638</v>
      </c>
      <c r="J1174" s="187" t="s">
        <v>1059</v>
      </c>
      <c r="K1174" s="187" t="s">
        <v>116</v>
      </c>
      <c r="L1174" s="195"/>
      <c r="M1174" s="195"/>
      <c r="N1174" s="195"/>
      <c r="O1174" s="199"/>
      <c r="P1174" s="188" t="s">
        <v>1122</v>
      </c>
      <c r="Q1174" s="174">
        <f>IF(ISNUMBER(VLOOKUP(A1174,NotghiID!A:A,1,FALSE)),1,0)</f>
        <v>0</v>
      </c>
    </row>
    <row r="1175" spans="1:17" ht="14.25" x14ac:dyDescent="0.2">
      <c r="A1175" s="183">
        <f t="shared" si="1"/>
        <v>475</v>
      </c>
      <c r="B1175" s="232" t="str">
        <f>IF(AND(A1175&lt;&gt;"",ISNUMBER(A1175)),VLOOKUP(A1175,Studies!A:BR,2,FALSE),"")</f>
        <v>Templeton 2008</v>
      </c>
      <c r="C1175" s="232" t="str">
        <f>IF(AND(A1175&lt;&gt;"",ISNUMBER(A1175)),VLOOKUP(A1175,Studies!A:BR,3,FALSE),"")</f>
        <v>https://www.ncbi.nlm.nih.gov/pubmed/17495874</v>
      </c>
      <c r="D1175" s="232" t="str">
        <f>IF(AND(A1175&lt;&gt;"",ISNUMBER(A1175)),VLOOKUP(A1175,Studies!A:BR,4,FALSE),"")</f>
        <v>OH-ITZ day 7</v>
      </c>
      <c r="E1175" s="206" t="str">
        <f>IF(AND(A1175&lt;&gt;"",ISNUMBER(A1175)),VLOOKUP(A1175,Studies!A:BR,5,FALSE),"")</f>
        <v>Hydroxy-Itraconazole</v>
      </c>
      <c r="F1175" s="207" t="str">
        <f>IF(AND(A1175&lt;&gt;"",ISNUMBER(A1175)),VLOOKUP(A1175,Studies!A:BR,6,FALSE),"")</f>
        <v>Plasma</v>
      </c>
      <c r="G1175" s="194">
        <v>150</v>
      </c>
      <c r="H1175" s="194" t="s">
        <v>60</v>
      </c>
      <c r="I1175" s="187">
        <v>548.09200763702393</v>
      </c>
      <c r="J1175" s="187" t="s">
        <v>1059</v>
      </c>
      <c r="K1175" s="187" t="s">
        <v>116</v>
      </c>
      <c r="L1175" s="195"/>
      <c r="M1175" s="195"/>
      <c r="N1175" s="195"/>
      <c r="O1175" s="199"/>
      <c r="P1175" s="188" t="s">
        <v>1122</v>
      </c>
      <c r="Q1175" s="174">
        <f>IF(ISNUMBER(VLOOKUP(A1175,NotghiID!A:A,1,FALSE)),1,0)</f>
        <v>0</v>
      </c>
    </row>
    <row r="1176" spans="1:17" ht="14.25" x14ac:dyDescent="0.2">
      <c r="A1176" s="183">
        <f t="shared" si="1"/>
        <v>475</v>
      </c>
      <c r="B1176" s="232" t="str">
        <f>IF(AND(A1176&lt;&gt;"",ISNUMBER(A1176)),VLOOKUP(A1176,Studies!A:BR,2,FALSE),"")</f>
        <v>Templeton 2008</v>
      </c>
      <c r="C1176" s="232" t="str">
        <f>IF(AND(A1176&lt;&gt;"",ISNUMBER(A1176)),VLOOKUP(A1176,Studies!A:BR,3,FALSE),"")</f>
        <v>https://www.ncbi.nlm.nih.gov/pubmed/17495874</v>
      </c>
      <c r="D1176" s="232" t="str">
        <f>IF(AND(A1176&lt;&gt;"",ISNUMBER(A1176)),VLOOKUP(A1176,Studies!A:BR,4,FALSE),"")</f>
        <v>OH-ITZ day 7</v>
      </c>
      <c r="E1176" s="206" t="str">
        <f>IF(AND(A1176&lt;&gt;"",ISNUMBER(A1176)),VLOOKUP(A1176,Studies!A:BR,5,FALSE),"")</f>
        <v>Hydroxy-Itraconazole</v>
      </c>
      <c r="F1176" s="207" t="str">
        <f>IF(AND(A1176&lt;&gt;"",ISNUMBER(A1176)),VLOOKUP(A1176,Studies!A:BR,6,FALSE),"")</f>
        <v>Plasma</v>
      </c>
      <c r="G1176" s="194">
        <v>152</v>
      </c>
      <c r="H1176" s="194" t="s">
        <v>60</v>
      </c>
      <c r="I1176" s="187">
        <v>427.14288830757141</v>
      </c>
      <c r="J1176" s="187" t="s">
        <v>1059</v>
      </c>
      <c r="K1176" s="187" t="s">
        <v>116</v>
      </c>
      <c r="L1176" s="195"/>
      <c r="M1176" s="195"/>
      <c r="N1176" s="195"/>
      <c r="O1176" s="199"/>
      <c r="P1176" s="188" t="s">
        <v>1122</v>
      </c>
      <c r="Q1176" s="174">
        <f>IF(ISNUMBER(VLOOKUP(A1176,NotghiID!A:A,1,FALSE)),1,0)</f>
        <v>0</v>
      </c>
    </row>
    <row r="1177" spans="1:17" ht="14.25" x14ac:dyDescent="0.2">
      <c r="A1177" s="183">
        <f t="shared" si="1"/>
        <v>475</v>
      </c>
      <c r="B1177" s="232" t="str">
        <f>IF(AND(A1177&lt;&gt;"",ISNUMBER(A1177)),VLOOKUP(A1177,Studies!A:BR,2,FALSE),"")</f>
        <v>Templeton 2008</v>
      </c>
      <c r="C1177" s="232" t="str">
        <f>IF(AND(A1177&lt;&gt;"",ISNUMBER(A1177)),VLOOKUP(A1177,Studies!A:BR,3,FALSE),"")</f>
        <v>https://www.ncbi.nlm.nih.gov/pubmed/17495874</v>
      </c>
      <c r="D1177" s="232" t="str">
        <f>IF(AND(A1177&lt;&gt;"",ISNUMBER(A1177)),VLOOKUP(A1177,Studies!A:BR,4,FALSE),"")</f>
        <v>OH-ITZ day 7</v>
      </c>
      <c r="E1177" s="206" t="str">
        <f>IF(AND(A1177&lt;&gt;"",ISNUMBER(A1177)),VLOOKUP(A1177,Studies!A:BR,5,FALSE),"")</f>
        <v>Hydroxy-Itraconazole</v>
      </c>
      <c r="F1177" s="207" t="str">
        <f>IF(AND(A1177&lt;&gt;"",ISNUMBER(A1177)),VLOOKUP(A1177,Studies!A:BR,6,FALSE),"")</f>
        <v>Plasma</v>
      </c>
      <c r="G1177" s="194">
        <v>156</v>
      </c>
      <c r="H1177" s="194" t="s">
        <v>60</v>
      </c>
      <c r="I1177" s="187">
        <v>459.64270830154419</v>
      </c>
      <c r="J1177" s="187" t="s">
        <v>1059</v>
      </c>
      <c r="K1177" s="187" t="s">
        <v>116</v>
      </c>
      <c r="L1177" s="195"/>
      <c r="M1177" s="195"/>
      <c r="N1177" s="195"/>
      <c r="O1177" s="199"/>
      <c r="P1177" s="188" t="s">
        <v>1122</v>
      </c>
      <c r="Q1177" s="174">
        <f>IF(ISNUMBER(VLOOKUP(A1177,NotghiID!A:A,1,FALSE)),1,0)</f>
        <v>0</v>
      </c>
    </row>
    <row r="1178" spans="1:17" ht="14.25" x14ac:dyDescent="0.2">
      <c r="A1178" s="183">
        <f t="shared" si="1"/>
        <v>475</v>
      </c>
      <c r="B1178" s="232" t="str">
        <f>IF(AND(A1178&lt;&gt;"",ISNUMBER(A1178)),VLOOKUP(A1178,Studies!A:BR,2,FALSE),"")</f>
        <v>Templeton 2008</v>
      </c>
      <c r="C1178" s="232" t="str">
        <f>IF(AND(A1178&lt;&gt;"",ISNUMBER(A1178)),VLOOKUP(A1178,Studies!A:BR,3,FALSE),"")</f>
        <v>https://www.ncbi.nlm.nih.gov/pubmed/17495874</v>
      </c>
      <c r="D1178" s="232" t="str">
        <f>IF(AND(A1178&lt;&gt;"",ISNUMBER(A1178)),VLOOKUP(A1178,Studies!A:BR,4,FALSE),"")</f>
        <v>OH-ITZ day 7</v>
      </c>
      <c r="E1178" s="206" t="str">
        <f>IF(AND(A1178&lt;&gt;"",ISNUMBER(A1178)),VLOOKUP(A1178,Studies!A:BR,5,FALSE),"")</f>
        <v>Hydroxy-Itraconazole</v>
      </c>
      <c r="F1178" s="207" t="str">
        <f>IF(AND(A1178&lt;&gt;"",ISNUMBER(A1178)),VLOOKUP(A1178,Studies!A:BR,6,FALSE),"")</f>
        <v>Plasma</v>
      </c>
      <c r="G1178" s="194">
        <v>168</v>
      </c>
      <c r="H1178" s="194" t="s">
        <v>60</v>
      </c>
      <c r="I1178" s="187">
        <v>352.99670696258545</v>
      </c>
      <c r="J1178" s="187" t="s">
        <v>1059</v>
      </c>
      <c r="K1178" s="187" t="s">
        <v>116</v>
      </c>
      <c r="L1178" s="195"/>
      <c r="M1178" s="195"/>
      <c r="N1178" s="195"/>
      <c r="O1178" s="199"/>
      <c r="P1178" s="188" t="s">
        <v>1122</v>
      </c>
      <c r="Q1178" s="174">
        <f>IF(ISNUMBER(VLOOKUP(A1178,NotghiID!A:A,1,FALSE)),1,0)</f>
        <v>0</v>
      </c>
    </row>
    <row r="1179" spans="1:17" ht="14.25" x14ac:dyDescent="0.2">
      <c r="A1179" s="183">
        <f t="shared" si="1"/>
        <v>476</v>
      </c>
      <c r="B1179" s="232" t="str">
        <f>IF(AND(A1179&lt;&gt;"",ISNUMBER(A1179)),VLOOKUP(A1179,Studies!A:BR,2,FALSE),"")</f>
        <v>Templeton 2008</v>
      </c>
      <c r="C1179" s="232" t="str">
        <f>IF(AND(A1179&lt;&gt;"",ISNUMBER(A1179)),VLOOKUP(A1179,Studies!A:BR,3,FALSE),"")</f>
        <v>https://www.ncbi.nlm.nih.gov/pubmed/17495874</v>
      </c>
      <c r="D1179" s="232" t="str">
        <f>IF(AND(A1179&lt;&gt;"",ISNUMBER(A1179)),VLOOKUP(A1179,Studies!A:BR,4,FALSE),"")</f>
        <v>keto-ITZ day 1</v>
      </c>
      <c r="E1179" s="206" t="str">
        <f>IF(AND(A1179&lt;&gt;"",ISNUMBER(A1179)),VLOOKUP(A1179,Studies!A:BR,5,FALSE),"")</f>
        <v>Keto-Itraconazole</v>
      </c>
      <c r="F1179" s="207" t="str">
        <f>IF(AND(A1179&lt;&gt;"",ISNUMBER(A1179)),VLOOKUP(A1179,Studies!A:BR,6,FALSE),"")</f>
        <v>Plasma</v>
      </c>
      <c r="G1179" s="194">
        <v>0.5</v>
      </c>
      <c r="H1179" s="194" t="s">
        <v>60</v>
      </c>
      <c r="I1179" s="187">
        <v>13.475554063916206</v>
      </c>
      <c r="J1179" s="187" t="s">
        <v>1059</v>
      </c>
      <c r="K1179" s="187" t="s">
        <v>116</v>
      </c>
      <c r="L1179" s="195"/>
      <c r="M1179" s="195"/>
      <c r="N1179" s="195"/>
      <c r="O1179" s="199"/>
      <c r="P1179" s="188" t="s">
        <v>1122</v>
      </c>
      <c r="Q1179" s="174">
        <f>IF(ISNUMBER(VLOOKUP(A1179,NotghiID!A:A,1,FALSE)),1,0)</f>
        <v>0</v>
      </c>
    </row>
    <row r="1180" spans="1:17" ht="14.25" x14ac:dyDescent="0.2">
      <c r="A1180" s="183">
        <f t="shared" si="1"/>
        <v>476</v>
      </c>
      <c r="B1180" s="232" t="str">
        <f>IF(AND(A1180&lt;&gt;"",ISNUMBER(A1180)),VLOOKUP(A1180,Studies!A:BR,2,FALSE),"")</f>
        <v>Templeton 2008</v>
      </c>
      <c r="C1180" s="232" t="str">
        <f>IF(AND(A1180&lt;&gt;"",ISNUMBER(A1180)),VLOOKUP(A1180,Studies!A:BR,3,FALSE),"")</f>
        <v>https://www.ncbi.nlm.nih.gov/pubmed/17495874</v>
      </c>
      <c r="D1180" s="232" t="str">
        <f>IF(AND(A1180&lt;&gt;"",ISNUMBER(A1180)),VLOOKUP(A1180,Studies!A:BR,4,FALSE),"")</f>
        <v>keto-ITZ day 1</v>
      </c>
      <c r="E1180" s="206" t="str">
        <f>IF(AND(A1180&lt;&gt;"",ISNUMBER(A1180)),VLOOKUP(A1180,Studies!A:BR,5,FALSE),"")</f>
        <v>Keto-Itraconazole</v>
      </c>
      <c r="F1180" s="207" t="str">
        <f>IF(AND(A1180&lt;&gt;"",ISNUMBER(A1180)),VLOOKUP(A1180,Studies!A:BR,6,FALSE),"")</f>
        <v>Plasma</v>
      </c>
      <c r="G1180" s="194">
        <v>1</v>
      </c>
      <c r="H1180" s="194" t="s">
        <v>60</v>
      </c>
      <c r="I1180" s="187">
        <v>32.466910779476166</v>
      </c>
      <c r="J1180" s="187" t="s">
        <v>1059</v>
      </c>
      <c r="K1180" s="187" t="s">
        <v>116</v>
      </c>
      <c r="L1180" s="195"/>
      <c r="M1180" s="195"/>
      <c r="N1180" s="195"/>
      <c r="O1180" s="199"/>
      <c r="P1180" s="188" t="s">
        <v>1122</v>
      </c>
      <c r="Q1180" s="174">
        <f>IF(ISNUMBER(VLOOKUP(A1180,NotghiID!A:A,1,FALSE)),1,0)</f>
        <v>0</v>
      </c>
    </row>
    <row r="1181" spans="1:17" ht="14.25" x14ac:dyDescent="0.2">
      <c r="A1181" s="183">
        <f t="shared" si="1"/>
        <v>476</v>
      </c>
      <c r="B1181" s="232" t="str">
        <f>IF(AND(A1181&lt;&gt;"",ISNUMBER(A1181)),VLOOKUP(A1181,Studies!A:BR,2,FALSE),"")</f>
        <v>Templeton 2008</v>
      </c>
      <c r="C1181" s="232" t="str">
        <f>IF(AND(A1181&lt;&gt;"",ISNUMBER(A1181)),VLOOKUP(A1181,Studies!A:BR,3,FALSE),"")</f>
        <v>https://www.ncbi.nlm.nih.gov/pubmed/17495874</v>
      </c>
      <c r="D1181" s="232" t="str">
        <f>IF(AND(A1181&lt;&gt;"",ISNUMBER(A1181)),VLOOKUP(A1181,Studies!A:BR,4,FALSE),"")</f>
        <v>keto-ITZ day 1</v>
      </c>
      <c r="E1181" s="206" t="str">
        <f>IF(AND(A1181&lt;&gt;"",ISNUMBER(A1181)),VLOOKUP(A1181,Studies!A:BR,5,FALSE),"")</f>
        <v>Keto-Itraconazole</v>
      </c>
      <c r="F1181" s="207" t="str">
        <f>IF(AND(A1181&lt;&gt;"",ISNUMBER(A1181)),VLOOKUP(A1181,Studies!A:BR,6,FALSE),"")</f>
        <v>Plasma</v>
      </c>
      <c r="G1181" s="194">
        <v>2</v>
      </c>
      <c r="H1181" s="194" t="s">
        <v>60</v>
      </c>
      <c r="I1181" s="187">
        <v>31.279444694519043</v>
      </c>
      <c r="J1181" s="187" t="s">
        <v>1059</v>
      </c>
      <c r="K1181" s="187" t="s">
        <v>116</v>
      </c>
      <c r="L1181" s="195"/>
      <c r="M1181" s="195"/>
      <c r="N1181" s="195"/>
      <c r="O1181" s="199"/>
      <c r="P1181" s="188" t="s">
        <v>1122</v>
      </c>
      <c r="Q1181" s="174">
        <f>IF(ISNUMBER(VLOOKUP(A1181,NotghiID!A:A,1,FALSE)),1,0)</f>
        <v>0</v>
      </c>
    </row>
    <row r="1182" spans="1:17" ht="14.25" x14ac:dyDescent="0.2">
      <c r="A1182" s="183">
        <f t="shared" si="1"/>
        <v>476</v>
      </c>
      <c r="B1182" s="232" t="str">
        <f>IF(AND(A1182&lt;&gt;"",ISNUMBER(A1182)),VLOOKUP(A1182,Studies!A:BR,2,FALSE),"")</f>
        <v>Templeton 2008</v>
      </c>
      <c r="C1182" s="232" t="str">
        <f>IF(AND(A1182&lt;&gt;"",ISNUMBER(A1182)),VLOOKUP(A1182,Studies!A:BR,3,FALSE),"")</f>
        <v>https://www.ncbi.nlm.nih.gov/pubmed/17495874</v>
      </c>
      <c r="D1182" s="232" t="str">
        <f>IF(AND(A1182&lt;&gt;"",ISNUMBER(A1182)),VLOOKUP(A1182,Studies!A:BR,4,FALSE),"")</f>
        <v>keto-ITZ day 1</v>
      </c>
      <c r="E1182" s="206" t="str">
        <f>IF(AND(A1182&lt;&gt;"",ISNUMBER(A1182)),VLOOKUP(A1182,Studies!A:BR,5,FALSE),"")</f>
        <v>Keto-Itraconazole</v>
      </c>
      <c r="F1182" s="207" t="str">
        <f>IF(AND(A1182&lt;&gt;"",ISNUMBER(A1182)),VLOOKUP(A1182,Studies!A:BR,6,FALSE),"")</f>
        <v>Plasma</v>
      </c>
      <c r="G1182" s="194">
        <v>3</v>
      </c>
      <c r="H1182" s="194" t="s">
        <v>60</v>
      </c>
      <c r="I1182" s="187">
        <v>23.741733282804489</v>
      </c>
      <c r="J1182" s="187" t="s">
        <v>1059</v>
      </c>
      <c r="K1182" s="187" t="s">
        <v>116</v>
      </c>
      <c r="L1182" s="195"/>
      <c r="M1182" s="195"/>
      <c r="N1182" s="195"/>
      <c r="O1182" s="199"/>
      <c r="P1182" s="188" t="s">
        <v>1122</v>
      </c>
      <c r="Q1182" s="174">
        <f>IF(ISNUMBER(VLOOKUP(A1182,NotghiID!A:A,1,FALSE)),1,0)</f>
        <v>0</v>
      </c>
    </row>
    <row r="1183" spans="1:17" ht="14.25" x14ac:dyDescent="0.2">
      <c r="A1183" s="183">
        <f t="shared" si="1"/>
        <v>476</v>
      </c>
      <c r="B1183" s="232" t="str">
        <f>IF(AND(A1183&lt;&gt;"",ISNUMBER(A1183)),VLOOKUP(A1183,Studies!A:BR,2,FALSE),"")</f>
        <v>Templeton 2008</v>
      </c>
      <c r="C1183" s="232" t="str">
        <f>IF(AND(A1183&lt;&gt;"",ISNUMBER(A1183)),VLOOKUP(A1183,Studies!A:BR,3,FALSE),"")</f>
        <v>https://www.ncbi.nlm.nih.gov/pubmed/17495874</v>
      </c>
      <c r="D1183" s="232" t="str">
        <f>IF(AND(A1183&lt;&gt;"",ISNUMBER(A1183)),VLOOKUP(A1183,Studies!A:BR,4,FALSE),"")</f>
        <v>keto-ITZ day 1</v>
      </c>
      <c r="E1183" s="206" t="str">
        <f>IF(AND(A1183&lt;&gt;"",ISNUMBER(A1183)),VLOOKUP(A1183,Studies!A:BR,5,FALSE),"")</f>
        <v>Keto-Itraconazole</v>
      </c>
      <c r="F1183" s="207" t="str">
        <f>IF(AND(A1183&lt;&gt;"",ISNUMBER(A1183)),VLOOKUP(A1183,Studies!A:BR,6,FALSE),"")</f>
        <v>Plasma</v>
      </c>
      <c r="G1183" s="194">
        <v>4</v>
      </c>
      <c r="H1183" s="194" t="s">
        <v>60</v>
      </c>
      <c r="I1183" s="187">
        <v>20.151706412434578</v>
      </c>
      <c r="J1183" s="187" t="s">
        <v>1059</v>
      </c>
      <c r="K1183" s="187" t="s">
        <v>116</v>
      </c>
      <c r="L1183" s="195"/>
      <c r="M1183" s="195"/>
      <c r="N1183" s="195"/>
      <c r="O1183" s="199"/>
      <c r="P1183" s="188" t="s">
        <v>1122</v>
      </c>
      <c r="Q1183" s="174">
        <f>IF(ISNUMBER(VLOOKUP(A1183,NotghiID!A:A,1,FALSE)),1,0)</f>
        <v>0</v>
      </c>
    </row>
    <row r="1184" spans="1:17" ht="14.25" x14ac:dyDescent="0.2">
      <c r="A1184" s="183">
        <f t="shared" si="1"/>
        <v>476</v>
      </c>
      <c r="B1184" s="232" t="str">
        <f>IF(AND(A1184&lt;&gt;"",ISNUMBER(A1184)),VLOOKUP(A1184,Studies!A:BR,2,FALSE),"")</f>
        <v>Templeton 2008</v>
      </c>
      <c r="C1184" s="232" t="str">
        <f>IF(AND(A1184&lt;&gt;"",ISNUMBER(A1184)),VLOOKUP(A1184,Studies!A:BR,3,FALSE),"")</f>
        <v>https://www.ncbi.nlm.nih.gov/pubmed/17495874</v>
      </c>
      <c r="D1184" s="232" t="str">
        <f>IF(AND(A1184&lt;&gt;"",ISNUMBER(A1184)),VLOOKUP(A1184,Studies!A:BR,4,FALSE),"")</f>
        <v>keto-ITZ day 1</v>
      </c>
      <c r="E1184" s="206" t="str">
        <f>IF(AND(A1184&lt;&gt;"",ISNUMBER(A1184)),VLOOKUP(A1184,Studies!A:BR,5,FALSE),"")</f>
        <v>Keto-Itraconazole</v>
      </c>
      <c r="F1184" s="207" t="str">
        <f>IF(AND(A1184&lt;&gt;"",ISNUMBER(A1184)),VLOOKUP(A1184,Studies!A:BR,6,FALSE),"")</f>
        <v>Plasma</v>
      </c>
      <c r="G1184" s="194">
        <v>6</v>
      </c>
      <c r="H1184" s="194" t="s">
        <v>60</v>
      </c>
      <c r="I1184" s="187">
        <v>16.977541148662567</v>
      </c>
      <c r="J1184" s="187" t="s">
        <v>1059</v>
      </c>
      <c r="K1184" s="187" t="s">
        <v>116</v>
      </c>
      <c r="L1184" s="195"/>
      <c r="M1184" s="195"/>
      <c r="N1184" s="195"/>
      <c r="O1184" s="199"/>
      <c r="P1184" s="188" t="s">
        <v>1122</v>
      </c>
      <c r="Q1184" s="174">
        <f>IF(ISNUMBER(VLOOKUP(A1184,NotghiID!A:A,1,FALSE)),1,0)</f>
        <v>0</v>
      </c>
    </row>
    <row r="1185" spans="1:17" ht="14.25" x14ac:dyDescent="0.2">
      <c r="A1185" s="183">
        <f t="shared" si="1"/>
        <v>476</v>
      </c>
      <c r="B1185" s="232" t="str">
        <f>IF(AND(A1185&lt;&gt;"",ISNUMBER(A1185)),VLOOKUP(A1185,Studies!A:BR,2,FALSE),"")</f>
        <v>Templeton 2008</v>
      </c>
      <c r="C1185" s="232" t="str">
        <f>IF(AND(A1185&lt;&gt;"",ISNUMBER(A1185)),VLOOKUP(A1185,Studies!A:BR,3,FALSE),"")</f>
        <v>https://www.ncbi.nlm.nih.gov/pubmed/17495874</v>
      </c>
      <c r="D1185" s="232" t="str">
        <f>IF(AND(A1185&lt;&gt;"",ISNUMBER(A1185)),VLOOKUP(A1185,Studies!A:BR,4,FALSE),"")</f>
        <v>keto-ITZ day 1</v>
      </c>
      <c r="E1185" s="206" t="str">
        <f>IF(AND(A1185&lt;&gt;"",ISNUMBER(A1185)),VLOOKUP(A1185,Studies!A:BR,5,FALSE),"")</f>
        <v>Keto-Itraconazole</v>
      </c>
      <c r="F1185" s="207" t="str">
        <f>IF(AND(A1185&lt;&gt;"",ISNUMBER(A1185)),VLOOKUP(A1185,Studies!A:BR,6,FALSE),"")</f>
        <v>Plasma</v>
      </c>
      <c r="G1185" s="194">
        <v>8</v>
      </c>
      <c r="H1185" s="194" t="s">
        <v>60</v>
      </c>
      <c r="I1185" s="187">
        <v>12.601407244801521</v>
      </c>
      <c r="J1185" s="187" t="s">
        <v>1059</v>
      </c>
      <c r="K1185" s="187" t="s">
        <v>116</v>
      </c>
      <c r="L1185" s="195"/>
      <c r="M1185" s="195"/>
      <c r="N1185" s="195"/>
      <c r="O1185" s="199"/>
      <c r="P1185" s="188" t="s">
        <v>1122</v>
      </c>
      <c r="Q1185" s="174">
        <f>IF(ISNUMBER(VLOOKUP(A1185,NotghiID!A:A,1,FALSE)),1,0)</f>
        <v>0</v>
      </c>
    </row>
    <row r="1186" spans="1:17" ht="14.25" x14ac:dyDescent="0.2">
      <c r="A1186" s="183">
        <f t="shared" si="1"/>
        <v>476</v>
      </c>
      <c r="B1186" s="232" t="str">
        <f>IF(AND(A1186&lt;&gt;"",ISNUMBER(A1186)),VLOOKUP(A1186,Studies!A:BR,2,FALSE),"")</f>
        <v>Templeton 2008</v>
      </c>
      <c r="C1186" s="232" t="str">
        <f>IF(AND(A1186&lt;&gt;"",ISNUMBER(A1186)),VLOOKUP(A1186,Studies!A:BR,3,FALSE),"")</f>
        <v>https://www.ncbi.nlm.nih.gov/pubmed/17495874</v>
      </c>
      <c r="D1186" s="232" t="str">
        <f>IF(AND(A1186&lt;&gt;"",ISNUMBER(A1186)),VLOOKUP(A1186,Studies!A:BR,4,FALSE),"")</f>
        <v>keto-ITZ day 1</v>
      </c>
      <c r="E1186" s="206" t="str">
        <f>IF(AND(A1186&lt;&gt;"",ISNUMBER(A1186)),VLOOKUP(A1186,Studies!A:BR,5,FALSE),"")</f>
        <v>Keto-Itraconazole</v>
      </c>
      <c r="F1186" s="207" t="str">
        <f>IF(AND(A1186&lt;&gt;"",ISNUMBER(A1186)),VLOOKUP(A1186,Studies!A:BR,6,FALSE),"")</f>
        <v>Plasma</v>
      </c>
      <c r="G1186" s="194">
        <v>12</v>
      </c>
      <c r="H1186" s="194" t="s">
        <v>60</v>
      </c>
      <c r="I1186" s="187">
        <v>8.6815925315022469</v>
      </c>
      <c r="J1186" s="187" t="s">
        <v>1059</v>
      </c>
      <c r="K1186" s="187" t="s">
        <v>116</v>
      </c>
      <c r="L1186" s="195"/>
      <c r="M1186" s="195"/>
      <c r="N1186" s="195"/>
      <c r="O1186" s="199"/>
      <c r="P1186" s="188" t="s">
        <v>1122</v>
      </c>
      <c r="Q1186" s="174">
        <f>IF(ISNUMBER(VLOOKUP(A1186,NotghiID!A:A,1,FALSE)),1,0)</f>
        <v>0</v>
      </c>
    </row>
    <row r="1187" spans="1:17" ht="14.25" x14ac:dyDescent="0.2">
      <c r="A1187" s="183">
        <f t="shared" si="1"/>
        <v>476</v>
      </c>
      <c r="B1187" s="232" t="str">
        <f>IF(AND(A1187&lt;&gt;"",ISNUMBER(A1187)),VLOOKUP(A1187,Studies!A:BR,2,FALSE),"")</f>
        <v>Templeton 2008</v>
      </c>
      <c r="C1187" s="232" t="str">
        <f>IF(AND(A1187&lt;&gt;"",ISNUMBER(A1187)),VLOOKUP(A1187,Studies!A:BR,3,FALSE),"")</f>
        <v>https://www.ncbi.nlm.nih.gov/pubmed/17495874</v>
      </c>
      <c r="D1187" s="232" t="str">
        <f>IF(AND(A1187&lt;&gt;"",ISNUMBER(A1187)),VLOOKUP(A1187,Studies!A:BR,4,FALSE),"")</f>
        <v>keto-ITZ day 1</v>
      </c>
      <c r="E1187" s="206" t="str">
        <f>IF(AND(A1187&lt;&gt;"",ISNUMBER(A1187)),VLOOKUP(A1187,Studies!A:BR,5,FALSE),"")</f>
        <v>Keto-Itraconazole</v>
      </c>
      <c r="F1187" s="207" t="str">
        <f>IF(AND(A1187&lt;&gt;"",ISNUMBER(A1187)),VLOOKUP(A1187,Studies!A:BR,6,FALSE),"")</f>
        <v>Plasma</v>
      </c>
      <c r="G1187" s="194">
        <v>24</v>
      </c>
      <c r="H1187" s="194" t="s">
        <v>60</v>
      </c>
      <c r="I1187" s="187">
        <v>2.9908539727330208</v>
      </c>
      <c r="J1187" s="187" t="s">
        <v>1059</v>
      </c>
      <c r="K1187" s="187" t="s">
        <v>116</v>
      </c>
      <c r="L1187" s="195"/>
      <c r="M1187" s="195"/>
      <c r="N1187" s="195"/>
      <c r="O1187" s="199"/>
      <c r="P1187" s="188" t="s">
        <v>1122</v>
      </c>
      <c r="Q1187" s="174">
        <f>IF(ISNUMBER(VLOOKUP(A1187,NotghiID!A:A,1,FALSE)),1,0)</f>
        <v>0</v>
      </c>
    </row>
    <row r="1188" spans="1:17" ht="14.25" x14ac:dyDescent="0.2">
      <c r="A1188" s="183">
        <f t="shared" si="1"/>
        <v>477</v>
      </c>
      <c r="B1188" s="232" t="str">
        <f>IF(AND(A1188&lt;&gt;"",ISNUMBER(A1188)),VLOOKUP(A1188,Studies!A:BR,2,FALSE),"")</f>
        <v>Templeton 2008</v>
      </c>
      <c r="C1188" s="232" t="str">
        <f>IF(AND(A1188&lt;&gt;"",ISNUMBER(A1188)),VLOOKUP(A1188,Studies!A:BR,3,FALSE),"")</f>
        <v>https://www.ncbi.nlm.nih.gov/pubmed/17495874</v>
      </c>
      <c r="D1188" s="232" t="str">
        <f>IF(AND(A1188&lt;&gt;"",ISNUMBER(A1188)),VLOOKUP(A1188,Studies!A:BR,4,FALSE),"")</f>
        <v>keto-ITZ day 7</v>
      </c>
      <c r="E1188" s="206" t="str">
        <f>IF(AND(A1188&lt;&gt;"",ISNUMBER(A1188)),VLOOKUP(A1188,Studies!A:BR,5,FALSE),"")</f>
        <v>Keto-Itraconazole</v>
      </c>
      <c r="F1188" s="207" t="str">
        <f>IF(AND(A1188&lt;&gt;"",ISNUMBER(A1188)),VLOOKUP(A1188,Studies!A:BR,6,FALSE),"")</f>
        <v>Plasma</v>
      </c>
      <c r="G1188" s="194">
        <v>144</v>
      </c>
      <c r="H1188" s="194" t="s">
        <v>60</v>
      </c>
      <c r="I1188" s="187">
        <v>12.322815135121346</v>
      </c>
      <c r="J1188" s="187" t="s">
        <v>1059</v>
      </c>
      <c r="K1188" s="187" t="s">
        <v>116</v>
      </c>
      <c r="L1188" s="195"/>
      <c r="M1188" s="195"/>
      <c r="N1188" s="195"/>
      <c r="O1188" s="199"/>
      <c r="P1188" s="188" t="s">
        <v>1122</v>
      </c>
      <c r="Q1188" s="174">
        <f>IF(ISNUMBER(VLOOKUP(A1188,NotghiID!A:A,1,FALSE)),1,0)</f>
        <v>0</v>
      </c>
    </row>
    <row r="1189" spans="1:17" ht="14.25" x14ac:dyDescent="0.2">
      <c r="A1189" s="183">
        <f t="shared" si="1"/>
        <v>477</v>
      </c>
      <c r="B1189" s="232" t="str">
        <f>IF(AND(A1189&lt;&gt;"",ISNUMBER(A1189)),VLOOKUP(A1189,Studies!A:BR,2,FALSE),"")</f>
        <v>Templeton 2008</v>
      </c>
      <c r="C1189" s="232" t="str">
        <f>IF(AND(A1189&lt;&gt;"",ISNUMBER(A1189)),VLOOKUP(A1189,Studies!A:BR,3,FALSE),"")</f>
        <v>https://www.ncbi.nlm.nih.gov/pubmed/17495874</v>
      </c>
      <c r="D1189" s="232" t="str">
        <f>IF(AND(A1189&lt;&gt;"",ISNUMBER(A1189)),VLOOKUP(A1189,Studies!A:BR,4,FALSE),"")</f>
        <v>keto-ITZ day 7</v>
      </c>
      <c r="E1189" s="206" t="str">
        <f>IF(AND(A1189&lt;&gt;"",ISNUMBER(A1189)),VLOOKUP(A1189,Studies!A:BR,5,FALSE),"")</f>
        <v>Keto-Itraconazole</v>
      </c>
      <c r="F1189" s="207" t="str">
        <f>IF(AND(A1189&lt;&gt;"",ISNUMBER(A1189)),VLOOKUP(A1189,Studies!A:BR,6,FALSE),"")</f>
        <v>Plasma</v>
      </c>
      <c r="G1189" s="194">
        <v>144.5</v>
      </c>
      <c r="H1189" s="194" t="s">
        <v>60</v>
      </c>
      <c r="I1189" s="187">
        <v>18.704574555158615</v>
      </c>
      <c r="J1189" s="187" t="s">
        <v>1059</v>
      </c>
      <c r="K1189" s="187" t="s">
        <v>116</v>
      </c>
      <c r="L1189" s="195"/>
      <c r="M1189" s="195"/>
      <c r="N1189" s="195"/>
      <c r="O1189" s="199"/>
      <c r="P1189" s="188" t="s">
        <v>1122</v>
      </c>
      <c r="Q1189" s="174">
        <f>IF(ISNUMBER(VLOOKUP(A1189,NotghiID!A:A,1,FALSE)),1,0)</f>
        <v>0</v>
      </c>
    </row>
    <row r="1190" spans="1:17" ht="14.25" x14ac:dyDescent="0.2">
      <c r="A1190" s="183">
        <f t="shared" si="1"/>
        <v>477</v>
      </c>
      <c r="B1190" s="232" t="str">
        <f>IF(AND(A1190&lt;&gt;"",ISNUMBER(A1190)),VLOOKUP(A1190,Studies!A:BR,2,FALSE),"")</f>
        <v>Templeton 2008</v>
      </c>
      <c r="C1190" s="232" t="str">
        <f>IF(AND(A1190&lt;&gt;"",ISNUMBER(A1190)),VLOOKUP(A1190,Studies!A:BR,3,FALSE),"")</f>
        <v>https://www.ncbi.nlm.nih.gov/pubmed/17495874</v>
      </c>
      <c r="D1190" s="232" t="str">
        <f>IF(AND(A1190&lt;&gt;"",ISNUMBER(A1190)),VLOOKUP(A1190,Studies!A:BR,4,FALSE),"")</f>
        <v>keto-ITZ day 7</v>
      </c>
      <c r="E1190" s="206" t="str">
        <f>IF(AND(A1190&lt;&gt;"",ISNUMBER(A1190)),VLOOKUP(A1190,Studies!A:BR,5,FALSE),"")</f>
        <v>Keto-Itraconazole</v>
      </c>
      <c r="F1190" s="207" t="str">
        <f>IF(AND(A1190&lt;&gt;"",ISNUMBER(A1190)),VLOOKUP(A1190,Studies!A:BR,6,FALSE),"")</f>
        <v>Plasma</v>
      </c>
      <c r="G1190" s="194">
        <v>145</v>
      </c>
      <c r="H1190" s="194" t="s">
        <v>60</v>
      </c>
      <c r="I1190" s="187">
        <v>18.985440954566002</v>
      </c>
      <c r="J1190" s="187" t="s">
        <v>1059</v>
      </c>
      <c r="K1190" s="187" t="s">
        <v>116</v>
      </c>
      <c r="L1190" s="195"/>
      <c r="M1190" s="195"/>
      <c r="N1190" s="195"/>
      <c r="O1190" s="199"/>
      <c r="P1190" s="188" t="s">
        <v>1122</v>
      </c>
      <c r="Q1190" s="174">
        <f>IF(ISNUMBER(VLOOKUP(A1190,NotghiID!A:A,1,FALSE)),1,0)</f>
        <v>0</v>
      </c>
    </row>
    <row r="1191" spans="1:17" ht="14.25" x14ac:dyDescent="0.2">
      <c r="A1191" s="183">
        <f t="shared" si="1"/>
        <v>477</v>
      </c>
      <c r="B1191" s="232" t="str">
        <f>IF(AND(A1191&lt;&gt;"",ISNUMBER(A1191)),VLOOKUP(A1191,Studies!A:BR,2,FALSE),"")</f>
        <v>Templeton 2008</v>
      </c>
      <c r="C1191" s="232" t="str">
        <f>IF(AND(A1191&lt;&gt;"",ISNUMBER(A1191)),VLOOKUP(A1191,Studies!A:BR,3,FALSE),"")</f>
        <v>https://www.ncbi.nlm.nih.gov/pubmed/17495874</v>
      </c>
      <c r="D1191" s="232" t="str">
        <f>IF(AND(A1191&lt;&gt;"",ISNUMBER(A1191)),VLOOKUP(A1191,Studies!A:BR,4,FALSE),"")</f>
        <v>keto-ITZ day 7</v>
      </c>
      <c r="E1191" s="206" t="str">
        <f>IF(AND(A1191&lt;&gt;"",ISNUMBER(A1191)),VLOOKUP(A1191,Studies!A:BR,5,FALSE),"")</f>
        <v>Keto-Itraconazole</v>
      </c>
      <c r="F1191" s="207" t="str">
        <f>IF(AND(A1191&lt;&gt;"",ISNUMBER(A1191)),VLOOKUP(A1191,Studies!A:BR,6,FALSE),"")</f>
        <v>Plasma</v>
      </c>
      <c r="G1191" s="194">
        <v>146</v>
      </c>
      <c r="H1191" s="194" t="s">
        <v>60</v>
      </c>
      <c r="I1191" s="187">
        <v>17.491230741143227</v>
      </c>
      <c r="J1191" s="187" t="s">
        <v>1059</v>
      </c>
      <c r="K1191" s="187" t="s">
        <v>116</v>
      </c>
      <c r="L1191" s="195"/>
      <c r="M1191" s="195"/>
      <c r="N1191" s="195"/>
      <c r="O1191" s="199"/>
      <c r="P1191" s="188" t="s">
        <v>1122</v>
      </c>
      <c r="Q1191" s="174">
        <f>IF(ISNUMBER(VLOOKUP(A1191,NotghiID!A:A,1,FALSE)),1,0)</f>
        <v>0</v>
      </c>
    </row>
    <row r="1192" spans="1:17" ht="14.25" x14ac:dyDescent="0.2">
      <c r="A1192" s="183">
        <f t="shared" si="1"/>
        <v>477</v>
      </c>
      <c r="B1192" s="232" t="str">
        <f>IF(AND(A1192&lt;&gt;"",ISNUMBER(A1192)),VLOOKUP(A1192,Studies!A:BR,2,FALSE),"")</f>
        <v>Templeton 2008</v>
      </c>
      <c r="C1192" s="232" t="str">
        <f>IF(AND(A1192&lt;&gt;"",ISNUMBER(A1192)),VLOOKUP(A1192,Studies!A:BR,3,FALSE),"")</f>
        <v>https://www.ncbi.nlm.nih.gov/pubmed/17495874</v>
      </c>
      <c r="D1192" s="232" t="str">
        <f>IF(AND(A1192&lt;&gt;"",ISNUMBER(A1192)),VLOOKUP(A1192,Studies!A:BR,4,FALSE),"")</f>
        <v>keto-ITZ day 7</v>
      </c>
      <c r="E1192" s="206" t="str">
        <f>IF(AND(A1192&lt;&gt;"",ISNUMBER(A1192)),VLOOKUP(A1192,Studies!A:BR,5,FALSE),"")</f>
        <v>Keto-Itraconazole</v>
      </c>
      <c r="F1192" s="207" t="str">
        <f>IF(AND(A1192&lt;&gt;"",ISNUMBER(A1192)),VLOOKUP(A1192,Studies!A:BR,6,FALSE),"")</f>
        <v>Plasma</v>
      </c>
      <c r="G1192" s="194">
        <v>147</v>
      </c>
      <c r="H1192" s="194" t="s">
        <v>60</v>
      </c>
      <c r="I1192" s="187">
        <v>16.851494088768959</v>
      </c>
      <c r="J1192" s="187" t="s">
        <v>1059</v>
      </c>
      <c r="K1192" s="187" t="s">
        <v>116</v>
      </c>
      <c r="L1192" s="195"/>
      <c r="M1192" s="195"/>
      <c r="N1192" s="195"/>
      <c r="O1192" s="199"/>
      <c r="P1192" s="188" t="s">
        <v>1122</v>
      </c>
      <c r="Q1192" s="174">
        <f>IF(ISNUMBER(VLOOKUP(A1192,NotghiID!A:A,1,FALSE)),1,0)</f>
        <v>0</v>
      </c>
    </row>
    <row r="1193" spans="1:17" ht="14.25" x14ac:dyDescent="0.2">
      <c r="A1193" s="183">
        <f t="shared" si="1"/>
        <v>477</v>
      </c>
      <c r="B1193" s="232" t="str">
        <f>IF(AND(A1193&lt;&gt;"",ISNUMBER(A1193)),VLOOKUP(A1193,Studies!A:BR,2,FALSE),"")</f>
        <v>Templeton 2008</v>
      </c>
      <c r="C1193" s="232" t="str">
        <f>IF(AND(A1193&lt;&gt;"",ISNUMBER(A1193)),VLOOKUP(A1193,Studies!A:BR,3,FALSE),"")</f>
        <v>https://www.ncbi.nlm.nih.gov/pubmed/17495874</v>
      </c>
      <c r="D1193" s="232" t="str">
        <f>IF(AND(A1193&lt;&gt;"",ISNUMBER(A1193)),VLOOKUP(A1193,Studies!A:BR,4,FALSE),"")</f>
        <v>keto-ITZ day 7</v>
      </c>
      <c r="E1193" s="206" t="str">
        <f>IF(AND(A1193&lt;&gt;"",ISNUMBER(A1193)),VLOOKUP(A1193,Studies!A:BR,5,FALSE),"")</f>
        <v>Keto-Itraconazole</v>
      </c>
      <c r="F1193" s="207" t="str">
        <f>IF(AND(A1193&lt;&gt;"",ISNUMBER(A1193)),VLOOKUP(A1193,Studies!A:BR,6,FALSE),"")</f>
        <v>Plasma</v>
      </c>
      <c r="G1193" s="194">
        <v>148</v>
      </c>
      <c r="H1193" s="194" t="s">
        <v>60</v>
      </c>
      <c r="I1193" s="187">
        <v>15.409965068101883</v>
      </c>
      <c r="J1193" s="187" t="s">
        <v>1059</v>
      </c>
      <c r="K1193" s="187" t="s">
        <v>116</v>
      </c>
      <c r="L1193" s="195"/>
      <c r="M1193" s="195"/>
      <c r="N1193" s="195"/>
      <c r="O1193" s="199"/>
      <c r="P1193" s="188" t="s">
        <v>1122</v>
      </c>
      <c r="Q1193" s="174">
        <f>IF(ISNUMBER(VLOOKUP(A1193,NotghiID!A:A,1,FALSE)),1,0)</f>
        <v>0</v>
      </c>
    </row>
    <row r="1194" spans="1:17" ht="14.25" x14ac:dyDescent="0.2">
      <c r="A1194" s="183">
        <f t="shared" si="1"/>
        <v>477</v>
      </c>
      <c r="B1194" s="232" t="str">
        <f>IF(AND(A1194&lt;&gt;"",ISNUMBER(A1194)),VLOOKUP(A1194,Studies!A:BR,2,FALSE),"")</f>
        <v>Templeton 2008</v>
      </c>
      <c r="C1194" s="232" t="str">
        <f>IF(AND(A1194&lt;&gt;"",ISNUMBER(A1194)),VLOOKUP(A1194,Studies!A:BR,3,FALSE),"")</f>
        <v>https://www.ncbi.nlm.nih.gov/pubmed/17495874</v>
      </c>
      <c r="D1194" s="232" t="str">
        <f>IF(AND(A1194&lt;&gt;"",ISNUMBER(A1194)),VLOOKUP(A1194,Studies!A:BR,4,FALSE),"")</f>
        <v>keto-ITZ day 7</v>
      </c>
      <c r="E1194" s="206" t="str">
        <f>IF(AND(A1194&lt;&gt;"",ISNUMBER(A1194)),VLOOKUP(A1194,Studies!A:BR,5,FALSE),"")</f>
        <v>Keto-Itraconazole</v>
      </c>
      <c r="F1194" s="207" t="str">
        <f>IF(AND(A1194&lt;&gt;"",ISNUMBER(A1194)),VLOOKUP(A1194,Studies!A:BR,6,FALSE),"")</f>
        <v>Plasma</v>
      </c>
      <c r="G1194" s="194">
        <v>150</v>
      </c>
      <c r="H1194" s="194" t="s">
        <v>60</v>
      </c>
      <c r="I1194" s="187">
        <v>17.886670306324959</v>
      </c>
      <c r="J1194" s="187" t="s">
        <v>1059</v>
      </c>
      <c r="K1194" s="187" t="s">
        <v>116</v>
      </c>
      <c r="L1194" s="195"/>
      <c r="M1194" s="195"/>
      <c r="N1194" s="195"/>
      <c r="O1194" s="199"/>
      <c r="P1194" s="188" t="s">
        <v>1122</v>
      </c>
      <c r="Q1194" s="174">
        <f>IF(ISNUMBER(VLOOKUP(A1194,NotghiID!A:A,1,FALSE)),1,0)</f>
        <v>0</v>
      </c>
    </row>
    <row r="1195" spans="1:17" ht="14.25" x14ac:dyDescent="0.2">
      <c r="A1195" s="183">
        <f t="shared" si="1"/>
        <v>477</v>
      </c>
      <c r="B1195" s="232" t="str">
        <f>IF(AND(A1195&lt;&gt;"",ISNUMBER(A1195)),VLOOKUP(A1195,Studies!A:BR,2,FALSE),"")</f>
        <v>Templeton 2008</v>
      </c>
      <c r="C1195" s="232" t="str">
        <f>IF(AND(A1195&lt;&gt;"",ISNUMBER(A1195)),VLOOKUP(A1195,Studies!A:BR,3,FALSE),"")</f>
        <v>https://www.ncbi.nlm.nih.gov/pubmed/17495874</v>
      </c>
      <c r="D1195" s="232" t="str">
        <f>IF(AND(A1195&lt;&gt;"",ISNUMBER(A1195)),VLOOKUP(A1195,Studies!A:BR,4,FALSE),"")</f>
        <v>keto-ITZ day 7</v>
      </c>
      <c r="E1195" s="206" t="str">
        <f>IF(AND(A1195&lt;&gt;"",ISNUMBER(A1195)),VLOOKUP(A1195,Studies!A:BR,5,FALSE),"")</f>
        <v>Keto-Itraconazole</v>
      </c>
      <c r="F1195" s="207" t="str">
        <f>IF(AND(A1195&lt;&gt;"",ISNUMBER(A1195)),VLOOKUP(A1195,Studies!A:BR,6,FALSE),"")</f>
        <v>Plasma</v>
      </c>
      <c r="G1195" s="194">
        <v>152</v>
      </c>
      <c r="H1195" s="194" t="s">
        <v>60</v>
      </c>
      <c r="I1195" s="187">
        <v>16.478937119245529</v>
      </c>
      <c r="J1195" s="187" t="s">
        <v>1059</v>
      </c>
      <c r="K1195" s="187" t="s">
        <v>116</v>
      </c>
      <c r="L1195" s="195"/>
      <c r="M1195" s="195"/>
      <c r="N1195" s="195"/>
      <c r="O1195" s="199"/>
      <c r="P1195" s="188" t="s">
        <v>1122</v>
      </c>
      <c r="Q1195" s="174">
        <f>IF(ISNUMBER(VLOOKUP(A1195,NotghiID!A:A,1,FALSE)),1,0)</f>
        <v>0</v>
      </c>
    </row>
    <row r="1196" spans="1:17" ht="14.25" x14ac:dyDescent="0.2">
      <c r="A1196" s="183">
        <f t="shared" si="1"/>
        <v>477</v>
      </c>
      <c r="B1196" s="232" t="str">
        <f>IF(AND(A1196&lt;&gt;"",ISNUMBER(A1196)),VLOOKUP(A1196,Studies!A:BR,2,FALSE),"")</f>
        <v>Templeton 2008</v>
      </c>
      <c r="C1196" s="232" t="str">
        <f>IF(AND(A1196&lt;&gt;"",ISNUMBER(A1196)),VLOOKUP(A1196,Studies!A:BR,3,FALSE),"")</f>
        <v>https://www.ncbi.nlm.nih.gov/pubmed/17495874</v>
      </c>
      <c r="D1196" s="232" t="str">
        <f>IF(AND(A1196&lt;&gt;"",ISNUMBER(A1196)),VLOOKUP(A1196,Studies!A:BR,4,FALSE),"")</f>
        <v>keto-ITZ day 7</v>
      </c>
      <c r="E1196" s="206" t="str">
        <f>IF(AND(A1196&lt;&gt;"",ISNUMBER(A1196)),VLOOKUP(A1196,Studies!A:BR,5,FALSE),"")</f>
        <v>Keto-Itraconazole</v>
      </c>
      <c r="F1196" s="207" t="str">
        <f>IF(AND(A1196&lt;&gt;"",ISNUMBER(A1196)),VLOOKUP(A1196,Studies!A:BR,6,FALSE),"")</f>
        <v>Plasma</v>
      </c>
      <c r="G1196" s="194">
        <v>156</v>
      </c>
      <c r="H1196" s="194" t="s">
        <v>60</v>
      </c>
      <c r="I1196" s="187">
        <v>13.276201672852039</v>
      </c>
      <c r="J1196" s="187" t="s">
        <v>1059</v>
      </c>
      <c r="K1196" s="187" t="s">
        <v>116</v>
      </c>
      <c r="L1196" s="195"/>
      <c r="M1196" s="195"/>
      <c r="N1196" s="195"/>
      <c r="O1196" s="199"/>
      <c r="P1196" s="188" t="s">
        <v>1122</v>
      </c>
      <c r="Q1196" s="174">
        <f>IF(ISNUMBER(VLOOKUP(A1196,NotghiID!A:A,1,FALSE)),1,0)</f>
        <v>0</v>
      </c>
    </row>
    <row r="1197" spans="1:17" ht="14.25" x14ac:dyDescent="0.2">
      <c r="A1197" s="183">
        <f t="shared" si="1"/>
        <v>477</v>
      </c>
      <c r="B1197" s="232" t="str">
        <f>IF(AND(A1197&lt;&gt;"",ISNUMBER(A1197)),VLOOKUP(A1197,Studies!A:BR,2,FALSE),"")</f>
        <v>Templeton 2008</v>
      </c>
      <c r="C1197" s="232" t="str">
        <f>IF(AND(A1197&lt;&gt;"",ISNUMBER(A1197)),VLOOKUP(A1197,Studies!A:BR,3,FALSE),"")</f>
        <v>https://www.ncbi.nlm.nih.gov/pubmed/17495874</v>
      </c>
      <c r="D1197" s="232" t="str">
        <f>IF(AND(A1197&lt;&gt;"",ISNUMBER(A1197)),VLOOKUP(A1197,Studies!A:BR,4,FALSE),"")</f>
        <v>keto-ITZ day 7</v>
      </c>
      <c r="E1197" s="206" t="str">
        <f>IF(AND(A1197&lt;&gt;"",ISNUMBER(A1197)),VLOOKUP(A1197,Studies!A:BR,5,FALSE),"")</f>
        <v>Keto-Itraconazole</v>
      </c>
      <c r="F1197" s="207" t="str">
        <f>IF(AND(A1197&lt;&gt;"",ISNUMBER(A1197)),VLOOKUP(A1197,Studies!A:BR,6,FALSE),"")</f>
        <v>Plasma</v>
      </c>
      <c r="G1197" s="194">
        <v>168</v>
      </c>
      <c r="H1197" s="194" t="s">
        <v>60</v>
      </c>
      <c r="I1197" s="187">
        <v>10.775931179523468</v>
      </c>
      <c r="J1197" s="187" t="s">
        <v>1059</v>
      </c>
      <c r="K1197" s="187" t="s">
        <v>116</v>
      </c>
      <c r="L1197" s="195"/>
      <c r="M1197" s="195"/>
      <c r="N1197" s="195"/>
      <c r="O1197" s="199"/>
      <c r="P1197" s="188" t="s">
        <v>1122</v>
      </c>
      <c r="Q1197" s="174">
        <f>IF(ISNUMBER(VLOOKUP(A1197,NotghiID!A:A,1,FALSE)),1,0)</f>
        <v>0</v>
      </c>
    </row>
    <row r="1198" spans="1:17" ht="14.25" x14ac:dyDescent="0.2">
      <c r="A1198" s="183">
        <f t="shared" si="1"/>
        <v>478</v>
      </c>
      <c r="B1198" s="232" t="str">
        <f>IF(AND(A1198&lt;&gt;"",ISNUMBER(A1198)),VLOOKUP(A1198,Studies!A:BR,2,FALSE),"")</f>
        <v>Templeton 2008</v>
      </c>
      <c r="C1198" s="232" t="str">
        <f>IF(AND(A1198&lt;&gt;"",ISNUMBER(A1198)),VLOOKUP(A1198,Studies!A:BR,3,FALSE),"")</f>
        <v>https://www.ncbi.nlm.nih.gov/pubmed/17495874</v>
      </c>
      <c r="D1198" s="232" t="str">
        <f>IF(AND(A1198&lt;&gt;"",ISNUMBER(A1198)),VLOOKUP(A1198,Studies!A:BR,4,FALSE),"")</f>
        <v>ND-OH-ITZ day 1</v>
      </c>
      <c r="E1198" s="206" t="str">
        <f>IF(AND(A1198&lt;&gt;"",ISNUMBER(A1198)),VLOOKUP(A1198,Studies!A:BR,5,FALSE),"")</f>
        <v>N-desalkyl-Itraconazole</v>
      </c>
      <c r="F1198" s="207" t="str">
        <f>IF(AND(A1198&lt;&gt;"",ISNUMBER(A1198)),VLOOKUP(A1198,Studies!A:BR,6,FALSE),"")</f>
        <v>Plasma</v>
      </c>
      <c r="G1198" s="194">
        <v>0.5</v>
      </c>
      <c r="H1198" s="194" t="s">
        <v>60</v>
      </c>
      <c r="I1198" s="187">
        <v>0.2877686929423362</v>
      </c>
      <c r="J1198" s="187" t="s">
        <v>1059</v>
      </c>
      <c r="K1198" s="187" t="s">
        <v>116</v>
      </c>
      <c r="L1198" s="195"/>
      <c r="M1198" s="195"/>
      <c r="N1198" s="195"/>
      <c r="O1198" s="199"/>
      <c r="P1198" s="188" t="s">
        <v>1122</v>
      </c>
      <c r="Q1198" s="174">
        <f>IF(ISNUMBER(VLOOKUP(A1198,NotghiID!A:A,1,FALSE)),1,0)</f>
        <v>0</v>
      </c>
    </row>
    <row r="1199" spans="1:17" ht="14.25" x14ac:dyDescent="0.2">
      <c r="A1199" s="183">
        <f t="shared" si="1"/>
        <v>478</v>
      </c>
      <c r="B1199" s="232" t="str">
        <f>IF(AND(A1199&lt;&gt;"",ISNUMBER(A1199)),VLOOKUP(A1199,Studies!A:BR,2,FALSE),"")</f>
        <v>Templeton 2008</v>
      </c>
      <c r="C1199" s="232" t="str">
        <f>IF(AND(A1199&lt;&gt;"",ISNUMBER(A1199)),VLOOKUP(A1199,Studies!A:BR,3,FALSE),"")</f>
        <v>https://www.ncbi.nlm.nih.gov/pubmed/17495874</v>
      </c>
      <c r="D1199" s="232" t="str">
        <f>IF(AND(A1199&lt;&gt;"",ISNUMBER(A1199)),VLOOKUP(A1199,Studies!A:BR,4,FALSE),"")</f>
        <v>ND-OH-ITZ day 1</v>
      </c>
      <c r="E1199" s="206" t="str">
        <f>IF(AND(A1199&lt;&gt;"",ISNUMBER(A1199)),VLOOKUP(A1199,Studies!A:BR,5,FALSE),"")</f>
        <v>N-desalkyl-Itraconazole</v>
      </c>
      <c r="F1199" s="207" t="str">
        <f>IF(AND(A1199&lt;&gt;"",ISNUMBER(A1199)),VLOOKUP(A1199,Studies!A:BR,6,FALSE),"")</f>
        <v>Plasma</v>
      </c>
      <c r="G1199" s="194">
        <v>1</v>
      </c>
      <c r="H1199" s="194" t="s">
        <v>60</v>
      </c>
      <c r="I1199" s="187">
        <v>5.9267044998705387</v>
      </c>
      <c r="J1199" s="187" t="s">
        <v>1059</v>
      </c>
      <c r="K1199" s="187" t="s">
        <v>116</v>
      </c>
      <c r="L1199" s="195"/>
      <c r="M1199" s="195"/>
      <c r="N1199" s="195"/>
      <c r="O1199" s="199"/>
      <c r="P1199" s="188" t="s">
        <v>1122</v>
      </c>
      <c r="Q1199" s="174">
        <f>IF(ISNUMBER(VLOOKUP(A1199,NotghiID!A:A,1,FALSE)),1,0)</f>
        <v>0</v>
      </c>
    </row>
    <row r="1200" spans="1:17" ht="14.25" x14ac:dyDescent="0.2">
      <c r="A1200" s="183">
        <f t="shared" si="1"/>
        <v>478</v>
      </c>
      <c r="B1200" s="232" t="str">
        <f>IF(AND(A1200&lt;&gt;"",ISNUMBER(A1200)),VLOOKUP(A1200,Studies!A:BR,2,FALSE),"")</f>
        <v>Templeton 2008</v>
      </c>
      <c r="C1200" s="232" t="str">
        <f>IF(AND(A1200&lt;&gt;"",ISNUMBER(A1200)),VLOOKUP(A1200,Studies!A:BR,3,FALSE),"")</f>
        <v>https://www.ncbi.nlm.nih.gov/pubmed/17495874</v>
      </c>
      <c r="D1200" s="232" t="str">
        <f>IF(AND(A1200&lt;&gt;"",ISNUMBER(A1200)),VLOOKUP(A1200,Studies!A:BR,4,FALSE),"")</f>
        <v>ND-OH-ITZ day 1</v>
      </c>
      <c r="E1200" s="206" t="str">
        <f>IF(AND(A1200&lt;&gt;"",ISNUMBER(A1200)),VLOOKUP(A1200,Studies!A:BR,5,FALSE),"")</f>
        <v>N-desalkyl-Itraconazole</v>
      </c>
      <c r="F1200" s="207" t="str">
        <f>IF(AND(A1200&lt;&gt;"",ISNUMBER(A1200)),VLOOKUP(A1200,Studies!A:BR,6,FALSE),"")</f>
        <v>Plasma</v>
      </c>
      <c r="G1200" s="194">
        <v>2</v>
      </c>
      <c r="H1200" s="194" t="s">
        <v>60</v>
      </c>
      <c r="I1200" s="187">
        <v>11.648418381810188</v>
      </c>
      <c r="J1200" s="187" t="s">
        <v>1059</v>
      </c>
      <c r="K1200" s="187" t="s">
        <v>116</v>
      </c>
      <c r="L1200" s="195"/>
      <c r="M1200" s="195"/>
      <c r="N1200" s="195"/>
      <c r="O1200" s="199"/>
      <c r="P1200" s="188" t="s">
        <v>1122</v>
      </c>
      <c r="Q1200" s="174">
        <f>IF(ISNUMBER(VLOOKUP(A1200,NotghiID!A:A,1,FALSE)),1,0)</f>
        <v>0</v>
      </c>
    </row>
    <row r="1201" spans="1:17" ht="14.25" x14ac:dyDescent="0.2">
      <c r="A1201" s="183">
        <f t="shared" si="1"/>
        <v>478</v>
      </c>
      <c r="B1201" s="232" t="str">
        <f>IF(AND(A1201&lt;&gt;"",ISNUMBER(A1201)),VLOOKUP(A1201,Studies!A:BR,2,FALSE),"")</f>
        <v>Templeton 2008</v>
      </c>
      <c r="C1201" s="232" t="str">
        <f>IF(AND(A1201&lt;&gt;"",ISNUMBER(A1201)),VLOOKUP(A1201,Studies!A:BR,3,FALSE),"")</f>
        <v>https://www.ncbi.nlm.nih.gov/pubmed/17495874</v>
      </c>
      <c r="D1201" s="232" t="str">
        <f>IF(AND(A1201&lt;&gt;"",ISNUMBER(A1201)),VLOOKUP(A1201,Studies!A:BR,4,FALSE),"")</f>
        <v>ND-OH-ITZ day 1</v>
      </c>
      <c r="E1201" s="206" t="str">
        <f>IF(AND(A1201&lt;&gt;"",ISNUMBER(A1201)),VLOOKUP(A1201,Studies!A:BR,5,FALSE),"")</f>
        <v>N-desalkyl-Itraconazole</v>
      </c>
      <c r="F1201" s="207" t="str">
        <f>IF(AND(A1201&lt;&gt;"",ISNUMBER(A1201)),VLOOKUP(A1201,Studies!A:BR,6,FALSE),"")</f>
        <v>Plasma</v>
      </c>
      <c r="G1201" s="194">
        <v>3</v>
      </c>
      <c r="H1201" s="194" t="s">
        <v>60</v>
      </c>
      <c r="I1201" s="187">
        <v>12.658562511205673</v>
      </c>
      <c r="J1201" s="187" t="s">
        <v>1059</v>
      </c>
      <c r="K1201" s="187" t="s">
        <v>116</v>
      </c>
      <c r="L1201" s="195"/>
      <c r="M1201" s="195"/>
      <c r="N1201" s="195"/>
      <c r="O1201" s="199"/>
      <c r="P1201" s="188" t="s">
        <v>1122</v>
      </c>
      <c r="Q1201" s="174">
        <f>IF(ISNUMBER(VLOOKUP(A1201,NotghiID!A:A,1,FALSE)),1,0)</f>
        <v>0</v>
      </c>
    </row>
    <row r="1202" spans="1:17" ht="14.25" x14ac:dyDescent="0.2">
      <c r="A1202" s="183">
        <f t="shared" si="1"/>
        <v>478</v>
      </c>
      <c r="B1202" s="232" t="str">
        <f>IF(AND(A1202&lt;&gt;"",ISNUMBER(A1202)),VLOOKUP(A1202,Studies!A:BR,2,FALSE),"")</f>
        <v>Templeton 2008</v>
      </c>
      <c r="C1202" s="232" t="str">
        <f>IF(AND(A1202&lt;&gt;"",ISNUMBER(A1202)),VLOOKUP(A1202,Studies!A:BR,3,FALSE),"")</f>
        <v>https://www.ncbi.nlm.nih.gov/pubmed/17495874</v>
      </c>
      <c r="D1202" s="232" t="str">
        <f>IF(AND(A1202&lt;&gt;"",ISNUMBER(A1202)),VLOOKUP(A1202,Studies!A:BR,4,FALSE),"")</f>
        <v>ND-OH-ITZ day 1</v>
      </c>
      <c r="E1202" s="206" t="str">
        <f>IF(AND(A1202&lt;&gt;"",ISNUMBER(A1202)),VLOOKUP(A1202,Studies!A:BR,5,FALSE),"")</f>
        <v>N-desalkyl-Itraconazole</v>
      </c>
      <c r="F1202" s="207" t="str">
        <f>IF(AND(A1202&lt;&gt;"",ISNUMBER(A1202)),VLOOKUP(A1202,Studies!A:BR,6,FALSE),"")</f>
        <v>Plasma</v>
      </c>
      <c r="G1202" s="194">
        <v>4</v>
      </c>
      <c r="H1202" s="194" t="s">
        <v>60</v>
      </c>
      <c r="I1202" s="187">
        <v>12.398097664117813</v>
      </c>
      <c r="J1202" s="187" t="s">
        <v>1059</v>
      </c>
      <c r="K1202" s="187" t="s">
        <v>116</v>
      </c>
      <c r="L1202" s="195"/>
      <c r="M1202" s="195"/>
      <c r="N1202" s="195"/>
      <c r="O1202" s="199"/>
      <c r="P1202" s="188" t="s">
        <v>1122</v>
      </c>
      <c r="Q1202" s="174">
        <f>IF(ISNUMBER(VLOOKUP(A1202,NotghiID!A:A,1,FALSE)),1,0)</f>
        <v>0</v>
      </c>
    </row>
    <row r="1203" spans="1:17" ht="14.25" x14ac:dyDescent="0.2">
      <c r="A1203" s="183">
        <f t="shared" si="1"/>
        <v>478</v>
      </c>
      <c r="B1203" s="232" t="str">
        <f>IF(AND(A1203&lt;&gt;"",ISNUMBER(A1203)),VLOOKUP(A1203,Studies!A:BR,2,FALSE),"")</f>
        <v>Templeton 2008</v>
      </c>
      <c r="C1203" s="232" t="str">
        <f>IF(AND(A1203&lt;&gt;"",ISNUMBER(A1203)),VLOOKUP(A1203,Studies!A:BR,3,FALSE),"")</f>
        <v>https://www.ncbi.nlm.nih.gov/pubmed/17495874</v>
      </c>
      <c r="D1203" s="232" t="str">
        <f>IF(AND(A1203&lt;&gt;"",ISNUMBER(A1203)),VLOOKUP(A1203,Studies!A:BR,4,FALSE),"")</f>
        <v>ND-OH-ITZ day 1</v>
      </c>
      <c r="E1203" s="206" t="str">
        <f>IF(AND(A1203&lt;&gt;"",ISNUMBER(A1203)),VLOOKUP(A1203,Studies!A:BR,5,FALSE),"")</f>
        <v>N-desalkyl-Itraconazole</v>
      </c>
      <c r="F1203" s="207" t="str">
        <f>IF(AND(A1203&lt;&gt;"",ISNUMBER(A1203)),VLOOKUP(A1203,Studies!A:BR,6,FALSE),"")</f>
        <v>Plasma</v>
      </c>
      <c r="G1203" s="194">
        <v>6</v>
      </c>
      <c r="H1203" s="194" t="s">
        <v>60</v>
      </c>
      <c r="I1203" s="187">
        <v>13.614040799438953</v>
      </c>
      <c r="J1203" s="187" t="s">
        <v>1059</v>
      </c>
      <c r="K1203" s="187" t="s">
        <v>116</v>
      </c>
      <c r="L1203" s="195"/>
      <c r="M1203" s="195"/>
      <c r="N1203" s="195"/>
      <c r="O1203" s="199"/>
      <c r="P1203" s="188" t="s">
        <v>1122</v>
      </c>
      <c r="Q1203" s="174">
        <f>IF(ISNUMBER(VLOOKUP(A1203,NotghiID!A:A,1,FALSE)),1,0)</f>
        <v>0</v>
      </c>
    </row>
    <row r="1204" spans="1:17" ht="14.25" x14ac:dyDescent="0.2">
      <c r="A1204" s="183">
        <f t="shared" si="1"/>
        <v>478</v>
      </c>
      <c r="B1204" s="232" t="str">
        <f>IF(AND(A1204&lt;&gt;"",ISNUMBER(A1204)),VLOOKUP(A1204,Studies!A:BR,2,FALSE),"")</f>
        <v>Templeton 2008</v>
      </c>
      <c r="C1204" s="232" t="str">
        <f>IF(AND(A1204&lt;&gt;"",ISNUMBER(A1204)),VLOOKUP(A1204,Studies!A:BR,3,FALSE),"")</f>
        <v>https://www.ncbi.nlm.nih.gov/pubmed/17495874</v>
      </c>
      <c r="D1204" s="232" t="str">
        <f>IF(AND(A1204&lt;&gt;"",ISNUMBER(A1204)),VLOOKUP(A1204,Studies!A:BR,4,FALSE),"")</f>
        <v>ND-OH-ITZ day 1</v>
      </c>
      <c r="E1204" s="206" t="str">
        <f>IF(AND(A1204&lt;&gt;"",ISNUMBER(A1204)),VLOOKUP(A1204,Studies!A:BR,5,FALSE),"")</f>
        <v>N-desalkyl-Itraconazole</v>
      </c>
      <c r="F1204" s="207" t="str">
        <f>IF(AND(A1204&lt;&gt;"",ISNUMBER(A1204)),VLOOKUP(A1204,Studies!A:BR,6,FALSE),"")</f>
        <v>Plasma</v>
      </c>
      <c r="G1204" s="194">
        <v>8</v>
      </c>
      <c r="H1204" s="194" t="s">
        <v>60</v>
      </c>
      <c r="I1204" s="187">
        <v>12.658562511205673</v>
      </c>
      <c r="J1204" s="187" t="s">
        <v>1059</v>
      </c>
      <c r="K1204" s="187" t="s">
        <v>116</v>
      </c>
      <c r="L1204" s="195"/>
      <c r="M1204" s="195"/>
      <c r="N1204" s="195"/>
      <c r="O1204" s="199"/>
      <c r="P1204" s="188" t="s">
        <v>1122</v>
      </c>
      <c r="Q1204" s="174">
        <f>IF(ISNUMBER(VLOOKUP(A1204,NotghiID!A:A,1,FALSE)),1,0)</f>
        <v>0</v>
      </c>
    </row>
    <row r="1205" spans="1:17" ht="14.25" x14ac:dyDescent="0.2">
      <c r="A1205" s="183">
        <f t="shared" si="1"/>
        <v>478</v>
      </c>
      <c r="B1205" s="232" t="str">
        <f>IF(AND(A1205&lt;&gt;"",ISNUMBER(A1205)),VLOOKUP(A1205,Studies!A:BR,2,FALSE),"")</f>
        <v>Templeton 2008</v>
      </c>
      <c r="C1205" s="232" t="str">
        <f>IF(AND(A1205&lt;&gt;"",ISNUMBER(A1205)),VLOOKUP(A1205,Studies!A:BR,3,FALSE),"")</f>
        <v>https://www.ncbi.nlm.nih.gov/pubmed/17495874</v>
      </c>
      <c r="D1205" s="232" t="str">
        <f>IF(AND(A1205&lt;&gt;"",ISNUMBER(A1205)),VLOOKUP(A1205,Studies!A:BR,4,FALSE),"")</f>
        <v>ND-OH-ITZ day 1</v>
      </c>
      <c r="E1205" s="206" t="str">
        <f>IF(AND(A1205&lt;&gt;"",ISNUMBER(A1205)),VLOOKUP(A1205,Studies!A:BR,5,FALSE),"")</f>
        <v>N-desalkyl-Itraconazole</v>
      </c>
      <c r="F1205" s="207" t="str">
        <f>IF(AND(A1205&lt;&gt;"",ISNUMBER(A1205)),VLOOKUP(A1205,Studies!A:BR,6,FALSE),"")</f>
        <v>Plasma</v>
      </c>
      <c r="G1205" s="194">
        <v>12</v>
      </c>
      <c r="H1205" s="194" t="s">
        <v>60</v>
      </c>
      <c r="I1205" s="187">
        <v>10.944072157144547</v>
      </c>
      <c r="J1205" s="187" t="s">
        <v>1059</v>
      </c>
      <c r="K1205" s="187" t="s">
        <v>116</v>
      </c>
      <c r="L1205" s="195"/>
      <c r="M1205" s="195"/>
      <c r="N1205" s="195"/>
      <c r="O1205" s="199"/>
      <c r="P1205" s="188" t="s">
        <v>1122</v>
      </c>
      <c r="Q1205" s="174">
        <f>IF(ISNUMBER(VLOOKUP(A1205,NotghiID!A:A,1,FALSE)),1,0)</f>
        <v>0</v>
      </c>
    </row>
    <row r="1206" spans="1:17" ht="14.25" x14ac:dyDescent="0.2">
      <c r="A1206" s="183">
        <f t="shared" si="1"/>
        <v>478</v>
      </c>
      <c r="B1206" s="232" t="str">
        <f>IF(AND(A1206&lt;&gt;"",ISNUMBER(A1206)),VLOOKUP(A1206,Studies!A:BR,2,FALSE),"")</f>
        <v>Templeton 2008</v>
      </c>
      <c r="C1206" s="232" t="str">
        <f>IF(AND(A1206&lt;&gt;"",ISNUMBER(A1206)),VLOOKUP(A1206,Studies!A:BR,3,FALSE),"")</f>
        <v>https://www.ncbi.nlm.nih.gov/pubmed/17495874</v>
      </c>
      <c r="D1206" s="232" t="str">
        <f>IF(AND(A1206&lt;&gt;"",ISNUMBER(A1206)),VLOOKUP(A1206,Studies!A:BR,4,FALSE),"")</f>
        <v>ND-OH-ITZ day 1</v>
      </c>
      <c r="E1206" s="206" t="str">
        <f>IF(AND(A1206&lt;&gt;"",ISNUMBER(A1206)),VLOOKUP(A1206,Studies!A:BR,5,FALSE),"")</f>
        <v>N-desalkyl-Itraconazole</v>
      </c>
      <c r="F1206" s="207" t="str">
        <f>IF(AND(A1206&lt;&gt;"",ISNUMBER(A1206)),VLOOKUP(A1206,Studies!A:BR,6,FALSE),"")</f>
        <v>Plasma</v>
      </c>
      <c r="G1206" s="194">
        <v>24</v>
      </c>
      <c r="H1206" s="194" t="s">
        <v>60</v>
      </c>
      <c r="I1206" s="187">
        <v>4.6663335524499416</v>
      </c>
      <c r="J1206" s="187" t="s">
        <v>1059</v>
      </c>
      <c r="K1206" s="187" t="s">
        <v>116</v>
      </c>
      <c r="L1206" s="195"/>
      <c r="M1206" s="195"/>
      <c r="N1206" s="195"/>
      <c r="O1206" s="199"/>
      <c r="P1206" s="188" t="s">
        <v>1122</v>
      </c>
      <c r="Q1206" s="174">
        <f>IF(ISNUMBER(VLOOKUP(A1206,NotghiID!A:A,1,FALSE)),1,0)</f>
        <v>0</v>
      </c>
    </row>
    <row r="1207" spans="1:17" ht="14.25" x14ac:dyDescent="0.2">
      <c r="A1207" s="183">
        <f t="shared" si="1"/>
        <v>479</v>
      </c>
      <c r="B1207" s="232" t="str">
        <f>IF(AND(A1207&lt;&gt;"",ISNUMBER(A1207)),VLOOKUP(A1207,Studies!A:BR,2,FALSE),"")</f>
        <v>Templeton 2008</v>
      </c>
      <c r="C1207" s="232" t="str">
        <f>IF(AND(A1207&lt;&gt;"",ISNUMBER(A1207)),VLOOKUP(A1207,Studies!A:BR,3,FALSE),"")</f>
        <v>https://www.ncbi.nlm.nih.gov/pubmed/17495874</v>
      </c>
      <c r="D1207" s="232" t="str">
        <f>IF(AND(A1207&lt;&gt;"",ISNUMBER(A1207)),VLOOKUP(A1207,Studies!A:BR,4,FALSE),"")</f>
        <v>ND-OH-ITZ day 7</v>
      </c>
      <c r="E1207" s="206" t="str">
        <f>IF(AND(A1207&lt;&gt;"",ISNUMBER(A1207)),VLOOKUP(A1207,Studies!A:BR,5,FALSE),"")</f>
        <v>N-desalkyl-Itraconazole</v>
      </c>
      <c r="F1207" s="207" t="str">
        <f>IF(AND(A1207&lt;&gt;"",ISNUMBER(A1207)),VLOOKUP(A1207,Studies!A:BR,6,FALSE),"")</f>
        <v>Plasma</v>
      </c>
      <c r="G1207" s="194">
        <v>144</v>
      </c>
      <c r="H1207" s="194" t="s">
        <v>60</v>
      </c>
      <c r="I1207" s="187">
        <v>15.583961270749569</v>
      </c>
      <c r="J1207" s="187" t="s">
        <v>1059</v>
      </c>
      <c r="K1207" s="187" t="s">
        <v>116</v>
      </c>
      <c r="L1207" s="195"/>
      <c r="M1207" s="195"/>
      <c r="N1207" s="195"/>
      <c r="O1207" s="199"/>
      <c r="P1207" s="188" t="s">
        <v>1122</v>
      </c>
      <c r="Q1207" s="174">
        <f>IF(ISNUMBER(VLOOKUP(A1207,NotghiID!A:A,1,FALSE)),1,0)</f>
        <v>0</v>
      </c>
    </row>
    <row r="1208" spans="1:17" ht="14.25" x14ac:dyDescent="0.2">
      <c r="A1208" s="183">
        <f t="shared" si="1"/>
        <v>479</v>
      </c>
      <c r="B1208" s="232" t="str">
        <f>IF(AND(A1208&lt;&gt;"",ISNUMBER(A1208)),VLOOKUP(A1208,Studies!A:BR,2,FALSE),"")</f>
        <v>Templeton 2008</v>
      </c>
      <c r="C1208" s="232" t="str">
        <f>IF(AND(A1208&lt;&gt;"",ISNUMBER(A1208)),VLOOKUP(A1208,Studies!A:BR,3,FALSE),"")</f>
        <v>https://www.ncbi.nlm.nih.gov/pubmed/17495874</v>
      </c>
      <c r="D1208" s="232" t="str">
        <f>IF(AND(A1208&lt;&gt;"",ISNUMBER(A1208)),VLOOKUP(A1208,Studies!A:BR,4,FALSE),"")</f>
        <v>ND-OH-ITZ day 7</v>
      </c>
      <c r="E1208" s="206" t="str">
        <f>IF(AND(A1208&lt;&gt;"",ISNUMBER(A1208)),VLOOKUP(A1208,Studies!A:BR,5,FALSE),"")</f>
        <v>N-desalkyl-Itraconazole</v>
      </c>
      <c r="F1208" s="207" t="str">
        <f>IF(AND(A1208&lt;&gt;"",ISNUMBER(A1208)),VLOOKUP(A1208,Studies!A:BR,6,FALSE),"")</f>
        <v>Plasma</v>
      </c>
      <c r="G1208" s="194">
        <v>144.5</v>
      </c>
      <c r="H1208" s="194" t="s">
        <v>60</v>
      </c>
      <c r="I1208" s="187">
        <v>15.746805816888809</v>
      </c>
      <c r="J1208" s="187" t="s">
        <v>1059</v>
      </c>
      <c r="K1208" s="187" t="s">
        <v>116</v>
      </c>
      <c r="L1208" s="195"/>
      <c r="M1208" s="195"/>
      <c r="N1208" s="195"/>
      <c r="O1208" s="199"/>
      <c r="P1208" s="188" t="s">
        <v>1122</v>
      </c>
      <c r="Q1208" s="174">
        <f>IF(ISNUMBER(VLOOKUP(A1208,NotghiID!A:A,1,FALSE)),1,0)</f>
        <v>0</v>
      </c>
    </row>
    <row r="1209" spans="1:17" ht="14.25" x14ac:dyDescent="0.2">
      <c r="A1209" s="183">
        <f t="shared" si="1"/>
        <v>479</v>
      </c>
      <c r="B1209" s="232" t="str">
        <f>IF(AND(A1209&lt;&gt;"",ISNUMBER(A1209)),VLOOKUP(A1209,Studies!A:BR,2,FALSE),"")</f>
        <v>Templeton 2008</v>
      </c>
      <c r="C1209" s="232" t="str">
        <f>IF(AND(A1209&lt;&gt;"",ISNUMBER(A1209)),VLOOKUP(A1209,Studies!A:BR,3,FALSE),"")</f>
        <v>https://www.ncbi.nlm.nih.gov/pubmed/17495874</v>
      </c>
      <c r="D1209" s="232" t="str">
        <f>IF(AND(A1209&lt;&gt;"",ISNUMBER(A1209)),VLOOKUP(A1209,Studies!A:BR,4,FALSE),"")</f>
        <v>ND-OH-ITZ day 7</v>
      </c>
      <c r="E1209" s="206" t="str">
        <f>IF(AND(A1209&lt;&gt;"",ISNUMBER(A1209)),VLOOKUP(A1209,Studies!A:BR,5,FALSE),"")</f>
        <v>N-desalkyl-Itraconazole</v>
      </c>
      <c r="F1209" s="207" t="str">
        <f>IF(AND(A1209&lt;&gt;"",ISNUMBER(A1209)),VLOOKUP(A1209,Studies!A:BR,6,FALSE),"")</f>
        <v>Plasma</v>
      </c>
      <c r="G1209" s="194">
        <v>145</v>
      </c>
      <c r="H1209" s="194" t="s">
        <v>60</v>
      </c>
      <c r="I1209" s="187">
        <v>17.471861094236374</v>
      </c>
      <c r="J1209" s="187" t="s">
        <v>1059</v>
      </c>
      <c r="K1209" s="187" t="s">
        <v>116</v>
      </c>
      <c r="L1209" s="195"/>
      <c r="M1209" s="195"/>
      <c r="N1209" s="195"/>
      <c r="O1209" s="199"/>
      <c r="P1209" s="188" t="s">
        <v>1122</v>
      </c>
      <c r="Q1209" s="174">
        <f>IF(ISNUMBER(VLOOKUP(A1209,NotghiID!A:A,1,FALSE)),1,0)</f>
        <v>0</v>
      </c>
    </row>
    <row r="1210" spans="1:17" ht="14.25" x14ac:dyDescent="0.2">
      <c r="A1210" s="183">
        <f t="shared" si="1"/>
        <v>479</v>
      </c>
      <c r="B1210" s="232" t="str">
        <f>IF(AND(A1210&lt;&gt;"",ISNUMBER(A1210)),VLOOKUP(A1210,Studies!A:BR,2,FALSE),"")</f>
        <v>Templeton 2008</v>
      </c>
      <c r="C1210" s="232" t="str">
        <f>IF(AND(A1210&lt;&gt;"",ISNUMBER(A1210)),VLOOKUP(A1210,Studies!A:BR,3,FALSE),"")</f>
        <v>https://www.ncbi.nlm.nih.gov/pubmed/17495874</v>
      </c>
      <c r="D1210" s="232" t="str">
        <f>IF(AND(A1210&lt;&gt;"",ISNUMBER(A1210)),VLOOKUP(A1210,Studies!A:BR,4,FALSE),"")</f>
        <v>ND-OH-ITZ day 7</v>
      </c>
      <c r="E1210" s="206" t="str">
        <f>IF(AND(A1210&lt;&gt;"",ISNUMBER(A1210)),VLOOKUP(A1210,Studies!A:BR,5,FALSE),"")</f>
        <v>N-desalkyl-Itraconazole</v>
      </c>
      <c r="F1210" s="207" t="str">
        <f>IF(AND(A1210&lt;&gt;"",ISNUMBER(A1210)),VLOOKUP(A1210,Studies!A:BR,6,FALSE),"")</f>
        <v>Plasma</v>
      </c>
      <c r="G1210" s="194">
        <v>146</v>
      </c>
      <c r="H1210" s="194" t="s">
        <v>60</v>
      </c>
      <c r="I1210" s="187">
        <v>17.471861094236374</v>
      </c>
      <c r="J1210" s="187" t="s">
        <v>1059</v>
      </c>
      <c r="K1210" s="187" t="s">
        <v>116</v>
      </c>
      <c r="L1210" s="195"/>
      <c r="M1210" s="195"/>
      <c r="N1210" s="195"/>
      <c r="O1210" s="199"/>
      <c r="P1210" s="188" t="s">
        <v>1122</v>
      </c>
      <c r="Q1210" s="174">
        <f>IF(ISNUMBER(VLOOKUP(A1210,NotghiID!A:A,1,FALSE)),1,0)</f>
        <v>0</v>
      </c>
    </row>
    <row r="1211" spans="1:17" ht="14.25" x14ac:dyDescent="0.2">
      <c r="A1211" s="183">
        <f t="shared" si="1"/>
        <v>479</v>
      </c>
      <c r="B1211" s="232" t="str">
        <f>IF(AND(A1211&lt;&gt;"",ISNUMBER(A1211)),VLOOKUP(A1211,Studies!A:BR,2,FALSE),"")</f>
        <v>Templeton 2008</v>
      </c>
      <c r="C1211" s="232" t="str">
        <f>IF(AND(A1211&lt;&gt;"",ISNUMBER(A1211)),VLOOKUP(A1211,Studies!A:BR,3,FALSE),"")</f>
        <v>https://www.ncbi.nlm.nih.gov/pubmed/17495874</v>
      </c>
      <c r="D1211" s="232" t="str">
        <f>IF(AND(A1211&lt;&gt;"",ISNUMBER(A1211)),VLOOKUP(A1211,Studies!A:BR,4,FALSE),"")</f>
        <v>ND-OH-ITZ day 7</v>
      </c>
      <c r="E1211" s="206" t="str">
        <f>IF(AND(A1211&lt;&gt;"",ISNUMBER(A1211)),VLOOKUP(A1211,Studies!A:BR,5,FALSE),"")</f>
        <v>N-desalkyl-Itraconazole</v>
      </c>
      <c r="F1211" s="207" t="str">
        <f>IF(AND(A1211&lt;&gt;"",ISNUMBER(A1211)),VLOOKUP(A1211,Studies!A:BR,6,FALSE),"")</f>
        <v>Plasma</v>
      </c>
      <c r="G1211" s="194">
        <v>147</v>
      </c>
      <c r="H1211" s="194" t="s">
        <v>60</v>
      </c>
      <c r="I1211" s="187">
        <v>17.471861094236374</v>
      </c>
      <c r="J1211" s="187" t="s">
        <v>1059</v>
      </c>
      <c r="K1211" s="187" t="s">
        <v>116</v>
      </c>
      <c r="L1211" s="195"/>
      <c r="M1211" s="195"/>
      <c r="N1211" s="195"/>
      <c r="O1211" s="199"/>
      <c r="P1211" s="188" t="s">
        <v>1122</v>
      </c>
      <c r="Q1211" s="174">
        <f>IF(ISNUMBER(VLOOKUP(A1211,NotghiID!A:A,1,FALSE)),1,0)</f>
        <v>0</v>
      </c>
    </row>
    <row r="1212" spans="1:17" ht="14.25" x14ac:dyDescent="0.2">
      <c r="A1212" s="183">
        <f t="shared" si="1"/>
        <v>479</v>
      </c>
      <c r="B1212" s="232" t="str">
        <f>IF(AND(A1212&lt;&gt;"",ISNUMBER(A1212)),VLOOKUP(A1212,Studies!A:BR,2,FALSE),"")</f>
        <v>Templeton 2008</v>
      </c>
      <c r="C1212" s="232" t="str">
        <f>IF(AND(A1212&lt;&gt;"",ISNUMBER(A1212)),VLOOKUP(A1212,Studies!A:BR,3,FALSE),"")</f>
        <v>https://www.ncbi.nlm.nih.gov/pubmed/17495874</v>
      </c>
      <c r="D1212" s="232" t="str">
        <f>IF(AND(A1212&lt;&gt;"",ISNUMBER(A1212)),VLOOKUP(A1212,Studies!A:BR,4,FALSE),"")</f>
        <v>ND-OH-ITZ day 7</v>
      </c>
      <c r="E1212" s="206" t="str">
        <f>IF(AND(A1212&lt;&gt;"",ISNUMBER(A1212)),VLOOKUP(A1212,Studies!A:BR,5,FALSE),"")</f>
        <v>N-desalkyl-Itraconazole</v>
      </c>
      <c r="F1212" s="207" t="str">
        <f>IF(AND(A1212&lt;&gt;"",ISNUMBER(A1212)),VLOOKUP(A1212,Studies!A:BR,6,FALSE),"")</f>
        <v>Plasma</v>
      </c>
      <c r="G1212" s="194">
        <v>148</v>
      </c>
      <c r="H1212" s="194" t="s">
        <v>60</v>
      </c>
      <c r="I1212" s="187">
        <v>15.91135747730732</v>
      </c>
      <c r="J1212" s="187" t="s">
        <v>1059</v>
      </c>
      <c r="K1212" s="187" t="s">
        <v>116</v>
      </c>
      <c r="L1212" s="195"/>
      <c r="M1212" s="195"/>
      <c r="N1212" s="195"/>
      <c r="O1212" s="199"/>
      <c r="P1212" s="188" t="s">
        <v>1122</v>
      </c>
      <c r="Q1212" s="174">
        <f>IF(ISNUMBER(VLOOKUP(A1212,NotghiID!A:A,1,FALSE)),1,0)</f>
        <v>0</v>
      </c>
    </row>
    <row r="1213" spans="1:17" ht="14.25" x14ac:dyDescent="0.2">
      <c r="A1213" s="183">
        <f t="shared" si="1"/>
        <v>479</v>
      </c>
      <c r="B1213" s="232" t="str">
        <f>IF(AND(A1213&lt;&gt;"",ISNUMBER(A1213)),VLOOKUP(A1213,Studies!A:BR,2,FALSE),"")</f>
        <v>Templeton 2008</v>
      </c>
      <c r="C1213" s="232" t="str">
        <f>IF(AND(A1213&lt;&gt;"",ISNUMBER(A1213)),VLOOKUP(A1213,Studies!A:BR,3,FALSE),"")</f>
        <v>https://www.ncbi.nlm.nih.gov/pubmed/17495874</v>
      </c>
      <c r="D1213" s="232" t="str">
        <f>IF(AND(A1213&lt;&gt;"",ISNUMBER(A1213)),VLOOKUP(A1213,Studies!A:BR,4,FALSE),"")</f>
        <v>ND-OH-ITZ day 7</v>
      </c>
      <c r="E1213" s="206" t="str">
        <f>IF(AND(A1213&lt;&gt;"",ISNUMBER(A1213)),VLOOKUP(A1213,Studies!A:BR,5,FALSE),"")</f>
        <v>N-desalkyl-Itraconazole</v>
      </c>
      <c r="F1213" s="207" t="str">
        <f>IF(AND(A1213&lt;&gt;"",ISNUMBER(A1213)),VLOOKUP(A1213,Studies!A:BR,6,FALSE),"")</f>
        <v>Plasma</v>
      </c>
      <c r="G1213" s="194">
        <v>150</v>
      </c>
      <c r="H1213" s="194" t="s">
        <v>60</v>
      </c>
      <c r="I1213" s="187">
        <v>17.654437571763992</v>
      </c>
      <c r="J1213" s="187" t="s">
        <v>1059</v>
      </c>
      <c r="K1213" s="187" t="s">
        <v>116</v>
      </c>
      <c r="L1213" s="195"/>
      <c r="M1213" s="195"/>
      <c r="N1213" s="195"/>
      <c r="O1213" s="199"/>
      <c r="P1213" s="188" t="s">
        <v>1122</v>
      </c>
      <c r="Q1213" s="174">
        <f>IF(ISNUMBER(VLOOKUP(A1213,NotghiID!A:A,1,FALSE)),1,0)</f>
        <v>0</v>
      </c>
    </row>
    <row r="1214" spans="1:17" ht="14.25" x14ac:dyDescent="0.2">
      <c r="A1214" s="183">
        <f t="shared" si="1"/>
        <v>479</v>
      </c>
      <c r="B1214" s="232" t="str">
        <f>IF(AND(A1214&lt;&gt;"",ISNUMBER(A1214)),VLOOKUP(A1214,Studies!A:BR,2,FALSE),"")</f>
        <v>Templeton 2008</v>
      </c>
      <c r="C1214" s="232" t="str">
        <f>IF(AND(A1214&lt;&gt;"",ISNUMBER(A1214)),VLOOKUP(A1214,Studies!A:BR,3,FALSE),"")</f>
        <v>https://www.ncbi.nlm.nih.gov/pubmed/17495874</v>
      </c>
      <c r="D1214" s="232" t="str">
        <f>IF(AND(A1214&lt;&gt;"",ISNUMBER(A1214)),VLOOKUP(A1214,Studies!A:BR,4,FALSE),"")</f>
        <v>ND-OH-ITZ day 7</v>
      </c>
      <c r="E1214" s="206" t="str">
        <f>IF(AND(A1214&lt;&gt;"",ISNUMBER(A1214)),VLOOKUP(A1214,Studies!A:BR,5,FALSE),"")</f>
        <v>N-desalkyl-Itraconazole</v>
      </c>
      <c r="F1214" s="207" t="str">
        <f>IF(AND(A1214&lt;&gt;"",ISNUMBER(A1214)),VLOOKUP(A1214,Studies!A:BR,6,FALSE),"")</f>
        <v>Plasma</v>
      </c>
      <c r="G1214" s="194">
        <v>152</v>
      </c>
      <c r="H1214" s="194" t="s">
        <v>60</v>
      </c>
      <c r="I1214" s="187">
        <v>18.02532933652401</v>
      </c>
      <c r="J1214" s="187" t="s">
        <v>1059</v>
      </c>
      <c r="K1214" s="187" t="s">
        <v>116</v>
      </c>
      <c r="L1214" s="195"/>
      <c r="M1214" s="195"/>
      <c r="N1214" s="195"/>
      <c r="O1214" s="199"/>
      <c r="P1214" s="188" t="s">
        <v>1122</v>
      </c>
      <c r="Q1214" s="174">
        <f>IF(ISNUMBER(VLOOKUP(A1214,NotghiID!A:A,1,FALSE)),1,0)</f>
        <v>0</v>
      </c>
    </row>
    <row r="1215" spans="1:17" ht="14.25" x14ac:dyDescent="0.2">
      <c r="A1215" s="183">
        <f t="shared" si="1"/>
        <v>479</v>
      </c>
      <c r="B1215" s="232" t="str">
        <f>IF(AND(A1215&lt;&gt;"",ISNUMBER(A1215)),VLOOKUP(A1215,Studies!A:BR,2,FALSE),"")</f>
        <v>Templeton 2008</v>
      </c>
      <c r="C1215" s="232" t="str">
        <f>IF(AND(A1215&lt;&gt;"",ISNUMBER(A1215)),VLOOKUP(A1215,Studies!A:BR,3,FALSE),"")</f>
        <v>https://www.ncbi.nlm.nih.gov/pubmed/17495874</v>
      </c>
      <c r="D1215" s="232" t="str">
        <f>IF(AND(A1215&lt;&gt;"",ISNUMBER(A1215)),VLOOKUP(A1215,Studies!A:BR,4,FALSE),"")</f>
        <v>ND-OH-ITZ day 7</v>
      </c>
      <c r="E1215" s="206" t="str">
        <f>IF(AND(A1215&lt;&gt;"",ISNUMBER(A1215)),VLOOKUP(A1215,Studies!A:BR,5,FALSE),"")</f>
        <v>N-desalkyl-Itraconazole</v>
      </c>
      <c r="F1215" s="207" t="str">
        <f>IF(AND(A1215&lt;&gt;"",ISNUMBER(A1215)),VLOOKUP(A1215,Studies!A:BR,6,FALSE),"")</f>
        <v>Plasma</v>
      </c>
      <c r="G1215" s="194">
        <v>156</v>
      </c>
      <c r="H1215" s="194" t="s">
        <v>60</v>
      </c>
      <c r="I1215" s="187">
        <v>18.02532933652401</v>
      </c>
      <c r="J1215" s="187" t="s">
        <v>1059</v>
      </c>
      <c r="K1215" s="187" t="s">
        <v>116</v>
      </c>
      <c r="L1215" s="195"/>
      <c r="M1215" s="195"/>
      <c r="N1215" s="195"/>
      <c r="O1215" s="199"/>
      <c r="P1215" s="188" t="s">
        <v>1122</v>
      </c>
      <c r="Q1215" s="174">
        <f>IF(ISNUMBER(VLOOKUP(A1215,NotghiID!A:A,1,FALSE)),1,0)</f>
        <v>0</v>
      </c>
    </row>
    <row r="1216" spans="1:17" ht="14.25" x14ac:dyDescent="0.2">
      <c r="A1216" s="183">
        <f t="shared" si="1"/>
        <v>479</v>
      </c>
      <c r="B1216" s="232" t="str">
        <f>IF(AND(A1216&lt;&gt;"",ISNUMBER(A1216)),VLOOKUP(A1216,Studies!A:BR,2,FALSE),"")</f>
        <v>Templeton 2008</v>
      </c>
      <c r="C1216" s="232" t="str">
        <f>IF(AND(A1216&lt;&gt;"",ISNUMBER(A1216)),VLOOKUP(A1216,Studies!A:BR,3,FALSE),"")</f>
        <v>https://www.ncbi.nlm.nih.gov/pubmed/17495874</v>
      </c>
      <c r="D1216" s="232" t="str">
        <f>IF(AND(A1216&lt;&gt;"",ISNUMBER(A1216)),VLOOKUP(A1216,Studies!A:BR,4,FALSE),"")</f>
        <v>ND-OH-ITZ day 7</v>
      </c>
      <c r="E1216" s="206" t="str">
        <f>IF(AND(A1216&lt;&gt;"",ISNUMBER(A1216)),VLOOKUP(A1216,Studies!A:BR,5,FALSE),"")</f>
        <v>N-desalkyl-Itraconazole</v>
      </c>
      <c r="F1216" s="207" t="str">
        <f>IF(AND(A1216&lt;&gt;"",ISNUMBER(A1216)),VLOOKUP(A1216,Studies!A:BR,6,FALSE),"")</f>
        <v>Plasma</v>
      </c>
      <c r="G1216" s="194">
        <v>168</v>
      </c>
      <c r="H1216" s="194" t="s">
        <v>60</v>
      </c>
      <c r="I1216" s="187">
        <v>18.02532933652401</v>
      </c>
      <c r="J1216" s="187" t="s">
        <v>1059</v>
      </c>
      <c r="K1216" s="187" t="s">
        <v>116</v>
      </c>
      <c r="L1216" s="195"/>
      <c r="M1216" s="195"/>
      <c r="N1216" s="195"/>
      <c r="O1216" s="199"/>
      <c r="P1216" s="188" t="s">
        <v>1122</v>
      </c>
      <c r="Q1216" s="174">
        <f>IF(ISNUMBER(VLOOKUP(A1216,NotghiID!A:A,1,FALSE)),1,0)</f>
        <v>0</v>
      </c>
    </row>
    <row r="1217" spans="1:17" ht="14.25" x14ac:dyDescent="0.2">
      <c r="A1217" s="183">
        <v>480</v>
      </c>
      <c r="B1217" s="232" t="str">
        <f>IF(AND(A1217&lt;&gt;"",ISNUMBER(A1217)),VLOOKUP(A1217,Studies!A:BR,2,FALSE),"")</f>
        <v>Van de Velde 1996</v>
      </c>
      <c r="C1217" s="232" t="str">
        <f>IF(AND(A1217&lt;&gt;"",ISNUMBER(A1217)),VLOOKUP(A1217,Studies!A:BR,3,FALSE),"")</f>
        <v>https://www.ncbi.nlm.nih.gov/pubmed/8726601</v>
      </c>
      <c r="D1217" s="232" t="str">
        <f>IF(AND(A1217&lt;&gt;"",ISNUMBER(A1217)),VLOOKUP(A1217,Studies!A:BR,4,FALSE),"")</f>
        <v>Fasting ITZ</v>
      </c>
      <c r="E1217" s="206" t="str">
        <f>IF(AND(A1217&lt;&gt;"",ISNUMBER(A1217)),VLOOKUP(A1217,Studies!A:BR,5,FALSE),"")</f>
        <v>Itraconazole</v>
      </c>
      <c r="F1217" s="207" t="str">
        <f>IF(AND(A1217&lt;&gt;"",ISNUMBER(A1217)),VLOOKUP(A1217,Studies!A:BR,6,FALSE),"")</f>
        <v>Plasma</v>
      </c>
      <c r="G1217" s="194">
        <v>0.5</v>
      </c>
      <c r="H1217" s="194" t="s">
        <v>60</v>
      </c>
      <c r="I1217" s="187">
        <v>84.203064441680908</v>
      </c>
      <c r="J1217" s="187" t="s">
        <v>1026</v>
      </c>
      <c r="K1217" s="187" t="s">
        <v>116</v>
      </c>
      <c r="L1217" s="195"/>
      <c r="M1217" s="195"/>
      <c r="N1217" s="195"/>
      <c r="O1217" s="199"/>
      <c r="P1217" s="188"/>
      <c r="Q1217" s="174">
        <f>IF(ISNUMBER(VLOOKUP(A1217,NotghiID!A:A,1,FALSE)),1,0)</f>
        <v>0</v>
      </c>
    </row>
    <row r="1218" spans="1:17" ht="14.25" x14ac:dyDescent="0.2">
      <c r="A1218" s="183">
        <v>480</v>
      </c>
      <c r="B1218" s="232" t="str">
        <f>IF(AND(A1218&lt;&gt;"",ISNUMBER(A1218)),VLOOKUP(A1218,Studies!A:BR,2,FALSE),"")</f>
        <v>Van de Velde 1996</v>
      </c>
      <c r="C1218" s="232" t="str">
        <f>IF(AND(A1218&lt;&gt;"",ISNUMBER(A1218)),VLOOKUP(A1218,Studies!A:BR,3,FALSE),"")</f>
        <v>https://www.ncbi.nlm.nih.gov/pubmed/8726601</v>
      </c>
      <c r="D1218" s="232" t="str">
        <f>IF(AND(A1218&lt;&gt;"",ISNUMBER(A1218)),VLOOKUP(A1218,Studies!A:BR,4,FALSE),"")</f>
        <v>Fasting ITZ</v>
      </c>
      <c r="E1218" s="206" t="str">
        <f>IF(AND(A1218&lt;&gt;"",ISNUMBER(A1218)),VLOOKUP(A1218,Studies!A:BR,5,FALSE),"")</f>
        <v>Itraconazole</v>
      </c>
      <c r="F1218" s="207" t="str">
        <f>IF(AND(A1218&lt;&gt;"",ISNUMBER(A1218)),VLOOKUP(A1218,Studies!A:BR,6,FALSE),"")</f>
        <v>Plasma</v>
      </c>
      <c r="G1218" s="194">
        <v>1</v>
      </c>
      <c r="H1218" s="194" t="s">
        <v>60</v>
      </c>
      <c r="I1218" s="187">
        <v>288.36745023727417</v>
      </c>
      <c r="J1218" s="187" t="s">
        <v>1026</v>
      </c>
      <c r="K1218" s="187" t="s">
        <v>116</v>
      </c>
      <c r="L1218" s="195"/>
      <c r="M1218" s="195"/>
      <c r="N1218" s="195"/>
      <c r="O1218" s="199"/>
      <c r="P1218" s="188"/>
      <c r="Q1218" s="174">
        <f>IF(ISNUMBER(VLOOKUP(A1218,NotghiID!A:A,1,FALSE)),1,0)</f>
        <v>0</v>
      </c>
    </row>
    <row r="1219" spans="1:17" ht="14.25" x14ac:dyDescent="0.2">
      <c r="A1219" s="183">
        <v>480</v>
      </c>
      <c r="B1219" s="232" t="str">
        <f>IF(AND(A1219&lt;&gt;"",ISNUMBER(A1219)),VLOOKUP(A1219,Studies!A:BR,2,FALSE),"")</f>
        <v>Van de Velde 1996</v>
      </c>
      <c r="C1219" s="232" t="str">
        <f>IF(AND(A1219&lt;&gt;"",ISNUMBER(A1219)),VLOOKUP(A1219,Studies!A:BR,3,FALSE),"")</f>
        <v>https://www.ncbi.nlm.nih.gov/pubmed/8726601</v>
      </c>
      <c r="D1219" s="232" t="str">
        <f>IF(AND(A1219&lt;&gt;"",ISNUMBER(A1219)),VLOOKUP(A1219,Studies!A:BR,4,FALSE),"")</f>
        <v>Fasting ITZ</v>
      </c>
      <c r="E1219" s="206" t="str">
        <f>IF(AND(A1219&lt;&gt;"",ISNUMBER(A1219)),VLOOKUP(A1219,Studies!A:BR,5,FALSE),"")</f>
        <v>Itraconazole</v>
      </c>
      <c r="F1219" s="207" t="str">
        <f>IF(AND(A1219&lt;&gt;"",ISNUMBER(A1219)),VLOOKUP(A1219,Studies!A:BR,6,FALSE),"")</f>
        <v>Plasma</v>
      </c>
      <c r="G1219" s="194">
        <v>1.5</v>
      </c>
      <c r="H1219" s="194" t="s">
        <v>60</v>
      </c>
      <c r="I1219" s="187">
        <v>342.28420257568359</v>
      </c>
      <c r="J1219" s="187" t="s">
        <v>1026</v>
      </c>
      <c r="K1219" s="187" t="s">
        <v>116</v>
      </c>
      <c r="L1219" s="195"/>
      <c r="M1219" s="195"/>
      <c r="N1219" s="195"/>
      <c r="O1219" s="199"/>
      <c r="P1219" s="188"/>
      <c r="Q1219" s="174">
        <f>IF(ISNUMBER(VLOOKUP(A1219,NotghiID!A:A,1,FALSE)),1,0)</f>
        <v>0</v>
      </c>
    </row>
    <row r="1220" spans="1:17" ht="14.25" x14ac:dyDescent="0.2">
      <c r="A1220" s="183">
        <v>480</v>
      </c>
      <c r="B1220" s="232" t="str">
        <f>IF(AND(A1220&lt;&gt;"",ISNUMBER(A1220)),VLOOKUP(A1220,Studies!A:BR,2,FALSE),"")</f>
        <v>Van de Velde 1996</v>
      </c>
      <c r="C1220" s="232" t="str">
        <f>IF(AND(A1220&lt;&gt;"",ISNUMBER(A1220)),VLOOKUP(A1220,Studies!A:BR,3,FALSE),"")</f>
        <v>https://www.ncbi.nlm.nih.gov/pubmed/8726601</v>
      </c>
      <c r="D1220" s="232" t="str">
        <f>IF(AND(A1220&lt;&gt;"",ISNUMBER(A1220)),VLOOKUP(A1220,Studies!A:BR,4,FALSE),"")</f>
        <v>Fasting ITZ</v>
      </c>
      <c r="E1220" s="206" t="str">
        <f>IF(AND(A1220&lt;&gt;"",ISNUMBER(A1220)),VLOOKUP(A1220,Studies!A:BR,5,FALSE),"")</f>
        <v>Itraconazole</v>
      </c>
      <c r="F1220" s="207" t="str">
        <f>IF(AND(A1220&lt;&gt;"",ISNUMBER(A1220)),VLOOKUP(A1220,Studies!A:BR,6,FALSE),"")</f>
        <v>Plasma</v>
      </c>
      <c r="G1220" s="194">
        <v>2</v>
      </c>
      <c r="H1220" s="194" t="s">
        <v>60</v>
      </c>
      <c r="I1220" s="187">
        <v>331.7815363407135</v>
      </c>
      <c r="J1220" s="187" t="s">
        <v>1026</v>
      </c>
      <c r="K1220" s="187" t="s">
        <v>116</v>
      </c>
      <c r="L1220" s="195"/>
      <c r="M1220" s="195"/>
      <c r="N1220" s="195"/>
      <c r="O1220" s="199"/>
      <c r="P1220" s="188"/>
      <c r="Q1220" s="174">
        <f>IF(ISNUMBER(VLOOKUP(A1220,NotghiID!A:A,1,FALSE)),1,0)</f>
        <v>0</v>
      </c>
    </row>
    <row r="1221" spans="1:17" ht="14.25" x14ac:dyDescent="0.2">
      <c r="A1221" s="183">
        <v>480</v>
      </c>
      <c r="B1221" s="232" t="str">
        <f>IF(AND(A1221&lt;&gt;"",ISNUMBER(A1221)),VLOOKUP(A1221,Studies!A:BR,2,FALSE),"")</f>
        <v>Van de Velde 1996</v>
      </c>
      <c r="C1221" s="232" t="str">
        <f>IF(AND(A1221&lt;&gt;"",ISNUMBER(A1221)),VLOOKUP(A1221,Studies!A:BR,3,FALSE),"")</f>
        <v>https://www.ncbi.nlm.nih.gov/pubmed/8726601</v>
      </c>
      <c r="D1221" s="232" t="str">
        <f>IF(AND(A1221&lt;&gt;"",ISNUMBER(A1221)),VLOOKUP(A1221,Studies!A:BR,4,FALSE),"")</f>
        <v>Fasting ITZ</v>
      </c>
      <c r="E1221" s="206" t="str">
        <f>IF(AND(A1221&lt;&gt;"",ISNUMBER(A1221)),VLOOKUP(A1221,Studies!A:BR,5,FALSE),"")</f>
        <v>Itraconazole</v>
      </c>
      <c r="F1221" s="207" t="str">
        <f>IF(AND(A1221&lt;&gt;"",ISNUMBER(A1221)),VLOOKUP(A1221,Studies!A:BR,6,FALSE),"")</f>
        <v>Plasma</v>
      </c>
      <c r="G1221" s="194">
        <v>3</v>
      </c>
      <c r="H1221" s="194" t="s">
        <v>60</v>
      </c>
      <c r="I1221" s="187">
        <v>242.94382333755493</v>
      </c>
      <c r="J1221" s="187" t="s">
        <v>1026</v>
      </c>
      <c r="K1221" s="187" t="s">
        <v>116</v>
      </c>
      <c r="L1221" s="195"/>
      <c r="M1221" s="195"/>
      <c r="N1221" s="195"/>
      <c r="O1221" s="199"/>
      <c r="P1221" s="188"/>
      <c r="Q1221" s="174">
        <f>IF(ISNUMBER(VLOOKUP(A1221,NotghiID!A:A,1,FALSE)),1,0)</f>
        <v>0</v>
      </c>
    </row>
    <row r="1222" spans="1:17" ht="14.25" x14ac:dyDescent="0.2">
      <c r="A1222" s="183">
        <v>480</v>
      </c>
      <c r="B1222" s="232" t="str">
        <f>IF(AND(A1222&lt;&gt;"",ISNUMBER(A1222)),VLOOKUP(A1222,Studies!A:BR,2,FALSE),"")</f>
        <v>Van de Velde 1996</v>
      </c>
      <c r="C1222" s="232" t="str">
        <f>IF(AND(A1222&lt;&gt;"",ISNUMBER(A1222)),VLOOKUP(A1222,Studies!A:BR,3,FALSE),"")</f>
        <v>https://www.ncbi.nlm.nih.gov/pubmed/8726601</v>
      </c>
      <c r="D1222" s="232" t="str">
        <f>IF(AND(A1222&lt;&gt;"",ISNUMBER(A1222)),VLOOKUP(A1222,Studies!A:BR,4,FALSE),"")</f>
        <v>Fasting ITZ</v>
      </c>
      <c r="E1222" s="206" t="str">
        <f>IF(AND(A1222&lt;&gt;"",ISNUMBER(A1222)),VLOOKUP(A1222,Studies!A:BR,5,FALSE),"")</f>
        <v>Itraconazole</v>
      </c>
      <c r="F1222" s="207" t="str">
        <f>IF(AND(A1222&lt;&gt;"",ISNUMBER(A1222)),VLOOKUP(A1222,Studies!A:BR,6,FALSE),"")</f>
        <v>Plasma</v>
      </c>
      <c r="G1222" s="194">
        <v>4</v>
      </c>
      <c r="H1222" s="194" t="s">
        <v>60</v>
      </c>
      <c r="I1222" s="187">
        <v>186.40665709972382</v>
      </c>
      <c r="J1222" s="187" t="s">
        <v>1026</v>
      </c>
      <c r="K1222" s="187" t="s">
        <v>116</v>
      </c>
      <c r="L1222" s="195"/>
      <c r="M1222" s="195"/>
      <c r="N1222" s="195"/>
      <c r="O1222" s="199"/>
      <c r="P1222" s="188"/>
      <c r="Q1222" s="174">
        <f>IF(ISNUMBER(VLOOKUP(A1222,NotghiID!A:A,1,FALSE)),1,0)</f>
        <v>0</v>
      </c>
    </row>
    <row r="1223" spans="1:17" ht="14.25" x14ac:dyDescent="0.2">
      <c r="A1223" s="183">
        <v>480</v>
      </c>
      <c r="B1223" s="232" t="str">
        <f>IF(AND(A1223&lt;&gt;"",ISNUMBER(A1223)),VLOOKUP(A1223,Studies!A:BR,2,FALSE),"")</f>
        <v>Van de Velde 1996</v>
      </c>
      <c r="C1223" s="232" t="str">
        <f>IF(AND(A1223&lt;&gt;"",ISNUMBER(A1223)),VLOOKUP(A1223,Studies!A:BR,3,FALSE),"")</f>
        <v>https://www.ncbi.nlm.nih.gov/pubmed/8726601</v>
      </c>
      <c r="D1223" s="232" t="str">
        <f>IF(AND(A1223&lt;&gt;"",ISNUMBER(A1223)),VLOOKUP(A1223,Studies!A:BR,4,FALSE),"")</f>
        <v>Fasting ITZ</v>
      </c>
      <c r="E1223" s="206" t="str">
        <f>IF(AND(A1223&lt;&gt;"",ISNUMBER(A1223)),VLOOKUP(A1223,Studies!A:BR,5,FALSE),"")</f>
        <v>Itraconazole</v>
      </c>
      <c r="F1223" s="207" t="str">
        <f>IF(AND(A1223&lt;&gt;"",ISNUMBER(A1223)),VLOOKUP(A1223,Studies!A:BR,6,FALSE),"")</f>
        <v>Plasma</v>
      </c>
      <c r="G1223" s="194">
        <v>6</v>
      </c>
      <c r="H1223" s="194" t="s">
        <v>60</v>
      </c>
      <c r="I1223" s="187">
        <v>106.37455433607101</v>
      </c>
      <c r="J1223" s="187" t="s">
        <v>1026</v>
      </c>
      <c r="K1223" s="187" t="s">
        <v>116</v>
      </c>
      <c r="L1223" s="195"/>
      <c r="M1223" s="195"/>
      <c r="N1223" s="195"/>
      <c r="O1223" s="199"/>
      <c r="P1223" s="188"/>
      <c r="Q1223" s="174">
        <f>IF(ISNUMBER(VLOOKUP(A1223,NotghiID!A:A,1,FALSE)),1,0)</f>
        <v>0</v>
      </c>
    </row>
    <row r="1224" spans="1:17" ht="14.25" x14ac:dyDescent="0.2">
      <c r="A1224" s="183">
        <v>480</v>
      </c>
      <c r="B1224" s="232" t="str">
        <f>IF(AND(A1224&lt;&gt;"",ISNUMBER(A1224)),VLOOKUP(A1224,Studies!A:BR,2,FALSE),"")</f>
        <v>Van de Velde 1996</v>
      </c>
      <c r="C1224" s="232" t="str">
        <f>IF(AND(A1224&lt;&gt;"",ISNUMBER(A1224)),VLOOKUP(A1224,Studies!A:BR,3,FALSE),"")</f>
        <v>https://www.ncbi.nlm.nih.gov/pubmed/8726601</v>
      </c>
      <c r="D1224" s="232" t="str">
        <f>IF(AND(A1224&lt;&gt;"",ISNUMBER(A1224)),VLOOKUP(A1224,Studies!A:BR,4,FALSE),"")</f>
        <v>Fasting ITZ</v>
      </c>
      <c r="E1224" s="206" t="str">
        <f>IF(AND(A1224&lt;&gt;"",ISNUMBER(A1224)),VLOOKUP(A1224,Studies!A:BR,5,FALSE),"")</f>
        <v>Itraconazole</v>
      </c>
      <c r="F1224" s="207" t="str">
        <f>IF(AND(A1224&lt;&gt;"",ISNUMBER(A1224)),VLOOKUP(A1224,Studies!A:BR,6,FALSE),"")</f>
        <v>Plasma</v>
      </c>
      <c r="G1224" s="194">
        <v>8</v>
      </c>
      <c r="H1224" s="194" t="s">
        <v>60</v>
      </c>
      <c r="I1224" s="187">
        <v>84.203064441680908</v>
      </c>
      <c r="J1224" s="187" t="s">
        <v>1026</v>
      </c>
      <c r="K1224" s="187" t="s">
        <v>116</v>
      </c>
      <c r="L1224" s="195"/>
      <c r="M1224" s="195"/>
      <c r="N1224" s="195"/>
      <c r="O1224" s="199"/>
      <c r="P1224" s="188"/>
      <c r="Q1224" s="174">
        <f>IF(ISNUMBER(VLOOKUP(A1224,NotghiID!A:A,1,FALSE)),1,0)</f>
        <v>0</v>
      </c>
    </row>
    <row r="1225" spans="1:17" ht="14.25" x14ac:dyDescent="0.2">
      <c r="A1225" s="183">
        <v>480</v>
      </c>
      <c r="B1225" s="232" t="str">
        <f>IF(AND(A1225&lt;&gt;"",ISNUMBER(A1225)),VLOOKUP(A1225,Studies!A:BR,2,FALSE),"")</f>
        <v>Van de Velde 1996</v>
      </c>
      <c r="C1225" s="232" t="str">
        <f>IF(AND(A1225&lt;&gt;"",ISNUMBER(A1225)),VLOOKUP(A1225,Studies!A:BR,3,FALSE),"")</f>
        <v>https://www.ncbi.nlm.nih.gov/pubmed/8726601</v>
      </c>
      <c r="D1225" s="232" t="str">
        <f>IF(AND(A1225&lt;&gt;"",ISNUMBER(A1225)),VLOOKUP(A1225,Studies!A:BR,4,FALSE),"")</f>
        <v>Fasting ITZ</v>
      </c>
      <c r="E1225" s="206" t="str">
        <f>IF(AND(A1225&lt;&gt;"",ISNUMBER(A1225)),VLOOKUP(A1225,Studies!A:BR,5,FALSE),"")</f>
        <v>Itraconazole</v>
      </c>
      <c r="F1225" s="207" t="str">
        <f>IF(AND(A1225&lt;&gt;"",ISNUMBER(A1225)),VLOOKUP(A1225,Studies!A:BR,6,FALSE),"")</f>
        <v>Plasma</v>
      </c>
      <c r="G1225" s="194">
        <v>24</v>
      </c>
      <c r="H1225" s="194" t="s">
        <v>60</v>
      </c>
      <c r="I1225" s="187">
        <v>33.578090369701385</v>
      </c>
      <c r="J1225" s="187" t="s">
        <v>1026</v>
      </c>
      <c r="K1225" s="187" t="s">
        <v>116</v>
      </c>
      <c r="L1225" s="195"/>
      <c r="M1225" s="195"/>
      <c r="N1225" s="195"/>
      <c r="O1225" s="199"/>
      <c r="P1225" s="188"/>
      <c r="Q1225" s="174">
        <f>IF(ISNUMBER(VLOOKUP(A1225,NotghiID!A:A,1,FALSE)),1,0)</f>
        <v>0</v>
      </c>
    </row>
    <row r="1226" spans="1:17" ht="14.25" x14ac:dyDescent="0.2">
      <c r="A1226" s="183">
        <v>480</v>
      </c>
      <c r="B1226" s="232" t="str">
        <f>IF(AND(A1226&lt;&gt;"",ISNUMBER(A1226)),VLOOKUP(A1226,Studies!A:BR,2,FALSE),"")</f>
        <v>Van de Velde 1996</v>
      </c>
      <c r="C1226" s="232" t="str">
        <f>IF(AND(A1226&lt;&gt;"",ISNUMBER(A1226)),VLOOKUP(A1226,Studies!A:BR,3,FALSE),"")</f>
        <v>https://www.ncbi.nlm.nih.gov/pubmed/8726601</v>
      </c>
      <c r="D1226" s="232" t="str">
        <f>IF(AND(A1226&lt;&gt;"",ISNUMBER(A1226)),VLOOKUP(A1226,Studies!A:BR,4,FALSE),"")</f>
        <v>Fasting ITZ</v>
      </c>
      <c r="E1226" s="206" t="str">
        <f>IF(AND(A1226&lt;&gt;"",ISNUMBER(A1226)),VLOOKUP(A1226,Studies!A:BR,5,FALSE),"")</f>
        <v>Itraconazole</v>
      </c>
      <c r="F1226" s="207" t="str">
        <f>IF(AND(A1226&lt;&gt;"",ISNUMBER(A1226)),VLOOKUP(A1226,Studies!A:BR,6,FALSE),"")</f>
        <v>Plasma</v>
      </c>
      <c r="G1226" s="194">
        <v>32</v>
      </c>
      <c r="H1226" s="194" t="s">
        <v>60</v>
      </c>
      <c r="I1226" s="187">
        <v>26.168501004576683</v>
      </c>
      <c r="J1226" s="187" t="s">
        <v>1026</v>
      </c>
      <c r="K1226" s="187" t="s">
        <v>116</v>
      </c>
      <c r="L1226" s="195"/>
      <c r="M1226" s="195"/>
      <c r="N1226" s="195"/>
      <c r="O1226" s="199"/>
      <c r="P1226" s="188"/>
      <c r="Q1226" s="174">
        <f>IF(ISNUMBER(VLOOKUP(A1226,NotghiID!A:A,1,FALSE)),1,0)</f>
        <v>0</v>
      </c>
    </row>
    <row r="1227" spans="1:17" ht="14.25" x14ac:dyDescent="0.2">
      <c r="A1227" s="183">
        <v>480</v>
      </c>
      <c r="B1227" s="232" t="str">
        <f>IF(AND(A1227&lt;&gt;"",ISNUMBER(A1227)),VLOOKUP(A1227,Studies!A:BR,2,FALSE),"")</f>
        <v>Van de Velde 1996</v>
      </c>
      <c r="C1227" s="232" t="str">
        <f>IF(AND(A1227&lt;&gt;"",ISNUMBER(A1227)),VLOOKUP(A1227,Studies!A:BR,3,FALSE),"")</f>
        <v>https://www.ncbi.nlm.nih.gov/pubmed/8726601</v>
      </c>
      <c r="D1227" s="232" t="str">
        <f>IF(AND(A1227&lt;&gt;"",ISNUMBER(A1227)),VLOOKUP(A1227,Studies!A:BR,4,FALSE),"")</f>
        <v>Fasting ITZ</v>
      </c>
      <c r="E1227" s="206" t="str">
        <f>IF(AND(A1227&lt;&gt;"",ISNUMBER(A1227)),VLOOKUP(A1227,Studies!A:BR,5,FALSE),"")</f>
        <v>Itraconazole</v>
      </c>
      <c r="F1227" s="207" t="str">
        <f>IF(AND(A1227&lt;&gt;"",ISNUMBER(A1227)),VLOOKUP(A1227,Studies!A:BR,6,FALSE),"")</f>
        <v>Plasma</v>
      </c>
      <c r="G1227" s="194">
        <v>48</v>
      </c>
      <c r="H1227" s="194" t="s">
        <v>60</v>
      </c>
      <c r="I1227" s="187">
        <v>16.654307022690773</v>
      </c>
      <c r="J1227" s="187" t="s">
        <v>1026</v>
      </c>
      <c r="K1227" s="187" t="s">
        <v>116</v>
      </c>
      <c r="L1227" s="195"/>
      <c r="M1227" s="195"/>
      <c r="N1227" s="195"/>
      <c r="O1227" s="199"/>
      <c r="P1227" s="188"/>
      <c r="Q1227" s="174">
        <f>IF(ISNUMBER(VLOOKUP(A1227,NotghiID!A:A,1,FALSE)),1,0)</f>
        <v>0</v>
      </c>
    </row>
    <row r="1228" spans="1:17" ht="14.25" x14ac:dyDescent="0.2">
      <c r="A1228" s="183">
        <v>480</v>
      </c>
      <c r="B1228" s="232" t="str">
        <f>IF(AND(A1228&lt;&gt;"",ISNUMBER(A1228)),VLOOKUP(A1228,Studies!A:BR,2,FALSE),"")</f>
        <v>Van de Velde 1996</v>
      </c>
      <c r="C1228" s="232" t="str">
        <f>IF(AND(A1228&lt;&gt;"",ISNUMBER(A1228)),VLOOKUP(A1228,Studies!A:BR,3,FALSE),"")</f>
        <v>https://www.ncbi.nlm.nih.gov/pubmed/8726601</v>
      </c>
      <c r="D1228" s="232" t="str">
        <f>IF(AND(A1228&lt;&gt;"",ISNUMBER(A1228)),VLOOKUP(A1228,Studies!A:BR,4,FALSE),"")</f>
        <v>Fasting ITZ</v>
      </c>
      <c r="E1228" s="206" t="str">
        <f>IF(AND(A1228&lt;&gt;"",ISNUMBER(A1228)),VLOOKUP(A1228,Studies!A:BR,5,FALSE),"")</f>
        <v>Itraconazole</v>
      </c>
      <c r="F1228" s="207" t="str">
        <f>IF(AND(A1228&lt;&gt;"",ISNUMBER(A1228)),VLOOKUP(A1228,Studies!A:BR,6,FALSE),"")</f>
        <v>Plasma</v>
      </c>
      <c r="G1228" s="194">
        <v>56</v>
      </c>
      <c r="H1228" s="194" t="s">
        <v>60</v>
      </c>
      <c r="I1228" s="187">
        <v>13.183076865971088</v>
      </c>
      <c r="J1228" s="187" t="s">
        <v>1026</v>
      </c>
      <c r="K1228" s="187" t="s">
        <v>116</v>
      </c>
      <c r="L1228" s="195"/>
      <c r="M1228" s="195"/>
      <c r="N1228" s="195"/>
      <c r="O1228" s="199"/>
      <c r="P1228" s="188"/>
      <c r="Q1228" s="174">
        <f>IF(ISNUMBER(VLOOKUP(A1228,NotghiID!A:A,1,FALSE)),1,0)</f>
        <v>0</v>
      </c>
    </row>
    <row r="1229" spans="1:17" ht="14.25" x14ac:dyDescent="0.2">
      <c r="A1229" s="183">
        <v>480</v>
      </c>
      <c r="B1229" s="232" t="str">
        <f>IF(AND(A1229&lt;&gt;"",ISNUMBER(A1229)),VLOOKUP(A1229,Studies!A:BR,2,FALSE),"")</f>
        <v>Van de Velde 1996</v>
      </c>
      <c r="C1229" s="232" t="str">
        <f>IF(AND(A1229&lt;&gt;"",ISNUMBER(A1229)),VLOOKUP(A1229,Studies!A:BR,3,FALSE),"")</f>
        <v>https://www.ncbi.nlm.nih.gov/pubmed/8726601</v>
      </c>
      <c r="D1229" s="232" t="str">
        <f>IF(AND(A1229&lt;&gt;"",ISNUMBER(A1229)),VLOOKUP(A1229,Studies!A:BR,4,FALSE),"")</f>
        <v>Fasting ITZ</v>
      </c>
      <c r="E1229" s="206" t="str">
        <f>IF(AND(A1229&lt;&gt;"",ISNUMBER(A1229)),VLOOKUP(A1229,Studies!A:BR,5,FALSE),"")</f>
        <v>Itraconazole</v>
      </c>
      <c r="F1229" s="207" t="str">
        <f>IF(AND(A1229&lt;&gt;"",ISNUMBER(A1229)),VLOOKUP(A1229,Studies!A:BR,6,FALSE),"")</f>
        <v>Plasma</v>
      </c>
      <c r="G1229" s="194">
        <v>72</v>
      </c>
      <c r="H1229" s="194" t="s">
        <v>60</v>
      </c>
      <c r="I1229" s="187">
        <v>9.356980212032795</v>
      </c>
      <c r="J1229" s="187" t="s">
        <v>1026</v>
      </c>
      <c r="K1229" s="187" t="s">
        <v>116</v>
      </c>
      <c r="L1229" s="195"/>
      <c r="M1229" s="195"/>
      <c r="N1229" s="195"/>
      <c r="O1229" s="199"/>
      <c r="P1229" s="188"/>
      <c r="Q1229" s="174">
        <f>IF(ISNUMBER(VLOOKUP(A1229,NotghiID!A:A,1,FALSE)),1,0)</f>
        <v>0</v>
      </c>
    </row>
    <row r="1230" spans="1:17" ht="14.25" x14ac:dyDescent="0.2">
      <c r="A1230" s="183">
        <v>480</v>
      </c>
      <c r="B1230" s="232" t="str">
        <f>IF(AND(A1230&lt;&gt;"",ISNUMBER(A1230)),VLOOKUP(A1230,Studies!A:BR,2,FALSE),"")</f>
        <v>Van de Velde 1996</v>
      </c>
      <c r="C1230" s="232" t="str">
        <f>IF(AND(A1230&lt;&gt;"",ISNUMBER(A1230)),VLOOKUP(A1230,Studies!A:BR,3,FALSE),"")</f>
        <v>https://www.ncbi.nlm.nih.gov/pubmed/8726601</v>
      </c>
      <c r="D1230" s="232" t="str">
        <f>IF(AND(A1230&lt;&gt;"",ISNUMBER(A1230)),VLOOKUP(A1230,Studies!A:BR,4,FALSE),"")</f>
        <v>Fasting ITZ</v>
      </c>
      <c r="E1230" s="206" t="str">
        <f>IF(AND(A1230&lt;&gt;"",ISNUMBER(A1230)),VLOOKUP(A1230,Studies!A:BR,5,FALSE),"")</f>
        <v>Itraconazole</v>
      </c>
      <c r="F1230" s="207" t="str">
        <f>IF(AND(A1230&lt;&gt;"",ISNUMBER(A1230)),VLOOKUP(A1230,Studies!A:BR,6,FALSE),"")</f>
        <v>Plasma</v>
      </c>
      <c r="G1230" s="194">
        <v>80</v>
      </c>
      <c r="H1230" s="194" t="s">
        <v>60</v>
      </c>
      <c r="I1230" s="187">
        <v>7.761180866509676</v>
      </c>
      <c r="J1230" s="187" t="s">
        <v>1026</v>
      </c>
      <c r="K1230" s="187" t="s">
        <v>116</v>
      </c>
      <c r="L1230" s="195"/>
      <c r="M1230" s="195"/>
      <c r="N1230" s="195"/>
      <c r="O1230" s="199"/>
      <c r="P1230" s="188"/>
      <c r="Q1230" s="174">
        <f>IF(ISNUMBER(VLOOKUP(A1230,NotghiID!A:A,1,FALSE)),1,0)</f>
        <v>0</v>
      </c>
    </row>
    <row r="1231" spans="1:17" ht="14.25" x14ac:dyDescent="0.2">
      <c r="A1231" s="183">
        <v>480</v>
      </c>
      <c r="B1231" s="232" t="str">
        <f>IF(AND(A1231&lt;&gt;"",ISNUMBER(A1231)),VLOOKUP(A1231,Studies!A:BR,2,FALSE),"")</f>
        <v>Van de Velde 1996</v>
      </c>
      <c r="C1231" s="232" t="str">
        <f>IF(AND(A1231&lt;&gt;"",ISNUMBER(A1231)),VLOOKUP(A1231,Studies!A:BR,3,FALSE),"")</f>
        <v>https://www.ncbi.nlm.nih.gov/pubmed/8726601</v>
      </c>
      <c r="D1231" s="232" t="str">
        <f>IF(AND(A1231&lt;&gt;"",ISNUMBER(A1231)),VLOOKUP(A1231,Studies!A:BR,4,FALSE),"")</f>
        <v>Fasting ITZ</v>
      </c>
      <c r="E1231" s="206" t="str">
        <f>IF(AND(A1231&lt;&gt;"",ISNUMBER(A1231)),VLOOKUP(A1231,Studies!A:BR,5,FALSE),"")</f>
        <v>Itraconazole</v>
      </c>
      <c r="F1231" s="207" t="str">
        <f>IF(AND(A1231&lt;&gt;"",ISNUMBER(A1231)),VLOOKUP(A1231,Studies!A:BR,6,FALSE),"")</f>
        <v>Plasma</v>
      </c>
      <c r="G1231" s="194">
        <v>96</v>
      </c>
      <c r="H1231" s="194" t="s">
        <v>60</v>
      </c>
      <c r="I1231" s="187">
        <v>5.4234978742897511</v>
      </c>
      <c r="J1231" s="187" t="s">
        <v>1026</v>
      </c>
      <c r="K1231" s="187" t="s">
        <v>116</v>
      </c>
      <c r="L1231" s="195"/>
      <c r="M1231" s="195"/>
      <c r="N1231" s="195"/>
      <c r="O1231" s="199"/>
      <c r="P1231" s="188"/>
      <c r="Q1231" s="174">
        <f>IF(ISNUMBER(VLOOKUP(A1231,NotghiID!A:A,1,FALSE)),1,0)</f>
        <v>0</v>
      </c>
    </row>
    <row r="1232" spans="1:17" ht="14.25" x14ac:dyDescent="0.2">
      <c r="A1232" s="183">
        <v>481</v>
      </c>
      <c r="B1232" s="232" t="str">
        <f>IF(AND(A1232&lt;&gt;"",ISNUMBER(A1232)),VLOOKUP(A1232,Studies!A:BR,2,FALSE),"")</f>
        <v>Van de Velde 1996</v>
      </c>
      <c r="C1232" s="232" t="str">
        <f>IF(AND(A1232&lt;&gt;"",ISNUMBER(A1232)),VLOOKUP(A1232,Studies!A:BR,3,FALSE),"")</f>
        <v>https://www.ncbi.nlm.nih.gov/pubmed/8726601</v>
      </c>
      <c r="D1232" s="232" t="str">
        <f>IF(AND(A1232&lt;&gt;"",ISNUMBER(A1232)),VLOOKUP(A1232,Studies!A:BR,4,FALSE),"")</f>
        <v>Fasting OH-ITZ</v>
      </c>
      <c r="E1232" s="206" t="str">
        <f>IF(AND(A1232&lt;&gt;"",ISNUMBER(A1232)),VLOOKUP(A1232,Studies!A:BR,5,FALSE),"")</f>
        <v>Hydroxy-Itraconazole</v>
      </c>
      <c r="F1232" s="207" t="str">
        <f>IF(AND(A1232&lt;&gt;"",ISNUMBER(A1232)),VLOOKUP(A1232,Studies!A:BR,6,FALSE),"")</f>
        <v>Plasma</v>
      </c>
      <c r="G1232" s="194">
        <v>0.5</v>
      </c>
      <c r="H1232" s="194" t="s">
        <v>60</v>
      </c>
      <c r="I1232" s="187">
        <v>71.011759340763092</v>
      </c>
      <c r="J1232" s="187" t="s">
        <v>1026</v>
      </c>
      <c r="K1232" s="187" t="s">
        <v>116</v>
      </c>
      <c r="L1232" s="195"/>
      <c r="M1232" s="195"/>
      <c r="N1232" s="195"/>
      <c r="O1232" s="199"/>
      <c r="P1232" s="188"/>
      <c r="Q1232" s="174">
        <f>IF(ISNUMBER(VLOOKUP(A1232,NotghiID!A:A,1,FALSE)),1,0)</f>
        <v>0</v>
      </c>
    </row>
    <row r="1233" spans="1:17" ht="14.25" x14ac:dyDescent="0.2">
      <c r="A1233" s="183">
        <v>481</v>
      </c>
      <c r="B1233" s="232" t="str">
        <f>IF(AND(A1233&lt;&gt;"",ISNUMBER(A1233)),VLOOKUP(A1233,Studies!A:BR,2,FALSE),"")</f>
        <v>Van de Velde 1996</v>
      </c>
      <c r="C1233" s="232" t="str">
        <f>IF(AND(A1233&lt;&gt;"",ISNUMBER(A1233)),VLOOKUP(A1233,Studies!A:BR,3,FALSE),"")</f>
        <v>https://www.ncbi.nlm.nih.gov/pubmed/8726601</v>
      </c>
      <c r="D1233" s="232" t="str">
        <f>IF(AND(A1233&lt;&gt;"",ISNUMBER(A1233)),VLOOKUP(A1233,Studies!A:BR,4,FALSE),"")</f>
        <v>Fasting OH-ITZ</v>
      </c>
      <c r="E1233" s="206" t="str">
        <f>IF(AND(A1233&lt;&gt;"",ISNUMBER(A1233)),VLOOKUP(A1233,Studies!A:BR,5,FALSE),"")</f>
        <v>Hydroxy-Itraconazole</v>
      </c>
      <c r="F1233" s="207" t="str">
        <f>IF(AND(A1233&lt;&gt;"",ISNUMBER(A1233)),VLOOKUP(A1233,Studies!A:BR,6,FALSE),"")</f>
        <v>Plasma</v>
      </c>
      <c r="G1233" s="194">
        <v>1</v>
      </c>
      <c r="H1233" s="194" t="s">
        <v>60</v>
      </c>
      <c r="I1233" s="187">
        <v>279.26045656204224</v>
      </c>
      <c r="J1233" s="187" t="s">
        <v>1026</v>
      </c>
      <c r="K1233" s="187" t="s">
        <v>116</v>
      </c>
      <c r="L1233" s="195"/>
      <c r="M1233" s="195"/>
      <c r="N1233" s="195"/>
      <c r="O1233" s="199"/>
      <c r="P1233" s="188"/>
      <c r="Q1233" s="174">
        <f>IF(ISNUMBER(VLOOKUP(A1233,NotghiID!A:A,1,FALSE)),1,0)</f>
        <v>0</v>
      </c>
    </row>
    <row r="1234" spans="1:17" ht="14.25" x14ac:dyDescent="0.2">
      <c r="A1234" s="183">
        <v>481</v>
      </c>
      <c r="B1234" s="232" t="str">
        <f>IF(AND(A1234&lt;&gt;"",ISNUMBER(A1234)),VLOOKUP(A1234,Studies!A:BR,2,FALSE),"")</f>
        <v>Van de Velde 1996</v>
      </c>
      <c r="C1234" s="232" t="str">
        <f>IF(AND(A1234&lt;&gt;"",ISNUMBER(A1234)),VLOOKUP(A1234,Studies!A:BR,3,FALSE),"")</f>
        <v>https://www.ncbi.nlm.nih.gov/pubmed/8726601</v>
      </c>
      <c r="D1234" s="232" t="str">
        <f>IF(AND(A1234&lt;&gt;"",ISNUMBER(A1234)),VLOOKUP(A1234,Studies!A:BR,4,FALSE),"")</f>
        <v>Fasting OH-ITZ</v>
      </c>
      <c r="E1234" s="206" t="str">
        <f>IF(AND(A1234&lt;&gt;"",ISNUMBER(A1234)),VLOOKUP(A1234,Studies!A:BR,5,FALSE),"")</f>
        <v>Hydroxy-Itraconazole</v>
      </c>
      <c r="F1234" s="207" t="str">
        <f>IF(AND(A1234&lt;&gt;"",ISNUMBER(A1234)),VLOOKUP(A1234,Studies!A:BR,6,FALSE),"")</f>
        <v>Plasma</v>
      </c>
      <c r="G1234" s="194">
        <v>1.5</v>
      </c>
      <c r="H1234" s="194" t="s">
        <v>60</v>
      </c>
      <c r="I1234" s="187">
        <v>371.76695466041565</v>
      </c>
      <c r="J1234" s="187" t="s">
        <v>1026</v>
      </c>
      <c r="K1234" s="187" t="s">
        <v>116</v>
      </c>
      <c r="L1234" s="195"/>
      <c r="M1234" s="195"/>
      <c r="N1234" s="195"/>
      <c r="O1234" s="199"/>
      <c r="P1234" s="188"/>
      <c r="Q1234" s="174">
        <f>IF(ISNUMBER(VLOOKUP(A1234,NotghiID!A:A,1,FALSE)),1,0)</f>
        <v>0</v>
      </c>
    </row>
    <row r="1235" spans="1:17" ht="14.25" x14ac:dyDescent="0.2">
      <c r="A1235" s="183">
        <v>481</v>
      </c>
      <c r="B1235" s="232" t="str">
        <f>IF(AND(A1235&lt;&gt;"",ISNUMBER(A1235)),VLOOKUP(A1235,Studies!A:BR,2,FALSE),"")</f>
        <v>Van de Velde 1996</v>
      </c>
      <c r="C1235" s="232" t="str">
        <f>IF(AND(A1235&lt;&gt;"",ISNUMBER(A1235)),VLOOKUP(A1235,Studies!A:BR,3,FALSE),"")</f>
        <v>https://www.ncbi.nlm.nih.gov/pubmed/8726601</v>
      </c>
      <c r="D1235" s="232" t="str">
        <f>IF(AND(A1235&lt;&gt;"",ISNUMBER(A1235)),VLOOKUP(A1235,Studies!A:BR,4,FALSE),"")</f>
        <v>Fasting OH-ITZ</v>
      </c>
      <c r="E1235" s="206" t="str">
        <f>IF(AND(A1235&lt;&gt;"",ISNUMBER(A1235)),VLOOKUP(A1235,Studies!A:BR,5,FALSE),"")</f>
        <v>Hydroxy-Itraconazole</v>
      </c>
      <c r="F1235" s="207" t="str">
        <f>IF(AND(A1235&lt;&gt;"",ISNUMBER(A1235)),VLOOKUP(A1235,Studies!A:BR,6,FALSE),"")</f>
        <v>Plasma</v>
      </c>
      <c r="G1235" s="194">
        <v>2</v>
      </c>
      <c r="H1235" s="194" t="s">
        <v>60</v>
      </c>
      <c r="I1235" s="187">
        <v>411.76548600196838</v>
      </c>
      <c r="J1235" s="187" t="s">
        <v>1026</v>
      </c>
      <c r="K1235" s="187" t="s">
        <v>116</v>
      </c>
      <c r="L1235" s="195"/>
      <c r="M1235" s="195"/>
      <c r="N1235" s="195"/>
      <c r="O1235" s="199"/>
      <c r="P1235" s="188"/>
      <c r="Q1235" s="174">
        <f>IF(ISNUMBER(VLOOKUP(A1235,NotghiID!A:A,1,FALSE)),1,0)</f>
        <v>0</v>
      </c>
    </row>
    <row r="1236" spans="1:17" ht="14.25" x14ac:dyDescent="0.2">
      <c r="A1236" s="183">
        <v>481</v>
      </c>
      <c r="B1236" s="232" t="str">
        <f>IF(AND(A1236&lt;&gt;"",ISNUMBER(A1236)),VLOOKUP(A1236,Studies!A:BR,2,FALSE),"")</f>
        <v>Van de Velde 1996</v>
      </c>
      <c r="C1236" s="232" t="str">
        <f>IF(AND(A1236&lt;&gt;"",ISNUMBER(A1236)),VLOOKUP(A1236,Studies!A:BR,3,FALSE),"")</f>
        <v>https://www.ncbi.nlm.nih.gov/pubmed/8726601</v>
      </c>
      <c r="D1236" s="232" t="str">
        <f>IF(AND(A1236&lt;&gt;"",ISNUMBER(A1236)),VLOOKUP(A1236,Studies!A:BR,4,FALSE),"")</f>
        <v>Fasting OH-ITZ</v>
      </c>
      <c r="E1236" s="206" t="str">
        <f>IF(AND(A1236&lt;&gt;"",ISNUMBER(A1236)),VLOOKUP(A1236,Studies!A:BR,5,FALSE),"")</f>
        <v>Hydroxy-Itraconazole</v>
      </c>
      <c r="F1236" s="207" t="str">
        <f>IF(AND(A1236&lt;&gt;"",ISNUMBER(A1236)),VLOOKUP(A1236,Studies!A:BR,6,FALSE),"")</f>
        <v>Plasma</v>
      </c>
      <c r="G1236" s="194">
        <v>3</v>
      </c>
      <c r="H1236" s="194" t="s">
        <v>60</v>
      </c>
      <c r="I1236" s="187">
        <v>379.44307923316956</v>
      </c>
      <c r="J1236" s="187" t="s">
        <v>1026</v>
      </c>
      <c r="K1236" s="187" t="s">
        <v>116</v>
      </c>
      <c r="L1236" s="195"/>
      <c r="M1236" s="195"/>
      <c r="N1236" s="195"/>
      <c r="O1236" s="199"/>
      <c r="P1236" s="188"/>
      <c r="Q1236" s="174">
        <f>IF(ISNUMBER(VLOOKUP(A1236,NotghiID!A:A,1,FALSE)),1,0)</f>
        <v>0</v>
      </c>
    </row>
    <row r="1237" spans="1:17" ht="14.25" x14ac:dyDescent="0.2">
      <c r="A1237" s="183">
        <v>481</v>
      </c>
      <c r="B1237" s="232" t="str">
        <f>IF(AND(A1237&lt;&gt;"",ISNUMBER(A1237)),VLOOKUP(A1237,Studies!A:BR,2,FALSE),"")</f>
        <v>Van de Velde 1996</v>
      </c>
      <c r="C1237" s="232" t="str">
        <f>IF(AND(A1237&lt;&gt;"",ISNUMBER(A1237)),VLOOKUP(A1237,Studies!A:BR,3,FALSE),"")</f>
        <v>https://www.ncbi.nlm.nih.gov/pubmed/8726601</v>
      </c>
      <c r="D1237" s="232" t="str">
        <f>IF(AND(A1237&lt;&gt;"",ISNUMBER(A1237)),VLOOKUP(A1237,Studies!A:BR,4,FALSE),"")</f>
        <v>Fasting OH-ITZ</v>
      </c>
      <c r="E1237" s="206" t="str">
        <f>IF(AND(A1237&lt;&gt;"",ISNUMBER(A1237)),VLOOKUP(A1237,Studies!A:BR,5,FALSE),"")</f>
        <v>Hydroxy-Itraconazole</v>
      </c>
      <c r="F1237" s="207" t="str">
        <f>IF(AND(A1237&lt;&gt;"",ISNUMBER(A1237)),VLOOKUP(A1237,Studies!A:BR,6,FALSE),"")</f>
        <v>Plasma</v>
      </c>
      <c r="G1237" s="194">
        <v>4</v>
      </c>
      <c r="H1237" s="194" t="s">
        <v>60</v>
      </c>
      <c r="I1237" s="187">
        <v>375.58537721633911</v>
      </c>
      <c r="J1237" s="187" t="s">
        <v>1026</v>
      </c>
      <c r="K1237" s="187" t="s">
        <v>116</v>
      </c>
      <c r="L1237" s="195"/>
      <c r="M1237" s="195"/>
      <c r="N1237" s="195"/>
      <c r="O1237" s="199"/>
      <c r="P1237" s="188"/>
      <c r="Q1237" s="174">
        <f>IF(ISNUMBER(VLOOKUP(A1237,NotghiID!A:A,1,FALSE)),1,0)</f>
        <v>0</v>
      </c>
    </row>
    <row r="1238" spans="1:17" ht="14.25" x14ac:dyDescent="0.2">
      <c r="A1238" s="183">
        <v>481</v>
      </c>
      <c r="B1238" s="232" t="str">
        <f>IF(AND(A1238&lt;&gt;"",ISNUMBER(A1238)),VLOOKUP(A1238,Studies!A:BR,2,FALSE),"")</f>
        <v>Van de Velde 1996</v>
      </c>
      <c r="C1238" s="232" t="str">
        <f>IF(AND(A1238&lt;&gt;"",ISNUMBER(A1238)),VLOOKUP(A1238,Studies!A:BR,3,FALSE),"")</f>
        <v>https://www.ncbi.nlm.nih.gov/pubmed/8726601</v>
      </c>
      <c r="D1238" s="232" t="str">
        <f>IF(AND(A1238&lt;&gt;"",ISNUMBER(A1238)),VLOOKUP(A1238,Studies!A:BR,4,FALSE),"")</f>
        <v>Fasting OH-ITZ</v>
      </c>
      <c r="E1238" s="206" t="str">
        <f>IF(AND(A1238&lt;&gt;"",ISNUMBER(A1238)),VLOOKUP(A1238,Studies!A:BR,5,FALSE),"")</f>
        <v>Hydroxy-Itraconazole</v>
      </c>
      <c r="F1238" s="207" t="str">
        <f>IF(AND(A1238&lt;&gt;"",ISNUMBER(A1238)),VLOOKUP(A1238,Studies!A:BR,6,FALSE),"")</f>
        <v>Plasma</v>
      </c>
      <c r="G1238" s="194">
        <v>6</v>
      </c>
      <c r="H1238" s="194" t="s">
        <v>60</v>
      </c>
      <c r="I1238" s="187">
        <v>299.96797442436218</v>
      </c>
      <c r="J1238" s="187" t="s">
        <v>1026</v>
      </c>
      <c r="K1238" s="187" t="s">
        <v>116</v>
      </c>
      <c r="L1238" s="195"/>
      <c r="M1238" s="195"/>
      <c r="N1238" s="195"/>
      <c r="O1238" s="199"/>
      <c r="P1238" s="188"/>
      <c r="Q1238" s="174">
        <f>IF(ISNUMBER(VLOOKUP(A1238,NotghiID!A:A,1,FALSE)),1,0)</f>
        <v>0</v>
      </c>
    </row>
    <row r="1239" spans="1:17" ht="14.25" x14ac:dyDescent="0.2">
      <c r="A1239" s="183">
        <v>481</v>
      </c>
      <c r="B1239" s="232" t="str">
        <f>IF(AND(A1239&lt;&gt;"",ISNUMBER(A1239)),VLOOKUP(A1239,Studies!A:BR,2,FALSE),"")</f>
        <v>Van de Velde 1996</v>
      </c>
      <c r="C1239" s="232" t="str">
        <f>IF(AND(A1239&lt;&gt;"",ISNUMBER(A1239)),VLOOKUP(A1239,Studies!A:BR,3,FALSE),"")</f>
        <v>https://www.ncbi.nlm.nih.gov/pubmed/8726601</v>
      </c>
      <c r="D1239" s="232" t="str">
        <f>IF(AND(A1239&lt;&gt;"",ISNUMBER(A1239)),VLOOKUP(A1239,Studies!A:BR,4,FALSE),"")</f>
        <v>Fasting OH-ITZ</v>
      </c>
      <c r="E1239" s="206" t="str">
        <f>IF(AND(A1239&lt;&gt;"",ISNUMBER(A1239)),VLOOKUP(A1239,Studies!A:BR,5,FALSE),"")</f>
        <v>Hydroxy-Itraconazole</v>
      </c>
      <c r="F1239" s="207" t="str">
        <f>IF(AND(A1239&lt;&gt;"",ISNUMBER(A1239)),VLOOKUP(A1239,Studies!A:BR,6,FALSE),"")</f>
        <v>Plasma</v>
      </c>
      <c r="G1239" s="194">
        <v>8</v>
      </c>
      <c r="H1239" s="194" t="s">
        <v>60</v>
      </c>
      <c r="I1239" s="187">
        <v>268.07597279548645</v>
      </c>
      <c r="J1239" s="187" t="s">
        <v>1026</v>
      </c>
      <c r="K1239" s="187" t="s">
        <v>116</v>
      </c>
      <c r="L1239" s="195"/>
      <c r="M1239" s="195"/>
      <c r="N1239" s="195"/>
      <c r="O1239" s="199"/>
      <c r="P1239" s="188"/>
      <c r="Q1239" s="174">
        <f>IF(ISNUMBER(VLOOKUP(A1239,NotghiID!A:A,1,FALSE)),1,0)</f>
        <v>0</v>
      </c>
    </row>
    <row r="1240" spans="1:17" ht="14.25" x14ac:dyDescent="0.2">
      <c r="A1240" s="183">
        <v>481</v>
      </c>
      <c r="B1240" s="232" t="str">
        <f>IF(AND(A1240&lt;&gt;"",ISNUMBER(A1240)),VLOOKUP(A1240,Studies!A:BR,2,FALSE),"")</f>
        <v>Van de Velde 1996</v>
      </c>
      <c r="C1240" s="232" t="str">
        <f>IF(AND(A1240&lt;&gt;"",ISNUMBER(A1240)),VLOOKUP(A1240,Studies!A:BR,3,FALSE),"")</f>
        <v>https://www.ncbi.nlm.nih.gov/pubmed/8726601</v>
      </c>
      <c r="D1240" s="232" t="str">
        <f>IF(AND(A1240&lt;&gt;"",ISNUMBER(A1240)),VLOOKUP(A1240,Studies!A:BR,4,FALSE),"")</f>
        <v>Fasting OH-ITZ</v>
      </c>
      <c r="E1240" s="206" t="str">
        <f>IF(AND(A1240&lt;&gt;"",ISNUMBER(A1240)),VLOOKUP(A1240,Studies!A:BR,5,FALSE),"")</f>
        <v>Hydroxy-Itraconazole</v>
      </c>
      <c r="F1240" s="207" t="str">
        <f>IF(AND(A1240&lt;&gt;"",ISNUMBER(A1240)),VLOOKUP(A1240,Studies!A:BR,6,FALSE),"")</f>
        <v>Plasma</v>
      </c>
      <c r="G1240" s="194">
        <v>24</v>
      </c>
      <c r="H1240" s="194" t="s">
        <v>60</v>
      </c>
      <c r="I1240" s="187">
        <v>109.07426476478577</v>
      </c>
      <c r="J1240" s="187" t="s">
        <v>1026</v>
      </c>
      <c r="K1240" s="187" t="s">
        <v>116</v>
      </c>
      <c r="L1240" s="195"/>
      <c r="M1240" s="195"/>
      <c r="N1240" s="195"/>
      <c r="O1240" s="199"/>
      <c r="P1240" s="188"/>
      <c r="Q1240" s="174">
        <f>IF(ISNUMBER(VLOOKUP(A1240,NotghiID!A:A,1,FALSE)),1,0)</f>
        <v>0</v>
      </c>
    </row>
    <row r="1241" spans="1:17" ht="14.25" x14ac:dyDescent="0.2">
      <c r="A1241" s="183">
        <v>481</v>
      </c>
      <c r="B1241" s="232" t="str">
        <f>IF(AND(A1241&lt;&gt;"",ISNUMBER(A1241)),VLOOKUP(A1241,Studies!A:BR,2,FALSE),"")</f>
        <v>Van de Velde 1996</v>
      </c>
      <c r="C1241" s="232" t="str">
        <f>IF(AND(A1241&lt;&gt;"",ISNUMBER(A1241)),VLOOKUP(A1241,Studies!A:BR,3,FALSE),"")</f>
        <v>https://www.ncbi.nlm.nih.gov/pubmed/8726601</v>
      </c>
      <c r="D1241" s="232" t="str">
        <f>IF(AND(A1241&lt;&gt;"",ISNUMBER(A1241)),VLOOKUP(A1241,Studies!A:BR,4,FALSE),"")</f>
        <v>Fasting OH-ITZ</v>
      </c>
      <c r="E1241" s="206" t="str">
        <f>IF(AND(A1241&lt;&gt;"",ISNUMBER(A1241)),VLOOKUP(A1241,Studies!A:BR,5,FALSE),"")</f>
        <v>Hydroxy-Itraconazole</v>
      </c>
      <c r="F1241" s="207" t="str">
        <f>IF(AND(A1241&lt;&gt;"",ISNUMBER(A1241)),VLOOKUP(A1241,Studies!A:BR,6,FALSE),"")</f>
        <v>Plasma</v>
      </c>
      <c r="G1241" s="194">
        <v>32</v>
      </c>
      <c r="H1241" s="194" t="s">
        <v>60</v>
      </c>
      <c r="I1241" s="187">
        <v>72.477973997592926</v>
      </c>
      <c r="J1241" s="187" t="s">
        <v>1026</v>
      </c>
      <c r="K1241" s="187" t="s">
        <v>116</v>
      </c>
      <c r="L1241" s="195"/>
      <c r="M1241" s="195"/>
      <c r="N1241" s="195"/>
      <c r="O1241" s="199"/>
      <c r="P1241" s="188"/>
      <c r="Q1241" s="174">
        <f>IF(ISNUMBER(VLOOKUP(A1241,NotghiID!A:A,1,FALSE)),1,0)</f>
        <v>0</v>
      </c>
    </row>
    <row r="1242" spans="1:17" ht="14.25" x14ac:dyDescent="0.2">
      <c r="A1242" s="183">
        <v>481</v>
      </c>
      <c r="B1242" s="232" t="str">
        <f>IF(AND(A1242&lt;&gt;"",ISNUMBER(A1242)),VLOOKUP(A1242,Studies!A:BR,2,FALSE),"")</f>
        <v>Van de Velde 1996</v>
      </c>
      <c r="C1242" s="232" t="str">
        <f>IF(AND(A1242&lt;&gt;"",ISNUMBER(A1242)),VLOOKUP(A1242,Studies!A:BR,3,FALSE),"")</f>
        <v>https://www.ncbi.nlm.nih.gov/pubmed/8726601</v>
      </c>
      <c r="D1242" s="232" t="str">
        <f>IF(AND(A1242&lt;&gt;"",ISNUMBER(A1242)),VLOOKUP(A1242,Studies!A:BR,4,FALSE),"")</f>
        <v>Fasting OH-ITZ</v>
      </c>
      <c r="E1242" s="206" t="str">
        <f>IF(AND(A1242&lt;&gt;"",ISNUMBER(A1242)),VLOOKUP(A1242,Studies!A:BR,5,FALSE),"")</f>
        <v>Hydroxy-Itraconazole</v>
      </c>
      <c r="F1242" s="207" t="str">
        <f>IF(AND(A1242&lt;&gt;"",ISNUMBER(A1242)),VLOOKUP(A1242,Studies!A:BR,6,FALSE),"")</f>
        <v>Plasma</v>
      </c>
      <c r="G1242" s="194">
        <v>48</v>
      </c>
      <c r="H1242" s="194" t="s">
        <v>60</v>
      </c>
      <c r="I1242" s="187">
        <v>33.336903899908066</v>
      </c>
      <c r="J1242" s="187" t="s">
        <v>1026</v>
      </c>
      <c r="K1242" s="187" t="s">
        <v>116</v>
      </c>
      <c r="L1242" s="195"/>
      <c r="M1242" s="195"/>
      <c r="N1242" s="195"/>
      <c r="O1242" s="199"/>
      <c r="P1242" s="188"/>
      <c r="Q1242" s="174">
        <f>IF(ISNUMBER(VLOOKUP(A1242,NotghiID!A:A,1,FALSE)),1,0)</f>
        <v>0</v>
      </c>
    </row>
    <row r="1243" spans="1:17" ht="14.25" x14ac:dyDescent="0.2">
      <c r="A1243" s="183">
        <v>482</v>
      </c>
      <c r="B1243" s="232" t="str">
        <f>IF(AND(A1243&lt;&gt;"",ISNUMBER(A1243)),VLOOKUP(A1243,Studies!A:BR,2,FALSE),"")</f>
        <v>Van de Velde 1996</v>
      </c>
      <c r="C1243" s="232" t="str">
        <f>IF(AND(A1243&lt;&gt;"",ISNUMBER(A1243)),VLOOKUP(A1243,Studies!A:BR,3,FALSE),"")</f>
        <v>https://www.ncbi.nlm.nih.gov/pubmed/8726601</v>
      </c>
      <c r="D1243" s="232" t="str">
        <f>IF(AND(A1243&lt;&gt;"",ISNUMBER(A1243)),VLOOKUP(A1243,Studies!A:BR,4,FALSE),"")</f>
        <v>Fed ITZ</v>
      </c>
      <c r="E1243" s="206" t="str">
        <f>IF(AND(A1243&lt;&gt;"",ISNUMBER(A1243)),VLOOKUP(A1243,Studies!A:BR,5,FALSE),"")</f>
        <v>Itraconazole</v>
      </c>
      <c r="F1243" s="207" t="str">
        <f>IF(AND(A1243&lt;&gt;"",ISNUMBER(A1243)),VLOOKUP(A1243,Studies!A:BR,6,FALSE),"")</f>
        <v>Plasma</v>
      </c>
      <c r="G1243" s="194">
        <v>0.5</v>
      </c>
      <c r="H1243" s="194" t="s">
        <v>60</v>
      </c>
      <c r="I1243" s="187">
        <v>20.078647613525391</v>
      </c>
      <c r="J1243" s="187" t="s">
        <v>1026</v>
      </c>
      <c r="K1243" s="187" t="s">
        <v>116</v>
      </c>
      <c r="L1243" s="195"/>
      <c r="M1243" s="195"/>
      <c r="N1243" s="195"/>
      <c r="O1243" s="199"/>
      <c r="P1243" s="188"/>
      <c r="Q1243" s="174">
        <f>IF(ISNUMBER(VLOOKUP(A1243,NotghiID!A:A,1,FALSE)),1,0)</f>
        <v>0</v>
      </c>
    </row>
    <row r="1244" spans="1:17" ht="14.25" x14ac:dyDescent="0.2">
      <c r="A1244" s="183">
        <v>482</v>
      </c>
      <c r="B1244" s="232" t="str">
        <f>IF(AND(A1244&lt;&gt;"",ISNUMBER(A1244)),VLOOKUP(A1244,Studies!A:BR,2,FALSE),"")</f>
        <v>Van de Velde 1996</v>
      </c>
      <c r="C1244" s="232" t="str">
        <f>IF(AND(A1244&lt;&gt;"",ISNUMBER(A1244)),VLOOKUP(A1244,Studies!A:BR,3,FALSE),"")</f>
        <v>https://www.ncbi.nlm.nih.gov/pubmed/8726601</v>
      </c>
      <c r="D1244" s="232" t="str">
        <f>IF(AND(A1244&lt;&gt;"",ISNUMBER(A1244)),VLOOKUP(A1244,Studies!A:BR,4,FALSE),"")</f>
        <v>Fed ITZ</v>
      </c>
      <c r="E1244" s="206" t="str">
        <f>IF(AND(A1244&lt;&gt;"",ISNUMBER(A1244)),VLOOKUP(A1244,Studies!A:BR,5,FALSE),"")</f>
        <v>Itraconazole</v>
      </c>
      <c r="F1244" s="207" t="str">
        <f>IF(AND(A1244&lt;&gt;"",ISNUMBER(A1244)),VLOOKUP(A1244,Studies!A:BR,6,FALSE),"")</f>
        <v>Plasma</v>
      </c>
      <c r="G1244" s="194">
        <v>1</v>
      </c>
      <c r="H1244" s="194" t="s">
        <v>60</v>
      </c>
      <c r="I1244" s="187">
        <v>53.588996887207031</v>
      </c>
      <c r="J1244" s="187" t="s">
        <v>1026</v>
      </c>
      <c r="K1244" s="187" t="s">
        <v>116</v>
      </c>
      <c r="L1244" s="195"/>
      <c r="M1244" s="195"/>
      <c r="N1244" s="195"/>
      <c r="O1244" s="199"/>
      <c r="P1244" s="188"/>
      <c r="Q1244" s="174">
        <f>IF(ISNUMBER(VLOOKUP(A1244,NotghiID!A:A,1,FALSE)),1,0)</f>
        <v>0</v>
      </c>
    </row>
    <row r="1245" spans="1:17" ht="14.25" x14ac:dyDescent="0.2">
      <c r="A1245" s="183">
        <v>482</v>
      </c>
      <c r="B1245" s="232" t="str">
        <f>IF(AND(A1245&lt;&gt;"",ISNUMBER(A1245)),VLOOKUP(A1245,Studies!A:BR,2,FALSE),"")</f>
        <v>Van de Velde 1996</v>
      </c>
      <c r="C1245" s="232" t="str">
        <f>IF(AND(A1245&lt;&gt;"",ISNUMBER(A1245)),VLOOKUP(A1245,Studies!A:BR,3,FALSE),"")</f>
        <v>https://www.ncbi.nlm.nih.gov/pubmed/8726601</v>
      </c>
      <c r="D1245" s="232" t="str">
        <f>IF(AND(A1245&lt;&gt;"",ISNUMBER(A1245)),VLOOKUP(A1245,Studies!A:BR,4,FALSE),"")</f>
        <v>Fed ITZ</v>
      </c>
      <c r="E1245" s="206" t="str">
        <f>IF(AND(A1245&lt;&gt;"",ISNUMBER(A1245)),VLOOKUP(A1245,Studies!A:BR,5,FALSE),"")</f>
        <v>Itraconazole</v>
      </c>
      <c r="F1245" s="207" t="str">
        <f>IF(AND(A1245&lt;&gt;"",ISNUMBER(A1245)),VLOOKUP(A1245,Studies!A:BR,6,FALSE),"")</f>
        <v>Plasma</v>
      </c>
      <c r="G1245" s="194">
        <v>1.5</v>
      </c>
      <c r="H1245" s="194" t="s">
        <v>60</v>
      </c>
      <c r="I1245" s="187">
        <v>80.357437133789063</v>
      </c>
      <c r="J1245" s="187" t="s">
        <v>1026</v>
      </c>
      <c r="K1245" s="187" t="s">
        <v>116</v>
      </c>
      <c r="L1245" s="195"/>
      <c r="M1245" s="195"/>
      <c r="N1245" s="195"/>
      <c r="O1245" s="199"/>
      <c r="P1245" s="188"/>
      <c r="Q1245" s="174">
        <f>IF(ISNUMBER(VLOOKUP(A1245,NotghiID!A:A,1,FALSE)),1,0)</f>
        <v>0</v>
      </c>
    </row>
    <row r="1246" spans="1:17" ht="14.25" x14ac:dyDescent="0.2">
      <c r="A1246" s="183">
        <v>482</v>
      </c>
      <c r="B1246" s="232" t="str">
        <f>IF(AND(A1246&lt;&gt;"",ISNUMBER(A1246)),VLOOKUP(A1246,Studies!A:BR,2,FALSE),"")</f>
        <v>Van de Velde 1996</v>
      </c>
      <c r="C1246" s="232" t="str">
        <f>IF(AND(A1246&lt;&gt;"",ISNUMBER(A1246)),VLOOKUP(A1246,Studies!A:BR,3,FALSE),"")</f>
        <v>https://www.ncbi.nlm.nih.gov/pubmed/8726601</v>
      </c>
      <c r="D1246" s="232" t="str">
        <f>IF(AND(A1246&lt;&gt;"",ISNUMBER(A1246)),VLOOKUP(A1246,Studies!A:BR,4,FALSE),"")</f>
        <v>Fed ITZ</v>
      </c>
      <c r="E1246" s="206" t="str">
        <f>IF(AND(A1246&lt;&gt;"",ISNUMBER(A1246)),VLOOKUP(A1246,Studies!A:BR,5,FALSE),"")</f>
        <v>Itraconazole</v>
      </c>
      <c r="F1246" s="207" t="str">
        <f>IF(AND(A1246&lt;&gt;"",ISNUMBER(A1246)),VLOOKUP(A1246,Studies!A:BR,6,FALSE),"")</f>
        <v>Plasma</v>
      </c>
      <c r="G1246" s="194">
        <v>2</v>
      </c>
      <c r="H1246" s="194" t="s">
        <v>60</v>
      </c>
      <c r="I1246" s="187">
        <v>98.401359558105469</v>
      </c>
      <c r="J1246" s="187" t="s">
        <v>1026</v>
      </c>
      <c r="K1246" s="187" t="s">
        <v>116</v>
      </c>
      <c r="L1246" s="195"/>
      <c r="M1246" s="195"/>
      <c r="N1246" s="195"/>
      <c r="O1246" s="199"/>
      <c r="P1246" s="188"/>
      <c r="Q1246" s="174">
        <f>IF(ISNUMBER(VLOOKUP(A1246,NotghiID!A:A,1,FALSE)),1,0)</f>
        <v>0</v>
      </c>
    </row>
    <row r="1247" spans="1:17" ht="14.25" x14ac:dyDescent="0.2">
      <c r="A1247" s="183">
        <v>482</v>
      </c>
      <c r="B1247" s="232" t="str">
        <f>IF(AND(A1247&lt;&gt;"",ISNUMBER(A1247)),VLOOKUP(A1247,Studies!A:BR,2,FALSE),"")</f>
        <v>Van de Velde 1996</v>
      </c>
      <c r="C1247" s="232" t="str">
        <f>IF(AND(A1247&lt;&gt;"",ISNUMBER(A1247)),VLOOKUP(A1247,Studies!A:BR,3,FALSE),"")</f>
        <v>https://www.ncbi.nlm.nih.gov/pubmed/8726601</v>
      </c>
      <c r="D1247" s="232" t="str">
        <f>IF(AND(A1247&lt;&gt;"",ISNUMBER(A1247)),VLOOKUP(A1247,Studies!A:BR,4,FALSE),"")</f>
        <v>Fed ITZ</v>
      </c>
      <c r="E1247" s="206" t="str">
        <f>IF(AND(A1247&lt;&gt;"",ISNUMBER(A1247)),VLOOKUP(A1247,Studies!A:BR,5,FALSE),"")</f>
        <v>Itraconazole</v>
      </c>
      <c r="F1247" s="207" t="str">
        <f>IF(AND(A1247&lt;&gt;"",ISNUMBER(A1247)),VLOOKUP(A1247,Studies!A:BR,6,FALSE),"")</f>
        <v>Plasma</v>
      </c>
      <c r="G1247" s="194">
        <v>3</v>
      </c>
      <c r="H1247" s="194" t="s">
        <v>60</v>
      </c>
      <c r="I1247" s="187">
        <v>114.99381256103516</v>
      </c>
      <c r="J1247" s="187" t="s">
        <v>1026</v>
      </c>
      <c r="K1247" s="187" t="s">
        <v>116</v>
      </c>
      <c r="L1247" s="195"/>
      <c r="M1247" s="195"/>
      <c r="N1247" s="195"/>
      <c r="O1247" s="199"/>
      <c r="P1247" s="188"/>
      <c r="Q1247" s="174">
        <f>IF(ISNUMBER(VLOOKUP(A1247,NotghiID!A:A,1,FALSE)),1,0)</f>
        <v>0</v>
      </c>
    </row>
    <row r="1248" spans="1:17" ht="14.25" x14ac:dyDescent="0.2">
      <c r="A1248" s="183">
        <v>482</v>
      </c>
      <c r="B1248" s="232" t="str">
        <f>IF(AND(A1248&lt;&gt;"",ISNUMBER(A1248)),VLOOKUP(A1248,Studies!A:BR,2,FALSE),"")</f>
        <v>Van de Velde 1996</v>
      </c>
      <c r="C1248" s="232" t="str">
        <f>IF(AND(A1248&lt;&gt;"",ISNUMBER(A1248)),VLOOKUP(A1248,Studies!A:BR,3,FALSE),"")</f>
        <v>https://www.ncbi.nlm.nih.gov/pubmed/8726601</v>
      </c>
      <c r="D1248" s="232" t="str">
        <f>IF(AND(A1248&lt;&gt;"",ISNUMBER(A1248)),VLOOKUP(A1248,Studies!A:BR,4,FALSE),"")</f>
        <v>Fed ITZ</v>
      </c>
      <c r="E1248" s="206" t="str">
        <f>IF(AND(A1248&lt;&gt;"",ISNUMBER(A1248)),VLOOKUP(A1248,Studies!A:BR,5,FALSE),"")</f>
        <v>Itraconazole</v>
      </c>
      <c r="F1248" s="207" t="str">
        <f>IF(AND(A1248&lt;&gt;"",ISNUMBER(A1248)),VLOOKUP(A1248,Studies!A:BR,6,FALSE),"")</f>
        <v>Plasma</v>
      </c>
      <c r="G1248" s="194">
        <v>4</v>
      </c>
      <c r="H1248" s="194" t="s">
        <v>60</v>
      </c>
      <c r="I1248" s="187">
        <v>134.38401794433594</v>
      </c>
      <c r="J1248" s="187" t="s">
        <v>1026</v>
      </c>
      <c r="K1248" s="187" t="s">
        <v>116</v>
      </c>
      <c r="L1248" s="195"/>
      <c r="M1248" s="195"/>
      <c r="N1248" s="195"/>
      <c r="O1248" s="199"/>
      <c r="P1248" s="188"/>
      <c r="Q1248" s="174">
        <f>IF(ISNUMBER(VLOOKUP(A1248,NotghiID!A:A,1,FALSE)),1,0)</f>
        <v>0</v>
      </c>
    </row>
    <row r="1249" spans="1:17" ht="14.25" x14ac:dyDescent="0.2">
      <c r="A1249" s="183">
        <v>482</v>
      </c>
      <c r="B1249" s="232" t="str">
        <f>IF(AND(A1249&lt;&gt;"",ISNUMBER(A1249)),VLOOKUP(A1249,Studies!A:BR,2,FALSE),"")</f>
        <v>Van de Velde 1996</v>
      </c>
      <c r="C1249" s="232" t="str">
        <f>IF(AND(A1249&lt;&gt;"",ISNUMBER(A1249)),VLOOKUP(A1249,Studies!A:BR,3,FALSE),"")</f>
        <v>https://www.ncbi.nlm.nih.gov/pubmed/8726601</v>
      </c>
      <c r="D1249" s="232" t="str">
        <f>IF(AND(A1249&lt;&gt;"",ISNUMBER(A1249)),VLOOKUP(A1249,Studies!A:BR,4,FALSE),"")</f>
        <v>Fed ITZ</v>
      </c>
      <c r="E1249" s="206" t="str">
        <f>IF(AND(A1249&lt;&gt;"",ISNUMBER(A1249)),VLOOKUP(A1249,Studies!A:BR,5,FALSE),"")</f>
        <v>Itraconazole</v>
      </c>
      <c r="F1249" s="207" t="str">
        <f>IF(AND(A1249&lt;&gt;"",ISNUMBER(A1249)),VLOOKUP(A1249,Studies!A:BR,6,FALSE),"")</f>
        <v>Plasma</v>
      </c>
      <c r="G1249" s="194">
        <v>6</v>
      </c>
      <c r="H1249" s="194" t="s">
        <v>60</v>
      </c>
      <c r="I1249" s="187">
        <v>109.74188232421875</v>
      </c>
      <c r="J1249" s="187" t="s">
        <v>1026</v>
      </c>
      <c r="K1249" s="187" t="s">
        <v>116</v>
      </c>
      <c r="L1249" s="195"/>
      <c r="M1249" s="195"/>
      <c r="N1249" s="195"/>
      <c r="O1249" s="199"/>
      <c r="P1249" s="188"/>
      <c r="Q1249" s="174">
        <f>IF(ISNUMBER(VLOOKUP(A1249,NotghiID!A:A,1,FALSE)),1,0)</f>
        <v>0</v>
      </c>
    </row>
    <row r="1250" spans="1:17" ht="14.25" x14ac:dyDescent="0.2">
      <c r="A1250" s="183">
        <v>482</v>
      </c>
      <c r="B1250" s="232" t="str">
        <f>IF(AND(A1250&lt;&gt;"",ISNUMBER(A1250)),VLOOKUP(A1250,Studies!A:BR,2,FALSE),"")</f>
        <v>Van de Velde 1996</v>
      </c>
      <c r="C1250" s="232" t="str">
        <f>IF(AND(A1250&lt;&gt;"",ISNUMBER(A1250)),VLOOKUP(A1250,Studies!A:BR,3,FALSE),"")</f>
        <v>https://www.ncbi.nlm.nih.gov/pubmed/8726601</v>
      </c>
      <c r="D1250" s="232" t="str">
        <f>IF(AND(A1250&lt;&gt;"",ISNUMBER(A1250)),VLOOKUP(A1250,Studies!A:BR,4,FALSE),"")</f>
        <v>Fed ITZ</v>
      </c>
      <c r="E1250" s="206" t="str">
        <f>IF(AND(A1250&lt;&gt;"",ISNUMBER(A1250)),VLOOKUP(A1250,Studies!A:BR,5,FALSE),"")</f>
        <v>Itraconazole</v>
      </c>
      <c r="F1250" s="207" t="str">
        <f>IF(AND(A1250&lt;&gt;"",ISNUMBER(A1250)),VLOOKUP(A1250,Studies!A:BR,6,FALSE),"")</f>
        <v>Plasma</v>
      </c>
      <c r="G1250" s="194">
        <v>8</v>
      </c>
      <c r="H1250" s="194" t="s">
        <v>60</v>
      </c>
      <c r="I1250" s="187">
        <v>86.868545532226563</v>
      </c>
      <c r="J1250" s="187" t="s">
        <v>1026</v>
      </c>
      <c r="K1250" s="187" t="s">
        <v>116</v>
      </c>
      <c r="L1250" s="195"/>
      <c r="M1250" s="195"/>
      <c r="N1250" s="195"/>
      <c r="O1250" s="199"/>
      <c r="P1250" s="188"/>
      <c r="Q1250" s="174">
        <f>IF(ISNUMBER(VLOOKUP(A1250,NotghiID!A:A,1,FALSE)),1,0)</f>
        <v>0</v>
      </c>
    </row>
    <row r="1251" spans="1:17" ht="14.25" x14ac:dyDescent="0.2">
      <c r="A1251" s="183">
        <v>482</v>
      </c>
      <c r="B1251" s="232" t="str">
        <f>IF(AND(A1251&lt;&gt;"",ISNUMBER(A1251)),VLOOKUP(A1251,Studies!A:BR,2,FALSE),"")</f>
        <v>Van de Velde 1996</v>
      </c>
      <c r="C1251" s="232" t="str">
        <f>IF(AND(A1251&lt;&gt;"",ISNUMBER(A1251)),VLOOKUP(A1251,Studies!A:BR,3,FALSE),"")</f>
        <v>https://www.ncbi.nlm.nih.gov/pubmed/8726601</v>
      </c>
      <c r="D1251" s="232" t="str">
        <f>IF(AND(A1251&lt;&gt;"",ISNUMBER(A1251)),VLOOKUP(A1251,Studies!A:BR,4,FALSE),"")</f>
        <v>Fed ITZ</v>
      </c>
      <c r="E1251" s="206" t="str">
        <f>IF(AND(A1251&lt;&gt;"",ISNUMBER(A1251)),VLOOKUP(A1251,Studies!A:BR,5,FALSE),"")</f>
        <v>Itraconazole</v>
      </c>
      <c r="F1251" s="207" t="str">
        <f>IF(AND(A1251&lt;&gt;"",ISNUMBER(A1251)),VLOOKUP(A1251,Studies!A:BR,6,FALSE),"")</f>
        <v>Plasma</v>
      </c>
      <c r="G1251" s="194">
        <v>24</v>
      </c>
      <c r="H1251" s="194" t="s">
        <v>60</v>
      </c>
      <c r="I1251" s="187">
        <v>26.168500900268555</v>
      </c>
      <c r="J1251" s="187" t="s">
        <v>1026</v>
      </c>
      <c r="K1251" s="187" t="s">
        <v>116</v>
      </c>
      <c r="L1251" s="195"/>
      <c r="M1251" s="195"/>
      <c r="N1251" s="195"/>
      <c r="O1251" s="199"/>
      <c r="P1251" s="188"/>
      <c r="Q1251" s="174">
        <f>IF(ISNUMBER(VLOOKUP(A1251,NotghiID!A:A,1,FALSE)),1,0)</f>
        <v>0</v>
      </c>
    </row>
    <row r="1252" spans="1:17" ht="14.25" x14ac:dyDescent="0.2">
      <c r="A1252" s="183">
        <v>482</v>
      </c>
      <c r="B1252" s="232" t="str">
        <f>IF(AND(A1252&lt;&gt;"",ISNUMBER(A1252)),VLOOKUP(A1252,Studies!A:BR,2,FALSE),"")</f>
        <v>Van de Velde 1996</v>
      </c>
      <c r="C1252" s="232" t="str">
        <f>IF(AND(A1252&lt;&gt;"",ISNUMBER(A1252)),VLOOKUP(A1252,Studies!A:BR,3,FALSE),"")</f>
        <v>https://www.ncbi.nlm.nih.gov/pubmed/8726601</v>
      </c>
      <c r="D1252" s="232" t="str">
        <f>IF(AND(A1252&lt;&gt;"",ISNUMBER(A1252)),VLOOKUP(A1252,Studies!A:BR,4,FALSE),"")</f>
        <v>Fed ITZ</v>
      </c>
      <c r="E1252" s="206" t="str">
        <f>IF(AND(A1252&lt;&gt;"",ISNUMBER(A1252)),VLOOKUP(A1252,Studies!A:BR,5,FALSE),"")</f>
        <v>Itraconazole</v>
      </c>
      <c r="F1252" s="207" t="str">
        <f>IF(AND(A1252&lt;&gt;"",ISNUMBER(A1252)),VLOOKUP(A1252,Studies!A:BR,6,FALSE),"")</f>
        <v>Plasma</v>
      </c>
      <c r="G1252" s="194">
        <v>32</v>
      </c>
      <c r="H1252" s="194" t="s">
        <v>60</v>
      </c>
      <c r="I1252" s="187">
        <v>21.039546966552734</v>
      </c>
      <c r="J1252" s="187" t="s">
        <v>1026</v>
      </c>
      <c r="K1252" s="187" t="s">
        <v>116</v>
      </c>
      <c r="L1252" s="195"/>
      <c r="M1252" s="195"/>
      <c r="N1252" s="195"/>
      <c r="O1252" s="199"/>
      <c r="P1252" s="188"/>
      <c r="Q1252" s="174">
        <f>IF(ISNUMBER(VLOOKUP(A1252,NotghiID!A:A,1,FALSE)),1,0)</f>
        <v>0</v>
      </c>
    </row>
    <row r="1253" spans="1:17" ht="14.25" x14ac:dyDescent="0.2">
      <c r="A1253" s="183">
        <v>482</v>
      </c>
      <c r="B1253" s="232" t="str">
        <f>IF(AND(A1253&lt;&gt;"",ISNUMBER(A1253)),VLOOKUP(A1253,Studies!A:BR,2,FALSE),"")</f>
        <v>Van de Velde 1996</v>
      </c>
      <c r="C1253" s="232" t="str">
        <f>IF(AND(A1253&lt;&gt;"",ISNUMBER(A1253)),VLOOKUP(A1253,Studies!A:BR,3,FALSE),"")</f>
        <v>https://www.ncbi.nlm.nih.gov/pubmed/8726601</v>
      </c>
      <c r="D1253" s="232" t="str">
        <f>IF(AND(A1253&lt;&gt;"",ISNUMBER(A1253)),VLOOKUP(A1253,Studies!A:BR,4,FALSE),"")</f>
        <v>Fed ITZ</v>
      </c>
      <c r="E1253" s="206" t="str">
        <f>IF(AND(A1253&lt;&gt;"",ISNUMBER(A1253)),VLOOKUP(A1253,Studies!A:BR,5,FALSE),"")</f>
        <v>Itraconazole</v>
      </c>
      <c r="F1253" s="207" t="str">
        <f>IF(AND(A1253&lt;&gt;"",ISNUMBER(A1253)),VLOOKUP(A1253,Studies!A:BR,6,FALSE),"")</f>
        <v>Plasma</v>
      </c>
      <c r="G1253" s="194">
        <v>48</v>
      </c>
      <c r="H1253" s="194" t="s">
        <v>60</v>
      </c>
      <c r="I1253" s="187">
        <v>13.813977241516113</v>
      </c>
      <c r="J1253" s="187" t="s">
        <v>1026</v>
      </c>
      <c r="K1253" s="187" t="s">
        <v>116</v>
      </c>
      <c r="L1253" s="195"/>
      <c r="M1253" s="195"/>
      <c r="N1253" s="195"/>
      <c r="O1253" s="199"/>
      <c r="P1253" s="188"/>
      <c r="Q1253" s="174">
        <f>IF(ISNUMBER(VLOOKUP(A1253,NotghiID!A:A,1,FALSE)),1,0)</f>
        <v>0</v>
      </c>
    </row>
    <row r="1254" spans="1:17" ht="14.25" x14ac:dyDescent="0.2">
      <c r="A1254" s="183">
        <v>482</v>
      </c>
      <c r="B1254" s="232" t="str">
        <f>IF(AND(A1254&lt;&gt;"",ISNUMBER(A1254)),VLOOKUP(A1254,Studies!A:BR,2,FALSE),"")</f>
        <v>Van de Velde 1996</v>
      </c>
      <c r="C1254" s="232" t="str">
        <f>IF(AND(A1254&lt;&gt;"",ISNUMBER(A1254)),VLOOKUP(A1254,Studies!A:BR,3,FALSE),"")</f>
        <v>https://www.ncbi.nlm.nih.gov/pubmed/8726601</v>
      </c>
      <c r="D1254" s="232" t="str">
        <f>IF(AND(A1254&lt;&gt;"",ISNUMBER(A1254)),VLOOKUP(A1254,Studies!A:BR,4,FALSE),"")</f>
        <v>Fed ITZ</v>
      </c>
      <c r="E1254" s="206" t="str">
        <f>IF(AND(A1254&lt;&gt;"",ISNUMBER(A1254)),VLOOKUP(A1254,Studies!A:BR,5,FALSE),"")</f>
        <v>Itraconazole</v>
      </c>
      <c r="F1254" s="207" t="str">
        <f>IF(AND(A1254&lt;&gt;"",ISNUMBER(A1254)),VLOOKUP(A1254,Studies!A:BR,6,FALSE),"")</f>
        <v>Plasma</v>
      </c>
      <c r="G1254" s="194">
        <v>56</v>
      </c>
      <c r="H1254" s="194" t="s">
        <v>60</v>
      </c>
      <c r="I1254" s="187">
        <v>10.765682220458984</v>
      </c>
      <c r="J1254" s="187" t="s">
        <v>1026</v>
      </c>
      <c r="K1254" s="187" t="s">
        <v>116</v>
      </c>
      <c r="L1254" s="195"/>
      <c r="M1254" s="195"/>
      <c r="N1254" s="195"/>
      <c r="O1254" s="199"/>
      <c r="P1254" s="188"/>
      <c r="Q1254" s="174">
        <f>IF(ISNUMBER(VLOOKUP(A1254,NotghiID!A:A,1,FALSE)),1,0)</f>
        <v>0</v>
      </c>
    </row>
    <row r="1255" spans="1:17" ht="14.25" x14ac:dyDescent="0.2">
      <c r="A1255" s="183">
        <v>482</v>
      </c>
      <c r="B1255" s="232" t="str">
        <f>IF(AND(A1255&lt;&gt;"",ISNUMBER(A1255)),VLOOKUP(A1255,Studies!A:BR,2,FALSE),"")</f>
        <v>Van de Velde 1996</v>
      </c>
      <c r="C1255" s="232" t="str">
        <f>IF(AND(A1255&lt;&gt;"",ISNUMBER(A1255)),VLOOKUP(A1255,Studies!A:BR,3,FALSE),"")</f>
        <v>https://www.ncbi.nlm.nih.gov/pubmed/8726601</v>
      </c>
      <c r="D1255" s="232" t="str">
        <f>IF(AND(A1255&lt;&gt;"",ISNUMBER(A1255)),VLOOKUP(A1255,Studies!A:BR,4,FALSE),"")</f>
        <v>Fed ITZ</v>
      </c>
      <c r="E1255" s="206" t="str">
        <f>IF(AND(A1255&lt;&gt;"",ISNUMBER(A1255)),VLOOKUP(A1255,Studies!A:BR,5,FALSE),"")</f>
        <v>Itraconazole</v>
      </c>
      <c r="F1255" s="207" t="str">
        <f>IF(AND(A1255&lt;&gt;"",ISNUMBER(A1255)),VLOOKUP(A1255,Studies!A:BR,6,FALSE),"")</f>
        <v>Plasma</v>
      </c>
      <c r="G1255" s="194">
        <v>72</v>
      </c>
      <c r="H1255" s="194" t="s">
        <v>60</v>
      </c>
      <c r="I1255" s="187">
        <v>7.4067187309265137</v>
      </c>
      <c r="J1255" s="187" t="s">
        <v>1026</v>
      </c>
      <c r="K1255" s="187" t="s">
        <v>116</v>
      </c>
      <c r="L1255" s="195"/>
      <c r="M1255" s="195"/>
      <c r="N1255" s="195"/>
      <c r="O1255" s="199"/>
      <c r="P1255" s="188"/>
      <c r="Q1255" s="174">
        <f>IF(ISNUMBER(VLOOKUP(A1255,NotghiID!A:A,1,FALSE)),1,0)</f>
        <v>0</v>
      </c>
    </row>
    <row r="1256" spans="1:17" ht="14.25" x14ac:dyDescent="0.2">
      <c r="A1256" s="183">
        <v>482</v>
      </c>
      <c r="B1256" s="232" t="str">
        <f>IF(AND(A1256&lt;&gt;"",ISNUMBER(A1256)),VLOOKUP(A1256,Studies!A:BR,2,FALSE),"")</f>
        <v>Van de Velde 1996</v>
      </c>
      <c r="C1256" s="232" t="str">
        <f>IF(AND(A1256&lt;&gt;"",ISNUMBER(A1256)),VLOOKUP(A1256,Studies!A:BR,3,FALSE),"")</f>
        <v>https://www.ncbi.nlm.nih.gov/pubmed/8726601</v>
      </c>
      <c r="D1256" s="232" t="str">
        <f>IF(AND(A1256&lt;&gt;"",ISNUMBER(A1256)),VLOOKUP(A1256,Studies!A:BR,4,FALSE),"")</f>
        <v>Fed ITZ</v>
      </c>
      <c r="E1256" s="206" t="str">
        <f>IF(AND(A1256&lt;&gt;"",ISNUMBER(A1256)),VLOOKUP(A1256,Studies!A:BR,5,FALSE),"")</f>
        <v>Itraconazole</v>
      </c>
      <c r="F1256" s="207" t="str">
        <f>IF(AND(A1256&lt;&gt;"",ISNUMBER(A1256)),VLOOKUP(A1256,Studies!A:BR,6,FALSE),"")</f>
        <v>Plasma</v>
      </c>
      <c r="G1256" s="194">
        <v>80</v>
      </c>
      <c r="H1256" s="194" t="s">
        <v>60</v>
      </c>
      <c r="I1256" s="187">
        <v>6.0485424995422363</v>
      </c>
      <c r="J1256" s="187" t="s">
        <v>1026</v>
      </c>
      <c r="K1256" s="187" t="s">
        <v>116</v>
      </c>
      <c r="L1256" s="195"/>
      <c r="M1256" s="195"/>
      <c r="N1256" s="195"/>
      <c r="O1256" s="199"/>
      <c r="P1256" s="188"/>
      <c r="Q1256" s="174">
        <f>IF(ISNUMBER(VLOOKUP(A1256,NotghiID!A:A,1,FALSE)),1,0)</f>
        <v>0</v>
      </c>
    </row>
    <row r="1257" spans="1:17" ht="14.25" x14ac:dyDescent="0.2">
      <c r="A1257" s="183">
        <v>482</v>
      </c>
      <c r="B1257" s="232" t="str">
        <f>IF(AND(A1257&lt;&gt;"",ISNUMBER(A1257)),VLOOKUP(A1257,Studies!A:BR,2,FALSE),"")</f>
        <v>Van de Velde 1996</v>
      </c>
      <c r="C1257" s="232" t="str">
        <f>IF(AND(A1257&lt;&gt;"",ISNUMBER(A1257)),VLOOKUP(A1257,Studies!A:BR,3,FALSE),"")</f>
        <v>https://www.ncbi.nlm.nih.gov/pubmed/8726601</v>
      </c>
      <c r="D1257" s="232" t="str">
        <f>IF(AND(A1257&lt;&gt;"",ISNUMBER(A1257)),VLOOKUP(A1257,Studies!A:BR,4,FALSE),"")</f>
        <v>Fed ITZ</v>
      </c>
      <c r="E1257" s="206" t="str">
        <f>IF(AND(A1257&lt;&gt;"",ISNUMBER(A1257)),VLOOKUP(A1257,Studies!A:BR,5,FALSE),"")</f>
        <v>Itraconazole</v>
      </c>
      <c r="F1257" s="207" t="str">
        <f>IF(AND(A1257&lt;&gt;"",ISNUMBER(A1257)),VLOOKUP(A1257,Studies!A:BR,6,FALSE),"")</f>
        <v>Plasma</v>
      </c>
      <c r="G1257" s="194">
        <v>96</v>
      </c>
      <c r="H1257" s="194" t="s">
        <v>60</v>
      </c>
      <c r="I1257" s="187">
        <v>4.7878537178039551</v>
      </c>
      <c r="J1257" s="187" t="s">
        <v>1026</v>
      </c>
      <c r="K1257" s="187" t="s">
        <v>116</v>
      </c>
      <c r="L1257" s="195"/>
      <c r="M1257" s="195"/>
      <c r="N1257" s="195"/>
      <c r="O1257" s="199"/>
      <c r="P1257" s="188"/>
      <c r="Q1257" s="174">
        <f>IF(ISNUMBER(VLOOKUP(A1257,NotghiID!A:A,1,FALSE)),1,0)</f>
        <v>0</v>
      </c>
    </row>
    <row r="1258" spans="1:17" ht="14.25" x14ac:dyDescent="0.2">
      <c r="A1258" s="183">
        <v>483</v>
      </c>
      <c r="B1258" s="232" t="str">
        <f>IF(AND(A1258&lt;&gt;"",ISNUMBER(A1258)),VLOOKUP(A1258,Studies!A:BR,2,FALSE),"")</f>
        <v>Van de Velde 1996</v>
      </c>
      <c r="C1258" s="232" t="str">
        <f>IF(AND(A1258&lt;&gt;"",ISNUMBER(A1258)),VLOOKUP(A1258,Studies!A:BR,3,FALSE),"")</f>
        <v>https://www.ncbi.nlm.nih.gov/pubmed/8726601</v>
      </c>
      <c r="D1258" s="232" t="str">
        <f>IF(AND(A1258&lt;&gt;"",ISNUMBER(A1258)),VLOOKUP(A1258,Studies!A:BR,4,FALSE),"")</f>
        <v>Fed OH-ITZ</v>
      </c>
      <c r="E1258" s="206" t="str">
        <f>IF(AND(A1258&lt;&gt;"",ISNUMBER(A1258)),VLOOKUP(A1258,Studies!A:BR,5,FALSE),"")</f>
        <v>Hydroxy-Itraconazole</v>
      </c>
      <c r="F1258" s="207" t="str">
        <f>IF(AND(A1258&lt;&gt;"",ISNUMBER(A1258)),VLOOKUP(A1258,Studies!A:BR,6,FALSE),"")</f>
        <v>Plasma</v>
      </c>
      <c r="G1258" s="194">
        <v>0.5</v>
      </c>
      <c r="H1258" s="194" t="s">
        <v>60</v>
      </c>
      <c r="I1258" s="187">
        <v>29.489700317382813</v>
      </c>
      <c r="J1258" s="187" t="s">
        <v>1026</v>
      </c>
      <c r="K1258" s="187" t="s">
        <v>116</v>
      </c>
      <c r="L1258" s="195"/>
      <c r="M1258" s="195"/>
      <c r="N1258" s="195"/>
      <c r="O1258" s="199"/>
      <c r="P1258" s="188"/>
      <c r="Q1258" s="174">
        <f>IF(ISNUMBER(VLOOKUP(A1258,NotghiID!A:A,1,FALSE)),1,0)</f>
        <v>0</v>
      </c>
    </row>
    <row r="1259" spans="1:17" ht="14.25" x14ac:dyDescent="0.2">
      <c r="A1259" s="183">
        <v>483</v>
      </c>
      <c r="B1259" s="232" t="str">
        <f>IF(AND(A1259&lt;&gt;"",ISNUMBER(A1259)),VLOOKUP(A1259,Studies!A:BR,2,FALSE),"")</f>
        <v>Van de Velde 1996</v>
      </c>
      <c r="C1259" s="232" t="str">
        <f>IF(AND(A1259&lt;&gt;"",ISNUMBER(A1259)),VLOOKUP(A1259,Studies!A:BR,3,FALSE),"")</f>
        <v>https://www.ncbi.nlm.nih.gov/pubmed/8726601</v>
      </c>
      <c r="D1259" s="232" t="str">
        <f>IF(AND(A1259&lt;&gt;"",ISNUMBER(A1259)),VLOOKUP(A1259,Studies!A:BR,4,FALSE),"")</f>
        <v>Fed OH-ITZ</v>
      </c>
      <c r="E1259" s="206" t="str">
        <f>IF(AND(A1259&lt;&gt;"",ISNUMBER(A1259)),VLOOKUP(A1259,Studies!A:BR,5,FALSE),"")</f>
        <v>Hydroxy-Itraconazole</v>
      </c>
      <c r="F1259" s="207" t="str">
        <f>IF(AND(A1259&lt;&gt;"",ISNUMBER(A1259)),VLOOKUP(A1259,Studies!A:BR,6,FALSE),"")</f>
        <v>Plasma</v>
      </c>
      <c r="G1259" s="194">
        <v>1</v>
      </c>
      <c r="H1259" s="194" t="s">
        <v>60</v>
      </c>
      <c r="I1259" s="187">
        <v>87.114067077636719</v>
      </c>
      <c r="J1259" s="187" t="s">
        <v>1026</v>
      </c>
      <c r="K1259" s="187" t="s">
        <v>116</v>
      </c>
      <c r="L1259" s="195"/>
      <c r="M1259" s="195"/>
      <c r="N1259" s="195"/>
      <c r="O1259" s="199"/>
      <c r="P1259" s="188"/>
      <c r="Q1259" s="174">
        <f>IF(ISNUMBER(VLOOKUP(A1259,NotghiID!A:A,1,FALSE)),1,0)</f>
        <v>0</v>
      </c>
    </row>
    <row r="1260" spans="1:17" ht="14.25" x14ac:dyDescent="0.2">
      <c r="A1260" s="183">
        <v>483</v>
      </c>
      <c r="B1260" s="232" t="str">
        <f>IF(AND(A1260&lt;&gt;"",ISNUMBER(A1260)),VLOOKUP(A1260,Studies!A:BR,2,FALSE),"")</f>
        <v>Van de Velde 1996</v>
      </c>
      <c r="C1260" s="232" t="str">
        <f>IF(AND(A1260&lt;&gt;"",ISNUMBER(A1260)),VLOOKUP(A1260,Studies!A:BR,3,FALSE),"")</f>
        <v>https://www.ncbi.nlm.nih.gov/pubmed/8726601</v>
      </c>
      <c r="D1260" s="232" t="str">
        <f>IF(AND(A1260&lt;&gt;"",ISNUMBER(A1260)),VLOOKUP(A1260,Studies!A:BR,4,FALSE),"")</f>
        <v>Fed OH-ITZ</v>
      </c>
      <c r="E1260" s="206" t="str">
        <f>IF(AND(A1260&lt;&gt;"",ISNUMBER(A1260)),VLOOKUP(A1260,Studies!A:BR,5,FALSE),"")</f>
        <v>Hydroxy-Itraconazole</v>
      </c>
      <c r="F1260" s="207" t="str">
        <f>IF(AND(A1260&lt;&gt;"",ISNUMBER(A1260)),VLOOKUP(A1260,Studies!A:BR,6,FALSE),"")</f>
        <v>Plasma</v>
      </c>
      <c r="G1260" s="194">
        <v>1.5</v>
      </c>
      <c r="H1260" s="194" t="s">
        <v>60</v>
      </c>
      <c r="I1260" s="187">
        <v>127.14252471923828</v>
      </c>
      <c r="J1260" s="187" t="s">
        <v>1026</v>
      </c>
      <c r="K1260" s="187" t="s">
        <v>116</v>
      </c>
      <c r="L1260" s="195"/>
      <c r="M1260" s="195"/>
      <c r="N1260" s="195"/>
      <c r="O1260" s="199"/>
      <c r="P1260" s="188"/>
      <c r="Q1260" s="174">
        <f>IF(ISNUMBER(VLOOKUP(A1260,NotghiID!A:A,1,FALSE)),1,0)</f>
        <v>0</v>
      </c>
    </row>
    <row r="1261" spans="1:17" ht="14.25" x14ac:dyDescent="0.2">
      <c r="A1261" s="183">
        <v>483</v>
      </c>
      <c r="B1261" s="232" t="str">
        <f>IF(AND(A1261&lt;&gt;"",ISNUMBER(A1261)),VLOOKUP(A1261,Studies!A:BR,2,FALSE),"")</f>
        <v>Van de Velde 1996</v>
      </c>
      <c r="C1261" s="232" t="str">
        <f>IF(AND(A1261&lt;&gt;"",ISNUMBER(A1261)),VLOOKUP(A1261,Studies!A:BR,3,FALSE),"")</f>
        <v>https://www.ncbi.nlm.nih.gov/pubmed/8726601</v>
      </c>
      <c r="D1261" s="232" t="str">
        <f>IF(AND(A1261&lt;&gt;"",ISNUMBER(A1261)),VLOOKUP(A1261,Studies!A:BR,4,FALSE),"")</f>
        <v>Fed OH-ITZ</v>
      </c>
      <c r="E1261" s="206" t="str">
        <f>IF(AND(A1261&lt;&gt;"",ISNUMBER(A1261)),VLOOKUP(A1261,Studies!A:BR,5,FALSE),"")</f>
        <v>Hydroxy-Itraconazole</v>
      </c>
      <c r="F1261" s="207" t="str">
        <f>IF(AND(A1261&lt;&gt;"",ISNUMBER(A1261)),VLOOKUP(A1261,Studies!A:BR,6,FALSE),"")</f>
        <v>Plasma</v>
      </c>
      <c r="G1261" s="194">
        <v>2</v>
      </c>
      <c r="H1261" s="194" t="s">
        <v>60</v>
      </c>
      <c r="I1261" s="187">
        <v>165.8350830078125</v>
      </c>
      <c r="J1261" s="187" t="s">
        <v>1026</v>
      </c>
      <c r="K1261" s="187" t="s">
        <v>116</v>
      </c>
      <c r="L1261" s="195"/>
      <c r="M1261" s="195"/>
      <c r="N1261" s="195"/>
      <c r="O1261" s="199"/>
      <c r="P1261" s="188"/>
      <c r="Q1261" s="174">
        <f>IF(ISNUMBER(VLOOKUP(A1261,NotghiID!A:A,1,FALSE)),1,0)</f>
        <v>0</v>
      </c>
    </row>
    <row r="1262" spans="1:17" ht="14.25" x14ac:dyDescent="0.2">
      <c r="A1262" s="183">
        <v>483</v>
      </c>
      <c r="B1262" s="232" t="str">
        <f>IF(AND(A1262&lt;&gt;"",ISNUMBER(A1262)),VLOOKUP(A1262,Studies!A:BR,2,FALSE),"")</f>
        <v>Van de Velde 1996</v>
      </c>
      <c r="C1262" s="232" t="str">
        <f>IF(AND(A1262&lt;&gt;"",ISNUMBER(A1262)),VLOOKUP(A1262,Studies!A:BR,3,FALSE),"")</f>
        <v>https://www.ncbi.nlm.nih.gov/pubmed/8726601</v>
      </c>
      <c r="D1262" s="232" t="str">
        <f>IF(AND(A1262&lt;&gt;"",ISNUMBER(A1262)),VLOOKUP(A1262,Studies!A:BR,4,FALSE),"")</f>
        <v>Fed OH-ITZ</v>
      </c>
      <c r="E1262" s="206" t="str">
        <f>IF(AND(A1262&lt;&gt;"",ISNUMBER(A1262)),VLOOKUP(A1262,Studies!A:BR,5,FALSE),"")</f>
        <v>Hydroxy-Itraconazole</v>
      </c>
      <c r="F1262" s="207" t="str">
        <f>IF(AND(A1262&lt;&gt;"",ISNUMBER(A1262)),VLOOKUP(A1262,Studies!A:BR,6,FALSE),"")</f>
        <v>Plasma</v>
      </c>
      <c r="G1262" s="194">
        <v>3</v>
      </c>
      <c r="H1262" s="194" t="s">
        <v>60</v>
      </c>
      <c r="I1262" s="187">
        <v>199.32357788085937</v>
      </c>
      <c r="J1262" s="187" t="s">
        <v>1026</v>
      </c>
      <c r="K1262" s="187" t="s">
        <v>116</v>
      </c>
      <c r="L1262" s="195"/>
      <c r="M1262" s="195"/>
      <c r="N1262" s="195"/>
      <c r="O1262" s="199"/>
      <c r="P1262" s="188"/>
      <c r="Q1262" s="174">
        <f>IF(ISNUMBER(VLOOKUP(A1262,NotghiID!A:A,1,FALSE)),1,0)</f>
        <v>0</v>
      </c>
    </row>
    <row r="1263" spans="1:17" ht="14.25" x14ac:dyDescent="0.2">
      <c r="A1263" s="183">
        <v>483</v>
      </c>
      <c r="B1263" s="232" t="str">
        <f>IF(AND(A1263&lt;&gt;"",ISNUMBER(A1263)),VLOOKUP(A1263,Studies!A:BR,2,FALSE),"")</f>
        <v>Van de Velde 1996</v>
      </c>
      <c r="C1263" s="232" t="str">
        <f>IF(AND(A1263&lt;&gt;"",ISNUMBER(A1263)),VLOOKUP(A1263,Studies!A:BR,3,FALSE),"")</f>
        <v>https://www.ncbi.nlm.nih.gov/pubmed/8726601</v>
      </c>
      <c r="D1263" s="232" t="str">
        <f>IF(AND(A1263&lt;&gt;"",ISNUMBER(A1263)),VLOOKUP(A1263,Studies!A:BR,4,FALSE),"")</f>
        <v>Fed OH-ITZ</v>
      </c>
      <c r="E1263" s="206" t="str">
        <f>IF(AND(A1263&lt;&gt;"",ISNUMBER(A1263)),VLOOKUP(A1263,Studies!A:BR,5,FALSE),"")</f>
        <v>Hydroxy-Itraconazole</v>
      </c>
      <c r="F1263" s="207" t="str">
        <f>IF(AND(A1263&lt;&gt;"",ISNUMBER(A1263)),VLOOKUP(A1263,Studies!A:BR,6,FALSE),"")</f>
        <v>Plasma</v>
      </c>
      <c r="G1263" s="194">
        <v>4</v>
      </c>
      <c r="H1263" s="194" t="s">
        <v>60</v>
      </c>
      <c r="I1263" s="187">
        <v>232.34173583984375</v>
      </c>
      <c r="J1263" s="187" t="s">
        <v>1026</v>
      </c>
      <c r="K1263" s="187" t="s">
        <v>116</v>
      </c>
      <c r="L1263" s="195"/>
      <c r="M1263" s="195"/>
      <c r="N1263" s="195"/>
      <c r="O1263" s="199"/>
      <c r="P1263" s="188"/>
      <c r="Q1263" s="174">
        <f>IF(ISNUMBER(VLOOKUP(A1263,NotghiID!A:A,1,FALSE)),1,0)</f>
        <v>0</v>
      </c>
    </row>
    <row r="1264" spans="1:17" ht="14.25" x14ac:dyDescent="0.2">
      <c r="A1264" s="183">
        <v>483</v>
      </c>
      <c r="B1264" s="232" t="str">
        <f>IF(AND(A1264&lt;&gt;"",ISNUMBER(A1264)),VLOOKUP(A1264,Studies!A:BR,2,FALSE),"")</f>
        <v>Van de Velde 1996</v>
      </c>
      <c r="C1264" s="232" t="str">
        <f>IF(AND(A1264&lt;&gt;"",ISNUMBER(A1264)),VLOOKUP(A1264,Studies!A:BR,3,FALSE),"")</f>
        <v>https://www.ncbi.nlm.nih.gov/pubmed/8726601</v>
      </c>
      <c r="D1264" s="232" t="str">
        <f>IF(AND(A1264&lt;&gt;"",ISNUMBER(A1264)),VLOOKUP(A1264,Studies!A:BR,4,FALSE),"")</f>
        <v>Fed OH-ITZ</v>
      </c>
      <c r="E1264" s="206" t="str">
        <f>IF(AND(A1264&lt;&gt;"",ISNUMBER(A1264)),VLOOKUP(A1264,Studies!A:BR,5,FALSE),"")</f>
        <v>Hydroxy-Itraconazole</v>
      </c>
      <c r="F1264" s="207" t="str">
        <f>IF(AND(A1264&lt;&gt;"",ISNUMBER(A1264)),VLOOKUP(A1264,Studies!A:BR,6,FALSE),"")</f>
        <v>Plasma</v>
      </c>
      <c r="G1264" s="194">
        <v>6</v>
      </c>
      <c r="H1264" s="194" t="s">
        <v>60</v>
      </c>
      <c r="I1264" s="187">
        <v>227.64151000976562</v>
      </c>
      <c r="J1264" s="187" t="s">
        <v>1026</v>
      </c>
      <c r="K1264" s="187" t="s">
        <v>116</v>
      </c>
      <c r="L1264" s="195"/>
      <c r="M1264" s="195"/>
      <c r="N1264" s="195"/>
      <c r="O1264" s="199"/>
      <c r="P1264" s="188"/>
      <c r="Q1264" s="174">
        <f>IF(ISNUMBER(VLOOKUP(A1264,NotghiID!A:A,1,FALSE)),1,0)</f>
        <v>0</v>
      </c>
    </row>
    <row r="1265" spans="1:17" ht="14.25" x14ac:dyDescent="0.2">
      <c r="A1265" s="183">
        <v>483</v>
      </c>
      <c r="B1265" s="232" t="str">
        <f>IF(AND(A1265&lt;&gt;"",ISNUMBER(A1265)),VLOOKUP(A1265,Studies!A:BR,2,FALSE),"")</f>
        <v>Van de Velde 1996</v>
      </c>
      <c r="C1265" s="232" t="str">
        <f>IF(AND(A1265&lt;&gt;"",ISNUMBER(A1265)),VLOOKUP(A1265,Studies!A:BR,3,FALSE),"")</f>
        <v>https://www.ncbi.nlm.nih.gov/pubmed/8726601</v>
      </c>
      <c r="D1265" s="232" t="str">
        <f>IF(AND(A1265&lt;&gt;"",ISNUMBER(A1265)),VLOOKUP(A1265,Studies!A:BR,4,FALSE),"")</f>
        <v>Fed OH-ITZ</v>
      </c>
      <c r="E1265" s="206" t="str">
        <f>IF(AND(A1265&lt;&gt;"",ISNUMBER(A1265)),VLOOKUP(A1265,Studies!A:BR,5,FALSE),"")</f>
        <v>Hydroxy-Itraconazole</v>
      </c>
      <c r="F1265" s="207" t="str">
        <f>IF(AND(A1265&lt;&gt;"",ISNUMBER(A1265)),VLOOKUP(A1265,Studies!A:BR,6,FALSE),"")</f>
        <v>Plasma</v>
      </c>
      <c r="G1265" s="194">
        <v>8</v>
      </c>
      <c r="H1265" s="194" t="s">
        <v>60</v>
      </c>
      <c r="I1265" s="187">
        <v>211.92686462402344</v>
      </c>
      <c r="J1265" s="187" t="s">
        <v>1026</v>
      </c>
      <c r="K1265" s="187" t="s">
        <v>116</v>
      </c>
      <c r="L1265" s="195"/>
      <c r="M1265" s="195"/>
      <c r="N1265" s="195"/>
      <c r="O1265" s="199"/>
      <c r="P1265" s="188"/>
      <c r="Q1265" s="174">
        <f>IF(ISNUMBER(VLOOKUP(A1265,NotghiID!A:A,1,FALSE)),1,0)</f>
        <v>0</v>
      </c>
    </row>
    <row r="1266" spans="1:17" ht="14.25" x14ac:dyDescent="0.2">
      <c r="A1266" s="183">
        <v>483</v>
      </c>
      <c r="B1266" s="232" t="str">
        <f>IF(AND(A1266&lt;&gt;"",ISNUMBER(A1266)),VLOOKUP(A1266,Studies!A:BR,2,FALSE),"")</f>
        <v>Van de Velde 1996</v>
      </c>
      <c r="C1266" s="232" t="str">
        <f>IF(AND(A1266&lt;&gt;"",ISNUMBER(A1266)),VLOOKUP(A1266,Studies!A:BR,3,FALSE),"")</f>
        <v>https://www.ncbi.nlm.nih.gov/pubmed/8726601</v>
      </c>
      <c r="D1266" s="232" t="str">
        <f>IF(AND(A1266&lt;&gt;"",ISNUMBER(A1266)),VLOOKUP(A1266,Studies!A:BR,4,FALSE),"")</f>
        <v>Fed OH-ITZ</v>
      </c>
      <c r="E1266" s="206" t="str">
        <f>IF(AND(A1266&lt;&gt;"",ISNUMBER(A1266)),VLOOKUP(A1266,Studies!A:BR,5,FALSE),"")</f>
        <v>Hydroxy-Itraconazole</v>
      </c>
      <c r="F1266" s="207" t="str">
        <f>IF(AND(A1266&lt;&gt;"",ISNUMBER(A1266)),VLOOKUP(A1266,Studies!A:BR,6,FALSE),"")</f>
        <v>Plasma</v>
      </c>
      <c r="G1266" s="194">
        <v>24</v>
      </c>
      <c r="H1266" s="194" t="s">
        <v>60</v>
      </c>
      <c r="I1266" s="187">
        <v>90.748588562011719</v>
      </c>
      <c r="J1266" s="187" t="s">
        <v>1026</v>
      </c>
      <c r="K1266" s="187" t="s">
        <v>116</v>
      </c>
      <c r="L1266" s="195"/>
      <c r="M1266" s="195"/>
      <c r="N1266" s="195"/>
      <c r="O1266" s="199"/>
      <c r="P1266" s="188"/>
      <c r="Q1266" s="174">
        <f>IF(ISNUMBER(VLOOKUP(A1266,NotghiID!A:A,1,FALSE)),1,0)</f>
        <v>0</v>
      </c>
    </row>
    <row r="1267" spans="1:17" ht="14.25" x14ac:dyDescent="0.2">
      <c r="A1267" s="183">
        <v>483</v>
      </c>
      <c r="B1267" s="232" t="str">
        <f>IF(AND(A1267&lt;&gt;"",ISNUMBER(A1267)),VLOOKUP(A1267,Studies!A:BR,2,FALSE),"")</f>
        <v>Van de Velde 1996</v>
      </c>
      <c r="C1267" s="232" t="str">
        <f>IF(AND(A1267&lt;&gt;"",ISNUMBER(A1267)),VLOOKUP(A1267,Studies!A:BR,3,FALSE),"")</f>
        <v>https://www.ncbi.nlm.nih.gov/pubmed/8726601</v>
      </c>
      <c r="D1267" s="232" t="str">
        <f>IF(AND(A1267&lt;&gt;"",ISNUMBER(A1267)),VLOOKUP(A1267,Studies!A:BR,4,FALSE),"")</f>
        <v>Fed OH-ITZ</v>
      </c>
      <c r="E1267" s="206" t="str">
        <f>IF(AND(A1267&lt;&gt;"",ISNUMBER(A1267)),VLOOKUP(A1267,Studies!A:BR,5,FALSE),"")</f>
        <v>Hydroxy-Itraconazole</v>
      </c>
      <c r="F1267" s="207" t="str">
        <f>IF(AND(A1267&lt;&gt;"",ISNUMBER(A1267)),VLOOKUP(A1267,Studies!A:BR,6,FALSE),"")</f>
        <v>Plasma</v>
      </c>
      <c r="G1267" s="194">
        <v>32</v>
      </c>
      <c r="H1267" s="194" t="s">
        <v>60</v>
      </c>
      <c r="I1267" s="187">
        <v>63.461933135986328</v>
      </c>
      <c r="J1267" s="187" t="s">
        <v>1026</v>
      </c>
      <c r="K1267" s="187" t="s">
        <v>116</v>
      </c>
      <c r="L1267" s="195"/>
      <c r="M1267" s="195"/>
      <c r="N1267" s="195"/>
      <c r="O1267" s="199"/>
      <c r="P1267" s="188"/>
      <c r="Q1267" s="174">
        <f>IF(ISNUMBER(VLOOKUP(A1267,NotghiID!A:A,1,FALSE)),1,0)</f>
        <v>0</v>
      </c>
    </row>
    <row r="1268" spans="1:17" ht="14.25" x14ac:dyDescent="0.2">
      <c r="A1268" s="183">
        <v>484</v>
      </c>
      <c r="B1268" s="232" t="str">
        <f>IF(AND(A1268&lt;&gt;"",ISNUMBER(A1268)),VLOOKUP(A1268,Studies!A:BR,2,FALSE),"")</f>
        <v>Van Peer 1989</v>
      </c>
      <c r="C1268" s="232" t="str">
        <f>IF(AND(A1268&lt;&gt;"",ISNUMBER(A1268)),VLOOKUP(A1268,Studies!A:BR,3,FALSE),"")</f>
        <v>https://www.ncbi.nlm.nih.gov/pubmed/2544431</v>
      </c>
      <c r="D1268" s="232" t="str">
        <f>IF(AND(A1268&lt;&gt;"",ISNUMBER(A1268)),VLOOKUP(A1268,Studies!A:BR,4,FALSE),"")</f>
        <v>100 mg Solution, fasting</v>
      </c>
      <c r="E1268" s="206" t="str">
        <f>IF(AND(A1268&lt;&gt;"",ISNUMBER(A1268)),VLOOKUP(A1268,Studies!A:BR,5,FALSE),"")</f>
        <v>Itraconazole</v>
      </c>
      <c r="F1268" s="207" t="str">
        <f>IF(AND(A1268&lt;&gt;"",ISNUMBER(A1268)),VLOOKUP(A1268,Studies!A:BR,6,FALSE),"")</f>
        <v>Plasma</v>
      </c>
      <c r="G1268" s="194">
        <v>0.5</v>
      </c>
      <c r="H1268" s="194" t="s">
        <v>60</v>
      </c>
      <c r="I1268" s="187">
        <v>59.05533954501152</v>
      </c>
      <c r="J1268" s="187" t="s">
        <v>1026</v>
      </c>
      <c r="K1268" s="187" t="s">
        <v>116</v>
      </c>
      <c r="L1268" s="195"/>
      <c r="M1268" s="195"/>
      <c r="N1268" s="195"/>
      <c r="O1268" s="199"/>
      <c r="P1268" s="188"/>
      <c r="Q1268" s="174">
        <f>IF(ISNUMBER(VLOOKUP(A1268,NotghiID!A:A,1,FALSE)),1,0)</f>
        <v>0</v>
      </c>
    </row>
    <row r="1269" spans="1:17" ht="14.25" x14ac:dyDescent="0.2">
      <c r="A1269" s="183">
        <v>484</v>
      </c>
      <c r="B1269" s="232" t="str">
        <f>IF(AND(A1269&lt;&gt;"",ISNUMBER(A1269)),VLOOKUP(A1269,Studies!A:BR,2,FALSE),"")</f>
        <v>Van Peer 1989</v>
      </c>
      <c r="C1269" s="232" t="str">
        <f>IF(AND(A1269&lt;&gt;"",ISNUMBER(A1269)),VLOOKUP(A1269,Studies!A:BR,3,FALSE),"")</f>
        <v>https://www.ncbi.nlm.nih.gov/pubmed/2544431</v>
      </c>
      <c r="D1269" s="232" t="str">
        <f>IF(AND(A1269&lt;&gt;"",ISNUMBER(A1269)),VLOOKUP(A1269,Studies!A:BR,4,FALSE),"")</f>
        <v>100 mg Solution, fasting</v>
      </c>
      <c r="E1269" s="206" t="str">
        <f>IF(AND(A1269&lt;&gt;"",ISNUMBER(A1269)),VLOOKUP(A1269,Studies!A:BR,5,FALSE),"")</f>
        <v>Itraconazole</v>
      </c>
      <c r="F1269" s="207" t="str">
        <f>IF(AND(A1269&lt;&gt;"",ISNUMBER(A1269)),VLOOKUP(A1269,Studies!A:BR,6,FALSE),"")</f>
        <v>Plasma</v>
      </c>
      <c r="G1269" s="194">
        <v>1</v>
      </c>
      <c r="H1269" s="194" t="s">
        <v>60</v>
      </c>
      <c r="I1269" s="187">
        <v>171.83618247509003</v>
      </c>
      <c r="J1269" s="187" t="s">
        <v>1026</v>
      </c>
      <c r="K1269" s="187" t="s">
        <v>116</v>
      </c>
      <c r="L1269" s="195"/>
      <c r="M1269" s="195"/>
      <c r="N1269" s="195"/>
      <c r="O1269" s="199"/>
      <c r="P1269" s="188"/>
      <c r="Q1269" s="174">
        <f>IF(ISNUMBER(VLOOKUP(A1269,NotghiID!A:A,1,FALSE)),1,0)</f>
        <v>0</v>
      </c>
    </row>
    <row r="1270" spans="1:17" ht="14.25" x14ac:dyDescent="0.2">
      <c r="A1270" s="183">
        <v>484</v>
      </c>
      <c r="B1270" s="232" t="str">
        <f>IF(AND(A1270&lt;&gt;"",ISNUMBER(A1270)),VLOOKUP(A1270,Studies!A:BR,2,FALSE),"")</f>
        <v>Van Peer 1989</v>
      </c>
      <c r="C1270" s="232" t="str">
        <f>IF(AND(A1270&lt;&gt;"",ISNUMBER(A1270)),VLOOKUP(A1270,Studies!A:BR,3,FALSE),"")</f>
        <v>https://www.ncbi.nlm.nih.gov/pubmed/2544431</v>
      </c>
      <c r="D1270" s="232" t="str">
        <f>IF(AND(A1270&lt;&gt;"",ISNUMBER(A1270)),VLOOKUP(A1270,Studies!A:BR,4,FALSE),"")</f>
        <v>100 mg Solution, fasting</v>
      </c>
      <c r="E1270" s="206" t="str">
        <f>IF(AND(A1270&lt;&gt;"",ISNUMBER(A1270)),VLOOKUP(A1270,Studies!A:BR,5,FALSE),"")</f>
        <v>Itraconazole</v>
      </c>
      <c r="F1270" s="207" t="str">
        <f>IF(AND(A1270&lt;&gt;"",ISNUMBER(A1270)),VLOOKUP(A1270,Studies!A:BR,6,FALSE),"")</f>
        <v>Plasma</v>
      </c>
      <c r="G1270" s="194">
        <v>1.5</v>
      </c>
      <c r="H1270" s="194" t="s">
        <v>60</v>
      </c>
      <c r="I1270" s="187">
        <v>220.57090699672699</v>
      </c>
      <c r="J1270" s="187" t="s">
        <v>1026</v>
      </c>
      <c r="K1270" s="187" t="s">
        <v>116</v>
      </c>
      <c r="L1270" s="195"/>
      <c r="M1270" s="195"/>
      <c r="N1270" s="195"/>
      <c r="O1270" s="199"/>
      <c r="P1270" s="188"/>
      <c r="Q1270" s="174">
        <f>IF(ISNUMBER(VLOOKUP(A1270,NotghiID!A:A,1,FALSE)),1,0)</f>
        <v>0</v>
      </c>
    </row>
    <row r="1271" spans="1:17" ht="14.25" x14ac:dyDescent="0.2">
      <c r="A1271" s="183">
        <v>484</v>
      </c>
      <c r="B1271" s="232" t="str">
        <f>IF(AND(A1271&lt;&gt;"",ISNUMBER(A1271)),VLOOKUP(A1271,Studies!A:BR,2,FALSE),"")</f>
        <v>Van Peer 1989</v>
      </c>
      <c r="C1271" s="232" t="str">
        <f>IF(AND(A1271&lt;&gt;"",ISNUMBER(A1271)),VLOOKUP(A1271,Studies!A:BR,3,FALSE),"")</f>
        <v>https://www.ncbi.nlm.nih.gov/pubmed/2544431</v>
      </c>
      <c r="D1271" s="232" t="str">
        <f>IF(AND(A1271&lt;&gt;"",ISNUMBER(A1271)),VLOOKUP(A1271,Studies!A:BR,4,FALSE),"")</f>
        <v>100 mg Solution, fasting</v>
      </c>
      <c r="E1271" s="206" t="str">
        <f>IF(AND(A1271&lt;&gt;"",ISNUMBER(A1271)),VLOOKUP(A1271,Studies!A:BR,5,FALSE),"")</f>
        <v>Itraconazole</v>
      </c>
      <c r="F1271" s="207" t="str">
        <f>IF(AND(A1271&lt;&gt;"",ISNUMBER(A1271)),VLOOKUP(A1271,Studies!A:BR,6,FALSE),"")</f>
        <v>Plasma</v>
      </c>
      <c r="G1271" s="194">
        <v>2</v>
      </c>
      <c r="H1271" s="194" t="s">
        <v>60</v>
      </c>
      <c r="I1271" s="187">
        <v>211.58073842525482</v>
      </c>
      <c r="J1271" s="187" t="s">
        <v>1026</v>
      </c>
      <c r="K1271" s="187" t="s">
        <v>116</v>
      </c>
      <c r="L1271" s="195"/>
      <c r="M1271" s="195"/>
      <c r="N1271" s="195"/>
      <c r="O1271" s="199"/>
      <c r="P1271" s="188"/>
      <c r="Q1271" s="174">
        <f>IF(ISNUMBER(VLOOKUP(A1271,NotghiID!A:A,1,FALSE)),1,0)</f>
        <v>0</v>
      </c>
    </row>
    <row r="1272" spans="1:17" ht="14.25" x14ac:dyDescent="0.2">
      <c r="A1272" s="183">
        <v>484</v>
      </c>
      <c r="B1272" s="232" t="str">
        <f>IF(AND(A1272&lt;&gt;"",ISNUMBER(A1272)),VLOOKUP(A1272,Studies!A:BR,2,FALSE),"")</f>
        <v>Van Peer 1989</v>
      </c>
      <c r="C1272" s="232" t="str">
        <f>IF(AND(A1272&lt;&gt;"",ISNUMBER(A1272)),VLOOKUP(A1272,Studies!A:BR,3,FALSE),"")</f>
        <v>https://www.ncbi.nlm.nih.gov/pubmed/2544431</v>
      </c>
      <c r="D1272" s="232" t="str">
        <f>IF(AND(A1272&lt;&gt;"",ISNUMBER(A1272)),VLOOKUP(A1272,Studies!A:BR,4,FALSE),"")</f>
        <v>100 mg Solution, fasting</v>
      </c>
      <c r="E1272" s="206" t="str">
        <f>IF(AND(A1272&lt;&gt;"",ISNUMBER(A1272)),VLOOKUP(A1272,Studies!A:BR,5,FALSE),"")</f>
        <v>Itraconazole</v>
      </c>
      <c r="F1272" s="207" t="str">
        <f>IF(AND(A1272&lt;&gt;"",ISNUMBER(A1272)),VLOOKUP(A1272,Studies!A:BR,6,FALSE),"")</f>
        <v>Plasma</v>
      </c>
      <c r="G1272" s="194">
        <v>3</v>
      </c>
      <c r="H1272" s="194" t="s">
        <v>60</v>
      </c>
      <c r="I1272" s="187">
        <v>151.66933834552765</v>
      </c>
      <c r="J1272" s="187" t="s">
        <v>1026</v>
      </c>
      <c r="K1272" s="187" t="s">
        <v>116</v>
      </c>
      <c r="L1272" s="195"/>
      <c r="M1272" s="195"/>
      <c r="N1272" s="195"/>
      <c r="O1272" s="199"/>
      <c r="P1272" s="188"/>
      <c r="Q1272" s="174">
        <f>IF(ISNUMBER(VLOOKUP(A1272,NotghiID!A:A,1,FALSE)),1,0)</f>
        <v>0</v>
      </c>
    </row>
    <row r="1273" spans="1:17" ht="14.25" x14ac:dyDescent="0.2">
      <c r="A1273" s="183">
        <v>484</v>
      </c>
      <c r="B1273" s="232" t="str">
        <f>IF(AND(A1273&lt;&gt;"",ISNUMBER(A1273)),VLOOKUP(A1273,Studies!A:BR,2,FALSE),"")</f>
        <v>Van Peer 1989</v>
      </c>
      <c r="C1273" s="232" t="str">
        <f>IF(AND(A1273&lt;&gt;"",ISNUMBER(A1273)),VLOOKUP(A1273,Studies!A:BR,3,FALSE),"")</f>
        <v>https://www.ncbi.nlm.nih.gov/pubmed/2544431</v>
      </c>
      <c r="D1273" s="232" t="str">
        <f>IF(AND(A1273&lt;&gt;"",ISNUMBER(A1273)),VLOOKUP(A1273,Studies!A:BR,4,FALSE),"")</f>
        <v>100 mg Solution, fasting</v>
      </c>
      <c r="E1273" s="206" t="str">
        <f>IF(AND(A1273&lt;&gt;"",ISNUMBER(A1273)),VLOOKUP(A1273,Studies!A:BR,5,FALSE),"")</f>
        <v>Itraconazole</v>
      </c>
      <c r="F1273" s="207" t="str">
        <f>IF(AND(A1273&lt;&gt;"",ISNUMBER(A1273)),VLOOKUP(A1273,Studies!A:BR,6,FALSE),"")</f>
        <v>Plasma</v>
      </c>
      <c r="G1273" s="194">
        <v>4</v>
      </c>
      <c r="H1273" s="194" t="s">
        <v>60</v>
      </c>
      <c r="I1273" s="187">
        <v>111.78091168403625</v>
      </c>
      <c r="J1273" s="187" t="s">
        <v>1026</v>
      </c>
      <c r="K1273" s="187" t="s">
        <v>116</v>
      </c>
      <c r="L1273" s="195"/>
      <c r="M1273" s="195"/>
      <c r="N1273" s="195"/>
      <c r="O1273" s="199"/>
      <c r="P1273" s="188"/>
      <c r="Q1273" s="174">
        <f>IF(ISNUMBER(VLOOKUP(A1273,NotghiID!A:A,1,FALSE)),1,0)</f>
        <v>0</v>
      </c>
    </row>
    <row r="1274" spans="1:17" ht="14.25" x14ac:dyDescent="0.2">
      <c r="A1274" s="183">
        <v>484</v>
      </c>
      <c r="B1274" s="232" t="str">
        <f>IF(AND(A1274&lt;&gt;"",ISNUMBER(A1274)),VLOOKUP(A1274,Studies!A:BR,2,FALSE),"")</f>
        <v>Van Peer 1989</v>
      </c>
      <c r="C1274" s="232" t="str">
        <f>IF(AND(A1274&lt;&gt;"",ISNUMBER(A1274)),VLOOKUP(A1274,Studies!A:BR,3,FALSE),"")</f>
        <v>https://www.ncbi.nlm.nih.gov/pubmed/2544431</v>
      </c>
      <c r="D1274" s="232" t="str">
        <f>IF(AND(A1274&lt;&gt;"",ISNUMBER(A1274)),VLOOKUP(A1274,Studies!A:BR,4,FALSE),"")</f>
        <v>100 mg Solution, fasting</v>
      </c>
      <c r="E1274" s="206" t="str">
        <f>IF(AND(A1274&lt;&gt;"",ISNUMBER(A1274)),VLOOKUP(A1274,Studies!A:BR,5,FALSE),"")</f>
        <v>Itraconazole</v>
      </c>
      <c r="F1274" s="207" t="str">
        <f>IF(AND(A1274&lt;&gt;"",ISNUMBER(A1274)),VLOOKUP(A1274,Studies!A:BR,6,FALSE),"")</f>
        <v>Plasma</v>
      </c>
      <c r="G1274" s="194">
        <v>6</v>
      </c>
      <c r="H1274" s="194" t="s">
        <v>60</v>
      </c>
      <c r="I1274" s="187">
        <v>72.714440524578094</v>
      </c>
      <c r="J1274" s="187" t="s">
        <v>1026</v>
      </c>
      <c r="K1274" s="187" t="s">
        <v>116</v>
      </c>
      <c r="L1274" s="195"/>
      <c r="M1274" s="195"/>
      <c r="N1274" s="195"/>
      <c r="O1274" s="199"/>
      <c r="P1274" s="188"/>
      <c r="Q1274" s="174">
        <f>IF(ISNUMBER(VLOOKUP(A1274,NotghiID!A:A,1,FALSE)),1,0)</f>
        <v>0</v>
      </c>
    </row>
    <row r="1275" spans="1:17" ht="14.25" x14ac:dyDescent="0.2">
      <c r="A1275" s="183">
        <v>484</v>
      </c>
      <c r="B1275" s="232" t="str">
        <f>IF(AND(A1275&lt;&gt;"",ISNUMBER(A1275)),VLOOKUP(A1275,Studies!A:BR,2,FALSE),"")</f>
        <v>Van Peer 1989</v>
      </c>
      <c r="C1275" s="232" t="str">
        <f>IF(AND(A1275&lt;&gt;"",ISNUMBER(A1275)),VLOOKUP(A1275,Studies!A:BR,3,FALSE),"")</f>
        <v>https://www.ncbi.nlm.nih.gov/pubmed/2544431</v>
      </c>
      <c r="D1275" s="232" t="str">
        <f>IF(AND(A1275&lt;&gt;"",ISNUMBER(A1275)),VLOOKUP(A1275,Studies!A:BR,4,FALSE),"")</f>
        <v>100 mg Solution, fasting</v>
      </c>
      <c r="E1275" s="206" t="str">
        <f>IF(AND(A1275&lt;&gt;"",ISNUMBER(A1275)),VLOOKUP(A1275,Studies!A:BR,5,FALSE),"")</f>
        <v>Itraconazole</v>
      </c>
      <c r="F1275" s="207" t="str">
        <f>IF(AND(A1275&lt;&gt;"",ISNUMBER(A1275)),VLOOKUP(A1275,Studies!A:BR,6,FALSE),"")</f>
        <v>Plasma</v>
      </c>
      <c r="G1275" s="194">
        <v>8</v>
      </c>
      <c r="H1275" s="194" t="s">
        <v>60</v>
      </c>
      <c r="I1275" s="187">
        <v>56.648295372724533</v>
      </c>
      <c r="J1275" s="187" t="s">
        <v>1026</v>
      </c>
      <c r="K1275" s="187" t="s">
        <v>116</v>
      </c>
      <c r="L1275" s="195"/>
      <c r="M1275" s="195"/>
      <c r="N1275" s="195"/>
      <c r="O1275" s="199"/>
      <c r="P1275" s="188"/>
      <c r="Q1275" s="174">
        <f>IF(ISNUMBER(VLOOKUP(A1275,NotghiID!A:A,1,FALSE)),1,0)</f>
        <v>0</v>
      </c>
    </row>
    <row r="1276" spans="1:17" ht="14.25" x14ac:dyDescent="0.2">
      <c r="A1276" s="183">
        <v>484</v>
      </c>
      <c r="B1276" s="232" t="str">
        <f>IF(AND(A1276&lt;&gt;"",ISNUMBER(A1276)),VLOOKUP(A1276,Studies!A:BR,2,FALSE),"")</f>
        <v>Van Peer 1989</v>
      </c>
      <c r="C1276" s="232" t="str">
        <f>IF(AND(A1276&lt;&gt;"",ISNUMBER(A1276)),VLOOKUP(A1276,Studies!A:BR,3,FALSE),"")</f>
        <v>https://www.ncbi.nlm.nih.gov/pubmed/2544431</v>
      </c>
      <c r="D1276" s="232" t="str">
        <f>IF(AND(A1276&lt;&gt;"",ISNUMBER(A1276)),VLOOKUP(A1276,Studies!A:BR,4,FALSE),"")</f>
        <v>100 mg Solution, fasting</v>
      </c>
      <c r="E1276" s="206" t="str">
        <f>IF(AND(A1276&lt;&gt;"",ISNUMBER(A1276)),VLOOKUP(A1276,Studies!A:BR,5,FALSE),"")</f>
        <v>Itraconazole</v>
      </c>
      <c r="F1276" s="207" t="str">
        <f>IF(AND(A1276&lt;&gt;"",ISNUMBER(A1276)),VLOOKUP(A1276,Studies!A:BR,6,FALSE),"")</f>
        <v>Plasma</v>
      </c>
      <c r="G1276" s="194">
        <v>24</v>
      </c>
      <c r="H1276" s="194" t="s">
        <v>60</v>
      </c>
      <c r="I1276" s="187">
        <v>16.713459044694901</v>
      </c>
      <c r="J1276" s="187" t="s">
        <v>1026</v>
      </c>
      <c r="K1276" s="187" t="s">
        <v>116</v>
      </c>
      <c r="L1276" s="195"/>
      <c r="M1276" s="195"/>
      <c r="N1276" s="195"/>
      <c r="O1276" s="199"/>
      <c r="P1276" s="188"/>
      <c r="Q1276" s="174">
        <f>IF(ISNUMBER(VLOOKUP(A1276,NotghiID!A:A,1,FALSE)),1,0)</f>
        <v>0</v>
      </c>
    </row>
    <row r="1277" spans="1:17" ht="14.25" x14ac:dyDescent="0.2">
      <c r="A1277" s="183">
        <v>484</v>
      </c>
      <c r="B1277" s="232" t="str">
        <f>IF(AND(A1277&lt;&gt;"",ISNUMBER(A1277)),VLOOKUP(A1277,Studies!A:BR,2,FALSE),"")</f>
        <v>Van Peer 1989</v>
      </c>
      <c r="C1277" s="232" t="str">
        <f>IF(AND(A1277&lt;&gt;"",ISNUMBER(A1277)),VLOOKUP(A1277,Studies!A:BR,3,FALSE),"")</f>
        <v>https://www.ncbi.nlm.nih.gov/pubmed/2544431</v>
      </c>
      <c r="D1277" s="232" t="str">
        <f>IF(AND(A1277&lt;&gt;"",ISNUMBER(A1277)),VLOOKUP(A1277,Studies!A:BR,4,FALSE),"")</f>
        <v>100 mg Solution, fasting</v>
      </c>
      <c r="E1277" s="206" t="str">
        <f>IF(AND(A1277&lt;&gt;"",ISNUMBER(A1277)),VLOOKUP(A1277,Studies!A:BR,5,FALSE),"")</f>
        <v>Itraconazole</v>
      </c>
      <c r="F1277" s="207" t="str">
        <f>IF(AND(A1277&lt;&gt;"",ISNUMBER(A1277)),VLOOKUP(A1277,Studies!A:BR,6,FALSE),"")</f>
        <v>Plasma</v>
      </c>
      <c r="G1277" s="194">
        <v>32</v>
      </c>
      <c r="H1277" s="194" t="s">
        <v>60</v>
      </c>
      <c r="I1277" s="187">
        <v>12.317889370024204</v>
      </c>
      <c r="J1277" s="187" t="s">
        <v>1026</v>
      </c>
      <c r="K1277" s="187" t="s">
        <v>116</v>
      </c>
      <c r="L1277" s="195"/>
      <c r="M1277" s="195"/>
      <c r="N1277" s="195"/>
      <c r="O1277" s="199"/>
      <c r="P1277" s="188"/>
      <c r="Q1277" s="174">
        <f>IF(ISNUMBER(VLOOKUP(A1277,NotghiID!A:A,1,FALSE)),1,0)</f>
        <v>0</v>
      </c>
    </row>
    <row r="1278" spans="1:17" ht="14.25" x14ac:dyDescent="0.2">
      <c r="A1278" s="183">
        <v>484</v>
      </c>
      <c r="B1278" s="232" t="str">
        <f>IF(AND(A1278&lt;&gt;"",ISNUMBER(A1278)),VLOOKUP(A1278,Studies!A:BR,2,FALSE),"")</f>
        <v>Van Peer 1989</v>
      </c>
      <c r="C1278" s="232" t="str">
        <f>IF(AND(A1278&lt;&gt;"",ISNUMBER(A1278)),VLOOKUP(A1278,Studies!A:BR,3,FALSE),"")</f>
        <v>https://www.ncbi.nlm.nih.gov/pubmed/2544431</v>
      </c>
      <c r="D1278" s="232" t="str">
        <f>IF(AND(A1278&lt;&gt;"",ISNUMBER(A1278)),VLOOKUP(A1278,Studies!A:BR,4,FALSE),"")</f>
        <v>100 mg Solution, fasting</v>
      </c>
      <c r="E1278" s="206" t="str">
        <f>IF(AND(A1278&lt;&gt;"",ISNUMBER(A1278)),VLOOKUP(A1278,Studies!A:BR,5,FALSE),"")</f>
        <v>Itraconazole</v>
      </c>
      <c r="F1278" s="207" t="str">
        <f>IF(AND(A1278&lt;&gt;"",ISNUMBER(A1278)),VLOOKUP(A1278,Studies!A:BR,6,FALSE),"")</f>
        <v>Plasma</v>
      </c>
      <c r="G1278" s="194">
        <v>48</v>
      </c>
      <c r="H1278" s="194" t="s">
        <v>60</v>
      </c>
      <c r="I1278" s="187">
        <v>5.7439543306827545</v>
      </c>
      <c r="J1278" s="187" t="s">
        <v>1026</v>
      </c>
      <c r="K1278" s="187" t="s">
        <v>116</v>
      </c>
      <c r="L1278" s="195"/>
      <c r="M1278" s="195"/>
      <c r="N1278" s="195"/>
      <c r="O1278" s="199"/>
      <c r="P1278" s="188"/>
      <c r="Q1278" s="174">
        <f>IF(ISNUMBER(VLOOKUP(A1278,NotghiID!A:A,1,FALSE)),1,0)</f>
        <v>0</v>
      </c>
    </row>
    <row r="1279" spans="1:17" ht="14.25" x14ac:dyDescent="0.2">
      <c r="A1279" s="183">
        <v>484</v>
      </c>
      <c r="B1279" s="232" t="str">
        <f>IF(AND(A1279&lt;&gt;"",ISNUMBER(A1279)),VLOOKUP(A1279,Studies!A:BR,2,FALSE),"")</f>
        <v>Van Peer 1989</v>
      </c>
      <c r="C1279" s="232" t="str">
        <f>IF(AND(A1279&lt;&gt;"",ISNUMBER(A1279)),VLOOKUP(A1279,Studies!A:BR,3,FALSE),"")</f>
        <v>https://www.ncbi.nlm.nih.gov/pubmed/2544431</v>
      </c>
      <c r="D1279" s="232" t="str">
        <f>IF(AND(A1279&lt;&gt;"",ISNUMBER(A1279)),VLOOKUP(A1279,Studies!A:BR,4,FALSE),"")</f>
        <v>100 mg Solution, fasting</v>
      </c>
      <c r="E1279" s="206" t="str">
        <f>IF(AND(A1279&lt;&gt;"",ISNUMBER(A1279)),VLOOKUP(A1279,Studies!A:BR,5,FALSE),"")</f>
        <v>Itraconazole</v>
      </c>
      <c r="F1279" s="207" t="str">
        <f>IF(AND(A1279&lt;&gt;"",ISNUMBER(A1279)),VLOOKUP(A1279,Studies!A:BR,6,FALSE),"")</f>
        <v>Plasma</v>
      </c>
      <c r="G1279" s="194">
        <v>56</v>
      </c>
      <c r="H1279" s="194" t="s">
        <v>60</v>
      </c>
      <c r="I1279" s="187">
        <v>4.3524019420146942</v>
      </c>
      <c r="J1279" s="187" t="s">
        <v>1026</v>
      </c>
      <c r="K1279" s="187" t="s">
        <v>116</v>
      </c>
      <c r="L1279" s="195"/>
      <c r="M1279" s="195"/>
      <c r="N1279" s="195"/>
      <c r="O1279" s="199"/>
      <c r="P1279" s="188"/>
      <c r="Q1279" s="174">
        <f>IF(ISNUMBER(VLOOKUP(A1279,NotghiID!A:A,1,FALSE)),1,0)</f>
        <v>0</v>
      </c>
    </row>
    <row r="1280" spans="1:17" ht="14.25" x14ac:dyDescent="0.2">
      <c r="A1280" s="183">
        <v>484</v>
      </c>
      <c r="B1280" s="232" t="str">
        <f>IF(AND(A1280&lt;&gt;"",ISNUMBER(A1280)),VLOOKUP(A1280,Studies!A:BR,2,FALSE),"")</f>
        <v>Van Peer 1989</v>
      </c>
      <c r="C1280" s="232" t="str">
        <f>IF(AND(A1280&lt;&gt;"",ISNUMBER(A1280)),VLOOKUP(A1280,Studies!A:BR,3,FALSE),"")</f>
        <v>https://www.ncbi.nlm.nih.gov/pubmed/2544431</v>
      </c>
      <c r="D1280" s="232" t="str">
        <f>IF(AND(A1280&lt;&gt;"",ISNUMBER(A1280)),VLOOKUP(A1280,Studies!A:BR,4,FALSE),"")</f>
        <v>100 mg Solution, fasting</v>
      </c>
      <c r="E1280" s="206" t="str">
        <f>IF(AND(A1280&lt;&gt;"",ISNUMBER(A1280)),VLOOKUP(A1280,Studies!A:BR,5,FALSE),"")</f>
        <v>Itraconazole</v>
      </c>
      <c r="F1280" s="207" t="str">
        <f>IF(AND(A1280&lt;&gt;"",ISNUMBER(A1280)),VLOOKUP(A1280,Studies!A:BR,6,FALSE),"")</f>
        <v>Plasma</v>
      </c>
      <c r="G1280" s="194">
        <v>72</v>
      </c>
      <c r="H1280" s="194" t="s">
        <v>60</v>
      </c>
      <c r="I1280" s="187">
        <v>2.5692915078252554</v>
      </c>
      <c r="J1280" s="187" t="s">
        <v>1026</v>
      </c>
      <c r="K1280" s="187" t="s">
        <v>116</v>
      </c>
      <c r="L1280" s="195"/>
      <c r="M1280" s="195"/>
      <c r="N1280" s="195"/>
      <c r="O1280" s="199"/>
      <c r="P1280" s="188"/>
      <c r="Q1280" s="174">
        <f>IF(ISNUMBER(VLOOKUP(A1280,NotghiID!A:A,1,FALSE)),1,0)</f>
        <v>0</v>
      </c>
    </row>
    <row r="1281" spans="1:17" ht="14.25" x14ac:dyDescent="0.2">
      <c r="A1281" s="183">
        <v>484</v>
      </c>
      <c r="B1281" s="232" t="str">
        <f>IF(AND(A1281&lt;&gt;"",ISNUMBER(A1281)),VLOOKUP(A1281,Studies!A:BR,2,FALSE),"")</f>
        <v>Van Peer 1989</v>
      </c>
      <c r="C1281" s="232" t="str">
        <f>IF(AND(A1281&lt;&gt;"",ISNUMBER(A1281)),VLOOKUP(A1281,Studies!A:BR,3,FALSE),"")</f>
        <v>https://www.ncbi.nlm.nih.gov/pubmed/2544431</v>
      </c>
      <c r="D1281" s="232" t="str">
        <f>IF(AND(A1281&lt;&gt;"",ISNUMBER(A1281)),VLOOKUP(A1281,Studies!A:BR,4,FALSE),"")</f>
        <v>100 mg Solution, fasting</v>
      </c>
      <c r="E1281" s="206" t="str">
        <f>IF(AND(A1281&lt;&gt;"",ISNUMBER(A1281)),VLOOKUP(A1281,Studies!A:BR,5,FALSE),"")</f>
        <v>Itraconazole</v>
      </c>
      <c r="F1281" s="207" t="str">
        <f>IF(AND(A1281&lt;&gt;"",ISNUMBER(A1281)),VLOOKUP(A1281,Studies!A:BR,6,FALSE),"")</f>
        <v>Plasma</v>
      </c>
      <c r="G1281" s="194">
        <v>96</v>
      </c>
      <c r="H1281" s="194" t="s">
        <v>60</v>
      </c>
      <c r="I1281" s="187">
        <v>1.072248094715178</v>
      </c>
      <c r="J1281" s="187" t="s">
        <v>1026</v>
      </c>
      <c r="K1281" s="187" t="s">
        <v>116</v>
      </c>
      <c r="L1281" s="195"/>
      <c r="M1281" s="195"/>
      <c r="N1281" s="195"/>
      <c r="O1281" s="199"/>
      <c r="P1281" s="188"/>
      <c r="Q1281" s="174">
        <f>IF(ISNUMBER(VLOOKUP(A1281,NotghiID!A:A,1,FALSE)),1,0)</f>
        <v>0</v>
      </c>
    </row>
    <row r="1282" spans="1:17" ht="14.25" x14ac:dyDescent="0.2">
      <c r="A1282" s="183">
        <v>485</v>
      </c>
      <c r="B1282" s="232" t="str">
        <f>IF(AND(A1282&lt;&gt;"",ISNUMBER(A1282)),VLOOKUP(A1282,Studies!A:BR,2,FALSE),"")</f>
        <v>Van Peer 1989</v>
      </c>
      <c r="C1282" s="232" t="str">
        <f>IF(AND(A1282&lt;&gt;"",ISNUMBER(A1282)),VLOOKUP(A1282,Studies!A:BR,3,FALSE),"")</f>
        <v>https://www.ncbi.nlm.nih.gov/pubmed/2544431</v>
      </c>
      <c r="D1282" s="232" t="str">
        <f>IF(AND(A1282&lt;&gt;"",ISNUMBER(A1282)),VLOOKUP(A1282,Studies!A:BR,4,FALSE),"")</f>
        <v>100 mg Capsules, fasting</v>
      </c>
      <c r="E1282" s="206" t="str">
        <f>IF(AND(A1282&lt;&gt;"",ISNUMBER(A1282)),VLOOKUP(A1282,Studies!A:BR,5,FALSE),"")</f>
        <v>Itraconazole</v>
      </c>
      <c r="F1282" s="207" t="str">
        <f>IF(AND(A1282&lt;&gt;"",ISNUMBER(A1282)),VLOOKUP(A1282,Studies!A:BR,6,FALSE),"")</f>
        <v>Plasma</v>
      </c>
      <c r="G1282" s="194">
        <v>0.5</v>
      </c>
      <c r="H1282" s="194" t="s">
        <v>60</v>
      </c>
      <c r="I1282" s="187">
        <v>1.000402495265007</v>
      </c>
      <c r="J1282" s="187" t="s">
        <v>1026</v>
      </c>
      <c r="K1282" s="187" t="s">
        <v>116</v>
      </c>
      <c r="L1282" s="195"/>
      <c r="M1282" s="195"/>
      <c r="N1282" s="195"/>
      <c r="O1282" s="199"/>
      <c r="P1282" s="188"/>
      <c r="Q1282" s="174">
        <f>IF(ISNUMBER(VLOOKUP(A1282,NotghiID!A:A,1,FALSE)),1,0)</f>
        <v>0</v>
      </c>
    </row>
    <row r="1283" spans="1:17" ht="14.25" x14ac:dyDescent="0.2">
      <c r="A1283" s="183">
        <v>485</v>
      </c>
      <c r="B1283" s="232" t="str">
        <f>IF(AND(A1283&lt;&gt;"",ISNUMBER(A1283)),VLOOKUP(A1283,Studies!A:BR,2,FALSE),"")</f>
        <v>Van Peer 1989</v>
      </c>
      <c r="C1283" s="232" t="str">
        <f>IF(AND(A1283&lt;&gt;"",ISNUMBER(A1283)),VLOOKUP(A1283,Studies!A:BR,3,FALSE),"")</f>
        <v>https://www.ncbi.nlm.nih.gov/pubmed/2544431</v>
      </c>
      <c r="D1283" s="232" t="str">
        <f>IF(AND(A1283&lt;&gt;"",ISNUMBER(A1283)),VLOOKUP(A1283,Studies!A:BR,4,FALSE),"")</f>
        <v>100 mg Capsules, fasting</v>
      </c>
      <c r="E1283" s="206" t="str">
        <f>IF(AND(A1283&lt;&gt;"",ISNUMBER(A1283)),VLOOKUP(A1283,Studies!A:BR,5,FALSE),"")</f>
        <v>Itraconazole</v>
      </c>
      <c r="F1283" s="207" t="str">
        <f>IF(AND(A1283&lt;&gt;"",ISNUMBER(A1283)),VLOOKUP(A1283,Studies!A:BR,6,FALSE),"")</f>
        <v>Plasma</v>
      </c>
      <c r="G1283" s="194">
        <v>1</v>
      </c>
      <c r="H1283" s="194" t="s">
        <v>60</v>
      </c>
      <c r="I1283" s="187">
        <v>10.143757797777653</v>
      </c>
      <c r="J1283" s="187" t="s">
        <v>1026</v>
      </c>
      <c r="K1283" s="187" t="s">
        <v>116</v>
      </c>
      <c r="L1283" s="195"/>
      <c r="M1283" s="195"/>
      <c r="N1283" s="195"/>
      <c r="O1283" s="199"/>
      <c r="P1283" s="188"/>
      <c r="Q1283" s="174">
        <f>IF(ISNUMBER(VLOOKUP(A1283,NotghiID!A:A,1,FALSE)),1,0)</f>
        <v>0</v>
      </c>
    </row>
    <row r="1284" spans="1:17" ht="14.25" x14ac:dyDescent="0.2">
      <c r="A1284" s="183">
        <v>485</v>
      </c>
      <c r="B1284" s="232" t="str">
        <f>IF(AND(A1284&lt;&gt;"",ISNUMBER(A1284)),VLOOKUP(A1284,Studies!A:BR,2,FALSE),"")</f>
        <v>Van Peer 1989</v>
      </c>
      <c r="C1284" s="232" t="str">
        <f>IF(AND(A1284&lt;&gt;"",ISNUMBER(A1284)),VLOOKUP(A1284,Studies!A:BR,3,FALSE),"")</f>
        <v>https://www.ncbi.nlm.nih.gov/pubmed/2544431</v>
      </c>
      <c r="D1284" s="232" t="str">
        <f>IF(AND(A1284&lt;&gt;"",ISNUMBER(A1284)),VLOOKUP(A1284,Studies!A:BR,4,FALSE),"")</f>
        <v>100 mg Capsules, fasting</v>
      </c>
      <c r="E1284" s="206" t="str">
        <f>IF(AND(A1284&lt;&gt;"",ISNUMBER(A1284)),VLOOKUP(A1284,Studies!A:BR,5,FALSE),"")</f>
        <v>Itraconazole</v>
      </c>
      <c r="F1284" s="207" t="str">
        <f>IF(AND(A1284&lt;&gt;"",ISNUMBER(A1284)),VLOOKUP(A1284,Studies!A:BR,6,FALSE),"")</f>
        <v>Plasma</v>
      </c>
      <c r="G1284" s="194">
        <v>1.5</v>
      </c>
      <c r="H1284" s="194" t="s">
        <v>60</v>
      </c>
      <c r="I1284" s="187">
        <v>20.016109570860863</v>
      </c>
      <c r="J1284" s="187" t="s">
        <v>1026</v>
      </c>
      <c r="K1284" s="187" t="s">
        <v>116</v>
      </c>
      <c r="L1284" s="195"/>
      <c r="M1284" s="195"/>
      <c r="N1284" s="195"/>
      <c r="O1284" s="199"/>
      <c r="P1284" s="188"/>
      <c r="Q1284" s="174">
        <f>IF(ISNUMBER(VLOOKUP(A1284,NotghiID!A:A,1,FALSE)),1,0)</f>
        <v>0</v>
      </c>
    </row>
    <row r="1285" spans="1:17" ht="14.25" x14ac:dyDescent="0.2">
      <c r="A1285" s="183">
        <v>485</v>
      </c>
      <c r="B1285" s="232" t="str">
        <f>IF(AND(A1285&lt;&gt;"",ISNUMBER(A1285)),VLOOKUP(A1285,Studies!A:BR,2,FALSE),"")</f>
        <v>Van Peer 1989</v>
      </c>
      <c r="C1285" s="232" t="str">
        <f>IF(AND(A1285&lt;&gt;"",ISNUMBER(A1285)),VLOOKUP(A1285,Studies!A:BR,3,FALSE),"")</f>
        <v>https://www.ncbi.nlm.nih.gov/pubmed/2544431</v>
      </c>
      <c r="D1285" s="232" t="str">
        <f>IF(AND(A1285&lt;&gt;"",ISNUMBER(A1285)),VLOOKUP(A1285,Studies!A:BR,4,FALSE),"")</f>
        <v>100 mg Capsules, fasting</v>
      </c>
      <c r="E1285" s="206" t="str">
        <f>IF(AND(A1285&lt;&gt;"",ISNUMBER(A1285)),VLOOKUP(A1285,Studies!A:BR,5,FALSE),"")</f>
        <v>Itraconazole</v>
      </c>
      <c r="F1285" s="207" t="str">
        <f>IF(AND(A1285&lt;&gt;"",ISNUMBER(A1285)),VLOOKUP(A1285,Studies!A:BR,6,FALSE),"")</f>
        <v>Plasma</v>
      </c>
      <c r="G1285" s="194">
        <v>2</v>
      </c>
      <c r="H1285" s="194" t="s">
        <v>60</v>
      </c>
      <c r="I1285" s="187">
        <v>23.971373215317726</v>
      </c>
      <c r="J1285" s="187" t="s">
        <v>1026</v>
      </c>
      <c r="K1285" s="187" t="s">
        <v>116</v>
      </c>
      <c r="L1285" s="195"/>
      <c r="M1285" s="195"/>
      <c r="N1285" s="195"/>
      <c r="O1285" s="199"/>
      <c r="P1285" s="188"/>
      <c r="Q1285" s="174">
        <f>IF(ISNUMBER(VLOOKUP(A1285,NotghiID!A:A,1,FALSE)),1,0)</f>
        <v>0</v>
      </c>
    </row>
    <row r="1286" spans="1:17" ht="14.25" x14ac:dyDescent="0.2">
      <c r="A1286" s="183">
        <v>485</v>
      </c>
      <c r="B1286" s="232" t="str">
        <f>IF(AND(A1286&lt;&gt;"",ISNUMBER(A1286)),VLOOKUP(A1286,Studies!A:BR,2,FALSE),"")</f>
        <v>Van Peer 1989</v>
      </c>
      <c r="C1286" s="232" t="str">
        <f>IF(AND(A1286&lt;&gt;"",ISNUMBER(A1286)),VLOOKUP(A1286,Studies!A:BR,3,FALSE),"")</f>
        <v>https://www.ncbi.nlm.nih.gov/pubmed/2544431</v>
      </c>
      <c r="D1286" s="232" t="str">
        <f>IF(AND(A1286&lt;&gt;"",ISNUMBER(A1286)),VLOOKUP(A1286,Studies!A:BR,4,FALSE),"")</f>
        <v>100 mg Capsules, fasting</v>
      </c>
      <c r="E1286" s="206" t="str">
        <f>IF(AND(A1286&lt;&gt;"",ISNUMBER(A1286)),VLOOKUP(A1286,Studies!A:BR,5,FALSE),"")</f>
        <v>Itraconazole</v>
      </c>
      <c r="F1286" s="207" t="str">
        <f>IF(AND(A1286&lt;&gt;"",ISNUMBER(A1286)),VLOOKUP(A1286,Studies!A:BR,6,FALSE),"")</f>
        <v>Plasma</v>
      </c>
      <c r="G1286" s="194">
        <v>3</v>
      </c>
      <c r="H1286" s="194" t="s">
        <v>60</v>
      </c>
      <c r="I1286" s="187">
        <v>36.34258359670639</v>
      </c>
      <c r="J1286" s="187" t="s">
        <v>1026</v>
      </c>
      <c r="K1286" s="187" t="s">
        <v>116</v>
      </c>
      <c r="L1286" s="195"/>
      <c r="M1286" s="195"/>
      <c r="N1286" s="195"/>
      <c r="O1286" s="199"/>
      <c r="P1286" s="188"/>
      <c r="Q1286" s="174">
        <f>IF(ISNUMBER(VLOOKUP(A1286,NotghiID!A:A,1,FALSE)),1,0)</f>
        <v>0</v>
      </c>
    </row>
    <row r="1287" spans="1:17" ht="14.25" x14ac:dyDescent="0.2">
      <c r="A1287" s="183">
        <v>485</v>
      </c>
      <c r="B1287" s="232" t="str">
        <f>IF(AND(A1287&lt;&gt;"",ISNUMBER(A1287)),VLOOKUP(A1287,Studies!A:BR,2,FALSE),"")</f>
        <v>Van Peer 1989</v>
      </c>
      <c r="C1287" s="232" t="str">
        <f>IF(AND(A1287&lt;&gt;"",ISNUMBER(A1287)),VLOOKUP(A1287,Studies!A:BR,3,FALSE),"")</f>
        <v>https://www.ncbi.nlm.nih.gov/pubmed/2544431</v>
      </c>
      <c r="D1287" s="232" t="str">
        <f>IF(AND(A1287&lt;&gt;"",ISNUMBER(A1287)),VLOOKUP(A1287,Studies!A:BR,4,FALSE),"")</f>
        <v>100 mg Capsules, fasting</v>
      </c>
      <c r="E1287" s="206" t="str">
        <f>IF(AND(A1287&lt;&gt;"",ISNUMBER(A1287)),VLOOKUP(A1287,Studies!A:BR,5,FALSE),"")</f>
        <v>Itraconazole</v>
      </c>
      <c r="F1287" s="207" t="str">
        <f>IF(AND(A1287&lt;&gt;"",ISNUMBER(A1287)),VLOOKUP(A1287,Studies!A:BR,6,FALSE),"")</f>
        <v>Plasma</v>
      </c>
      <c r="G1287" s="194">
        <v>4</v>
      </c>
      <c r="H1287" s="194" t="s">
        <v>60</v>
      </c>
      <c r="I1287" s="187">
        <v>34.861288964748383</v>
      </c>
      <c r="J1287" s="187" t="s">
        <v>1026</v>
      </c>
      <c r="K1287" s="187" t="s">
        <v>116</v>
      </c>
      <c r="L1287" s="195"/>
      <c r="M1287" s="195"/>
      <c r="N1287" s="195"/>
      <c r="O1287" s="199"/>
      <c r="P1287" s="188"/>
      <c r="Q1287" s="174">
        <f>IF(ISNUMBER(VLOOKUP(A1287,NotghiID!A:A,1,FALSE)),1,0)</f>
        <v>0</v>
      </c>
    </row>
    <row r="1288" spans="1:17" ht="14.25" x14ac:dyDescent="0.2">
      <c r="A1288" s="183">
        <v>485</v>
      </c>
      <c r="B1288" s="232" t="str">
        <f>IF(AND(A1288&lt;&gt;"",ISNUMBER(A1288)),VLOOKUP(A1288,Studies!A:BR,2,FALSE),"")</f>
        <v>Van Peer 1989</v>
      </c>
      <c r="C1288" s="232" t="str">
        <f>IF(AND(A1288&lt;&gt;"",ISNUMBER(A1288)),VLOOKUP(A1288,Studies!A:BR,3,FALSE),"")</f>
        <v>https://www.ncbi.nlm.nih.gov/pubmed/2544431</v>
      </c>
      <c r="D1288" s="232" t="str">
        <f>IF(AND(A1288&lt;&gt;"",ISNUMBER(A1288)),VLOOKUP(A1288,Studies!A:BR,4,FALSE),"")</f>
        <v>100 mg Capsules, fasting</v>
      </c>
      <c r="E1288" s="206" t="str">
        <f>IF(AND(A1288&lt;&gt;"",ISNUMBER(A1288)),VLOOKUP(A1288,Studies!A:BR,5,FALSE),"")</f>
        <v>Itraconazole</v>
      </c>
      <c r="F1288" s="207" t="str">
        <f>IF(AND(A1288&lt;&gt;"",ISNUMBER(A1288)),VLOOKUP(A1288,Studies!A:BR,6,FALSE),"")</f>
        <v>Plasma</v>
      </c>
      <c r="G1288" s="194">
        <v>6</v>
      </c>
      <c r="H1288" s="194" t="s">
        <v>60</v>
      </c>
      <c r="I1288" s="187">
        <v>25.692915543913841</v>
      </c>
      <c r="J1288" s="187" t="s">
        <v>1026</v>
      </c>
      <c r="K1288" s="187" t="s">
        <v>116</v>
      </c>
      <c r="L1288" s="195"/>
      <c r="M1288" s="195"/>
      <c r="N1288" s="195"/>
      <c r="O1288" s="199"/>
      <c r="P1288" s="188"/>
      <c r="Q1288" s="174">
        <f>IF(ISNUMBER(VLOOKUP(A1288,NotghiID!A:A,1,FALSE)),1,0)</f>
        <v>0</v>
      </c>
    </row>
    <row r="1289" spans="1:17" ht="14.25" x14ac:dyDescent="0.2">
      <c r="A1289" s="183">
        <v>485</v>
      </c>
      <c r="B1289" s="232" t="str">
        <f>IF(AND(A1289&lt;&gt;"",ISNUMBER(A1289)),VLOOKUP(A1289,Studies!A:BR,2,FALSE),"")</f>
        <v>Van Peer 1989</v>
      </c>
      <c r="C1289" s="232" t="str">
        <f>IF(AND(A1289&lt;&gt;"",ISNUMBER(A1289)),VLOOKUP(A1289,Studies!A:BR,3,FALSE),"")</f>
        <v>https://www.ncbi.nlm.nih.gov/pubmed/2544431</v>
      </c>
      <c r="D1289" s="232" t="str">
        <f>IF(AND(A1289&lt;&gt;"",ISNUMBER(A1289)),VLOOKUP(A1289,Studies!A:BR,4,FALSE),"")</f>
        <v>100 mg Capsules, fasting</v>
      </c>
      <c r="E1289" s="206" t="str">
        <f>IF(AND(A1289&lt;&gt;"",ISNUMBER(A1289)),VLOOKUP(A1289,Studies!A:BR,5,FALSE),"")</f>
        <v>Itraconazole</v>
      </c>
      <c r="F1289" s="207" t="str">
        <f>IF(AND(A1289&lt;&gt;"",ISNUMBER(A1289)),VLOOKUP(A1289,Studies!A:BR,6,FALSE),"")</f>
        <v>Plasma</v>
      </c>
      <c r="G1289" s="194">
        <v>8</v>
      </c>
      <c r="H1289" s="194" t="s">
        <v>60</v>
      </c>
      <c r="I1289" s="187">
        <v>19.740385934710503</v>
      </c>
      <c r="J1289" s="187" t="s">
        <v>1026</v>
      </c>
      <c r="K1289" s="187" t="s">
        <v>116</v>
      </c>
      <c r="L1289" s="195"/>
      <c r="M1289" s="195"/>
      <c r="N1289" s="195"/>
      <c r="O1289" s="199"/>
      <c r="P1289" s="188"/>
      <c r="Q1289" s="174">
        <f>IF(ISNUMBER(VLOOKUP(A1289,NotghiID!A:A,1,FALSE)),1,0)</f>
        <v>0</v>
      </c>
    </row>
    <row r="1290" spans="1:17" ht="14.25" x14ac:dyDescent="0.2">
      <c r="A1290" s="183">
        <v>485</v>
      </c>
      <c r="B1290" s="232" t="str">
        <f>IF(AND(A1290&lt;&gt;"",ISNUMBER(A1290)),VLOOKUP(A1290,Studies!A:BR,2,FALSE),"")</f>
        <v>Van Peer 1989</v>
      </c>
      <c r="C1290" s="232" t="str">
        <f>IF(AND(A1290&lt;&gt;"",ISNUMBER(A1290)),VLOOKUP(A1290,Studies!A:BR,3,FALSE),"")</f>
        <v>https://www.ncbi.nlm.nih.gov/pubmed/2544431</v>
      </c>
      <c r="D1290" s="232" t="str">
        <f>IF(AND(A1290&lt;&gt;"",ISNUMBER(A1290)),VLOOKUP(A1290,Studies!A:BR,4,FALSE),"")</f>
        <v>100 mg Capsules, fasting</v>
      </c>
      <c r="E1290" s="206" t="str">
        <f>IF(AND(A1290&lt;&gt;"",ISNUMBER(A1290)),VLOOKUP(A1290,Studies!A:BR,5,FALSE),"")</f>
        <v>Itraconazole</v>
      </c>
      <c r="F1290" s="207" t="str">
        <f>IF(AND(A1290&lt;&gt;"",ISNUMBER(A1290)),VLOOKUP(A1290,Studies!A:BR,6,FALSE),"")</f>
        <v>Plasma</v>
      </c>
      <c r="G1290" s="194">
        <v>24</v>
      </c>
      <c r="H1290" s="194" t="s">
        <v>60</v>
      </c>
      <c r="I1290" s="187">
        <v>8.7083103135228157</v>
      </c>
      <c r="J1290" s="187" t="s">
        <v>1026</v>
      </c>
      <c r="K1290" s="187" t="s">
        <v>116</v>
      </c>
      <c r="L1290" s="195"/>
      <c r="M1290" s="195"/>
      <c r="N1290" s="195"/>
      <c r="O1290" s="199"/>
      <c r="P1290" s="188"/>
      <c r="Q1290" s="174">
        <f>IF(ISNUMBER(VLOOKUP(A1290,NotghiID!A:A,1,FALSE)),1,0)</f>
        <v>0</v>
      </c>
    </row>
    <row r="1291" spans="1:17" ht="14.25" x14ac:dyDescent="0.2">
      <c r="A1291" s="183">
        <v>485</v>
      </c>
      <c r="B1291" s="232" t="str">
        <f>IF(AND(A1291&lt;&gt;"",ISNUMBER(A1291)),VLOOKUP(A1291,Studies!A:BR,2,FALSE),"")</f>
        <v>Van Peer 1989</v>
      </c>
      <c r="C1291" s="232" t="str">
        <f>IF(AND(A1291&lt;&gt;"",ISNUMBER(A1291)),VLOOKUP(A1291,Studies!A:BR,3,FALSE),"")</f>
        <v>https://www.ncbi.nlm.nih.gov/pubmed/2544431</v>
      </c>
      <c r="D1291" s="232" t="str">
        <f>IF(AND(A1291&lt;&gt;"",ISNUMBER(A1291)),VLOOKUP(A1291,Studies!A:BR,4,FALSE),"")</f>
        <v>100 mg Capsules, fasting</v>
      </c>
      <c r="E1291" s="206" t="str">
        <f>IF(AND(A1291&lt;&gt;"",ISNUMBER(A1291)),VLOOKUP(A1291,Studies!A:BR,5,FALSE),"")</f>
        <v>Itraconazole</v>
      </c>
      <c r="F1291" s="207" t="str">
        <f>IF(AND(A1291&lt;&gt;"",ISNUMBER(A1291)),VLOOKUP(A1291,Studies!A:BR,6,FALSE),"")</f>
        <v>Plasma</v>
      </c>
      <c r="G1291" s="194">
        <v>32</v>
      </c>
      <c r="H1291" s="194" t="s">
        <v>60</v>
      </c>
      <c r="I1291" s="187">
        <v>6.9750663824379444</v>
      </c>
      <c r="J1291" s="187" t="s">
        <v>1026</v>
      </c>
      <c r="K1291" s="187" t="s">
        <v>116</v>
      </c>
      <c r="L1291" s="195"/>
      <c r="M1291" s="195"/>
      <c r="N1291" s="195"/>
      <c r="O1291" s="199"/>
      <c r="P1291" s="188"/>
      <c r="Q1291" s="174">
        <f>IF(ISNUMBER(VLOOKUP(A1291,NotghiID!A:A,1,FALSE)),1,0)</f>
        <v>0</v>
      </c>
    </row>
    <row r="1292" spans="1:17" ht="14.25" x14ac:dyDescent="0.2">
      <c r="A1292" s="183">
        <v>485</v>
      </c>
      <c r="B1292" s="232" t="str">
        <f>IF(AND(A1292&lt;&gt;"",ISNUMBER(A1292)),VLOOKUP(A1292,Studies!A:BR,2,FALSE),"")</f>
        <v>Van Peer 1989</v>
      </c>
      <c r="C1292" s="232" t="str">
        <f>IF(AND(A1292&lt;&gt;"",ISNUMBER(A1292)),VLOOKUP(A1292,Studies!A:BR,3,FALSE),"")</f>
        <v>https://www.ncbi.nlm.nih.gov/pubmed/2544431</v>
      </c>
      <c r="D1292" s="232" t="str">
        <f>IF(AND(A1292&lt;&gt;"",ISNUMBER(A1292)),VLOOKUP(A1292,Studies!A:BR,4,FALSE),"")</f>
        <v>100 mg Capsules, fasting</v>
      </c>
      <c r="E1292" s="206" t="str">
        <f>IF(AND(A1292&lt;&gt;"",ISNUMBER(A1292)),VLOOKUP(A1292,Studies!A:BR,5,FALSE),"")</f>
        <v>Itraconazole</v>
      </c>
      <c r="F1292" s="207" t="str">
        <f>IF(AND(A1292&lt;&gt;"",ISNUMBER(A1292)),VLOOKUP(A1292,Studies!A:BR,6,FALSE),"")</f>
        <v>Plasma</v>
      </c>
      <c r="G1292" s="194">
        <v>48</v>
      </c>
      <c r="H1292" s="194" t="s">
        <v>60</v>
      </c>
      <c r="I1292" s="187">
        <v>4.1174907237291336</v>
      </c>
      <c r="J1292" s="187" t="s">
        <v>1026</v>
      </c>
      <c r="K1292" s="187" t="s">
        <v>116</v>
      </c>
      <c r="L1292" s="195"/>
      <c r="M1292" s="195"/>
      <c r="N1292" s="195"/>
      <c r="O1292" s="199"/>
      <c r="P1292" s="188"/>
      <c r="Q1292" s="174">
        <f>IF(ISNUMBER(VLOOKUP(A1292,NotghiID!A:A,1,FALSE)),1,0)</f>
        <v>0</v>
      </c>
    </row>
    <row r="1293" spans="1:17" ht="14.25" x14ac:dyDescent="0.2">
      <c r="A1293" s="183">
        <v>485</v>
      </c>
      <c r="B1293" s="232" t="str">
        <f>IF(AND(A1293&lt;&gt;"",ISNUMBER(A1293)),VLOOKUP(A1293,Studies!A:BR,2,FALSE),"")</f>
        <v>Van Peer 1989</v>
      </c>
      <c r="C1293" s="232" t="str">
        <f>IF(AND(A1293&lt;&gt;"",ISNUMBER(A1293)),VLOOKUP(A1293,Studies!A:BR,3,FALSE),"")</f>
        <v>https://www.ncbi.nlm.nih.gov/pubmed/2544431</v>
      </c>
      <c r="D1293" s="232" t="str">
        <f>IF(AND(A1293&lt;&gt;"",ISNUMBER(A1293)),VLOOKUP(A1293,Studies!A:BR,4,FALSE),"")</f>
        <v>100 mg Capsules, fasting</v>
      </c>
      <c r="E1293" s="206" t="str">
        <f>IF(AND(A1293&lt;&gt;"",ISNUMBER(A1293)),VLOOKUP(A1293,Studies!A:BR,5,FALSE),"")</f>
        <v>Itraconazole</v>
      </c>
      <c r="F1293" s="207" t="str">
        <f>IF(AND(A1293&lt;&gt;"",ISNUMBER(A1293)),VLOOKUP(A1293,Studies!A:BR,6,FALSE),"")</f>
        <v>Plasma</v>
      </c>
      <c r="G1293" s="194">
        <v>56</v>
      </c>
      <c r="H1293" s="194" t="s">
        <v>60</v>
      </c>
      <c r="I1293" s="187">
        <v>3.5348222590982914</v>
      </c>
      <c r="J1293" s="187" t="s">
        <v>1026</v>
      </c>
      <c r="K1293" s="187" t="s">
        <v>116</v>
      </c>
      <c r="L1293" s="195"/>
      <c r="M1293" s="195"/>
      <c r="N1293" s="195"/>
      <c r="O1293" s="199"/>
      <c r="P1293" s="188"/>
      <c r="Q1293" s="174">
        <f>IF(ISNUMBER(VLOOKUP(A1293,NotghiID!A:A,1,FALSE)),1,0)</f>
        <v>0</v>
      </c>
    </row>
    <row r="1294" spans="1:17" ht="14.25" x14ac:dyDescent="0.2">
      <c r="A1294" s="183">
        <v>485</v>
      </c>
      <c r="B1294" s="232" t="str">
        <f>IF(AND(A1294&lt;&gt;"",ISNUMBER(A1294)),VLOOKUP(A1294,Studies!A:BR,2,FALSE),"")</f>
        <v>Van Peer 1989</v>
      </c>
      <c r="C1294" s="232" t="str">
        <f>IF(AND(A1294&lt;&gt;"",ISNUMBER(A1294)),VLOOKUP(A1294,Studies!A:BR,3,FALSE),"")</f>
        <v>https://www.ncbi.nlm.nih.gov/pubmed/2544431</v>
      </c>
      <c r="D1294" s="232" t="str">
        <f>IF(AND(A1294&lt;&gt;"",ISNUMBER(A1294)),VLOOKUP(A1294,Studies!A:BR,4,FALSE),"")</f>
        <v>100 mg Capsules, fasting</v>
      </c>
      <c r="E1294" s="206" t="str">
        <f>IF(AND(A1294&lt;&gt;"",ISNUMBER(A1294)),VLOOKUP(A1294,Studies!A:BR,5,FALSE),"")</f>
        <v>Itraconazole</v>
      </c>
      <c r="F1294" s="207" t="str">
        <f>IF(AND(A1294&lt;&gt;"",ISNUMBER(A1294)),VLOOKUP(A1294,Studies!A:BR,6,FALSE),"")</f>
        <v>Plasma</v>
      </c>
      <c r="G1294" s="194">
        <v>72</v>
      </c>
      <c r="H1294" s="194" t="s">
        <v>60</v>
      </c>
      <c r="I1294" s="187">
        <v>2.0295686554163694</v>
      </c>
      <c r="J1294" s="187" t="s">
        <v>1026</v>
      </c>
      <c r="K1294" s="187" t="s">
        <v>116</v>
      </c>
      <c r="L1294" s="195"/>
      <c r="M1294" s="195"/>
      <c r="N1294" s="195"/>
      <c r="O1294" s="199"/>
      <c r="P1294" s="188"/>
      <c r="Q1294" s="174">
        <f>IF(ISNUMBER(VLOOKUP(A1294,NotghiID!A:A,1,FALSE)),1,0)</f>
        <v>0</v>
      </c>
    </row>
    <row r="1295" spans="1:17" ht="14.25" x14ac:dyDescent="0.2">
      <c r="A1295" s="183">
        <v>485</v>
      </c>
      <c r="B1295" s="232" t="str">
        <f>IF(AND(A1295&lt;&gt;"",ISNUMBER(A1295)),VLOOKUP(A1295,Studies!A:BR,2,FALSE),"")</f>
        <v>Van Peer 1989</v>
      </c>
      <c r="C1295" s="232" t="str">
        <f>IF(AND(A1295&lt;&gt;"",ISNUMBER(A1295)),VLOOKUP(A1295,Studies!A:BR,3,FALSE),"")</f>
        <v>https://www.ncbi.nlm.nih.gov/pubmed/2544431</v>
      </c>
      <c r="D1295" s="232" t="str">
        <f>IF(AND(A1295&lt;&gt;"",ISNUMBER(A1295)),VLOOKUP(A1295,Studies!A:BR,4,FALSE),"")</f>
        <v>100 mg Capsules, fasting</v>
      </c>
      <c r="E1295" s="206" t="str">
        <f>IF(AND(A1295&lt;&gt;"",ISNUMBER(A1295)),VLOOKUP(A1295,Studies!A:BR,5,FALSE),"")</f>
        <v>Itraconazole</v>
      </c>
      <c r="F1295" s="207" t="str">
        <f>IF(AND(A1295&lt;&gt;"",ISNUMBER(A1295)),VLOOKUP(A1295,Studies!A:BR,6,FALSE),"")</f>
        <v>Plasma</v>
      </c>
      <c r="G1295" s="194">
        <v>96</v>
      </c>
      <c r="H1295" s="194" t="s">
        <v>60</v>
      </c>
      <c r="I1295" s="187">
        <v>0.82382978871464729</v>
      </c>
      <c r="J1295" s="187" t="s">
        <v>1026</v>
      </c>
      <c r="K1295" s="187" t="s">
        <v>116</v>
      </c>
      <c r="L1295" s="195"/>
      <c r="M1295" s="195"/>
      <c r="N1295" s="195"/>
      <c r="O1295" s="199"/>
      <c r="P1295" s="188"/>
      <c r="Q1295" s="174">
        <f>IF(ISNUMBER(VLOOKUP(A1295,NotghiID!A:A,1,FALSE)),1,0)</f>
        <v>0</v>
      </c>
    </row>
    <row r="1296" spans="1:17" ht="14.25" x14ac:dyDescent="0.2">
      <c r="A1296" s="183">
        <v>486</v>
      </c>
      <c r="B1296" s="232" t="str">
        <f>IF(AND(A1296&lt;&gt;"",ISNUMBER(A1296)),VLOOKUP(A1296,Studies!A:BR,2,FALSE),"")</f>
        <v>Van Peer 1989</v>
      </c>
      <c r="C1296" s="232" t="str">
        <f>IF(AND(A1296&lt;&gt;"",ISNUMBER(A1296)),VLOOKUP(A1296,Studies!A:BR,3,FALSE),"")</f>
        <v>https://www.ncbi.nlm.nih.gov/pubmed/2544431</v>
      </c>
      <c r="D1296" s="232" t="str">
        <f>IF(AND(A1296&lt;&gt;"",ISNUMBER(A1296)),VLOOKUP(A1296,Studies!A:BR,4,FALSE),"")</f>
        <v>100 mg Capsules, with food</v>
      </c>
      <c r="E1296" s="206" t="str">
        <f>IF(AND(A1296&lt;&gt;"",ISNUMBER(A1296)),VLOOKUP(A1296,Studies!A:BR,5,FALSE),"")</f>
        <v>Itraconazole</v>
      </c>
      <c r="F1296" s="207" t="str">
        <f>IF(AND(A1296&lt;&gt;"",ISNUMBER(A1296)),VLOOKUP(A1296,Studies!A:BR,6,FALSE),"")</f>
        <v>Plasma</v>
      </c>
      <c r="G1296" s="194">
        <v>0.5</v>
      </c>
      <c r="H1296" s="194" t="s">
        <v>60</v>
      </c>
      <c r="I1296" s="187">
        <v>12.148207984864712</v>
      </c>
      <c r="J1296" s="187" t="s">
        <v>1026</v>
      </c>
      <c r="K1296" s="187" t="s">
        <v>116</v>
      </c>
      <c r="L1296" s="195"/>
      <c r="M1296" s="195"/>
      <c r="N1296" s="195"/>
      <c r="O1296" s="199"/>
      <c r="P1296" s="188"/>
      <c r="Q1296" s="174">
        <f>IF(ISNUMBER(VLOOKUP(A1296,NotghiID!A:A,1,FALSE)),1,0)</f>
        <v>0</v>
      </c>
    </row>
    <row r="1297" spans="1:17" ht="14.25" x14ac:dyDescent="0.2">
      <c r="A1297" s="183">
        <v>486</v>
      </c>
      <c r="B1297" s="232" t="str">
        <f>IF(AND(A1297&lt;&gt;"",ISNUMBER(A1297)),VLOOKUP(A1297,Studies!A:BR,2,FALSE),"")</f>
        <v>Van Peer 1989</v>
      </c>
      <c r="C1297" s="232" t="str">
        <f>IF(AND(A1297&lt;&gt;"",ISNUMBER(A1297)),VLOOKUP(A1297,Studies!A:BR,3,FALSE),"")</f>
        <v>https://www.ncbi.nlm.nih.gov/pubmed/2544431</v>
      </c>
      <c r="D1297" s="232" t="str">
        <f>IF(AND(A1297&lt;&gt;"",ISNUMBER(A1297)),VLOOKUP(A1297,Studies!A:BR,4,FALSE),"")</f>
        <v>100 mg Capsules, with food</v>
      </c>
      <c r="E1297" s="206" t="str">
        <f>IF(AND(A1297&lt;&gt;"",ISNUMBER(A1297)),VLOOKUP(A1297,Studies!A:BR,5,FALSE),"")</f>
        <v>Itraconazole</v>
      </c>
      <c r="F1297" s="207" t="str">
        <f>IF(AND(A1297&lt;&gt;"",ISNUMBER(A1297)),VLOOKUP(A1297,Studies!A:BR,6,FALSE),"")</f>
        <v>Plasma</v>
      </c>
      <c r="G1297" s="194">
        <v>1</v>
      </c>
      <c r="H1297" s="194" t="s">
        <v>60</v>
      </c>
      <c r="I1297" s="187">
        <v>28.708212077617645</v>
      </c>
      <c r="J1297" s="187" t="s">
        <v>1026</v>
      </c>
      <c r="K1297" s="187" t="s">
        <v>116</v>
      </c>
      <c r="L1297" s="195"/>
      <c r="M1297" s="195"/>
      <c r="N1297" s="195"/>
      <c r="O1297" s="199"/>
      <c r="P1297" s="188"/>
      <c r="Q1297" s="174">
        <f>IF(ISNUMBER(VLOOKUP(A1297,NotghiID!A:A,1,FALSE)),1,0)</f>
        <v>0</v>
      </c>
    </row>
    <row r="1298" spans="1:17" ht="14.25" x14ac:dyDescent="0.2">
      <c r="A1298" s="183">
        <v>486</v>
      </c>
      <c r="B1298" s="232" t="str">
        <f>IF(AND(A1298&lt;&gt;"",ISNUMBER(A1298)),VLOOKUP(A1298,Studies!A:BR,2,FALSE),"")</f>
        <v>Van Peer 1989</v>
      </c>
      <c r="C1298" s="232" t="str">
        <f>IF(AND(A1298&lt;&gt;"",ISNUMBER(A1298)),VLOOKUP(A1298,Studies!A:BR,3,FALSE),"")</f>
        <v>https://www.ncbi.nlm.nih.gov/pubmed/2544431</v>
      </c>
      <c r="D1298" s="232" t="str">
        <f>IF(AND(A1298&lt;&gt;"",ISNUMBER(A1298)),VLOOKUP(A1298,Studies!A:BR,4,FALSE),"")</f>
        <v>100 mg Capsules, with food</v>
      </c>
      <c r="E1298" s="206" t="str">
        <f>IF(AND(A1298&lt;&gt;"",ISNUMBER(A1298)),VLOOKUP(A1298,Studies!A:BR,5,FALSE),"")</f>
        <v>Itraconazole</v>
      </c>
      <c r="F1298" s="207" t="str">
        <f>IF(AND(A1298&lt;&gt;"",ISNUMBER(A1298)),VLOOKUP(A1298,Studies!A:BR,6,FALSE),"")</f>
        <v>Plasma</v>
      </c>
      <c r="G1298" s="194">
        <v>1.5</v>
      </c>
      <c r="H1298" s="194" t="s">
        <v>60</v>
      </c>
      <c r="I1298" s="187">
        <v>51.406517624855042</v>
      </c>
      <c r="J1298" s="187" t="s">
        <v>1026</v>
      </c>
      <c r="K1298" s="187" t="s">
        <v>116</v>
      </c>
      <c r="L1298" s="195"/>
      <c r="M1298" s="195"/>
      <c r="N1298" s="195"/>
      <c r="O1298" s="199"/>
      <c r="P1298" s="188"/>
      <c r="Q1298" s="174">
        <f>IF(ISNUMBER(VLOOKUP(A1298,NotghiID!A:A,1,FALSE)),1,0)</f>
        <v>0</v>
      </c>
    </row>
    <row r="1299" spans="1:17" ht="14.25" x14ac:dyDescent="0.2">
      <c r="A1299" s="183">
        <v>486</v>
      </c>
      <c r="B1299" s="232" t="str">
        <f>IF(AND(A1299&lt;&gt;"",ISNUMBER(A1299)),VLOOKUP(A1299,Studies!A:BR,2,FALSE),"")</f>
        <v>Van Peer 1989</v>
      </c>
      <c r="C1299" s="232" t="str">
        <f>IF(AND(A1299&lt;&gt;"",ISNUMBER(A1299)),VLOOKUP(A1299,Studies!A:BR,3,FALSE),"")</f>
        <v>https://www.ncbi.nlm.nih.gov/pubmed/2544431</v>
      </c>
      <c r="D1299" s="232" t="str">
        <f>IF(AND(A1299&lt;&gt;"",ISNUMBER(A1299)),VLOOKUP(A1299,Studies!A:BR,4,FALSE),"")</f>
        <v>100 mg Capsules, with food</v>
      </c>
      <c r="E1299" s="206" t="str">
        <f>IF(AND(A1299&lt;&gt;"",ISNUMBER(A1299)),VLOOKUP(A1299,Studies!A:BR,5,FALSE),"")</f>
        <v>Itraconazole</v>
      </c>
      <c r="F1299" s="207" t="str">
        <f>IF(AND(A1299&lt;&gt;"",ISNUMBER(A1299)),VLOOKUP(A1299,Studies!A:BR,6,FALSE),"")</f>
        <v>Plasma</v>
      </c>
      <c r="G1299" s="194">
        <v>2</v>
      </c>
      <c r="H1299" s="194" t="s">
        <v>60</v>
      </c>
      <c r="I1299" s="187">
        <v>65.077044069766998</v>
      </c>
      <c r="J1299" s="187" t="s">
        <v>1026</v>
      </c>
      <c r="K1299" s="187" t="s">
        <v>116</v>
      </c>
      <c r="L1299" s="195"/>
      <c r="M1299" s="195"/>
      <c r="N1299" s="195"/>
      <c r="O1299" s="199"/>
      <c r="P1299" s="188"/>
      <c r="Q1299" s="174">
        <f>IF(ISNUMBER(VLOOKUP(A1299,NotghiID!A:A,1,FALSE)),1,0)</f>
        <v>0</v>
      </c>
    </row>
    <row r="1300" spans="1:17" ht="14.25" x14ac:dyDescent="0.2">
      <c r="A1300" s="183">
        <v>486</v>
      </c>
      <c r="B1300" s="232" t="str">
        <f>IF(AND(A1300&lt;&gt;"",ISNUMBER(A1300)),VLOOKUP(A1300,Studies!A:BR,2,FALSE),"")</f>
        <v>Van Peer 1989</v>
      </c>
      <c r="C1300" s="232" t="str">
        <f>IF(AND(A1300&lt;&gt;"",ISNUMBER(A1300)),VLOOKUP(A1300,Studies!A:BR,3,FALSE),"")</f>
        <v>https://www.ncbi.nlm.nih.gov/pubmed/2544431</v>
      </c>
      <c r="D1300" s="232" t="str">
        <f>IF(AND(A1300&lt;&gt;"",ISNUMBER(A1300)),VLOOKUP(A1300,Studies!A:BR,4,FALSE),"")</f>
        <v>100 mg Capsules, with food</v>
      </c>
      <c r="E1300" s="206" t="str">
        <f>IF(AND(A1300&lt;&gt;"",ISNUMBER(A1300)),VLOOKUP(A1300,Studies!A:BR,5,FALSE),"")</f>
        <v>Itraconazole</v>
      </c>
      <c r="F1300" s="207" t="str">
        <f>IF(AND(A1300&lt;&gt;"",ISNUMBER(A1300)),VLOOKUP(A1300,Studies!A:BR,6,FALSE),"")</f>
        <v>Plasma</v>
      </c>
      <c r="G1300" s="194">
        <v>3</v>
      </c>
      <c r="H1300" s="194" t="s">
        <v>60</v>
      </c>
      <c r="I1300" s="187">
        <v>108.7225154042244</v>
      </c>
      <c r="J1300" s="187" t="s">
        <v>1026</v>
      </c>
      <c r="K1300" s="187" t="s">
        <v>116</v>
      </c>
      <c r="L1300" s="195"/>
      <c r="M1300" s="195"/>
      <c r="N1300" s="195"/>
      <c r="O1300" s="199"/>
      <c r="P1300" s="188"/>
      <c r="Q1300" s="174">
        <f>IF(ISNUMBER(VLOOKUP(A1300,NotghiID!A:A,1,FALSE)),1,0)</f>
        <v>0</v>
      </c>
    </row>
    <row r="1301" spans="1:17" ht="14.25" x14ac:dyDescent="0.2">
      <c r="A1301" s="183">
        <v>486</v>
      </c>
      <c r="B1301" s="232" t="str">
        <f>IF(AND(A1301&lt;&gt;"",ISNUMBER(A1301)),VLOOKUP(A1301,Studies!A:BR,2,FALSE),"")</f>
        <v>Van Peer 1989</v>
      </c>
      <c r="C1301" s="232" t="str">
        <f>IF(AND(A1301&lt;&gt;"",ISNUMBER(A1301)),VLOOKUP(A1301,Studies!A:BR,3,FALSE),"")</f>
        <v>https://www.ncbi.nlm.nih.gov/pubmed/2544431</v>
      </c>
      <c r="D1301" s="232" t="str">
        <f>IF(AND(A1301&lt;&gt;"",ISNUMBER(A1301)),VLOOKUP(A1301,Studies!A:BR,4,FALSE),"")</f>
        <v>100 mg Capsules, with food</v>
      </c>
      <c r="E1301" s="206" t="str">
        <f>IF(AND(A1301&lt;&gt;"",ISNUMBER(A1301)),VLOOKUP(A1301,Studies!A:BR,5,FALSE),"")</f>
        <v>Itraconazole</v>
      </c>
      <c r="F1301" s="207" t="str">
        <f>IF(AND(A1301&lt;&gt;"",ISNUMBER(A1301)),VLOOKUP(A1301,Studies!A:BR,6,FALSE),"")</f>
        <v>Plasma</v>
      </c>
      <c r="G1301" s="194">
        <v>4</v>
      </c>
      <c r="H1301" s="194" t="s">
        <v>60</v>
      </c>
      <c r="I1301" s="187">
        <v>130.20648062229156</v>
      </c>
      <c r="J1301" s="187" t="s">
        <v>1026</v>
      </c>
      <c r="K1301" s="187" t="s">
        <v>116</v>
      </c>
      <c r="L1301" s="195"/>
      <c r="M1301" s="195"/>
      <c r="N1301" s="195"/>
      <c r="O1301" s="199"/>
      <c r="P1301" s="188"/>
      <c r="Q1301" s="174">
        <f>IF(ISNUMBER(VLOOKUP(A1301,NotghiID!A:A,1,FALSE)),1,0)</f>
        <v>0</v>
      </c>
    </row>
    <row r="1302" spans="1:17" ht="14.25" x14ac:dyDescent="0.2">
      <c r="A1302" s="183">
        <v>486</v>
      </c>
      <c r="B1302" s="232" t="str">
        <f>IF(AND(A1302&lt;&gt;"",ISNUMBER(A1302)),VLOOKUP(A1302,Studies!A:BR,2,FALSE),"")</f>
        <v>Van Peer 1989</v>
      </c>
      <c r="C1302" s="232" t="str">
        <f>IF(AND(A1302&lt;&gt;"",ISNUMBER(A1302)),VLOOKUP(A1302,Studies!A:BR,3,FALSE),"")</f>
        <v>https://www.ncbi.nlm.nih.gov/pubmed/2544431</v>
      </c>
      <c r="D1302" s="232" t="str">
        <f>IF(AND(A1302&lt;&gt;"",ISNUMBER(A1302)),VLOOKUP(A1302,Studies!A:BR,4,FALSE),"")</f>
        <v>100 mg Capsules, with food</v>
      </c>
      <c r="E1302" s="206" t="str">
        <f>IF(AND(A1302&lt;&gt;"",ISNUMBER(A1302)),VLOOKUP(A1302,Studies!A:BR,5,FALSE),"")</f>
        <v>Itraconazole</v>
      </c>
      <c r="F1302" s="207" t="str">
        <f>IF(AND(A1302&lt;&gt;"",ISNUMBER(A1302)),VLOOKUP(A1302,Studies!A:BR,6,FALSE),"")</f>
        <v>Plasma</v>
      </c>
      <c r="G1302" s="194">
        <v>6</v>
      </c>
      <c r="H1302" s="194" t="s">
        <v>60</v>
      </c>
      <c r="I1302" s="187">
        <v>102.85442322492599</v>
      </c>
      <c r="J1302" s="187" t="s">
        <v>1026</v>
      </c>
      <c r="K1302" s="187" t="s">
        <v>116</v>
      </c>
      <c r="L1302" s="195"/>
      <c r="M1302" s="195"/>
      <c r="N1302" s="195"/>
      <c r="O1302" s="199"/>
      <c r="P1302" s="188"/>
      <c r="Q1302" s="174">
        <f>IF(ISNUMBER(VLOOKUP(A1302,NotghiID!A:A,1,FALSE)),1,0)</f>
        <v>0</v>
      </c>
    </row>
    <row r="1303" spans="1:17" ht="14.25" x14ac:dyDescent="0.2">
      <c r="A1303" s="183">
        <v>486</v>
      </c>
      <c r="B1303" s="232" t="str">
        <f>IF(AND(A1303&lt;&gt;"",ISNUMBER(A1303)),VLOOKUP(A1303,Studies!A:BR,2,FALSE),"")</f>
        <v>Van Peer 1989</v>
      </c>
      <c r="C1303" s="232" t="str">
        <f>IF(AND(A1303&lt;&gt;"",ISNUMBER(A1303)),VLOOKUP(A1303,Studies!A:BR,3,FALSE),"")</f>
        <v>https://www.ncbi.nlm.nih.gov/pubmed/2544431</v>
      </c>
      <c r="D1303" s="232" t="str">
        <f>IF(AND(A1303&lt;&gt;"",ISNUMBER(A1303)),VLOOKUP(A1303,Studies!A:BR,4,FALSE),"")</f>
        <v>100 mg Capsules, with food</v>
      </c>
      <c r="E1303" s="206" t="str">
        <f>IF(AND(A1303&lt;&gt;"",ISNUMBER(A1303)),VLOOKUP(A1303,Studies!A:BR,5,FALSE),"")</f>
        <v>Itraconazole</v>
      </c>
      <c r="F1303" s="207" t="str">
        <f>IF(AND(A1303&lt;&gt;"",ISNUMBER(A1303)),VLOOKUP(A1303,Studies!A:BR,6,FALSE),"")</f>
        <v>Plasma</v>
      </c>
      <c r="G1303" s="194">
        <v>8</v>
      </c>
      <c r="H1303" s="194" t="s">
        <v>60</v>
      </c>
      <c r="I1303" s="187">
        <v>76.862938702106476</v>
      </c>
      <c r="J1303" s="187" t="s">
        <v>1026</v>
      </c>
      <c r="K1303" s="187" t="s">
        <v>116</v>
      </c>
      <c r="L1303" s="195"/>
      <c r="M1303" s="195"/>
      <c r="N1303" s="195"/>
      <c r="O1303" s="199"/>
      <c r="P1303" s="188"/>
      <c r="Q1303" s="174">
        <f>IF(ISNUMBER(VLOOKUP(A1303,NotghiID!A:A,1,FALSE)),1,0)</f>
        <v>0</v>
      </c>
    </row>
    <row r="1304" spans="1:17" ht="14.25" x14ac:dyDescent="0.2">
      <c r="A1304" s="183">
        <v>486</v>
      </c>
      <c r="B1304" s="232" t="str">
        <f>IF(AND(A1304&lt;&gt;"",ISNUMBER(A1304)),VLOOKUP(A1304,Studies!A:BR,2,FALSE),"")</f>
        <v>Van Peer 1989</v>
      </c>
      <c r="C1304" s="232" t="str">
        <f>IF(AND(A1304&lt;&gt;"",ISNUMBER(A1304)),VLOOKUP(A1304,Studies!A:BR,3,FALSE),"")</f>
        <v>https://www.ncbi.nlm.nih.gov/pubmed/2544431</v>
      </c>
      <c r="D1304" s="232" t="str">
        <f>IF(AND(A1304&lt;&gt;"",ISNUMBER(A1304)),VLOOKUP(A1304,Studies!A:BR,4,FALSE),"")</f>
        <v>100 mg Capsules, with food</v>
      </c>
      <c r="E1304" s="206" t="str">
        <f>IF(AND(A1304&lt;&gt;"",ISNUMBER(A1304)),VLOOKUP(A1304,Studies!A:BR,5,FALSE),"")</f>
        <v>Itraconazole</v>
      </c>
      <c r="F1304" s="207" t="str">
        <f>IF(AND(A1304&lt;&gt;"",ISNUMBER(A1304)),VLOOKUP(A1304,Studies!A:BR,6,FALSE),"")</f>
        <v>Plasma</v>
      </c>
      <c r="G1304" s="194">
        <v>24</v>
      </c>
      <c r="H1304" s="194" t="s">
        <v>60</v>
      </c>
      <c r="I1304" s="187">
        <v>18.935782834887505</v>
      </c>
      <c r="J1304" s="187" t="s">
        <v>1026</v>
      </c>
      <c r="K1304" s="187" t="s">
        <v>116</v>
      </c>
      <c r="L1304" s="195"/>
      <c r="M1304" s="195"/>
      <c r="N1304" s="195"/>
      <c r="O1304" s="199"/>
      <c r="P1304" s="188"/>
      <c r="Q1304" s="174">
        <f>IF(ISNUMBER(VLOOKUP(A1304,NotghiID!A:A,1,FALSE)),1,0)</f>
        <v>0</v>
      </c>
    </row>
    <row r="1305" spans="1:17" ht="14.25" x14ac:dyDescent="0.2">
      <c r="A1305" s="183">
        <v>486</v>
      </c>
      <c r="B1305" s="232" t="str">
        <f>IF(AND(A1305&lt;&gt;"",ISNUMBER(A1305)),VLOOKUP(A1305,Studies!A:BR,2,FALSE),"")</f>
        <v>Van Peer 1989</v>
      </c>
      <c r="C1305" s="232" t="str">
        <f>IF(AND(A1305&lt;&gt;"",ISNUMBER(A1305)),VLOOKUP(A1305,Studies!A:BR,3,FALSE),"")</f>
        <v>https://www.ncbi.nlm.nih.gov/pubmed/2544431</v>
      </c>
      <c r="D1305" s="232" t="str">
        <f>IF(AND(A1305&lt;&gt;"",ISNUMBER(A1305)),VLOOKUP(A1305,Studies!A:BR,4,FALSE),"")</f>
        <v>100 mg Capsules, with food</v>
      </c>
      <c r="E1305" s="206" t="str">
        <f>IF(AND(A1305&lt;&gt;"",ISNUMBER(A1305)),VLOOKUP(A1305,Studies!A:BR,5,FALSE),"")</f>
        <v>Itraconazole</v>
      </c>
      <c r="F1305" s="207" t="str">
        <f>IF(AND(A1305&lt;&gt;"",ISNUMBER(A1305)),VLOOKUP(A1305,Studies!A:BR,6,FALSE),"")</f>
        <v>Plasma</v>
      </c>
      <c r="G1305" s="194">
        <v>32</v>
      </c>
      <c r="H1305" s="194" t="s">
        <v>60</v>
      </c>
      <c r="I1305" s="187">
        <v>13.955747708678246</v>
      </c>
      <c r="J1305" s="187" t="s">
        <v>1026</v>
      </c>
      <c r="K1305" s="187" t="s">
        <v>116</v>
      </c>
      <c r="L1305" s="195"/>
      <c r="M1305" s="195"/>
      <c r="N1305" s="195"/>
      <c r="O1305" s="199"/>
      <c r="P1305" s="188"/>
      <c r="Q1305" s="174">
        <f>IF(ISNUMBER(VLOOKUP(A1305,NotghiID!A:A,1,FALSE)),1,0)</f>
        <v>0</v>
      </c>
    </row>
    <row r="1306" spans="1:17" ht="14.25" x14ac:dyDescent="0.2">
      <c r="A1306" s="183">
        <v>486</v>
      </c>
      <c r="B1306" s="232" t="str">
        <f>IF(AND(A1306&lt;&gt;"",ISNUMBER(A1306)),VLOOKUP(A1306,Studies!A:BR,2,FALSE),"")</f>
        <v>Van Peer 1989</v>
      </c>
      <c r="C1306" s="232" t="str">
        <f>IF(AND(A1306&lt;&gt;"",ISNUMBER(A1306)),VLOOKUP(A1306,Studies!A:BR,3,FALSE),"")</f>
        <v>https://www.ncbi.nlm.nih.gov/pubmed/2544431</v>
      </c>
      <c r="D1306" s="232" t="str">
        <f>IF(AND(A1306&lt;&gt;"",ISNUMBER(A1306)),VLOOKUP(A1306,Studies!A:BR,4,FALSE),"")</f>
        <v>100 mg Capsules, with food</v>
      </c>
      <c r="E1306" s="206" t="str">
        <f>IF(AND(A1306&lt;&gt;"",ISNUMBER(A1306)),VLOOKUP(A1306,Studies!A:BR,5,FALSE),"")</f>
        <v>Itraconazole</v>
      </c>
      <c r="F1306" s="207" t="str">
        <f>IF(AND(A1306&lt;&gt;"",ISNUMBER(A1306)),VLOOKUP(A1306,Studies!A:BR,6,FALSE),"")</f>
        <v>Plasma</v>
      </c>
      <c r="G1306" s="194">
        <v>48</v>
      </c>
      <c r="H1306" s="194" t="s">
        <v>60</v>
      </c>
      <c r="I1306" s="187">
        <v>6.5077045001089573</v>
      </c>
      <c r="J1306" s="187" t="s">
        <v>1026</v>
      </c>
      <c r="K1306" s="187" t="s">
        <v>116</v>
      </c>
      <c r="L1306" s="195"/>
      <c r="M1306" s="195"/>
      <c r="N1306" s="195"/>
      <c r="O1306" s="199"/>
      <c r="P1306" s="188"/>
      <c r="Q1306" s="174">
        <f>IF(ISNUMBER(VLOOKUP(A1306,NotghiID!A:A,1,FALSE)),1,0)</f>
        <v>0</v>
      </c>
    </row>
    <row r="1307" spans="1:17" ht="14.25" x14ac:dyDescent="0.2">
      <c r="A1307" s="183">
        <v>486</v>
      </c>
      <c r="B1307" s="232" t="str">
        <f>IF(AND(A1307&lt;&gt;"",ISNUMBER(A1307)),VLOOKUP(A1307,Studies!A:BR,2,FALSE),"")</f>
        <v>Van Peer 1989</v>
      </c>
      <c r="C1307" s="232" t="str">
        <f>IF(AND(A1307&lt;&gt;"",ISNUMBER(A1307)),VLOOKUP(A1307,Studies!A:BR,3,FALSE),"")</f>
        <v>https://www.ncbi.nlm.nih.gov/pubmed/2544431</v>
      </c>
      <c r="D1307" s="232" t="str">
        <f>IF(AND(A1307&lt;&gt;"",ISNUMBER(A1307)),VLOOKUP(A1307,Studies!A:BR,4,FALSE),"")</f>
        <v>100 mg Capsules, with food</v>
      </c>
      <c r="E1307" s="206" t="str">
        <f>IF(AND(A1307&lt;&gt;"",ISNUMBER(A1307)),VLOOKUP(A1307,Studies!A:BR,5,FALSE),"")</f>
        <v>Itraconazole</v>
      </c>
      <c r="F1307" s="207" t="str">
        <f>IF(AND(A1307&lt;&gt;"",ISNUMBER(A1307)),VLOOKUP(A1307,Studies!A:BR,6,FALSE),"")</f>
        <v>Plasma</v>
      </c>
      <c r="G1307" s="194">
        <v>56</v>
      </c>
      <c r="H1307" s="194" t="s">
        <v>60</v>
      </c>
      <c r="I1307" s="187">
        <v>4.9311239272356033</v>
      </c>
      <c r="J1307" s="187" t="s">
        <v>1026</v>
      </c>
      <c r="K1307" s="187" t="s">
        <v>116</v>
      </c>
      <c r="L1307" s="195"/>
      <c r="M1307" s="195"/>
      <c r="N1307" s="195"/>
      <c r="O1307" s="199"/>
      <c r="P1307" s="188"/>
      <c r="Q1307" s="174">
        <f>IF(ISNUMBER(VLOOKUP(A1307,NotghiID!A:A,1,FALSE)),1,0)</f>
        <v>0</v>
      </c>
    </row>
    <row r="1308" spans="1:17" ht="14.25" x14ac:dyDescent="0.2">
      <c r="A1308" s="183">
        <v>486</v>
      </c>
      <c r="B1308" s="232" t="str">
        <f>IF(AND(A1308&lt;&gt;"",ISNUMBER(A1308)),VLOOKUP(A1308,Studies!A:BR,2,FALSE),"")</f>
        <v>Van Peer 1989</v>
      </c>
      <c r="C1308" s="232" t="str">
        <f>IF(AND(A1308&lt;&gt;"",ISNUMBER(A1308)),VLOOKUP(A1308,Studies!A:BR,3,FALSE),"")</f>
        <v>https://www.ncbi.nlm.nih.gov/pubmed/2544431</v>
      </c>
      <c r="D1308" s="232" t="str">
        <f>IF(AND(A1308&lt;&gt;"",ISNUMBER(A1308)),VLOOKUP(A1308,Studies!A:BR,4,FALSE),"")</f>
        <v>100 mg Capsules, with food</v>
      </c>
      <c r="E1308" s="206" t="str">
        <f>IF(AND(A1308&lt;&gt;"",ISNUMBER(A1308)),VLOOKUP(A1308,Studies!A:BR,5,FALSE),"")</f>
        <v>Itraconazole</v>
      </c>
      <c r="F1308" s="207" t="str">
        <f>IF(AND(A1308&lt;&gt;"",ISNUMBER(A1308)),VLOOKUP(A1308,Studies!A:BR,6,FALSE),"")</f>
        <v>Plasma</v>
      </c>
      <c r="G1308" s="194">
        <v>72</v>
      </c>
      <c r="H1308" s="194" t="s">
        <v>60</v>
      </c>
      <c r="I1308" s="187">
        <v>2.8708211611956358</v>
      </c>
      <c r="J1308" s="187" t="s">
        <v>1026</v>
      </c>
      <c r="K1308" s="187" t="s">
        <v>116</v>
      </c>
      <c r="L1308" s="195"/>
      <c r="M1308" s="195"/>
      <c r="N1308" s="195"/>
      <c r="O1308" s="199"/>
      <c r="P1308" s="188"/>
      <c r="Q1308" s="174">
        <f>IF(ISNUMBER(VLOOKUP(A1308,NotghiID!A:A,1,FALSE)),1,0)</f>
        <v>0</v>
      </c>
    </row>
    <row r="1309" spans="1:17" ht="14.25" x14ac:dyDescent="0.2">
      <c r="A1309" s="183">
        <v>486</v>
      </c>
      <c r="B1309" s="232" t="str">
        <f>IF(AND(A1309&lt;&gt;"",ISNUMBER(A1309)),VLOOKUP(A1309,Studies!A:BR,2,FALSE),"")</f>
        <v>Van Peer 1989</v>
      </c>
      <c r="C1309" s="232" t="str">
        <f>IF(AND(A1309&lt;&gt;"",ISNUMBER(A1309)),VLOOKUP(A1309,Studies!A:BR,3,FALSE),"")</f>
        <v>https://www.ncbi.nlm.nih.gov/pubmed/2544431</v>
      </c>
      <c r="D1309" s="232" t="str">
        <f>IF(AND(A1309&lt;&gt;"",ISNUMBER(A1309)),VLOOKUP(A1309,Studies!A:BR,4,FALSE),"")</f>
        <v>100 mg Capsules, with food</v>
      </c>
      <c r="E1309" s="206" t="str">
        <f>IF(AND(A1309&lt;&gt;"",ISNUMBER(A1309)),VLOOKUP(A1309,Studies!A:BR,5,FALSE),"")</f>
        <v>Itraconazole</v>
      </c>
      <c r="F1309" s="207" t="str">
        <f>IF(AND(A1309&lt;&gt;"",ISNUMBER(A1309)),VLOOKUP(A1309,Studies!A:BR,6,FALSE),"")</f>
        <v>Plasma</v>
      </c>
      <c r="G1309" s="194">
        <v>96</v>
      </c>
      <c r="H1309" s="194" t="s">
        <v>60</v>
      </c>
      <c r="I1309" s="187">
        <v>0.93337101861834526</v>
      </c>
      <c r="J1309" s="187" t="s">
        <v>1026</v>
      </c>
      <c r="K1309" s="187" t="s">
        <v>116</v>
      </c>
      <c r="L1309" s="195"/>
      <c r="M1309" s="195"/>
      <c r="N1309" s="195"/>
      <c r="O1309" s="199"/>
      <c r="P1309" s="188"/>
      <c r="Q1309" s="174">
        <f>IF(ISNUMBER(VLOOKUP(A1309,NotghiID!A:A,1,FALSE)),1,0)</f>
        <v>0</v>
      </c>
    </row>
    <row r="1310" spans="1:17" ht="14.25" x14ac:dyDescent="0.2">
      <c r="A1310" s="183">
        <v>487</v>
      </c>
      <c r="B1310" s="232" t="str">
        <f>IF(AND(A1310&lt;&gt;"",ISNUMBER(A1310)),VLOOKUP(A1310,Studies!A:BR,2,FALSE),"")</f>
        <v>Van Peer 1989</v>
      </c>
      <c r="C1310" s="232" t="str">
        <f>IF(AND(A1310&lt;&gt;"",ISNUMBER(A1310)),VLOOKUP(A1310,Studies!A:BR,3,FALSE),"")</f>
        <v>https://www.ncbi.nlm.nih.gov/pubmed/2544431</v>
      </c>
      <c r="D1310" s="232" t="str">
        <f>IF(AND(A1310&lt;&gt;"",ISNUMBER(A1310)),VLOOKUP(A1310,Studies!A:BR,4,FALSE),"")</f>
        <v>100 mg Capsules, with food, 15 days MD</v>
      </c>
      <c r="E1310" s="206" t="str">
        <f>IF(AND(A1310&lt;&gt;"",ISNUMBER(A1310)),VLOOKUP(A1310,Studies!A:BR,5,FALSE),"")</f>
        <v>Itraconazole</v>
      </c>
      <c r="F1310" s="207" t="str">
        <f>IF(AND(A1310&lt;&gt;"",ISNUMBER(A1310)),VLOOKUP(A1310,Studies!A:BR,6,FALSE),"")</f>
        <v>Plasma</v>
      </c>
      <c r="G1310" s="194">
        <v>1</v>
      </c>
      <c r="H1310" s="194" t="s">
        <v>60</v>
      </c>
      <c r="I1310" s="187">
        <v>19.995208829641342</v>
      </c>
      <c r="J1310" s="187" t="s">
        <v>1026</v>
      </c>
      <c r="K1310" s="187" t="s">
        <v>116</v>
      </c>
      <c r="L1310" s="195"/>
      <c r="M1310" s="195"/>
      <c r="N1310" s="195"/>
      <c r="O1310" s="199"/>
      <c r="P1310" s="188"/>
      <c r="Q1310" s="174">
        <f>IF(ISNUMBER(VLOOKUP(A1310,NotghiID!A:A,1,FALSE)),1,0)</f>
        <v>0</v>
      </c>
    </row>
    <row r="1311" spans="1:17" ht="14.25" x14ac:dyDescent="0.2">
      <c r="A1311" s="183">
        <v>487</v>
      </c>
      <c r="B1311" s="232" t="str">
        <f>IF(AND(A1311&lt;&gt;"",ISNUMBER(A1311)),VLOOKUP(A1311,Studies!A:BR,2,FALSE),"")</f>
        <v>Van Peer 1989</v>
      </c>
      <c r="C1311" s="232" t="str">
        <f>IF(AND(A1311&lt;&gt;"",ISNUMBER(A1311)),VLOOKUP(A1311,Studies!A:BR,3,FALSE),"")</f>
        <v>https://www.ncbi.nlm.nih.gov/pubmed/2544431</v>
      </c>
      <c r="D1311" s="232" t="str">
        <f>IF(AND(A1311&lt;&gt;"",ISNUMBER(A1311)),VLOOKUP(A1311,Studies!A:BR,4,FALSE),"")</f>
        <v>100 mg Capsules, with food, 15 days MD</v>
      </c>
      <c r="E1311" s="206" t="str">
        <f>IF(AND(A1311&lt;&gt;"",ISNUMBER(A1311)),VLOOKUP(A1311,Studies!A:BR,5,FALSE),"")</f>
        <v>Itraconazole</v>
      </c>
      <c r="F1311" s="207" t="str">
        <f>IF(AND(A1311&lt;&gt;"",ISNUMBER(A1311)),VLOOKUP(A1311,Studies!A:BR,6,FALSE),"")</f>
        <v>Plasma</v>
      </c>
      <c r="G1311" s="194">
        <v>3</v>
      </c>
      <c r="H1311" s="194" t="s">
        <v>60</v>
      </c>
      <c r="I1311" s="187">
        <v>59.312775731086731</v>
      </c>
      <c r="J1311" s="187" t="s">
        <v>1026</v>
      </c>
      <c r="K1311" s="187" t="s">
        <v>116</v>
      </c>
      <c r="L1311" s="195"/>
      <c r="M1311" s="195"/>
      <c r="N1311" s="195"/>
      <c r="O1311" s="199"/>
      <c r="P1311" s="188"/>
      <c r="Q1311" s="174">
        <f>IF(ISNUMBER(VLOOKUP(A1311,NotghiID!A:A,1,FALSE)),1,0)</f>
        <v>0</v>
      </c>
    </row>
    <row r="1312" spans="1:17" ht="14.25" x14ac:dyDescent="0.2">
      <c r="A1312" s="183">
        <v>487</v>
      </c>
      <c r="B1312" s="232" t="str">
        <f>IF(AND(A1312&lt;&gt;"",ISNUMBER(A1312)),VLOOKUP(A1312,Studies!A:BR,2,FALSE),"")</f>
        <v>Van Peer 1989</v>
      </c>
      <c r="C1312" s="232" t="str">
        <f>IF(AND(A1312&lt;&gt;"",ISNUMBER(A1312)),VLOOKUP(A1312,Studies!A:BR,3,FALSE),"")</f>
        <v>https://www.ncbi.nlm.nih.gov/pubmed/2544431</v>
      </c>
      <c r="D1312" s="232" t="str">
        <f>IF(AND(A1312&lt;&gt;"",ISNUMBER(A1312)),VLOOKUP(A1312,Studies!A:BR,4,FALSE),"")</f>
        <v>100 mg Capsules, with food, 15 days MD</v>
      </c>
      <c r="E1312" s="206" t="str">
        <f>IF(AND(A1312&lt;&gt;"",ISNUMBER(A1312)),VLOOKUP(A1312,Studies!A:BR,5,FALSE),"")</f>
        <v>Itraconazole</v>
      </c>
      <c r="F1312" s="207" t="str">
        <f>IF(AND(A1312&lt;&gt;"",ISNUMBER(A1312)),VLOOKUP(A1312,Studies!A:BR,6,FALSE),"")</f>
        <v>Plasma</v>
      </c>
      <c r="G1312" s="194">
        <v>4</v>
      </c>
      <c r="H1312" s="194" t="s">
        <v>60</v>
      </c>
      <c r="I1312" s="187">
        <v>96.852555871009827</v>
      </c>
      <c r="J1312" s="187" t="s">
        <v>1026</v>
      </c>
      <c r="K1312" s="187" t="s">
        <v>116</v>
      </c>
      <c r="L1312" s="195"/>
      <c r="M1312" s="195"/>
      <c r="N1312" s="195"/>
      <c r="O1312" s="199"/>
      <c r="P1312" s="188"/>
      <c r="Q1312" s="174">
        <f>IF(ISNUMBER(VLOOKUP(A1312,NotghiID!A:A,1,FALSE)),1,0)</f>
        <v>0</v>
      </c>
    </row>
    <row r="1313" spans="1:17" ht="14.25" x14ac:dyDescent="0.2">
      <c r="A1313" s="183">
        <v>487</v>
      </c>
      <c r="B1313" s="232" t="str">
        <f>IF(AND(A1313&lt;&gt;"",ISNUMBER(A1313)),VLOOKUP(A1313,Studies!A:BR,2,FALSE),"")</f>
        <v>Van Peer 1989</v>
      </c>
      <c r="C1313" s="232" t="str">
        <f>IF(AND(A1313&lt;&gt;"",ISNUMBER(A1313)),VLOOKUP(A1313,Studies!A:BR,3,FALSE),"")</f>
        <v>https://www.ncbi.nlm.nih.gov/pubmed/2544431</v>
      </c>
      <c r="D1313" s="232" t="str">
        <f>IF(AND(A1313&lt;&gt;"",ISNUMBER(A1313)),VLOOKUP(A1313,Studies!A:BR,4,FALSE),"")</f>
        <v>100 mg Capsules, with food, 15 days MD</v>
      </c>
      <c r="E1313" s="206" t="str">
        <f>IF(AND(A1313&lt;&gt;"",ISNUMBER(A1313)),VLOOKUP(A1313,Studies!A:BR,5,FALSE),"")</f>
        <v>Itraconazole</v>
      </c>
      <c r="F1313" s="207" t="str">
        <f>IF(AND(A1313&lt;&gt;"",ISNUMBER(A1313)),VLOOKUP(A1313,Studies!A:BR,6,FALSE),"")</f>
        <v>Plasma</v>
      </c>
      <c r="G1313" s="194">
        <v>5</v>
      </c>
      <c r="H1313" s="194" t="s">
        <v>60</v>
      </c>
      <c r="I1313" s="187">
        <v>87.059259414672852</v>
      </c>
      <c r="J1313" s="187" t="s">
        <v>1026</v>
      </c>
      <c r="K1313" s="187" t="s">
        <v>116</v>
      </c>
      <c r="L1313" s="195"/>
      <c r="M1313" s="195"/>
      <c r="N1313" s="195"/>
      <c r="O1313" s="199"/>
      <c r="P1313" s="188"/>
      <c r="Q1313" s="174">
        <f>IF(ISNUMBER(VLOOKUP(A1313,NotghiID!A:A,1,FALSE)),1,0)</f>
        <v>0</v>
      </c>
    </row>
    <row r="1314" spans="1:17" ht="14.25" x14ac:dyDescent="0.2">
      <c r="A1314" s="183">
        <v>487</v>
      </c>
      <c r="B1314" s="232" t="str">
        <f>IF(AND(A1314&lt;&gt;"",ISNUMBER(A1314)),VLOOKUP(A1314,Studies!A:BR,2,FALSE),"")</f>
        <v>Van Peer 1989</v>
      </c>
      <c r="C1314" s="232" t="str">
        <f>IF(AND(A1314&lt;&gt;"",ISNUMBER(A1314)),VLOOKUP(A1314,Studies!A:BR,3,FALSE),"")</f>
        <v>https://www.ncbi.nlm.nih.gov/pubmed/2544431</v>
      </c>
      <c r="D1314" s="232" t="str">
        <f>IF(AND(A1314&lt;&gt;"",ISNUMBER(A1314)),VLOOKUP(A1314,Studies!A:BR,4,FALSE),"")</f>
        <v>100 mg Capsules, with food, 15 days MD</v>
      </c>
      <c r="E1314" s="206" t="str">
        <f>IF(AND(A1314&lt;&gt;"",ISNUMBER(A1314)),VLOOKUP(A1314,Studies!A:BR,5,FALSE),"")</f>
        <v>Itraconazole</v>
      </c>
      <c r="F1314" s="207" t="str">
        <f>IF(AND(A1314&lt;&gt;"",ISNUMBER(A1314)),VLOOKUP(A1314,Studies!A:BR,6,FALSE),"")</f>
        <v>Plasma</v>
      </c>
      <c r="G1314" s="194">
        <v>8</v>
      </c>
      <c r="H1314" s="194" t="s">
        <v>60</v>
      </c>
      <c r="I1314" s="187">
        <v>69.597333669662476</v>
      </c>
      <c r="J1314" s="187" t="s">
        <v>1026</v>
      </c>
      <c r="K1314" s="187" t="s">
        <v>116</v>
      </c>
      <c r="L1314" s="195"/>
      <c r="M1314" s="195"/>
      <c r="N1314" s="195"/>
      <c r="O1314" s="199"/>
      <c r="P1314" s="188"/>
      <c r="Q1314" s="174">
        <f>IF(ISNUMBER(VLOOKUP(A1314,NotghiID!A:A,1,FALSE)),1,0)</f>
        <v>0</v>
      </c>
    </row>
    <row r="1315" spans="1:17" ht="14.25" x14ac:dyDescent="0.2">
      <c r="A1315" s="183">
        <v>487</v>
      </c>
      <c r="B1315" s="232" t="str">
        <f>IF(AND(A1315&lt;&gt;"",ISNUMBER(A1315)),VLOOKUP(A1315,Studies!A:BR,2,FALSE),"")</f>
        <v>Van Peer 1989</v>
      </c>
      <c r="C1315" s="232" t="str">
        <f>IF(AND(A1315&lt;&gt;"",ISNUMBER(A1315)),VLOOKUP(A1315,Studies!A:BR,3,FALSE),"")</f>
        <v>https://www.ncbi.nlm.nih.gov/pubmed/2544431</v>
      </c>
      <c r="D1315" s="232" t="str">
        <f>IF(AND(A1315&lt;&gt;"",ISNUMBER(A1315)),VLOOKUP(A1315,Studies!A:BR,4,FALSE),"")</f>
        <v>100 mg Capsules, with food, 15 days MD</v>
      </c>
      <c r="E1315" s="206" t="str">
        <f>IF(AND(A1315&lt;&gt;"",ISNUMBER(A1315)),VLOOKUP(A1315,Studies!A:BR,5,FALSE),"")</f>
        <v>Itraconazole</v>
      </c>
      <c r="F1315" s="207" t="str">
        <f>IF(AND(A1315&lt;&gt;"",ISNUMBER(A1315)),VLOOKUP(A1315,Studies!A:BR,6,FALSE),"")</f>
        <v>Plasma</v>
      </c>
      <c r="G1315" s="194">
        <v>24</v>
      </c>
      <c r="H1315" s="194" t="s">
        <v>60</v>
      </c>
      <c r="I1315" s="187">
        <v>18.165998160839081</v>
      </c>
      <c r="J1315" s="187" t="s">
        <v>1026</v>
      </c>
      <c r="K1315" s="187" t="s">
        <v>116</v>
      </c>
      <c r="L1315" s="195"/>
      <c r="M1315" s="195"/>
      <c r="N1315" s="195"/>
      <c r="O1315" s="199"/>
      <c r="P1315" s="188"/>
      <c r="Q1315" s="174">
        <f>IF(ISNUMBER(VLOOKUP(A1315,NotghiID!A:A,1,FALSE)),1,0)</f>
        <v>0</v>
      </c>
    </row>
    <row r="1316" spans="1:17" ht="14.25" x14ac:dyDescent="0.2">
      <c r="A1316" s="183">
        <v>487</v>
      </c>
      <c r="B1316" s="232" t="str">
        <f>IF(AND(A1316&lt;&gt;"",ISNUMBER(A1316)),VLOOKUP(A1316,Studies!A:BR,2,FALSE),"")</f>
        <v>Van Peer 1989</v>
      </c>
      <c r="C1316" s="232" t="str">
        <f>IF(AND(A1316&lt;&gt;"",ISNUMBER(A1316)),VLOOKUP(A1316,Studies!A:BR,3,FALSE),"")</f>
        <v>https://www.ncbi.nlm.nih.gov/pubmed/2544431</v>
      </c>
      <c r="D1316" s="232" t="str">
        <f>IF(AND(A1316&lt;&gt;"",ISNUMBER(A1316)),VLOOKUP(A1316,Studies!A:BR,4,FALSE),"")</f>
        <v>100 mg Capsules, with food, 15 days MD</v>
      </c>
      <c r="E1316" s="206" t="str">
        <f>IF(AND(A1316&lt;&gt;"",ISNUMBER(A1316)),VLOOKUP(A1316,Studies!A:BR,5,FALSE),"")</f>
        <v>Itraconazole</v>
      </c>
      <c r="F1316" s="207" t="str">
        <f>IF(AND(A1316&lt;&gt;"",ISNUMBER(A1316)),VLOOKUP(A1316,Studies!A:BR,6,FALSE),"")</f>
        <v>Plasma</v>
      </c>
      <c r="G1316" s="194">
        <v>28</v>
      </c>
      <c r="H1316" s="194" t="s">
        <v>60</v>
      </c>
      <c r="I1316" s="187">
        <v>217.75247156620026</v>
      </c>
      <c r="J1316" s="187" t="s">
        <v>1026</v>
      </c>
      <c r="K1316" s="187" t="s">
        <v>116</v>
      </c>
      <c r="L1316" s="195"/>
      <c r="M1316" s="195"/>
      <c r="N1316" s="195"/>
      <c r="O1316" s="199"/>
      <c r="P1316" s="188"/>
      <c r="Q1316" s="174">
        <f>IF(ISNUMBER(VLOOKUP(A1316,NotghiID!A:A,1,FALSE)),1,0)</f>
        <v>0</v>
      </c>
    </row>
    <row r="1317" spans="1:17" ht="14.25" x14ac:dyDescent="0.2">
      <c r="A1317" s="183">
        <v>487</v>
      </c>
      <c r="B1317" s="232" t="str">
        <f>IF(AND(A1317&lt;&gt;"",ISNUMBER(A1317)),VLOOKUP(A1317,Studies!A:BR,2,FALSE),"")</f>
        <v>Van Peer 1989</v>
      </c>
      <c r="C1317" s="232" t="str">
        <f>IF(AND(A1317&lt;&gt;"",ISNUMBER(A1317)),VLOOKUP(A1317,Studies!A:BR,3,FALSE),"")</f>
        <v>https://www.ncbi.nlm.nih.gov/pubmed/2544431</v>
      </c>
      <c r="D1317" s="232" t="str">
        <f>IF(AND(A1317&lt;&gt;"",ISNUMBER(A1317)),VLOOKUP(A1317,Studies!A:BR,4,FALSE),"")</f>
        <v>100 mg Capsules, with food, 15 days MD</v>
      </c>
      <c r="E1317" s="206" t="str">
        <f>IF(AND(A1317&lt;&gt;"",ISNUMBER(A1317)),VLOOKUP(A1317,Studies!A:BR,5,FALSE),"")</f>
        <v>Itraconazole</v>
      </c>
      <c r="F1317" s="207" t="str">
        <f>IF(AND(A1317&lt;&gt;"",ISNUMBER(A1317)),VLOOKUP(A1317,Studies!A:BR,6,FALSE),"")</f>
        <v>Plasma</v>
      </c>
      <c r="G1317" s="194">
        <v>48</v>
      </c>
      <c r="H1317" s="194" t="s">
        <v>60</v>
      </c>
      <c r="I1317" s="187">
        <v>47.416113317012787</v>
      </c>
      <c r="J1317" s="187" t="s">
        <v>1026</v>
      </c>
      <c r="K1317" s="187" t="s">
        <v>116</v>
      </c>
      <c r="L1317" s="195"/>
      <c r="M1317" s="195"/>
      <c r="N1317" s="195"/>
      <c r="O1317" s="199"/>
      <c r="P1317" s="188"/>
      <c r="Q1317" s="174">
        <f>IF(ISNUMBER(VLOOKUP(A1317,NotghiID!A:A,1,FALSE)),1,0)</f>
        <v>0</v>
      </c>
    </row>
    <row r="1318" spans="1:17" ht="14.25" x14ac:dyDescent="0.2">
      <c r="A1318" s="183">
        <v>487</v>
      </c>
      <c r="B1318" s="232" t="str">
        <f>IF(AND(A1318&lt;&gt;"",ISNUMBER(A1318)),VLOOKUP(A1318,Studies!A:BR,2,FALSE),"")</f>
        <v>Van Peer 1989</v>
      </c>
      <c r="C1318" s="232" t="str">
        <f>IF(AND(A1318&lt;&gt;"",ISNUMBER(A1318)),VLOOKUP(A1318,Studies!A:BR,3,FALSE),"")</f>
        <v>https://www.ncbi.nlm.nih.gov/pubmed/2544431</v>
      </c>
      <c r="D1318" s="232" t="str">
        <f>IF(AND(A1318&lt;&gt;"",ISNUMBER(A1318)),VLOOKUP(A1318,Studies!A:BR,4,FALSE),"")</f>
        <v>100 mg Capsules, with food, 15 days MD</v>
      </c>
      <c r="E1318" s="206" t="str">
        <f>IF(AND(A1318&lt;&gt;"",ISNUMBER(A1318)),VLOOKUP(A1318,Studies!A:BR,5,FALSE),"")</f>
        <v>Itraconazole</v>
      </c>
      <c r="F1318" s="207" t="str">
        <f>IF(AND(A1318&lt;&gt;"",ISNUMBER(A1318)),VLOOKUP(A1318,Studies!A:BR,6,FALSE),"")</f>
        <v>Plasma</v>
      </c>
      <c r="G1318" s="194">
        <v>72</v>
      </c>
      <c r="H1318" s="194" t="s">
        <v>60</v>
      </c>
      <c r="I1318" s="187">
        <v>79.094856977462769</v>
      </c>
      <c r="J1318" s="187" t="s">
        <v>1026</v>
      </c>
      <c r="K1318" s="187" t="s">
        <v>116</v>
      </c>
      <c r="L1318" s="195"/>
      <c r="M1318" s="195"/>
      <c r="N1318" s="195"/>
      <c r="O1318" s="199"/>
      <c r="P1318" s="188"/>
      <c r="Q1318" s="174">
        <f>IF(ISNUMBER(VLOOKUP(A1318,NotghiID!A:A,1,FALSE)),1,0)</f>
        <v>0</v>
      </c>
    </row>
    <row r="1319" spans="1:17" ht="14.25" x14ac:dyDescent="0.2">
      <c r="A1319" s="183">
        <v>487</v>
      </c>
      <c r="B1319" s="232" t="str">
        <f>IF(AND(A1319&lt;&gt;"",ISNUMBER(A1319)),VLOOKUP(A1319,Studies!A:BR,2,FALSE),"")</f>
        <v>Van Peer 1989</v>
      </c>
      <c r="C1319" s="232" t="str">
        <f>IF(AND(A1319&lt;&gt;"",ISNUMBER(A1319)),VLOOKUP(A1319,Studies!A:BR,3,FALSE),"")</f>
        <v>https://www.ncbi.nlm.nih.gov/pubmed/2544431</v>
      </c>
      <c r="D1319" s="232" t="str">
        <f>IF(AND(A1319&lt;&gt;"",ISNUMBER(A1319)),VLOOKUP(A1319,Studies!A:BR,4,FALSE),"")</f>
        <v>100 mg Capsules, with food, 15 days MD</v>
      </c>
      <c r="E1319" s="206" t="str">
        <f>IF(AND(A1319&lt;&gt;"",ISNUMBER(A1319)),VLOOKUP(A1319,Studies!A:BR,5,FALSE),"")</f>
        <v>Itraconazole</v>
      </c>
      <c r="F1319" s="207" t="str">
        <f>IF(AND(A1319&lt;&gt;"",ISNUMBER(A1319)),VLOOKUP(A1319,Studies!A:BR,6,FALSE),"")</f>
        <v>Plasma</v>
      </c>
      <c r="G1319" s="194">
        <v>96</v>
      </c>
      <c r="H1319" s="194" t="s">
        <v>60</v>
      </c>
      <c r="I1319" s="187">
        <v>92.80955046415329</v>
      </c>
      <c r="J1319" s="187" t="s">
        <v>1026</v>
      </c>
      <c r="K1319" s="187" t="s">
        <v>116</v>
      </c>
      <c r="L1319" s="195"/>
      <c r="M1319" s="195"/>
      <c r="N1319" s="195"/>
      <c r="O1319" s="199"/>
      <c r="P1319" s="188"/>
      <c r="Q1319" s="174">
        <f>IF(ISNUMBER(VLOOKUP(A1319,NotghiID!A:A,1,FALSE)),1,0)</f>
        <v>0</v>
      </c>
    </row>
    <row r="1320" spans="1:17" ht="14.25" x14ac:dyDescent="0.2">
      <c r="A1320" s="183">
        <v>487</v>
      </c>
      <c r="B1320" s="232" t="str">
        <f>IF(AND(A1320&lt;&gt;"",ISNUMBER(A1320)),VLOOKUP(A1320,Studies!A:BR,2,FALSE),"")</f>
        <v>Van Peer 1989</v>
      </c>
      <c r="C1320" s="232" t="str">
        <f>IF(AND(A1320&lt;&gt;"",ISNUMBER(A1320)),VLOOKUP(A1320,Studies!A:BR,3,FALSE),"")</f>
        <v>https://www.ncbi.nlm.nih.gov/pubmed/2544431</v>
      </c>
      <c r="D1320" s="232" t="str">
        <f>IF(AND(A1320&lt;&gt;"",ISNUMBER(A1320)),VLOOKUP(A1320,Studies!A:BR,4,FALSE),"")</f>
        <v>100 mg Capsules, with food, 15 days MD</v>
      </c>
      <c r="E1320" s="206" t="str">
        <f>IF(AND(A1320&lt;&gt;"",ISNUMBER(A1320)),VLOOKUP(A1320,Studies!A:BR,5,FALSE),"")</f>
        <v>Itraconazole</v>
      </c>
      <c r="F1320" s="207" t="str">
        <f>IF(AND(A1320&lt;&gt;"",ISNUMBER(A1320)),VLOOKUP(A1320,Studies!A:BR,6,FALSE),"")</f>
        <v>Plasma</v>
      </c>
      <c r="G1320" s="194">
        <v>100</v>
      </c>
      <c r="H1320" s="194" t="s">
        <v>60</v>
      </c>
      <c r="I1320" s="187">
        <v>359.38137769699097</v>
      </c>
      <c r="J1320" s="187" t="s">
        <v>1026</v>
      </c>
      <c r="K1320" s="187" t="s">
        <v>116</v>
      </c>
      <c r="L1320" s="195"/>
      <c r="M1320" s="195"/>
      <c r="N1320" s="195"/>
      <c r="O1320" s="199"/>
      <c r="P1320" s="188"/>
      <c r="Q1320" s="174">
        <f>IF(ISNUMBER(VLOOKUP(A1320,NotghiID!A:A,1,FALSE)),1,0)</f>
        <v>0</v>
      </c>
    </row>
    <row r="1321" spans="1:17" ht="14.25" x14ac:dyDescent="0.2">
      <c r="A1321" s="183">
        <v>487</v>
      </c>
      <c r="B1321" s="232" t="str">
        <f>IF(AND(A1321&lt;&gt;"",ISNUMBER(A1321)),VLOOKUP(A1321,Studies!A:BR,2,FALSE),"")</f>
        <v>Van Peer 1989</v>
      </c>
      <c r="C1321" s="232" t="str">
        <f>IF(AND(A1321&lt;&gt;"",ISNUMBER(A1321)),VLOOKUP(A1321,Studies!A:BR,3,FALSE),"")</f>
        <v>https://www.ncbi.nlm.nih.gov/pubmed/2544431</v>
      </c>
      <c r="D1321" s="232" t="str">
        <f>IF(AND(A1321&lt;&gt;"",ISNUMBER(A1321)),VLOOKUP(A1321,Studies!A:BR,4,FALSE),"")</f>
        <v>100 mg Capsules, with food, 15 days MD</v>
      </c>
      <c r="E1321" s="206" t="str">
        <f>IF(AND(A1321&lt;&gt;"",ISNUMBER(A1321)),VLOOKUP(A1321,Studies!A:BR,5,FALSE),"")</f>
        <v>Itraconazole</v>
      </c>
      <c r="F1321" s="207" t="str">
        <f>IF(AND(A1321&lt;&gt;"",ISNUMBER(A1321)),VLOOKUP(A1321,Studies!A:BR,6,FALSE),"")</f>
        <v>Plasma</v>
      </c>
      <c r="G1321" s="194">
        <v>168</v>
      </c>
      <c r="H1321" s="194" t="s">
        <v>60</v>
      </c>
      <c r="I1321" s="187">
        <v>131.9381445646286</v>
      </c>
      <c r="J1321" s="187" t="s">
        <v>1026</v>
      </c>
      <c r="K1321" s="187" t="s">
        <v>116</v>
      </c>
      <c r="L1321" s="195"/>
      <c r="M1321" s="195"/>
      <c r="N1321" s="195"/>
      <c r="O1321" s="199"/>
      <c r="P1321" s="188"/>
      <c r="Q1321" s="174">
        <f>IF(ISNUMBER(VLOOKUP(A1321,NotghiID!A:A,1,FALSE)),1,0)</f>
        <v>0</v>
      </c>
    </row>
    <row r="1322" spans="1:17" ht="14.25" x14ac:dyDescent="0.2">
      <c r="A1322" s="183">
        <v>487</v>
      </c>
      <c r="B1322" s="232" t="str">
        <f>IF(AND(A1322&lt;&gt;"",ISNUMBER(A1322)),VLOOKUP(A1322,Studies!A:BR,2,FALSE),"")</f>
        <v>Van Peer 1989</v>
      </c>
      <c r="C1322" s="232" t="str">
        <f>IF(AND(A1322&lt;&gt;"",ISNUMBER(A1322)),VLOOKUP(A1322,Studies!A:BR,3,FALSE),"")</f>
        <v>https://www.ncbi.nlm.nih.gov/pubmed/2544431</v>
      </c>
      <c r="D1322" s="232" t="str">
        <f>IF(AND(A1322&lt;&gt;"",ISNUMBER(A1322)),VLOOKUP(A1322,Studies!A:BR,4,FALSE),"")</f>
        <v>100 mg Capsules, with food, 15 days MD</v>
      </c>
      <c r="E1322" s="206" t="str">
        <f>IF(AND(A1322&lt;&gt;"",ISNUMBER(A1322)),VLOOKUP(A1322,Studies!A:BR,5,FALSE),"")</f>
        <v>Itraconazole</v>
      </c>
      <c r="F1322" s="207" t="str">
        <f>IF(AND(A1322&lt;&gt;"",ISNUMBER(A1322)),VLOOKUP(A1322,Studies!A:BR,6,FALSE),"")</f>
        <v>Plasma</v>
      </c>
      <c r="G1322" s="194">
        <v>216</v>
      </c>
      <c r="H1322" s="194" t="s">
        <v>60</v>
      </c>
      <c r="I1322" s="187">
        <v>174.07675087451935</v>
      </c>
      <c r="J1322" s="187" t="s">
        <v>1026</v>
      </c>
      <c r="K1322" s="187" t="s">
        <v>116</v>
      </c>
      <c r="L1322" s="195"/>
      <c r="M1322" s="195"/>
      <c r="N1322" s="195"/>
      <c r="O1322" s="199"/>
      <c r="P1322" s="188"/>
      <c r="Q1322" s="174">
        <f>IF(ISNUMBER(VLOOKUP(A1322,NotghiID!A:A,1,FALSE)),1,0)</f>
        <v>0</v>
      </c>
    </row>
    <row r="1323" spans="1:17" ht="14.25" x14ac:dyDescent="0.2">
      <c r="A1323" s="183">
        <v>487</v>
      </c>
      <c r="B1323" s="232" t="str">
        <f>IF(AND(A1323&lt;&gt;"",ISNUMBER(A1323)),VLOOKUP(A1323,Studies!A:BR,2,FALSE),"")</f>
        <v>Van Peer 1989</v>
      </c>
      <c r="C1323" s="232" t="str">
        <f>IF(AND(A1323&lt;&gt;"",ISNUMBER(A1323)),VLOOKUP(A1323,Studies!A:BR,3,FALSE),"")</f>
        <v>https://www.ncbi.nlm.nih.gov/pubmed/2544431</v>
      </c>
      <c r="D1323" s="232" t="str">
        <f>IF(AND(A1323&lt;&gt;"",ISNUMBER(A1323)),VLOOKUP(A1323,Studies!A:BR,4,FALSE),"")</f>
        <v>100 mg Capsules, with food, 15 days MD</v>
      </c>
      <c r="E1323" s="206" t="str">
        <f>IF(AND(A1323&lt;&gt;"",ISNUMBER(A1323)),VLOOKUP(A1323,Studies!A:BR,5,FALSE),"")</f>
        <v>Itraconazole</v>
      </c>
      <c r="F1323" s="207" t="str">
        <f>IF(AND(A1323&lt;&gt;"",ISNUMBER(A1323)),VLOOKUP(A1323,Studies!A:BR,6,FALSE),"")</f>
        <v>Plasma</v>
      </c>
      <c r="G1323" s="194">
        <v>220</v>
      </c>
      <c r="H1323" s="194" t="s">
        <v>60</v>
      </c>
      <c r="I1323" s="187">
        <v>430.78368902206421</v>
      </c>
      <c r="J1323" s="187" t="s">
        <v>1026</v>
      </c>
      <c r="K1323" s="187" t="s">
        <v>116</v>
      </c>
      <c r="L1323" s="195"/>
      <c r="M1323" s="195"/>
      <c r="N1323" s="195"/>
      <c r="O1323" s="199"/>
      <c r="P1323" s="188"/>
      <c r="Q1323" s="174">
        <f>IF(ISNUMBER(VLOOKUP(A1323,NotghiID!A:A,1,FALSE)),1,0)</f>
        <v>0</v>
      </c>
    </row>
    <row r="1324" spans="1:17" ht="14.25" x14ac:dyDescent="0.2">
      <c r="A1324" s="183">
        <v>487</v>
      </c>
      <c r="B1324" s="232" t="str">
        <f>IF(AND(A1324&lt;&gt;"",ISNUMBER(A1324)),VLOOKUP(A1324,Studies!A:BR,2,FALSE),"")</f>
        <v>Van Peer 1989</v>
      </c>
      <c r="C1324" s="232" t="str">
        <f>IF(AND(A1324&lt;&gt;"",ISNUMBER(A1324)),VLOOKUP(A1324,Studies!A:BR,3,FALSE),"")</f>
        <v>https://www.ncbi.nlm.nih.gov/pubmed/2544431</v>
      </c>
      <c r="D1324" s="232" t="str">
        <f>IF(AND(A1324&lt;&gt;"",ISNUMBER(A1324)),VLOOKUP(A1324,Studies!A:BR,4,FALSE),"")</f>
        <v>100 mg Capsules, with food, 15 days MD</v>
      </c>
      <c r="E1324" s="206" t="str">
        <f>IF(AND(A1324&lt;&gt;"",ISNUMBER(A1324)),VLOOKUP(A1324,Studies!A:BR,5,FALSE),"")</f>
        <v>Itraconazole</v>
      </c>
      <c r="F1324" s="207" t="str">
        <f>IF(AND(A1324&lt;&gt;"",ISNUMBER(A1324)),VLOOKUP(A1324,Studies!A:BR,6,FALSE),"")</f>
        <v>Plasma</v>
      </c>
      <c r="G1324" s="194">
        <v>240</v>
      </c>
      <c r="H1324" s="194" t="s">
        <v>60</v>
      </c>
      <c r="I1324" s="187">
        <v>175.94236135482788</v>
      </c>
      <c r="J1324" s="187" t="s">
        <v>1026</v>
      </c>
      <c r="K1324" s="187" t="s">
        <v>116</v>
      </c>
      <c r="L1324" s="195"/>
      <c r="M1324" s="195"/>
      <c r="N1324" s="195"/>
      <c r="O1324" s="199"/>
      <c r="P1324" s="188"/>
      <c r="Q1324" s="174">
        <f>IF(ISNUMBER(VLOOKUP(A1324,NotghiID!A:A,1,FALSE)),1,0)</f>
        <v>0</v>
      </c>
    </row>
    <row r="1325" spans="1:17" ht="14.25" x14ac:dyDescent="0.2">
      <c r="A1325" s="183">
        <v>487</v>
      </c>
      <c r="B1325" s="232" t="str">
        <f>IF(AND(A1325&lt;&gt;"",ISNUMBER(A1325)),VLOOKUP(A1325,Studies!A:BR,2,FALSE),"")</f>
        <v>Van Peer 1989</v>
      </c>
      <c r="C1325" s="232" t="str">
        <f>IF(AND(A1325&lt;&gt;"",ISNUMBER(A1325)),VLOOKUP(A1325,Studies!A:BR,3,FALSE),"")</f>
        <v>https://www.ncbi.nlm.nih.gov/pubmed/2544431</v>
      </c>
      <c r="D1325" s="232" t="str">
        <f>IF(AND(A1325&lt;&gt;"",ISNUMBER(A1325)),VLOOKUP(A1325,Studies!A:BR,4,FALSE),"")</f>
        <v>100 mg Capsules, with food, 15 days MD</v>
      </c>
      <c r="E1325" s="206" t="str">
        <f>IF(AND(A1325&lt;&gt;"",ISNUMBER(A1325)),VLOOKUP(A1325,Studies!A:BR,5,FALSE),"")</f>
        <v>Itraconazole</v>
      </c>
      <c r="F1325" s="207" t="str">
        <f>IF(AND(A1325&lt;&gt;"",ISNUMBER(A1325)),VLOOKUP(A1325,Studies!A:BR,6,FALSE),"")</f>
        <v>Plasma</v>
      </c>
      <c r="G1325" s="194">
        <v>244</v>
      </c>
      <c r="H1325" s="194" t="s">
        <v>60</v>
      </c>
      <c r="I1325" s="187">
        <v>459.23733711242676</v>
      </c>
      <c r="J1325" s="187" t="s">
        <v>1026</v>
      </c>
      <c r="K1325" s="187" t="s">
        <v>116</v>
      </c>
      <c r="L1325" s="195"/>
      <c r="M1325" s="195"/>
      <c r="N1325" s="195"/>
      <c r="O1325" s="199"/>
      <c r="P1325" s="188"/>
      <c r="Q1325" s="174">
        <f>IF(ISNUMBER(VLOOKUP(A1325,NotghiID!A:A,1,FALSE)),1,0)</f>
        <v>0</v>
      </c>
    </row>
    <row r="1326" spans="1:17" ht="14.25" x14ac:dyDescent="0.2">
      <c r="A1326" s="183">
        <v>487</v>
      </c>
      <c r="B1326" s="232" t="str">
        <f>IF(AND(A1326&lt;&gt;"",ISNUMBER(A1326)),VLOOKUP(A1326,Studies!A:BR,2,FALSE),"")</f>
        <v>Van Peer 1989</v>
      </c>
      <c r="C1326" s="232" t="str">
        <f>IF(AND(A1326&lt;&gt;"",ISNUMBER(A1326)),VLOOKUP(A1326,Studies!A:BR,3,FALSE),"")</f>
        <v>https://www.ncbi.nlm.nih.gov/pubmed/2544431</v>
      </c>
      <c r="D1326" s="232" t="str">
        <f>IF(AND(A1326&lt;&gt;"",ISNUMBER(A1326)),VLOOKUP(A1326,Studies!A:BR,4,FALSE),"")</f>
        <v>100 mg Capsules, with food, 15 days MD</v>
      </c>
      <c r="E1326" s="206" t="str">
        <f>IF(AND(A1326&lt;&gt;"",ISNUMBER(A1326)),VLOOKUP(A1326,Studies!A:BR,5,FALSE),"")</f>
        <v>Itraconazole</v>
      </c>
      <c r="F1326" s="207" t="str">
        <f>IF(AND(A1326&lt;&gt;"",ISNUMBER(A1326)),VLOOKUP(A1326,Studies!A:BR,6,FALSE),"")</f>
        <v>Plasma</v>
      </c>
      <c r="G1326" s="194">
        <v>264</v>
      </c>
      <c r="H1326" s="194" t="s">
        <v>60</v>
      </c>
      <c r="I1326" s="187">
        <v>175.94236135482788</v>
      </c>
      <c r="J1326" s="187" t="s">
        <v>1026</v>
      </c>
      <c r="K1326" s="187" t="s">
        <v>116</v>
      </c>
      <c r="L1326" s="195"/>
      <c r="M1326" s="195"/>
      <c r="N1326" s="195"/>
      <c r="O1326" s="199"/>
      <c r="P1326" s="188"/>
      <c r="Q1326" s="174">
        <f>IF(ISNUMBER(VLOOKUP(A1326,NotghiID!A:A,1,FALSE)),1,0)</f>
        <v>0</v>
      </c>
    </row>
    <row r="1327" spans="1:17" ht="14.25" x14ac:dyDescent="0.2">
      <c r="A1327" s="183">
        <v>487</v>
      </c>
      <c r="B1327" s="232" t="str">
        <f>IF(AND(A1327&lt;&gt;"",ISNUMBER(A1327)),VLOOKUP(A1327,Studies!A:BR,2,FALSE),"")</f>
        <v>Van Peer 1989</v>
      </c>
      <c r="C1327" s="232" t="str">
        <f>IF(AND(A1327&lt;&gt;"",ISNUMBER(A1327)),VLOOKUP(A1327,Studies!A:BR,3,FALSE),"")</f>
        <v>https://www.ncbi.nlm.nih.gov/pubmed/2544431</v>
      </c>
      <c r="D1327" s="232" t="str">
        <f>IF(AND(A1327&lt;&gt;"",ISNUMBER(A1327)),VLOOKUP(A1327,Studies!A:BR,4,FALSE),"")</f>
        <v>100 mg Capsules, with food, 15 days MD</v>
      </c>
      <c r="E1327" s="206" t="str">
        <f>IF(AND(A1327&lt;&gt;"",ISNUMBER(A1327)),VLOOKUP(A1327,Studies!A:BR,5,FALSE),"")</f>
        <v>Itraconazole</v>
      </c>
      <c r="F1327" s="207" t="str">
        <f>IF(AND(A1327&lt;&gt;"",ISNUMBER(A1327)),VLOOKUP(A1327,Studies!A:BR,6,FALSE),"")</f>
        <v>Plasma</v>
      </c>
      <c r="G1327" s="194">
        <v>268</v>
      </c>
      <c r="H1327" s="194" t="s">
        <v>60</v>
      </c>
      <c r="I1327" s="187">
        <v>454.36781644821167</v>
      </c>
      <c r="J1327" s="187" t="s">
        <v>1026</v>
      </c>
      <c r="K1327" s="187" t="s">
        <v>116</v>
      </c>
      <c r="L1327" s="195"/>
      <c r="M1327" s="195"/>
      <c r="N1327" s="195"/>
      <c r="O1327" s="199"/>
      <c r="P1327" s="188"/>
      <c r="Q1327" s="174">
        <f>IF(ISNUMBER(VLOOKUP(A1327,NotghiID!A:A,1,FALSE)),1,0)</f>
        <v>0</v>
      </c>
    </row>
    <row r="1328" spans="1:17" ht="14.25" x14ac:dyDescent="0.2">
      <c r="A1328" s="183">
        <v>487</v>
      </c>
      <c r="B1328" s="232" t="str">
        <f>IF(AND(A1328&lt;&gt;"",ISNUMBER(A1328)),VLOOKUP(A1328,Studies!A:BR,2,FALSE),"")</f>
        <v>Van Peer 1989</v>
      </c>
      <c r="C1328" s="232" t="str">
        <f>IF(AND(A1328&lt;&gt;"",ISNUMBER(A1328)),VLOOKUP(A1328,Studies!A:BR,3,FALSE),"")</f>
        <v>https://www.ncbi.nlm.nih.gov/pubmed/2544431</v>
      </c>
      <c r="D1328" s="232" t="str">
        <f>IF(AND(A1328&lt;&gt;"",ISNUMBER(A1328)),VLOOKUP(A1328,Studies!A:BR,4,FALSE),"")</f>
        <v>100 mg Capsules, with food, 15 days MD</v>
      </c>
      <c r="E1328" s="206" t="str">
        <f>IF(AND(A1328&lt;&gt;"",ISNUMBER(A1328)),VLOOKUP(A1328,Studies!A:BR,5,FALSE),"")</f>
        <v>Itraconazole</v>
      </c>
      <c r="F1328" s="207" t="str">
        <f>IF(AND(A1328&lt;&gt;"",ISNUMBER(A1328)),VLOOKUP(A1328,Studies!A:BR,6,FALSE),"")</f>
        <v>Plasma</v>
      </c>
      <c r="G1328" s="194">
        <v>336</v>
      </c>
      <c r="H1328" s="194" t="s">
        <v>60</v>
      </c>
      <c r="I1328" s="187">
        <v>202.09507644176483</v>
      </c>
      <c r="J1328" s="187" t="s">
        <v>1026</v>
      </c>
      <c r="K1328" s="187" t="s">
        <v>116</v>
      </c>
      <c r="L1328" s="195"/>
      <c r="M1328" s="195"/>
      <c r="N1328" s="195"/>
      <c r="O1328" s="199"/>
      <c r="P1328" s="188"/>
      <c r="Q1328" s="174">
        <f>IF(ISNUMBER(VLOOKUP(A1328,NotghiID!A:A,1,FALSE)),1,0)</f>
        <v>0</v>
      </c>
    </row>
    <row r="1329" spans="1:17" ht="14.25" x14ac:dyDescent="0.2">
      <c r="A1329" s="183">
        <v>487</v>
      </c>
      <c r="B1329" s="232" t="str">
        <f>IF(AND(A1329&lt;&gt;"",ISNUMBER(A1329)),VLOOKUP(A1329,Studies!A:BR,2,FALSE),"")</f>
        <v>Van Peer 1989</v>
      </c>
      <c r="C1329" s="232" t="str">
        <f>IF(AND(A1329&lt;&gt;"",ISNUMBER(A1329)),VLOOKUP(A1329,Studies!A:BR,3,FALSE),"")</f>
        <v>https://www.ncbi.nlm.nih.gov/pubmed/2544431</v>
      </c>
      <c r="D1329" s="232" t="str">
        <f>IF(AND(A1329&lt;&gt;"",ISNUMBER(A1329)),VLOOKUP(A1329,Studies!A:BR,4,FALSE),"")</f>
        <v>100 mg Capsules, with food, 15 days MD</v>
      </c>
      <c r="E1329" s="206" t="str">
        <f>IF(AND(A1329&lt;&gt;"",ISNUMBER(A1329)),VLOOKUP(A1329,Studies!A:BR,5,FALSE),"")</f>
        <v>Itraconazole</v>
      </c>
      <c r="F1329" s="207" t="str">
        <f>IF(AND(A1329&lt;&gt;"",ISNUMBER(A1329)),VLOOKUP(A1329,Studies!A:BR,6,FALSE),"")</f>
        <v>Plasma</v>
      </c>
      <c r="G1329" s="194">
        <v>337</v>
      </c>
      <c r="H1329" s="194" t="s">
        <v>60</v>
      </c>
      <c r="I1329" s="187">
        <v>296.63488268852234</v>
      </c>
      <c r="J1329" s="187" t="s">
        <v>1026</v>
      </c>
      <c r="K1329" s="187" t="s">
        <v>116</v>
      </c>
      <c r="L1329" s="195"/>
      <c r="M1329" s="195"/>
      <c r="N1329" s="195"/>
      <c r="O1329" s="199"/>
      <c r="P1329" s="188"/>
      <c r="Q1329" s="174">
        <f>IF(ISNUMBER(VLOOKUP(A1329,NotghiID!A:A,1,FALSE)),1,0)</f>
        <v>0</v>
      </c>
    </row>
    <row r="1330" spans="1:17" ht="14.25" x14ac:dyDescent="0.2">
      <c r="A1330" s="183">
        <v>487</v>
      </c>
      <c r="B1330" s="232" t="str">
        <f>IF(AND(A1330&lt;&gt;"",ISNUMBER(A1330)),VLOOKUP(A1330,Studies!A:BR,2,FALSE),"")</f>
        <v>Van Peer 1989</v>
      </c>
      <c r="C1330" s="232" t="str">
        <f>IF(AND(A1330&lt;&gt;"",ISNUMBER(A1330)),VLOOKUP(A1330,Studies!A:BR,3,FALSE),"")</f>
        <v>https://www.ncbi.nlm.nih.gov/pubmed/2544431</v>
      </c>
      <c r="D1330" s="232" t="str">
        <f>IF(AND(A1330&lt;&gt;"",ISNUMBER(A1330)),VLOOKUP(A1330,Studies!A:BR,4,FALSE),"")</f>
        <v>100 mg Capsules, with food, 15 days MD</v>
      </c>
      <c r="E1330" s="206" t="str">
        <f>IF(AND(A1330&lt;&gt;"",ISNUMBER(A1330)),VLOOKUP(A1330,Studies!A:BR,5,FALSE),"")</f>
        <v>Itraconazole</v>
      </c>
      <c r="F1330" s="207" t="str">
        <f>IF(AND(A1330&lt;&gt;"",ISNUMBER(A1330)),VLOOKUP(A1330,Studies!A:BR,6,FALSE),"")</f>
        <v>Plasma</v>
      </c>
      <c r="G1330" s="194">
        <v>338</v>
      </c>
      <c r="H1330" s="194" t="s">
        <v>60</v>
      </c>
      <c r="I1330" s="187">
        <v>430.78368902206421</v>
      </c>
      <c r="J1330" s="187" t="s">
        <v>1026</v>
      </c>
      <c r="K1330" s="187" t="s">
        <v>116</v>
      </c>
      <c r="L1330" s="195"/>
      <c r="M1330" s="195"/>
      <c r="N1330" s="195"/>
      <c r="O1330" s="199"/>
      <c r="P1330" s="188"/>
      <c r="Q1330" s="174">
        <f>IF(ISNUMBER(VLOOKUP(A1330,NotghiID!A:A,1,FALSE)),1,0)</f>
        <v>0</v>
      </c>
    </row>
    <row r="1331" spans="1:17" ht="14.25" x14ac:dyDescent="0.2">
      <c r="A1331" s="183">
        <v>487</v>
      </c>
      <c r="B1331" s="232" t="str">
        <f>IF(AND(A1331&lt;&gt;"",ISNUMBER(A1331)),VLOOKUP(A1331,Studies!A:BR,2,FALSE),"")</f>
        <v>Van Peer 1989</v>
      </c>
      <c r="C1331" s="232" t="str">
        <f>IF(AND(A1331&lt;&gt;"",ISNUMBER(A1331)),VLOOKUP(A1331,Studies!A:BR,3,FALSE),"")</f>
        <v>https://www.ncbi.nlm.nih.gov/pubmed/2544431</v>
      </c>
      <c r="D1331" s="232" t="str">
        <f>IF(AND(A1331&lt;&gt;"",ISNUMBER(A1331)),VLOOKUP(A1331,Studies!A:BR,4,FALSE),"")</f>
        <v>100 mg Capsules, with food, 15 days MD</v>
      </c>
      <c r="E1331" s="206" t="str">
        <f>IF(AND(A1331&lt;&gt;"",ISNUMBER(A1331)),VLOOKUP(A1331,Studies!A:BR,5,FALSE),"")</f>
        <v>Itraconazole</v>
      </c>
      <c r="F1331" s="207" t="str">
        <f>IF(AND(A1331&lt;&gt;"",ISNUMBER(A1331)),VLOOKUP(A1331,Studies!A:BR,6,FALSE),"")</f>
        <v>Plasma</v>
      </c>
      <c r="G1331" s="194">
        <v>339</v>
      </c>
      <c r="H1331" s="194" t="s">
        <v>60</v>
      </c>
      <c r="I1331" s="187">
        <v>444.78303194046021</v>
      </c>
      <c r="J1331" s="187" t="s">
        <v>1026</v>
      </c>
      <c r="K1331" s="187" t="s">
        <v>116</v>
      </c>
      <c r="L1331" s="195"/>
      <c r="M1331" s="195"/>
      <c r="N1331" s="195"/>
      <c r="O1331" s="199"/>
      <c r="P1331" s="188"/>
      <c r="Q1331" s="174">
        <f>IF(ISNUMBER(VLOOKUP(A1331,NotghiID!A:A,1,FALSE)),1,0)</f>
        <v>0</v>
      </c>
    </row>
    <row r="1332" spans="1:17" ht="14.25" x14ac:dyDescent="0.2">
      <c r="A1332" s="183">
        <v>487</v>
      </c>
      <c r="B1332" s="232" t="str">
        <f>IF(AND(A1332&lt;&gt;"",ISNUMBER(A1332)),VLOOKUP(A1332,Studies!A:BR,2,FALSE),"")</f>
        <v>Van Peer 1989</v>
      </c>
      <c r="C1332" s="232" t="str">
        <f>IF(AND(A1332&lt;&gt;"",ISNUMBER(A1332)),VLOOKUP(A1332,Studies!A:BR,3,FALSE),"")</f>
        <v>https://www.ncbi.nlm.nih.gov/pubmed/2544431</v>
      </c>
      <c r="D1332" s="232" t="str">
        <f>IF(AND(A1332&lt;&gt;"",ISNUMBER(A1332)),VLOOKUP(A1332,Studies!A:BR,4,FALSE),"")</f>
        <v>100 mg Capsules, with food, 15 days MD</v>
      </c>
      <c r="E1332" s="206" t="str">
        <f>IF(AND(A1332&lt;&gt;"",ISNUMBER(A1332)),VLOOKUP(A1332,Studies!A:BR,5,FALSE),"")</f>
        <v>Itraconazole</v>
      </c>
      <c r="F1332" s="207" t="str">
        <f>IF(AND(A1332&lt;&gt;"",ISNUMBER(A1332)),VLOOKUP(A1332,Studies!A:BR,6,FALSE),"")</f>
        <v>Plasma</v>
      </c>
      <c r="G1332" s="194">
        <v>340</v>
      </c>
      <c r="H1332" s="194" t="s">
        <v>60</v>
      </c>
      <c r="I1332" s="187">
        <v>435.40048599243164</v>
      </c>
      <c r="J1332" s="187" t="s">
        <v>1026</v>
      </c>
      <c r="K1332" s="187" t="s">
        <v>116</v>
      </c>
      <c r="L1332" s="195"/>
      <c r="M1332" s="195"/>
      <c r="N1332" s="195"/>
      <c r="O1332" s="199"/>
      <c r="P1332" s="188"/>
      <c r="Q1332" s="174">
        <f>IF(ISNUMBER(VLOOKUP(A1332,NotghiID!A:A,1,FALSE)),1,0)</f>
        <v>0</v>
      </c>
    </row>
    <row r="1333" spans="1:17" ht="14.25" x14ac:dyDescent="0.2">
      <c r="A1333" s="183">
        <v>487</v>
      </c>
      <c r="B1333" s="232" t="str">
        <f>IF(AND(A1333&lt;&gt;"",ISNUMBER(A1333)),VLOOKUP(A1333,Studies!A:BR,2,FALSE),"")</f>
        <v>Van Peer 1989</v>
      </c>
      <c r="C1333" s="232" t="str">
        <f>IF(AND(A1333&lt;&gt;"",ISNUMBER(A1333)),VLOOKUP(A1333,Studies!A:BR,3,FALSE),"")</f>
        <v>https://www.ncbi.nlm.nih.gov/pubmed/2544431</v>
      </c>
      <c r="D1333" s="232" t="str">
        <f>IF(AND(A1333&lt;&gt;"",ISNUMBER(A1333)),VLOOKUP(A1333,Studies!A:BR,4,FALSE),"")</f>
        <v>100 mg Capsules, with food, 15 days MD</v>
      </c>
      <c r="E1333" s="206" t="str">
        <f>IF(AND(A1333&lt;&gt;"",ISNUMBER(A1333)),VLOOKUP(A1333,Studies!A:BR,5,FALSE),"")</f>
        <v>Itraconazole</v>
      </c>
      <c r="F1333" s="207" t="str">
        <f>IF(AND(A1333&lt;&gt;"",ISNUMBER(A1333)),VLOOKUP(A1333,Studies!A:BR,6,FALSE),"")</f>
        <v>Plasma</v>
      </c>
      <c r="G1333" s="194">
        <v>342</v>
      </c>
      <c r="H1333" s="194" t="s">
        <v>60</v>
      </c>
      <c r="I1333" s="187">
        <v>408.42393040657043</v>
      </c>
      <c r="J1333" s="187" t="s">
        <v>1026</v>
      </c>
      <c r="K1333" s="187" t="s">
        <v>116</v>
      </c>
      <c r="L1333" s="195"/>
      <c r="M1333" s="195"/>
      <c r="N1333" s="195"/>
      <c r="O1333" s="199"/>
      <c r="P1333" s="188"/>
      <c r="Q1333" s="174">
        <f>IF(ISNUMBER(VLOOKUP(A1333,NotghiID!A:A,1,FALSE)),1,0)</f>
        <v>0</v>
      </c>
    </row>
    <row r="1334" spans="1:17" ht="14.25" x14ac:dyDescent="0.2">
      <c r="A1334" s="183">
        <v>487</v>
      </c>
      <c r="B1334" s="232" t="str">
        <f>IF(AND(A1334&lt;&gt;"",ISNUMBER(A1334)),VLOOKUP(A1334,Studies!A:BR,2,FALSE),"")</f>
        <v>Van Peer 1989</v>
      </c>
      <c r="C1334" s="232" t="str">
        <f>IF(AND(A1334&lt;&gt;"",ISNUMBER(A1334)),VLOOKUP(A1334,Studies!A:BR,3,FALSE),"")</f>
        <v>https://www.ncbi.nlm.nih.gov/pubmed/2544431</v>
      </c>
      <c r="D1334" s="232" t="str">
        <f>IF(AND(A1334&lt;&gt;"",ISNUMBER(A1334)),VLOOKUP(A1334,Studies!A:BR,4,FALSE),"")</f>
        <v>100 mg Capsules, with food, 15 days MD</v>
      </c>
      <c r="E1334" s="206" t="str">
        <f>IF(AND(A1334&lt;&gt;"",ISNUMBER(A1334)),VLOOKUP(A1334,Studies!A:BR,5,FALSE),"")</f>
        <v>Itraconazole</v>
      </c>
      <c r="F1334" s="207" t="str">
        <f>IF(AND(A1334&lt;&gt;"",ISNUMBER(A1334)),VLOOKUP(A1334,Studies!A:BR,6,FALSE),"")</f>
        <v>Plasma</v>
      </c>
      <c r="G1334" s="194">
        <v>344</v>
      </c>
      <c r="H1334" s="194" t="s">
        <v>60</v>
      </c>
      <c r="I1334" s="187">
        <v>379.05639410018921</v>
      </c>
      <c r="J1334" s="187" t="s">
        <v>1026</v>
      </c>
      <c r="K1334" s="187" t="s">
        <v>116</v>
      </c>
      <c r="L1334" s="195"/>
      <c r="M1334" s="195"/>
      <c r="N1334" s="195"/>
      <c r="O1334" s="199"/>
      <c r="P1334" s="188"/>
      <c r="Q1334" s="174">
        <f>IF(ISNUMBER(VLOOKUP(A1334,NotghiID!A:A,1,FALSE)),1,0)</f>
        <v>0</v>
      </c>
    </row>
    <row r="1335" spans="1:17" ht="14.25" x14ac:dyDescent="0.2">
      <c r="A1335" s="183">
        <v>487</v>
      </c>
      <c r="B1335" s="232" t="str">
        <f>IF(AND(A1335&lt;&gt;"",ISNUMBER(A1335)),VLOOKUP(A1335,Studies!A:BR,2,FALSE),"")</f>
        <v>Van Peer 1989</v>
      </c>
      <c r="C1335" s="232" t="str">
        <f>IF(AND(A1335&lt;&gt;"",ISNUMBER(A1335)),VLOOKUP(A1335,Studies!A:BR,3,FALSE),"")</f>
        <v>https://www.ncbi.nlm.nih.gov/pubmed/2544431</v>
      </c>
      <c r="D1335" s="232" t="str">
        <f>IF(AND(A1335&lt;&gt;"",ISNUMBER(A1335)),VLOOKUP(A1335,Studies!A:BR,4,FALSE),"")</f>
        <v>100 mg Capsules, with food, 15 days MD</v>
      </c>
      <c r="E1335" s="206" t="str">
        <f>IF(AND(A1335&lt;&gt;"",ISNUMBER(A1335)),VLOOKUP(A1335,Studies!A:BR,5,FALSE),"")</f>
        <v>Itraconazole</v>
      </c>
      <c r="F1335" s="207" t="str">
        <f>IF(AND(A1335&lt;&gt;"",ISNUMBER(A1335)),VLOOKUP(A1335,Studies!A:BR,6,FALSE),"")</f>
        <v>Plasma</v>
      </c>
      <c r="G1335" s="194">
        <v>360</v>
      </c>
      <c r="H1335" s="194" t="s">
        <v>60</v>
      </c>
      <c r="I1335" s="187">
        <v>215.44350683689117</v>
      </c>
      <c r="J1335" s="187" t="s">
        <v>1026</v>
      </c>
      <c r="K1335" s="187" t="s">
        <v>116</v>
      </c>
      <c r="L1335" s="195"/>
      <c r="M1335" s="195"/>
      <c r="N1335" s="195"/>
      <c r="O1335" s="199"/>
      <c r="P1335" s="188"/>
      <c r="Q1335" s="174">
        <f>IF(ISNUMBER(VLOOKUP(A1335,NotghiID!A:A,1,FALSE)),1,0)</f>
        <v>0</v>
      </c>
    </row>
    <row r="1336" spans="1:17" ht="14.25" x14ac:dyDescent="0.2">
      <c r="A1336" s="183">
        <v>487</v>
      </c>
      <c r="B1336" s="232" t="str">
        <f>IF(AND(A1336&lt;&gt;"",ISNUMBER(A1336)),VLOOKUP(A1336,Studies!A:BR,2,FALSE),"")</f>
        <v>Van Peer 1989</v>
      </c>
      <c r="C1336" s="232" t="str">
        <f>IF(AND(A1336&lt;&gt;"",ISNUMBER(A1336)),VLOOKUP(A1336,Studies!A:BR,3,FALSE),"")</f>
        <v>https://www.ncbi.nlm.nih.gov/pubmed/2544431</v>
      </c>
      <c r="D1336" s="232" t="str">
        <f>IF(AND(A1336&lt;&gt;"",ISNUMBER(A1336)),VLOOKUP(A1336,Studies!A:BR,4,FALSE),"")</f>
        <v>100 mg Capsules, with food, 15 days MD</v>
      </c>
      <c r="E1336" s="206" t="str">
        <f>IF(AND(A1336&lt;&gt;"",ISNUMBER(A1336)),VLOOKUP(A1336,Studies!A:BR,5,FALSE),"")</f>
        <v>Itraconazole</v>
      </c>
      <c r="F1336" s="207" t="str">
        <f>IF(AND(A1336&lt;&gt;"",ISNUMBER(A1336)),VLOOKUP(A1336,Studies!A:BR,6,FALSE),"")</f>
        <v>Plasma</v>
      </c>
      <c r="G1336" s="194">
        <v>368</v>
      </c>
      <c r="H1336" s="194" t="s">
        <v>60</v>
      </c>
      <c r="I1336" s="187">
        <v>158.151775598526</v>
      </c>
      <c r="J1336" s="187" t="s">
        <v>1026</v>
      </c>
      <c r="K1336" s="187" t="s">
        <v>116</v>
      </c>
      <c r="L1336" s="195"/>
      <c r="M1336" s="195"/>
      <c r="N1336" s="195"/>
      <c r="O1336" s="199"/>
      <c r="P1336" s="188"/>
      <c r="Q1336" s="174">
        <f>IF(ISNUMBER(VLOOKUP(A1336,NotghiID!A:A,1,FALSE)),1,0)</f>
        <v>0</v>
      </c>
    </row>
    <row r="1337" spans="1:17" ht="14.25" x14ac:dyDescent="0.2">
      <c r="A1337" s="183">
        <v>487</v>
      </c>
      <c r="B1337" s="232" t="str">
        <f>IF(AND(A1337&lt;&gt;"",ISNUMBER(A1337)),VLOOKUP(A1337,Studies!A:BR,2,FALSE),"")</f>
        <v>Van Peer 1989</v>
      </c>
      <c r="C1337" s="232" t="str">
        <f>IF(AND(A1337&lt;&gt;"",ISNUMBER(A1337)),VLOOKUP(A1337,Studies!A:BR,3,FALSE),"")</f>
        <v>https://www.ncbi.nlm.nih.gov/pubmed/2544431</v>
      </c>
      <c r="D1337" s="232" t="str">
        <f>IF(AND(A1337&lt;&gt;"",ISNUMBER(A1337)),VLOOKUP(A1337,Studies!A:BR,4,FALSE),"")</f>
        <v>100 mg Capsules, with food, 15 days MD</v>
      </c>
      <c r="E1337" s="206" t="str">
        <f>IF(AND(A1337&lt;&gt;"",ISNUMBER(A1337)),VLOOKUP(A1337,Studies!A:BR,5,FALSE),"")</f>
        <v>Itraconazole</v>
      </c>
      <c r="F1337" s="207" t="str">
        <f>IF(AND(A1337&lt;&gt;"",ISNUMBER(A1337)),VLOOKUP(A1337,Studies!A:BR,6,FALSE),"")</f>
        <v>Plasma</v>
      </c>
      <c r="G1337" s="194">
        <v>384</v>
      </c>
      <c r="H1337" s="194" t="s">
        <v>60</v>
      </c>
      <c r="I1337" s="187">
        <v>114.86436426639557</v>
      </c>
      <c r="J1337" s="187" t="s">
        <v>1026</v>
      </c>
      <c r="K1337" s="187" t="s">
        <v>116</v>
      </c>
      <c r="L1337" s="195"/>
      <c r="M1337" s="195"/>
      <c r="N1337" s="195"/>
      <c r="O1337" s="199"/>
      <c r="P1337" s="188"/>
      <c r="Q1337" s="174">
        <f>IF(ISNUMBER(VLOOKUP(A1337,NotghiID!A:A,1,FALSE)),1,0)</f>
        <v>0</v>
      </c>
    </row>
    <row r="1338" spans="1:17" ht="14.25" x14ac:dyDescent="0.2">
      <c r="A1338" s="183">
        <v>487</v>
      </c>
      <c r="B1338" s="232" t="str">
        <f>IF(AND(A1338&lt;&gt;"",ISNUMBER(A1338)),VLOOKUP(A1338,Studies!A:BR,2,FALSE),"")</f>
        <v>Van Peer 1989</v>
      </c>
      <c r="C1338" s="232" t="str">
        <f>IF(AND(A1338&lt;&gt;"",ISNUMBER(A1338)),VLOOKUP(A1338,Studies!A:BR,3,FALSE),"")</f>
        <v>https://www.ncbi.nlm.nih.gov/pubmed/2544431</v>
      </c>
      <c r="D1338" s="232" t="str">
        <f>IF(AND(A1338&lt;&gt;"",ISNUMBER(A1338)),VLOOKUP(A1338,Studies!A:BR,4,FALSE),"")</f>
        <v>100 mg Capsules, with food, 15 days MD</v>
      </c>
      <c r="E1338" s="206" t="str">
        <f>IF(AND(A1338&lt;&gt;"",ISNUMBER(A1338)),VLOOKUP(A1338,Studies!A:BR,5,FALSE),"")</f>
        <v>Itraconazole</v>
      </c>
      <c r="F1338" s="207" t="str">
        <f>IF(AND(A1338&lt;&gt;"",ISNUMBER(A1338)),VLOOKUP(A1338,Studies!A:BR,6,FALSE),"")</f>
        <v>Plasma</v>
      </c>
      <c r="G1338" s="194">
        <v>392</v>
      </c>
      <c r="H1338" s="194" t="s">
        <v>60</v>
      </c>
      <c r="I1338" s="187">
        <v>101.07173025608063</v>
      </c>
      <c r="J1338" s="187" t="s">
        <v>1026</v>
      </c>
      <c r="K1338" s="187" t="s">
        <v>116</v>
      </c>
      <c r="L1338" s="195"/>
      <c r="M1338" s="195"/>
      <c r="N1338" s="195"/>
      <c r="O1338" s="199"/>
      <c r="P1338" s="188"/>
      <c r="Q1338" s="174">
        <f>IF(ISNUMBER(VLOOKUP(A1338,NotghiID!A:A,1,FALSE)),1,0)</f>
        <v>0</v>
      </c>
    </row>
    <row r="1339" spans="1:17" ht="14.25" x14ac:dyDescent="0.2">
      <c r="A1339" s="183">
        <v>487</v>
      </c>
      <c r="B1339" s="232" t="str">
        <f>IF(AND(A1339&lt;&gt;"",ISNUMBER(A1339)),VLOOKUP(A1339,Studies!A:BR,2,FALSE),"")</f>
        <v>Van Peer 1989</v>
      </c>
      <c r="C1339" s="232" t="str">
        <f>IF(AND(A1339&lt;&gt;"",ISNUMBER(A1339)),VLOOKUP(A1339,Studies!A:BR,3,FALSE),"")</f>
        <v>https://www.ncbi.nlm.nih.gov/pubmed/2544431</v>
      </c>
      <c r="D1339" s="232" t="str">
        <f>IF(AND(A1339&lt;&gt;"",ISNUMBER(A1339)),VLOOKUP(A1339,Studies!A:BR,4,FALSE),"")</f>
        <v>100 mg Capsules, with food, 15 days MD</v>
      </c>
      <c r="E1339" s="206" t="str">
        <f>IF(AND(A1339&lt;&gt;"",ISNUMBER(A1339)),VLOOKUP(A1339,Studies!A:BR,5,FALSE),"")</f>
        <v>Itraconazole</v>
      </c>
      <c r="F1339" s="207" t="str">
        <f>IF(AND(A1339&lt;&gt;"",ISNUMBER(A1339)),VLOOKUP(A1339,Studies!A:BR,6,FALSE),"")</f>
        <v>Plasma</v>
      </c>
      <c r="G1339" s="194">
        <v>408</v>
      </c>
      <c r="H1339" s="194" t="s">
        <v>60</v>
      </c>
      <c r="I1339" s="187">
        <v>62.559932470321655</v>
      </c>
      <c r="J1339" s="187" t="s">
        <v>1026</v>
      </c>
      <c r="K1339" s="187" t="s">
        <v>116</v>
      </c>
      <c r="L1339" s="195"/>
      <c r="M1339" s="195"/>
      <c r="N1339" s="195"/>
      <c r="O1339" s="199"/>
      <c r="P1339" s="188"/>
      <c r="Q1339" s="174">
        <f>IF(ISNUMBER(VLOOKUP(A1339,NotghiID!A:A,1,FALSE)),1,0)</f>
        <v>0</v>
      </c>
    </row>
    <row r="1340" spans="1:17" ht="14.25" x14ac:dyDescent="0.2">
      <c r="A1340" s="183">
        <v>487</v>
      </c>
      <c r="B1340" s="232" t="str">
        <f>IF(AND(A1340&lt;&gt;"",ISNUMBER(A1340)),VLOOKUP(A1340,Studies!A:BR,2,FALSE),"")</f>
        <v>Van Peer 1989</v>
      </c>
      <c r="C1340" s="232" t="str">
        <f>IF(AND(A1340&lt;&gt;"",ISNUMBER(A1340)),VLOOKUP(A1340,Studies!A:BR,3,FALSE),"")</f>
        <v>https://www.ncbi.nlm.nih.gov/pubmed/2544431</v>
      </c>
      <c r="D1340" s="232" t="str">
        <f>IF(AND(A1340&lt;&gt;"",ISNUMBER(A1340)),VLOOKUP(A1340,Studies!A:BR,4,FALSE),"")</f>
        <v>100 mg Capsules, with food, 15 days MD</v>
      </c>
      <c r="E1340" s="206" t="str">
        <f>IF(AND(A1340&lt;&gt;"",ISNUMBER(A1340)),VLOOKUP(A1340,Studies!A:BR,5,FALSE),"")</f>
        <v>Itraconazole</v>
      </c>
      <c r="F1340" s="207" t="str">
        <f>IF(AND(A1340&lt;&gt;"",ISNUMBER(A1340)),VLOOKUP(A1340,Studies!A:BR,6,FALSE),"")</f>
        <v>Plasma</v>
      </c>
      <c r="G1340" s="194">
        <v>432</v>
      </c>
      <c r="H1340" s="194" t="s">
        <v>60</v>
      </c>
      <c r="I1340" s="187">
        <v>40.409322828054428</v>
      </c>
      <c r="J1340" s="187" t="s">
        <v>1026</v>
      </c>
      <c r="K1340" s="187" t="s">
        <v>116</v>
      </c>
      <c r="L1340" s="195"/>
      <c r="M1340" s="195"/>
      <c r="N1340" s="195"/>
      <c r="O1340" s="199"/>
      <c r="P1340" s="188"/>
      <c r="Q1340" s="174">
        <f>IF(ISNUMBER(VLOOKUP(A1340,NotghiID!A:A,1,FALSE)),1,0)</f>
        <v>0</v>
      </c>
    </row>
    <row r="1341" spans="1:17" ht="14.25" x14ac:dyDescent="0.2">
      <c r="A1341" s="183">
        <v>490</v>
      </c>
      <c r="B1341" s="232" t="str">
        <f>IF(AND(A1341&lt;&gt;"",ISNUMBER(A1341)),VLOOKUP(A1341,Studies!A:BR,2,FALSE),"")</f>
        <v>Heykants 1989</v>
      </c>
      <c r="C1341" s="232" t="str">
        <f>IF(AND(A1341&lt;&gt;"",ISNUMBER(A1341)),VLOOKUP(A1341,Studies!A:BR,3,FALSE),"")</f>
        <v>https://www.ncbi.nlm.nih.gov/pubmed/2561187</v>
      </c>
      <c r="D1341" s="232" t="str">
        <f>IF(AND(A1341&lt;&gt;"",ISNUMBER(A1341)),VLOOKUP(A1341,Studies!A:BR,4,FALSE),"")</f>
        <v>iv 100 mg SD</v>
      </c>
      <c r="E1341" s="206" t="str">
        <f>IF(AND(A1341&lt;&gt;"",ISNUMBER(A1341)),VLOOKUP(A1341,Studies!A:BR,5,FALSE),"")</f>
        <v>Itraconazole</v>
      </c>
      <c r="F1341" s="207" t="str">
        <f>IF(AND(A1341&lt;&gt;"",ISNUMBER(A1341)),VLOOKUP(A1341,Studies!A:BR,6,FALSE),"")</f>
        <v>Plasma</v>
      </c>
      <c r="G1341" s="194">
        <v>0.5</v>
      </c>
      <c r="H1341" s="194" t="s">
        <v>60</v>
      </c>
      <c r="I1341" s="187">
        <v>441.44472479820251</v>
      </c>
      <c r="J1341" s="187" t="s">
        <v>1026</v>
      </c>
      <c r="K1341" s="187" t="s">
        <v>116</v>
      </c>
      <c r="L1341" s="195"/>
      <c r="M1341" s="195"/>
      <c r="N1341" s="195"/>
      <c r="O1341" s="199"/>
      <c r="P1341" s="188"/>
      <c r="Q1341" s="174">
        <f>IF(ISNUMBER(VLOOKUP(A1341,NotghiID!A:A,1,FALSE)),1,0)</f>
        <v>0</v>
      </c>
    </row>
    <row r="1342" spans="1:17" ht="14.25" x14ac:dyDescent="0.2">
      <c r="A1342" s="183">
        <v>490</v>
      </c>
      <c r="B1342" s="232" t="str">
        <f>IF(AND(A1342&lt;&gt;"",ISNUMBER(A1342)),VLOOKUP(A1342,Studies!A:BR,2,FALSE),"")</f>
        <v>Heykants 1989</v>
      </c>
      <c r="C1342" s="232" t="str">
        <f>IF(AND(A1342&lt;&gt;"",ISNUMBER(A1342)),VLOOKUP(A1342,Studies!A:BR,3,FALSE),"")</f>
        <v>https://www.ncbi.nlm.nih.gov/pubmed/2561187</v>
      </c>
      <c r="D1342" s="232" t="str">
        <f>IF(AND(A1342&lt;&gt;"",ISNUMBER(A1342)),VLOOKUP(A1342,Studies!A:BR,4,FALSE),"")</f>
        <v>iv 100 mg SD</v>
      </c>
      <c r="E1342" s="206" t="str">
        <f>IF(AND(A1342&lt;&gt;"",ISNUMBER(A1342)),VLOOKUP(A1342,Studies!A:BR,5,FALSE),"")</f>
        <v>Itraconazole</v>
      </c>
      <c r="F1342" s="207" t="str">
        <f>IF(AND(A1342&lt;&gt;"",ISNUMBER(A1342)),VLOOKUP(A1342,Studies!A:BR,6,FALSE),"")</f>
        <v>Plasma</v>
      </c>
      <c r="G1342" s="194">
        <v>1</v>
      </c>
      <c r="H1342" s="194" t="s">
        <v>60</v>
      </c>
      <c r="I1342" s="187">
        <v>652.36049890518188</v>
      </c>
      <c r="J1342" s="187" t="s">
        <v>1026</v>
      </c>
      <c r="K1342" s="187" t="s">
        <v>116</v>
      </c>
      <c r="L1342" s="195"/>
      <c r="M1342" s="195"/>
      <c r="N1342" s="195"/>
      <c r="O1342" s="199"/>
      <c r="P1342" s="188"/>
      <c r="Q1342" s="174">
        <f>IF(ISNUMBER(VLOOKUP(A1342,NotghiID!A:A,1,FALSE)),1,0)</f>
        <v>0</v>
      </c>
    </row>
    <row r="1343" spans="1:17" ht="14.25" x14ac:dyDescent="0.2">
      <c r="A1343" s="183">
        <v>490</v>
      </c>
      <c r="B1343" s="232" t="str">
        <f>IF(AND(A1343&lt;&gt;"",ISNUMBER(A1343)),VLOOKUP(A1343,Studies!A:BR,2,FALSE),"")</f>
        <v>Heykants 1989</v>
      </c>
      <c r="C1343" s="232" t="str">
        <f>IF(AND(A1343&lt;&gt;"",ISNUMBER(A1343)),VLOOKUP(A1343,Studies!A:BR,3,FALSE),"")</f>
        <v>https://www.ncbi.nlm.nih.gov/pubmed/2561187</v>
      </c>
      <c r="D1343" s="232" t="str">
        <f>IF(AND(A1343&lt;&gt;"",ISNUMBER(A1343)),VLOOKUP(A1343,Studies!A:BR,4,FALSE),"")</f>
        <v>iv 100 mg SD</v>
      </c>
      <c r="E1343" s="206" t="str">
        <f>IF(AND(A1343&lt;&gt;"",ISNUMBER(A1343)),VLOOKUP(A1343,Studies!A:BR,5,FALSE),"")</f>
        <v>Itraconazole</v>
      </c>
      <c r="F1343" s="207" t="str">
        <f>IF(AND(A1343&lt;&gt;"",ISNUMBER(A1343)),VLOOKUP(A1343,Studies!A:BR,6,FALSE),"")</f>
        <v>Plasma</v>
      </c>
      <c r="G1343" s="194">
        <v>1.5</v>
      </c>
      <c r="H1343" s="194" t="s">
        <v>60</v>
      </c>
      <c r="I1343" s="187">
        <v>430.79990148544312</v>
      </c>
      <c r="J1343" s="187" t="s">
        <v>1026</v>
      </c>
      <c r="K1343" s="187" t="s">
        <v>116</v>
      </c>
      <c r="L1343" s="195"/>
      <c r="M1343" s="195"/>
      <c r="N1343" s="195"/>
      <c r="O1343" s="199"/>
      <c r="P1343" s="188"/>
      <c r="Q1343" s="174">
        <f>IF(ISNUMBER(VLOOKUP(A1343,NotghiID!A:A,1,FALSE)),1,0)</f>
        <v>0</v>
      </c>
    </row>
    <row r="1344" spans="1:17" ht="14.25" x14ac:dyDescent="0.2">
      <c r="A1344" s="183">
        <v>490</v>
      </c>
      <c r="B1344" s="232" t="str">
        <f>IF(AND(A1344&lt;&gt;"",ISNUMBER(A1344)),VLOOKUP(A1344,Studies!A:BR,2,FALSE),"")</f>
        <v>Heykants 1989</v>
      </c>
      <c r="C1344" s="232" t="str">
        <f>IF(AND(A1344&lt;&gt;"",ISNUMBER(A1344)),VLOOKUP(A1344,Studies!A:BR,3,FALSE),"")</f>
        <v>https://www.ncbi.nlm.nih.gov/pubmed/2561187</v>
      </c>
      <c r="D1344" s="232" t="str">
        <f>IF(AND(A1344&lt;&gt;"",ISNUMBER(A1344)),VLOOKUP(A1344,Studies!A:BR,4,FALSE),"")</f>
        <v>iv 100 mg SD</v>
      </c>
      <c r="E1344" s="206" t="str">
        <f>IF(AND(A1344&lt;&gt;"",ISNUMBER(A1344)),VLOOKUP(A1344,Studies!A:BR,5,FALSE),"")</f>
        <v>Itraconazole</v>
      </c>
      <c r="F1344" s="207" t="str">
        <f>IF(AND(A1344&lt;&gt;"",ISNUMBER(A1344)),VLOOKUP(A1344,Studies!A:BR,6,FALSE),"")</f>
        <v>Plasma</v>
      </c>
      <c r="G1344" s="194">
        <v>2</v>
      </c>
      <c r="H1344" s="194" t="s">
        <v>60</v>
      </c>
      <c r="I1344" s="187">
        <v>333.40200781822205</v>
      </c>
      <c r="J1344" s="187" t="s">
        <v>1026</v>
      </c>
      <c r="K1344" s="187" t="s">
        <v>116</v>
      </c>
      <c r="L1344" s="195"/>
      <c r="M1344" s="195"/>
      <c r="N1344" s="195"/>
      <c r="O1344" s="199"/>
      <c r="P1344" s="188"/>
      <c r="Q1344" s="174">
        <f>IF(ISNUMBER(VLOOKUP(A1344,NotghiID!A:A,1,FALSE)),1,0)</f>
        <v>0</v>
      </c>
    </row>
    <row r="1345" spans="1:17" ht="14.25" x14ac:dyDescent="0.2">
      <c r="A1345" s="183">
        <v>490</v>
      </c>
      <c r="B1345" s="232" t="str">
        <f>IF(AND(A1345&lt;&gt;"",ISNUMBER(A1345)),VLOOKUP(A1345,Studies!A:BR,2,FALSE),"")</f>
        <v>Heykants 1989</v>
      </c>
      <c r="C1345" s="232" t="str">
        <f>IF(AND(A1345&lt;&gt;"",ISNUMBER(A1345)),VLOOKUP(A1345,Studies!A:BR,3,FALSE),"")</f>
        <v>https://www.ncbi.nlm.nih.gov/pubmed/2561187</v>
      </c>
      <c r="D1345" s="232" t="str">
        <f>IF(AND(A1345&lt;&gt;"",ISNUMBER(A1345)),VLOOKUP(A1345,Studies!A:BR,4,FALSE),"")</f>
        <v>iv 100 mg SD</v>
      </c>
      <c r="E1345" s="206" t="str">
        <f>IF(AND(A1345&lt;&gt;"",ISNUMBER(A1345)),VLOOKUP(A1345,Studies!A:BR,5,FALSE),"")</f>
        <v>Itraconazole</v>
      </c>
      <c r="F1345" s="207" t="str">
        <f>IF(AND(A1345&lt;&gt;"",ISNUMBER(A1345)),VLOOKUP(A1345,Studies!A:BR,6,FALSE),"")</f>
        <v>Plasma</v>
      </c>
      <c r="G1345" s="194">
        <v>3</v>
      </c>
      <c r="H1345" s="194" t="s">
        <v>60</v>
      </c>
      <c r="I1345" s="187">
        <v>254.89449501037598</v>
      </c>
      <c r="J1345" s="187" t="s">
        <v>1026</v>
      </c>
      <c r="K1345" s="187" t="s">
        <v>116</v>
      </c>
      <c r="L1345" s="195"/>
      <c r="M1345" s="195"/>
      <c r="N1345" s="195"/>
      <c r="O1345" s="199"/>
      <c r="P1345" s="188"/>
      <c r="Q1345" s="174">
        <f>IF(ISNUMBER(VLOOKUP(A1345,NotghiID!A:A,1,FALSE)),1,0)</f>
        <v>0</v>
      </c>
    </row>
    <row r="1346" spans="1:17" ht="14.25" x14ac:dyDescent="0.2">
      <c r="A1346" s="183">
        <v>490</v>
      </c>
      <c r="B1346" s="232" t="str">
        <f>IF(AND(A1346&lt;&gt;"",ISNUMBER(A1346)),VLOOKUP(A1346,Studies!A:BR,2,FALSE),"")</f>
        <v>Heykants 1989</v>
      </c>
      <c r="C1346" s="232" t="str">
        <f>IF(AND(A1346&lt;&gt;"",ISNUMBER(A1346)),VLOOKUP(A1346,Studies!A:BR,3,FALSE),"")</f>
        <v>https://www.ncbi.nlm.nih.gov/pubmed/2561187</v>
      </c>
      <c r="D1346" s="232" t="str">
        <f>IF(AND(A1346&lt;&gt;"",ISNUMBER(A1346)),VLOOKUP(A1346,Studies!A:BR,4,FALSE),"")</f>
        <v>iv 100 mg SD</v>
      </c>
      <c r="E1346" s="206" t="str">
        <f>IF(AND(A1346&lt;&gt;"",ISNUMBER(A1346)),VLOOKUP(A1346,Studies!A:BR,5,FALSE),"")</f>
        <v>Itraconazole</v>
      </c>
      <c r="F1346" s="207" t="str">
        <f>IF(AND(A1346&lt;&gt;"",ISNUMBER(A1346)),VLOOKUP(A1346,Studies!A:BR,6,FALSE),"")</f>
        <v>Plasma</v>
      </c>
      <c r="G1346" s="194">
        <v>4</v>
      </c>
      <c r="H1346" s="194" t="s">
        <v>60</v>
      </c>
      <c r="I1346" s="187">
        <v>187.86749243736267</v>
      </c>
      <c r="J1346" s="187" t="s">
        <v>1026</v>
      </c>
      <c r="K1346" s="187" t="s">
        <v>116</v>
      </c>
      <c r="L1346" s="195"/>
      <c r="M1346" s="195"/>
      <c r="N1346" s="195"/>
      <c r="O1346" s="199"/>
      <c r="P1346" s="188"/>
      <c r="Q1346" s="174">
        <f>IF(ISNUMBER(VLOOKUP(A1346,NotghiID!A:A,1,FALSE)),1,0)</f>
        <v>0</v>
      </c>
    </row>
    <row r="1347" spans="1:17" ht="14.25" x14ac:dyDescent="0.2">
      <c r="A1347" s="183">
        <v>490</v>
      </c>
      <c r="B1347" s="232" t="str">
        <f>IF(AND(A1347&lt;&gt;"",ISNUMBER(A1347)),VLOOKUP(A1347,Studies!A:BR,2,FALSE),"")</f>
        <v>Heykants 1989</v>
      </c>
      <c r="C1347" s="232" t="str">
        <f>IF(AND(A1347&lt;&gt;"",ISNUMBER(A1347)),VLOOKUP(A1347,Studies!A:BR,3,FALSE),"")</f>
        <v>https://www.ncbi.nlm.nih.gov/pubmed/2561187</v>
      </c>
      <c r="D1347" s="232" t="str">
        <f>IF(AND(A1347&lt;&gt;"",ISNUMBER(A1347)),VLOOKUP(A1347,Studies!A:BR,4,FALSE),"")</f>
        <v>iv 100 mg SD</v>
      </c>
      <c r="E1347" s="206" t="str">
        <f>IF(AND(A1347&lt;&gt;"",ISNUMBER(A1347)),VLOOKUP(A1347,Studies!A:BR,5,FALSE),"")</f>
        <v>Itraconazole</v>
      </c>
      <c r="F1347" s="207" t="str">
        <f>IF(AND(A1347&lt;&gt;"",ISNUMBER(A1347)),VLOOKUP(A1347,Studies!A:BR,6,FALSE),"")</f>
        <v>Plasma</v>
      </c>
      <c r="G1347" s="194">
        <v>6</v>
      </c>
      <c r="H1347" s="194" t="s">
        <v>60</v>
      </c>
      <c r="I1347" s="187">
        <v>138.46589624881744</v>
      </c>
      <c r="J1347" s="187" t="s">
        <v>1026</v>
      </c>
      <c r="K1347" s="187" t="s">
        <v>116</v>
      </c>
      <c r="L1347" s="195"/>
      <c r="M1347" s="195"/>
      <c r="N1347" s="195"/>
      <c r="O1347" s="199"/>
      <c r="P1347" s="188"/>
      <c r="Q1347" s="174">
        <f>IF(ISNUMBER(VLOOKUP(A1347,NotghiID!A:A,1,FALSE)),1,0)</f>
        <v>0</v>
      </c>
    </row>
    <row r="1348" spans="1:17" ht="14.25" x14ac:dyDescent="0.2">
      <c r="A1348" s="183">
        <v>490</v>
      </c>
      <c r="B1348" s="232" t="str">
        <f>IF(AND(A1348&lt;&gt;"",ISNUMBER(A1348)),VLOOKUP(A1348,Studies!A:BR,2,FALSE),"")</f>
        <v>Heykants 1989</v>
      </c>
      <c r="C1348" s="232" t="str">
        <f>IF(AND(A1348&lt;&gt;"",ISNUMBER(A1348)),VLOOKUP(A1348,Studies!A:BR,3,FALSE),"")</f>
        <v>https://www.ncbi.nlm.nih.gov/pubmed/2561187</v>
      </c>
      <c r="D1348" s="232" t="str">
        <f>IF(AND(A1348&lt;&gt;"",ISNUMBER(A1348)),VLOOKUP(A1348,Studies!A:BR,4,FALSE),"")</f>
        <v>iv 100 mg SD</v>
      </c>
      <c r="E1348" s="206" t="str">
        <f>IF(AND(A1348&lt;&gt;"",ISNUMBER(A1348)),VLOOKUP(A1348,Studies!A:BR,5,FALSE),"")</f>
        <v>Itraconazole</v>
      </c>
      <c r="F1348" s="207" t="str">
        <f>IF(AND(A1348&lt;&gt;"",ISNUMBER(A1348)),VLOOKUP(A1348,Studies!A:BR,6,FALSE),"")</f>
        <v>Plasma</v>
      </c>
      <c r="G1348" s="194">
        <v>8</v>
      </c>
      <c r="H1348" s="194" t="s">
        <v>60</v>
      </c>
      <c r="I1348" s="187">
        <v>109.80849713087082</v>
      </c>
      <c r="J1348" s="187" t="s">
        <v>1026</v>
      </c>
      <c r="K1348" s="187" t="s">
        <v>116</v>
      </c>
      <c r="L1348" s="195"/>
      <c r="M1348" s="195"/>
      <c r="N1348" s="195"/>
      <c r="O1348" s="199"/>
      <c r="P1348" s="188"/>
      <c r="Q1348" s="174">
        <f>IF(ISNUMBER(VLOOKUP(A1348,NotghiID!A:A,1,FALSE)),1,0)</f>
        <v>0</v>
      </c>
    </row>
    <row r="1349" spans="1:17" ht="14.25" x14ac:dyDescent="0.2">
      <c r="A1349" s="183">
        <v>490</v>
      </c>
      <c r="B1349" s="232" t="str">
        <f>IF(AND(A1349&lt;&gt;"",ISNUMBER(A1349)),VLOOKUP(A1349,Studies!A:BR,2,FALSE),"")</f>
        <v>Heykants 1989</v>
      </c>
      <c r="C1349" s="232" t="str">
        <f>IF(AND(A1349&lt;&gt;"",ISNUMBER(A1349)),VLOOKUP(A1349,Studies!A:BR,3,FALSE),"")</f>
        <v>https://www.ncbi.nlm.nih.gov/pubmed/2561187</v>
      </c>
      <c r="D1349" s="232" t="str">
        <f>IF(AND(A1349&lt;&gt;"",ISNUMBER(A1349)),VLOOKUP(A1349,Studies!A:BR,4,FALSE),"")</f>
        <v>iv 100 mg SD</v>
      </c>
      <c r="E1349" s="206" t="str">
        <f>IF(AND(A1349&lt;&gt;"",ISNUMBER(A1349)),VLOOKUP(A1349,Studies!A:BR,5,FALSE),"")</f>
        <v>Itraconazole</v>
      </c>
      <c r="F1349" s="207" t="str">
        <f>IF(AND(A1349&lt;&gt;"",ISNUMBER(A1349)),VLOOKUP(A1349,Studies!A:BR,6,FALSE),"")</f>
        <v>Plasma</v>
      </c>
      <c r="G1349" s="194">
        <v>24</v>
      </c>
      <c r="H1349" s="194" t="s">
        <v>60</v>
      </c>
      <c r="I1349" s="187">
        <v>42.905088514089584</v>
      </c>
      <c r="J1349" s="187" t="s">
        <v>1026</v>
      </c>
      <c r="K1349" s="187" t="s">
        <v>116</v>
      </c>
      <c r="L1349" s="195"/>
      <c r="M1349" s="195"/>
      <c r="N1349" s="195"/>
      <c r="O1349" s="199"/>
      <c r="P1349" s="188"/>
      <c r="Q1349" s="174">
        <f>IF(ISNUMBER(VLOOKUP(A1349,NotghiID!A:A,1,FALSE)),1,0)</f>
        <v>0</v>
      </c>
    </row>
    <row r="1350" spans="1:17" ht="14.25" x14ac:dyDescent="0.2">
      <c r="A1350" s="183">
        <v>490</v>
      </c>
      <c r="B1350" s="232" t="str">
        <f>IF(AND(A1350&lt;&gt;"",ISNUMBER(A1350)),VLOOKUP(A1350,Studies!A:BR,2,FALSE),"")</f>
        <v>Heykants 1989</v>
      </c>
      <c r="C1350" s="232" t="str">
        <f>IF(AND(A1350&lt;&gt;"",ISNUMBER(A1350)),VLOOKUP(A1350,Studies!A:BR,3,FALSE),"")</f>
        <v>https://www.ncbi.nlm.nih.gov/pubmed/2561187</v>
      </c>
      <c r="D1350" s="232" t="str">
        <f>IF(AND(A1350&lt;&gt;"",ISNUMBER(A1350)),VLOOKUP(A1350,Studies!A:BR,4,FALSE),"")</f>
        <v>iv 100 mg SD</v>
      </c>
      <c r="E1350" s="206" t="str">
        <f>IF(AND(A1350&lt;&gt;"",ISNUMBER(A1350)),VLOOKUP(A1350,Studies!A:BR,5,FALSE),"")</f>
        <v>Itraconazole</v>
      </c>
      <c r="F1350" s="207" t="str">
        <f>IF(AND(A1350&lt;&gt;"",ISNUMBER(A1350)),VLOOKUP(A1350,Studies!A:BR,6,FALSE),"")</f>
        <v>Plasma</v>
      </c>
      <c r="G1350" s="194">
        <v>32</v>
      </c>
      <c r="H1350" s="194" t="s">
        <v>60</v>
      </c>
      <c r="I1350" s="187">
        <v>27.650060132145882</v>
      </c>
      <c r="J1350" s="187" t="s">
        <v>1026</v>
      </c>
      <c r="K1350" s="187" t="s">
        <v>116</v>
      </c>
      <c r="L1350" s="195"/>
      <c r="M1350" s="195"/>
      <c r="N1350" s="195"/>
      <c r="O1350" s="199"/>
      <c r="P1350" s="188"/>
      <c r="Q1350" s="174">
        <f>IF(ISNUMBER(VLOOKUP(A1350,NotghiID!A:A,1,FALSE)),1,0)</f>
        <v>0</v>
      </c>
    </row>
    <row r="1351" spans="1:17" ht="14.25" x14ac:dyDescent="0.2">
      <c r="A1351" s="183">
        <v>490</v>
      </c>
      <c r="B1351" s="232" t="str">
        <f>IF(AND(A1351&lt;&gt;"",ISNUMBER(A1351)),VLOOKUP(A1351,Studies!A:BR,2,FALSE),"")</f>
        <v>Heykants 1989</v>
      </c>
      <c r="C1351" s="232" t="str">
        <f>IF(AND(A1351&lt;&gt;"",ISNUMBER(A1351)),VLOOKUP(A1351,Studies!A:BR,3,FALSE),"")</f>
        <v>https://www.ncbi.nlm.nih.gov/pubmed/2561187</v>
      </c>
      <c r="D1351" s="232" t="str">
        <f>IF(AND(A1351&lt;&gt;"",ISNUMBER(A1351)),VLOOKUP(A1351,Studies!A:BR,4,FALSE),"")</f>
        <v>iv 100 mg SD</v>
      </c>
      <c r="E1351" s="206" t="str">
        <f>IF(AND(A1351&lt;&gt;"",ISNUMBER(A1351)),VLOOKUP(A1351,Studies!A:BR,5,FALSE),"")</f>
        <v>Itraconazole</v>
      </c>
      <c r="F1351" s="207" t="str">
        <f>IF(AND(A1351&lt;&gt;"",ISNUMBER(A1351)),VLOOKUP(A1351,Studies!A:BR,6,FALSE),"")</f>
        <v>Plasma</v>
      </c>
      <c r="G1351" s="194">
        <v>48</v>
      </c>
      <c r="H1351" s="194" t="s">
        <v>60</v>
      </c>
      <c r="I1351" s="187">
        <v>21.139189600944519</v>
      </c>
      <c r="J1351" s="187" t="s">
        <v>1026</v>
      </c>
      <c r="K1351" s="187" t="s">
        <v>116</v>
      </c>
      <c r="L1351" s="195"/>
      <c r="M1351" s="195"/>
      <c r="N1351" s="195"/>
      <c r="O1351" s="199"/>
      <c r="P1351" s="188"/>
      <c r="Q1351" s="174">
        <f>IF(ISNUMBER(VLOOKUP(A1351,NotghiID!A:A,1,FALSE)),1,0)</f>
        <v>0</v>
      </c>
    </row>
    <row r="1352" spans="1:17" ht="14.25" x14ac:dyDescent="0.2">
      <c r="A1352" s="183">
        <v>490</v>
      </c>
      <c r="B1352" s="232" t="str">
        <f>IF(AND(A1352&lt;&gt;"",ISNUMBER(A1352)),VLOOKUP(A1352,Studies!A:BR,2,FALSE),"")</f>
        <v>Heykants 1989</v>
      </c>
      <c r="C1352" s="232" t="str">
        <f>IF(AND(A1352&lt;&gt;"",ISNUMBER(A1352)),VLOOKUP(A1352,Studies!A:BR,3,FALSE),"")</f>
        <v>https://www.ncbi.nlm.nih.gov/pubmed/2561187</v>
      </c>
      <c r="D1352" s="232" t="str">
        <f>IF(AND(A1352&lt;&gt;"",ISNUMBER(A1352)),VLOOKUP(A1352,Studies!A:BR,4,FALSE),"")</f>
        <v>iv 100 mg SD</v>
      </c>
      <c r="E1352" s="206" t="str">
        <f>IF(AND(A1352&lt;&gt;"",ISNUMBER(A1352)),VLOOKUP(A1352,Studies!A:BR,5,FALSE),"")</f>
        <v>Itraconazole</v>
      </c>
      <c r="F1352" s="207" t="str">
        <f>IF(AND(A1352&lt;&gt;"",ISNUMBER(A1352)),VLOOKUP(A1352,Studies!A:BR,6,FALSE),"")</f>
        <v>Plasma</v>
      </c>
      <c r="G1352" s="194">
        <v>56</v>
      </c>
      <c r="H1352" s="194" t="s">
        <v>60</v>
      </c>
      <c r="I1352" s="187">
        <v>17.602851614356041</v>
      </c>
      <c r="J1352" s="187" t="s">
        <v>1026</v>
      </c>
      <c r="K1352" s="187" t="s">
        <v>116</v>
      </c>
      <c r="L1352" s="195"/>
      <c r="M1352" s="195"/>
      <c r="N1352" s="195"/>
      <c r="O1352" s="199"/>
      <c r="P1352" s="188"/>
      <c r="Q1352" s="174">
        <f>IF(ISNUMBER(VLOOKUP(A1352,NotghiID!A:A,1,FALSE)),1,0)</f>
        <v>0</v>
      </c>
    </row>
    <row r="1353" spans="1:17" ht="14.25" x14ac:dyDescent="0.2">
      <c r="A1353" s="183">
        <v>490</v>
      </c>
      <c r="B1353" s="232" t="str">
        <f>IF(AND(A1353&lt;&gt;"",ISNUMBER(A1353)),VLOOKUP(A1353,Studies!A:BR,2,FALSE),"")</f>
        <v>Heykants 1989</v>
      </c>
      <c r="C1353" s="232" t="str">
        <f>IF(AND(A1353&lt;&gt;"",ISNUMBER(A1353)),VLOOKUP(A1353,Studies!A:BR,3,FALSE),"")</f>
        <v>https://www.ncbi.nlm.nih.gov/pubmed/2561187</v>
      </c>
      <c r="D1353" s="232" t="str">
        <f>IF(AND(A1353&lt;&gt;"",ISNUMBER(A1353)),VLOOKUP(A1353,Studies!A:BR,4,FALSE),"")</f>
        <v>iv 100 mg SD</v>
      </c>
      <c r="E1353" s="206" t="str">
        <f>IF(AND(A1353&lt;&gt;"",ISNUMBER(A1353)),VLOOKUP(A1353,Studies!A:BR,5,FALSE),"")</f>
        <v>Itraconazole</v>
      </c>
      <c r="F1353" s="207" t="str">
        <f>IF(AND(A1353&lt;&gt;"",ISNUMBER(A1353)),VLOOKUP(A1353,Studies!A:BR,6,FALSE),"")</f>
        <v>Plasma</v>
      </c>
      <c r="G1353" s="194">
        <v>72</v>
      </c>
      <c r="H1353" s="194" t="s">
        <v>60</v>
      </c>
      <c r="I1353" s="187">
        <v>10.415210388600826</v>
      </c>
      <c r="J1353" s="187" t="s">
        <v>1026</v>
      </c>
      <c r="K1353" s="187" t="s">
        <v>116</v>
      </c>
      <c r="L1353" s="195"/>
      <c r="M1353" s="195"/>
      <c r="N1353" s="195"/>
      <c r="O1353" s="199"/>
      <c r="P1353" s="188"/>
      <c r="Q1353" s="174">
        <f>IF(ISNUMBER(VLOOKUP(A1353,NotghiID!A:A,1,FALSE)),1,0)</f>
        <v>0</v>
      </c>
    </row>
    <row r="1354" spans="1:17" ht="14.25" x14ac:dyDescent="0.2">
      <c r="A1354" s="183">
        <v>490</v>
      </c>
      <c r="B1354" s="232" t="str">
        <f>IF(AND(A1354&lt;&gt;"",ISNUMBER(A1354)),VLOOKUP(A1354,Studies!A:BR,2,FALSE),"")</f>
        <v>Heykants 1989</v>
      </c>
      <c r="C1354" s="232" t="str">
        <f>IF(AND(A1354&lt;&gt;"",ISNUMBER(A1354)),VLOOKUP(A1354,Studies!A:BR,3,FALSE),"")</f>
        <v>https://www.ncbi.nlm.nih.gov/pubmed/2561187</v>
      </c>
      <c r="D1354" s="232" t="str">
        <f>IF(AND(A1354&lt;&gt;"",ISNUMBER(A1354)),VLOOKUP(A1354,Studies!A:BR,4,FALSE),"")</f>
        <v>iv 100 mg SD</v>
      </c>
      <c r="E1354" s="206" t="str">
        <f>IF(AND(A1354&lt;&gt;"",ISNUMBER(A1354)),VLOOKUP(A1354,Studies!A:BR,5,FALSE),"")</f>
        <v>Itraconazole</v>
      </c>
      <c r="F1354" s="207" t="str">
        <f>IF(AND(A1354&lt;&gt;"",ISNUMBER(A1354)),VLOOKUP(A1354,Studies!A:BR,6,FALSE),"")</f>
        <v>Plasma</v>
      </c>
      <c r="G1354" s="194">
        <v>96</v>
      </c>
      <c r="H1354" s="194" t="s">
        <v>60</v>
      </c>
      <c r="I1354" s="187">
        <v>6.2381098978221416</v>
      </c>
      <c r="J1354" s="187" t="s">
        <v>1026</v>
      </c>
      <c r="K1354" s="187" t="s">
        <v>116</v>
      </c>
      <c r="L1354" s="195"/>
      <c r="M1354" s="195"/>
      <c r="N1354" s="195"/>
      <c r="O1354" s="199"/>
      <c r="P1354" s="188"/>
      <c r="Q1354" s="174">
        <f>IF(ISNUMBER(VLOOKUP(A1354,NotghiID!A:A,1,FALSE)),1,0)</f>
        <v>0</v>
      </c>
    </row>
    <row r="1355" spans="1:17" ht="14.25" x14ac:dyDescent="0.2">
      <c r="A1355" s="183">
        <v>491</v>
      </c>
      <c r="B1355" s="232" t="str">
        <f>IF(AND(A1355&lt;&gt;"",ISNUMBER(A1355)),VLOOKUP(A1355,Studies!A:BR,2,FALSE),"")</f>
        <v>Heykants 1989</v>
      </c>
      <c r="C1355" s="232" t="str">
        <f>IF(AND(A1355&lt;&gt;"",ISNUMBER(A1355)),VLOOKUP(A1355,Studies!A:BR,3,FALSE),"")</f>
        <v>https://www.ncbi.nlm.nih.gov/pubmed/2561187</v>
      </c>
      <c r="D1355" s="232" t="str">
        <f>IF(AND(A1355&lt;&gt;"",ISNUMBER(A1355)),VLOOKUP(A1355,Studies!A:BR,4,FALSE),"")</f>
        <v>po 100 mg SD fed</v>
      </c>
      <c r="E1355" s="206" t="str">
        <f>IF(AND(A1355&lt;&gt;"",ISNUMBER(A1355)),VLOOKUP(A1355,Studies!A:BR,5,FALSE),"")</f>
        <v>Itraconazole</v>
      </c>
      <c r="F1355" s="207" t="str">
        <f>IF(AND(A1355&lt;&gt;"",ISNUMBER(A1355)),VLOOKUP(A1355,Studies!A:BR,6,FALSE),"")</f>
        <v>Plasma</v>
      </c>
      <c r="G1355" s="194">
        <v>1</v>
      </c>
      <c r="H1355" s="194" t="s">
        <v>60</v>
      </c>
      <c r="I1355" s="187">
        <v>37.185218811035156</v>
      </c>
      <c r="J1355" s="187" t="s">
        <v>1026</v>
      </c>
      <c r="K1355" s="187" t="s">
        <v>116</v>
      </c>
      <c r="L1355" s="195"/>
      <c r="M1355" s="195"/>
      <c r="N1355" s="195"/>
      <c r="O1355" s="199"/>
      <c r="P1355" s="188"/>
      <c r="Q1355" s="174">
        <f>IF(ISNUMBER(VLOOKUP(A1355,NotghiID!A:A,1,FALSE)),1,0)</f>
        <v>0</v>
      </c>
    </row>
    <row r="1356" spans="1:17" ht="14.25" x14ac:dyDescent="0.2">
      <c r="A1356" s="183">
        <v>491</v>
      </c>
      <c r="B1356" s="232" t="str">
        <f>IF(AND(A1356&lt;&gt;"",ISNUMBER(A1356)),VLOOKUP(A1356,Studies!A:BR,2,FALSE),"")</f>
        <v>Heykants 1989</v>
      </c>
      <c r="C1356" s="232" t="str">
        <f>IF(AND(A1356&lt;&gt;"",ISNUMBER(A1356)),VLOOKUP(A1356,Studies!A:BR,3,FALSE),"")</f>
        <v>https://www.ncbi.nlm.nih.gov/pubmed/2561187</v>
      </c>
      <c r="D1356" s="232" t="str">
        <f>IF(AND(A1356&lt;&gt;"",ISNUMBER(A1356)),VLOOKUP(A1356,Studies!A:BR,4,FALSE),"")</f>
        <v>po 100 mg SD fed</v>
      </c>
      <c r="E1356" s="206" t="str">
        <f>IF(AND(A1356&lt;&gt;"",ISNUMBER(A1356)),VLOOKUP(A1356,Studies!A:BR,5,FALSE),"")</f>
        <v>Itraconazole</v>
      </c>
      <c r="F1356" s="207" t="str">
        <f>IF(AND(A1356&lt;&gt;"",ISNUMBER(A1356)),VLOOKUP(A1356,Studies!A:BR,6,FALSE),"")</f>
        <v>Plasma</v>
      </c>
      <c r="G1356" s="194">
        <v>2</v>
      </c>
      <c r="H1356" s="194" t="s">
        <v>60</v>
      </c>
      <c r="I1356" s="187">
        <v>81.49127197265625</v>
      </c>
      <c r="J1356" s="187" t="s">
        <v>1026</v>
      </c>
      <c r="K1356" s="187" t="s">
        <v>116</v>
      </c>
      <c r="L1356" s="195"/>
      <c r="M1356" s="195"/>
      <c r="N1356" s="195"/>
      <c r="O1356" s="199"/>
      <c r="P1356" s="188"/>
      <c r="Q1356" s="174">
        <f>IF(ISNUMBER(VLOOKUP(A1356,NotghiID!A:A,1,FALSE)),1,0)</f>
        <v>0</v>
      </c>
    </row>
    <row r="1357" spans="1:17" ht="14.25" x14ac:dyDescent="0.2">
      <c r="A1357" s="183">
        <v>491</v>
      </c>
      <c r="B1357" s="232" t="str">
        <f>IF(AND(A1357&lt;&gt;"",ISNUMBER(A1357)),VLOOKUP(A1357,Studies!A:BR,2,FALSE),"")</f>
        <v>Heykants 1989</v>
      </c>
      <c r="C1357" s="232" t="str">
        <f>IF(AND(A1357&lt;&gt;"",ISNUMBER(A1357)),VLOOKUP(A1357,Studies!A:BR,3,FALSE),"")</f>
        <v>https://www.ncbi.nlm.nih.gov/pubmed/2561187</v>
      </c>
      <c r="D1357" s="232" t="str">
        <f>IF(AND(A1357&lt;&gt;"",ISNUMBER(A1357)),VLOOKUP(A1357,Studies!A:BR,4,FALSE),"")</f>
        <v>po 100 mg SD fed</v>
      </c>
      <c r="E1357" s="206" t="str">
        <f>IF(AND(A1357&lt;&gt;"",ISNUMBER(A1357)),VLOOKUP(A1357,Studies!A:BR,5,FALSE),"")</f>
        <v>Itraconazole</v>
      </c>
      <c r="F1357" s="207" t="str">
        <f>IF(AND(A1357&lt;&gt;"",ISNUMBER(A1357)),VLOOKUP(A1357,Studies!A:BR,6,FALSE),"")</f>
        <v>Plasma</v>
      </c>
      <c r="G1357" s="194">
        <v>3</v>
      </c>
      <c r="H1357" s="194" t="s">
        <v>60</v>
      </c>
      <c r="I1357" s="187">
        <v>100</v>
      </c>
      <c r="J1357" s="187" t="s">
        <v>1026</v>
      </c>
      <c r="K1357" s="187" t="s">
        <v>116</v>
      </c>
      <c r="L1357" s="195"/>
      <c r="M1357" s="195"/>
      <c r="N1357" s="195"/>
      <c r="O1357" s="199"/>
      <c r="P1357" s="188"/>
      <c r="Q1357" s="174">
        <f>IF(ISNUMBER(VLOOKUP(A1357,NotghiID!A:A,1,FALSE)),1,0)</f>
        <v>0</v>
      </c>
    </row>
    <row r="1358" spans="1:17" ht="14.25" x14ac:dyDescent="0.2">
      <c r="A1358" s="183">
        <v>491</v>
      </c>
      <c r="B1358" s="232" t="str">
        <f>IF(AND(A1358&lt;&gt;"",ISNUMBER(A1358)),VLOOKUP(A1358,Studies!A:BR,2,FALSE),"")</f>
        <v>Heykants 1989</v>
      </c>
      <c r="C1358" s="232" t="str">
        <f>IF(AND(A1358&lt;&gt;"",ISNUMBER(A1358)),VLOOKUP(A1358,Studies!A:BR,3,FALSE),"")</f>
        <v>https://www.ncbi.nlm.nih.gov/pubmed/2561187</v>
      </c>
      <c r="D1358" s="232" t="str">
        <f>IF(AND(A1358&lt;&gt;"",ISNUMBER(A1358)),VLOOKUP(A1358,Studies!A:BR,4,FALSE),"")</f>
        <v>po 100 mg SD fed</v>
      </c>
      <c r="E1358" s="206" t="str">
        <f>IF(AND(A1358&lt;&gt;"",ISNUMBER(A1358)),VLOOKUP(A1358,Studies!A:BR,5,FALSE),"")</f>
        <v>Itraconazole</v>
      </c>
      <c r="F1358" s="207" t="str">
        <f>IF(AND(A1358&lt;&gt;"",ISNUMBER(A1358)),VLOOKUP(A1358,Studies!A:BR,6,FALSE),"")</f>
        <v>Plasma</v>
      </c>
      <c r="G1358" s="194">
        <v>4</v>
      </c>
      <c r="H1358" s="194" t="s">
        <v>60</v>
      </c>
      <c r="I1358" s="187">
        <v>110.77570343017578</v>
      </c>
      <c r="J1358" s="187" t="s">
        <v>1026</v>
      </c>
      <c r="K1358" s="187" t="s">
        <v>116</v>
      </c>
      <c r="L1358" s="195"/>
      <c r="M1358" s="195"/>
      <c r="N1358" s="195"/>
      <c r="O1358" s="199"/>
      <c r="P1358" s="188"/>
      <c r="Q1358" s="174">
        <f>IF(ISNUMBER(VLOOKUP(A1358,NotghiID!A:A,1,FALSE)),1,0)</f>
        <v>0</v>
      </c>
    </row>
    <row r="1359" spans="1:17" ht="14.25" x14ac:dyDescent="0.2">
      <c r="A1359" s="183">
        <v>491</v>
      </c>
      <c r="B1359" s="232" t="str">
        <f>IF(AND(A1359&lt;&gt;"",ISNUMBER(A1359)),VLOOKUP(A1359,Studies!A:BR,2,FALSE),"")</f>
        <v>Heykants 1989</v>
      </c>
      <c r="C1359" s="232" t="str">
        <f>IF(AND(A1359&lt;&gt;"",ISNUMBER(A1359)),VLOOKUP(A1359,Studies!A:BR,3,FALSE),"")</f>
        <v>https://www.ncbi.nlm.nih.gov/pubmed/2561187</v>
      </c>
      <c r="D1359" s="232" t="str">
        <f>IF(AND(A1359&lt;&gt;"",ISNUMBER(A1359)),VLOOKUP(A1359,Studies!A:BR,4,FALSE),"")</f>
        <v>po 100 mg SD fed</v>
      </c>
      <c r="E1359" s="206" t="str">
        <f>IF(AND(A1359&lt;&gt;"",ISNUMBER(A1359)),VLOOKUP(A1359,Studies!A:BR,5,FALSE),"")</f>
        <v>Itraconazole</v>
      </c>
      <c r="F1359" s="207" t="str">
        <f>IF(AND(A1359&lt;&gt;"",ISNUMBER(A1359)),VLOOKUP(A1359,Studies!A:BR,6,FALSE),"")</f>
        <v>Plasma</v>
      </c>
      <c r="G1359" s="194">
        <v>6</v>
      </c>
      <c r="H1359" s="194" t="s">
        <v>60</v>
      </c>
      <c r="I1359" s="187">
        <v>112.68129730224609</v>
      </c>
      <c r="J1359" s="187" t="s">
        <v>1026</v>
      </c>
      <c r="K1359" s="187" t="s">
        <v>116</v>
      </c>
      <c r="L1359" s="195"/>
      <c r="M1359" s="195"/>
      <c r="N1359" s="195"/>
      <c r="O1359" s="199"/>
      <c r="P1359" s="188"/>
      <c r="Q1359" s="174">
        <f>IF(ISNUMBER(VLOOKUP(A1359,NotghiID!A:A,1,FALSE)),1,0)</f>
        <v>0</v>
      </c>
    </row>
    <row r="1360" spans="1:17" ht="14.25" x14ac:dyDescent="0.2">
      <c r="A1360" s="183">
        <v>491</v>
      </c>
      <c r="B1360" s="232" t="str">
        <f>IF(AND(A1360&lt;&gt;"",ISNUMBER(A1360)),VLOOKUP(A1360,Studies!A:BR,2,FALSE),"")</f>
        <v>Heykants 1989</v>
      </c>
      <c r="C1360" s="232" t="str">
        <f>IF(AND(A1360&lt;&gt;"",ISNUMBER(A1360)),VLOOKUP(A1360,Studies!A:BR,3,FALSE),"")</f>
        <v>https://www.ncbi.nlm.nih.gov/pubmed/2561187</v>
      </c>
      <c r="D1360" s="232" t="str">
        <f>IF(AND(A1360&lt;&gt;"",ISNUMBER(A1360)),VLOOKUP(A1360,Studies!A:BR,4,FALSE),"")</f>
        <v>po 100 mg SD fed</v>
      </c>
      <c r="E1360" s="206" t="str">
        <f>IF(AND(A1360&lt;&gt;"",ISNUMBER(A1360)),VLOOKUP(A1360,Studies!A:BR,5,FALSE),"")</f>
        <v>Itraconazole</v>
      </c>
      <c r="F1360" s="207" t="str">
        <f>IF(AND(A1360&lt;&gt;"",ISNUMBER(A1360)),VLOOKUP(A1360,Studies!A:BR,6,FALSE),"")</f>
        <v>Plasma</v>
      </c>
      <c r="G1360" s="194">
        <v>8</v>
      </c>
      <c r="H1360" s="194" t="s">
        <v>60</v>
      </c>
      <c r="I1360" s="187">
        <v>91.825424194335938</v>
      </c>
      <c r="J1360" s="187" t="s">
        <v>1026</v>
      </c>
      <c r="K1360" s="187" t="s">
        <v>116</v>
      </c>
      <c r="L1360" s="195"/>
      <c r="M1360" s="195"/>
      <c r="N1360" s="195"/>
      <c r="O1360" s="199"/>
      <c r="P1360" s="188"/>
      <c r="Q1360" s="174">
        <f>IF(ISNUMBER(VLOOKUP(A1360,NotghiID!A:A,1,FALSE)),1,0)</f>
        <v>0</v>
      </c>
    </row>
    <row r="1361" spans="1:17" ht="14.25" x14ac:dyDescent="0.2">
      <c r="A1361" s="183">
        <v>491</v>
      </c>
      <c r="B1361" s="232" t="str">
        <f>IF(AND(A1361&lt;&gt;"",ISNUMBER(A1361)),VLOOKUP(A1361,Studies!A:BR,2,FALSE),"")</f>
        <v>Heykants 1989</v>
      </c>
      <c r="C1361" s="232" t="str">
        <f>IF(AND(A1361&lt;&gt;"",ISNUMBER(A1361)),VLOOKUP(A1361,Studies!A:BR,3,FALSE),"")</f>
        <v>https://www.ncbi.nlm.nih.gov/pubmed/2561187</v>
      </c>
      <c r="D1361" s="232" t="str">
        <f>IF(AND(A1361&lt;&gt;"",ISNUMBER(A1361)),VLOOKUP(A1361,Studies!A:BR,4,FALSE),"")</f>
        <v>po 100 mg SD fed</v>
      </c>
      <c r="E1361" s="206" t="str">
        <f>IF(AND(A1361&lt;&gt;"",ISNUMBER(A1361)),VLOOKUP(A1361,Studies!A:BR,5,FALSE),"")</f>
        <v>Itraconazole</v>
      </c>
      <c r="F1361" s="207" t="str">
        <f>IF(AND(A1361&lt;&gt;"",ISNUMBER(A1361)),VLOOKUP(A1361,Studies!A:BR,6,FALSE),"")</f>
        <v>Plasma</v>
      </c>
      <c r="G1361" s="194">
        <v>24</v>
      </c>
      <c r="H1361" s="194" t="s">
        <v>60</v>
      </c>
      <c r="I1361" s="187">
        <v>25.118860244750977</v>
      </c>
      <c r="J1361" s="187" t="s">
        <v>1026</v>
      </c>
      <c r="K1361" s="187" t="s">
        <v>116</v>
      </c>
      <c r="L1361" s="195"/>
      <c r="M1361" s="195"/>
      <c r="N1361" s="195"/>
      <c r="O1361" s="199"/>
      <c r="P1361" s="188"/>
      <c r="Q1361" s="174">
        <f>IF(ISNUMBER(VLOOKUP(A1361,NotghiID!A:A,1,FALSE)),1,0)</f>
        <v>0</v>
      </c>
    </row>
    <row r="1362" spans="1:17" ht="14.25" x14ac:dyDescent="0.2">
      <c r="A1362" s="183">
        <v>491</v>
      </c>
      <c r="B1362" s="232" t="str">
        <f>IF(AND(A1362&lt;&gt;"",ISNUMBER(A1362)),VLOOKUP(A1362,Studies!A:BR,2,FALSE),"")</f>
        <v>Heykants 1989</v>
      </c>
      <c r="C1362" s="232" t="str">
        <f>IF(AND(A1362&lt;&gt;"",ISNUMBER(A1362)),VLOOKUP(A1362,Studies!A:BR,3,FALSE),"")</f>
        <v>https://www.ncbi.nlm.nih.gov/pubmed/2561187</v>
      </c>
      <c r="D1362" s="232" t="str">
        <f>IF(AND(A1362&lt;&gt;"",ISNUMBER(A1362)),VLOOKUP(A1362,Studies!A:BR,4,FALSE),"")</f>
        <v>po 100 mg SD fed</v>
      </c>
      <c r="E1362" s="206" t="str">
        <f>IF(AND(A1362&lt;&gt;"",ISNUMBER(A1362)),VLOOKUP(A1362,Studies!A:BR,5,FALSE),"")</f>
        <v>Itraconazole</v>
      </c>
      <c r="F1362" s="207" t="str">
        <f>IF(AND(A1362&lt;&gt;"",ISNUMBER(A1362)),VLOOKUP(A1362,Studies!A:BR,6,FALSE),"")</f>
        <v>Plasma</v>
      </c>
      <c r="G1362" s="194">
        <v>32</v>
      </c>
      <c r="H1362" s="194" t="s">
        <v>60</v>
      </c>
      <c r="I1362" s="187">
        <v>16.681011199951172</v>
      </c>
      <c r="J1362" s="187" t="s">
        <v>1026</v>
      </c>
      <c r="K1362" s="187" t="s">
        <v>116</v>
      </c>
      <c r="L1362" s="195"/>
      <c r="M1362" s="195"/>
      <c r="N1362" s="195"/>
      <c r="O1362" s="199"/>
      <c r="P1362" s="188"/>
      <c r="Q1362" s="174">
        <f>IF(ISNUMBER(VLOOKUP(A1362,NotghiID!A:A,1,FALSE)),1,0)</f>
        <v>0</v>
      </c>
    </row>
    <row r="1363" spans="1:17" ht="14.25" x14ac:dyDescent="0.2">
      <c r="A1363" s="183">
        <v>491</v>
      </c>
      <c r="B1363" s="232" t="str">
        <f>IF(AND(A1363&lt;&gt;"",ISNUMBER(A1363)),VLOOKUP(A1363,Studies!A:BR,2,FALSE),"")</f>
        <v>Heykants 1989</v>
      </c>
      <c r="C1363" s="232" t="str">
        <f>IF(AND(A1363&lt;&gt;"",ISNUMBER(A1363)),VLOOKUP(A1363,Studies!A:BR,3,FALSE),"")</f>
        <v>https://www.ncbi.nlm.nih.gov/pubmed/2561187</v>
      </c>
      <c r="D1363" s="232" t="str">
        <f>IF(AND(A1363&lt;&gt;"",ISNUMBER(A1363)),VLOOKUP(A1363,Studies!A:BR,4,FALSE),"")</f>
        <v>po 100 mg SD fed</v>
      </c>
      <c r="E1363" s="206" t="str">
        <f>IF(AND(A1363&lt;&gt;"",ISNUMBER(A1363)),VLOOKUP(A1363,Studies!A:BR,5,FALSE),"")</f>
        <v>Itraconazole</v>
      </c>
      <c r="F1363" s="207" t="str">
        <f>IF(AND(A1363&lt;&gt;"",ISNUMBER(A1363)),VLOOKUP(A1363,Studies!A:BR,6,FALSE),"")</f>
        <v>Plasma</v>
      </c>
      <c r="G1363" s="194">
        <v>48</v>
      </c>
      <c r="H1363" s="194" t="s">
        <v>60</v>
      </c>
      <c r="I1363" s="187">
        <v>9.5011844635009766</v>
      </c>
      <c r="J1363" s="187" t="s">
        <v>1026</v>
      </c>
      <c r="K1363" s="187" t="s">
        <v>116</v>
      </c>
      <c r="L1363" s="195"/>
      <c r="M1363" s="195"/>
      <c r="N1363" s="195"/>
      <c r="O1363" s="199"/>
      <c r="P1363" s="188"/>
      <c r="Q1363" s="174">
        <f>IF(ISNUMBER(VLOOKUP(A1363,NotghiID!A:A,1,FALSE)),1,0)</f>
        <v>0</v>
      </c>
    </row>
    <row r="1364" spans="1:17" ht="14.25" x14ac:dyDescent="0.2">
      <c r="A1364" s="183">
        <v>491</v>
      </c>
      <c r="B1364" s="232" t="str">
        <f>IF(AND(A1364&lt;&gt;"",ISNUMBER(A1364)),VLOOKUP(A1364,Studies!A:BR,2,FALSE),"")</f>
        <v>Heykants 1989</v>
      </c>
      <c r="C1364" s="232" t="str">
        <f>IF(AND(A1364&lt;&gt;"",ISNUMBER(A1364)),VLOOKUP(A1364,Studies!A:BR,3,FALSE),"")</f>
        <v>https://www.ncbi.nlm.nih.gov/pubmed/2561187</v>
      </c>
      <c r="D1364" s="232" t="str">
        <f>IF(AND(A1364&lt;&gt;"",ISNUMBER(A1364)),VLOOKUP(A1364,Studies!A:BR,4,FALSE),"")</f>
        <v>po 100 mg SD fed</v>
      </c>
      <c r="E1364" s="206" t="str">
        <f>IF(AND(A1364&lt;&gt;"",ISNUMBER(A1364)),VLOOKUP(A1364,Studies!A:BR,5,FALSE),"")</f>
        <v>Itraconazole</v>
      </c>
      <c r="F1364" s="207" t="str">
        <f>IF(AND(A1364&lt;&gt;"",ISNUMBER(A1364)),VLOOKUP(A1364,Studies!A:BR,6,FALSE),"")</f>
        <v>Plasma</v>
      </c>
      <c r="G1364" s="194">
        <v>56</v>
      </c>
      <c r="H1364" s="194" t="s">
        <v>60</v>
      </c>
      <c r="I1364" s="187">
        <v>8.1491270065307617</v>
      </c>
      <c r="J1364" s="187" t="s">
        <v>1026</v>
      </c>
      <c r="K1364" s="187" t="s">
        <v>116</v>
      </c>
      <c r="L1364" s="195"/>
      <c r="M1364" s="195"/>
      <c r="N1364" s="195"/>
      <c r="O1364" s="199"/>
      <c r="P1364" s="188"/>
      <c r="Q1364" s="174">
        <f>IF(ISNUMBER(VLOOKUP(A1364,NotghiID!A:A,1,FALSE)),1,0)</f>
        <v>0</v>
      </c>
    </row>
    <row r="1365" spans="1:17" ht="14.25" x14ac:dyDescent="0.2">
      <c r="A1365" s="183">
        <v>491</v>
      </c>
      <c r="B1365" s="232" t="str">
        <f>IF(AND(A1365&lt;&gt;"",ISNUMBER(A1365)),VLOOKUP(A1365,Studies!A:BR,2,FALSE),"")</f>
        <v>Heykants 1989</v>
      </c>
      <c r="C1365" s="232" t="str">
        <f>IF(AND(A1365&lt;&gt;"",ISNUMBER(A1365)),VLOOKUP(A1365,Studies!A:BR,3,FALSE),"")</f>
        <v>https://www.ncbi.nlm.nih.gov/pubmed/2561187</v>
      </c>
      <c r="D1365" s="232" t="str">
        <f>IF(AND(A1365&lt;&gt;"",ISNUMBER(A1365)),VLOOKUP(A1365,Studies!A:BR,4,FALSE),"")</f>
        <v>po 100 mg SD fed</v>
      </c>
      <c r="E1365" s="206" t="str">
        <f>IF(AND(A1365&lt;&gt;"",ISNUMBER(A1365)),VLOOKUP(A1365,Studies!A:BR,5,FALSE),"")</f>
        <v>Itraconazole</v>
      </c>
      <c r="F1365" s="207" t="str">
        <f>IF(AND(A1365&lt;&gt;"",ISNUMBER(A1365)),VLOOKUP(A1365,Studies!A:BR,6,FALSE),"")</f>
        <v>Plasma</v>
      </c>
      <c r="G1365" s="194">
        <v>72</v>
      </c>
      <c r="H1365" s="194" t="s">
        <v>60</v>
      </c>
      <c r="I1365" s="187">
        <v>5.0547971725463867</v>
      </c>
      <c r="J1365" s="187" t="s">
        <v>1026</v>
      </c>
      <c r="K1365" s="187" t="s">
        <v>116</v>
      </c>
      <c r="L1365" s="195"/>
      <c r="M1365" s="195"/>
      <c r="N1365" s="195"/>
      <c r="O1365" s="199"/>
      <c r="P1365" s="188"/>
      <c r="Q1365" s="174">
        <f>IF(ISNUMBER(VLOOKUP(A1365,NotghiID!A:A,1,FALSE)),1,0)</f>
        <v>0</v>
      </c>
    </row>
    <row r="1366" spans="1:17" ht="14.25" x14ac:dyDescent="0.2">
      <c r="A1366" s="183">
        <v>491</v>
      </c>
      <c r="B1366" s="232" t="str">
        <f>IF(AND(A1366&lt;&gt;"",ISNUMBER(A1366)),VLOOKUP(A1366,Studies!A:BR,2,FALSE),"")</f>
        <v>Heykants 1989</v>
      </c>
      <c r="C1366" s="232" t="str">
        <f>IF(AND(A1366&lt;&gt;"",ISNUMBER(A1366)),VLOOKUP(A1366,Studies!A:BR,3,FALSE),"")</f>
        <v>https://www.ncbi.nlm.nih.gov/pubmed/2561187</v>
      </c>
      <c r="D1366" s="232" t="str">
        <f>IF(AND(A1366&lt;&gt;"",ISNUMBER(A1366)),VLOOKUP(A1366,Studies!A:BR,4,FALSE),"")</f>
        <v>po 100 mg SD fed</v>
      </c>
      <c r="E1366" s="206" t="str">
        <f>IF(AND(A1366&lt;&gt;"",ISNUMBER(A1366)),VLOOKUP(A1366,Studies!A:BR,5,FALSE),"")</f>
        <v>Itraconazole</v>
      </c>
      <c r="F1366" s="207" t="str">
        <f>IF(AND(A1366&lt;&gt;"",ISNUMBER(A1366)),VLOOKUP(A1366,Studies!A:BR,6,FALSE),"")</f>
        <v>Plasma</v>
      </c>
      <c r="G1366" s="194">
        <v>96</v>
      </c>
      <c r="H1366" s="194" t="s">
        <v>60</v>
      </c>
      <c r="I1366" s="187">
        <v>2.2675430774688721</v>
      </c>
      <c r="J1366" s="187" t="s">
        <v>1026</v>
      </c>
      <c r="K1366" s="187" t="s">
        <v>116</v>
      </c>
      <c r="L1366" s="195"/>
      <c r="M1366" s="195"/>
      <c r="N1366" s="195"/>
      <c r="O1366" s="199"/>
      <c r="P1366" s="188"/>
      <c r="Q1366" s="174">
        <f>IF(ISNUMBER(VLOOKUP(A1366,NotghiID!A:A,1,FALSE)),1,0)</f>
        <v>0</v>
      </c>
    </row>
    <row r="1367" spans="1:17" ht="14.25" x14ac:dyDescent="0.2">
      <c r="A1367" s="183">
        <v>492</v>
      </c>
      <c r="B1367" s="232" t="str">
        <f>IF(AND(A1367&lt;&gt;"",ISNUMBER(A1367)),VLOOKUP(A1367,Studies!A:BR,2,FALSE),"")</f>
        <v>Heykants 1989</v>
      </c>
      <c r="C1367" s="232" t="str">
        <f>IF(AND(A1367&lt;&gt;"",ISNUMBER(A1367)),VLOOKUP(A1367,Studies!A:BR,3,FALSE),"")</f>
        <v>https://www.ncbi.nlm.nih.gov/pubmed/2561187</v>
      </c>
      <c r="D1367" s="232" t="str">
        <f>IF(AND(A1367&lt;&gt;"",ISNUMBER(A1367)),VLOOKUP(A1367,Studies!A:BR,4,FALSE),"")</f>
        <v>po 100 mg SD (metabolite screening)</v>
      </c>
      <c r="E1367" s="206" t="str">
        <f>IF(AND(A1367&lt;&gt;"",ISNUMBER(A1367)),VLOOKUP(A1367,Studies!A:BR,5,FALSE),"")</f>
        <v>Itraconazole</v>
      </c>
      <c r="F1367" s="207" t="str">
        <f>IF(AND(A1367&lt;&gt;"",ISNUMBER(A1367)),VLOOKUP(A1367,Studies!A:BR,6,FALSE),"")</f>
        <v>Plasma</v>
      </c>
      <c r="G1367" s="194">
        <v>1</v>
      </c>
      <c r="H1367" s="194" t="s">
        <v>60</v>
      </c>
      <c r="I1367" s="187">
        <v>8.8774189352989197</v>
      </c>
      <c r="J1367" s="187" t="s">
        <v>1026</v>
      </c>
      <c r="K1367" s="187" t="s">
        <v>116</v>
      </c>
      <c r="L1367" s="195"/>
      <c r="M1367" s="195"/>
      <c r="N1367" s="195"/>
      <c r="O1367" s="199"/>
      <c r="P1367" s="188"/>
      <c r="Q1367" s="174">
        <f>IF(ISNUMBER(VLOOKUP(A1367,NotghiID!A:A,1,FALSE)),1,0)</f>
        <v>0</v>
      </c>
    </row>
    <row r="1368" spans="1:17" ht="14.25" x14ac:dyDescent="0.2">
      <c r="A1368" s="183">
        <v>492</v>
      </c>
      <c r="B1368" s="232" t="str">
        <f>IF(AND(A1368&lt;&gt;"",ISNUMBER(A1368)),VLOOKUP(A1368,Studies!A:BR,2,FALSE),"")</f>
        <v>Heykants 1989</v>
      </c>
      <c r="C1368" s="232" t="str">
        <f>IF(AND(A1368&lt;&gt;"",ISNUMBER(A1368)),VLOOKUP(A1368,Studies!A:BR,3,FALSE),"")</f>
        <v>https://www.ncbi.nlm.nih.gov/pubmed/2561187</v>
      </c>
      <c r="D1368" s="232" t="str">
        <f>IF(AND(A1368&lt;&gt;"",ISNUMBER(A1368)),VLOOKUP(A1368,Studies!A:BR,4,FALSE),"")</f>
        <v>po 100 mg SD (metabolite screening)</v>
      </c>
      <c r="E1368" s="206" t="str">
        <f>IF(AND(A1368&lt;&gt;"",ISNUMBER(A1368)),VLOOKUP(A1368,Studies!A:BR,5,FALSE),"")</f>
        <v>Itraconazole</v>
      </c>
      <c r="F1368" s="207" t="str">
        <f>IF(AND(A1368&lt;&gt;"",ISNUMBER(A1368)),VLOOKUP(A1368,Studies!A:BR,6,FALSE),"")</f>
        <v>Plasma</v>
      </c>
      <c r="G1368" s="194">
        <v>1.5</v>
      </c>
      <c r="H1368" s="194" t="s">
        <v>60</v>
      </c>
      <c r="I1368" s="187">
        <v>27.419609948992729</v>
      </c>
      <c r="J1368" s="187" t="s">
        <v>1026</v>
      </c>
      <c r="K1368" s="187" t="s">
        <v>116</v>
      </c>
      <c r="L1368" s="195"/>
      <c r="M1368" s="195"/>
      <c r="N1368" s="195"/>
      <c r="O1368" s="199"/>
      <c r="P1368" s="188"/>
      <c r="Q1368" s="174">
        <f>IF(ISNUMBER(VLOOKUP(A1368,NotghiID!A:A,1,FALSE)),1,0)</f>
        <v>0</v>
      </c>
    </row>
    <row r="1369" spans="1:17" ht="14.25" x14ac:dyDescent="0.2">
      <c r="A1369" s="183">
        <v>492</v>
      </c>
      <c r="B1369" s="232" t="str">
        <f>IF(AND(A1369&lt;&gt;"",ISNUMBER(A1369)),VLOOKUP(A1369,Studies!A:BR,2,FALSE),"")</f>
        <v>Heykants 1989</v>
      </c>
      <c r="C1369" s="232" t="str">
        <f>IF(AND(A1369&lt;&gt;"",ISNUMBER(A1369)),VLOOKUP(A1369,Studies!A:BR,3,FALSE),"")</f>
        <v>https://www.ncbi.nlm.nih.gov/pubmed/2561187</v>
      </c>
      <c r="D1369" s="232" t="str">
        <f>IF(AND(A1369&lt;&gt;"",ISNUMBER(A1369)),VLOOKUP(A1369,Studies!A:BR,4,FALSE),"")</f>
        <v>po 100 mg SD (metabolite screening)</v>
      </c>
      <c r="E1369" s="206" t="str">
        <f>IF(AND(A1369&lt;&gt;"",ISNUMBER(A1369)),VLOOKUP(A1369,Studies!A:BR,5,FALSE),"")</f>
        <v>Itraconazole</v>
      </c>
      <c r="F1369" s="207" t="str">
        <f>IF(AND(A1369&lt;&gt;"",ISNUMBER(A1369)),VLOOKUP(A1369,Studies!A:BR,6,FALSE),"")</f>
        <v>Plasma</v>
      </c>
      <c r="G1369" s="194">
        <v>2</v>
      </c>
      <c r="H1369" s="194" t="s">
        <v>60</v>
      </c>
      <c r="I1369" s="187">
        <v>77.868737280368805</v>
      </c>
      <c r="J1369" s="187" t="s">
        <v>1026</v>
      </c>
      <c r="K1369" s="187" t="s">
        <v>116</v>
      </c>
      <c r="L1369" s="195"/>
      <c r="M1369" s="195"/>
      <c r="N1369" s="195"/>
      <c r="O1369" s="199"/>
      <c r="P1369" s="188"/>
      <c r="Q1369" s="174">
        <f>IF(ISNUMBER(VLOOKUP(A1369,NotghiID!A:A,1,FALSE)),1,0)</f>
        <v>0</v>
      </c>
    </row>
    <row r="1370" spans="1:17" ht="14.25" x14ac:dyDescent="0.2">
      <c r="A1370" s="183">
        <v>492</v>
      </c>
      <c r="B1370" s="232" t="str">
        <f>IF(AND(A1370&lt;&gt;"",ISNUMBER(A1370)),VLOOKUP(A1370,Studies!A:BR,2,FALSE),"")</f>
        <v>Heykants 1989</v>
      </c>
      <c r="C1370" s="232" t="str">
        <f>IF(AND(A1370&lt;&gt;"",ISNUMBER(A1370)),VLOOKUP(A1370,Studies!A:BR,3,FALSE),"")</f>
        <v>https://www.ncbi.nlm.nih.gov/pubmed/2561187</v>
      </c>
      <c r="D1370" s="232" t="str">
        <f>IF(AND(A1370&lt;&gt;"",ISNUMBER(A1370)),VLOOKUP(A1370,Studies!A:BR,4,FALSE),"")</f>
        <v>po 100 mg SD (metabolite screening)</v>
      </c>
      <c r="E1370" s="206" t="str">
        <f>IF(AND(A1370&lt;&gt;"",ISNUMBER(A1370)),VLOOKUP(A1370,Studies!A:BR,5,FALSE),"")</f>
        <v>Itraconazole</v>
      </c>
      <c r="F1370" s="207" t="str">
        <f>IF(AND(A1370&lt;&gt;"",ISNUMBER(A1370)),VLOOKUP(A1370,Studies!A:BR,6,FALSE),"")</f>
        <v>Plasma</v>
      </c>
      <c r="G1370" s="194">
        <v>3</v>
      </c>
      <c r="H1370" s="194" t="s">
        <v>60</v>
      </c>
      <c r="I1370" s="187">
        <v>111.60260438919067</v>
      </c>
      <c r="J1370" s="187" t="s">
        <v>1026</v>
      </c>
      <c r="K1370" s="187" t="s">
        <v>116</v>
      </c>
      <c r="L1370" s="195"/>
      <c r="M1370" s="195"/>
      <c r="N1370" s="195"/>
      <c r="O1370" s="199"/>
      <c r="P1370" s="188"/>
      <c r="Q1370" s="174">
        <f>IF(ISNUMBER(VLOOKUP(A1370,NotghiID!A:A,1,FALSE)),1,0)</f>
        <v>0</v>
      </c>
    </row>
    <row r="1371" spans="1:17" ht="14.25" x14ac:dyDescent="0.2">
      <c r="A1371" s="183">
        <v>492</v>
      </c>
      <c r="B1371" s="232" t="str">
        <f>IF(AND(A1371&lt;&gt;"",ISNUMBER(A1371)),VLOOKUP(A1371,Studies!A:BR,2,FALSE),"")</f>
        <v>Heykants 1989</v>
      </c>
      <c r="C1371" s="232" t="str">
        <f>IF(AND(A1371&lt;&gt;"",ISNUMBER(A1371)),VLOOKUP(A1371,Studies!A:BR,3,FALSE),"")</f>
        <v>https://www.ncbi.nlm.nih.gov/pubmed/2561187</v>
      </c>
      <c r="D1371" s="232" t="str">
        <f>IF(AND(A1371&lt;&gt;"",ISNUMBER(A1371)),VLOOKUP(A1371,Studies!A:BR,4,FALSE),"")</f>
        <v>po 100 mg SD (metabolite screening)</v>
      </c>
      <c r="E1371" s="206" t="str">
        <f>IF(AND(A1371&lt;&gt;"",ISNUMBER(A1371)),VLOOKUP(A1371,Studies!A:BR,5,FALSE),"")</f>
        <v>Itraconazole</v>
      </c>
      <c r="F1371" s="207" t="str">
        <f>IF(AND(A1371&lt;&gt;"",ISNUMBER(A1371)),VLOOKUP(A1371,Studies!A:BR,6,FALSE),"")</f>
        <v>Plasma</v>
      </c>
      <c r="G1371" s="194">
        <v>4</v>
      </c>
      <c r="H1371" s="194" t="s">
        <v>60</v>
      </c>
      <c r="I1371" s="187">
        <v>122.84489721059799</v>
      </c>
      <c r="J1371" s="187" t="s">
        <v>1026</v>
      </c>
      <c r="K1371" s="187" t="s">
        <v>116</v>
      </c>
      <c r="L1371" s="195"/>
      <c r="M1371" s="195"/>
      <c r="N1371" s="195"/>
      <c r="O1371" s="199"/>
      <c r="P1371" s="188"/>
      <c r="Q1371" s="174">
        <f>IF(ISNUMBER(VLOOKUP(A1371,NotghiID!A:A,1,FALSE)),1,0)</f>
        <v>0</v>
      </c>
    </row>
    <row r="1372" spans="1:17" ht="14.25" x14ac:dyDescent="0.2">
      <c r="A1372" s="183">
        <v>492</v>
      </c>
      <c r="B1372" s="232" t="str">
        <f>IF(AND(A1372&lt;&gt;"",ISNUMBER(A1372)),VLOOKUP(A1372,Studies!A:BR,2,FALSE),"")</f>
        <v>Heykants 1989</v>
      </c>
      <c r="C1372" s="232" t="str">
        <f>IF(AND(A1372&lt;&gt;"",ISNUMBER(A1372)),VLOOKUP(A1372,Studies!A:BR,3,FALSE),"")</f>
        <v>https://www.ncbi.nlm.nih.gov/pubmed/2561187</v>
      </c>
      <c r="D1372" s="232" t="str">
        <f>IF(AND(A1372&lt;&gt;"",ISNUMBER(A1372)),VLOOKUP(A1372,Studies!A:BR,4,FALSE),"")</f>
        <v>po 100 mg SD (metabolite screening)</v>
      </c>
      <c r="E1372" s="206" t="str">
        <f>IF(AND(A1372&lt;&gt;"",ISNUMBER(A1372)),VLOOKUP(A1372,Studies!A:BR,5,FALSE),"")</f>
        <v>Itraconazole</v>
      </c>
      <c r="F1372" s="207" t="str">
        <f>IF(AND(A1372&lt;&gt;"",ISNUMBER(A1372)),VLOOKUP(A1372,Studies!A:BR,6,FALSE),"")</f>
        <v>Plasma</v>
      </c>
      <c r="G1372" s="194">
        <v>5</v>
      </c>
      <c r="H1372" s="194" t="s">
        <v>60</v>
      </c>
      <c r="I1372" s="187">
        <v>133.60710442066193</v>
      </c>
      <c r="J1372" s="187" t="s">
        <v>1026</v>
      </c>
      <c r="K1372" s="187" t="s">
        <v>116</v>
      </c>
      <c r="L1372" s="195"/>
      <c r="M1372" s="195"/>
      <c r="N1372" s="195"/>
      <c r="O1372" s="199"/>
      <c r="P1372" s="188"/>
      <c r="Q1372" s="174">
        <f>IF(ISNUMBER(VLOOKUP(A1372,NotghiID!A:A,1,FALSE)),1,0)</f>
        <v>0</v>
      </c>
    </row>
    <row r="1373" spans="1:17" ht="14.25" x14ac:dyDescent="0.2">
      <c r="A1373" s="183">
        <v>492</v>
      </c>
      <c r="B1373" s="232" t="str">
        <f>IF(AND(A1373&lt;&gt;"",ISNUMBER(A1373)),VLOOKUP(A1373,Studies!A:BR,2,FALSE),"")</f>
        <v>Heykants 1989</v>
      </c>
      <c r="C1373" s="232" t="str">
        <f>IF(AND(A1373&lt;&gt;"",ISNUMBER(A1373)),VLOOKUP(A1373,Studies!A:BR,3,FALSE),"")</f>
        <v>https://www.ncbi.nlm.nih.gov/pubmed/2561187</v>
      </c>
      <c r="D1373" s="232" t="str">
        <f>IF(AND(A1373&lt;&gt;"",ISNUMBER(A1373)),VLOOKUP(A1373,Studies!A:BR,4,FALSE),"")</f>
        <v>po 100 mg SD (metabolite screening)</v>
      </c>
      <c r="E1373" s="206" t="str">
        <f>IF(AND(A1373&lt;&gt;"",ISNUMBER(A1373)),VLOOKUP(A1373,Studies!A:BR,5,FALSE),"")</f>
        <v>Itraconazole</v>
      </c>
      <c r="F1373" s="207" t="str">
        <f>IF(AND(A1373&lt;&gt;"",ISNUMBER(A1373)),VLOOKUP(A1373,Studies!A:BR,6,FALSE),"")</f>
        <v>Plasma</v>
      </c>
      <c r="G1373" s="194">
        <v>6</v>
      </c>
      <c r="H1373" s="194" t="s">
        <v>60</v>
      </c>
      <c r="I1373" s="187">
        <v>122.84489721059799</v>
      </c>
      <c r="J1373" s="187" t="s">
        <v>1026</v>
      </c>
      <c r="K1373" s="187" t="s">
        <v>116</v>
      </c>
      <c r="L1373" s="195"/>
      <c r="M1373" s="195"/>
      <c r="N1373" s="195"/>
      <c r="O1373" s="199"/>
      <c r="P1373" s="188"/>
      <c r="Q1373" s="174">
        <f>IF(ISNUMBER(VLOOKUP(A1373,NotghiID!A:A,1,FALSE)),1,0)</f>
        <v>0</v>
      </c>
    </row>
    <row r="1374" spans="1:17" ht="14.25" x14ac:dyDescent="0.2">
      <c r="A1374" s="183">
        <v>492</v>
      </c>
      <c r="B1374" s="232" t="str">
        <f>IF(AND(A1374&lt;&gt;"",ISNUMBER(A1374)),VLOOKUP(A1374,Studies!A:BR,2,FALSE),"")</f>
        <v>Heykants 1989</v>
      </c>
      <c r="C1374" s="232" t="str">
        <f>IF(AND(A1374&lt;&gt;"",ISNUMBER(A1374)),VLOOKUP(A1374,Studies!A:BR,3,FALSE),"")</f>
        <v>https://www.ncbi.nlm.nih.gov/pubmed/2561187</v>
      </c>
      <c r="D1374" s="232" t="str">
        <f>IF(AND(A1374&lt;&gt;"",ISNUMBER(A1374)),VLOOKUP(A1374,Studies!A:BR,4,FALSE),"")</f>
        <v>po 100 mg SD (metabolite screening)</v>
      </c>
      <c r="E1374" s="206" t="str">
        <f>IF(AND(A1374&lt;&gt;"",ISNUMBER(A1374)),VLOOKUP(A1374,Studies!A:BR,5,FALSE),"")</f>
        <v>Itraconazole</v>
      </c>
      <c r="F1374" s="207" t="str">
        <f>IF(AND(A1374&lt;&gt;"",ISNUMBER(A1374)),VLOOKUP(A1374,Studies!A:BR,6,FALSE),"")</f>
        <v>Plasma</v>
      </c>
      <c r="G1374" s="194">
        <v>8</v>
      </c>
      <c r="H1374" s="194" t="s">
        <v>60</v>
      </c>
      <c r="I1374" s="187">
        <v>85.71287989616394</v>
      </c>
      <c r="J1374" s="187" t="s">
        <v>1026</v>
      </c>
      <c r="K1374" s="187" t="s">
        <v>116</v>
      </c>
      <c r="L1374" s="195"/>
      <c r="M1374" s="195"/>
      <c r="N1374" s="195"/>
      <c r="O1374" s="199"/>
      <c r="P1374" s="188"/>
      <c r="Q1374" s="174">
        <f>IF(ISNUMBER(VLOOKUP(A1374,NotghiID!A:A,1,FALSE)),1,0)</f>
        <v>0</v>
      </c>
    </row>
    <row r="1375" spans="1:17" ht="14.25" x14ac:dyDescent="0.2">
      <c r="A1375" s="183">
        <v>492</v>
      </c>
      <c r="B1375" s="232" t="str">
        <f>IF(AND(A1375&lt;&gt;"",ISNUMBER(A1375)),VLOOKUP(A1375,Studies!A:BR,2,FALSE),"")</f>
        <v>Heykants 1989</v>
      </c>
      <c r="C1375" s="232" t="str">
        <f>IF(AND(A1375&lt;&gt;"",ISNUMBER(A1375)),VLOOKUP(A1375,Studies!A:BR,3,FALSE),"")</f>
        <v>https://www.ncbi.nlm.nih.gov/pubmed/2561187</v>
      </c>
      <c r="D1375" s="232" t="str">
        <f>IF(AND(A1375&lt;&gt;"",ISNUMBER(A1375)),VLOOKUP(A1375,Studies!A:BR,4,FALSE),"")</f>
        <v>po 100 mg SD (metabolite screening)</v>
      </c>
      <c r="E1375" s="206" t="str">
        <f>IF(AND(A1375&lt;&gt;"",ISNUMBER(A1375)),VLOOKUP(A1375,Studies!A:BR,5,FALSE),"")</f>
        <v>Itraconazole</v>
      </c>
      <c r="F1375" s="207" t="str">
        <f>IF(AND(A1375&lt;&gt;"",ISNUMBER(A1375)),VLOOKUP(A1375,Studies!A:BR,6,FALSE),"")</f>
        <v>Plasma</v>
      </c>
      <c r="G1375" s="194">
        <v>24</v>
      </c>
      <c r="H1375" s="194" t="s">
        <v>60</v>
      </c>
      <c r="I1375" s="187">
        <v>25.210918858647346</v>
      </c>
      <c r="J1375" s="187" t="s">
        <v>1026</v>
      </c>
      <c r="K1375" s="187" t="s">
        <v>116</v>
      </c>
      <c r="L1375" s="195"/>
      <c r="M1375" s="195"/>
      <c r="N1375" s="195"/>
      <c r="O1375" s="199"/>
      <c r="P1375" s="188"/>
      <c r="Q1375" s="174">
        <f>IF(ISNUMBER(VLOOKUP(A1375,NotghiID!A:A,1,FALSE)),1,0)</f>
        <v>0</v>
      </c>
    </row>
    <row r="1376" spans="1:17" ht="14.25" x14ac:dyDescent="0.2">
      <c r="A1376" s="183">
        <v>492</v>
      </c>
      <c r="B1376" s="232" t="str">
        <f>IF(AND(A1376&lt;&gt;"",ISNUMBER(A1376)),VLOOKUP(A1376,Studies!A:BR,2,FALSE),"")</f>
        <v>Heykants 1989</v>
      </c>
      <c r="C1376" s="232" t="str">
        <f>IF(AND(A1376&lt;&gt;"",ISNUMBER(A1376)),VLOOKUP(A1376,Studies!A:BR,3,FALSE),"")</f>
        <v>https://www.ncbi.nlm.nih.gov/pubmed/2561187</v>
      </c>
      <c r="D1376" s="232" t="str">
        <f>IF(AND(A1376&lt;&gt;"",ISNUMBER(A1376)),VLOOKUP(A1376,Studies!A:BR,4,FALSE),"")</f>
        <v>po 100 mg SD (metabolite screening)</v>
      </c>
      <c r="E1376" s="206" t="str">
        <f>IF(AND(A1376&lt;&gt;"",ISNUMBER(A1376)),VLOOKUP(A1376,Studies!A:BR,5,FALSE),"")</f>
        <v>Itraconazole</v>
      </c>
      <c r="F1376" s="207" t="str">
        <f>IF(AND(A1376&lt;&gt;"",ISNUMBER(A1376)),VLOOKUP(A1376,Studies!A:BR,6,FALSE),"")</f>
        <v>Plasma</v>
      </c>
      <c r="G1376" s="194">
        <v>32</v>
      </c>
      <c r="H1376" s="194" t="s">
        <v>60</v>
      </c>
      <c r="I1376" s="187">
        <v>20.072050392627716</v>
      </c>
      <c r="J1376" s="187" t="s">
        <v>1026</v>
      </c>
      <c r="K1376" s="187" t="s">
        <v>116</v>
      </c>
      <c r="L1376" s="195"/>
      <c r="M1376" s="195"/>
      <c r="N1376" s="195"/>
      <c r="O1376" s="199"/>
      <c r="P1376" s="188"/>
      <c r="Q1376" s="174">
        <f>IF(ISNUMBER(VLOOKUP(A1376,NotghiID!A:A,1,FALSE)),1,0)</f>
        <v>0</v>
      </c>
    </row>
    <row r="1377" spans="1:17" ht="14.25" x14ac:dyDescent="0.2">
      <c r="A1377" s="183">
        <v>492</v>
      </c>
      <c r="B1377" s="232" t="str">
        <f>IF(AND(A1377&lt;&gt;"",ISNUMBER(A1377)),VLOOKUP(A1377,Studies!A:BR,2,FALSE),"")</f>
        <v>Heykants 1989</v>
      </c>
      <c r="C1377" s="232" t="str">
        <f>IF(AND(A1377&lt;&gt;"",ISNUMBER(A1377)),VLOOKUP(A1377,Studies!A:BR,3,FALSE),"")</f>
        <v>https://www.ncbi.nlm.nih.gov/pubmed/2561187</v>
      </c>
      <c r="D1377" s="232" t="str">
        <f>IF(AND(A1377&lt;&gt;"",ISNUMBER(A1377)),VLOOKUP(A1377,Studies!A:BR,4,FALSE),"")</f>
        <v>po 100 mg SD (metabolite screening)</v>
      </c>
      <c r="E1377" s="206" t="str">
        <f>IF(AND(A1377&lt;&gt;"",ISNUMBER(A1377)),VLOOKUP(A1377,Studies!A:BR,5,FALSE),"")</f>
        <v>Itraconazole</v>
      </c>
      <c r="F1377" s="207" t="str">
        <f>IF(AND(A1377&lt;&gt;"",ISNUMBER(A1377)),VLOOKUP(A1377,Studies!A:BR,6,FALSE),"")</f>
        <v>Plasma</v>
      </c>
      <c r="G1377" s="194">
        <v>48</v>
      </c>
      <c r="H1377" s="194" t="s">
        <v>60</v>
      </c>
      <c r="I1377" s="187">
        <v>10.885870084166527</v>
      </c>
      <c r="J1377" s="187" t="s">
        <v>1026</v>
      </c>
      <c r="K1377" s="187" t="s">
        <v>116</v>
      </c>
      <c r="L1377" s="195"/>
      <c r="M1377" s="195"/>
      <c r="N1377" s="195"/>
      <c r="O1377" s="199"/>
      <c r="P1377" s="188"/>
      <c r="Q1377" s="174">
        <f>IF(ISNUMBER(VLOOKUP(A1377,NotghiID!A:A,1,FALSE)),1,0)</f>
        <v>0</v>
      </c>
    </row>
    <row r="1378" spans="1:17" ht="14.25" x14ac:dyDescent="0.2">
      <c r="A1378" s="183">
        <v>492</v>
      </c>
      <c r="B1378" s="232" t="str">
        <f>IF(AND(A1378&lt;&gt;"",ISNUMBER(A1378)),VLOOKUP(A1378,Studies!A:BR,2,FALSE),"")</f>
        <v>Heykants 1989</v>
      </c>
      <c r="C1378" s="232" t="str">
        <f>IF(AND(A1378&lt;&gt;"",ISNUMBER(A1378)),VLOOKUP(A1378,Studies!A:BR,3,FALSE),"")</f>
        <v>https://www.ncbi.nlm.nih.gov/pubmed/2561187</v>
      </c>
      <c r="D1378" s="232" t="str">
        <f>IF(AND(A1378&lt;&gt;"",ISNUMBER(A1378)),VLOOKUP(A1378,Studies!A:BR,4,FALSE),"")</f>
        <v>po 100 mg SD (metabolite screening)</v>
      </c>
      <c r="E1378" s="206" t="str">
        <f>IF(AND(A1378&lt;&gt;"",ISNUMBER(A1378)),VLOOKUP(A1378,Studies!A:BR,5,FALSE),"")</f>
        <v>Itraconazole</v>
      </c>
      <c r="F1378" s="207" t="str">
        <f>IF(AND(A1378&lt;&gt;"",ISNUMBER(A1378)),VLOOKUP(A1378,Studies!A:BR,6,FALSE),"")</f>
        <v>Plasma</v>
      </c>
      <c r="G1378" s="194">
        <v>56</v>
      </c>
      <c r="H1378" s="194" t="s">
        <v>60</v>
      </c>
      <c r="I1378" s="187">
        <v>10.627769865095615</v>
      </c>
      <c r="J1378" s="187" t="s">
        <v>1026</v>
      </c>
      <c r="K1378" s="187" t="s">
        <v>116</v>
      </c>
      <c r="L1378" s="195"/>
      <c r="M1378" s="195"/>
      <c r="N1378" s="195"/>
      <c r="O1378" s="199"/>
      <c r="P1378" s="188"/>
      <c r="Q1378" s="174">
        <f>IF(ISNUMBER(VLOOKUP(A1378,NotghiID!A:A,1,FALSE)),1,0)</f>
        <v>0</v>
      </c>
    </row>
    <row r="1379" spans="1:17" ht="14.25" x14ac:dyDescent="0.2">
      <c r="A1379" s="183">
        <v>492</v>
      </c>
      <c r="B1379" s="232" t="str">
        <f>IF(AND(A1379&lt;&gt;"",ISNUMBER(A1379)),VLOOKUP(A1379,Studies!A:BR,2,FALSE),"")</f>
        <v>Heykants 1989</v>
      </c>
      <c r="C1379" s="232" t="str">
        <f>IF(AND(A1379&lt;&gt;"",ISNUMBER(A1379)),VLOOKUP(A1379,Studies!A:BR,3,FALSE),"")</f>
        <v>https://www.ncbi.nlm.nih.gov/pubmed/2561187</v>
      </c>
      <c r="D1379" s="232" t="str">
        <f>IF(AND(A1379&lt;&gt;"",ISNUMBER(A1379)),VLOOKUP(A1379,Studies!A:BR,4,FALSE),"")</f>
        <v>po 100 mg SD (metabolite screening)</v>
      </c>
      <c r="E1379" s="206" t="str">
        <f>IF(AND(A1379&lt;&gt;"",ISNUMBER(A1379)),VLOOKUP(A1379,Studies!A:BR,5,FALSE),"")</f>
        <v>Itraconazole</v>
      </c>
      <c r="F1379" s="207" t="str">
        <f>IF(AND(A1379&lt;&gt;"",ISNUMBER(A1379)),VLOOKUP(A1379,Studies!A:BR,6,FALSE),"")</f>
        <v>Plasma</v>
      </c>
      <c r="G1379" s="194">
        <v>72</v>
      </c>
      <c r="H1379" s="194" t="s">
        <v>60</v>
      </c>
      <c r="I1379" s="187">
        <v>6.4985607750713825</v>
      </c>
      <c r="J1379" s="187" t="s">
        <v>1026</v>
      </c>
      <c r="K1379" s="187" t="s">
        <v>116</v>
      </c>
      <c r="L1379" s="195"/>
      <c r="M1379" s="195"/>
      <c r="N1379" s="195"/>
      <c r="O1379" s="199"/>
      <c r="P1379" s="188"/>
      <c r="Q1379" s="174">
        <f>IF(ISNUMBER(VLOOKUP(A1379,NotghiID!A:A,1,FALSE)),1,0)</f>
        <v>0</v>
      </c>
    </row>
    <row r="1380" spans="1:17" ht="14.25" x14ac:dyDescent="0.2">
      <c r="A1380" s="183">
        <v>492</v>
      </c>
      <c r="B1380" s="232" t="str">
        <f>IF(AND(A1380&lt;&gt;"",ISNUMBER(A1380)),VLOOKUP(A1380,Studies!A:BR,2,FALSE),"")</f>
        <v>Heykants 1989</v>
      </c>
      <c r="C1380" s="232" t="str">
        <f>IF(AND(A1380&lt;&gt;"",ISNUMBER(A1380)),VLOOKUP(A1380,Studies!A:BR,3,FALSE),"")</f>
        <v>https://www.ncbi.nlm.nih.gov/pubmed/2561187</v>
      </c>
      <c r="D1380" s="232" t="str">
        <f>IF(AND(A1380&lt;&gt;"",ISNUMBER(A1380)),VLOOKUP(A1380,Studies!A:BR,4,FALSE),"")</f>
        <v>po 100 mg SD (metabolite screening)</v>
      </c>
      <c r="E1380" s="206" t="str">
        <f>IF(AND(A1380&lt;&gt;"",ISNUMBER(A1380)),VLOOKUP(A1380,Studies!A:BR,5,FALSE),"")</f>
        <v>Itraconazole</v>
      </c>
      <c r="F1380" s="207" t="str">
        <f>IF(AND(A1380&lt;&gt;"",ISNUMBER(A1380)),VLOOKUP(A1380,Studies!A:BR,6,FALSE),"")</f>
        <v>Plasma</v>
      </c>
      <c r="G1380" s="194">
        <v>80</v>
      </c>
      <c r="H1380" s="194" t="s">
        <v>60</v>
      </c>
      <c r="I1380" s="187">
        <v>5.8334288187325001</v>
      </c>
      <c r="J1380" s="187" t="s">
        <v>1026</v>
      </c>
      <c r="K1380" s="187" t="s">
        <v>116</v>
      </c>
      <c r="L1380" s="195"/>
      <c r="M1380" s="195"/>
      <c r="N1380" s="195"/>
      <c r="O1380" s="199"/>
      <c r="P1380" s="188"/>
      <c r="Q1380" s="174">
        <f>IF(ISNUMBER(VLOOKUP(A1380,NotghiID!A:A,1,FALSE)),1,0)</f>
        <v>0</v>
      </c>
    </row>
    <row r="1381" spans="1:17" ht="14.25" x14ac:dyDescent="0.2">
      <c r="A1381" s="183">
        <v>492</v>
      </c>
      <c r="B1381" s="232" t="str">
        <f>IF(AND(A1381&lt;&gt;"",ISNUMBER(A1381)),VLOOKUP(A1381,Studies!A:BR,2,FALSE),"")</f>
        <v>Heykants 1989</v>
      </c>
      <c r="C1381" s="232" t="str">
        <f>IF(AND(A1381&lt;&gt;"",ISNUMBER(A1381)),VLOOKUP(A1381,Studies!A:BR,3,FALSE),"")</f>
        <v>https://www.ncbi.nlm.nih.gov/pubmed/2561187</v>
      </c>
      <c r="D1381" s="232" t="str">
        <f>IF(AND(A1381&lt;&gt;"",ISNUMBER(A1381)),VLOOKUP(A1381,Studies!A:BR,4,FALSE),"")</f>
        <v>po 100 mg SD (metabolite screening)</v>
      </c>
      <c r="E1381" s="206" t="str">
        <f>IF(AND(A1381&lt;&gt;"",ISNUMBER(A1381)),VLOOKUP(A1381,Studies!A:BR,5,FALSE),"")</f>
        <v>Itraconazole</v>
      </c>
      <c r="F1381" s="207" t="str">
        <f>IF(AND(A1381&lt;&gt;"",ISNUMBER(A1381)),VLOOKUP(A1381,Studies!A:BR,6,FALSE),"")</f>
        <v>Plasma</v>
      </c>
      <c r="G1381" s="194">
        <v>96</v>
      </c>
      <c r="H1381" s="194" t="s">
        <v>60</v>
      </c>
      <c r="I1381" s="187">
        <v>3.5669649951159954</v>
      </c>
      <c r="J1381" s="187" t="s">
        <v>1026</v>
      </c>
      <c r="K1381" s="187" t="s">
        <v>116</v>
      </c>
      <c r="L1381" s="195"/>
      <c r="M1381" s="195"/>
      <c r="N1381" s="195"/>
      <c r="O1381" s="199"/>
      <c r="P1381" s="188"/>
      <c r="Q1381" s="174">
        <f>IF(ISNUMBER(VLOOKUP(A1381,NotghiID!A:A,1,FALSE)),1,0)</f>
        <v>0</v>
      </c>
    </row>
    <row r="1382" spans="1:17" ht="14.25" x14ac:dyDescent="0.2">
      <c r="A1382" s="183">
        <v>493</v>
      </c>
      <c r="B1382" s="232" t="str">
        <f>IF(AND(A1382&lt;&gt;"",ISNUMBER(A1382)),VLOOKUP(A1382,Studies!A:BR,2,FALSE),"")</f>
        <v>Heykants 1989</v>
      </c>
      <c r="C1382" s="232" t="str">
        <f>IF(AND(A1382&lt;&gt;"",ISNUMBER(A1382)),VLOOKUP(A1382,Studies!A:BR,3,FALSE),"")</f>
        <v>https://www.ncbi.nlm.nih.gov/pubmed/2561187</v>
      </c>
      <c r="D1382" s="232" t="str">
        <f>IF(AND(A1382&lt;&gt;"",ISNUMBER(A1382)),VLOOKUP(A1382,Studies!A:BR,4,FALSE),"")</f>
        <v>po 100 mg SD (metabolite screening)</v>
      </c>
      <c r="E1382" s="206" t="str">
        <f>IF(AND(A1382&lt;&gt;"",ISNUMBER(A1382)),VLOOKUP(A1382,Studies!A:BR,5,FALSE),"")</f>
        <v>Hydroxy-Itraconazole</v>
      </c>
      <c r="F1382" s="207" t="str">
        <f>IF(AND(A1382&lt;&gt;"",ISNUMBER(A1382)),VLOOKUP(A1382,Studies!A:BR,6,FALSE),"")</f>
        <v>Plasma</v>
      </c>
      <c r="G1382" s="194">
        <v>1</v>
      </c>
      <c r="H1382" s="194" t="s">
        <v>60</v>
      </c>
      <c r="I1382" s="187">
        <v>18.903398886322975</v>
      </c>
      <c r="J1382" s="187" t="s">
        <v>1026</v>
      </c>
      <c r="K1382" s="187" t="s">
        <v>116</v>
      </c>
      <c r="L1382" s="195"/>
      <c r="M1382" s="195"/>
      <c r="N1382" s="195"/>
      <c r="O1382" s="199"/>
      <c r="P1382" s="188"/>
      <c r="Q1382" s="174">
        <f>IF(ISNUMBER(VLOOKUP(A1382,NotghiID!A:A,1,FALSE)),1,0)</f>
        <v>0</v>
      </c>
    </row>
    <row r="1383" spans="1:17" ht="14.25" x14ac:dyDescent="0.2">
      <c r="A1383" s="183">
        <v>493</v>
      </c>
      <c r="B1383" s="232" t="str">
        <f>IF(AND(A1383&lt;&gt;"",ISNUMBER(A1383)),VLOOKUP(A1383,Studies!A:BR,2,FALSE),"")</f>
        <v>Heykants 1989</v>
      </c>
      <c r="C1383" s="232" t="str">
        <f>IF(AND(A1383&lt;&gt;"",ISNUMBER(A1383)),VLOOKUP(A1383,Studies!A:BR,3,FALSE),"")</f>
        <v>https://www.ncbi.nlm.nih.gov/pubmed/2561187</v>
      </c>
      <c r="D1383" s="232" t="str">
        <f>IF(AND(A1383&lt;&gt;"",ISNUMBER(A1383)),VLOOKUP(A1383,Studies!A:BR,4,FALSE),"")</f>
        <v>po 100 mg SD (metabolite screening)</v>
      </c>
      <c r="E1383" s="206" t="str">
        <f>IF(AND(A1383&lt;&gt;"",ISNUMBER(A1383)),VLOOKUP(A1383,Studies!A:BR,5,FALSE),"")</f>
        <v>Hydroxy-Itraconazole</v>
      </c>
      <c r="F1383" s="207" t="str">
        <f>IF(AND(A1383&lt;&gt;"",ISNUMBER(A1383)),VLOOKUP(A1383,Studies!A:BR,6,FALSE),"")</f>
        <v>Plasma</v>
      </c>
      <c r="G1383" s="194">
        <v>1.5</v>
      </c>
      <c r="H1383" s="194" t="s">
        <v>60</v>
      </c>
      <c r="I1383" s="187">
        <v>48.189062625169754</v>
      </c>
      <c r="J1383" s="187" t="s">
        <v>1026</v>
      </c>
      <c r="K1383" s="187" t="s">
        <v>116</v>
      </c>
      <c r="L1383" s="195"/>
      <c r="M1383" s="195"/>
      <c r="N1383" s="195"/>
      <c r="O1383" s="199"/>
      <c r="P1383" s="188"/>
      <c r="Q1383" s="174">
        <f>IF(ISNUMBER(VLOOKUP(A1383,NotghiID!A:A,1,FALSE)),1,0)</f>
        <v>0</v>
      </c>
    </row>
    <row r="1384" spans="1:17" ht="14.25" x14ac:dyDescent="0.2">
      <c r="A1384" s="183">
        <v>493</v>
      </c>
      <c r="B1384" s="232" t="str">
        <f>IF(AND(A1384&lt;&gt;"",ISNUMBER(A1384)),VLOOKUP(A1384,Studies!A:BR,2,FALSE),"")</f>
        <v>Heykants 1989</v>
      </c>
      <c r="C1384" s="232" t="str">
        <f>IF(AND(A1384&lt;&gt;"",ISNUMBER(A1384)),VLOOKUP(A1384,Studies!A:BR,3,FALSE),"")</f>
        <v>https://www.ncbi.nlm.nih.gov/pubmed/2561187</v>
      </c>
      <c r="D1384" s="232" t="str">
        <f>IF(AND(A1384&lt;&gt;"",ISNUMBER(A1384)),VLOOKUP(A1384,Studies!A:BR,4,FALSE),"")</f>
        <v>po 100 mg SD (metabolite screening)</v>
      </c>
      <c r="E1384" s="206" t="str">
        <f>IF(AND(A1384&lt;&gt;"",ISNUMBER(A1384)),VLOOKUP(A1384,Studies!A:BR,5,FALSE),"")</f>
        <v>Hydroxy-Itraconazole</v>
      </c>
      <c r="F1384" s="207" t="str">
        <f>IF(AND(A1384&lt;&gt;"",ISNUMBER(A1384)),VLOOKUP(A1384,Studies!A:BR,6,FALSE),"")</f>
        <v>Plasma</v>
      </c>
      <c r="G1384" s="194">
        <v>2</v>
      </c>
      <c r="H1384" s="194" t="s">
        <v>60</v>
      </c>
      <c r="I1384" s="187">
        <v>133.60710442066193</v>
      </c>
      <c r="J1384" s="187" t="s">
        <v>1026</v>
      </c>
      <c r="K1384" s="187" t="s">
        <v>116</v>
      </c>
      <c r="L1384" s="195"/>
      <c r="M1384" s="195"/>
      <c r="N1384" s="195"/>
      <c r="O1384" s="199"/>
      <c r="P1384" s="188"/>
      <c r="Q1384" s="174">
        <f>IF(ISNUMBER(VLOOKUP(A1384,NotghiID!A:A,1,FALSE)),1,0)</f>
        <v>0</v>
      </c>
    </row>
    <row r="1385" spans="1:17" ht="14.25" x14ac:dyDescent="0.2">
      <c r="A1385" s="183">
        <v>493</v>
      </c>
      <c r="B1385" s="232" t="str">
        <f>IF(AND(A1385&lt;&gt;"",ISNUMBER(A1385)),VLOOKUP(A1385,Studies!A:BR,2,FALSE),"")</f>
        <v>Heykants 1989</v>
      </c>
      <c r="C1385" s="232" t="str">
        <f>IF(AND(A1385&lt;&gt;"",ISNUMBER(A1385)),VLOOKUP(A1385,Studies!A:BR,3,FALSE),"")</f>
        <v>https://www.ncbi.nlm.nih.gov/pubmed/2561187</v>
      </c>
      <c r="D1385" s="232" t="str">
        <f>IF(AND(A1385&lt;&gt;"",ISNUMBER(A1385)),VLOOKUP(A1385,Studies!A:BR,4,FALSE),"")</f>
        <v>po 100 mg SD (metabolite screening)</v>
      </c>
      <c r="E1385" s="206" t="str">
        <f>IF(AND(A1385&lt;&gt;"",ISNUMBER(A1385)),VLOOKUP(A1385,Studies!A:BR,5,FALSE),"")</f>
        <v>Hydroxy-Itraconazole</v>
      </c>
      <c r="F1385" s="207" t="str">
        <f>IF(AND(A1385&lt;&gt;"",ISNUMBER(A1385)),VLOOKUP(A1385,Studies!A:BR,6,FALSE),"")</f>
        <v>Plasma</v>
      </c>
      <c r="G1385" s="194">
        <v>3</v>
      </c>
      <c r="H1385" s="194" t="s">
        <v>60</v>
      </c>
      <c r="I1385" s="187">
        <v>193.79879534244537</v>
      </c>
      <c r="J1385" s="187" t="s">
        <v>1026</v>
      </c>
      <c r="K1385" s="187" t="s">
        <v>116</v>
      </c>
      <c r="L1385" s="195"/>
      <c r="M1385" s="195"/>
      <c r="N1385" s="195"/>
      <c r="O1385" s="199"/>
      <c r="P1385" s="188"/>
      <c r="Q1385" s="174">
        <f>IF(ISNUMBER(VLOOKUP(A1385,NotghiID!A:A,1,FALSE)),1,0)</f>
        <v>0</v>
      </c>
    </row>
    <row r="1386" spans="1:17" ht="14.25" x14ac:dyDescent="0.2">
      <c r="A1386" s="183">
        <v>493</v>
      </c>
      <c r="B1386" s="232" t="str">
        <f>IF(AND(A1386&lt;&gt;"",ISNUMBER(A1386)),VLOOKUP(A1386,Studies!A:BR,2,FALSE),"")</f>
        <v>Heykants 1989</v>
      </c>
      <c r="C1386" s="232" t="str">
        <f>IF(AND(A1386&lt;&gt;"",ISNUMBER(A1386)),VLOOKUP(A1386,Studies!A:BR,3,FALSE),"")</f>
        <v>https://www.ncbi.nlm.nih.gov/pubmed/2561187</v>
      </c>
      <c r="D1386" s="232" t="str">
        <f>IF(AND(A1386&lt;&gt;"",ISNUMBER(A1386)),VLOOKUP(A1386,Studies!A:BR,4,FALSE),"")</f>
        <v>po 100 mg SD (metabolite screening)</v>
      </c>
      <c r="E1386" s="206" t="str">
        <f>IF(AND(A1386&lt;&gt;"",ISNUMBER(A1386)),VLOOKUP(A1386,Studies!A:BR,5,FALSE),"")</f>
        <v>Hydroxy-Itraconazole</v>
      </c>
      <c r="F1386" s="207" t="str">
        <f>IF(AND(A1386&lt;&gt;"",ISNUMBER(A1386)),VLOOKUP(A1386,Studies!A:BR,6,FALSE),"")</f>
        <v>Plasma</v>
      </c>
      <c r="G1386" s="194">
        <v>4</v>
      </c>
      <c r="H1386" s="194" t="s">
        <v>60</v>
      </c>
      <c r="I1386" s="187">
        <v>223.80790114402771</v>
      </c>
      <c r="J1386" s="187" t="s">
        <v>1026</v>
      </c>
      <c r="K1386" s="187" t="s">
        <v>116</v>
      </c>
      <c r="L1386" s="195"/>
      <c r="M1386" s="195"/>
      <c r="N1386" s="195"/>
      <c r="O1386" s="199"/>
      <c r="P1386" s="188"/>
      <c r="Q1386" s="174">
        <f>IF(ISNUMBER(VLOOKUP(A1386,NotghiID!A:A,1,FALSE)),1,0)</f>
        <v>0</v>
      </c>
    </row>
    <row r="1387" spans="1:17" ht="14.25" x14ac:dyDescent="0.2">
      <c r="A1387" s="183">
        <v>493</v>
      </c>
      <c r="B1387" s="232" t="str">
        <f>IF(AND(A1387&lt;&gt;"",ISNUMBER(A1387)),VLOOKUP(A1387,Studies!A:BR,2,FALSE),"")</f>
        <v>Heykants 1989</v>
      </c>
      <c r="C1387" s="232" t="str">
        <f>IF(AND(A1387&lt;&gt;"",ISNUMBER(A1387)),VLOOKUP(A1387,Studies!A:BR,3,FALSE),"")</f>
        <v>https://www.ncbi.nlm.nih.gov/pubmed/2561187</v>
      </c>
      <c r="D1387" s="232" t="str">
        <f>IF(AND(A1387&lt;&gt;"",ISNUMBER(A1387)),VLOOKUP(A1387,Studies!A:BR,4,FALSE),"")</f>
        <v>po 100 mg SD (metabolite screening)</v>
      </c>
      <c r="E1387" s="206" t="str">
        <f>IF(AND(A1387&lt;&gt;"",ISNUMBER(A1387)),VLOOKUP(A1387,Studies!A:BR,5,FALSE),"")</f>
        <v>Hydroxy-Itraconazole</v>
      </c>
      <c r="F1387" s="207" t="str">
        <f>IF(AND(A1387&lt;&gt;"",ISNUMBER(A1387)),VLOOKUP(A1387,Studies!A:BR,6,FALSE),"")</f>
        <v>Plasma</v>
      </c>
      <c r="G1387" s="194">
        <v>5</v>
      </c>
      <c r="H1387" s="194" t="s">
        <v>60</v>
      </c>
      <c r="I1387" s="187">
        <v>246.35329842567444</v>
      </c>
      <c r="J1387" s="187" t="s">
        <v>1026</v>
      </c>
      <c r="K1387" s="187" t="s">
        <v>116</v>
      </c>
      <c r="L1387" s="195"/>
      <c r="M1387" s="195"/>
      <c r="N1387" s="195"/>
      <c r="O1387" s="199"/>
      <c r="P1387" s="188"/>
      <c r="Q1387" s="174">
        <f>IF(ISNUMBER(VLOOKUP(A1387,NotghiID!A:A,1,FALSE)),1,0)</f>
        <v>0</v>
      </c>
    </row>
    <row r="1388" spans="1:17" ht="14.25" x14ac:dyDescent="0.2">
      <c r="A1388" s="183">
        <v>493</v>
      </c>
      <c r="B1388" s="232" t="str">
        <f>IF(AND(A1388&lt;&gt;"",ISNUMBER(A1388)),VLOOKUP(A1388,Studies!A:BR,2,FALSE),"")</f>
        <v>Heykants 1989</v>
      </c>
      <c r="C1388" s="232" t="str">
        <f>IF(AND(A1388&lt;&gt;"",ISNUMBER(A1388)),VLOOKUP(A1388,Studies!A:BR,3,FALSE),"")</f>
        <v>https://www.ncbi.nlm.nih.gov/pubmed/2561187</v>
      </c>
      <c r="D1388" s="232" t="str">
        <f>IF(AND(A1388&lt;&gt;"",ISNUMBER(A1388)),VLOOKUP(A1388,Studies!A:BR,4,FALSE),"")</f>
        <v>po 100 mg SD (metabolite screening)</v>
      </c>
      <c r="E1388" s="206" t="str">
        <f>IF(AND(A1388&lt;&gt;"",ISNUMBER(A1388)),VLOOKUP(A1388,Studies!A:BR,5,FALSE),"")</f>
        <v>Hydroxy-Itraconazole</v>
      </c>
      <c r="F1388" s="207" t="str">
        <f>IF(AND(A1388&lt;&gt;"",ISNUMBER(A1388)),VLOOKUP(A1388,Studies!A:BR,6,FALSE),"")</f>
        <v>Plasma</v>
      </c>
      <c r="G1388" s="194">
        <v>6</v>
      </c>
      <c r="H1388" s="194" t="s">
        <v>60</v>
      </c>
      <c r="I1388" s="187">
        <v>234.81020331382751</v>
      </c>
      <c r="J1388" s="187" t="s">
        <v>1026</v>
      </c>
      <c r="K1388" s="187" t="s">
        <v>116</v>
      </c>
      <c r="L1388" s="195"/>
      <c r="M1388" s="195"/>
      <c r="N1388" s="195"/>
      <c r="O1388" s="199"/>
      <c r="P1388" s="188"/>
      <c r="Q1388" s="174">
        <f>IF(ISNUMBER(VLOOKUP(A1388,NotghiID!A:A,1,FALSE)),1,0)</f>
        <v>0</v>
      </c>
    </row>
    <row r="1389" spans="1:17" ht="14.25" x14ac:dyDescent="0.2">
      <c r="A1389" s="183">
        <v>493</v>
      </c>
      <c r="B1389" s="232" t="str">
        <f>IF(AND(A1389&lt;&gt;"",ISNUMBER(A1389)),VLOOKUP(A1389,Studies!A:BR,2,FALSE),"")</f>
        <v>Heykants 1989</v>
      </c>
      <c r="C1389" s="232" t="str">
        <f>IF(AND(A1389&lt;&gt;"",ISNUMBER(A1389)),VLOOKUP(A1389,Studies!A:BR,3,FALSE),"")</f>
        <v>https://www.ncbi.nlm.nih.gov/pubmed/2561187</v>
      </c>
      <c r="D1389" s="232" t="str">
        <f>IF(AND(A1389&lt;&gt;"",ISNUMBER(A1389)),VLOOKUP(A1389,Studies!A:BR,4,FALSE),"")</f>
        <v>po 100 mg SD (metabolite screening)</v>
      </c>
      <c r="E1389" s="206" t="str">
        <f>IF(AND(A1389&lt;&gt;"",ISNUMBER(A1389)),VLOOKUP(A1389,Studies!A:BR,5,FALSE),"")</f>
        <v>Hydroxy-Itraconazole</v>
      </c>
      <c r="F1389" s="207" t="str">
        <f>IF(AND(A1389&lt;&gt;"",ISNUMBER(A1389)),VLOOKUP(A1389,Studies!A:BR,6,FALSE),"")</f>
        <v>Plasma</v>
      </c>
      <c r="G1389" s="194">
        <v>8</v>
      </c>
      <c r="H1389" s="194" t="s">
        <v>60</v>
      </c>
      <c r="I1389" s="187">
        <v>208.26350152492523</v>
      </c>
      <c r="J1389" s="187" t="s">
        <v>1026</v>
      </c>
      <c r="K1389" s="187" t="s">
        <v>116</v>
      </c>
      <c r="L1389" s="195"/>
      <c r="M1389" s="195"/>
      <c r="N1389" s="195"/>
      <c r="O1389" s="199"/>
      <c r="P1389" s="188"/>
      <c r="Q1389" s="174">
        <f>IF(ISNUMBER(VLOOKUP(A1389,NotghiID!A:A,1,FALSE)),1,0)</f>
        <v>0</v>
      </c>
    </row>
    <row r="1390" spans="1:17" ht="14.25" x14ac:dyDescent="0.2">
      <c r="A1390" s="183">
        <v>493</v>
      </c>
      <c r="B1390" s="232" t="str">
        <f>IF(AND(A1390&lt;&gt;"",ISNUMBER(A1390)),VLOOKUP(A1390,Studies!A:BR,2,FALSE),"")</f>
        <v>Heykants 1989</v>
      </c>
      <c r="C1390" s="232" t="str">
        <f>IF(AND(A1390&lt;&gt;"",ISNUMBER(A1390)),VLOOKUP(A1390,Studies!A:BR,3,FALSE),"")</f>
        <v>https://www.ncbi.nlm.nih.gov/pubmed/2561187</v>
      </c>
      <c r="D1390" s="232" t="str">
        <f>IF(AND(A1390&lt;&gt;"",ISNUMBER(A1390)),VLOOKUP(A1390,Studies!A:BR,4,FALSE),"")</f>
        <v>po 100 mg SD (metabolite screening)</v>
      </c>
      <c r="E1390" s="206" t="str">
        <f>IF(AND(A1390&lt;&gt;"",ISNUMBER(A1390)),VLOOKUP(A1390,Studies!A:BR,5,FALSE),"")</f>
        <v>Hydroxy-Itraconazole</v>
      </c>
      <c r="F1390" s="207" t="str">
        <f>IF(AND(A1390&lt;&gt;"",ISNUMBER(A1390)),VLOOKUP(A1390,Studies!A:BR,6,FALSE),"")</f>
        <v>Plasma</v>
      </c>
      <c r="G1390" s="194">
        <v>24</v>
      </c>
      <c r="H1390" s="194" t="s">
        <v>60</v>
      </c>
      <c r="I1390" s="187">
        <v>85.71287989616394</v>
      </c>
      <c r="J1390" s="187" t="s">
        <v>1026</v>
      </c>
      <c r="K1390" s="187" t="s">
        <v>116</v>
      </c>
      <c r="L1390" s="195"/>
      <c r="M1390" s="195"/>
      <c r="N1390" s="195"/>
      <c r="O1390" s="199"/>
      <c r="P1390" s="188"/>
      <c r="Q1390" s="174">
        <f>IF(ISNUMBER(VLOOKUP(A1390,NotghiID!A:A,1,FALSE)),1,0)</f>
        <v>0</v>
      </c>
    </row>
    <row r="1391" spans="1:17" ht="14.25" x14ac:dyDescent="0.2">
      <c r="A1391" s="183">
        <v>493</v>
      </c>
      <c r="B1391" s="232" t="str">
        <f>IF(AND(A1391&lt;&gt;"",ISNUMBER(A1391)),VLOOKUP(A1391,Studies!A:BR,2,FALSE),"")</f>
        <v>Heykants 1989</v>
      </c>
      <c r="C1391" s="232" t="str">
        <f>IF(AND(A1391&lt;&gt;"",ISNUMBER(A1391)),VLOOKUP(A1391,Studies!A:BR,3,FALSE),"")</f>
        <v>https://www.ncbi.nlm.nih.gov/pubmed/2561187</v>
      </c>
      <c r="D1391" s="232" t="str">
        <f>IF(AND(A1391&lt;&gt;"",ISNUMBER(A1391)),VLOOKUP(A1391,Studies!A:BR,4,FALSE),"")</f>
        <v>po 100 mg SD (metabolite screening)</v>
      </c>
      <c r="E1391" s="206" t="str">
        <f>IF(AND(A1391&lt;&gt;"",ISNUMBER(A1391)),VLOOKUP(A1391,Studies!A:BR,5,FALSE),"")</f>
        <v>Hydroxy-Itraconazole</v>
      </c>
      <c r="F1391" s="207" t="str">
        <f>IF(AND(A1391&lt;&gt;"",ISNUMBER(A1391)),VLOOKUP(A1391,Studies!A:BR,6,FALSE),"")</f>
        <v>Plasma</v>
      </c>
      <c r="G1391" s="194">
        <v>32</v>
      </c>
      <c r="H1391" s="194" t="s">
        <v>60</v>
      </c>
      <c r="I1391" s="187">
        <v>59.804670512676239</v>
      </c>
      <c r="J1391" s="187" t="s">
        <v>1026</v>
      </c>
      <c r="K1391" s="187" t="s">
        <v>116</v>
      </c>
      <c r="L1391" s="195"/>
      <c r="M1391" s="195"/>
      <c r="N1391" s="195"/>
      <c r="O1391" s="199"/>
      <c r="P1391" s="188"/>
      <c r="Q1391" s="174">
        <f>IF(ISNUMBER(VLOOKUP(A1391,NotghiID!A:A,1,FALSE)),1,0)</f>
        <v>0</v>
      </c>
    </row>
    <row r="1392" spans="1:17" ht="14.25" x14ac:dyDescent="0.2">
      <c r="A1392" s="183">
        <v>493</v>
      </c>
      <c r="B1392" s="232" t="str">
        <f>IF(AND(A1392&lt;&gt;"",ISNUMBER(A1392)),VLOOKUP(A1392,Studies!A:BR,2,FALSE),"")</f>
        <v>Heykants 1989</v>
      </c>
      <c r="C1392" s="232" t="str">
        <f>IF(AND(A1392&lt;&gt;"",ISNUMBER(A1392)),VLOOKUP(A1392,Studies!A:BR,3,FALSE),"")</f>
        <v>https://www.ncbi.nlm.nih.gov/pubmed/2561187</v>
      </c>
      <c r="D1392" s="232" t="str">
        <f>IF(AND(A1392&lt;&gt;"",ISNUMBER(A1392)),VLOOKUP(A1392,Studies!A:BR,4,FALSE),"")</f>
        <v>po 100 mg SD (metabolite screening)</v>
      </c>
      <c r="E1392" s="206" t="str">
        <f>IF(AND(A1392&lt;&gt;"",ISNUMBER(A1392)),VLOOKUP(A1392,Studies!A:BR,5,FALSE),"")</f>
        <v>Hydroxy-Itraconazole</v>
      </c>
      <c r="F1392" s="207" t="str">
        <f>IF(AND(A1392&lt;&gt;"",ISNUMBER(A1392)),VLOOKUP(A1392,Studies!A:BR,6,FALSE),"")</f>
        <v>Plasma</v>
      </c>
      <c r="G1392" s="194">
        <v>48</v>
      </c>
      <c r="H1392" s="194" t="s">
        <v>60</v>
      </c>
      <c r="I1392" s="187">
        <v>23.743070662021637</v>
      </c>
      <c r="J1392" s="187" t="s">
        <v>1026</v>
      </c>
      <c r="K1392" s="187" t="s">
        <v>116</v>
      </c>
      <c r="L1392" s="195"/>
      <c r="M1392" s="195"/>
      <c r="N1392" s="195"/>
      <c r="O1392" s="199"/>
      <c r="P1392" s="188"/>
      <c r="Q1392" s="174">
        <f>IF(ISNUMBER(VLOOKUP(A1392,NotghiID!A:A,1,FALSE)),1,0)</f>
        <v>0</v>
      </c>
    </row>
    <row r="1393" spans="1:17" ht="14.25" x14ac:dyDescent="0.2">
      <c r="A1393" s="183">
        <v>493</v>
      </c>
      <c r="B1393" s="232" t="str">
        <f>IF(AND(A1393&lt;&gt;"",ISNUMBER(A1393)),VLOOKUP(A1393,Studies!A:BR,2,FALSE),"")</f>
        <v>Heykants 1989</v>
      </c>
      <c r="C1393" s="232" t="str">
        <f>IF(AND(A1393&lt;&gt;"",ISNUMBER(A1393)),VLOOKUP(A1393,Studies!A:BR,3,FALSE),"")</f>
        <v>https://www.ncbi.nlm.nih.gov/pubmed/2561187</v>
      </c>
      <c r="D1393" s="232" t="str">
        <f>IF(AND(A1393&lt;&gt;"",ISNUMBER(A1393)),VLOOKUP(A1393,Studies!A:BR,4,FALSE),"")</f>
        <v>po 100 mg SD (metabolite screening)</v>
      </c>
      <c r="E1393" s="206" t="str">
        <f>IF(AND(A1393&lt;&gt;"",ISNUMBER(A1393)),VLOOKUP(A1393,Studies!A:BR,5,FALSE),"")</f>
        <v>Hydroxy-Itraconazole</v>
      </c>
      <c r="F1393" s="207" t="str">
        <f>IF(AND(A1393&lt;&gt;"",ISNUMBER(A1393)),VLOOKUP(A1393,Studies!A:BR,6,FALSE),"")</f>
        <v>Plasma</v>
      </c>
      <c r="G1393" s="194">
        <v>56</v>
      </c>
      <c r="H1393" s="194" t="s">
        <v>60</v>
      </c>
      <c r="I1393" s="187">
        <v>17.173429951071739</v>
      </c>
      <c r="J1393" s="187" t="s">
        <v>1026</v>
      </c>
      <c r="K1393" s="187" t="s">
        <v>116</v>
      </c>
      <c r="L1393" s="195"/>
      <c r="M1393" s="195"/>
      <c r="N1393" s="195"/>
      <c r="O1393" s="199"/>
      <c r="P1393" s="188"/>
      <c r="Q1393" s="174">
        <f>IF(ISNUMBER(VLOOKUP(A1393,NotghiID!A:A,1,FALSE)),1,0)</f>
        <v>0</v>
      </c>
    </row>
    <row r="1394" spans="1:17" ht="14.25" x14ac:dyDescent="0.2">
      <c r="A1394" s="183">
        <v>493</v>
      </c>
      <c r="B1394" s="232" t="str">
        <f>IF(AND(A1394&lt;&gt;"",ISNUMBER(A1394)),VLOOKUP(A1394,Studies!A:BR,2,FALSE),"")</f>
        <v>Heykants 1989</v>
      </c>
      <c r="C1394" s="232" t="str">
        <f>IF(AND(A1394&lt;&gt;"",ISNUMBER(A1394)),VLOOKUP(A1394,Studies!A:BR,3,FALSE),"")</f>
        <v>https://www.ncbi.nlm.nih.gov/pubmed/2561187</v>
      </c>
      <c r="D1394" s="232" t="str">
        <f>IF(AND(A1394&lt;&gt;"",ISNUMBER(A1394)),VLOOKUP(A1394,Studies!A:BR,4,FALSE),"")</f>
        <v>po 100 mg SD (metabolite screening)</v>
      </c>
      <c r="E1394" s="206" t="str">
        <f>IF(AND(A1394&lt;&gt;"",ISNUMBER(A1394)),VLOOKUP(A1394,Studies!A:BR,5,FALSE),"")</f>
        <v>Hydroxy-Itraconazole</v>
      </c>
      <c r="F1394" s="207" t="str">
        <f>IF(AND(A1394&lt;&gt;"",ISNUMBER(A1394)),VLOOKUP(A1394,Studies!A:BR,6,FALSE),"")</f>
        <v>Plasma</v>
      </c>
      <c r="G1394" s="194">
        <v>72</v>
      </c>
      <c r="H1394" s="194" t="s">
        <v>60</v>
      </c>
      <c r="I1394" s="187">
        <v>7.9688094556331635</v>
      </c>
      <c r="J1394" s="187" t="s">
        <v>1026</v>
      </c>
      <c r="K1394" s="187" t="s">
        <v>116</v>
      </c>
      <c r="L1394" s="195"/>
      <c r="M1394" s="195"/>
      <c r="N1394" s="195"/>
      <c r="O1394" s="199"/>
      <c r="P1394" s="188"/>
      <c r="Q1394" s="174">
        <f>IF(ISNUMBER(VLOOKUP(A1394,NotghiID!A:A,1,FALSE)),1,0)</f>
        <v>0</v>
      </c>
    </row>
    <row r="1395" spans="1:17" ht="14.25" x14ac:dyDescent="0.2">
      <c r="A1395" s="183">
        <v>493</v>
      </c>
      <c r="B1395" s="232" t="str">
        <f>IF(AND(A1395&lt;&gt;"",ISNUMBER(A1395)),VLOOKUP(A1395,Studies!A:BR,2,FALSE),"")</f>
        <v>Heykants 1989</v>
      </c>
      <c r="C1395" s="232" t="str">
        <f>IF(AND(A1395&lt;&gt;"",ISNUMBER(A1395)),VLOOKUP(A1395,Studies!A:BR,3,FALSE),"")</f>
        <v>https://www.ncbi.nlm.nih.gov/pubmed/2561187</v>
      </c>
      <c r="D1395" s="232" t="str">
        <f>IF(AND(A1395&lt;&gt;"",ISNUMBER(A1395)),VLOOKUP(A1395,Studies!A:BR,4,FALSE),"")</f>
        <v>po 100 mg SD (metabolite screening)</v>
      </c>
      <c r="E1395" s="206" t="str">
        <f>IF(AND(A1395&lt;&gt;"",ISNUMBER(A1395)),VLOOKUP(A1395,Studies!A:BR,5,FALSE),"")</f>
        <v>Hydroxy-Itraconazole</v>
      </c>
      <c r="F1395" s="207" t="str">
        <f>IF(AND(A1395&lt;&gt;"",ISNUMBER(A1395)),VLOOKUP(A1395,Studies!A:BR,6,FALSE),"")</f>
        <v>Plasma</v>
      </c>
      <c r="G1395" s="194">
        <v>80</v>
      </c>
      <c r="H1395" s="194" t="s">
        <v>60</v>
      </c>
      <c r="I1395" s="187">
        <v>5.0512580201029778</v>
      </c>
      <c r="J1395" s="187" t="s">
        <v>1026</v>
      </c>
      <c r="K1395" s="187" t="s">
        <v>116</v>
      </c>
      <c r="L1395" s="195"/>
      <c r="M1395" s="195"/>
      <c r="N1395" s="195"/>
      <c r="O1395" s="199"/>
      <c r="P1395" s="188"/>
      <c r="Q1395" s="174">
        <f>IF(ISNUMBER(VLOOKUP(A1395,NotghiID!A:A,1,FALSE)),1,0)</f>
        <v>0</v>
      </c>
    </row>
    <row r="1396" spans="1:17" ht="14.25" x14ac:dyDescent="0.2">
      <c r="A1396" s="183">
        <v>493</v>
      </c>
      <c r="B1396" s="232" t="str">
        <f>IF(AND(A1396&lt;&gt;"",ISNUMBER(A1396)),VLOOKUP(A1396,Studies!A:BR,2,FALSE),"")</f>
        <v>Heykants 1989</v>
      </c>
      <c r="C1396" s="232" t="str">
        <f>IF(AND(A1396&lt;&gt;"",ISNUMBER(A1396)),VLOOKUP(A1396,Studies!A:BR,3,FALSE),"")</f>
        <v>https://www.ncbi.nlm.nih.gov/pubmed/2561187</v>
      </c>
      <c r="D1396" s="232" t="str">
        <f>IF(AND(A1396&lt;&gt;"",ISNUMBER(A1396)),VLOOKUP(A1396,Studies!A:BR,4,FALSE),"")</f>
        <v>po 100 mg SD (metabolite screening)</v>
      </c>
      <c r="E1396" s="206" t="str">
        <f>IF(AND(A1396&lt;&gt;"",ISNUMBER(A1396)),VLOOKUP(A1396,Studies!A:BR,5,FALSE),"")</f>
        <v>Hydroxy-Itraconazole</v>
      </c>
      <c r="F1396" s="207" t="str">
        <f>IF(AND(A1396&lt;&gt;"",ISNUMBER(A1396)),VLOOKUP(A1396,Studies!A:BR,6,FALSE),"")</f>
        <v>Plasma</v>
      </c>
      <c r="G1396" s="194">
        <v>96</v>
      </c>
      <c r="H1396" s="194" t="s">
        <v>60</v>
      </c>
      <c r="I1396" s="187">
        <v>2.261023037135601</v>
      </c>
      <c r="J1396" s="187" t="s">
        <v>1026</v>
      </c>
      <c r="K1396" s="187" t="s">
        <v>116</v>
      </c>
      <c r="L1396" s="195"/>
      <c r="M1396" s="195"/>
      <c r="N1396" s="195"/>
      <c r="O1396" s="199"/>
      <c r="P1396" s="188"/>
      <c r="Q1396" s="174">
        <f>IF(ISNUMBER(VLOOKUP(A1396,NotghiID!A:A,1,FALSE)),1,0)</f>
        <v>0</v>
      </c>
    </row>
    <row r="1397" spans="1:17" ht="14.25" x14ac:dyDescent="0.2">
      <c r="A1397" s="183">
        <v>494</v>
      </c>
      <c r="B1397" s="232" t="str">
        <f>IF(AND(A1397&lt;&gt;"",ISNUMBER(A1397)),VLOOKUP(A1397,Studies!A:BR,2,FALSE),"")</f>
        <v>Heykants 1989</v>
      </c>
      <c r="C1397" s="232" t="str">
        <f>IF(AND(A1397&lt;&gt;"",ISNUMBER(A1397)),VLOOKUP(A1397,Studies!A:BR,3,FALSE),"")</f>
        <v>https://www.ncbi.nlm.nih.gov/pubmed/2561187</v>
      </c>
      <c r="D1397" s="232" t="str">
        <f>IF(AND(A1397&lt;&gt;"",ISNUMBER(A1397)),VLOOKUP(A1397,Studies!A:BR,4,FALSE),"")</f>
        <v>po 100 mg MD OD</v>
      </c>
      <c r="E1397" s="206" t="str">
        <f>IF(AND(A1397&lt;&gt;"",ISNUMBER(A1397)),VLOOKUP(A1397,Studies!A:BR,5,FALSE),"")</f>
        <v>Itraconazole</v>
      </c>
      <c r="F1397" s="207" t="str">
        <f>IF(AND(A1397&lt;&gt;"",ISNUMBER(A1397)),VLOOKUP(A1397,Studies!A:BR,6,FALSE),"")</f>
        <v>Plasma</v>
      </c>
      <c r="G1397" s="194">
        <v>672</v>
      </c>
      <c r="H1397" s="194" t="s">
        <v>60</v>
      </c>
      <c r="I1397" s="187">
        <v>191.28905236721039</v>
      </c>
      <c r="J1397" s="187" t="s">
        <v>1026</v>
      </c>
      <c r="K1397" s="187" t="s">
        <v>116</v>
      </c>
      <c r="L1397" s="195"/>
      <c r="M1397" s="195"/>
      <c r="N1397" s="195"/>
      <c r="O1397" s="199"/>
      <c r="P1397" s="188"/>
      <c r="Q1397" s="174">
        <f>IF(ISNUMBER(VLOOKUP(A1397,NotghiID!A:A,1,FALSE)),1,0)</f>
        <v>0</v>
      </c>
    </row>
    <row r="1398" spans="1:17" ht="14.25" x14ac:dyDescent="0.2">
      <c r="A1398" s="183">
        <v>494</v>
      </c>
      <c r="B1398" s="232" t="str">
        <f>IF(AND(A1398&lt;&gt;"",ISNUMBER(A1398)),VLOOKUP(A1398,Studies!A:BR,2,FALSE),"")</f>
        <v>Heykants 1989</v>
      </c>
      <c r="C1398" s="232" t="str">
        <f>IF(AND(A1398&lt;&gt;"",ISNUMBER(A1398)),VLOOKUP(A1398,Studies!A:BR,3,FALSE),"")</f>
        <v>https://www.ncbi.nlm.nih.gov/pubmed/2561187</v>
      </c>
      <c r="D1398" s="232" t="str">
        <f>IF(AND(A1398&lt;&gt;"",ISNUMBER(A1398)),VLOOKUP(A1398,Studies!A:BR,4,FALSE),"")</f>
        <v>po 100 mg MD OD</v>
      </c>
      <c r="E1398" s="206" t="str">
        <f>IF(AND(A1398&lt;&gt;"",ISNUMBER(A1398)),VLOOKUP(A1398,Studies!A:BR,5,FALSE),"")</f>
        <v>Itraconazole</v>
      </c>
      <c r="F1398" s="207" t="str">
        <f>IF(AND(A1398&lt;&gt;"",ISNUMBER(A1398)),VLOOKUP(A1398,Studies!A:BR,6,FALSE),"")</f>
        <v>Plasma</v>
      </c>
      <c r="G1398" s="194">
        <v>673</v>
      </c>
      <c r="H1398" s="194" t="s">
        <v>60</v>
      </c>
      <c r="I1398" s="187">
        <v>214.28211033344269</v>
      </c>
      <c r="J1398" s="187" t="s">
        <v>1026</v>
      </c>
      <c r="K1398" s="187" t="s">
        <v>116</v>
      </c>
      <c r="L1398" s="195"/>
      <c r="M1398" s="195"/>
      <c r="N1398" s="195"/>
      <c r="O1398" s="199"/>
      <c r="P1398" s="188"/>
      <c r="Q1398" s="174">
        <f>IF(ISNUMBER(VLOOKUP(A1398,NotghiID!A:A,1,FALSE)),1,0)</f>
        <v>0</v>
      </c>
    </row>
    <row r="1399" spans="1:17" ht="14.25" x14ac:dyDescent="0.2">
      <c r="A1399" s="183">
        <v>494</v>
      </c>
      <c r="B1399" s="232" t="str">
        <f>IF(AND(A1399&lt;&gt;"",ISNUMBER(A1399)),VLOOKUP(A1399,Studies!A:BR,2,FALSE),"")</f>
        <v>Heykants 1989</v>
      </c>
      <c r="C1399" s="232" t="str">
        <f>IF(AND(A1399&lt;&gt;"",ISNUMBER(A1399)),VLOOKUP(A1399,Studies!A:BR,3,FALSE),"")</f>
        <v>https://www.ncbi.nlm.nih.gov/pubmed/2561187</v>
      </c>
      <c r="D1399" s="232" t="str">
        <f>IF(AND(A1399&lt;&gt;"",ISNUMBER(A1399)),VLOOKUP(A1399,Studies!A:BR,4,FALSE),"")</f>
        <v>po 100 mg MD OD</v>
      </c>
      <c r="E1399" s="206" t="str">
        <f>IF(AND(A1399&lt;&gt;"",ISNUMBER(A1399)),VLOOKUP(A1399,Studies!A:BR,5,FALSE),"")</f>
        <v>Itraconazole</v>
      </c>
      <c r="F1399" s="207" t="str">
        <f>IF(AND(A1399&lt;&gt;"",ISNUMBER(A1399)),VLOOKUP(A1399,Studies!A:BR,6,FALSE),"")</f>
        <v>Plasma</v>
      </c>
      <c r="G1399" s="194">
        <v>673.5</v>
      </c>
      <c r="H1399" s="194" t="s">
        <v>60</v>
      </c>
      <c r="I1399" s="187">
        <v>277.75499224662781</v>
      </c>
      <c r="J1399" s="187" t="s">
        <v>1026</v>
      </c>
      <c r="K1399" s="187" t="s">
        <v>116</v>
      </c>
      <c r="L1399" s="195"/>
      <c r="M1399" s="195"/>
      <c r="N1399" s="195"/>
      <c r="O1399" s="199"/>
      <c r="P1399" s="188"/>
      <c r="Q1399" s="174">
        <f>IF(ISNUMBER(VLOOKUP(A1399,NotghiID!A:A,1,FALSE)),1,0)</f>
        <v>0</v>
      </c>
    </row>
    <row r="1400" spans="1:17" ht="14.25" x14ac:dyDescent="0.2">
      <c r="A1400" s="183">
        <v>494</v>
      </c>
      <c r="B1400" s="232" t="str">
        <f>IF(AND(A1400&lt;&gt;"",ISNUMBER(A1400)),VLOOKUP(A1400,Studies!A:BR,2,FALSE),"")</f>
        <v>Heykants 1989</v>
      </c>
      <c r="C1400" s="232" t="str">
        <f>IF(AND(A1400&lt;&gt;"",ISNUMBER(A1400)),VLOOKUP(A1400,Studies!A:BR,3,FALSE),"")</f>
        <v>https://www.ncbi.nlm.nih.gov/pubmed/2561187</v>
      </c>
      <c r="D1400" s="232" t="str">
        <f>IF(AND(A1400&lt;&gt;"",ISNUMBER(A1400)),VLOOKUP(A1400,Studies!A:BR,4,FALSE),"")</f>
        <v>po 100 mg MD OD</v>
      </c>
      <c r="E1400" s="206" t="str">
        <f>IF(AND(A1400&lt;&gt;"",ISNUMBER(A1400)),VLOOKUP(A1400,Studies!A:BR,5,FALSE),"")</f>
        <v>Itraconazole</v>
      </c>
      <c r="F1400" s="207" t="str">
        <f>IF(AND(A1400&lt;&gt;"",ISNUMBER(A1400)),VLOOKUP(A1400,Studies!A:BR,6,FALSE),"")</f>
        <v>Plasma</v>
      </c>
      <c r="G1400" s="194">
        <v>674</v>
      </c>
      <c r="H1400" s="194" t="s">
        <v>60</v>
      </c>
      <c r="I1400" s="187">
        <v>365.9149706363678</v>
      </c>
      <c r="J1400" s="187" t="s">
        <v>1026</v>
      </c>
      <c r="K1400" s="187" t="s">
        <v>116</v>
      </c>
      <c r="L1400" s="195"/>
      <c r="M1400" s="195"/>
      <c r="N1400" s="195"/>
      <c r="O1400" s="199"/>
      <c r="P1400" s="188"/>
      <c r="Q1400" s="174">
        <f>IF(ISNUMBER(VLOOKUP(A1400,NotghiID!A:A,1,FALSE)),1,0)</f>
        <v>0</v>
      </c>
    </row>
    <row r="1401" spans="1:17" ht="14.25" x14ac:dyDescent="0.2">
      <c r="A1401" s="183">
        <v>494</v>
      </c>
      <c r="B1401" s="232" t="str">
        <f>IF(AND(A1401&lt;&gt;"",ISNUMBER(A1401)),VLOOKUP(A1401,Studies!A:BR,2,FALSE),"")</f>
        <v>Heykants 1989</v>
      </c>
      <c r="C1401" s="232" t="str">
        <f>IF(AND(A1401&lt;&gt;"",ISNUMBER(A1401)),VLOOKUP(A1401,Studies!A:BR,3,FALSE),"")</f>
        <v>https://www.ncbi.nlm.nih.gov/pubmed/2561187</v>
      </c>
      <c r="D1401" s="232" t="str">
        <f>IF(AND(A1401&lt;&gt;"",ISNUMBER(A1401)),VLOOKUP(A1401,Studies!A:BR,4,FALSE),"")</f>
        <v>po 100 mg MD OD</v>
      </c>
      <c r="E1401" s="206" t="str">
        <f>IF(AND(A1401&lt;&gt;"",ISNUMBER(A1401)),VLOOKUP(A1401,Studies!A:BR,5,FALSE),"")</f>
        <v>Itraconazole</v>
      </c>
      <c r="F1401" s="207" t="str">
        <f>IF(AND(A1401&lt;&gt;"",ISNUMBER(A1401)),VLOOKUP(A1401,Studies!A:BR,6,FALSE),"")</f>
        <v>Plasma</v>
      </c>
      <c r="G1401" s="194">
        <v>675</v>
      </c>
      <c r="H1401" s="194" t="s">
        <v>60</v>
      </c>
      <c r="I1401" s="187">
        <v>540.0007963180542</v>
      </c>
      <c r="J1401" s="187" t="s">
        <v>1026</v>
      </c>
      <c r="K1401" s="187" t="s">
        <v>116</v>
      </c>
      <c r="L1401" s="195"/>
      <c r="M1401" s="195"/>
      <c r="N1401" s="195"/>
      <c r="O1401" s="199"/>
      <c r="P1401" s="188"/>
      <c r="Q1401" s="174">
        <f>IF(ISNUMBER(VLOOKUP(A1401,NotghiID!A:A,1,FALSE)),1,0)</f>
        <v>0</v>
      </c>
    </row>
    <row r="1402" spans="1:17" ht="14.25" x14ac:dyDescent="0.2">
      <c r="A1402" s="183">
        <v>494</v>
      </c>
      <c r="B1402" s="232" t="str">
        <f>IF(AND(A1402&lt;&gt;"",ISNUMBER(A1402)),VLOOKUP(A1402,Studies!A:BR,2,FALSE),"")</f>
        <v>Heykants 1989</v>
      </c>
      <c r="C1402" s="232" t="str">
        <f>IF(AND(A1402&lt;&gt;"",ISNUMBER(A1402)),VLOOKUP(A1402,Studies!A:BR,3,FALSE),"")</f>
        <v>https://www.ncbi.nlm.nih.gov/pubmed/2561187</v>
      </c>
      <c r="D1402" s="232" t="str">
        <f>IF(AND(A1402&lt;&gt;"",ISNUMBER(A1402)),VLOOKUP(A1402,Studies!A:BR,4,FALSE),"")</f>
        <v>po 100 mg MD OD</v>
      </c>
      <c r="E1402" s="206" t="str">
        <f>IF(AND(A1402&lt;&gt;"",ISNUMBER(A1402)),VLOOKUP(A1402,Studies!A:BR,5,FALSE),"")</f>
        <v>Itraconazole</v>
      </c>
      <c r="F1402" s="207" t="str">
        <f>IF(AND(A1402&lt;&gt;"",ISNUMBER(A1402)),VLOOKUP(A1402,Studies!A:BR,6,FALSE),"")</f>
        <v>Plasma</v>
      </c>
      <c r="G1402" s="194">
        <v>676</v>
      </c>
      <c r="H1402" s="194" t="s">
        <v>60</v>
      </c>
      <c r="I1402" s="187">
        <v>585.60603857040405</v>
      </c>
      <c r="J1402" s="187" t="s">
        <v>1026</v>
      </c>
      <c r="K1402" s="187" t="s">
        <v>116</v>
      </c>
      <c r="L1402" s="195"/>
      <c r="M1402" s="195"/>
      <c r="N1402" s="195"/>
      <c r="O1402" s="199"/>
      <c r="P1402" s="188"/>
      <c r="Q1402" s="174">
        <f>IF(ISNUMBER(VLOOKUP(A1402,NotghiID!A:A,1,FALSE)),1,0)</f>
        <v>0</v>
      </c>
    </row>
    <row r="1403" spans="1:17" ht="14.25" x14ac:dyDescent="0.2">
      <c r="A1403" s="183">
        <v>494</v>
      </c>
      <c r="B1403" s="232" t="str">
        <f>IF(AND(A1403&lt;&gt;"",ISNUMBER(A1403)),VLOOKUP(A1403,Studies!A:BR,2,FALSE),"")</f>
        <v>Heykants 1989</v>
      </c>
      <c r="C1403" s="232" t="str">
        <f>IF(AND(A1403&lt;&gt;"",ISNUMBER(A1403)),VLOOKUP(A1403,Studies!A:BR,3,FALSE),"")</f>
        <v>https://www.ncbi.nlm.nih.gov/pubmed/2561187</v>
      </c>
      <c r="D1403" s="232" t="str">
        <f>IF(AND(A1403&lt;&gt;"",ISNUMBER(A1403)),VLOOKUP(A1403,Studies!A:BR,4,FALSE),"")</f>
        <v>po 100 mg MD OD</v>
      </c>
      <c r="E1403" s="206" t="str">
        <f>IF(AND(A1403&lt;&gt;"",ISNUMBER(A1403)),VLOOKUP(A1403,Studies!A:BR,5,FALSE),"")</f>
        <v>Itraconazole</v>
      </c>
      <c r="F1403" s="207" t="str">
        <f>IF(AND(A1403&lt;&gt;"",ISNUMBER(A1403)),VLOOKUP(A1403,Studies!A:BR,6,FALSE),"")</f>
        <v>Plasma</v>
      </c>
      <c r="G1403" s="194">
        <v>677</v>
      </c>
      <c r="H1403" s="194" t="s">
        <v>60</v>
      </c>
      <c r="I1403" s="187">
        <v>531.3151478767395</v>
      </c>
      <c r="J1403" s="187" t="s">
        <v>1026</v>
      </c>
      <c r="K1403" s="187" t="s">
        <v>116</v>
      </c>
      <c r="L1403" s="195"/>
      <c r="M1403" s="195"/>
      <c r="N1403" s="195"/>
      <c r="O1403" s="199"/>
      <c r="P1403" s="188"/>
      <c r="Q1403" s="174">
        <f>IF(ISNUMBER(VLOOKUP(A1403,NotghiID!A:A,1,FALSE)),1,0)</f>
        <v>0</v>
      </c>
    </row>
    <row r="1404" spans="1:17" ht="14.25" x14ac:dyDescent="0.2">
      <c r="A1404" s="183">
        <v>494</v>
      </c>
      <c r="B1404" s="232" t="str">
        <f>IF(AND(A1404&lt;&gt;"",ISNUMBER(A1404)),VLOOKUP(A1404,Studies!A:BR,2,FALSE),"")</f>
        <v>Heykants 1989</v>
      </c>
      <c r="C1404" s="232" t="str">
        <f>IF(AND(A1404&lt;&gt;"",ISNUMBER(A1404)),VLOOKUP(A1404,Studies!A:BR,3,FALSE),"")</f>
        <v>https://www.ncbi.nlm.nih.gov/pubmed/2561187</v>
      </c>
      <c r="D1404" s="232" t="str">
        <f>IF(AND(A1404&lt;&gt;"",ISNUMBER(A1404)),VLOOKUP(A1404,Studies!A:BR,4,FALSE),"")</f>
        <v>po 100 mg MD OD</v>
      </c>
      <c r="E1404" s="206" t="str">
        <f>IF(AND(A1404&lt;&gt;"",ISNUMBER(A1404)),VLOOKUP(A1404,Studies!A:BR,5,FALSE),"")</f>
        <v>Itraconazole</v>
      </c>
      <c r="F1404" s="207" t="str">
        <f>IF(AND(A1404&lt;&gt;"",ISNUMBER(A1404)),VLOOKUP(A1404,Studies!A:BR,6,FALSE),"")</f>
        <v>Plasma</v>
      </c>
      <c r="G1404" s="194">
        <v>680</v>
      </c>
      <c r="H1404" s="194" t="s">
        <v>60</v>
      </c>
      <c r="I1404" s="187">
        <v>371.89692258834839</v>
      </c>
      <c r="J1404" s="187" t="s">
        <v>1026</v>
      </c>
      <c r="K1404" s="187" t="s">
        <v>116</v>
      </c>
      <c r="L1404" s="195"/>
      <c r="M1404" s="195"/>
      <c r="N1404" s="195"/>
      <c r="O1404" s="199"/>
      <c r="P1404" s="188"/>
      <c r="Q1404" s="174">
        <f>IF(ISNUMBER(VLOOKUP(A1404,NotghiID!A:A,1,FALSE)),1,0)</f>
        <v>0</v>
      </c>
    </row>
    <row r="1405" spans="1:17" ht="14.25" x14ac:dyDescent="0.2">
      <c r="A1405" s="183">
        <v>494</v>
      </c>
      <c r="B1405" s="232" t="str">
        <f>IF(AND(A1405&lt;&gt;"",ISNUMBER(A1405)),VLOOKUP(A1405,Studies!A:BR,2,FALSE),"")</f>
        <v>Heykants 1989</v>
      </c>
      <c r="C1405" s="232" t="str">
        <f>IF(AND(A1405&lt;&gt;"",ISNUMBER(A1405)),VLOOKUP(A1405,Studies!A:BR,3,FALSE),"")</f>
        <v>https://www.ncbi.nlm.nih.gov/pubmed/2561187</v>
      </c>
      <c r="D1405" s="232" t="str">
        <f>IF(AND(A1405&lt;&gt;"",ISNUMBER(A1405)),VLOOKUP(A1405,Studies!A:BR,4,FALSE),"")</f>
        <v>po 100 mg MD OD</v>
      </c>
      <c r="E1405" s="206" t="str">
        <f>IF(AND(A1405&lt;&gt;"",ISNUMBER(A1405)),VLOOKUP(A1405,Studies!A:BR,5,FALSE),"")</f>
        <v>Itraconazole</v>
      </c>
      <c r="F1405" s="207" t="str">
        <f>IF(AND(A1405&lt;&gt;"",ISNUMBER(A1405)),VLOOKUP(A1405,Studies!A:BR,6,FALSE),"")</f>
        <v>Plasma</v>
      </c>
      <c r="G1405" s="194">
        <v>696</v>
      </c>
      <c r="H1405" s="194" t="s">
        <v>60</v>
      </c>
      <c r="I1405" s="187">
        <v>191.28905236721039</v>
      </c>
      <c r="J1405" s="187" t="s">
        <v>1026</v>
      </c>
      <c r="K1405" s="187" t="s">
        <v>116</v>
      </c>
      <c r="L1405" s="195"/>
      <c r="M1405" s="195"/>
      <c r="N1405" s="195"/>
      <c r="O1405" s="199"/>
      <c r="P1405" s="188"/>
      <c r="Q1405" s="174">
        <f>IF(ISNUMBER(VLOOKUP(A1405,NotghiID!A:A,1,FALSE)),1,0)</f>
        <v>0</v>
      </c>
    </row>
    <row r="1406" spans="1:17" ht="14.25" x14ac:dyDescent="0.2">
      <c r="A1406" s="183">
        <v>494</v>
      </c>
      <c r="B1406" s="232" t="str">
        <f>IF(AND(A1406&lt;&gt;"",ISNUMBER(A1406)),VLOOKUP(A1406,Studies!A:BR,2,FALSE),"")</f>
        <v>Heykants 1989</v>
      </c>
      <c r="C1406" s="232" t="str">
        <f>IF(AND(A1406&lt;&gt;"",ISNUMBER(A1406)),VLOOKUP(A1406,Studies!A:BR,3,FALSE),"")</f>
        <v>https://www.ncbi.nlm.nih.gov/pubmed/2561187</v>
      </c>
      <c r="D1406" s="232" t="str">
        <f>IF(AND(A1406&lt;&gt;"",ISNUMBER(A1406)),VLOOKUP(A1406,Studies!A:BR,4,FALSE),"")</f>
        <v>po 100 mg MD OD</v>
      </c>
      <c r="E1406" s="206" t="str">
        <f>IF(AND(A1406&lt;&gt;"",ISNUMBER(A1406)),VLOOKUP(A1406,Studies!A:BR,5,FALSE),"")</f>
        <v>Itraconazole</v>
      </c>
      <c r="F1406" s="207" t="str">
        <f>IF(AND(A1406&lt;&gt;"",ISNUMBER(A1406)),VLOOKUP(A1406,Studies!A:BR,6,FALSE),"")</f>
        <v>Plasma</v>
      </c>
      <c r="G1406" s="194">
        <v>704</v>
      </c>
      <c r="H1406" s="194" t="s">
        <v>60</v>
      </c>
      <c r="I1406" s="187">
        <v>165.31409323215485</v>
      </c>
      <c r="J1406" s="187" t="s">
        <v>1026</v>
      </c>
      <c r="K1406" s="187" t="s">
        <v>116</v>
      </c>
      <c r="L1406" s="195"/>
      <c r="M1406" s="195"/>
      <c r="N1406" s="195"/>
      <c r="O1406" s="199"/>
      <c r="P1406" s="188"/>
      <c r="Q1406" s="174">
        <f>IF(ISNUMBER(VLOOKUP(A1406,NotghiID!A:A,1,FALSE)),1,0)</f>
        <v>0</v>
      </c>
    </row>
    <row r="1407" spans="1:17" ht="14.25" x14ac:dyDescent="0.2">
      <c r="A1407" s="183">
        <v>494</v>
      </c>
      <c r="B1407" s="232" t="str">
        <f>IF(AND(A1407&lt;&gt;"",ISNUMBER(A1407)),VLOOKUP(A1407,Studies!A:BR,2,FALSE),"")</f>
        <v>Heykants 1989</v>
      </c>
      <c r="C1407" s="232" t="str">
        <f>IF(AND(A1407&lt;&gt;"",ISNUMBER(A1407)),VLOOKUP(A1407,Studies!A:BR,3,FALSE),"")</f>
        <v>https://www.ncbi.nlm.nih.gov/pubmed/2561187</v>
      </c>
      <c r="D1407" s="232" t="str">
        <f>IF(AND(A1407&lt;&gt;"",ISNUMBER(A1407)),VLOOKUP(A1407,Studies!A:BR,4,FALSE),"")</f>
        <v>po 100 mg MD OD</v>
      </c>
      <c r="E1407" s="206" t="str">
        <f>IF(AND(A1407&lt;&gt;"",ISNUMBER(A1407)),VLOOKUP(A1407,Studies!A:BR,5,FALSE),"")</f>
        <v>Itraconazole</v>
      </c>
      <c r="F1407" s="207" t="str">
        <f>IF(AND(A1407&lt;&gt;"",ISNUMBER(A1407)),VLOOKUP(A1407,Studies!A:BR,6,FALSE),"")</f>
        <v>Plasma</v>
      </c>
      <c r="G1407" s="194">
        <v>720</v>
      </c>
      <c r="H1407" s="194" t="s">
        <v>60</v>
      </c>
      <c r="I1407" s="187">
        <v>110.21826416254044</v>
      </c>
      <c r="J1407" s="187" t="s">
        <v>1026</v>
      </c>
      <c r="K1407" s="187" t="s">
        <v>116</v>
      </c>
      <c r="L1407" s="195"/>
      <c r="M1407" s="195"/>
      <c r="N1407" s="195"/>
      <c r="O1407" s="199"/>
      <c r="P1407" s="188"/>
      <c r="Q1407" s="174">
        <f>IF(ISNUMBER(VLOOKUP(A1407,NotghiID!A:A,1,FALSE)),1,0)</f>
        <v>0</v>
      </c>
    </row>
    <row r="1408" spans="1:17" ht="14.25" x14ac:dyDescent="0.2">
      <c r="A1408" s="183">
        <v>494</v>
      </c>
      <c r="B1408" s="232" t="str">
        <f>IF(AND(A1408&lt;&gt;"",ISNUMBER(A1408)),VLOOKUP(A1408,Studies!A:BR,2,FALSE),"")</f>
        <v>Heykants 1989</v>
      </c>
      <c r="C1408" s="232" t="str">
        <f>IF(AND(A1408&lt;&gt;"",ISNUMBER(A1408)),VLOOKUP(A1408,Studies!A:BR,3,FALSE),"")</f>
        <v>https://www.ncbi.nlm.nih.gov/pubmed/2561187</v>
      </c>
      <c r="D1408" s="232" t="str">
        <f>IF(AND(A1408&lt;&gt;"",ISNUMBER(A1408)),VLOOKUP(A1408,Studies!A:BR,4,FALSE),"")</f>
        <v>po 100 mg MD OD</v>
      </c>
      <c r="E1408" s="206" t="str">
        <f>IF(AND(A1408&lt;&gt;"",ISNUMBER(A1408)),VLOOKUP(A1408,Studies!A:BR,5,FALSE),"")</f>
        <v>Itraconazole</v>
      </c>
      <c r="F1408" s="207" t="str">
        <f>IF(AND(A1408&lt;&gt;"",ISNUMBER(A1408)),VLOOKUP(A1408,Studies!A:BR,6,FALSE),"")</f>
        <v>Plasma</v>
      </c>
      <c r="G1408" s="194">
        <v>728</v>
      </c>
      <c r="H1408" s="194" t="s">
        <v>60</v>
      </c>
      <c r="I1408" s="187">
        <v>95.251791179180145</v>
      </c>
      <c r="J1408" s="187" t="s">
        <v>1026</v>
      </c>
      <c r="K1408" s="187" t="s">
        <v>116</v>
      </c>
      <c r="L1408" s="195"/>
      <c r="M1408" s="195"/>
      <c r="N1408" s="195"/>
      <c r="O1408" s="199"/>
      <c r="P1408" s="188"/>
      <c r="Q1408" s="174">
        <f>IF(ISNUMBER(VLOOKUP(A1408,NotghiID!A:A,1,FALSE)),1,0)</f>
        <v>0</v>
      </c>
    </row>
    <row r="1409" spans="1:17" ht="14.25" x14ac:dyDescent="0.2">
      <c r="A1409" s="183">
        <v>494</v>
      </c>
      <c r="B1409" s="232" t="str">
        <f>IF(AND(A1409&lt;&gt;"",ISNUMBER(A1409)),VLOOKUP(A1409,Studies!A:BR,2,FALSE),"")</f>
        <v>Heykants 1989</v>
      </c>
      <c r="C1409" s="232" t="str">
        <f>IF(AND(A1409&lt;&gt;"",ISNUMBER(A1409)),VLOOKUP(A1409,Studies!A:BR,3,FALSE),"")</f>
        <v>https://www.ncbi.nlm.nih.gov/pubmed/2561187</v>
      </c>
      <c r="D1409" s="232" t="str">
        <f>IF(AND(A1409&lt;&gt;"",ISNUMBER(A1409)),VLOOKUP(A1409,Studies!A:BR,4,FALSE),"")</f>
        <v>po 100 mg MD OD</v>
      </c>
      <c r="E1409" s="206" t="str">
        <f>IF(AND(A1409&lt;&gt;"",ISNUMBER(A1409)),VLOOKUP(A1409,Studies!A:BR,5,FALSE),"")</f>
        <v>Itraconazole</v>
      </c>
      <c r="F1409" s="207" t="str">
        <f>IF(AND(A1409&lt;&gt;"",ISNUMBER(A1409)),VLOOKUP(A1409,Studies!A:BR,6,FALSE),"")</f>
        <v>Plasma</v>
      </c>
      <c r="G1409" s="194">
        <v>744</v>
      </c>
      <c r="H1409" s="194" t="s">
        <v>60</v>
      </c>
      <c r="I1409" s="187">
        <v>67.76195764541626</v>
      </c>
      <c r="J1409" s="187" t="s">
        <v>1026</v>
      </c>
      <c r="K1409" s="187" t="s">
        <v>116</v>
      </c>
      <c r="L1409" s="195"/>
      <c r="M1409" s="195"/>
      <c r="N1409" s="195"/>
      <c r="O1409" s="199"/>
      <c r="P1409" s="188"/>
      <c r="Q1409" s="174">
        <f>IF(ISNUMBER(VLOOKUP(A1409,NotghiID!A:A,1,FALSE)),1,0)</f>
        <v>0</v>
      </c>
    </row>
    <row r="1410" spans="1:17" ht="14.25" x14ac:dyDescent="0.2">
      <c r="A1410" s="183">
        <v>494</v>
      </c>
      <c r="B1410" s="232" t="str">
        <f>IF(AND(A1410&lt;&gt;"",ISNUMBER(A1410)),VLOOKUP(A1410,Studies!A:BR,2,FALSE),"")</f>
        <v>Heykants 1989</v>
      </c>
      <c r="C1410" s="232" t="str">
        <f>IF(AND(A1410&lt;&gt;"",ISNUMBER(A1410)),VLOOKUP(A1410,Studies!A:BR,3,FALSE),"")</f>
        <v>https://www.ncbi.nlm.nih.gov/pubmed/2561187</v>
      </c>
      <c r="D1410" s="232" t="str">
        <f>IF(AND(A1410&lt;&gt;"",ISNUMBER(A1410)),VLOOKUP(A1410,Studies!A:BR,4,FALSE),"")</f>
        <v>po 100 mg MD OD</v>
      </c>
      <c r="E1410" s="206" t="str">
        <f>IF(AND(A1410&lt;&gt;"",ISNUMBER(A1410)),VLOOKUP(A1410,Studies!A:BR,5,FALSE),"")</f>
        <v>Itraconazole</v>
      </c>
      <c r="F1410" s="207" t="str">
        <f>IF(AND(A1410&lt;&gt;"",ISNUMBER(A1410)),VLOOKUP(A1410,Studies!A:BR,6,FALSE),"")</f>
        <v>Plasma</v>
      </c>
      <c r="G1410" s="194">
        <v>768</v>
      </c>
      <c r="H1410" s="194" t="s">
        <v>60</v>
      </c>
      <c r="I1410" s="187">
        <v>43.736603111028671</v>
      </c>
      <c r="J1410" s="187" t="s">
        <v>1026</v>
      </c>
      <c r="K1410" s="187" t="s">
        <v>116</v>
      </c>
      <c r="L1410" s="195"/>
      <c r="M1410" s="195"/>
      <c r="N1410" s="195"/>
      <c r="O1410" s="199"/>
      <c r="P1410" s="188"/>
      <c r="Q1410" s="174">
        <f>IF(ISNUMBER(VLOOKUP(A1410,NotghiID!A:A,1,FALSE)),1,0)</f>
        <v>0</v>
      </c>
    </row>
    <row r="1411" spans="1:17" ht="14.25" x14ac:dyDescent="0.2">
      <c r="A1411" s="183">
        <v>495</v>
      </c>
      <c r="B1411" s="232" t="str">
        <f>IF(AND(A1411&lt;&gt;"",ISNUMBER(A1411)),VLOOKUP(A1411,Studies!A:BR,2,FALSE),"")</f>
        <v>Heykants 1989</v>
      </c>
      <c r="C1411" s="232" t="str">
        <f>IF(AND(A1411&lt;&gt;"",ISNUMBER(A1411)),VLOOKUP(A1411,Studies!A:BR,3,FALSE),"")</f>
        <v>https://www.ncbi.nlm.nih.gov/pubmed/2561187</v>
      </c>
      <c r="D1411" s="232" t="str">
        <f>IF(AND(A1411&lt;&gt;"",ISNUMBER(A1411)),VLOOKUP(A1411,Studies!A:BR,4,FALSE),"")</f>
        <v>po 100 mg MD OD</v>
      </c>
      <c r="E1411" s="206" t="str">
        <f>IF(AND(A1411&lt;&gt;"",ISNUMBER(A1411)),VLOOKUP(A1411,Studies!A:BR,5,FALSE),"")</f>
        <v>Hydroxy-Itraconazole</v>
      </c>
      <c r="F1411" s="207" t="str">
        <f>IF(AND(A1411&lt;&gt;"",ISNUMBER(A1411)),VLOOKUP(A1411,Studies!A:BR,6,FALSE),"")</f>
        <v>Plasma</v>
      </c>
      <c r="G1411" s="194">
        <v>672</v>
      </c>
      <c r="H1411" s="194" t="s">
        <v>60</v>
      </c>
      <c r="I1411" s="187">
        <v>365.9149706363678</v>
      </c>
      <c r="J1411" s="187" t="s">
        <v>1026</v>
      </c>
      <c r="K1411" s="187" t="s">
        <v>116</v>
      </c>
      <c r="L1411" s="195"/>
      <c r="M1411" s="195"/>
      <c r="N1411" s="195"/>
      <c r="O1411" s="199"/>
      <c r="P1411" s="188"/>
      <c r="Q1411" s="174">
        <f>IF(ISNUMBER(VLOOKUP(A1411,NotghiID!A:A,1,FALSE)),1,0)</f>
        <v>0</v>
      </c>
    </row>
    <row r="1412" spans="1:17" ht="14.25" x14ac:dyDescent="0.2">
      <c r="A1412" s="183">
        <v>495</v>
      </c>
      <c r="B1412" s="232" t="str">
        <f>IF(AND(A1412&lt;&gt;"",ISNUMBER(A1412)),VLOOKUP(A1412,Studies!A:BR,2,FALSE),"")</f>
        <v>Heykants 1989</v>
      </c>
      <c r="C1412" s="232" t="str">
        <f>IF(AND(A1412&lt;&gt;"",ISNUMBER(A1412)),VLOOKUP(A1412,Studies!A:BR,3,FALSE),"")</f>
        <v>https://www.ncbi.nlm.nih.gov/pubmed/2561187</v>
      </c>
      <c r="D1412" s="232" t="str">
        <f>IF(AND(A1412&lt;&gt;"",ISNUMBER(A1412)),VLOOKUP(A1412,Studies!A:BR,4,FALSE),"")</f>
        <v>po 100 mg MD OD</v>
      </c>
      <c r="E1412" s="206" t="str">
        <f>IF(AND(A1412&lt;&gt;"",ISNUMBER(A1412)),VLOOKUP(A1412,Studies!A:BR,5,FALSE),"")</f>
        <v>Hydroxy-Itraconazole</v>
      </c>
      <c r="F1412" s="207" t="str">
        <f>IF(AND(A1412&lt;&gt;"",ISNUMBER(A1412)),VLOOKUP(A1412,Studies!A:BR,6,FALSE),"")</f>
        <v>Plasma</v>
      </c>
      <c r="G1412" s="194">
        <v>673.5</v>
      </c>
      <c r="H1412" s="194" t="s">
        <v>60</v>
      </c>
      <c r="I1412" s="187">
        <v>489.93769288063049</v>
      </c>
      <c r="J1412" s="187" t="s">
        <v>1026</v>
      </c>
      <c r="K1412" s="187" t="s">
        <v>116</v>
      </c>
      <c r="L1412" s="195"/>
      <c r="M1412" s="195"/>
      <c r="N1412" s="195"/>
      <c r="O1412" s="199"/>
      <c r="P1412" s="188"/>
      <c r="Q1412" s="174">
        <f>IF(ISNUMBER(VLOOKUP(A1412,NotghiID!A:A,1,FALSE)),1,0)</f>
        <v>0</v>
      </c>
    </row>
    <row r="1413" spans="1:17" ht="14.25" x14ac:dyDescent="0.2">
      <c r="A1413" s="183">
        <v>495</v>
      </c>
      <c r="B1413" s="232" t="str">
        <f>IF(AND(A1413&lt;&gt;"",ISNUMBER(A1413)),VLOOKUP(A1413,Studies!A:BR,2,FALSE),"")</f>
        <v>Heykants 1989</v>
      </c>
      <c r="C1413" s="232" t="str">
        <f>IF(AND(A1413&lt;&gt;"",ISNUMBER(A1413)),VLOOKUP(A1413,Studies!A:BR,3,FALSE),"")</f>
        <v>https://www.ncbi.nlm.nih.gov/pubmed/2561187</v>
      </c>
      <c r="D1413" s="232" t="str">
        <f>IF(AND(A1413&lt;&gt;"",ISNUMBER(A1413)),VLOOKUP(A1413,Studies!A:BR,4,FALSE),"")</f>
        <v>po 100 mg MD OD</v>
      </c>
      <c r="E1413" s="206" t="str">
        <f>IF(AND(A1413&lt;&gt;"",ISNUMBER(A1413)),VLOOKUP(A1413,Studies!A:BR,5,FALSE),"")</f>
        <v>Hydroxy-Itraconazole</v>
      </c>
      <c r="F1413" s="207" t="str">
        <f>IF(AND(A1413&lt;&gt;"",ISNUMBER(A1413)),VLOOKUP(A1413,Studies!A:BR,6,FALSE),"")</f>
        <v>Plasma</v>
      </c>
      <c r="G1413" s="194">
        <v>674</v>
      </c>
      <c r="H1413" s="194" t="s">
        <v>60</v>
      </c>
      <c r="I1413" s="187">
        <v>576.18683576583862</v>
      </c>
      <c r="J1413" s="187" t="s">
        <v>1026</v>
      </c>
      <c r="K1413" s="187" t="s">
        <v>116</v>
      </c>
      <c r="L1413" s="195"/>
      <c r="M1413" s="195"/>
      <c r="N1413" s="195"/>
      <c r="O1413" s="199"/>
      <c r="P1413" s="188"/>
      <c r="Q1413" s="174">
        <f>IF(ISNUMBER(VLOOKUP(A1413,NotghiID!A:A,1,FALSE)),1,0)</f>
        <v>0</v>
      </c>
    </row>
    <row r="1414" spans="1:17" ht="14.25" x14ac:dyDescent="0.2">
      <c r="A1414" s="183">
        <v>495</v>
      </c>
      <c r="B1414" s="232" t="str">
        <f>IF(AND(A1414&lt;&gt;"",ISNUMBER(A1414)),VLOOKUP(A1414,Studies!A:BR,2,FALSE),"")</f>
        <v>Heykants 1989</v>
      </c>
      <c r="C1414" s="232" t="str">
        <f>IF(AND(A1414&lt;&gt;"",ISNUMBER(A1414)),VLOOKUP(A1414,Studies!A:BR,3,FALSE),"")</f>
        <v>https://www.ncbi.nlm.nih.gov/pubmed/2561187</v>
      </c>
      <c r="D1414" s="232" t="str">
        <f>IF(AND(A1414&lt;&gt;"",ISNUMBER(A1414)),VLOOKUP(A1414,Studies!A:BR,4,FALSE),"")</f>
        <v>po 100 mg MD OD</v>
      </c>
      <c r="E1414" s="206" t="str">
        <f>IF(AND(A1414&lt;&gt;"",ISNUMBER(A1414)),VLOOKUP(A1414,Studies!A:BR,5,FALSE),"")</f>
        <v>Hydroxy-Itraconazole</v>
      </c>
      <c r="F1414" s="207" t="str">
        <f>IF(AND(A1414&lt;&gt;"",ISNUMBER(A1414)),VLOOKUP(A1414,Studies!A:BR,6,FALSE),"")</f>
        <v>Plasma</v>
      </c>
      <c r="G1414" s="194">
        <v>675</v>
      </c>
      <c r="H1414" s="194" t="s">
        <v>60</v>
      </c>
      <c r="I1414" s="187">
        <v>635.06311178207397</v>
      </c>
      <c r="J1414" s="187" t="s">
        <v>1026</v>
      </c>
      <c r="K1414" s="187" t="s">
        <v>116</v>
      </c>
      <c r="L1414" s="195"/>
      <c r="M1414" s="195"/>
      <c r="N1414" s="195"/>
      <c r="O1414" s="199"/>
      <c r="P1414" s="188"/>
      <c r="Q1414" s="174">
        <f>IF(ISNUMBER(VLOOKUP(A1414,NotghiID!A:A,1,FALSE)),1,0)</f>
        <v>0</v>
      </c>
    </row>
    <row r="1415" spans="1:17" ht="14.25" x14ac:dyDescent="0.2">
      <c r="A1415" s="183">
        <v>495</v>
      </c>
      <c r="B1415" s="232" t="str">
        <f>IF(AND(A1415&lt;&gt;"",ISNUMBER(A1415)),VLOOKUP(A1415,Studies!A:BR,2,FALSE),"")</f>
        <v>Heykants 1989</v>
      </c>
      <c r="C1415" s="232" t="str">
        <f>IF(AND(A1415&lt;&gt;"",ISNUMBER(A1415)),VLOOKUP(A1415,Studies!A:BR,3,FALSE),"")</f>
        <v>https://www.ncbi.nlm.nih.gov/pubmed/2561187</v>
      </c>
      <c r="D1415" s="232" t="str">
        <f>IF(AND(A1415&lt;&gt;"",ISNUMBER(A1415)),VLOOKUP(A1415,Studies!A:BR,4,FALSE),"")</f>
        <v>po 100 mg MD OD</v>
      </c>
      <c r="E1415" s="206" t="str">
        <f>IF(AND(A1415&lt;&gt;"",ISNUMBER(A1415)),VLOOKUP(A1415,Studies!A:BR,5,FALSE),"")</f>
        <v>Hydroxy-Itraconazole</v>
      </c>
      <c r="F1415" s="207" t="str">
        <f>IF(AND(A1415&lt;&gt;"",ISNUMBER(A1415)),VLOOKUP(A1415,Studies!A:BR,6,FALSE),"")</f>
        <v>Plasma</v>
      </c>
      <c r="G1415" s="194">
        <v>676</v>
      </c>
      <c r="H1415" s="194" t="s">
        <v>60</v>
      </c>
      <c r="I1415" s="187">
        <v>723.02764654159546</v>
      </c>
      <c r="J1415" s="187" t="s">
        <v>1026</v>
      </c>
      <c r="K1415" s="187" t="s">
        <v>116</v>
      </c>
      <c r="L1415" s="195"/>
      <c r="M1415" s="195"/>
      <c r="N1415" s="195"/>
      <c r="O1415" s="199"/>
      <c r="P1415" s="188"/>
      <c r="Q1415" s="174">
        <f>IF(ISNUMBER(VLOOKUP(A1415,NotghiID!A:A,1,FALSE)),1,0)</f>
        <v>0</v>
      </c>
    </row>
    <row r="1416" spans="1:17" ht="14.25" x14ac:dyDescent="0.2">
      <c r="A1416" s="183">
        <v>495</v>
      </c>
      <c r="B1416" s="232" t="str">
        <f>IF(AND(A1416&lt;&gt;"",ISNUMBER(A1416)),VLOOKUP(A1416,Studies!A:BR,2,FALSE),"")</f>
        <v>Heykants 1989</v>
      </c>
      <c r="C1416" s="232" t="str">
        <f>IF(AND(A1416&lt;&gt;"",ISNUMBER(A1416)),VLOOKUP(A1416,Studies!A:BR,3,FALSE),"")</f>
        <v>https://www.ncbi.nlm.nih.gov/pubmed/2561187</v>
      </c>
      <c r="D1416" s="232" t="str">
        <f>IF(AND(A1416&lt;&gt;"",ISNUMBER(A1416)),VLOOKUP(A1416,Studies!A:BR,4,FALSE),"")</f>
        <v>po 100 mg MD OD</v>
      </c>
      <c r="E1416" s="206" t="str">
        <f>IF(AND(A1416&lt;&gt;"",ISNUMBER(A1416)),VLOOKUP(A1416,Studies!A:BR,5,FALSE),"")</f>
        <v>Hydroxy-Itraconazole</v>
      </c>
      <c r="F1416" s="207" t="str">
        <f>IF(AND(A1416&lt;&gt;"",ISNUMBER(A1416)),VLOOKUP(A1416,Studies!A:BR,6,FALSE),"")</f>
        <v>Plasma</v>
      </c>
      <c r="G1416" s="194">
        <v>677</v>
      </c>
      <c r="H1416" s="194" t="s">
        <v>60</v>
      </c>
      <c r="I1416" s="187">
        <v>759.06956195831299</v>
      </c>
      <c r="J1416" s="187" t="s">
        <v>1026</v>
      </c>
      <c r="K1416" s="187" t="s">
        <v>116</v>
      </c>
      <c r="L1416" s="195"/>
      <c r="M1416" s="195"/>
      <c r="N1416" s="195"/>
      <c r="O1416" s="199"/>
      <c r="P1416" s="188"/>
      <c r="Q1416" s="174">
        <f>IF(ISNUMBER(VLOOKUP(A1416,NotghiID!A:A,1,FALSE)),1,0)</f>
        <v>0</v>
      </c>
    </row>
    <row r="1417" spans="1:17" ht="14.25" x14ac:dyDescent="0.2">
      <c r="A1417" s="183">
        <v>495</v>
      </c>
      <c r="B1417" s="232" t="str">
        <f>IF(AND(A1417&lt;&gt;"",ISNUMBER(A1417)),VLOOKUP(A1417,Studies!A:BR,2,FALSE),"")</f>
        <v>Heykants 1989</v>
      </c>
      <c r="C1417" s="232" t="str">
        <f>IF(AND(A1417&lt;&gt;"",ISNUMBER(A1417)),VLOOKUP(A1417,Studies!A:BR,3,FALSE),"")</f>
        <v>https://www.ncbi.nlm.nih.gov/pubmed/2561187</v>
      </c>
      <c r="D1417" s="232" t="str">
        <f>IF(AND(A1417&lt;&gt;"",ISNUMBER(A1417)),VLOOKUP(A1417,Studies!A:BR,4,FALSE),"")</f>
        <v>po 100 mg MD OD</v>
      </c>
      <c r="E1417" s="206" t="str">
        <f>IF(AND(A1417&lt;&gt;"",ISNUMBER(A1417)),VLOOKUP(A1417,Studies!A:BR,5,FALSE),"")</f>
        <v>Hydroxy-Itraconazole</v>
      </c>
      <c r="F1417" s="207" t="str">
        <f>IF(AND(A1417&lt;&gt;"",ISNUMBER(A1417)),VLOOKUP(A1417,Studies!A:BR,6,FALSE),"")</f>
        <v>Plasma</v>
      </c>
      <c r="G1417" s="194">
        <v>680</v>
      </c>
      <c r="H1417" s="194" t="s">
        <v>60</v>
      </c>
      <c r="I1417" s="187">
        <v>711.39806509017944</v>
      </c>
      <c r="J1417" s="187" t="s">
        <v>1026</v>
      </c>
      <c r="K1417" s="187" t="s">
        <v>116</v>
      </c>
      <c r="L1417" s="195"/>
      <c r="M1417" s="195"/>
      <c r="N1417" s="195"/>
      <c r="O1417" s="199"/>
      <c r="P1417" s="188"/>
      <c r="Q1417" s="174">
        <f>IF(ISNUMBER(VLOOKUP(A1417,NotghiID!A:A,1,FALSE)),1,0)</f>
        <v>0</v>
      </c>
    </row>
    <row r="1418" spans="1:17" ht="14.25" x14ac:dyDescent="0.2">
      <c r="A1418" s="183">
        <v>495</v>
      </c>
      <c r="B1418" s="232" t="str">
        <f>IF(AND(A1418&lt;&gt;"",ISNUMBER(A1418)),VLOOKUP(A1418,Studies!A:BR,2,FALSE),"")</f>
        <v>Heykants 1989</v>
      </c>
      <c r="C1418" s="232" t="str">
        <f>IF(AND(A1418&lt;&gt;"",ISNUMBER(A1418)),VLOOKUP(A1418,Studies!A:BR,3,FALSE),"")</f>
        <v>https://www.ncbi.nlm.nih.gov/pubmed/2561187</v>
      </c>
      <c r="D1418" s="232" t="str">
        <f>IF(AND(A1418&lt;&gt;"",ISNUMBER(A1418)),VLOOKUP(A1418,Studies!A:BR,4,FALSE),"")</f>
        <v>po 100 mg MD OD</v>
      </c>
      <c r="E1418" s="206" t="str">
        <f>IF(AND(A1418&lt;&gt;"",ISNUMBER(A1418)),VLOOKUP(A1418,Studies!A:BR,5,FALSE),"")</f>
        <v>Hydroxy-Itraconazole</v>
      </c>
      <c r="F1418" s="207" t="str">
        <f>IF(AND(A1418&lt;&gt;"",ISNUMBER(A1418)),VLOOKUP(A1418,Studies!A:BR,6,FALSE),"")</f>
        <v>Plasma</v>
      </c>
      <c r="G1418" s="194">
        <v>696</v>
      </c>
      <c r="H1418" s="194" t="s">
        <v>60</v>
      </c>
      <c r="I1418" s="187">
        <v>396.8181312084198</v>
      </c>
      <c r="J1418" s="187" t="s">
        <v>1026</v>
      </c>
      <c r="K1418" s="187" t="s">
        <v>116</v>
      </c>
      <c r="L1418" s="195"/>
      <c r="M1418" s="195"/>
      <c r="N1418" s="195"/>
      <c r="O1418" s="199"/>
      <c r="P1418" s="188"/>
      <c r="Q1418" s="174">
        <f>IF(ISNUMBER(VLOOKUP(A1418,NotghiID!A:A,1,FALSE)),1,0)</f>
        <v>0</v>
      </c>
    </row>
    <row r="1419" spans="1:17" ht="14.25" x14ac:dyDescent="0.2">
      <c r="A1419" s="183">
        <v>495</v>
      </c>
      <c r="B1419" s="232" t="str">
        <f>IF(AND(A1419&lt;&gt;"",ISNUMBER(A1419)),VLOOKUP(A1419,Studies!A:BR,2,FALSE),"")</f>
        <v>Heykants 1989</v>
      </c>
      <c r="C1419" s="232" t="str">
        <f>IF(AND(A1419&lt;&gt;"",ISNUMBER(A1419)),VLOOKUP(A1419,Studies!A:BR,3,FALSE),"")</f>
        <v>https://www.ncbi.nlm.nih.gov/pubmed/2561187</v>
      </c>
      <c r="D1419" s="232" t="str">
        <f>IF(AND(A1419&lt;&gt;"",ISNUMBER(A1419)),VLOOKUP(A1419,Studies!A:BR,4,FALSE),"")</f>
        <v>po 100 mg MD OD</v>
      </c>
      <c r="E1419" s="206" t="str">
        <f>IF(AND(A1419&lt;&gt;"",ISNUMBER(A1419)),VLOOKUP(A1419,Studies!A:BR,5,FALSE),"")</f>
        <v>Hydroxy-Itraconazole</v>
      </c>
      <c r="F1419" s="207" t="str">
        <f>IF(AND(A1419&lt;&gt;"",ISNUMBER(A1419)),VLOOKUP(A1419,Studies!A:BR,6,FALSE),"")</f>
        <v>Plasma</v>
      </c>
      <c r="G1419" s="194">
        <v>704</v>
      </c>
      <c r="H1419" s="194" t="s">
        <v>60</v>
      </c>
      <c r="I1419" s="187">
        <v>306.13672733306885</v>
      </c>
      <c r="J1419" s="187" t="s">
        <v>1026</v>
      </c>
      <c r="K1419" s="187" t="s">
        <v>116</v>
      </c>
      <c r="L1419" s="195"/>
      <c r="M1419" s="195"/>
      <c r="N1419" s="195"/>
      <c r="O1419" s="199"/>
      <c r="P1419" s="188"/>
      <c r="Q1419" s="174">
        <f>IF(ISNUMBER(VLOOKUP(A1419,NotghiID!A:A,1,FALSE)),1,0)</f>
        <v>0</v>
      </c>
    </row>
    <row r="1420" spans="1:17" ht="14.25" x14ac:dyDescent="0.2">
      <c r="A1420" s="183">
        <v>495</v>
      </c>
      <c r="B1420" s="232" t="str">
        <f>IF(AND(A1420&lt;&gt;"",ISNUMBER(A1420)),VLOOKUP(A1420,Studies!A:BR,2,FALSE),"")</f>
        <v>Heykants 1989</v>
      </c>
      <c r="C1420" s="232" t="str">
        <f>IF(AND(A1420&lt;&gt;"",ISNUMBER(A1420)),VLOOKUP(A1420,Studies!A:BR,3,FALSE),"")</f>
        <v>https://www.ncbi.nlm.nih.gov/pubmed/2561187</v>
      </c>
      <c r="D1420" s="232" t="str">
        <f>IF(AND(A1420&lt;&gt;"",ISNUMBER(A1420)),VLOOKUP(A1420,Studies!A:BR,4,FALSE),"")</f>
        <v>po 100 mg MD OD</v>
      </c>
      <c r="E1420" s="206" t="str">
        <f>IF(AND(A1420&lt;&gt;"",ISNUMBER(A1420)),VLOOKUP(A1420,Studies!A:BR,5,FALSE),"")</f>
        <v>Hydroxy-Itraconazole</v>
      </c>
      <c r="F1420" s="207" t="str">
        <f>IF(AND(A1420&lt;&gt;"",ISNUMBER(A1420)),VLOOKUP(A1420,Studies!A:BR,6,FALSE),"")</f>
        <v>Plasma</v>
      </c>
      <c r="G1420" s="194">
        <v>720</v>
      </c>
      <c r="H1420" s="194" t="s">
        <v>60</v>
      </c>
      <c r="I1420" s="187">
        <v>149.98792111873627</v>
      </c>
      <c r="J1420" s="187" t="s">
        <v>1026</v>
      </c>
      <c r="K1420" s="187" t="s">
        <v>116</v>
      </c>
      <c r="L1420" s="195"/>
      <c r="M1420" s="195"/>
      <c r="N1420" s="195"/>
      <c r="O1420" s="199"/>
      <c r="P1420" s="188"/>
      <c r="Q1420" s="174">
        <f>IF(ISNUMBER(VLOOKUP(A1420,NotghiID!A:A,1,FALSE)),1,0)</f>
        <v>0</v>
      </c>
    </row>
    <row r="1421" spans="1:17" ht="14.25" x14ac:dyDescent="0.2">
      <c r="A1421" s="183">
        <v>495</v>
      </c>
      <c r="B1421" s="232" t="str">
        <f>IF(AND(A1421&lt;&gt;"",ISNUMBER(A1421)),VLOOKUP(A1421,Studies!A:BR,2,FALSE),"")</f>
        <v>Heykants 1989</v>
      </c>
      <c r="C1421" s="232" t="str">
        <f>IF(AND(A1421&lt;&gt;"",ISNUMBER(A1421)),VLOOKUP(A1421,Studies!A:BR,3,FALSE),"")</f>
        <v>https://www.ncbi.nlm.nih.gov/pubmed/2561187</v>
      </c>
      <c r="D1421" s="232" t="str">
        <f>IF(AND(A1421&lt;&gt;"",ISNUMBER(A1421)),VLOOKUP(A1421,Studies!A:BR,4,FALSE),"")</f>
        <v>po 100 mg MD OD</v>
      </c>
      <c r="E1421" s="206" t="str">
        <f>IF(AND(A1421&lt;&gt;"",ISNUMBER(A1421)),VLOOKUP(A1421,Studies!A:BR,5,FALSE),"")</f>
        <v>Hydroxy-Itraconazole</v>
      </c>
      <c r="F1421" s="207" t="str">
        <f>IF(AND(A1421&lt;&gt;"",ISNUMBER(A1421)),VLOOKUP(A1421,Studies!A:BR,6,FALSE),"")</f>
        <v>Plasma</v>
      </c>
      <c r="G1421" s="194">
        <v>728</v>
      </c>
      <c r="H1421" s="194" t="s">
        <v>60</v>
      </c>
      <c r="I1421" s="187">
        <v>110.21826416254044</v>
      </c>
      <c r="J1421" s="187" t="s">
        <v>1026</v>
      </c>
      <c r="K1421" s="187" t="s">
        <v>116</v>
      </c>
      <c r="L1421" s="195"/>
      <c r="M1421" s="195"/>
      <c r="N1421" s="195"/>
      <c r="O1421" s="199"/>
      <c r="P1421" s="188"/>
      <c r="Q1421" s="174">
        <f>IF(ISNUMBER(VLOOKUP(A1421,NotghiID!A:A,1,FALSE)),1,0)</f>
        <v>0</v>
      </c>
    </row>
    <row r="1422" spans="1:17" ht="14.25" x14ac:dyDescent="0.2">
      <c r="A1422" s="183">
        <v>495</v>
      </c>
      <c r="B1422" s="232" t="str">
        <f>IF(AND(A1422&lt;&gt;"",ISNUMBER(A1422)),VLOOKUP(A1422,Studies!A:BR,2,FALSE),"")</f>
        <v>Heykants 1989</v>
      </c>
      <c r="C1422" s="232" t="str">
        <f>IF(AND(A1422&lt;&gt;"",ISNUMBER(A1422)),VLOOKUP(A1422,Studies!A:BR,3,FALSE),"")</f>
        <v>https://www.ncbi.nlm.nih.gov/pubmed/2561187</v>
      </c>
      <c r="D1422" s="232" t="str">
        <f>IF(AND(A1422&lt;&gt;"",ISNUMBER(A1422)),VLOOKUP(A1422,Studies!A:BR,4,FALSE),"")</f>
        <v>po 100 mg MD OD</v>
      </c>
      <c r="E1422" s="206" t="str">
        <f>IF(AND(A1422&lt;&gt;"",ISNUMBER(A1422)),VLOOKUP(A1422,Studies!A:BR,5,FALSE),"")</f>
        <v>Hydroxy-Itraconazole</v>
      </c>
      <c r="F1422" s="207" t="str">
        <f>IF(AND(A1422&lt;&gt;"",ISNUMBER(A1422)),VLOOKUP(A1422,Studies!A:BR,6,FALSE),"")</f>
        <v>Plasma</v>
      </c>
      <c r="G1422" s="194">
        <v>744</v>
      </c>
      <c r="H1422" s="194" t="s">
        <v>60</v>
      </c>
      <c r="I1422" s="187">
        <v>57.618677616119385</v>
      </c>
      <c r="J1422" s="187" t="s">
        <v>1026</v>
      </c>
      <c r="K1422" s="187" t="s">
        <v>116</v>
      </c>
      <c r="L1422" s="195"/>
      <c r="M1422" s="195"/>
      <c r="N1422" s="195"/>
      <c r="O1422" s="199"/>
      <c r="P1422" s="188"/>
      <c r="Q1422" s="174">
        <f>IF(ISNUMBER(VLOOKUP(A1422,NotghiID!A:A,1,FALSE)),1,0)</f>
        <v>0</v>
      </c>
    </row>
    <row r="1423" spans="1:17" ht="14.25" x14ac:dyDescent="0.2">
      <c r="A1423" s="183">
        <v>495</v>
      </c>
      <c r="B1423" s="232" t="str">
        <f>IF(AND(A1423&lt;&gt;"",ISNUMBER(A1423)),VLOOKUP(A1423,Studies!A:BR,2,FALSE),"")</f>
        <v>Heykants 1989</v>
      </c>
      <c r="C1423" s="232" t="str">
        <f>IF(AND(A1423&lt;&gt;"",ISNUMBER(A1423)),VLOOKUP(A1423,Studies!A:BR,3,FALSE),"")</f>
        <v>https://www.ncbi.nlm.nih.gov/pubmed/2561187</v>
      </c>
      <c r="D1423" s="232" t="str">
        <f>IF(AND(A1423&lt;&gt;"",ISNUMBER(A1423)),VLOOKUP(A1423,Studies!A:BR,4,FALSE),"")</f>
        <v>po 100 mg MD OD</v>
      </c>
      <c r="E1423" s="206" t="str">
        <f>IF(AND(A1423&lt;&gt;"",ISNUMBER(A1423)),VLOOKUP(A1423,Studies!A:BR,5,FALSE),"")</f>
        <v>Hydroxy-Itraconazole</v>
      </c>
      <c r="F1423" s="207" t="str">
        <f>IF(AND(A1423&lt;&gt;"",ISNUMBER(A1423)),VLOOKUP(A1423,Studies!A:BR,6,FALSE),"")</f>
        <v>Plasma</v>
      </c>
      <c r="G1423" s="194">
        <v>768</v>
      </c>
      <c r="H1423" s="194" t="s">
        <v>60</v>
      </c>
      <c r="I1423" s="187">
        <v>23.617798462510109</v>
      </c>
      <c r="J1423" s="187" t="s">
        <v>1026</v>
      </c>
      <c r="K1423" s="187" t="s">
        <v>116</v>
      </c>
      <c r="L1423" s="195"/>
      <c r="M1423" s="195"/>
      <c r="N1423" s="195"/>
      <c r="O1423" s="199"/>
      <c r="P1423" s="188"/>
      <c r="Q1423" s="174">
        <f>IF(ISNUMBER(VLOOKUP(A1423,NotghiID!A:A,1,FALSE)),1,0)</f>
        <v>0</v>
      </c>
    </row>
    <row r="1424" spans="1:17" ht="14.25" x14ac:dyDescent="0.2">
      <c r="A1424" s="183">
        <v>496</v>
      </c>
      <c r="B1424" s="232" t="str">
        <f>IF(AND(A1424&lt;&gt;"",ISNUMBER(A1424)),VLOOKUP(A1424,Studies!A:BR,2,FALSE),"")</f>
        <v>Miura 2010</v>
      </c>
      <c r="C1424" s="232" t="str">
        <f>IF(AND(A1424&lt;&gt;"",ISNUMBER(A1424)),VLOOKUP(A1424,Studies!A:BR,3,FALSE),"")</f>
        <v>https://www.ncbi.nlm.nih.gov/pubmed/20595406</v>
      </c>
      <c r="D1424" s="232" t="str">
        <f>IF(AND(A1424&lt;&gt;"",ISNUMBER(A1424)),VLOOKUP(A1424,Studies!A:BR,4,FALSE),"")</f>
        <v>po 100 mg MD Japanese</v>
      </c>
      <c r="E1424" s="206" t="str">
        <f>IF(AND(A1424&lt;&gt;"",ISNUMBER(A1424)),VLOOKUP(A1424,Studies!A:BR,5,FALSE),"")</f>
        <v>Itraconazole</v>
      </c>
      <c r="F1424" s="207" t="str">
        <f>IF(AND(A1424&lt;&gt;"",ISNUMBER(A1424)),VLOOKUP(A1424,Studies!A:BR,6,FALSE),"")</f>
        <v>Plasma</v>
      </c>
      <c r="G1424" s="194">
        <v>216.5</v>
      </c>
      <c r="H1424" s="194" t="s">
        <v>60</v>
      </c>
      <c r="I1424" s="187">
        <v>106.66666924953461</v>
      </c>
      <c r="J1424" s="187" t="s">
        <v>1026</v>
      </c>
      <c r="K1424" s="187" t="s">
        <v>116</v>
      </c>
      <c r="L1424" s="195"/>
      <c r="M1424" s="195"/>
      <c r="N1424" s="195"/>
      <c r="O1424" s="199"/>
      <c r="P1424" s="188" t="s">
        <v>1122</v>
      </c>
      <c r="Q1424" s="174">
        <f>IF(ISNUMBER(VLOOKUP(A1424,NotghiID!A:A,1,FALSE)),1,0)</f>
        <v>0</v>
      </c>
    </row>
    <row r="1425" spans="1:17" ht="14.25" x14ac:dyDescent="0.2">
      <c r="A1425" s="183">
        <v>496</v>
      </c>
      <c r="B1425" s="232" t="str">
        <f>IF(AND(A1425&lt;&gt;"",ISNUMBER(A1425)),VLOOKUP(A1425,Studies!A:BR,2,FALSE),"")</f>
        <v>Miura 2010</v>
      </c>
      <c r="C1425" s="232" t="str">
        <f>IF(AND(A1425&lt;&gt;"",ISNUMBER(A1425)),VLOOKUP(A1425,Studies!A:BR,3,FALSE),"")</f>
        <v>https://www.ncbi.nlm.nih.gov/pubmed/20595406</v>
      </c>
      <c r="D1425" s="232" t="str">
        <f>IF(AND(A1425&lt;&gt;"",ISNUMBER(A1425)),VLOOKUP(A1425,Studies!A:BR,4,FALSE),"")</f>
        <v>po 100 mg MD Japanese</v>
      </c>
      <c r="E1425" s="206" t="str">
        <f>IF(AND(A1425&lt;&gt;"",ISNUMBER(A1425)),VLOOKUP(A1425,Studies!A:BR,5,FALSE),"")</f>
        <v>Itraconazole</v>
      </c>
      <c r="F1425" s="207" t="str">
        <f>IF(AND(A1425&lt;&gt;"",ISNUMBER(A1425)),VLOOKUP(A1425,Studies!A:BR,6,FALSE),"")</f>
        <v>Plasma</v>
      </c>
      <c r="G1425" s="194">
        <v>217</v>
      </c>
      <c r="H1425" s="194" t="s">
        <v>60</v>
      </c>
      <c r="I1425" s="187">
        <v>189.99999761581421</v>
      </c>
      <c r="J1425" s="187" t="s">
        <v>1026</v>
      </c>
      <c r="K1425" s="187" t="s">
        <v>116</v>
      </c>
      <c r="L1425" s="195"/>
      <c r="M1425" s="195"/>
      <c r="N1425" s="195"/>
      <c r="O1425" s="199"/>
      <c r="P1425" s="188" t="s">
        <v>1122</v>
      </c>
      <c r="Q1425" s="174">
        <f>IF(ISNUMBER(VLOOKUP(A1425,NotghiID!A:A,1,FALSE)),1,0)</f>
        <v>0</v>
      </c>
    </row>
    <row r="1426" spans="1:17" ht="14.25" x14ac:dyDescent="0.2">
      <c r="A1426" s="183">
        <v>496</v>
      </c>
      <c r="B1426" s="232" t="str">
        <f>IF(AND(A1426&lt;&gt;"",ISNUMBER(A1426)),VLOOKUP(A1426,Studies!A:BR,2,FALSE),"")</f>
        <v>Miura 2010</v>
      </c>
      <c r="C1426" s="232" t="str">
        <f>IF(AND(A1426&lt;&gt;"",ISNUMBER(A1426)),VLOOKUP(A1426,Studies!A:BR,3,FALSE),"")</f>
        <v>https://www.ncbi.nlm.nih.gov/pubmed/20595406</v>
      </c>
      <c r="D1426" s="232" t="str">
        <f>IF(AND(A1426&lt;&gt;"",ISNUMBER(A1426)),VLOOKUP(A1426,Studies!A:BR,4,FALSE),"")</f>
        <v>po 100 mg MD Japanese</v>
      </c>
      <c r="E1426" s="206" t="str">
        <f>IF(AND(A1426&lt;&gt;"",ISNUMBER(A1426)),VLOOKUP(A1426,Studies!A:BR,5,FALSE),"")</f>
        <v>Itraconazole</v>
      </c>
      <c r="F1426" s="207" t="str">
        <f>IF(AND(A1426&lt;&gt;"",ISNUMBER(A1426)),VLOOKUP(A1426,Studies!A:BR,6,FALSE),"")</f>
        <v>Plasma</v>
      </c>
      <c r="G1426" s="194">
        <v>217.5</v>
      </c>
      <c r="H1426" s="194" t="s">
        <v>60</v>
      </c>
      <c r="I1426" s="187">
        <v>300.00001192092896</v>
      </c>
      <c r="J1426" s="187" t="s">
        <v>1026</v>
      </c>
      <c r="K1426" s="187" t="s">
        <v>116</v>
      </c>
      <c r="L1426" s="195"/>
      <c r="M1426" s="195"/>
      <c r="N1426" s="195"/>
      <c r="O1426" s="199"/>
      <c r="P1426" s="188" t="s">
        <v>1122</v>
      </c>
      <c r="Q1426" s="174">
        <f>IF(ISNUMBER(VLOOKUP(A1426,NotghiID!A:A,1,FALSE)),1,0)</f>
        <v>0</v>
      </c>
    </row>
    <row r="1427" spans="1:17" ht="14.25" x14ac:dyDescent="0.2">
      <c r="A1427" s="183">
        <v>496</v>
      </c>
      <c r="B1427" s="232" t="str">
        <f>IF(AND(A1427&lt;&gt;"",ISNUMBER(A1427)),VLOOKUP(A1427,Studies!A:BR,2,FALSE),"")</f>
        <v>Miura 2010</v>
      </c>
      <c r="C1427" s="232" t="str">
        <f>IF(AND(A1427&lt;&gt;"",ISNUMBER(A1427)),VLOOKUP(A1427,Studies!A:BR,3,FALSE),"")</f>
        <v>https://www.ncbi.nlm.nih.gov/pubmed/20595406</v>
      </c>
      <c r="D1427" s="232" t="str">
        <f>IF(AND(A1427&lt;&gt;"",ISNUMBER(A1427)),VLOOKUP(A1427,Studies!A:BR,4,FALSE),"")</f>
        <v>po 100 mg MD Japanese</v>
      </c>
      <c r="E1427" s="206" t="str">
        <f>IF(AND(A1427&lt;&gt;"",ISNUMBER(A1427)),VLOOKUP(A1427,Studies!A:BR,5,FALSE),"")</f>
        <v>Itraconazole</v>
      </c>
      <c r="F1427" s="207" t="str">
        <f>IF(AND(A1427&lt;&gt;"",ISNUMBER(A1427)),VLOOKUP(A1427,Studies!A:BR,6,FALSE),"")</f>
        <v>Plasma</v>
      </c>
      <c r="G1427" s="194">
        <v>218</v>
      </c>
      <c r="H1427" s="194" t="s">
        <v>60</v>
      </c>
      <c r="I1427" s="187">
        <v>450.00001788139343</v>
      </c>
      <c r="J1427" s="187" t="s">
        <v>1026</v>
      </c>
      <c r="K1427" s="187" t="s">
        <v>116</v>
      </c>
      <c r="L1427" s="195"/>
      <c r="M1427" s="195"/>
      <c r="N1427" s="195"/>
      <c r="O1427" s="199"/>
      <c r="P1427" s="188" t="s">
        <v>1122</v>
      </c>
      <c r="Q1427" s="174">
        <f>IF(ISNUMBER(VLOOKUP(A1427,NotghiID!A:A,1,FALSE)),1,0)</f>
        <v>0</v>
      </c>
    </row>
    <row r="1428" spans="1:17" ht="14.25" x14ac:dyDescent="0.2">
      <c r="A1428" s="183">
        <v>496</v>
      </c>
      <c r="B1428" s="232" t="str">
        <f>IF(AND(A1428&lt;&gt;"",ISNUMBER(A1428)),VLOOKUP(A1428,Studies!A:BR,2,FALSE),"")</f>
        <v>Miura 2010</v>
      </c>
      <c r="C1428" s="232" t="str">
        <f>IF(AND(A1428&lt;&gt;"",ISNUMBER(A1428)),VLOOKUP(A1428,Studies!A:BR,3,FALSE),"")</f>
        <v>https://www.ncbi.nlm.nih.gov/pubmed/20595406</v>
      </c>
      <c r="D1428" s="232" t="str">
        <f>IF(AND(A1428&lt;&gt;"",ISNUMBER(A1428)),VLOOKUP(A1428,Studies!A:BR,4,FALSE),"")</f>
        <v>po 100 mg MD Japanese</v>
      </c>
      <c r="E1428" s="206" t="str">
        <f>IF(AND(A1428&lt;&gt;"",ISNUMBER(A1428)),VLOOKUP(A1428,Studies!A:BR,5,FALSE),"")</f>
        <v>Itraconazole</v>
      </c>
      <c r="F1428" s="207" t="str">
        <f>IF(AND(A1428&lt;&gt;"",ISNUMBER(A1428)),VLOOKUP(A1428,Studies!A:BR,6,FALSE),"")</f>
        <v>Plasma</v>
      </c>
      <c r="G1428" s="194">
        <v>219</v>
      </c>
      <c r="H1428" s="194" t="s">
        <v>60</v>
      </c>
      <c r="I1428" s="187">
        <v>573.33332300186157</v>
      </c>
      <c r="J1428" s="187" t="s">
        <v>1026</v>
      </c>
      <c r="K1428" s="187" t="s">
        <v>116</v>
      </c>
      <c r="L1428" s="195"/>
      <c r="M1428" s="195"/>
      <c r="N1428" s="195"/>
      <c r="O1428" s="199"/>
      <c r="P1428" s="188" t="s">
        <v>1122</v>
      </c>
      <c r="Q1428" s="174">
        <f>IF(ISNUMBER(VLOOKUP(A1428,NotghiID!A:A,1,FALSE)),1,0)</f>
        <v>0</v>
      </c>
    </row>
    <row r="1429" spans="1:17" ht="14.25" x14ac:dyDescent="0.2">
      <c r="A1429" s="183">
        <v>496</v>
      </c>
      <c r="B1429" s="232" t="str">
        <f>IF(AND(A1429&lt;&gt;"",ISNUMBER(A1429)),VLOOKUP(A1429,Studies!A:BR,2,FALSE),"")</f>
        <v>Miura 2010</v>
      </c>
      <c r="C1429" s="232" t="str">
        <f>IF(AND(A1429&lt;&gt;"",ISNUMBER(A1429)),VLOOKUP(A1429,Studies!A:BR,3,FALSE),"")</f>
        <v>https://www.ncbi.nlm.nih.gov/pubmed/20595406</v>
      </c>
      <c r="D1429" s="232" t="str">
        <f>IF(AND(A1429&lt;&gt;"",ISNUMBER(A1429)),VLOOKUP(A1429,Studies!A:BR,4,FALSE),"")</f>
        <v>po 100 mg MD Japanese</v>
      </c>
      <c r="E1429" s="206" t="str">
        <f>IF(AND(A1429&lt;&gt;"",ISNUMBER(A1429)),VLOOKUP(A1429,Studies!A:BR,5,FALSE),"")</f>
        <v>Itraconazole</v>
      </c>
      <c r="F1429" s="207" t="str">
        <f>IF(AND(A1429&lt;&gt;"",ISNUMBER(A1429)),VLOOKUP(A1429,Studies!A:BR,6,FALSE),"")</f>
        <v>Plasma</v>
      </c>
      <c r="G1429" s="194">
        <v>220</v>
      </c>
      <c r="H1429" s="194" t="s">
        <v>60</v>
      </c>
      <c r="I1429" s="187">
        <v>513.33332061767578</v>
      </c>
      <c r="J1429" s="187" t="s">
        <v>1026</v>
      </c>
      <c r="K1429" s="187" t="s">
        <v>116</v>
      </c>
      <c r="L1429" s="195"/>
      <c r="M1429" s="195"/>
      <c r="N1429" s="195"/>
      <c r="O1429" s="199"/>
      <c r="P1429" s="188" t="s">
        <v>1122</v>
      </c>
      <c r="Q1429" s="174">
        <f>IF(ISNUMBER(VLOOKUP(A1429,NotghiID!A:A,1,FALSE)),1,0)</f>
        <v>0</v>
      </c>
    </row>
    <row r="1430" spans="1:17" ht="14.25" x14ac:dyDescent="0.2">
      <c r="A1430" s="183">
        <v>496</v>
      </c>
      <c r="B1430" s="232" t="str">
        <f>IF(AND(A1430&lt;&gt;"",ISNUMBER(A1430)),VLOOKUP(A1430,Studies!A:BR,2,FALSE),"")</f>
        <v>Miura 2010</v>
      </c>
      <c r="C1430" s="232" t="str">
        <f>IF(AND(A1430&lt;&gt;"",ISNUMBER(A1430)),VLOOKUP(A1430,Studies!A:BR,3,FALSE),"")</f>
        <v>https://www.ncbi.nlm.nih.gov/pubmed/20595406</v>
      </c>
      <c r="D1430" s="232" t="str">
        <f>IF(AND(A1430&lt;&gt;"",ISNUMBER(A1430)),VLOOKUP(A1430,Studies!A:BR,4,FALSE),"")</f>
        <v>po 100 mg MD Japanese</v>
      </c>
      <c r="E1430" s="206" t="str">
        <f>IF(AND(A1430&lt;&gt;"",ISNUMBER(A1430)),VLOOKUP(A1430,Studies!A:BR,5,FALSE),"")</f>
        <v>Itraconazole</v>
      </c>
      <c r="F1430" s="207" t="str">
        <f>IF(AND(A1430&lt;&gt;"",ISNUMBER(A1430)),VLOOKUP(A1430,Studies!A:BR,6,FALSE),"")</f>
        <v>Plasma</v>
      </c>
      <c r="G1430" s="194">
        <v>222</v>
      </c>
      <c r="H1430" s="194" t="s">
        <v>60</v>
      </c>
      <c r="I1430" s="187">
        <v>469.9999988079071</v>
      </c>
      <c r="J1430" s="187" t="s">
        <v>1026</v>
      </c>
      <c r="K1430" s="187" t="s">
        <v>116</v>
      </c>
      <c r="L1430" s="195"/>
      <c r="M1430" s="195"/>
      <c r="N1430" s="195"/>
      <c r="O1430" s="199"/>
      <c r="P1430" s="188" t="s">
        <v>1122</v>
      </c>
      <c r="Q1430" s="174">
        <f>IF(ISNUMBER(VLOOKUP(A1430,NotghiID!A:A,1,FALSE)),1,0)</f>
        <v>0</v>
      </c>
    </row>
    <row r="1431" spans="1:17" ht="14.25" x14ac:dyDescent="0.2">
      <c r="A1431" s="183">
        <v>496</v>
      </c>
      <c r="B1431" s="232" t="str">
        <f>IF(AND(A1431&lt;&gt;"",ISNUMBER(A1431)),VLOOKUP(A1431,Studies!A:BR,2,FALSE),"")</f>
        <v>Miura 2010</v>
      </c>
      <c r="C1431" s="232" t="str">
        <f>IF(AND(A1431&lt;&gt;"",ISNUMBER(A1431)),VLOOKUP(A1431,Studies!A:BR,3,FALSE),"")</f>
        <v>https://www.ncbi.nlm.nih.gov/pubmed/20595406</v>
      </c>
      <c r="D1431" s="232" t="str">
        <f>IF(AND(A1431&lt;&gt;"",ISNUMBER(A1431)),VLOOKUP(A1431,Studies!A:BR,4,FALSE),"")</f>
        <v>po 100 mg MD Japanese</v>
      </c>
      <c r="E1431" s="206" t="str">
        <f>IF(AND(A1431&lt;&gt;"",ISNUMBER(A1431)),VLOOKUP(A1431,Studies!A:BR,5,FALSE),"")</f>
        <v>Itraconazole</v>
      </c>
      <c r="F1431" s="207" t="str">
        <f>IF(AND(A1431&lt;&gt;"",ISNUMBER(A1431)),VLOOKUP(A1431,Studies!A:BR,6,FALSE),"")</f>
        <v>Plasma</v>
      </c>
      <c r="G1431" s="194">
        <v>224</v>
      </c>
      <c r="H1431" s="194" t="s">
        <v>60</v>
      </c>
      <c r="I1431" s="187">
        <v>390.00001549720764</v>
      </c>
      <c r="J1431" s="187" t="s">
        <v>1026</v>
      </c>
      <c r="K1431" s="187" t="s">
        <v>116</v>
      </c>
      <c r="L1431" s="195"/>
      <c r="M1431" s="195"/>
      <c r="N1431" s="195"/>
      <c r="O1431" s="199"/>
      <c r="P1431" s="188" t="s">
        <v>1122</v>
      </c>
      <c r="Q1431" s="174">
        <f>IF(ISNUMBER(VLOOKUP(A1431,NotghiID!A:A,1,FALSE)),1,0)</f>
        <v>0</v>
      </c>
    </row>
    <row r="1432" spans="1:17" ht="14.25" x14ac:dyDescent="0.2">
      <c r="A1432" s="183">
        <v>496</v>
      </c>
      <c r="B1432" s="232" t="str">
        <f>IF(AND(A1432&lt;&gt;"",ISNUMBER(A1432)),VLOOKUP(A1432,Studies!A:BR,2,FALSE),"")</f>
        <v>Miura 2010</v>
      </c>
      <c r="C1432" s="232" t="str">
        <f>IF(AND(A1432&lt;&gt;"",ISNUMBER(A1432)),VLOOKUP(A1432,Studies!A:BR,3,FALSE),"")</f>
        <v>https://www.ncbi.nlm.nih.gov/pubmed/20595406</v>
      </c>
      <c r="D1432" s="232" t="str">
        <f>IF(AND(A1432&lt;&gt;"",ISNUMBER(A1432)),VLOOKUP(A1432,Studies!A:BR,4,FALSE),"")</f>
        <v>po 100 mg MD Japanese</v>
      </c>
      <c r="E1432" s="206" t="str">
        <f>IF(AND(A1432&lt;&gt;"",ISNUMBER(A1432)),VLOOKUP(A1432,Studies!A:BR,5,FALSE),"")</f>
        <v>Itraconazole</v>
      </c>
      <c r="F1432" s="207" t="str">
        <f>IF(AND(A1432&lt;&gt;"",ISNUMBER(A1432)),VLOOKUP(A1432,Studies!A:BR,6,FALSE),"")</f>
        <v>Plasma</v>
      </c>
      <c r="G1432" s="194">
        <v>228</v>
      </c>
      <c r="H1432" s="194" t="s">
        <v>60</v>
      </c>
      <c r="I1432" s="187">
        <v>319.99999284744263</v>
      </c>
      <c r="J1432" s="187" t="s">
        <v>1026</v>
      </c>
      <c r="K1432" s="187" t="s">
        <v>116</v>
      </c>
      <c r="L1432" s="195"/>
      <c r="M1432" s="195"/>
      <c r="N1432" s="195"/>
      <c r="O1432" s="199"/>
      <c r="P1432" s="188" t="s">
        <v>1122</v>
      </c>
      <c r="Q1432" s="174">
        <f>IF(ISNUMBER(VLOOKUP(A1432,NotghiID!A:A,1,FALSE)),1,0)</f>
        <v>0</v>
      </c>
    </row>
    <row r="1433" spans="1:17" ht="14.25" x14ac:dyDescent="0.2">
      <c r="A1433" s="183">
        <v>496</v>
      </c>
      <c r="B1433" s="232" t="str">
        <f>IF(AND(A1433&lt;&gt;"",ISNUMBER(A1433)),VLOOKUP(A1433,Studies!A:BR,2,FALSE),"")</f>
        <v>Miura 2010</v>
      </c>
      <c r="C1433" s="232" t="str">
        <f>IF(AND(A1433&lt;&gt;"",ISNUMBER(A1433)),VLOOKUP(A1433,Studies!A:BR,3,FALSE),"")</f>
        <v>https://www.ncbi.nlm.nih.gov/pubmed/20595406</v>
      </c>
      <c r="D1433" s="232" t="str">
        <f>IF(AND(A1433&lt;&gt;"",ISNUMBER(A1433)),VLOOKUP(A1433,Studies!A:BR,4,FALSE),"")</f>
        <v>po 100 mg MD Japanese</v>
      </c>
      <c r="E1433" s="206" t="str">
        <f>IF(AND(A1433&lt;&gt;"",ISNUMBER(A1433)),VLOOKUP(A1433,Studies!A:BR,5,FALSE),"")</f>
        <v>Itraconazole</v>
      </c>
      <c r="F1433" s="207" t="str">
        <f>IF(AND(A1433&lt;&gt;"",ISNUMBER(A1433)),VLOOKUP(A1433,Studies!A:BR,6,FALSE),"")</f>
        <v>Plasma</v>
      </c>
      <c r="G1433" s="194">
        <v>240</v>
      </c>
      <c r="H1433" s="194" t="s">
        <v>60</v>
      </c>
      <c r="I1433" s="187">
        <v>200.00000298023224</v>
      </c>
      <c r="J1433" s="187" t="s">
        <v>1026</v>
      </c>
      <c r="K1433" s="187" t="s">
        <v>116</v>
      </c>
      <c r="L1433" s="195"/>
      <c r="M1433" s="195"/>
      <c r="N1433" s="195"/>
      <c r="O1433" s="199"/>
      <c r="P1433" s="188" t="s">
        <v>1122</v>
      </c>
      <c r="Q1433" s="174">
        <f>IF(ISNUMBER(VLOOKUP(A1433,NotghiID!A:A,1,FALSE)),1,0)</f>
        <v>0</v>
      </c>
    </row>
    <row r="1434" spans="1:17" ht="14.25" x14ac:dyDescent="0.2">
      <c r="A1434" s="183">
        <v>497</v>
      </c>
      <c r="B1434" s="232" t="str">
        <f>IF(AND(A1434&lt;&gt;"",ISNUMBER(A1434)),VLOOKUP(A1434,Studies!A:BR,2,FALSE),"")</f>
        <v>Miura 2010</v>
      </c>
      <c r="C1434" s="232" t="str">
        <f>IF(AND(A1434&lt;&gt;"",ISNUMBER(A1434)),VLOOKUP(A1434,Studies!A:BR,3,FALSE),"")</f>
        <v>https://www.ncbi.nlm.nih.gov/pubmed/20595406</v>
      </c>
      <c r="D1434" s="232" t="str">
        <f>IF(AND(A1434&lt;&gt;"",ISNUMBER(A1434)),VLOOKUP(A1434,Studies!A:BR,4,FALSE),"")</f>
        <v>po 100 mg MD Japanese</v>
      </c>
      <c r="E1434" s="206" t="str">
        <f>IF(AND(A1434&lt;&gt;"",ISNUMBER(A1434)),VLOOKUP(A1434,Studies!A:BR,5,FALSE),"")</f>
        <v>Hydroxy-Itraconazole</v>
      </c>
      <c r="F1434" s="207" t="str">
        <f>IF(AND(A1434&lt;&gt;"",ISNUMBER(A1434)),VLOOKUP(A1434,Studies!A:BR,6,FALSE),"")</f>
        <v>Plasma</v>
      </c>
      <c r="G1434" s="194">
        <v>216.5</v>
      </c>
      <c r="H1434" s="194" t="s">
        <v>60</v>
      </c>
      <c r="I1434" s="187">
        <v>469.9999988079071</v>
      </c>
      <c r="J1434" s="187" t="s">
        <v>1026</v>
      </c>
      <c r="K1434" s="187" t="s">
        <v>116</v>
      </c>
      <c r="L1434" s="195"/>
      <c r="M1434" s="195"/>
      <c r="N1434" s="195"/>
      <c r="O1434" s="199"/>
      <c r="P1434" s="188" t="s">
        <v>1122</v>
      </c>
      <c r="Q1434" s="174">
        <f>IF(ISNUMBER(VLOOKUP(A1434,NotghiID!A:A,1,FALSE)),1,0)</f>
        <v>0</v>
      </c>
    </row>
    <row r="1435" spans="1:17" ht="14.25" x14ac:dyDescent="0.2">
      <c r="A1435" s="183">
        <v>497</v>
      </c>
      <c r="B1435" s="232" t="str">
        <f>IF(AND(A1435&lt;&gt;"",ISNUMBER(A1435)),VLOOKUP(A1435,Studies!A:BR,2,FALSE),"")</f>
        <v>Miura 2010</v>
      </c>
      <c r="C1435" s="232" t="str">
        <f>IF(AND(A1435&lt;&gt;"",ISNUMBER(A1435)),VLOOKUP(A1435,Studies!A:BR,3,FALSE),"")</f>
        <v>https://www.ncbi.nlm.nih.gov/pubmed/20595406</v>
      </c>
      <c r="D1435" s="232" t="str">
        <f>IF(AND(A1435&lt;&gt;"",ISNUMBER(A1435)),VLOOKUP(A1435,Studies!A:BR,4,FALSE),"")</f>
        <v>po 100 mg MD Japanese</v>
      </c>
      <c r="E1435" s="206" t="str">
        <f>IF(AND(A1435&lt;&gt;"",ISNUMBER(A1435)),VLOOKUP(A1435,Studies!A:BR,5,FALSE),"")</f>
        <v>Hydroxy-Itraconazole</v>
      </c>
      <c r="F1435" s="207" t="str">
        <f>IF(AND(A1435&lt;&gt;"",ISNUMBER(A1435)),VLOOKUP(A1435,Studies!A:BR,6,FALSE),"")</f>
        <v>Plasma</v>
      </c>
      <c r="G1435" s="194">
        <v>217</v>
      </c>
      <c r="H1435" s="194" t="s">
        <v>60</v>
      </c>
      <c r="I1435" s="187">
        <v>469.9999988079071</v>
      </c>
      <c r="J1435" s="187" t="s">
        <v>1026</v>
      </c>
      <c r="K1435" s="187" t="s">
        <v>116</v>
      </c>
      <c r="L1435" s="195"/>
      <c r="M1435" s="195"/>
      <c r="N1435" s="195"/>
      <c r="O1435" s="199"/>
      <c r="P1435" s="188" t="s">
        <v>1122</v>
      </c>
      <c r="Q1435" s="174">
        <f>IF(ISNUMBER(VLOOKUP(A1435,NotghiID!A:A,1,FALSE)),1,0)</f>
        <v>0</v>
      </c>
    </row>
    <row r="1436" spans="1:17" ht="14.25" x14ac:dyDescent="0.2">
      <c r="A1436" s="183">
        <v>497</v>
      </c>
      <c r="B1436" s="232" t="str">
        <f>IF(AND(A1436&lt;&gt;"",ISNUMBER(A1436)),VLOOKUP(A1436,Studies!A:BR,2,FALSE),"")</f>
        <v>Miura 2010</v>
      </c>
      <c r="C1436" s="232" t="str">
        <f>IF(AND(A1436&lt;&gt;"",ISNUMBER(A1436)),VLOOKUP(A1436,Studies!A:BR,3,FALSE),"")</f>
        <v>https://www.ncbi.nlm.nih.gov/pubmed/20595406</v>
      </c>
      <c r="D1436" s="232" t="str">
        <f>IF(AND(A1436&lt;&gt;"",ISNUMBER(A1436)),VLOOKUP(A1436,Studies!A:BR,4,FALSE),"")</f>
        <v>po 100 mg MD Japanese</v>
      </c>
      <c r="E1436" s="206" t="str">
        <f>IF(AND(A1436&lt;&gt;"",ISNUMBER(A1436)),VLOOKUP(A1436,Studies!A:BR,5,FALSE),"")</f>
        <v>Hydroxy-Itraconazole</v>
      </c>
      <c r="F1436" s="207" t="str">
        <f>IF(AND(A1436&lt;&gt;"",ISNUMBER(A1436)),VLOOKUP(A1436,Studies!A:BR,6,FALSE),"")</f>
        <v>Plasma</v>
      </c>
      <c r="G1436" s="194">
        <v>217.5</v>
      </c>
      <c r="H1436" s="194" t="s">
        <v>60</v>
      </c>
      <c r="I1436" s="187">
        <v>560.00000238418579</v>
      </c>
      <c r="J1436" s="187" t="s">
        <v>1026</v>
      </c>
      <c r="K1436" s="187" t="s">
        <v>116</v>
      </c>
      <c r="L1436" s="195"/>
      <c r="M1436" s="195"/>
      <c r="N1436" s="195"/>
      <c r="O1436" s="199"/>
      <c r="P1436" s="188" t="s">
        <v>1122</v>
      </c>
      <c r="Q1436" s="174">
        <f>IF(ISNUMBER(VLOOKUP(A1436,NotghiID!A:A,1,FALSE)),1,0)</f>
        <v>0</v>
      </c>
    </row>
    <row r="1437" spans="1:17" ht="14.25" x14ac:dyDescent="0.2">
      <c r="A1437" s="183">
        <v>497</v>
      </c>
      <c r="B1437" s="232" t="str">
        <f>IF(AND(A1437&lt;&gt;"",ISNUMBER(A1437)),VLOOKUP(A1437,Studies!A:BR,2,FALSE),"")</f>
        <v>Miura 2010</v>
      </c>
      <c r="C1437" s="232" t="str">
        <f>IF(AND(A1437&lt;&gt;"",ISNUMBER(A1437)),VLOOKUP(A1437,Studies!A:BR,3,FALSE),"")</f>
        <v>https://www.ncbi.nlm.nih.gov/pubmed/20595406</v>
      </c>
      <c r="D1437" s="232" t="str">
        <f>IF(AND(A1437&lt;&gt;"",ISNUMBER(A1437)),VLOOKUP(A1437,Studies!A:BR,4,FALSE),"")</f>
        <v>po 100 mg MD Japanese</v>
      </c>
      <c r="E1437" s="206" t="str">
        <f>IF(AND(A1437&lt;&gt;"",ISNUMBER(A1437)),VLOOKUP(A1437,Studies!A:BR,5,FALSE),"")</f>
        <v>Hydroxy-Itraconazole</v>
      </c>
      <c r="F1437" s="207" t="str">
        <f>IF(AND(A1437&lt;&gt;"",ISNUMBER(A1437)),VLOOKUP(A1437,Studies!A:BR,6,FALSE),"")</f>
        <v>Plasma</v>
      </c>
      <c r="G1437" s="194">
        <v>218</v>
      </c>
      <c r="H1437" s="194" t="s">
        <v>60</v>
      </c>
      <c r="I1437" s="187">
        <v>710.00003814697266</v>
      </c>
      <c r="J1437" s="187" t="s">
        <v>1026</v>
      </c>
      <c r="K1437" s="187" t="s">
        <v>116</v>
      </c>
      <c r="L1437" s="195"/>
      <c r="M1437" s="195"/>
      <c r="N1437" s="195"/>
      <c r="O1437" s="199"/>
      <c r="P1437" s="188" t="s">
        <v>1122</v>
      </c>
      <c r="Q1437" s="174">
        <f>IF(ISNUMBER(VLOOKUP(A1437,NotghiID!A:A,1,FALSE)),1,0)</f>
        <v>0</v>
      </c>
    </row>
    <row r="1438" spans="1:17" ht="14.25" x14ac:dyDescent="0.2">
      <c r="A1438" s="183">
        <v>497</v>
      </c>
      <c r="B1438" s="232" t="str">
        <f>IF(AND(A1438&lt;&gt;"",ISNUMBER(A1438)),VLOOKUP(A1438,Studies!A:BR,2,FALSE),"")</f>
        <v>Miura 2010</v>
      </c>
      <c r="C1438" s="232" t="str">
        <f>IF(AND(A1438&lt;&gt;"",ISNUMBER(A1438)),VLOOKUP(A1438,Studies!A:BR,3,FALSE),"")</f>
        <v>https://www.ncbi.nlm.nih.gov/pubmed/20595406</v>
      </c>
      <c r="D1438" s="232" t="str">
        <f>IF(AND(A1438&lt;&gt;"",ISNUMBER(A1438)),VLOOKUP(A1438,Studies!A:BR,4,FALSE),"")</f>
        <v>po 100 mg MD Japanese</v>
      </c>
      <c r="E1438" s="206" t="str">
        <f>IF(AND(A1438&lt;&gt;"",ISNUMBER(A1438)),VLOOKUP(A1438,Studies!A:BR,5,FALSE),"")</f>
        <v>Hydroxy-Itraconazole</v>
      </c>
      <c r="F1438" s="207" t="str">
        <f>IF(AND(A1438&lt;&gt;"",ISNUMBER(A1438)),VLOOKUP(A1438,Studies!A:BR,6,FALSE),"")</f>
        <v>Plasma</v>
      </c>
      <c r="G1438" s="194">
        <v>219</v>
      </c>
      <c r="H1438" s="194" t="s">
        <v>60</v>
      </c>
      <c r="I1438" s="187">
        <v>776.66670083999634</v>
      </c>
      <c r="J1438" s="187" t="s">
        <v>1026</v>
      </c>
      <c r="K1438" s="187" t="s">
        <v>116</v>
      </c>
      <c r="L1438" s="195"/>
      <c r="M1438" s="195"/>
      <c r="N1438" s="195"/>
      <c r="O1438" s="199"/>
      <c r="P1438" s="188" t="s">
        <v>1122</v>
      </c>
      <c r="Q1438" s="174">
        <f>IF(ISNUMBER(VLOOKUP(A1438,NotghiID!A:A,1,FALSE)),1,0)</f>
        <v>0</v>
      </c>
    </row>
    <row r="1439" spans="1:17" ht="14.25" x14ac:dyDescent="0.2">
      <c r="A1439" s="183">
        <v>497</v>
      </c>
      <c r="B1439" s="232" t="str">
        <f>IF(AND(A1439&lt;&gt;"",ISNUMBER(A1439)),VLOOKUP(A1439,Studies!A:BR,2,FALSE),"")</f>
        <v>Miura 2010</v>
      </c>
      <c r="C1439" s="232" t="str">
        <f>IF(AND(A1439&lt;&gt;"",ISNUMBER(A1439)),VLOOKUP(A1439,Studies!A:BR,3,FALSE),"")</f>
        <v>https://www.ncbi.nlm.nih.gov/pubmed/20595406</v>
      </c>
      <c r="D1439" s="232" t="str">
        <f>IF(AND(A1439&lt;&gt;"",ISNUMBER(A1439)),VLOOKUP(A1439,Studies!A:BR,4,FALSE),"")</f>
        <v>po 100 mg MD Japanese</v>
      </c>
      <c r="E1439" s="206" t="str">
        <f>IF(AND(A1439&lt;&gt;"",ISNUMBER(A1439)),VLOOKUP(A1439,Studies!A:BR,5,FALSE),"")</f>
        <v>Hydroxy-Itraconazole</v>
      </c>
      <c r="F1439" s="207" t="str">
        <f>IF(AND(A1439&lt;&gt;"",ISNUMBER(A1439)),VLOOKUP(A1439,Studies!A:BR,6,FALSE),"")</f>
        <v>Plasma</v>
      </c>
      <c r="G1439" s="194">
        <v>220</v>
      </c>
      <c r="H1439" s="194" t="s">
        <v>60</v>
      </c>
      <c r="I1439" s="187">
        <v>936.66666746139526</v>
      </c>
      <c r="J1439" s="187" t="s">
        <v>1026</v>
      </c>
      <c r="K1439" s="187" t="s">
        <v>116</v>
      </c>
      <c r="L1439" s="195"/>
      <c r="M1439" s="195"/>
      <c r="N1439" s="195"/>
      <c r="O1439" s="199"/>
      <c r="P1439" s="188" t="s">
        <v>1122</v>
      </c>
      <c r="Q1439" s="174">
        <f>IF(ISNUMBER(VLOOKUP(A1439,NotghiID!A:A,1,FALSE)),1,0)</f>
        <v>0</v>
      </c>
    </row>
    <row r="1440" spans="1:17" ht="14.25" x14ac:dyDescent="0.2">
      <c r="A1440" s="183">
        <v>497</v>
      </c>
      <c r="B1440" s="232" t="str">
        <f>IF(AND(A1440&lt;&gt;"",ISNUMBER(A1440)),VLOOKUP(A1440,Studies!A:BR,2,FALSE),"")</f>
        <v>Miura 2010</v>
      </c>
      <c r="C1440" s="232" t="str">
        <f>IF(AND(A1440&lt;&gt;"",ISNUMBER(A1440)),VLOOKUP(A1440,Studies!A:BR,3,FALSE),"")</f>
        <v>https://www.ncbi.nlm.nih.gov/pubmed/20595406</v>
      </c>
      <c r="D1440" s="232" t="str">
        <f>IF(AND(A1440&lt;&gt;"",ISNUMBER(A1440)),VLOOKUP(A1440,Studies!A:BR,4,FALSE),"")</f>
        <v>po 100 mg MD Japanese</v>
      </c>
      <c r="E1440" s="206" t="str">
        <f>IF(AND(A1440&lt;&gt;"",ISNUMBER(A1440)),VLOOKUP(A1440,Studies!A:BR,5,FALSE),"")</f>
        <v>Hydroxy-Itraconazole</v>
      </c>
      <c r="F1440" s="207" t="str">
        <f>IF(AND(A1440&lt;&gt;"",ISNUMBER(A1440)),VLOOKUP(A1440,Studies!A:BR,6,FALSE),"")</f>
        <v>Plasma</v>
      </c>
      <c r="G1440" s="194">
        <v>222</v>
      </c>
      <c r="H1440" s="194" t="s">
        <v>60</v>
      </c>
      <c r="I1440" s="187">
        <v>836.66670322418213</v>
      </c>
      <c r="J1440" s="187" t="s">
        <v>1026</v>
      </c>
      <c r="K1440" s="187" t="s">
        <v>116</v>
      </c>
      <c r="L1440" s="195"/>
      <c r="M1440" s="195"/>
      <c r="N1440" s="195"/>
      <c r="O1440" s="199"/>
      <c r="P1440" s="188" t="s">
        <v>1122</v>
      </c>
      <c r="Q1440" s="174">
        <f>IF(ISNUMBER(VLOOKUP(A1440,NotghiID!A:A,1,FALSE)),1,0)</f>
        <v>0</v>
      </c>
    </row>
    <row r="1441" spans="1:17" ht="14.25" x14ac:dyDescent="0.2">
      <c r="A1441" s="183">
        <v>497</v>
      </c>
      <c r="B1441" s="232" t="str">
        <f>IF(AND(A1441&lt;&gt;"",ISNUMBER(A1441)),VLOOKUP(A1441,Studies!A:BR,2,FALSE),"")</f>
        <v>Miura 2010</v>
      </c>
      <c r="C1441" s="232" t="str">
        <f>IF(AND(A1441&lt;&gt;"",ISNUMBER(A1441)),VLOOKUP(A1441,Studies!A:BR,3,FALSE),"")</f>
        <v>https://www.ncbi.nlm.nih.gov/pubmed/20595406</v>
      </c>
      <c r="D1441" s="232" t="str">
        <f>IF(AND(A1441&lt;&gt;"",ISNUMBER(A1441)),VLOOKUP(A1441,Studies!A:BR,4,FALSE),"")</f>
        <v>po 100 mg MD Japanese</v>
      </c>
      <c r="E1441" s="206" t="str">
        <f>IF(AND(A1441&lt;&gt;"",ISNUMBER(A1441)),VLOOKUP(A1441,Studies!A:BR,5,FALSE),"")</f>
        <v>Hydroxy-Itraconazole</v>
      </c>
      <c r="F1441" s="207" t="str">
        <f>IF(AND(A1441&lt;&gt;"",ISNUMBER(A1441)),VLOOKUP(A1441,Studies!A:BR,6,FALSE),"")</f>
        <v>Plasma</v>
      </c>
      <c r="G1441" s="194">
        <v>224</v>
      </c>
      <c r="H1441" s="194" t="s">
        <v>60</v>
      </c>
      <c r="I1441" s="187">
        <v>726.66668891906738</v>
      </c>
      <c r="J1441" s="187" t="s">
        <v>1026</v>
      </c>
      <c r="K1441" s="187" t="s">
        <v>116</v>
      </c>
      <c r="L1441" s="195"/>
      <c r="M1441" s="195"/>
      <c r="N1441" s="195"/>
      <c r="O1441" s="199"/>
      <c r="P1441" s="188" t="s">
        <v>1122</v>
      </c>
      <c r="Q1441" s="174">
        <f>IF(ISNUMBER(VLOOKUP(A1441,NotghiID!A:A,1,FALSE)),1,0)</f>
        <v>0</v>
      </c>
    </row>
    <row r="1442" spans="1:17" ht="14.25" x14ac:dyDescent="0.2">
      <c r="A1442" s="183">
        <v>497</v>
      </c>
      <c r="B1442" s="232" t="str">
        <f>IF(AND(A1442&lt;&gt;"",ISNUMBER(A1442)),VLOOKUP(A1442,Studies!A:BR,2,FALSE),"")</f>
        <v>Miura 2010</v>
      </c>
      <c r="C1442" s="232" t="str">
        <f>IF(AND(A1442&lt;&gt;"",ISNUMBER(A1442)),VLOOKUP(A1442,Studies!A:BR,3,FALSE),"")</f>
        <v>https://www.ncbi.nlm.nih.gov/pubmed/20595406</v>
      </c>
      <c r="D1442" s="232" t="str">
        <f>IF(AND(A1442&lt;&gt;"",ISNUMBER(A1442)),VLOOKUP(A1442,Studies!A:BR,4,FALSE),"")</f>
        <v>po 100 mg MD Japanese</v>
      </c>
      <c r="E1442" s="206" t="str">
        <f>IF(AND(A1442&lt;&gt;"",ISNUMBER(A1442)),VLOOKUP(A1442,Studies!A:BR,5,FALSE),"")</f>
        <v>Hydroxy-Itraconazole</v>
      </c>
      <c r="F1442" s="207" t="str">
        <f>IF(AND(A1442&lt;&gt;"",ISNUMBER(A1442)),VLOOKUP(A1442,Studies!A:BR,6,FALSE),"")</f>
        <v>Plasma</v>
      </c>
      <c r="G1442" s="194">
        <v>228</v>
      </c>
      <c r="H1442" s="194" t="s">
        <v>60</v>
      </c>
      <c r="I1442" s="187">
        <v>673.33334684371948</v>
      </c>
      <c r="J1442" s="187" t="s">
        <v>1026</v>
      </c>
      <c r="K1442" s="187" t="s">
        <v>116</v>
      </c>
      <c r="L1442" s="195"/>
      <c r="M1442" s="195"/>
      <c r="N1442" s="195"/>
      <c r="O1442" s="199"/>
      <c r="P1442" s="188" t="s">
        <v>1122</v>
      </c>
      <c r="Q1442" s="174">
        <f>IF(ISNUMBER(VLOOKUP(A1442,NotghiID!A:A,1,FALSE)),1,0)</f>
        <v>0</v>
      </c>
    </row>
    <row r="1443" spans="1:17" ht="14.25" x14ac:dyDescent="0.2">
      <c r="A1443" s="183">
        <v>497</v>
      </c>
      <c r="B1443" s="232" t="str">
        <f>IF(AND(A1443&lt;&gt;"",ISNUMBER(A1443)),VLOOKUP(A1443,Studies!A:BR,2,FALSE),"")</f>
        <v>Miura 2010</v>
      </c>
      <c r="C1443" s="232" t="str">
        <f>IF(AND(A1443&lt;&gt;"",ISNUMBER(A1443)),VLOOKUP(A1443,Studies!A:BR,3,FALSE),"")</f>
        <v>https://www.ncbi.nlm.nih.gov/pubmed/20595406</v>
      </c>
      <c r="D1443" s="232" t="str">
        <f>IF(AND(A1443&lt;&gt;"",ISNUMBER(A1443)),VLOOKUP(A1443,Studies!A:BR,4,FALSE),"")</f>
        <v>po 100 mg MD Japanese</v>
      </c>
      <c r="E1443" s="206" t="str">
        <f>IF(AND(A1443&lt;&gt;"",ISNUMBER(A1443)),VLOOKUP(A1443,Studies!A:BR,5,FALSE),"")</f>
        <v>Hydroxy-Itraconazole</v>
      </c>
      <c r="F1443" s="207" t="str">
        <f>IF(AND(A1443&lt;&gt;"",ISNUMBER(A1443)),VLOOKUP(A1443,Studies!A:BR,6,FALSE),"")</f>
        <v>Plasma</v>
      </c>
      <c r="G1443" s="194">
        <v>240</v>
      </c>
      <c r="H1443" s="194" t="s">
        <v>60</v>
      </c>
      <c r="I1443" s="187">
        <v>513.33332061767578</v>
      </c>
      <c r="J1443" s="187" t="s">
        <v>1026</v>
      </c>
      <c r="K1443" s="187" t="s">
        <v>116</v>
      </c>
      <c r="L1443" s="195"/>
      <c r="M1443" s="195"/>
      <c r="N1443" s="195"/>
      <c r="O1443" s="199"/>
      <c r="P1443" s="188" t="s">
        <v>1122</v>
      </c>
      <c r="Q1443" s="174">
        <f>IF(ISNUMBER(VLOOKUP(A1443,NotghiID!A:A,1,FALSE)),1,0)</f>
        <v>0</v>
      </c>
    </row>
    <row r="1444" spans="1:17" ht="14.25" x14ac:dyDescent="0.2">
      <c r="A1444" s="183">
        <v>498</v>
      </c>
      <c r="B1444" s="232" t="str">
        <f>IF(AND(A1444&lt;&gt;"",ISNUMBER(A1444)),VLOOKUP(A1444,Studies!A:BR,2,FALSE),"")</f>
        <v>Gubbins 2004</v>
      </c>
      <c r="C1444" s="232" t="str">
        <f>IF(AND(A1444&lt;&gt;"",ISNUMBER(A1444)),VLOOKUP(A1444,Studies!A:BR,3,FALSE),"")</f>
        <v>https://www.ncbi.nlm.nih.gov/pubmed/15098799</v>
      </c>
      <c r="D1444" s="232" t="str">
        <f>IF(AND(A1444&lt;&gt;"",ISNUMBER(A1444)),VLOOKUP(A1444,Studies!A:BR,4,FALSE),"")</f>
        <v>po 200 mg solution with water</v>
      </c>
      <c r="E1444" s="206" t="str">
        <f>IF(AND(A1444&lt;&gt;"",ISNUMBER(A1444)),VLOOKUP(A1444,Studies!A:BR,5,FALSE),"")</f>
        <v>Itraconazole</v>
      </c>
      <c r="F1444" s="207" t="str">
        <f>IF(AND(A1444&lt;&gt;"",ISNUMBER(A1444)),VLOOKUP(A1444,Studies!A:BR,6,FALSE),"")</f>
        <v>Plasma</v>
      </c>
      <c r="G1444" s="194">
        <v>0.5</v>
      </c>
      <c r="H1444" s="194" t="s">
        <v>60</v>
      </c>
      <c r="I1444" s="187">
        <v>334.17721557617187</v>
      </c>
      <c r="J1444" s="187" t="s">
        <v>1026</v>
      </c>
      <c r="K1444" s="187" t="s">
        <v>116</v>
      </c>
      <c r="L1444" s="195"/>
      <c r="M1444" s="195"/>
      <c r="N1444" s="195"/>
      <c r="O1444" s="199"/>
      <c r="P1444" s="188" t="s">
        <v>1123</v>
      </c>
      <c r="Q1444" s="174">
        <f>IF(ISNUMBER(VLOOKUP(A1444,NotghiID!A:A,1,FALSE)),1,0)</f>
        <v>0</v>
      </c>
    </row>
    <row r="1445" spans="1:17" ht="14.25" x14ac:dyDescent="0.2">
      <c r="A1445" s="183">
        <v>498</v>
      </c>
      <c r="B1445" s="232" t="str">
        <f>IF(AND(A1445&lt;&gt;"",ISNUMBER(A1445)),VLOOKUP(A1445,Studies!A:BR,2,FALSE),"")</f>
        <v>Gubbins 2004</v>
      </c>
      <c r="C1445" s="232" t="str">
        <f>IF(AND(A1445&lt;&gt;"",ISNUMBER(A1445)),VLOOKUP(A1445,Studies!A:BR,3,FALSE),"")</f>
        <v>https://www.ncbi.nlm.nih.gov/pubmed/15098799</v>
      </c>
      <c r="D1445" s="232" t="str">
        <f>IF(AND(A1445&lt;&gt;"",ISNUMBER(A1445)),VLOOKUP(A1445,Studies!A:BR,4,FALSE),"")</f>
        <v>po 200 mg solution with water</v>
      </c>
      <c r="E1445" s="206" t="str">
        <f>IF(AND(A1445&lt;&gt;"",ISNUMBER(A1445)),VLOOKUP(A1445,Studies!A:BR,5,FALSE),"")</f>
        <v>Itraconazole</v>
      </c>
      <c r="F1445" s="207" t="str">
        <f>IF(AND(A1445&lt;&gt;"",ISNUMBER(A1445)),VLOOKUP(A1445,Studies!A:BR,6,FALSE),"")</f>
        <v>Plasma</v>
      </c>
      <c r="G1445" s="194">
        <v>1</v>
      </c>
      <c r="H1445" s="194" t="s">
        <v>60</v>
      </c>
      <c r="I1445" s="187">
        <v>482.82098388671875</v>
      </c>
      <c r="J1445" s="187" t="s">
        <v>1026</v>
      </c>
      <c r="K1445" s="187" t="s">
        <v>116</v>
      </c>
      <c r="L1445" s="195"/>
      <c r="M1445" s="195"/>
      <c r="N1445" s="195"/>
      <c r="O1445" s="199"/>
      <c r="P1445" s="188" t="s">
        <v>1123</v>
      </c>
      <c r="Q1445" s="174">
        <f>IF(ISNUMBER(VLOOKUP(A1445,NotghiID!A:A,1,FALSE)),1,0)</f>
        <v>0</v>
      </c>
    </row>
    <row r="1446" spans="1:17" ht="14.25" x14ac:dyDescent="0.2">
      <c r="A1446" s="183">
        <v>498</v>
      </c>
      <c r="B1446" s="232" t="str">
        <f>IF(AND(A1446&lt;&gt;"",ISNUMBER(A1446)),VLOOKUP(A1446,Studies!A:BR,2,FALSE),"")</f>
        <v>Gubbins 2004</v>
      </c>
      <c r="C1446" s="232" t="str">
        <f>IF(AND(A1446&lt;&gt;"",ISNUMBER(A1446)),VLOOKUP(A1446,Studies!A:BR,3,FALSE),"")</f>
        <v>https://www.ncbi.nlm.nih.gov/pubmed/15098799</v>
      </c>
      <c r="D1446" s="232" t="str">
        <f>IF(AND(A1446&lt;&gt;"",ISNUMBER(A1446)),VLOOKUP(A1446,Studies!A:BR,4,FALSE),"")</f>
        <v>po 200 mg solution with water</v>
      </c>
      <c r="E1446" s="206" t="str">
        <f>IF(AND(A1446&lt;&gt;"",ISNUMBER(A1446)),VLOOKUP(A1446,Studies!A:BR,5,FALSE),"")</f>
        <v>Itraconazole</v>
      </c>
      <c r="F1446" s="207" t="str">
        <f>IF(AND(A1446&lt;&gt;"",ISNUMBER(A1446)),VLOOKUP(A1446,Studies!A:BR,6,FALSE),"")</f>
        <v>Plasma</v>
      </c>
      <c r="G1446" s="194">
        <v>2</v>
      </c>
      <c r="H1446" s="194" t="s">
        <v>60</v>
      </c>
      <c r="I1446" s="187">
        <v>442.67633056640625</v>
      </c>
      <c r="J1446" s="187" t="s">
        <v>1026</v>
      </c>
      <c r="K1446" s="187" t="s">
        <v>116</v>
      </c>
      <c r="L1446" s="195"/>
      <c r="M1446" s="195"/>
      <c r="N1446" s="195"/>
      <c r="O1446" s="199"/>
      <c r="P1446" s="188" t="s">
        <v>1123</v>
      </c>
      <c r="Q1446" s="174">
        <f>IF(ISNUMBER(VLOOKUP(A1446,NotghiID!A:A,1,FALSE)),1,0)</f>
        <v>0</v>
      </c>
    </row>
    <row r="1447" spans="1:17" ht="14.25" x14ac:dyDescent="0.2">
      <c r="A1447" s="183">
        <v>498</v>
      </c>
      <c r="B1447" s="232" t="str">
        <f>IF(AND(A1447&lt;&gt;"",ISNUMBER(A1447)),VLOOKUP(A1447,Studies!A:BR,2,FALSE),"")</f>
        <v>Gubbins 2004</v>
      </c>
      <c r="C1447" s="232" t="str">
        <f>IF(AND(A1447&lt;&gt;"",ISNUMBER(A1447)),VLOOKUP(A1447,Studies!A:BR,3,FALSE),"")</f>
        <v>https://www.ncbi.nlm.nih.gov/pubmed/15098799</v>
      </c>
      <c r="D1447" s="232" t="str">
        <f>IF(AND(A1447&lt;&gt;"",ISNUMBER(A1447)),VLOOKUP(A1447,Studies!A:BR,4,FALSE),"")</f>
        <v>po 200 mg solution with water</v>
      </c>
      <c r="E1447" s="206" t="str">
        <f>IF(AND(A1447&lt;&gt;"",ISNUMBER(A1447)),VLOOKUP(A1447,Studies!A:BR,5,FALSE),"")</f>
        <v>Itraconazole</v>
      </c>
      <c r="F1447" s="207" t="str">
        <f>IF(AND(A1447&lt;&gt;"",ISNUMBER(A1447)),VLOOKUP(A1447,Studies!A:BR,6,FALSE),"")</f>
        <v>Plasma</v>
      </c>
      <c r="G1447" s="194">
        <v>3</v>
      </c>
      <c r="H1447" s="194" t="s">
        <v>60</v>
      </c>
      <c r="I1447" s="187">
        <v>424.23147583007812</v>
      </c>
      <c r="J1447" s="187" t="s">
        <v>1026</v>
      </c>
      <c r="K1447" s="187" t="s">
        <v>116</v>
      </c>
      <c r="L1447" s="195"/>
      <c r="M1447" s="195"/>
      <c r="N1447" s="195"/>
      <c r="O1447" s="199"/>
      <c r="P1447" s="188" t="s">
        <v>1123</v>
      </c>
      <c r="Q1447" s="174">
        <f>IF(ISNUMBER(VLOOKUP(A1447,NotghiID!A:A,1,FALSE)),1,0)</f>
        <v>0</v>
      </c>
    </row>
    <row r="1448" spans="1:17" ht="14.25" x14ac:dyDescent="0.2">
      <c r="A1448" s="183">
        <v>498</v>
      </c>
      <c r="B1448" s="232" t="str">
        <f>IF(AND(A1448&lt;&gt;"",ISNUMBER(A1448)),VLOOKUP(A1448,Studies!A:BR,2,FALSE),"")</f>
        <v>Gubbins 2004</v>
      </c>
      <c r="C1448" s="232" t="str">
        <f>IF(AND(A1448&lt;&gt;"",ISNUMBER(A1448)),VLOOKUP(A1448,Studies!A:BR,3,FALSE),"")</f>
        <v>https://www.ncbi.nlm.nih.gov/pubmed/15098799</v>
      </c>
      <c r="D1448" s="232" t="str">
        <f>IF(AND(A1448&lt;&gt;"",ISNUMBER(A1448)),VLOOKUP(A1448,Studies!A:BR,4,FALSE),"")</f>
        <v>po 200 mg solution with water</v>
      </c>
      <c r="E1448" s="206" t="str">
        <f>IF(AND(A1448&lt;&gt;"",ISNUMBER(A1448)),VLOOKUP(A1448,Studies!A:BR,5,FALSE),"")</f>
        <v>Itraconazole</v>
      </c>
      <c r="F1448" s="207" t="str">
        <f>IF(AND(A1448&lt;&gt;"",ISNUMBER(A1448)),VLOOKUP(A1448,Studies!A:BR,6,FALSE),"")</f>
        <v>Plasma</v>
      </c>
      <c r="G1448" s="194">
        <v>4</v>
      </c>
      <c r="H1448" s="194" t="s">
        <v>60</v>
      </c>
      <c r="I1448" s="187">
        <v>388.4267578125</v>
      </c>
      <c r="J1448" s="187" t="s">
        <v>1026</v>
      </c>
      <c r="K1448" s="187" t="s">
        <v>116</v>
      </c>
      <c r="L1448" s="195"/>
      <c r="M1448" s="195"/>
      <c r="N1448" s="195"/>
      <c r="O1448" s="199"/>
      <c r="P1448" s="188" t="s">
        <v>1123</v>
      </c>
      <c r="Q1448" s="174">
        <f>IF(ISNUMBER(VLOOKUP(A1448,NotghiID!A:A,1,FALSE)),1,0)</f>
        <v>0</v>
      </c>
    </row>
    <row r="1449" spans="1:17" ht="14.25" x14ac:dyDescent="0.2">
      <c r="A1449" s="183">
        <v>498</v>
      </c>
      <c r="B1449" s="232" t="str">
        <f>IF(AND(A1449&lt;&gt;"",ISNUMBER(A1449)),VLOOKUP(A1449,Studies!A:BR,2,FALSE),"")</f>
        <v>Gubbins 2004</v>
      </c>
      <c r="C1449" s="232" t="str">
        <f>IF(AND(A1449&lt;&gt;"",ISNUMBER(A1449)),VLOOKUP(A1449,Studies!A:BR,3,FALSE),"")</f>
        <v>https://www.ncbi.nlm.nih.gov/pubmed/15098799</v>
      </c>
      <c r="D1449" s="232" t="str">
        <f>IF(AND(A1449&lt;&gt;"",ISNUMBER(A1449)),VLOOKUP(A1449,Studies!A:BR,4,FALSE),"")</f>
        <v>po 200 mg solution with water</v>
      </c>
      <c r="E1449" s="206" t="str">
        <f>IF(AND(A1449&lt;&gt;"",ISNUMBER(A1449)),VLOOKUP(A1449,Studies!A:BR,5,FALSE),"")</f>
        <v>Itraconazole</v>
      </c>
      <c r="F1449" s="207" t="str">
        <f>IF(AND(A1449&lt;&gt;"",ISNUMBER(A1449)),VLOOKUP(A1449,Studies!A:BR,6,FALSE),"")</f>
        <v>Plasma</v>
      </c>
      <c r="G1449" s="194">
        <v>5</v>
      </c>
      <c r="H1449" s="194" t="s">
        <v>60</v>
      </c>
      <c r="I1449" s="187">
        <v>312.4774169921875</v>
      </c>
      <c r="J1449" s="187" t="s">
        <v>1026</v>
      </c>
      <c r="K1449" s="187" t="s">
        <v>116</v>
      </c>
      <c r="L1449" s="195"/>
      <c r="M1449" s="195"/>
      <c r="N1449" s="195"/>
      <c r="O1449" s="199"/>
      <c r="P1449" s="188" t="s">
        <v>1123</v>
      </c>
      <c r="Q1449" s="174">
        <f>IF(ISNUMBER(VLOOKUP(A1449,NotghiID!A:A,1,FALSE)),1,0)</f>
        <v>0</v>
      </c>
    </row>
    <row r="1450" spans="1:17" ht="14.25" x14ac:dyDescent="0.2">
      <c r="A1450" s="183">
        <v>498</v>
      </c>
      <c r="B1450" s="232" t="str">
        <f>IF(AND(A1450&lt;&gt;"",ISNUMBER(A1450)),VLOOKUP(A1450,Studies!A:BR,2,FALSE),"")</f>
        <v>Gubbins 2004</v>
      </c>
      <c r="C1450" s="232" t="str">
        <f>IF(AND(A1450&lt;&gt;"",ISNUMBER(A1450)),VLOOKUP(A1450,Studies!A:BR,3,FALSE),"")</f>
        <v>https://www.ncbi.nlm.nih.gov/pubmed/15098799</v>
      </c>
      <c r="D1450" s="232" t="str">
        <f>IF(AND(A1450&lt;&gt;"",ISNUMBER(A1450)),VLOOKUP(A1450,Studies!A:BR,4,FALSE),"")</f>
        <v>po 200 mg solution with water</v>
      </c>
      <c r="E1450" s="206" t="str">
        <f>IF(AND(A1450&lt;&gt;"",ISNUMBER(A1450)),VLOOKUP(A1450,Studies!A:BR,5,FALSE),"")</f>
        <v>Itraconazole</v>
      </c>
      <c r="F1450" s="207" t="str">
        <f>IF(AND(A1450&lt;&gt;"",ISNUMBER(A1450)),VLOOKUP(A1450,Studies!A:BR,6,FALSE),"")</f>
        <v>Plasma</v>
      </c>
      <c r="G1450" s="194">
        <v>6</v>
      </c>
      <c r="H1450" s="194" t="s">
        <v>60</v>
      </c>
      <c r="I1450" s="187">
        <v>243.03797912597656</v>
      </c>
      <c r="J1450" s="187" t="s">
        <v>1026</v>
      </c>
      <c r="K1450" s="187" t="s">
        <v>116</v>
      </c>
      <c r="L1450" s="195"/>
      <c r="M1450" s="195"/>
      <c r="N1450" s="195"/>
      <c r="O1450" s="199"/>
      <c r="P1450" s="188" t="s">
        <v>1123</v>
      </c>
      <c r="Q1450" s="174">
        <f>IF(ISNUMBER(VLOOKUP(A1450,NotghiID!A:A,1,FALSE)),1,0)</f>
        <v>0</v>
      </c>
    </row>
    <row r="1451" spans="1:17" ht="14.25" x14ac:dyDescent="0.2">
      <c r="A1451" s="183">
        <v>498</v>
      </c>
      <c r="B1451" s="232" t="str">
        <f>IF(AND(A1451&lt;&gt;"",ISNUMBER(A1451)),VLOOKUP(A1451,Studies!A:BR,2,FALSE),"")</f>
        <v>Gubbins 2004</v>
      </c>
      <c r="C1451" s="232" t="str">
        <f>IF(AND(A1451&lt;&gt;"",ISNUMBER(A1451)),VLOOKUP(A1451,Studies!A:BR,3,FALSE),"")</f>
        <v>https://www.ncbi.nlm.nih.gov/pubmed/15098799</v>
      </c>
      <c r="D1451" s="232" t="str">
        <f>IF(AND(A1451&lt;&gt;"",ISNUMBER(A1451)),VLOOKUP(A1451,Studies!A:BR,4,FALSE),"")</f>
        <v>po 200 mg solution with water</v>
      </c>
      <c r="E1451" s="206" t="str">
        <f>IF(AND(A1451&lt;&gt;"",ISNUMBER(A1451)),VLOOKUP(A1451,Studies!A:BR,5,FALSE),"")</f>
        <v>Itraconazole</v>
      </c>
      <c r="F1451" s="207" t="str">
        <f>IF(AND(A1451&lt;&gt;"",ISNUMBER(A1451)),VLOOKUP(A1451,Studies!A:BR,6,FALSE),"")</f>
        <v>Plasma</v>
      </c>
      <c r="G1451" s="194">
        <v>8</v>
      </c>
      <c r="H1451" s="194" t="s">
        <v>60</v>
      </c>
      <c r="I1451" s="187">
        <v>190.95840454101562</v>
      </c>
      <c r="J1451" s="187" t="s">
        <v>1026</v>
      </c>
      <c r="K1451" s="187" t="s">
        <v>116</v>
      </c>
      <c r="L1451" s="195"/>
      <c r="M1451" s="195"/>
      <c r="N1451" s="195"/>
      <c r="O1451" s="199"/>
      <c r="P1451" s="188" t="s">
        <v>1123</v>
      </c>
      <c r="Q1451" s="174">
        <f>IF(ISNUMBER(VLOOKUP(A1451,NotghiID!A:A,1,FALSE)),1,0)</f>
        <v>0</v>
      </c>
    </row>
    <row r="1452" spans="1:17" ht="14.25" x14ac:dyDescent="0.2">
      <c r="A1452" s="183">
        <v>498</v>
      </c>
      <c r="B1452" s="232" t="str">
        <f>IF(AND(A1452&lt;&gt;"",ISNUMBER(A1452)),VLOOKUP(A1452,Studies!A:BR,2,FALSE),"")</f>
        <v>Gubbins 2004</v>
      </c>
      <c r="C1452" s="232" t="str">
        <f>IF(AND(A1452&lt;&gt;"",ISNUMBER(A1452)),VLOOKUP(A1452,Studies!A:BR,3,FALSE),"")</f>
        <v>https://www.ncbi.nlm.nih.gov/pubmed/15098799</v>
      </c>
      <c r="D1452" s="232" t="str">
        <f>IF(AND(A1452&lt;&gt;"",ISNUMBER(A1452)),VLOOKUP(A1452,Studies!A:BR,4,FALSE),"")</f>
        <v>po 200 mg solution with water</v>
      </c>
      <c r="E1452" s="206" t="str">
        <f>IF(AND(A1452&lt;&gt;"",ISNUMBER(A1452)),VLOOKUP(A1452,Studies!A:BR,5,FALSE),"")</f>
        <v>Itraconazole</v>
      </c>
      <c r="F1452" s="207" t="str">
        <f>IF(AND(A1452&lt;&gt;"",ISNUMBER(A1452)),VLOOKUP(A1452,Studies!A:BR,6,FALSE),"")</f>
        <v>Plasma</v>
      </c>
      <c r="G1452" s="194">
        <v>10</v>
      </c>
      <c r="H1452" s="194" t="s">
        <v>60</v>
      </c>
      <c r="I1452" s="187">
        <v>159.49366760253906</v>
      </c>
      <c r="J1452" s="187" t="s">
        <v>1026</v>
      </c>
      <c r="K1452" s="187" t="s">
        <v>116</v>
      </c>
      <c r="L1452" s="195"/>
      <c r="M1452" s="195"/>
      <c r="N1452" s="195"/>
      <c r="O1452" s="199"/>
      <c r="P1452" s="188" t="s">
        <v>1123</v>
      </c>
      <c r="Q1452" s="174">
        <f>IF(ISNUMBER(VLOOKUP(A1452,NotghiID!A:A,1,FALSE)),1,0)</f>
        <v>0</v>
      </c>
    </row>
    <row r="1453" spans="1:17" ht="14.25" x14ac:dyDescent="0.2">
      <c r="A1453" s="183">
        <v>498</v>
      </c>
      <c r="B1453" s="232" t="str">
        <f>IF(AND(A1453&lt;&gt;"",ISNUMBER(A1453)),VLOOKUP(A1453,Studies!A:BR,2,FALSE),"")</f>
        <v>Gubbins 2004</v>
      </c>
      <c r="C1453" s="232" t="str">
        <f>IF(AND(A1453&lt;&gt;"",ISNUMBER(A1453)),VLOOKUP(A1453,Studies!A:BR,3,FALSE),"")</f>
        <v>https://www.ncbi.nlm.nih.gov/pubmed/15098799</v>
      </c>
      <c r="D1453" s="232" t="str">
        <f>IF(AND(A1453&lt;&gt;"",ISNUMBER(A1453)),VLOOKUP(A1453,Studies!A:BR,4,FALSE),"")</f>
        <v>po 200 mg solution with water</v>
      </c>
      <c r="E1453" s="206" t="str">
        <f>IF(AND(A1453&lt;&gt;"",ISNUMBER(A1453)),VLOOKUP(A1453,Studies!A:BR,5,FALSE),"")</f>
        <v>Itraconazole</v>
      </c>
      <c r="F1453" s="207" t="str">
        <f>IF(AND(A1453&lt;&gt;"",ISNUMBER(A1453)),VLOOKUP(A1453,Studies!A:BR,6,FALSE),"")</f>
        <v>Plasma</v>
      </c>
      <c r="G1453" s="194">
        <v>12</v>
      </c>
      <c r="H1453" s="194" t="s">
        <v>60</v>
      </c>
      <c r="I1453" s="187">
        <v>131.28390502929687</v>
      </c>
      <c r="J1453" s="187" t="s">
        <v>1026</v>
      </c>
      <c r="K1453" s="187" t="s">
        <v>116</v>
      </c>
      <c r="L1453" s="195"/>
      <c r="M1453" s="195"/>
      <c r="N1453" s="195"/>
      <c r="O1453" s="199"/>
      <c r="P1453" s="188" t="s">
        <v>1123</v>
      </c>
      <c r="Q1453" s="174">
        <f>IF(ISNUMBER(VLOOKUP(A1453,NotghiID!A:A,1,FALSE)),1,0)</f>
        <v>0</v>
      </c>
    </row>
    <row r="1454" spans="1:17" ht="14.25" x14ac:dyDescent="0.2">
      <c r="A1454" s="183">
        <v>498</v>
      </c>
      <c r="B1454" s="232" t="str">
        <f>IF(AND(A1454&lt;&gt;"",ISNUMBER(A1454)),VLOOKUP(A1454,Studies!A:BR,2,FALSE),"")</f>
        <v>Gubbins 2004</v>
      </c>
      <c r="C1454" s="232" t="str">
        <f>IF(AND(A1454&lt;&gt;"",ISNUMBER(A1454)),VLOOKUP(A1454,Studies!A:BR,3,FALSE),"")</f>
        <v>https://www.ncbi.nlm.nih.gov/pubmed/15098799</v>
      </c>
      <c r="D1454" s="232" t="str">
        <f>IF(AND(A1454&lt;&gt;"",ISNUMBER(A1454)),VLOOKUP(A1454,Studies!A:BR,4,FALSE),"")</f>
        <v>po 200 mg solution with water</v>
      </c>
      <c r="E1454" s="206" t="str">
        <f>IF(AND(A1454&lt;&gt;"",ISNUMBER(A1454)),VLOOKUP(A1454,Studies!A:BR,5,FALSE),"")</f>
        <v>Itraconazole</v>
      </c>
      <c r="F1454" s="207" t="str">
        <f>IF(AND(A1454&lt;&gt;"",ISNUMBER(A1454)),VLOOKUP(A1454,Studies!A:BR,6,FALSE),"")</f>
        <v>Plasma</v>
      </c>
      <c r="G1454" s="194">
        <v>24</v>
      </c>
      <c r="H1454" s="194" t="s">
        <v>60</v>
      </c>
      <c r="I1454" s="187">
        <v>71.609405517578125</v>
      </c>
      <c r="J1454" s="187" t="s">
        <v>1026</v>
      </c>
      <c r="K1454" s="187" t="s">
        <v>116</v>
      </c>
      <c r="L1454" s="195"/>
      <c r="M1454" s="195"/>
      <c r="N1454" s="195"/>
      <c r="O1454" s="199"/>
      <c r="P1454" s="188" t="s">
        <v>1123</v>
      </c>
      <c r="Q1454" s="174">
        <f>IF(ISNUMBER(VLOOKUP(A1454,NotghiID!A:A,1,FALSE)),1,0)</f>
        <v>0</v>
      </c>
    </row>
    <row r="1455" spans="1:17" ht="14.25" x14ac:dyDescent="0.2">
      <c r="A1455" s="183">
        <v>498</v>
      </c>
      <c r="B1455" s="232" t="str">
        <f>IF(AND(A1455&lt;&gt;"",ISNUMBER(A1455)),VLOOKUP(A1455,Studies!A:BR,2,FALSE),"")</f>
        <v>Gubbins 2004</v>
      </c>
      <c r="C1455" s="232" t="str">
        <f>IF(AND(A1455&lt;&gt;"",ISNUMBER(A1455)),VLOOKUP(A1455,Studies!A:BR,3,FALSE),"")</f>
        <v>https://www.ncbi.nlm.nih.gov/pubmed/15098799</v>
      </c>
      <c r="D1455" s="232" t="str">
        <f>IF(AND(A1455&lt;&gt;"",ISNUMBER(A1455)),VLOOKUP(A1455,Studies!A:BR,4,FALSE),"")</f>
        <v>po 200 mg solution with water</v>
      </c>
      <c r="E1455" s="206" t="str">
        <f>IF(AND(A1455&lt;&gt;"",ISNUMBER(A1455)),VLOOKUP(A1455,Studies!A:BR,5,FALSE),"")</f>
        <v>Itraconazole</v>
      </c>
      <c r="F1455" s="207" t="str">
        <f>IF(AND(A1455&lt;&gt;"",ISNUMBER(A1455)),VLOOKUP(A1455,Studies!A:BR,6,FALSE),"")</f>
        <v>Plasma</v>
      </c>
      <c r="G1455" s="194">
        <v>36</v>
      </c>
      <c r="H1455" s="194" t="s">
        <v>60</v>
      </c>
      <c r="I1455" s="187">
        <v>50.994575500488281</v>
      </c>
      <c r="J1455" s="187" t="s">
        <v>1026</v>
      </c>
      <c r="K1455" s="187" t="s">
        <v>116</v>
      </c>
      <c r="L1455" s="195"/>
      <c r="M1455" s="195"/>
      <c r="N1455" s="195"/>
      <c r="O1455" s="199"/>
      <c r="P1455" s="188" t="s">
        <v>1123</v>
      </c>
      <c r="Q1455" s="174">
        <f>IF(ISNUMBER(VLOOKUP(A1455,NotghiID!A:A,1,FALSE)),1,0)</f>
        <v>0</v>
      </c>
    </row>
    <row r="1456" spans="1:17" ht="14.25" x14ac:dyDescent="0.2">
      <c r="A1456" s="183">
        <v>498</v>
      </c>
      <c r="B1456" s="232" t="str">
        <f>IF(AND(A1456&lt;&gt;"",ISNUMBER(A1456)),VLOOKUP(A1456,Studies!A:BR,2,FALSE),"")</f>
        <v>Gubbins 2004</v>
      </c>
      <c r="C1456" s="232" t="str">
        <f>IF(AND(A1456&lt;&gt;"",ISNUMBER(A1456)),VLOOKUP(A1456,Studies!A:BR,3,FALSE),"")</f>
        <v>https://www.ncbi.nlm.nih.gov/pubmed/15098799</v>
      </c>
      <c r="D1456" s="232" t="str">
        <f>IF(AND(A1456&lt;&gt;"",ISNUMBER(A1456)),VLOOKUP(A1456,Studies!A:BR,4,FALSE),"")</f>
        <v>po 200 mg solution with water</v>
      </c>
      <c r="E1456" s="206" t="str">
        <f>IF(AND(A1456&lt;&gt;"",ISNUMBER(A1456)),VLOOKUP(A1456,Studies!A:BR,5,FALSE),"")</f>
        <v>Itraconazole</v>
      </c>
      <c r="F1456" s="207" t="str">
        <f>IF(AND(A1456&lt;&gt;"",ISNUMBER(A1456)),VLOOKUP(A1456,Studies!A:BR,6,FALSE),"")</f>
        <v>Plasma</v>
      </c>
      <c r="G1456" s="194">
        <v>48</v>
      </c>
      <c r="H1456" s="194" t="s">
        <v>60</v>
      </c>
      <c r="I1456" s="187">
        <v>35.804702758789062</v>
      </c>
      <c r="J1456" s="187" t="s">
        <v>1026</v>
      </c>
      <c r="K1456" s="187" t="s">
        <v>116</v>
      </c>
      <c r="L1456" s="195"/>
      <c r="M1456" s="195"/>
      <c r="N1456" s="195"/>
      <c r="O1456" s="199"/>
      <c r="P1456" s="188" t="s">
        <v>1123</v>
      </c>
      <c r="Q1456" s="174">
        <f>IF(ISNUMBER(VLOOKUP(A1456,NotghiID!A:A,1,FALSE)),1,0)</f>
        <v>0</v>
      </c>
    </row>
    <row r="1457" spans="1:17" ht="14.25" x14ac:dyDescent="0.2">
      <c r="A1457" s="183">
        <v>499</v>
      </c>
      <c r="B1457" s="232" t="str">
        <f>IF(AND(A1457&lt;&gt;"",ISNUMBER(A1457)),VLOOKUP(A1457,Studies!A:BR,2,FALSE),"")</f>
        <v>Gubbins 2004</v>
      </c>
      <c r="C1457" s="232" t="str">
        <f>IF(AND(A1457&lt;&gt;"",ISNUMBER(A1457)),VLOOKUP(A1457,Studies!A:BR,3,FALSE),"")</f>
        <v>https://www.ncbi.nlm.nih.gov/pubmed/15098799</v>
      </c>
      <c r="D1457" s="232" t="str">
        <f>IF(AND(A1457&lt;&gt;"",ISNUMBER(A1457)),VLOOKUP(A1457,Studies!A:BR,4,FALSE),"")</f>
        <v>po 200 mg solution with water</v>
      </c>
      <c r="E1457" s="206" t="str">
        <f>IF(AND(A1457&lt;&gt;"",ISNUMBER(A1457)),VLOOKUP(A1457,Studies!A:BR,5,FALSE),"")</f>
        <v>Hydroxy-Itraconazole</v>
      </c>
      <c r="F1457" s="207" t="str">
        <f>IF(AND(A1457&lt;&gt;"",ISNUMBER(A1457)),VLOOKUP(A1457,Studies!A:BR,6,FALSE),"")</f>
        <v>Plasma</v>
      </c>
      <c r="G1457" s="194">
        <v>0.5</v>
      </c>
      <c r="H1457" s="194" t="s">
        <v>60</v>
      </c>
      <c r="I1457" s="187">
        <v>271.42855834960937</v>
      </c>
      <c r="J1457" s="187" t="s">
        <v>1026</v>
      </c>
      <c r="K1457" s="187" t="s">
        <v>116</v>
      </c>
      <c r="L1457" s="195"/>
      <c r="M1457" s="195"/>
      <c r="N1457" s="195"/>
      <c r="O1457" s="199"/>
      <c r="P1457" s="188" t="s">
        <v>1123</v>
      </c>
      <c r="Q1457" s="174">
        <f>IF(ISNUMBER(VLOOKUP(A1457,NotghiID!A:A,1,FALSE)),1,0)</f>
        <v>0</v>
      </c>
    </row>
    <row r="1458" spans="1:17" ht="14.25" x14ac:dyDescent="0.2">
      <c r="A1458" s="183">
        <v>499</v>
      </c>
      <c r="B1458" s="232" t="str">
        <f>IF(AND(A1458&lt;&gt;"",ISNUMBER(A1458)),VLOOKUP(A1458,Studies!A:BR,2,FALSE),"")</f>
        <v>Gubbins 2004</v>
      </c>
      <c r="C1458" s="232" t="str">
        <f>IF(AND(A1458&lt;&gt;"",ISNUMBER(A1458)),VLOOKUP(A1458,Studies!A:BR,3,FALSE),"")</f>
        <v>https://www.ncbi.nlm.nih.gov/pubmed/15098799</v>
      </c>
      <c r="D1458" s="232" t="str">
        <f>IF(AND(A1458&lt;&gt;"",ISNUMBER(A1458)),VLOOKUP(A1458,Studies!A:BR,4,FALSE),"")</f>
        <v>po 200 mg solution with water</v>
      </c>
      <c r="E1458" s="206" t="str">
        <f>IF(AND(A1458&lt;&gt;"",ISNUMBER(A1458)),VLOOKUP(A1458,Studies!A:BR,5,FALSE),"")</f>
        <v>Hydroxy-Itraconazole</v>
      </c>
      <c r="F1458" s="207" t="str">
        <f>IF(AND(A1458&lt;&gt;"",ISNUMBER(A1458)),VLOOKUP(A1458,Studies!A:BR,6,FALSE),"")</f>
        <v>Plasma</v>
      </c>
      <c r="G1458" s="194">
        <v>1</v>
      </c>
      <c r="H1458" s="194" t="s">
        <v>60</v>
      </c>
      <c r="I1458" s="187">
        <v>520.40814208984375</v>
      </c>
      <c r="J1458" s="187" t="s">
        <v>1026</v>
      </c>
      <c r="K1458" s="187" t="s">
        <v>116</v>
      </c>
      <c r="L1458" s="195"/>
      <c r="M1458" s="195"/>
      <c r="N1458" s="195"/>
      <c r="O1458" s="199"/>
      <c r="P1458" s="188" t="s">
        <v>1123</v>
      </c>
      <c r="Q1458" s="174">
        <f>IF(ISNUMBER(VLOOKUP(A1458,NotghiID!A:A,1,FALSE)),1,0)</f>
        <v>0</v>
      </c>
    </row>
    <row r="1459" spans="1:17" ht="14.25" x14ac:dyDescent="0.2">
      <c r="A1459" s="183">
        <v>499</v>
      </c>
      <c r="B1459" s="232" t="str">
        <f>IF(AND(A1459&lt;&gt;"",ISNUMBER(A1459)),VLOOKUP(A1459,Studies!A:BR,2,FALSE),"")</f>
        <v>Gubbins 2004</v>
      </c>
      <c r="C1459" s="232" t="str">
        <f>IF(AND(A1459&lt;&gt;"",ISNUMBER(A1459)),VLOOKUP(A1459,Studies!A:BR,3,FALSE),"")</f>
        <v>https://www.ncbi.nlm.nih.gov/pubmed/15098799</v>
      </c>
      <c r="D1459" s="232" t="str">
        <f>IF(AND(A1459&lt;&gt;"",ISNUMBER(A1459)),VLOOKUP(A1459,Studies!A:BR,4,FALSE),"")</f>
        <v>po 200 mg solution with water</v>
      </c>
      <c r="E1459" s="206" t="str">
        <f>IF(AND(A1459&lt;&gt;"",ISNUMBER(A1459)),VLOOKUP(A1459,Studies!A:BR,5,FALSE),"")</f>
        <v>Hydroxy-Itraconazole</v>
      </c>
      <c r="F1459" s="207" t="str">
        <f>IF(AND(A1459&lt;&gt;"",ISNUMBER(A1459)),VLOOKUP(A1459,Studies!A:BR,6,FALSE),"")</f>
        <v>Plasma</v>
      </c>
      <c r="G1459" s="194">
        <v>2</v>
      </c>
      <c r="H1459" s="194" t="s">
        <v>60</v>
      </c>
      <c r="I1459" s="187">
        <v>653.06121826171875</v>
      </c>
      <c r="J1459" s="187" t="s">
        <v>1026</v>
      </c>
      <c r="K1459" s="187" t="s">
        <v>116</v>
      </c>
      <c r="L1459" s="195"/>
      <c r="M1459" s="195"/>
      <c r="N1459" s="195"/>
      <c r="O1459" s="199"/>
      <c r="P1459" s="188" t="s">
        <v>1123</v>
      </c>
      <c r="Q1459" s="174">
        <f>IF(ISNUMBER(VLOOKUP(A1459,NotghiID!A:A,1,FALSE)),1,0)</f>
        <v>0</v>
      </c>
    </row>
    <row r="1460" spans="1:17" ht="14.25" x14ac:dyDescent="0.2">
      <c r="A1460" s="183">
        <v>499</v>
      </c>
      <c r="B1460" s="232" t="str">
        <f>IF(AND(A1460&lt;&gt;"",ISNUMBER(A1460)),VLOOKUP(A1460,Studies!A:BR,2,FALSE),"")</f>
        <v>Gubbins 2004</v>
      </c>
      <c r="C1460" s="232" t="str">
        <f>IF(AND(A1460&lt;&gt;"",ISNUMBER(A1460)),VLOOKUP(A1460,Studies!A:BR,3,FALSE),"")</f>
        <v>https://www.ncbi.nlm.nih.gov/pubmed/15098799</v>
      </c>
      <c r="D1460" s="232" t="str">
        <f>IF(AND(A1460&lt;&gt;"",ISNUMBER(A1460)),VLOOKUP(A1460,Studies!A:BR,4,FALSE),"")</f>
        <v>po 200 mg solution with water</v>
      </c>
      <c r="E1460" s="206" t="str">
        <f>IF(AND(A1460&lt;&gt;"",ISNUMBER(A1460)),VLOOKUP(A1460,Studies!A:BR,5,FALSE),"")</f>
        <v>Hydroxy-Itraconazole</v>
      </c>
      <c r="F1460" s="207" t="str">
        <f>IF(AND(A1460&lt;&gt;"",ISNUMBER(A1460)),VLOOKUP(A1460,Studies!A:BR,6,FALSE),"")</f>
        <v>Plasma</v>
      </c>
      <c r="G1460" s="194">
        <v>3</v>
      </c>
      <c r="H1460" s="194" t="s">
        <v>60</v>
      </c>
      <c r="I1460" s="187">
        <v>716.3265380859375</v>
      </c>
      <c r="J1460" s="187" t="s">
        <v>1026</v>
      </c>
      <c r="K1460" s="187" t="s">
        <v>116</v>
      </c>
      <c r="L1460" s="195"/>
      <c r="M1460" s="195"/>
      <c r="N1460" s="195"/>
      <c r="O1460" s="199"/>
      <c r="P1460" s="188" t="s">
        <v>1123</v>
      </c>
      <c r="Q1460" s="174">
        <f>IF(ISNUMBER(VLOOKUP(A1460,NotghiID!A:A,1,FALSE)),1,0)</f>
        <v>0</v>
      </c>
    </row>
    <row r="1461" spans="1:17" ht="14.25" x14ac:dyDescent="0.2">
      <c r="A1461" s="183">
        <v>499</v>
      </c>
      <c r="B1461" s="232" t="str">
        <f>IF(AND(A1461&lt;&gt;"",ISNUMBER(A1461)),VLOOKUP(A1461,Studies!A:BR,2,FALSE),"")</f>
        <v>Gubbins 2004</v>
      </c>
      <c r="C1461" s="232" t="str">
        <f>IF(AND(A1461&lt;&gt;"",ISNUMBER(A1461)),VLOOKUP(A1461,Studies!A:BR,3,FALSE),"")</f>
        <v>https://www.ncbi.nlm.nih.gov/pubmed/15098799</v>
      </c>
      <c r="D1461" s="232" t="str">
        <f>IF(AND(A1461&lt;&gt;"",ISNUMBER(A1461)),VLOOKUP(A1461,Studies!A:BR,4,FALSE),"")</f>
        <v>po 200 mg solution with water</v>
      </c>
      <c r="E1461" s="206" t="str">
        <f>IF(AND(A1461&lt;&gt;"",ISNUMBER(A1461)),VLOOKUP(A1461,Studies!A:BR,5,FALSE),"")</f>
        <v>Hydroxy-Itraconazole</v>
      </c>
      <c r="F1461" s="207" t="str">
        <f>IF(AND(A1461&lt;&gt;"",ISNUMBER(A1461)),VLOOKUP(A1461,Studies!A:BR,6,FALSE),"")</f>
        <v>Plasma</v>
      </c>
      <c r="G1461" s="194">
        <v>4</v>
      </c>
      <c r="H1461" s="194" t="s">
        <v>60</v>
      </c>
      <c r="I1461" s="187">
        <v>716.3265380859375</v>
      </c>
      <c r="J1461" s="187" t="s">
        <v>1026</v>
      </c>
      <c r="K1461" s="187" t="s">
        <v>116</v>
      </c>
      <c r="L1461" s="195"/>
      <c r="M1461" s="195"/>
      <c r="N1461" s="195"/>
      <c r="O1461" s="199"/>
      <c r="P1461" s="188" t="s">
        <v>1123</v>
      </c>
      <c r="Q1461" s="174">
        <f>IF(ISNUMBER(VLOOKUP(A1461,NotghiID!A:A,1,FALSE)),1,0)</f>
        <v>0</v>
      </c>
    </row>
    <row r="1462" spans="1:17" ht="14.25" x14ac:dyDescent="0.2">
      <c r="A1462" s="183">
        <v>499</v>
      </c>
      <c r="B1462" s="232" t="str">
        <f>IF(AND(A1462&lt;&gt;"",ISNUMBER(A1462)),VLOOKUP(A1462,Studies!A:BR,2,FALSE),"")</f>
        <v>Gubbins 2004</v>
      </c>
      <c r="C1462" s="232" t="str">
        <f>IF(AND(A1462&lt;&gt;"",ISNUMBER(A1462)),VLOOKUP(A1462,Studies!A:BR,3,FALSE),"")</f>
        <v>https://www.ncbi.nlm.nih.gov/pubmed/15098799</v>
      </c>
      <c r="D1462" s="232" t="str">
        <f>IF(AND(A1462&lt;&gt;"",ISNUMBER(A1462)),VLOOKUP(A1462,Studies!A:BR,4,FALSE),"")</f>
        <v>po 200 mg solution with water</v>
      </c>
      <c r="E1462" s="206" t="str">
        <f>IF(AND(A1462&lt;&gt;"",ISNUMBER(A1462)),VLOOKUP(A1462,Studies!A:BR,5,FALSE),"")</f>
        <v>Hydroxy-Itraconazole</v>
      </c>
      <c r="F1462" s="207" t="str">
        <f>IF(AND(A1462&lt;&gt;"",ISNUMBER(A1462)),VLOOKUP(A1462,Studies!A:BR,6,FALSE),"")</f>
        <v>Plasma</v>
      </c>
      <c r="G1462" s="194">
        <v>5</v>
      </c>
      <c r="H1462" s="194" t="s">
        <v>60</v>
      </c>
      <c r="I1462" s="187">
        <v>685.71429443359375</v>
      </c>
      <c r="J1462" s="187" t="s">
        <v>1026</v>
      </c>
      <c r="K1462" s="187" t="s">
        <v>116</v>
      </c>
      <c r="L1462" s="195"/>
      <c r="M1462" s="195"/>
      <c r="N1462" s="195"/>
      <c r="O1462" s="199"/>
      <c r="P1462" s="188" t="s">
        <v>1123</v>
      </c>
      <c r="Q1462" s="174">
        <f>IF(ISNUMBER(VLOOKUP(A1462,NotghiID!A:A,1,FALSE)),1,0)</f>
        <v>0</v>
      </c>
    </row>
    <row r="1463" spans="1:17" ht="14.25" x14ac:dyDescent="0.2">
      <c r="A1463" s="183">
        <v>499</v>
      </c>
      <c r="B1463" s="232" t="str">
        <f>IF(AND(A1463&lt;&gt;"",ISNUMBER(A1463)),VLOOKUP(A1463,Studies!A:BR,2,FALSE),"")</f>
        <v>Gubbins 2004</v>
      </c>
      <c r="C1463" s="232" t="str">
        <f>IF(AND(A1463&lt;&gt;"",ISNUMBER(A1463)),VLOOKUP(A1463,Studies!A:BR,3,FALSE),"")</f>
        <v>https://www.ncbi.nlm.nih.gov/pubmed/15098799</v>
      </c>
      <c r="D1463" s="232" t="str">
        <f>IF(AND(A1463&lt;&gt;"",ISNUMBER(A1463)),VLOOKUP(A1463,Studies!A:BR,4,FALSE),"")</f>
        <v>po 200 mg solution with water</v>
      </c>
      <c r="E1463" s="206" t="str">
        <f>IF(AND(A1463&lt;&gt;"",ISNUMBER(A1463)),VLOOKUP(A1463,Studies!A:BR,5,FALSE),"")</f>
        <v>Hydroxy-Itraconazole</v>
      </c>
      <c r="F1463" s="207" t="str">
        <f>IF(AND(A1463&lt;&gt;"",ISNUMBER(A1463)),VLOOKUP(A1463,Studies!A:BR,6,FALSE),"")</f>
        <v>Plasma</v>
      </c>
      <c r="G1463" s="194">
        <v>6</v>
      </c>
      <c r="H1463" s="194" t="s">
        <v>60</v>
      </c>
      <c r="I1463" s="187">
        <v>638.7755126953125</v>
      </c>
      <c r="J1463" s="187" t="s">
        <v>1026</v>
      </c>
      <c r="K1463" s="187" t="s">
        <v>116</v>
      </c>
      <c r="L1463" s="195"/>
      <c r="M1463" s="195"/>
      <c r="N1463" s="195"/>
      <c r="O1463" s="199"/>
      <c r="P1463" s="188" t="s">
        <v>1123</v>
      </c>
      <c r="Q1463" s="174">
        <f>IF(ISNUMBER(VLOOKUP(A1463,NotghiID!A:A,1,FALSE)),1,0)</f>
        <v>0</v>
      </c>
    </row>
    <row r="1464" spans="1:17" ht="14.25" x14ac:dyDescent="0.2">
      <c r="A1464" s="183">
        <v>499</v>
      </c>
      <c r="B1464" s="232" t="str">
        <f>IF(AND(A1464&lt;&gt;"",ISNUMBER(A1464)),VLOOKUP(A1464,Studies!A:BR,2,FALSE),"")</f>
        <v>Gubbins 2004</v>
      </c>
      <c r="C1464" s="232" t="str">
        <f>IF(AND(A1464&lt;&gt;"",ISNUMBER(A1464)),VLOOKUP(A1464,Studies!A:BR,3,FALSE),"")</f>
        <v>https://www.ncbi.nlm.nih.gov/pubmed/15098799</v>
      </c>
      <c r="D1464" s="232" t="str">
        <f>IF(AND(A1464&lt;&gt;"",ISNUMBER(A1464)),VLOOKUP(A1464,Studies!A:BR,4,FALSE),"")</f>
        <v>po 200 mg solution with water</v>
      </c>
      <c r="E1464" s="206" t="str">
        <f>IF(AND(A1464&lt;&gt;"",ISNUMBER(A1464)),VLOOKUP(A1464,Studies!A:BR,5,FALSE),"")</f>
        <v>Hydroxy-Itraconazole</v>
      </c>
      <c r="F1464" s="207" t="str">
        <f>IF(AND(A1464&lt;&gt;"",ISNUMBER(A1464)),VLOOKUP(A1464,Studies!A:BR,6,FALSE),"")</f>
        <v>Plasma</v>
      </c>
      <c r="G1464" s="194">
        <v>8</v>
      </c>
      <c r="H1464" s="194" t="s">
        <v>60</v>
      </c>
      <c r="I1464" s="187">
        <v>585.71429443359375</v>
      </c>
      <c r="J1464" s="187" t="s">
        <v>1026</v>
      </c>
      <c r="K1464" s="187" t="s">
        <v>116</v>
      </c>
      <c r="L1464" s="195"/>
      <c r="M1464" s="195"/>
      <c r="N1464" s="195"/>
      <c r="O1464" s="199"/>
      <c r="P1464" s="188" t="s">
        <v>1123</v>
      </c>
      <c r="Q1464" s="174">
        <f>IF(ISNUMBER(VLOOKUP(A1464,NotghiID!A:A,1,FALSE)),1,0)</f>
        <v>0</v>
      </c>
    </row>
    <row r="1465" spans="1:17" ht="14.25" x14ac:dyDescent="0.2">
      <c r="A1465" s="183">
        <v>499</v>
      </c>
      <c r="B1465" s="232" t="str">
        <f>IF(AND(A1465&lt;&gt;"",ISNUMBER(A1465)),VLOOKUP(A1465,Studies!A:BR,2,FALSE),"")</f>
        <v>Gubbins 2004</v>
      </c>
      <c r="C1465" s="232" t="str">
        <f>IF(AND(A1465&lt;&gt;"",ISNUMBER(A1465)),VLOOKUP(A1465,Studies!A:BR,3,FALSE),"")</f>
        <v>https://www.ncbi.nlm.nih.gov/pubmed/15098799</v>
      </c>
      <c r="D1465" s="232" t="str">
        <f>IF(AND(A1465&lt;&gt;"",ISNUMBER(A1465)),VLOOKUP(A1465,Studies!A:BR,4,FALSE),"")</f>
        <v>po 200 mg solution with water</v>
      </c>
      <c r="E1465" s="206" t="str">
        <f>IF(AND(A1465&lt;&gt;"",ISNUMBER(A1465)),VLOOKUP(A1465,Studies!A:BR,5,FALSE),"")</f>
        <v>Hydroxy-Itraconazole</v>
      </c>
      <c r="F1465" s="207" t="str">
        <f>IF(AND(A1465&lt;&gt;"",ISNUMBER(A1465)),VLOOKUP(A1465,Studies!A:BR,6,FALSE),"")</f>
        <v>Plasma</v>
      </c>
      <c r="G1465" s="194">
        <v>10</v>
      </c>
      <c r="H1465" s="194" t="s">
        <v>60</v>
      </c>
      <c r="I1465" s="187">
        <v>512.244873046875</v>
      </c>
      <c r="J1465" s="187" t="s">
        <v>1026</v>
      </c>
      <c r="K1465" s="187" t="s">
        <v>116</v>
      </c>
      <c r="L1465" s="195"/>
      <c r="M1465" s="195"/>
      <c r="N1465" s="195"/>
      <c r="O1465" s="199"/>
      <c r="P1465" s="188" t="s">
        <v>1123</v>
      </c>
      <c r="Q1465" s="174">
        <f>IF(ISNUMBER(VLOOKUP(A1465,NotghiID!A:A,1,FALSE)),1,0)</f>
        <v>0</v>
      </c>
    </row>
    <row r="1466" spans="1:17" ht="14.25" x14ac:dyDescent="0.2">
      <c r="A1466" s="183">
        <v>499</v>
      </c>
      <c r="B1466" s="232" t="str">
        <f>IF(AND(A1466&lt;&gt;"",ISNUMBER(A1466)),VLOOKUP(A1466,Studies!A:BR,2,FALSE),"")</f>
        <v>Gubbins 2004</v>
      </c>
      <c r="C1466" s="232" t="str">
        <f>IF(AND(A1466&lt;&gt;"",ISNUMBER(A1466)),VLOOKUP(A1466,Studies!A:BR,3,FALSE),"")</f>
        <v>https://www.ncbi.nlm.nih.gov/pubmed/15098799</v>
      </c>
      <c r="D1466" s="232" t="str">
        <f>IF(AND(A1466&lt;&gt;"",ISNUMBER(A1466)),VLOOKUP(A1466,Studies!A:BR,4,FALSE),"")</f>
        <v>po 200 mg solution with water</v>
      </c>
      <c r="E1466" s="206" t="str">
        <f>IF(AND(A1466&lt;&gt;"",ISNUMBER(A1466)),VLOOKUP(A1466,Studies!A:BR,5,FALSE),"")</f>
        <v>Hydroxy-Itraconazole</v>
      </c>
      <c r="F1466" s="207" t="str">
        <f>IF(AND(A1466&lt;&gt;"",ISNUMBER(A1466)),VLOOKUP(A1466,Studies!A:BR,6,FALSE),"")</f>
        <v>Plasma</v>
      </c>
      <c r="G1466" s="194">
        <v>12</v>
      </c>
      <c r="H1466" s="194" t="s">
        <v>60</v>
      </c>
      <c r="I1466" s="187">
        <v>479.59182739257812</v>
      </c>
      <c r="J1466" s="187" t="s">
        <v>1026</v>
      </c>
      <c r="K1466" s="187" t="s">
        <v>116</v>
      </c>
      <c r="L1466" s="195"/>
      <c r="M1466" s="195"/>
      <c r="N1466" s="195"/>
      <c r="O1466" s="199"/>
      <c r="P1466" s="188" t="s">
        <v>1123</v>
      </c>
      <c r="Q1466" s="174">
        <f>IF(ISNUMBER(VLOOKUP(A1466,NotghiID!A:A,1,FALSE)),1,0)</f>
        <v>0</v>
      </c>
    </row>
    <row r="1467" spans="1:17" ht="14.25" x14ac:dyDescent="0.2">
      <c r="A1467" s="183">
        <v>499</v>
      </c>
      <c r="B1467" s="232" t="str">
        <f>IF(AND(A1467&lt;&gt;"",ISNUMBER(A1467)),VLOOKUP(A1467,Studies!A:BR,2,FALSE),"")</f>
        <v>Gubbins 2004</v>
      </c>
      <c r="C1467" s="232" t="str">
        <f>IF(AND(A1467&lt;&gt;"",ISNUMBER(A1467)),VLOOKUP(A1467,Studies!A:BR,3,FALSE),"")</f>
        <v>https://www.ncbi.nlm.nih.gov/pubmed/15098799</v>
      </c>
      <c r="D1467" s="232" t="str">
        <f>IF(AND(A1467&lt;&gt;"",ISNUMBER(A1467)),VLOOKUP(A1467,Studies!A:BR,4,FALSE),"")</f>
        <v>po 200 mg solution with water</v>
      </c>
      <c r="E1467" s="206" t="str">
        <f>IF(AND(A1467&lt;&gt;"",ISNUMBER(A1467)),VLOOKUP(A1467,Studies!A:BR,5,FALSE),"")</f>
        <v>Hydroxy-Itraconazole</v>
      </c>
      <c r="F1467" s="207" t="str">
        <f>IF(AND(A1467&lt;&gt;"",ISNUMBER(A1467)),VLOOKUP(A1467,Studies!A:BR,6,FALSE),"")</f>
        <v>Plasma</v>
      </c>
      <c r="G1467" s="194">
        <v>24</v>
      </c>
      <c r="H1467" s="194" t="s">
        <v>60</v>
      </c>
      <c r="I1467" s="187">
        <v>271.42855834960937</v>
      </c>
      <c r="J1467" s="187" t="s">
        <v>1026</v>
      </c>
      <c r="K1467" s="187" t="s">
        <v>116</v>
      </c>
      <c r="L1467" s="195"/>
      <c r="M1467" s="195"/>
      <c r="N1467" s="195"/>
      <c r="O1467" s="199"/>
      <c r="P1467" s="188" t="s">
        <v>1123</v>
      </c>
      <c r="Q1467" s="174">
        <f>IF(ISNUMBER(VLOOKUP(A1467,NotghiID!A:A,1,FALSE)),1,0)</f>
        <v>0</v>
      </c>
    </row>
    <row r="1468" spans="1:17" ht="14.25" x14ac:dyDescent="0.2">
      <c r="A1468" s="183">
        <v>499</v>
      </c>
      <c r="B1468" s="232" t="str">
        <f>IF(AND(A1468&lt;&gt;"",ISNUMBER(A1468)),VLOOKUP(A1468,Studies!A:BR,2,FALSE),"")</f>
        <v>Gubbins 2004</v>
      </c>
      <c r="C1468" s="232" t="str">
        <f>IF(AND(A1468&lt;&gt;"",ISNUMBER(A1468)),VLOOKUP(A1468,Studies!A:BR,3,FALSE),"")</f>
        <v>https://www.ncbi.nlm.nih.gov/pubmed/15098799</v>
      </c>
      <c r="D1468" s="232" t="str">
        <f>IF(AND(A1468&lt;&gt;"",ISNUMBER(A1468)),VLOOKUP(A1468,Studies!A:BR,4,FALSE),"")</f>
        <v>po 200 mg solution with water</v>
      </c>
      <c r="E1468" s="206" t="str">
        <f>IF(AND(A1468&lt;&gt;"",ISNUMBER(A1468)),VLOOKUP(A1468,Studies!A:BR,5,FALSE),"")</f>
        <v>Hydroxy-Itraconazole</v>
      </c>
      <c r="F1468" s="207" t="str">
        <f>IF(AND(A1468&lt;&gt;"",ISNUMBER(A1468)),VLOOKUP(A1468,Studies!A:BR,6,FALSE),"")</f>
        <v>Plasma</v>
      </c>
      <c r="G1468" s="194">
        <v>36</v>
      </c>
      <c r="H1468" s="194" t="s">
        <v>60</v>
      </c>
      <c r="I1468" s="187">
        <v>157.14285278320312</v>
      </c>
      <c r="J1468" s="187" t="s">
        <v>1026</v>
      </c>
      <c r="K1468" s="187" t="s">
        <v>116</v>
      </c>
      <c r="L1468" s="195"/>
      <c r="M1468" s="195"/>
      <c r="N1468" s="195"/>
      <c r="O1468" s="199"/>
      <c r="P1468" s="188" t="s">
        <v>1123</v>
      </c>
      <c r="Q1468" s="174">
        <f>IF(ISNUMBER(VLOOKUP(A1468,NotghiID!A:A,1,FALSE)),1,0)</f>
        <v>0</v>
      </c>
    </row>
    <row r="1469" spans="1:17" ht="14.25" x14ac:dyDescent="0.2">
      <c r="A1469" s="183">
        <v>499</v>
      </c>
      <c r="B1469" s="232" t="str">
        <f>IF(AND(A1469&lt;&gt;"",ISNUMBER(A1469)),VLOOKUP(A1469,Studies!A:BR,2,FALSE),"")</f>
        <v>Gubbins 2004</v>
      </c>
      <c r="C1469" s="232" t="str">
        <f>IF(AND(A1469&lt;&gt;"",ISNUMBER(A1469)),VLOOKUP(A1469,Studies!A:BR,3,FALSE),"")</f>
        <v>https://www.ncbi.nlm.nih.gov/pubmed/15098799</v>
      </c>
      <c r="D1469" s="232" t="str">
        <f>IF(AND(A1469&lt;&gt;"",ISNUMBER(A1469)),VLOOKUP(A1469,Studies!A:BR,4,FALSE),"")</f>
        <v>po 200 mg solution with water</v>
      </c>
      <c r="E1469" s="206" t="str">
        <f>IF(AND(A1469&lt;&gt;"",ISNUMBER(A1469)),VLOOKUP(A1469,Studies!A:BR,5,FALSE),"")</f>
        <v>Hydroxy-Itraconazole</v>
      </c>
      <c r="F1469" s="207" t="str">
        <f>IF(AND(A1469&lt;&gt;"",ISNUMBER(A1469)),VLOOKUP(A1469,Studies!A:BR,6,FALSE),"")</f>
        <v>Plasma</v>
      </c>
      <c r="G1469" s="194">
        <v>48</v>
      </c>
      <c r="H1469" s="194" t="s">
        <v>60</v>
      </c>
      <c r="I1469" s="187">
        <v>79.591835021972656</v>
      </c>
      <c r="J1469" s="187" t="s">
        <v>1026</v>
      </c>
      <c r="K1469" s="187" t="s">
        <v>116</v>
      </c>
      <c r="L1469" s="195"/>
      <c r="M1469" s="195"/>
      <c r="N1469" s="195"/>
      <c r="O1469" s="199"/>
      <c r="P1469" s="188" t="s">
        <v>1123</v>
      </c>
      <c r="Q1469" s="174">
        <f>IF(ISNUMBER(VLOOKUP(A1469,NotghiID!A:A,1,FALSE)),1,0)</f>
        <v>0</v>
      </c>
    </row>
    <row r="1470" spans="1:17" ht="14.25" x14ac:dyDescent="0.2">
      <c r="A1470" s="183">
        <v>499</v>
      </c>
      <c r="B1470" s="232" t="str">
        <f>IF(AND(A1470&lt;&gt;"",ISNUMBER(A1470)),VLOOKUP(A1470,Studies!A:BR,2,FALSE),"")</f>
        <v>Gubbins 2004</v>
      </c>
      <c r="C1470" s="232" t="str">
        <f>IF(AND(A1470&lt;&gt;"",ISNUMBER(A1470)),VLOOKUP(A1470,Studies!A:BR,3,FALSE),"")</f>
        <v>https://www.ncbi.nlm.nih.gov/pubmed/15098799</v>
      </c>
      <c r="D1470" s="232" t="str">
        <f>IF(AND(A1470&lt;&gt;"",ISNUMBER(A1470)),VLOOKUP(A1470,Studies!A:BR,4,FALSE),"")</f>
        <v>po 200 mg solution with water</v>
      </c>
      <c r="E1470" s="206" t="str">
        <f>IF(AND(A1470&lt;&gt;"",ISNUMBER(A1470)),VLOOKUP(A1470,Studies!A:BR,5,FALSE),"")</f>
        <v>Hydroxy-Itraconazole</v>
      </c>
      <c r="F1470" s="207" t="str">
        <f>IF(AND(A1470&lt;&gt;"",ISNUMBER(A1470)),VLOOKUP(A1470,Studies!A:BR,6,FALSE),"")</f>
        <v>Plasma</v>
      </c>
      <c r="G1470" s="194">
        <v>60</v>
      </c>
      <c r="H1470" s="194" t="s">
        <v>60</v>
      </c>
      <c r="I1470" s="187">
        <v>48.979591369628906</v>
      </c>
      <c r="J1470" s="187" t="s">
        <v>1026</v>
      </c>
      <c r="K1470" s="187" t="s">
        <v>116</v>
      </c>
      <c r="L1470" s="195"/>
      <c r="M1470" s="195"/>
      <c r="N1470" s="195"/>
      <c r="O1470" s="199"/>
      <c r="P1470" s="188" t="s">
        <v>1123</v>
      </c>
      <c r="Q1470" s="174">
        <f>IF(ISNUMBER(VLOOKUP(A1470,NotghiID!A:A,1,FALSE)),1,0)</f>
        <v>0</v>
      </c>
    </row>
    <row r="1471" spans="1:17" ht="14.25" x14ac:dyDescent="0.2">
      <c r="A1471" s="183">
        <v>499</v>
      </c>
      <c r="B1471" s="232" t="str">
        <f>IF(AND(A1471&lt;&gt;"",ISNUMBER(A1471)),VLOOKUP(A1471,Studies!A:BR,2,FALSE),"")</f>
        <v>Gubbins 2004</v>
      </c>
      <c r="C1471" s="232" t="str">
        <f>IF(AND(A1471&lt;&gt;"",ISNUMBER(A1471)),VLOOKUP(A1471,Studies!A:BR,3,FALSE),"")</f>
        <v>https://www.ncbi.nlm.nih.gov/pubmed/15098799</v>
      </c>
      <c r="D1471" s="232" t="str">
        <f>IF(AND(A1471&lt;&gt;"",ISNUMBER(A1471)),VLOOKUP(A1471,Studies!A:BR,4,FALSE),"")</f>
        <v>po 200 mg solution with water</v>
      </c>
      <c r="E1471" s="206" t="str">
        <f>IF(AND(A1471&lt;&gt;"",ISNUMBER(A1471)),VLOOKUP(A1471,Studies!A:BR,5,FALSE),"")</f>
        <v>Hydroxy-Itraconazole</v>
      </c>
      <c r="F1471" s="207" t="str">
        <f>IF(AND(A1471&lt;&gt;"",ISNUMBER(A1471)),VLOOKUP(A1471,Studies!A:BR,6,FALSE),"")</f>
        <v>Plasma</v>
      </c>
      <c r="G1471" s="194">
        <v>72</v>
      </c>
      <c r="H1471" s="194" t="s">
        <v>60</v>
      </c>
      <c r="I1471" s="187">
        <v>34.693878173828125</v>
      </c>
      <c r="J1471" s="187" t="s">
        <v>1026</v>
      </c>
      <c r="K1471" s="187" t="s">
        <v>116</v>
      </c>
      <c r="L1471" s="195"/>
      <c r="M1471" s="195"/>
      <c r="N1471" s="195"/>
      <c r="O1471" s="199"/>
      <c r="P1471" s="188" t="s">
        <v>1123</v>
      </c>
      <c r="Q1471" s="174">
        <f>IF(ISNUMBER(VLOOKUP(A1471,NotghiID!A:A,1,FALSE)),1,0)</f>
        <v>0</v>
      </c>
    </row>
    <row r="1472" spans="1:17" ht="14.25" x14ac:dyDescent="0.2">
      <c r="A1472" s="183">
        <v>502</v>
      </c>
      <c r="B1472" s="232" t="str">
        <f>IF(AND(A1472&lt;&gt;"",ISNUMBER(A1472)),VLOOKUP(A1472,Studies!A:BR,2,FALSE),"")</f>
        <v>Gubbins 2007</v>
      </c>
      <c r="C1472" s="232" t="str">
        <f>IF(AND(A1472&lt;&gt;"",ISNUMBER(A1472)),VLOOKUP(A1472,Studies!A:BR,3,FALSE),"")</f>
        <v>https://www.ncbi.nlm.nih.gov/pubmed/18172627</v>
      </c>
      <c r="D1472" s="232" t="str">
        <f>IF(AND(A1472&lt;&gt;"",ISNUMBER(A1472)),VLOOKUP(A1472,Studies!A:BR,4,FALSE),"")</f>
        <v>po 200 mg solution female with water</v>
      </c>
      <c r="E1472" s="206" t="str">
        <f>IF(AND(A1472&lt;&gt;"",ISNUMBER(A1472)),VLOOKUP(A1472,Studies!A:BR,5,FALSE),"")</f>
        <v>Itraconazole</v>
      </c>
      <c r="F1472" s="207" t="str">
        <f>IF(AND(A1472&lt;&gt;"",ISNUMBER(A1472)),VLOOKUP(A1472,Studies!A:BR,6,FALSE),"")</f>
        <v>Plasma</v>
      </c>
      <c r="G1472" s="194">
        <v>0.5</v>
      </c>
      <c r="H1472" s="194" t="s">
        <v>60</v>
      </c>
      <c r="I1472" s="187">
        <v>228.72807312011719</v>
      </c>
      <c r="J1472" s="187" t="s">
        <v>1026</v>
      </c>
      <c r="K1472" s="187" t="s">
        <v>116</v>
      </c>
      <c r="L1472" s="195"/>
      <c r="M1472" s="195"/>
      <c r="N1472" s="195"/>
      <c r="O1472" s="199"/>
      <c r="P1472" s="188" t="s">
        <v>1123</v>
      </c>
      <c r="Q1472" s="174">
        <f>IF(ISNUMBER(VLOOKUP(A1472,NotghiID!A:A,1,FALSE)),1,0)</f>
        <v>0</v>
      </c>
    </row>
    <row r="1473" spans="1:17" ht="14.25" x14ac:dyDescent="0.2">
      <c r="A1473" s="183">
        <v>502</v>
      </c>
      <c r="B1473" s="232" t="str">
        <f>IF(AND(A1473&lt;&gt;"",ISNUMBER(A1473)),VLOOKUP(A1473,Studies!A:BR,2,FALSE),"")</f>
        <v>Gubbins 2007</v>
      </c>
      <c r="C1473" s="232" t="str">
        <f>IF(AND(A1473&lt;&gt;"",ISNUMBER(A1473)),VLOOKUP(A1473,Studies!A:BR,3,FALSE),"")</f>
        <v>https://www.ncbi.nlm.nih.gov/pubmed/18172627</v>
      </c>
      <c r="D1473" s="232" t="str">
        <f>IF(AND(A1473&lt;&gt;"",ISNUMBER(A1473)),VLOOKUP(A1473,Studies!A:BR,4,FALSE),"")</f>
        <v>po 200 mg solution female with water</v>
      </c>
      <c r="E1473" s="206" t="str">
        <f>IF(AND(A1473&lt;&gt;"",ISNUMBER(A1473)),VLOOKUP(A1473,Studies!A:BR,5,FALSE),"")</f>
        <v>Itraconazole</v>
      </c>
      <c r="F1473" s="207" t="str">
        <f>IF(AND(A1473&lt;&gt;"",ISNUMBER(A1473)),VLOOKUP(A1473,Studies!A:BR,6,FALSE),"")</f>
        <v>Plasma</v>
      </c>
      <c r="G1473" s="194">
        <v>1</v>
      </c>
      <c r="H1473" s="194" t="s">
        <v>60</v>
      </c>
      <c r="I1473" s="187">
        <v>425.21929931640625</v>
      </c>
      <c r="J1473" s="187" t="s">
        <v>1026</v>
      </c>
      <c r="K1473" s="187" t="s">
        <v>116</v>
      </c>
      <c r="L1473" s="195"/>
      <c r="M1473" s="195"/>
      <c r="N1473" s="195"/>
      <c r="O1473" s="199"/>
      <c r="P1473" s="188" t="s">
        <v>1123</v>
      </c>
      <c r="Q1473" s="174">
        <f>IF(ISNUMBER(VLOOKUP(A1473,NotghiID!A:A,1,FALSE)),1,0)</f>
        <v>0</v>
      </c>
    </row>
    <row r="1474" spans="1:17" ht="14.25" x14ac:dyDescent="0.2">
      <c r="A1474" s="183">
        <v>502</v>
      </c>
      <c r="B1474" s="232" t="str">
        <f>IF(AND(A1474&lt;&gt;"",ISNUMBER(A1474)),VLOOKUP(A1474,Studies!A:BR,2,FALSE),"")</f>
        <v>Gubbins 2007</v>
      </c>
      <c r="C1474" s="232" t="str">
        <f>IF(AND(A1474&lt;&gt;"",ISNUMBER(A1474)),VLOOKUP(A1474,Studies!A:BR,3,FALSE),"")</f>
        <v>https://www.ncbi.nlm.nih.gov/pubmed/18172627</v>
      </c>
      <c r="D1474" s="232" t="str">
        <f>IF(AND(A1474&lt;&gt;"",ISNUMBER(A1474)),VLOOKUP(A1474,Studies!A:BR,4,FALSE),"")</f>
        <v>po 200 mg solution female with water</v>
      </c>
      <c r="E1474" s="206" t="str">
        <f>IF(AND(A1474&lt;&gt;"",ISNUMBER(A1474)),VLOOKUP(A1474,Studies!A:BR,5,FALSE),"")</f>
        <v>Itraconazole</v>
      </c>
      <c r="F1474" s="207" t="str">
        <f>IF(AND(A1474&lt;&gt;"",ISNUMBER(A1474)),VLOOKUP(A1474,Studies!A:BR,6,FALSE),"")</f>
        <v>Plasma</v>
      </c>
      <c r="G1474" s="194">
        <v>2</v>
      </c>
      <c r="H1474" s="194" t="s">
        <v>60</v>
      </c>
      <c r="I1474" s="187">
        <v>431.35964965820313</v>
      </c>
      <c r="J1474" s="187" t="s">
        <v>1026</v>
      </c>
      <c r="K1474" s="187" t="s">
        <v>116</v>
      </c>
      <c r="L1474" s="195"/>
      <c r="M1474" s="195"/>
      <c r="N1474" s="195"/>
      <c r="O1474" s="199"/>
      <c r="P1474" s="188" t="s">
        <v>1123</v>
      </c>
      <c r="Q1474" s="174">
        <f>IF(ISNUMBER(VLOOKUP(A1474,NotghiID!A:A,1,FALSE)),1,0)</f>
        <v>0</v>
      </c>
    </row>
    <row r="1475" spans="1:17" ht="14.25" x14ac:dyDescent="0.2">
      <c r="A1475" s="183">
        <v>502</v>
      </c>
      <c r="B1475" s="232" t="str">
        <f>IF(AND(A1475&lt;&gt;"",ISNUMBER(A1475)),VLOOKUP(A1475,Studies!A:BR,2,FALSE),"")</f>
        <v>Gubbins 2007</v>
      </c>
      <c r="C1475" s="232" t="str">
        <f>IF(AND(A1475&lt;&gt;"",ISNUMBER(A1475)),VLOOKUP(A1475,Studies!A:BR,3,FALSE),"")</f>
        <v>https://www.ncbi.nlm.nih.gov/pubmed/18172627</v>
      </c>
      <c r="D1475" s="232" t="str">
        <f>IF(AND(A1475&lt;&gt;"",ISNUMBER(A1475)),VLOOKUP(A1475,Studies!A:BR,4,FALSE),"")</f>
        <v>po 200 mg solution female with water</v>
      </c>
      <c r="E1475" s="206" t="str">
        <f>IF(AND(A1475&lt;&gt;"",ISNUMBER(A1475)),VLOOKUP(A1475,Studies!A:BR,5,FALSE),"")</f>
        <v>Itraconazole</v>
      </c>
      <c r="F1475" s="207" t="str">
        <f>IF(AND(A1475&lt;&gt;"",ISNUMBER(A1475)),VLOOKUP(A1475,Studies!A:BR,6,FALSE),"")</f>
        <v>Plasma</v>
      </c>
      <c r="G1475" s="194">
        <v>3</v>
      </c>
      <c r="H1475" s="194" t="s">
        <v>60</v>
      </c>
      <c r="I1475" s="187">
        <v>426.75439453125</v>
      </c>
      <c r="J1475" s="187" t="s">
        <v>1026</v>
      </c>
      <c r="K1475" s="187" t="s">
        <v>116</v>
      </c>
      <c r="L1475" s="195"/>
      <c r="M1475" s="195"/>
      <c r="N1475" s="195"/>
      <c r="O1475" s="199"/>
      <c r="P1475" s="188" t="s">
        <v>1123</v>
      </c>
      <c r="Q1475" s="174">
        <f>IF(ISNUMBER(VLOOKUP(A1475,NotghiID!A:A,1,FALSE)),1,0)</f>
        <v>0</v>
      </c>
    </row>
    <row r="1476" spans="1:17" ht="14.25" x14ac:dyDescent="0.2">
      <c r="A1476" s="183">
        <v>502</v>
      </c>
      <c r="B1476" s="232" t="str">
        <f>IF(AND(A1476&lt;&gt;"",ISNUMBER(A1476)),VLOOKUP(A1476,Studies!A:BR,2,FALSE),"")</f>
        <v>Gubbins 2007</v>
      </c>
      <c r="C1476" s="232" t="str">
        <f>IF(AND(A1476&lt;&gt;"",ISNUMBER(A1476)),VLOOKUP(A1476,Studies!A:BR,3,FALSE),"")</f>
        <v>https://www.ncbi.nlm.nih.gov/pubmed/18172627</v>
      </c>
      <c r="D1476" s="232" t="str">
        <f>IF(AND(A1476&lt;&gt;"",ISNUMBER(A1476)),VLOOKUP(A1476,Studies!A:BR,4,FALSE),"")</f>
        <v>po 200 mg solution female with water</v>
      </c>
      <c r="E1476" s="206" t="str">
        <f>IF(AND(A1476&lt;&gt;"",ISNUMBER(A1476)),VLOOKUP(A1476,Studies!A:BR,5,FALSE),"")</f>
        <v>Itraconazole</v>
      </c>
      <c r="F1476" s="207" t="str">
        <f>IF(AND(A1476&lt;&gt;"",ISNUMBER(A1476)),VLOOKUP(A1476,Studies!A:BR,6,FALSE),"")</f>
        <v>Plasma</v>
      </c>
      <c r="G1476" s="194">
        <v>4</v>
      </c>
      <c r="H1476" s="194" t="s">
        <v>60</v>
      </c>
      <c r="I1476" s="187">
        <v>391.44735717773437</v>
      </c>
      <c r="J1476" s="187" t="s">
        <v>1026</v>
      </c>
      <c r="K1476" s="187" t="s">
        <v>116</v>
      </c>
      <c r="L1476" s="195"/>
      <c r="M1476" s="195"/>
      <c r="N1476" s="195"/>
      <c r="O1476" s="199"/>
      <c r="P1476" s="188" t="s">
        <v>1123</v>
      </c>
      <c r="Q1476" s="174">
        <f>IF(ISNUMBER(VLOOKUP(A1476,NotghiID!A:A,1,FALSE)),1,0)</f>
        <v>0</v>
      </c>
    </row>
    <row r="1477" spans="1:17" ht="14.25" x14ac:dyDescent="0.2">
      <c r="A1477" s="183">
        <v>502</v>
      </c>
      <c r="B1477" s="232" t="str">
        <f>IF(AND(A1477&lt;&gt;"",ISNUMBER(A1477)),VLOOKUP(A1477,Studies!A:BR,2,FALSE),"")</f>
        <v>Gubbins 2007</v>
      </c>
      <c r="C1477" s="232" t="str">
        <f>IF(AND(A1477&lt;&gt;"",ISNUMBER(A1477)),VLOOKUP(A1477,Studies!A:BR,3,FALSE),"")</f>
        <v>https://www.ncbi.nlm.nih.gov/pubmed/18172627</v>
      </c>
      <c r="D1477" s="232" t="str">
        <f>IF(AND(A1477&lt;&gt;"",ISNUMBER(A1477)),VLOOKUP(A1477,Studies!A:BR,4,FALSE),"")</f>
        <v>po 200 mg solution female with water</v>
      </c>
      <c r="E1477" s="206" t="str">
        <f>IF(AND(A1477&lt;&gt;"",ISNUMBER(A1477)),VLOOKUP(A1477,Studies!A:BR,5,FALSE),"")</f>
        <v>Itraconazole</v>
      </c>
      <c r="F1477" s="207" t="str">
        <f>IF(AND(A1477&lt;&gt;"",ISNUMBER(A1477)),VLOOKUP(A1477,Studies!A:BR,6,FALSE),"")</f>
        <v>Plasma</v>
      </c>
      <c r="G1477" s="194">
        <v>5</v>
      </c>
      <c r="H1477" s="194" t="s">
        <v>60</v>
      </c>
      <c r="I1477" s="187">
        <v>320.83334350585937</v>
      </c>
      <c r="J1477" s="187" t="s">
        <v>1026</v>
      </c>
      <c r="K1477" s="187" t="s">
        <v>116</v>
      </c>
      <c r="L1477" s="195"/>
      <c r="M1477" s="195"/>
      <c r="N1477" s="195"/>
      <c r="O1477" s="199"/>
      <c r="P1477" s="188" t="s">
        <v>1123</v>
      </c>
      <c r="Q1477" s="174">
        <f>IF(ISNUMBER(VLOOKUP(A1477,NotghiID!A:A,1,FALSE)),1,0)</f>
        <v>0</v>
      </c>
    </row>
    <row r="1478" spans="1:17" ht="14.25" x14ac:dyDescent="0.2">
      <c r="A1478" s="183">
        <v>502</v>
      </c>
      <c r="B1478" s="232" t="str">
        <f>IF(AND(A1478&lt;&gt;"",ISNUMBER(A1478)),VLOOKUP(A1478,Studies!A:BR,2,FALSE),"")</f>
        <v>Gubbins 2007</v>
      </c>
      <c r="C1478" s="232" t="str">
        <f>IF(AND(A1478&lt;&gt;"",ISNUMBER(A1478)),VLOOKUP(A1478,Studies!A:BR,3,FALSE),"")</f>
        <v>https://www.ncbi.nlm.nih.gov/pubmed/18172627</v>
      </c>
      <c r="D1478" s="232" t="str">
        <f>IF(AND(A1478&lt;&gt;"",ISNUMBER(A1478)),VLOOKUP(A1478,Studies!A:BR,4,FALSE),"")</f>
        <v>po 200 mg solution female with water</v>
      </c>
      <c r="E1478" s="206" t="str">
        <f>IF(AND(A1478&lt;&gt;"",ISNUMBER(A1478)),VLOOKUP(A1478,Studies!A:BR,5,FALSE),"")</f>
        <v>Itraconazole</v>
      </c>
      <c r="F1478" s="207" t="str">
        <f>IF(AND(A1478&lt;&gt;"",ISNUMBER(A1478)),VLOOKUP(A1478,Studies!A:BR,6,FALSE),"")</f>
        <v>Plasma</v>
      </c>
      <c r="G1478" s="194">
        <v>6</v>
      </c>
      <c r="H1478" s="194" t="s">
        <v>60</v>
      </c>
      <c r="I1478" s="187">
        <v>230.26315307617187</v>
      </c>
      <c r="J1478" s="187" t="s">
        <v>1026</v>
      </c>
      <c r="K1478" s="187" t="s">
        <v>116</v>
      </c>
      <c r="L1478" s="195"/>
      <c r="M1478" s="195"/>
      <c r="N1478" s="195"/>
      <c r="O1478" s="199"/>
      <c r="P1478" s="188" t="s">
        <v>1123</v>
      </c>
      <c r="Q1478" s="174">
        <f>IF(ISNUMBER(VLOOKUP(A1478,NotghiID!A:A,1,FALSE)),1,0)</f>
        <v>0</v>
      </c>
    </row>
    <row r="1479" spans="1:17" ht="14.25" x14ac:dyDescent="0.2">
      <c r="A1479" s="183">
        <v>502</v>
      </c>
      <c r="B1479" s="232" t="str">
        <f>IF(AND(A1479&lt;&gt;"",ISNUMBER(A1479)),VLOOKUP(A1479,Studies!A:BR,2,FALSE),"")</f>
        <v>Gubbins 2007</v>
      </c>
      <c r="C1479" s="232" t="str">
        <f>IF(AND(A1479&lt;&gt;"",ISNUMBER(A1479)),VLOOKUP(A1479,Studies!A:BR,3,FALSE),"")</f>
        <v>https://www.ncbi.nlm.nih.gov/pubmed/18172627</v>
      </c>
      <c r="D1479" s="232" t="str">
        <f>IF(AND(A1479&lt;&gt;"",ISNUMBER(A1479)),VLOOKUP(A1479,Studies!A:BR,4,FALSE),"")</f>
        <v>po 200 mg solution female with water</v>
      </c>
      <c r="E1479" s="206" t="str">
        <f>IF(AND(A1479&lt;&gt;"",ISNUMBER(A1479)),VLOOKUP(A1479,Studies!A:BR,5,FALSE),"")</f>
        <v>Itraconazole</v>
      </c>
      <c r="F1479" s="207" t="str">
        <f>IF(AND(A1479&lt;&gt;"",ISNUMBER(A1479)),VLOOKUP(A1479,Studies!A:BR,6,FALSE),"")</f>
        <v>Plasma</v>
      </c>
      <c r="G1479" s="194">
        <v>8</v>
      </c>
      <c r="H1479" s="194" t="s">
        <v>60</v>
      </c>
      <c r="I1479" s="187">
        <v>178.07017517089844</v>
      </c>
      <c r="J1479" s="187" t="s">
        <v>1026</v>
      </c>
      <c r="K1479" s="187" t="s">
        <v>116</v>
      </c>
      <c r="L1479" s="195"/>
      <c r="M1479" s="195"/>
      <c r="N1479" s="195"/>
      <c r="O1479" s="199"/>
      <c r="P1479" s="188" t="s">
        <v>1123</v>
      </c>
      <c r="Q1479" s="174">
        <f>IF(ISNUMBER(VLOOKUP(A1479,NotghiID!A:A,1,FALSE)),1,0)</f>
        <v>0</v>
      </c>
    </row>
    <row r="1480" spans="1:17" ht="14.25" x14ac:dyDescent="0.2">
      <c r="A1480" s="183">
        <v>502</v>
      </c>
      <c r="B1480" s="232" t="str">
        <f>IF(AND(A1480&lt;&gt;"",ISNUMBER(A1480)),VLOOKUP(A1480,Studies!A:BR,2,FALSE),"")</f>
        <v>Gubbins 2007</v>
      </c>
      <c r="C1480" s="232" t="str">
        <f>IF(AND(A1480&lt;&gt;"",ISNUMBER(A1480)),VLOOKUP(A1480,Studies!A:BR,3,FALSE),"")</f>
        <v>https://www.ncbi.nlm.nih.gov/pubmed/18172627</v>
      </c>
      <c r="D1480" s="232" t="str">
        <f>IF(AND(A1480&lt;&gt;"",ISNUMBER(A1480)),VLOOKUP(A1480,Studies!A:BR,4,FALSE),"")</f>
        <v>po 200 mg solution female with water</v>
      </c>
      <c r="E1480" s="206" t="str">
        <f>IF(AND(A1480&lt;&gt;"",ISNUMBER(A1480)),VLOOKUP(A1480,Studies!A:BR,5,FALSE),"")</f>
        <v>Itraconazole</v>
      </c>
      <c r="F1480" s="207" t="str">
        <f>IF(AND(A1480&lt;&gt;"",ISNUMBER(A1480)),VLOOKUP(A1480,Studies!A:BR,6,FALSE),"")</f>
        <v>Plasma</v>
      </c>
      <c r="G1480" s="194">
        <v>10</v>
      </c>
      <c r="H1480" s="194" t="s">
        <v>60</v>
      </c>
      <c r="I1480" s="187">
        <v>145.83332824707031</v>
      </c>
      <c r="J1480" s="187" t="s">
        <v>1026</v>
      </c>
      <c r="K1480" s="187" t="s">
        <v>116</v>
      </c>
      <c r="L1480" s="195"/>
      <c r="M1480" s="195"/>
      <c r="N1480" s="195"/>
      <c r="O1480" s="199"/>
      <c r="P1480" s="188" t="s">
        <v>1123</v>
      </c>
      <c r="Q1480" s="174">
        <f>IF(ISNUMBER(VLOOKUP(A1480,NotghiID!A:A,1,FALSE)),1,0)</f>
        <v>0</v>
      </c>
    </row>
    <row r="1481" spans="1:17" ht="14.25" x14ac:dyDescent="0.2">
      <c r="A1481" s="183">
        <v>502</v>
      </c>
      <c r="B1481" s="232" t="str">
        <f>IF(AND(A1481&lt;&gt;"",ISNUMBER(A1481)),VLOOKUP(A1481,Studies!A:BR,2,FALSE),"")</f>
        <v>Gubbins 2007</v>
      </c>
      <c r="C1481" s="232" t="str">
        <f>IF(AND(A1481&lt;&gt;"",ISNUMBER(A1481)),VLOOKUP(A1481,Studies!A:BR,3,FALSE),"")</f>
        <v>https://www.ncbi.nlm.nih.gov/pubmed/18172627</v>
      </c>
      <c r="D1481" s="232" t="str">
        <f>IF(AND(A1481&lt;&gt;"",ISNUMBER(A1481)),VLOOKUP(A1481,Studies!A:BR,4,FALSE),"")</f>
        <v>po 200 mg solution female with water</v>
      </c>
      <c r="E1481" s="206" t="str">
        <f>IF(AND(A1481&lt;&gt;"",ISNUMBER(A1481)),VLOOKUP(A1481,Studies!A:BR,5,FALSE),"")</f>
        <v>Itraconazole</v>
      </c>
      <c r="F1481" s="207" t="str">
        <f>IF(AND(A1481&lt;&gt;"",ISNUMBER(A1481)),VLOOKUP(A1481,Studies!A:BR,6,FALSE),"")</f>
        <v>Plasma</v>
      </c>
      <c r="G1481" s="194">
        <v>12</v>
      </c>
      <c r="H1481" s="194" t="s">
        <v>60</v>
      </c>
      <c r="I1481" s="187">
        <v>112.0614013671875</v>
      </c>
      <c r="J1481" s="187" t="s">
        <v>1026</v>
      </c>
      <c r="K1481" s="187" t="s">
        <v>116</v>
      </c>
      <c r="L1481" s="195"/>
      <c r="M1481" s="195"/>
      <c r="N1481" s="195"/>
      <c r="O1481" s="199"/>
      <c r="P1481" s="188" t="s">
        <v>1123</v>
      </c>
      <c r="Q1481" s="174">
        <f>IF(ISNUMBER(VLOOKUP(A1481,NotghiID!A:A,1,FALSE)),1,0)</f>
        <v>0</v>
      </c>
    </row>
    <row r="1482" spans="1:17" ht="14.25" x14ac:dyDescent="0.2">
      <c r="A1482" s="183">
        <v>502</v>
      </c>
      <c r="B1482" s="232" t="str">
        <f>IF(AND(A1482&lt;&gt;"",ISNUMBER(A1482)),VLOOKUP(A1482,Studies!A:BR,2,FALSE),"")</f>
        <v>Gubbins 2007</v>
      </c>
      <c r="C1482" s="232" t="str">
        <f>IF(AND(A1482&lt;&gt;"",ISNUMBER(A1482)),VLOOKUP(A1482,Studies!A:BR,3,FALSE),"")</f>
        <v>https://www.ncbi.nlm.nih.gov/pubmed/18172627</v>
      </c>
      <c r="D1482" s="232" t="str">
        <f>IF(AND(A1482&lt;&gt;"",ISNUMBER(A1482)),VLOOKUP(A1482,Studies!A:BR,4,FALSE),"")</f>
        <v>po 200 mg solution female with water</v>
      </c>
      <c r="E1482" s="206" t="str">
        <f>IF(AND(A1482&lt;&gt;"",ISNUMBER(A1482)),VLOOKUP(A1482,Studies!A:BR,5,FALSE),"")</f>
        <v>Itraconazole</v>
      </c>
      <c r="F1482" s="207" t="str">
        <f>IF(AND(A1482&lt;&gt;"",ISNUMBER(A1482)),VLOOKUP(A1482,Studies!A:BR,6,FALSE),"")</f>
        <v>Plasma</v>
      </c>
      <c r="G1482" s="194">
        <v>24</v>
      </c>
      <c r="H1482" s="194" t="s">
        <v>60</v>
      </c>
      <c r="I1482" s="187">
        <v>66.008773803710937</v>
      </c>
      <c r="J1482" s="187" t="s">
        <v>1026</v>
      </c>
      <c r="K1482" s="187" t="s">
        <v>116</v>
      </c>
      <c r="L1482" s="195"/>
      <c r="M1482" s="195"/>
      <c r="N1482" s="195"/>
      <c r="O1482" s="199"/>
      <c r="P1482" s="188" t="s">
        <v>1123</v>
      </c>
      <c r="Q1482" s="174">
        <f>IF(ISNUMBER(VLOOKUP(A1482,NotghiID!A:A,1,FALSE)),1,0)</f>
        <v>0</v>
      </c>
    </row>
    <row r="1483" spans="1:17" ht="14.25" x14ac:dyDescent="0.2">
      <c r="A1483" s="183">
        <v>502</v>
      </c>
      <c r="B1483" s="232" t="str">
        <f>IF(AND(A1483&lt;&gt;"",ISNUMBER(A1483)),VLOOKUP(A1483,Studies!A:BR,2,FALSE),"")</f>
        <v>Gubbins 2007</v>
      </c>
      <c r="C1483" s="232" t="str">
        <f>IF(AND(A1483&lt;&gt;"",ISNUMBER(A1483)),VLOOKUP(A1483,Studies!A:BR,3,FALSE),"")</f>
        <v>https://www.ncbi.nlm.nih.gov/pubmed/18172627</v>
      </c>
      <c r="D1483" s="232" t="str">
        <f>IF(AND(A1483&lt;&gt;"",ISNUMBER(A1483)),VLOOKUP(A1483,Studies!A:BR,4,FALSE),"")</f>
        <v>po 200 mg solution female with water</v>
      </c>
      <c r="E1483" s="206" t="str">
        <f>IF(AND(A1483&lt;&gt;"",ISNUMBER(A1483)),VLOOKUP(A1483,Studies!A:BR,5,FALSE),"")</f>
        <v>Itraconazole</v>
      </c>
      <c r="F1483" s="207" t="str">
        <f>IF(AND(A1483&lt;&gt;"",ISNUMBER(A1483)),VLOOKUP(A1483,Studies!A:BR,6,FALSE),"")</f>
        <v>Plasma</v>
      </c>
      <c r="G1483" s="194">
        <v>36</v>
      </c>
      <c r="H1483" s="194" t="s">
        <v>60</v>
      </c>
      <c r="I1483" s="187">
        <v>50.657894134521484</v>
      </c>
      <c r="J1483" s="187" t="s">
        <v>1026</v>
      </c>
      <c r="K1483" s="187" t="s">
        <v>116</v>
      </c>
      <c r="L1483" s="195"/>
      <c r="M1483" s="195"/>
      <c r="N1483" s="195"/>
      <c r="O1483" s="199"/>
      <c r="P1483" s="188" t="s">
        <v>1123</v>
      </c>
      <c r="Q1483" s="174">
        <f>IF(ISNUMBER(VLOOKUP(A1483,NotghiID!A:A,1,FALSE)),1,0)</f>
        <v>0</v>
      </c>
    </row>
    <row r="1484" spans="1:17" ht="14.25" x14ac:dyDescent="0.2">
      <c r="A1484" s="183">
        <v>502</v>
      </c>
      <c r="B1484" s="232" t="str">
        <f>IF(AND(A1484&lt;&gt;"",ISNUMBER(A1484)),VLOOKUP(A1484,Studies!A:BR,2,FALSE),"")</f>
        <v>Gubbins 2007</v>
      </c>
      <c r="C1484" s="232" t="str">
        <f>IF(AND(A1484&lt;&gt;"",ISNUMBER(A1484)),VLOOKUP(A1484,Studies!A:BR,3,FALSE),"")</f>
        <v>https://www.ncbi.nlm.nih.gov/pubmed/18172627</v>
      </c>
      <c r="D1484" s="232" t="str">
        <f>IF(AND(A1484&lt;&gt;"",ISNUMBER(A1484)),VLOOKUP(A1484,Studies!A:BR,4,FALSE),"")</f>
        <v>po 200 mg solution female with water</v>
      </c>
      <c r="E1484" s="206" t="str">
        <f>IF(AND(A1484&lt;&gt;"",ISNUMBER(A1484)),VLOOKUP(A1484,Studies!A:BR,5,FALSE),"")</f>
        <v>Itraconazole</v>
      </c>
      <c r="F1484" s="207" t="str">
        <f>IF(AND(A1484&lt;&gt;"",ISNUMBER(A1484)),VLOOKUP(A1484,Studies!A:BR,6,FALSE),"")</f>
        <v>Plasma</v>
      </c>
      <c r="G1484" s="194">
        <v>48</v>
      </c>
      <c r="H1484" s="194" t="s">
        <v>60</v>
      </c>
      <c r="I1484" s="187">
        <v>33.771930694580078</v>
      </c>
      <c r="J1484" s="187" t="s">
        <v>1026</v>
      </c>
      <c r="K1484" s="187" t="s">
        <v>116</v>
      </c>
      <c r="L1484" s="195"/>
      <c r="M1484" s="195"/>
      <c r="N1484" s="195"/>
      <c r="O1484" s="199"/>
      <c r="P1484" s="188" t="s">
        <v>1123</v>
      </c>
      <c r="Q1484" s="174">
        <f>IF(ISNUMBER(VLOOKUP(A1484,NotghiID!A:A,1,FALSE)),1,0)</f>
        <v>0</v>
      </c>
    </row>
    <row r="1485" spans="1:17" ht="14.25" x14ac:dyDescent="0.2">
      <c r="A1485" s="183">
        <v>502</v>
      </c>
      <c r="B1485" s="232" t="str">
        <f>IF(AND(A1485&lt;&gt;"",ISNUMBER(A1485)),VLOOKUP(A1485,Studies!A:BR,2,FALSE),"")</f>
        <v>Gubbins 2007</v>
      </c>
      <c r="C1485" s="232" t="str">
        <f>IF(AND(A1485&lt;&gt;"",ISNUMBER(A1485)),VLOOKUP(A1485,Studies!A:BR,3,FALSE),"")</f>
        <v>https://www.ncbi.nlm.nih.gov/pubmed/18172627</v>
      </c>
      <c r="D1485" s="232" t="str">
        <f>IF(AND(A1485&lt;&gt;"",ISNUMBER(A1485)),VLOOKUP(A1485,Studies!A:BR,4,FALSE),"")</f>
        <v>po 200 mg solution female with water</v>
      </c>
      <c r="E1485" s="206" t="str">
        <f>IF(AND(A1485&lt;&gt;"",ISNUMBER(A1485)),VLOOKUP(A1485,Studies!A:BR,5,FALSE),"")</f>
        <v>Itraconazole</v>
      </c>
      <c r="F1485" s="207" t="str">
        <f>IF(AND(A1485&lt;&gt;"",ISNUMBER(A1485)),VLOOKUP(A1485,Studies!A:BR,6,FALSE),"")</f>
        <v>Plasma</v>
      </c>
      <c r="G1485" s="194">
        <v>60</v>
      </c>
      <c r="H1485" s="194" t="s">
        <v>60</v>
      </c>
      <c r="I1485" s="187">
        <v>32.236843109130859</v>
      </c>
      <c r="J1485" s="187" t="s">
        <v>1026</v>
      </c>
      <c r="K1485" s="187" t="s">
        <v>116</v>
      </c>
      <c r="L1485" s="195"/>
      <c r="M1485" s="195"/>
      <c r="N1485" s="195"/>
      <c r="O1485" s="199"/>
      <c r="P1485" s="188" t="s">
        <v>1123</v>
      </c>
      <c r="Q1485" s="174">
        <f>IF(ISNUMBER(VLOOKUP(A1485,NotghiID!A:A,1,FALSE)),1,0)</f>
        <v>0</v>
      </c>
    </row>
    <row r="1486" spans="1:17" ht="14.25" x14ac:dyDescent="0.2">
      <c r="A1486" s="183">
        <v>502</v>
      </c>
      <c r="B1486" s="232" t="str">
        <f>IF(AND(A1486&lt;&gt;"",ISNUMBER(A1486)),VLOOKUP(A1486,Studies!A:BR,2,FALSE),"")</f>
        <v>Gubbins 2007</v>
      </c>
      <c r="C1486" s="232" t="str">
        <f>IF(AND(A1486&lt;&gt;"",ISNUMBER(A1486)),VLOOKUP(A1486,Studies!A:BR,3,FALSE),"")</f>
        <v>https://www.ncbi.nlm.nih.gov/pubmed/18172627</v>
      </c>
      <c r="D1486" s="232" t="str">
        <f>IF(AND(A1486&lt;&gt;"",ISNUMBER(A1486)),VLOOKUP(A1486,Studies!A:BR,4,FALSE),"")</f>
        <v>po 200 mg solution female with water</v>
      </c>
      <c r="E1486" s="206" t="str">
        <f>IF(AND(A1486&lt;&gt;"",ISNUMBER(A1486)),VLOOKUP(A1486,Studies!A:BR,5,FALSE),"")</f>
        <v>Itraconazole</v>
      </c>
      <c r="F1486" s="207" t="str">
        <f>IF(AND(A1486&lt;&gt;"",ISNUMBER(A1486)),VLOOKUP(A1486,Studies!A:BR,6,FALSE),"")</f>
        <v>Plasma</v>
      </c>
      <c r="G1486" s="194">
        <v>72</v>
      </c>
      <c r="H1486" s="194" t="s">
        <v>60</v>
      </c>
      <c r="I1486" s="187">
        <v>26.096490859985352</v>
      </c>
      <c r="J1486" s="187" t="s">
        <v>1026</v>
      </c>
      <c r="K1486" s="187" t="s">
        <v>116</v>
      </c>
      <c r="L1486" s="195"/>
      <c r="M1486" s="195"/>
      <c r="N1486" s="195"/>
      <c r="O1486" s="199"/>
      <c r="P1486" s="188" t="s">
        <v>1123</v>
      </c>
      <c r="Q1486" s="174">
        <f>IF(ISNUMBER(VLOOKUP(A1486,NotghiID!A:A,1,FALSE)),1,0)</f>
        <v>0</v>
      </c>
    </row>
    <row r="1487" spans="1:17" ht="14.25" x14ac:dyDescent="0.2">
      <c r="A1487" s="183">
        <v>503</v>
      </c>
      <c r="B1487" s="232" t="str">
        <f>IF(AND(A1487&lt;&gt;"",ISNUMBER(A1487)),VLOOKUP(A1487,Studies!A:BR,2,FALSE),"")</f>
        <v>Gubbins 2007</v>
      </c>
      <c r="C1487" s="232" t="str">
        <f>IF(AND(A1487&lt;&gt;"",ISNUMBER(A1487)),VLOOKUP(A1487,Studies!A:BR,3,FALSE),"")</f>
        <v>https://www.ncbi.nlm.nih.gov/pubmed/18172627</v>
      </c>
      <c r="D1487" s="232" t="str">
        <f>IF(AND(A1487&lt;&gt;"",ISNUMBER(A1487)),VLOOKUP(A1487,Studies!A:BR,4,FALSE),"")</f>
        <v>po 200 mg solution female with water</v>
      </c>
      <c r="E1487" s="206" t="str">
        <f>IF(AND(A1487&lt;&gt;"",ISNUMBER(A1487)),VLOOKUP(A1487,Studies!A:BR,5,FALSE),"")</f>
        <v>Hydroxy-Itraconazole</v>
      </c>
      <c r="F1487" s="207" t="str">
        <f>IF(AND(A1487&lt;&gt;"",ISNUMBER(A1487)),VLOOKUP(A1487,Studies!A:BR,6,FALSE),"")</f>
        <v>Plasma</v>
      </c>
      <c r="G1487" s="194">
        <v>0.5</v>
      </c>
      <c r="H1487" s="194" t="s">
        <v>60</v>
      </c>
      <c r="I1487" s="187">
        <v>209.21052551269531</v>
      </c>
      <c r="J1487" s="187" t="s">
        <v>1026</v>
      </c>
      <c r="K1487" s="187" t="s">
        <v>116</v>
      </c>
      <c r="L1487" s="195"/>
      <c r="M1487" s="195"/>
      <c r="N1487" s="195"/>
      <c r="O1487" s="199"/>
      <c r="P1487" s="188" t="s">
        <v>1123</v>
      </c>
      <c r="Q1487" s="174">
        <f>IF(ISNUMBER(VLOOKUP(A1487,NotghiID!A:A,1,FALSE)),1,0)</f>
        <v>0</v>
      </c>
    </row>
    <row r="1488" spans="1:17" ht="14.25" x14ac:dyDescent="0.2">
      <c r="A1488" s="183">
        <v>503</v>
      </c>
      <c r="B1488" s="232" t="str">
        <f>IF(AND(A1488&lt;&gt;"",ISNUMBER(A1488)),VLOOKUP(A1488,Studies!A:BR,2,FALSE),"")</f>
        <v>Gubbins 2007</v>
      </c>
      <c r="C1488" s="232" t="str">
        <f>IF(AND(A1488&lt;&gt;"",ISNUMBER(A1488)),VLOOKUP(A1488,Studies!A:BR,3,FALSE),"")</f>
        <v>https://www.ncbi.nlm.nih.gov/pubmed/18172627</v>
      </c>
      <c r="D1488" s="232" t="str">
        <f>IF(AND(A1488&lt;&gt;"",ISNUMBER(A1488)),VLOOKUP(A1488,Studies!A:BR,4,FALSE),"")</f>
        <v>po 200 mg solution female with water</v>
      </c>
      <c r="E1488" s="206" t="str">
        <f>IF(AND(A1488&lt;&gt;"",ISNUMBER(A1488)),VLOOKUP(A1488,Studies!A:BR,5,FALSE),"")</f>
        <v>Hydroxy-Itraconazole</v>
      </c>
      <c r="F1488" s="207" t="str">
        <f>IF(AND(A1488&lt;&gt;"",ISNUMBER(A1488)),VLOOKUP(A1488,Studies!A:BR,6,FALSE),"")</f>
        <v>Plasma</v>
      </c>
      <c r="G1488" s="194">
        <v>1</v>
      </c>
      <c r="H1488" s="194" t="s">
        <v>60</v>
      </c>
      <c r="I1488" s="187">
        <v>493.42105102539062</v>
      </c>
      <c r="J1488" s="187" t="s">
        <v>1026</v>
      </c>
      <c r="K1488" s="187" t="s">
        <v>116</v>
      </c>
      <c r="L1488" s="195"/>
      <c r="M1488" s="195"/>
      <c r="N1488" s="195"/>
      <c r="O1488" s="199"/>
      <c r="P1488" s="188" t="s">
        <v>1123</v>
      </c>
      <c r="Q1488" s="174">
        <f>IF(ISNUMBER(VLOOKUP(A1488,NotghiID!A:A,1,FALSE)),1,0)</f>
        <v>0</v>
      </c>
    </row>
    <row r="1489" spans="1:17" ht="14.25" x14ac:dyDescent="0.2">
      <c r="A1489" s="183">
        <v>503</v>
      </c>
      <c r="B1489" s="232" t="str">
        <f>IF(AND(A1489&lt;&gt;"",ISNUMBER(A1489)),VLOOKUP(A1489,Studies!A:BR,2,FALSE),"")</f>
        <v>Gubbins 2007</v>
      </c>
      <c r="C1489" s="232" t="str">
        <f>IF(AND(A1489&lt;&gt;"",ISNUMBER(A1489)),VLOOKUP(A1489,Studies!A:BR,3,FALSE),"")</f>
        <v>https://www.ncbi.nlm.nih.gov/pubmed/18172627</v>
      </c>
      <c r="D1489" s="232" t="str">
        <f>IF(AND(A1489&lt;&gt;"",ISNUMBER(A1489)),VLOOKUP(A1489,Studies!A:BR,4,FALSE),"")</f>
        <v>po 200 mg solution female with water</v>
      </c>
      <c r="E1489" s="206" t="str">
        <f>IF(AND(A1489&lt;&gt;"",ISNUMBER(A1489)),VLOOKUP(A1489,Studies!A:BR,5,FALSE),"")</f>
        <v>Hydroxy-Itraconazole</v>
      </c>
      <c r="F1489" s="207" t="str">
        <f>IF(AND(A1489&lt;&gt;"",ISNUMBER(A1489)),VLOOKUP(A1489,Studies!A:BR,6,FALSE),"")</f>
        <v>Plasma</v>
      </c>
      <c r="G1489" s="194">
        <v>2</v>
      </c>
      <c r="H1489" s="194" t="s">
        <v>60</v>
      </c>
      <c r="I1489" s="187">
        <v>667.10528564453125</v>
      </c>
      <c r="J1489" s="187" t="s">
        <v>1026</v>
      </c>
      <c r="K1489" s="187" t="s">
        <v>116</v>
      </c>
      <c r="L1489" s="195"/>
      <c r="M1489" s="195"/>
      <c r="N1489" s="195"/>
      <c r="O1489" s="199"/>
      <c r="P1489" s="188" t="s">
        <v>1123</v>
      </c>
      <c r="Q1489" s="174">
        <f>IF(ISNUMBER(VLOOKUP(A1489,NotghiID!A:A,1,FALSE)),1,0)</f>
        <v>0</v>
      </c>
    </row>
    <row r="1490" spans="1:17" ht="14.25" x14ac:dyDescent="0.2">
      <c r="A1490" s="183">
        <v>503</v>
      </c>
      <c r="B1490" s="232" t="str">
        <f>IF(AND(A1490&lt;&gt;"",ISNUMBER(A1490)),VLOOKUP(A1490,Studies!A:BR,2,FALSE),"")</f>
        <v>Gubbins 2007</v>
      </c>
      <c r="C1490" s="232" t="str">
        <f>IF(AND(A1490&lt;&gt;"",ISNUMBER(A1490)),VLOOKUP(A1490,Studies!A:BR,3,FALSE),"")</f>
        <v>https://www.ncbi.nlm.nih.gov/pubmed/18172627</v>
      </c>
      <c r="D1490" s="232" t="str">
        <f>IF(AND(A1490&lt;&gt;"",ISNUMBER(A1490)),VLOOKUP(A1490,Studies!A:BR,4,FALSE),"")</f>
        <v>po 200 mg solution female with water</v>
      </c>
      <c r="E1490" s="206" t="str">
        <f>IF(AND(A1490&lt;&gt;"",ISNUMBER(A1490)),VLOOKUP(A1490,Studies!A:BR,5,FALSE),"")</f>
        <v>Hydroxy-Itraconazole</v>
      </c>
      <c r="F1490" s="207" t="str">
        <f>IF(AND(A1490&lt;&gt;"",ISNUMBER(A1490)),VLOOKUP(A1490,Studies!A:BR,6,FALSE),"")</f>
        <v>Plasma</v>
      </c>
      <c r="G1490" s="194">
        <v>3</v>
      </c>
      <c r="H1490" s="194" t="s">
        <v>60</v>
      </c>
      <c r="I1490" s="187">
        <v>753.9473876953125</v>
      </c>
      <c r="J1490" s="187" t="s">
        <v>1026</v>
      </c>
      <c r="K1490" s="187" t="s">
        <v>116</v>
      </c>
      <c r="L1490" s="195"/>
      <c r="M1490" s="195"/>
      <c r="N1490" s="195"/>
      <c r="O1490" s="199"/>
      <c r="P1490" s="188" t="s">
        <v>1123</v>
      </c>
      <c r="Q1490" s="174">
        <f>IF(ISNUMBER(VLOOKUP(A1490,NotghiID!A:A,1,FALSE)),1,0)</f>
        <v>0</v>
      </c>
    </row>
    <row r="1491" spans="1:17" ht="14.25" x14ac:dyDescent="0.2">
      <c r="A1491" s="183">
        <v>503</v>
      </c>
      <c r="B1491" s="232" t="str">
        <f>IF(AND(A1491&lt;&gt;"",ISNUMBER(A1491)),VLOOKUP(A1491,Studies!A:BR,2,FALSE),"")</f>
        <v>Gubbins 2007</v>
      </c>
      <c r="C1491" s="232" t="str">
        <f>IF(AND(A1491&lt;&gt;"",ISNUMBER(A1491)),VLOOKUP(A1491,Studies!A:BR,3,FALSE),"")</f>
        <v>https://www.ncbi.nlm.nih.gov/pubmed/18172627</v>
      </c>
      <c r="D1491" s="232" t="str">
        <f>IF(AND(A1491&lt;&gt;"",ISNUMBER(A1491)),VLOOKUP(A1491,Studies!A:BR,4,FALSE),"")</f>
        <v>po 200 mg solution female with water</v>
      </c>
      <c r="E1491" s="206" t="str">
        <f>IF(AND(A1491&lt;&gt;"",ISNUMBER(A1491)),VLOOKUP(A1491,Studies!A:BR,5,FALSE),"")</f>
        <v>Hydroxy-Itraconazole</v>
      </c>
      <c r="F1491" s="207" t="str">
        <f>IF(AND(A1491&lt;&gt;"",ISNUMBER(A1491)),VLOOKUP(A1491,Studies!A:BR,6,FALSE),"")</f>
        <v>Plasma</v>
      </c>
      <c r="G1491" s="194">
        <v>4</v>
      </c>
      <c r="H1491" s="194" t="s">
        <v>60</v>
      </c>
      <c r="I1491" s="187">
        <v>732.23681640625</v>
      </c>
      <c r="J1491" s="187" t="s">
        <v>1026</v>
      </c>
      <c r="K1491" s="187" t="s">
        <v>116</v>
      </c>
      <c r="L1491" s="195"/>
      <c r="M1491" s="195"/>
      <c r="N1491" s="195"/>
      <c r="O1491" s="199"/>
      <c r="P1491" s="188" t="s">
        <v>1123</v>
      </c>
      <c r="Q1491" s="174">
        <f>IF(ISNUMBER(VLOOKUP(A1491,NotghiID!A:A,1,FALSE)),1,0)</f>
        <v>0</v>
      </c>
    </row>
    <row r="1492" spans="1:17" ht="14.25" x14ac:dyDescent="0.2">
      <c r="A1492" s="183">
        <v>503</v>
      </c>
      <c r="B1492" s="232" t="str">
        <f>IF(AND(A1492&lt;&gt;"",ISNUMBER(A1492)),VLOOKUP(A1492,Studies!A:BR,2,FALSE),"")</f>
        <v>Gubbins 2007</v>
      </c>
      <c r="C1492" s="232" t="str">
        <f>IF(AND(A1492&lt;&gt;"",ISNUMBER(A1492)),VLOOKUP(A1492,Studies!A:BR,3,FALSE),"")</f>
        <v>https://www.ncbi.nlm.nih.gov/pubmed/18172627</v>
      </c>
      <c r="D1492" s="232" t="str">
        <f>IF(AND(A1492&lt;&gt;"",ISNUMBER(A1492)),VLOOKUP(A1492,Studies!A:BR,4,FALSE),"")</f>
        <v>po 200 mg solution female with water</v>
      </c>
      <c r="E1492" s="206" t="str">
        <f>IF(AND(A1492&lt;&gt;"",ISNUMBER(A1492)),VLOOKUP(A1492,Studies!A:BR,5,FALSE),"")</f>
        <v>Hydroxy-Itraconazole</v>
      </c>
      <c r="F1492" s="207" t="str">
        <f>IF(AND(A1492&lt;&gt;"",ISNUMBER(A1492)),VLOOKUP(A1492,Studies!A:BR,6,FALSE),"")</f>
        <v>Plasma</v>
      </c>
      <c r="G1492" s="194">
        <v>5</v>
      </c>
      <c r="H1492" s="194" t="s">
        <v>60</v>
      </c>
      <c r="I1492" s="187">
        <v>732.23681640625</v>
      </c>
      <c r="J1492" s="187" t="s">
        <v>1026</v>
      </c>
      <c r="K1492" s="187" t="s">
        <v>116</v>
      </c>
      <c r="L1492" s="195"/>
      <c r="M1492" s="195"/>
      <c r="N1492" s="195"/>
      <c r="O1492" s="199"/>
      <c r="P1492" s="188" t="s">
        <v>1123</v>
      </c>
      <c r="Q1492" s="174">
        <f>IF(ISNUMBER(VLOOKUP(A1492,NotghiID!A:A,1,FALSE)),1,0)</f>
        <v>0</v>
      </c>
    </row>
    <row r="1493" spans="1:17" ht="14.25" x14ac:dyDescent="0.2">
      <c r="A1493" s="183">
        <v>503</v>
      </c>
      <c r="B1493" s="232" t="str">
        <f>IF(AND(A1493&lt;&gt;"",ISNUMBER(A1493)),VLOOKUP(A1493,Studies!A:BR,2,FALSE),"")</f>
        <v>Gubbins 2007</v>
      </c>
      <c r="C1493" s="232" t="str">
        <f>IF(AND(A1493&lt;&gt;"",ISNUMBER(A1493)),VLOOKUP(A1493,Studies!A:BR,3,FALSE),"")</f>
        <v>https://www.ncbi.nlm.nih.gov/pubmed/18172627</v>
      </c>
      <c r="D1493" s="232" t="str">
        <f>IF(AND(A1493&lt;&gt;"",ISNUMBER(A1493)),VLOOKUP(A1493,Studies!A:BR,4,FALSE),"")</f>
        <v>po 200 mg solution female with water</v>
      </c>
      <c r="E1493" s="206" t="str">
        <f>IF(AND(A1493&lt;&gt;"",ISNUMBER(A1493)),VLOOKUP(A1493,Studies!A:BR,5,FALSE),"")</f>
        <v>Hydroxy-Itraconazole</v>
      </c>
      <c r="F1493" s="207" t="str">
        <f>IF(AND(A1493&lt;&gt;"",ISNUMBER(A1493)),VLOOKUP(A1493,Studies!A:BR,6,FALSE),"")</f>
        <v>Plasma</v>
      </c>
      <c r="G1493" s="194">
        <v>6</v>
      </c>
      <c r="H1493" s="194" t="s">
        <v>60</v>
      </c>
      <c r="I1493" s="187">
        <v>669.07891845703125</v>
      </c>
      <c r="J1493" s="187" t="s">
        <v>1026</v>
      </c>
      <c r="K1493" s="187" t="s">
        <v>116</v>
      </c>
      <c r="L1493" s="195"/>
      <c r="M1493" s="195"/>
      <c r="N1493" s="195"/>
      <c r="O1493" s="199"/>
      <c r="P1493" s="188" t="s">
        <v>1123</v>
      </c>
      <c r="Q1493" s="174">
        <f>IF(ISNUMBER(VLOOKUP(A1493,NotghiID!A:A,1,FALSE)),1,0)</f>
        <v>0</v>
      </c>
    </row>
    <row r="1494" spans="1:17" ht="14.25" x14ac:dyDescent="0.2">
      <c r="A1494" s="183">
        <v>503</v>
      </c>
      <c r="B1494" s="232" t="str">
        <f>IF(AND(A1494&lt;&gt;"",ISNUMBER(A1494)),VLOOKUP(A1494,Studies!A:BR,2,FALSE),"")</f>
        <v>Gubbins 2007</v>
      </c>
      <c r="C1494" s="232" t="str">
        <f>IF(AND(A1494&lt;&gt;"",ISNUMBER(A1494)),VLOOKUP(A1494,Studies!A:BR,3,FALSE),"")</f>
        <v>https://www.ncbi.nlm.nih.gov/pubmed/18172627</v>
      </c>
      <c r="D1494" s="232" t="str">
        <f>IF(AND(A1494&lt;&gt;"",ISNUMBER(A1494)),VLOOKUP(A1494,Studies!A:BR,4,FALSE),"")</f>
        <v>po 200 mg solution female with water</v>
      </c>
      <c r="E1494" s="206" t="str">
        <f>IF(AND(A1494&lt;&gt;"",ISNUMBER(A1494)),VLOOKUP(A1494,Studies!A:BR,5,FALSE),"")</f>
        <v>Hydroxy-Itraconazole</v>
      </c>
      <c r="F1494" s="207" t="str">
        <f>IF(AND(A1494&lt;&gt;"",ISNUMBER(A1494)),VLOOKUP(A1494,Studies!A:BR,6,FALSE),"")</f>
        <v>Plasma</v>
      </c>
      <c r="G1494" s="194">
        <v>8</v>
      </c>
      <c r="H1494" s="194" t="s">
        <v>60</v>
      </c>
      <c r="I1494" s="187">
        <v>625.65789794921875</v>
      </c>
      <c r="J1494" s="187" t="s">
        <v>1026</v>
      </c>
      <c r="K1494" s="187" t="s">
        <v>116</v>
      </c>
      <c r="L1494" s="195"/>
      <c r="M1494" s="195"/>
      <c r="N1494" s="195"/>
      <c r="O1494" s="199"/>
      <c r="P1494" s="188" t="s">
        <v>1123</v>
      </c>
      <c r="Q1494" s="174">
        <f>IF(ISNUMBER(VLOOKUP(A1494,NotghiID!A:A,1,FALSE)),1,0)</f>
        <v>0</v>
      </c>
    </row>
    <row r="1495" spans="1:17" ht="14.25" x14ac:dyDescent="0.2">
      <c r="A1495" s="183">
        <v>503</v>
      </c>
      <c r="B1495" s="232" t="str">
        <f>IF(AND(A1495&lt;&gt;"",ISNUMBER(A1495)),VLOOKUP(A1495,Studies!A:BR,2,FALSE),"")</f>
        <v>Gubbins 2007</v>
      </c>
      <c r="C1495" s="232" t="str">
        <f>IF(AND(A1495&lt;&gt;"",ISNUMBER(A1495)),VLOOKUP(A1495,Studies!A:BR,3,FALSE),"")</f>
        <v>https://www.ncbi.nlm.nih.gov/pubmed/18172627</v>
      </c>
      <c r="D1495" s="232" t="str">
        <f>IF(AND(A1495&lt;&gt;"",ISNUMBER(A1495)),VLOOKUP(A1495,Studies!A:BR,4,FALSE),"")</f>
        <v>po 200 mg solution female with water</v>
      </c>
      <c r="E1495" s="206" t="str">
        <f>IF(AND(A1495&lt;&gt;"",ISNUMBER(A1495)),VLOOKUP(A1495,Studies!A:BR,5,FALSE),"")</f>
        <v>Hydroxy-Itraconazole</v>
      </c>
      <c r="F1495" s="207" t="str">
        <f>IF(AND(A1495&lt;&gt;"",ISNUMBER(A1495)),VLOOKUP(A1495,Studies!A:BR,6,FALSE),"")</f>
        <v>Plasma</v>
      </c>
      <c r="G1495" s="194">
        <v>10</v>
      </c>
      <c r="H1495" s="194" t="s">
        <v>60</v>
      </c>
      <c r="I1495" s="187">
        <v>511.1842041015625</v>
      </c>
      <c r="J1495" s="187" t="s">
        <v>1026</v>
      </c>
      <c r="K1495" s="187" t="s">
        <v>116</v>
      </c>
      <c r="L1495" s="195"/>
      <c r="M1495" s="195"/>
      <c r="N1495" s="195"/>
      <c r="O1495" s="199"/>
      <c r="P1495" s="188" t="s">
        <v>1123</v>
      </c>
      <c r="Q1495" s="174">
        <f>IF(ISNUMBER(VLOOKUP(A1495,NotghiID!A:A,1,FALSE)),1,0)</f>
        <v>0</v>
      </c>
    </row>
    <row r="1496" spans="1:17" ht="14.25" x14ac:dyDescent="0.2">
      <c r="A1496" s="183">
        <v>503</v>
      </c>
      <c r="B1496" s="232" t="str">
        <f>IF(AND(A1496&lt;&gt;"",ISNUMBER(A1496)),VLOOKUP(A1496,Studies!A:BR,2,FALSE),"")</f>
        <v>Gubbins 2007</v>
      </c>
      <c r="C1496" s="232" t="str">
        <f>IF(AND(A1496&lt;&gt;"",ISNUMBER(A1496)),VLOOKUP(A1496,Studies!A:BR,3,FALSE),"")</f>
        <v>https://www.ncbi.nlm.nih.gov/pubmed/18172627</v>
      </c>
      <c r="D1496" s="232" t="str">
        <f>IF(AND(A1496&lt;&gt;"",ISNUMBER(A1496)),VLOOKUP(A1496,Studies!A:BR,4,FALSE),"")</f>
        <v>po 200 mg solution female with water</v>
      </c>
      <c r="E1496" s="206" t="str">
        <f>IF(AND(A1496&lt;&gt;"",ISNUMBER(A1496)),VLOOKUP(A1496,Studies!A:BR,5,FALSE),"")</f>
        <v>Hydroxy-Itraconazole</v>
      </c>
      <c r="F1496" s="207" t="str">
        <f>IF(AND(A1496&lt;&gt;"",ISNUMBER(A1496)),VLOOKUP(A1496,Studies!A:BR,6,FALSE),"")</f>
        <v>Plasma</v>
      </c>
      <c r="G1496" s="194">
        <v>12</v>
      </c>
      <c r="H1496" s="194" t="s">
        <v>60</v>
      </c>
      <c r="I1496" s="187">
        <v>491.44735717773437</v>
      </c>
      <c r="J1496" s="187" t="s">
        <v>1026</v>
      </c>
      <c r="K1496" s="187" t="s">
        <v>116</v>
      </c>
      <c r="L1496" s="195"/>
      <c r="M1496" s="195"/>
      <c r="N1496" s="195"/>
      <c r="O1496" s="199"/>
      <c r="P1496" s="188" t="s">
        <v>1123</v>
      </c>
      <c r="Q1496" s="174">
        <f>IF(ISNUMBER(VLOOKUP(A1496,NotghiID!A:A,1,FALSE)),1,0)</f>
        <v>0</v>
      </c>
    </row>
    <row r="1497" spans="1:17" ht="14.25" x14ac:dyDescent="0.2">
      <c r="A1497" s="183">
        <v>503</v>
      </c>
      <c r="B1497" s="232" t="str">
        <f>IF(AND(A1497&lt;&gt;"",ISNUMBER(A1497)),VLOOKUP(A1497,Studies!A:BR,2,FALSE),"")</f>
        <v>Gubbins 2007</v>
      </c>
      <c r="C1497" s="232" t="str">
        <f>IF(AND(A1497&lt;&gt;"",ISNUMBER(A1497)),VLOOKUP(A1497,Studies!A:BR,3,FALSE),"")</f>
        <v>https://www.ncbi.nlm.nih.gov/pubmed/18172627</v>
      </c>
      <c r="D1497" s="232" t="str">
        <f>IF(AND(A1497&lt;&gt;"",ISNUMBER(A1497)),VLOOKUP(A1497,Studies!A:BR,4,FALSE),"")</f>
        <v>po 200 mg solution female with water</v>
      </c>
      <c r="E1497" s="206" t="str">
        <f>IF(AND(A1497&lt;&gt;"",ISNUMBER(A1497)),VLOOKUP(A1497,Studies!A:BR,5,FALSE),"")</f>
        <v>Hydroxy-Itraconazole</v>
      </c>
      <c r="F1497" s="207" t="str">
        <f>IF(AND(A1497&lt;&gt;"",ISNUMBER(A1497)),VLOOKUP(A1497,Studies!A:BR,6,FALSE),"")</f>
        <v>Plasma</v>
      </c>
      <c r="G1497" s="194">
        <v>24</v>
      </c>
      <c r="H1497" s="194" t="s">
        <v>60</v>
      </c>
      <c r="I1497" s="187">
        <v>258.55264282226562</v>
      </c>
      <c r="J1497" s="187" t="s">
        <v>1026</v>
      </c>
      <c r="K1497" s="187" t="s">
        <v>116</v>
      </c>
      <c r="L1497" s="195"/>
      <c r="M1497" s="195"/>
      <c r="N1497" s="195"/>
      <c r="O1497" s="199"/>
      <c r="P1497" s="188" t="s">
        <v>1123</v>
      </c>
      <c r="Q1497" s="174">
        <f>IF(ISNUMBER(VLOOKUP(A1497,NotghiID!A:A,1,FALSE)),1,0)</f>
        <v>0</v>
      </c>
    </row>
    <row r="1498" spans="1:17" ht="14.25" x14ac:dyDescent="0.2">
      <c r="A1498" s="183">
        <v>503</v>
      </c>
      <c r="B1498" s="232" t="str">
        <f>IF(AND(A1498&lt;&gt;"",ISNUMBER(A1498)),VLOOKUP(A1498,Studies!A:BR,2,FALSE),"")</f>
        <v>Gubbins 2007</v>
      </c>
      <c r="C1498" s="232" t="str">
        <f>IF(AND(A1498&lt;&gt;"",ISNUMBER(A1498)),VLOOKUP(A1498,Studies!A:BR,3,FALSE),"")</f>
        <v>https://www.ncbi.nlm.nih.gov/pubmed/18172627</v>
      </c>
      <c r="D1498" s="232" t="str">
        <f>IF(AND(A1498&lt;&gt;"",ISNUMBER(A1498)),VLOOKUP(A1498,Studies!A:BR,4,FALSE),"")</f>
        <v>po 200 mg solution female with water</v>
      </c>
      <c r="E1498" s="206" t="str">
        <f>IF(AND(A1498&lt;&gt;"",ISNUMBER(A1498)),VLOOKUP(A1498,Studies!A:BR,5,FALSE),"")</f>
        <v>Hydroxy-Itraconazole</v>
      </c>
      <c r="F1498" s="207" t="str">
        <f>IF(AND(A1498&lt;&gt;"",ISNUMBER(A1498)),VLOOKUP(A1498,Studies!A:BR,6,FALSE),"")</f>
        <v>Plasma</v>
      </c>
      <c r="G1498" s="194">
        <v>36</v>
      </c>
      <c r="H1498" s="194" t="s">
        <v>60</v>
      </c>
      <c r="I1498" s="187">
        <v>146.05262756347656</v>
      </c>
      <c r="J1498" s="187" t="s">
        <v>1026</v>
      </c>
      <c r="K1498" s="187" t="s">
        <v>116</v>
      </c>
      <c r="L1498" s="195"/>
      <c r="M1498" s="195"/>
      <c r="N1498" s="195"/>
      <c r="O1498" s="199"/>
      <c r="P1498" s="188" t="s">
        <v>1123</v>
      </c>
      <c r="Q1498" s="174">
        <f>IF(ISNUMBER(VLOOKUP(A1498,NotghiID!A:A,1,FALSE)),1,0)</f>
        <v>0</v>
      </c>
    </row>
    <row r="1499" spans="1:17" ht="14.25" x14ac:dyDescent="0.2">
      <c r="A1499" s="183">
        <v>503</v>
      </c>
      <c r="B1499" s="232" t="str">
        <f>IF(AND(A1499&lt;&gt;"",ISNUMBER(A1499)),VLOOKUP(A1499,Studies!A:BR,2,FALSE),"")</f>
        <v>Gubbins 2007</v>
      </c>
      <c r="C1499" s="232" t="str">
        <f>IF(AND(A1499&lt;&gt;"",ISNUMBER(A1499)),VLOOKUP(A1499,Studies!A:BR,3,FALSE),"")</f>
        <v>https://www.ncbi.nlm.nih.gov/pubmed/18172627</v>
      </c>
      <c r="D1499" s="232" t="str">
        <f>IF(AND(A1499&lt;&gt;"",ISNUMBER(A1499)),VLOOKUP(A1499,Studies!A:BR,4,FALSE),"")</f>
        <v>po 200 mg solution female with water</v>
      </c>
      <c r="E1499" s="206" t="str">
        <f>IF(AND(A1499&lt;&gt;"",ISNUMBER(A1499)),VLOOKUP(A1499,Studies!A:BR,5,FALSE),"")</f>
        <v>Hydroxy-Itraconazole</v>
      </c>
      <c r="F1499" s="207" t="str">
        <f>IF(AND(A1499&lt;&gt;"",ISNUMBER(A1499)),VLOOKUP(A1499,Studies!A:BR,6,FALSE),"")</f>
        <v>Plasma</v>
      </c>
      <c r="G1499" s="194">
        <v>48</v>
      </c>
      <c r="H1499" s="194" t="s">
        <v>60</v>
      </c>
      <c r="I1499" s="187">
        <v>69.078948974609375</v>
      </c>
      <c r="J1499" s="187" t="s">
        <v>1026</v>
      </c>
      <c r="K1499" s="187" t="s">
        <v>116</v>
      </c>
      <c r="L1499" s="195"/>
      <c r="M1499" s="195"/>
      <c r="N1499" s="195"/>
      <c r="O1499" s="199"/>
      <c r="P1499" s="188" t="s">
        <v>1123</v>
      </c>
      <c r="Q1499" s="174">
        <f>IF(ISNUMBER(VLOOKUP(A1499,NotghiID!A:A,1,FALSE)),1,0)</f>
        <v>0</v>
      </c>
    </row>
    <row r="1500" spans="1:17" ht="14.25" x14ac:dyDescent="0.2">
      <c r="A1500" s="183">
        <v>503</v>
      </c>
      <c r="B1500" s="232" t="str">
        <f>IF(AND(A1500&lt;&gt;"",ISNUMBER(A1500)),VLOOKUP(A1500,Studies!A:BR,2,FALSE),"")</f>
        <v>Gubbins 2007</v>
      </c>
      <c r="C1500" s="232" t="str">
        <f>IF(AND(A1500&lt;&gt;"",ISNUMBER(A1500)),VLOOKUP(A1500,Studies!A:BR,3,FALSE),"")</f>
        <v>https://www.ncbi.nlm.nih.gov/pubmed/18172627</v>
      </c>
      <c r="D1500" s="232" t="str">
        <f>IF(AND(A1500&lt;&gt;"",ISNUMBER(A1500)),VLOOKUP(A1500,Studies!A:BR,4,FALSE),"")</f>
        <v>po 200 mg solution female with water</v>
      </c>
      <c r="E1500" s="206" t="str">
        <f>IF(AND(A1500&lt;&gt;"",ISNUMBER(A1500)),VLOOKUP(A1500,Studies!A:BR,5,FALSE),"")</f>
        <v>Hydroxy-Itraconazole</v>
      </c>
      <c r="F1500" s="207" t="str">
        <f>IF(AND(A1500&lt;&gt;"",ISNUMBER(A1500)),VLOOKUP(A1500,Studies!A:BR,6,FALSE),"")</f>
        <v>Plasma</v>
      </c>
      <c r="G1500" s="194">
        <v>60</v>
      </c>
      <c r="H1500" s="194" t="s">
        <v>60</v>
      </c>
      <c r="I1500" s="187">
        <v>49.342105865478516</v>
      </c>
      <c r="J1500" s="187" t="s">
        <v>1026</v>
      </c>
      <c r="K1500" s="187" t="s">
        <v>116</v>
      </c>
      <c r="L1500" s="195"/>
      <c r="M1500" s="195"/>
      <c r="N1500" s="195"/>
      <c r="O1500" s="199"/>
      <c r="P1500" s="188" t="s">
        <v>1123</v>
      </c>
      <c r="Q1500" s="174">
        <f>IF(ISNUMBER(VLOOKUP(A1500,NotghiID!A:A,1,FALSE)),1,0)</f>
        <v>0</v>
      </c>
    </row>
    <row r="1501" spans="1:17" ht="14.25" x14ac:dyDescent="0.2">
      <c r="A1501" s="183">
        <v>503</v>
      </c>
      <c r="B1501" s="232" t="str">
        <f>IF(AND(A1501&lt;&gt;"",ISNUMBER(A1501)),VLOOKUP(A1501,Studies!A:BR,2,FALSE),"")</f>
        <v>Gubbins 2007</v>
      </c>
      <c r="C1501" s="232" t="str">
        <f>IF(AND(A1501&lt;&gt;"",ISNUMBER(A1501)),VLOOKUP(A1501,Studies!A:BR,3,FALSE),"")</f>
        <v>https://www.ncbi.nlm.nih.gov/pubmed/18172627</v>
      </c>
      <c r="D1501" s="232" t="str">
        <f>IF(AND(A1501&lt;&gt;"",ISNUMBER(A1501)),VLOOKUP(A1501,Studies!A:BR,4,FALSE),"")</f>
        <v>po 200 mg solution female with water</v>
      </c>
      <c r="E1501" s="206" t="str">
        <f>IF(AND(A1501&lt;&gt;"",ISNUMBER(A1501)),VLOOKUP(A1501,Studies!A:BR,5,FALSE),"")</f>
        <v>Hydroxy-Itraconazole</v>
      </c>
      <c r="F1501" s="207" t="str">
        <f>IF(AND(A1501&lt;&gt;"",ISNUMBER(A1501)),VLOOKUP(A1501,Studies!A:BR,6,FALSE),"")</f>
        <v>Plasma</v>
      </c>
      <c r="G1501" s="194">
        <v>72</v>
      </c>
      <c r="H1501" s="194" t="s">
        <v>60</v>
      </c>
      <c r="I1501" s="187">
        <v>23.684209823608398</v>
      </c>
      <c r="J1501" s="187" t="s">
        <v>1026</v>
      </c>
      <c r="K1501" s="187" t="s">
        <v>116</v>
      </c>
      <c r="L1501" s="195"/>
      <c r="M1501" s="195"/>
      <c r="N1501" s="195"/>
      <c r="O1501" s="199"/>
      <c r="P1501" s="188" t="s">
        <v>1123</v>
      </c>
      <c r="Q1501" s="174">
        <f>IF(ISNUMBER(VLOOKUP(A1501,NotghiID!A:A,1,FALSE)),1,0)</f>
        <v>0</v>
      </c>
    </row>
    <row r="1502" spans="1:17" ht="14.25" x14ac:dyDescent="0.2">
      <c r="A1502" s="183">
        <v>504</v>
      </c>
      <c r="B1502" s="232" t="str">
        <f>IF(AND(A1502&lt;&gt;"",ISNUMBER(A1502)),VLOOKUP(A1502,Studies!A:BR,2,FALSE),"")</f>
        <v>Gubbins 2007</v>
      </c>
      <c r="C1502" s="232" t="str">
        <f>IF(AND(A1502&lt;&gt;"",ISNUMBER(A1502)),VLOOKUP(A1502,Studies!A:BR,3,FALSE),"")</f>
        <v>https://www.ncbi.nlm.nih.gov/pubmed/18172627</v>
      </c>
      <c r="D1502" s="232" t="str">
        <f>IF(AND(A1502&lt;&gt;"",ISNUMBER(A1502)),VLOOKUP(A1502,Studies!A:BR,4,FALSE),"")</f>
        <v>po 200 mg solution male with water</v>
      </c>
      <c r="E1502" s="206" t="str">
        <f>IF(AND(A1502&lt;&gt;"",ISNUMBER(A1502)),VLOOKUP(A1502,Studies!A:BR,5,FALSE),"")</f>
        <v>Itraconazole</v>
      </c>
      <c r="F1502" s="207" t="str">
        <f>IF(AND(A1502&lt;&gt;"",ISNUMBER(A1502)),VLOOKUP(A1502,Studies!A:BR,6,FALSE),"")</f>
        <v>Plasma</v>
      </c>
      <c r="G1502" s="194">
        <v>0.5</v>
      </c>
      <c r="H1502" s="194" t="s">
        <v>60</v>
      </c>
      <c r="I1502" s="187">
        <v>436.34359741210937</v>
      </c>
      <c r="J1502" s="187" t="s">
        <v>1026</v>
      </c>
      <c r="K1502" s="187" t="s">
        <v>116</v>
      </c>
      <c r="L1502" s="195"/>
      <c r="M1502" s="195"/>
      <c r="N1502" s="195"/>
      <c r="O1502" s="199"/>
      <c r="P1502" s="188" t="s">
        <v>1123</v>
      </c>
      <c r="Q1502" s="174">
        <f>IF(ISNUMBER(VLOOKUP(A1502,NotghiID!A:A,1,FALSE)),1,0)</f>
        <v>0</v>
      </c>
    </row>
    <row r="1503" spans="1:17" ht="14.25" x14ac:dyDescent="0.2">
      <c r="A1503" s="183">
        <v>504</v>
      </c>
      <c r="B1503" s="232" t="str">
        <f>IF(AND(A1503&lt;&gt;"",ISNUMBER(A1503)),VLOOKUP(A1503,Studies!A:BR,2,FALSE),"")</f>
        <v>Gubbins 2007</v>
      </c>
      <c r="C1503" s="232" t="str">
        <f>IF(AND(A1503&lt;&gt;"",ISNUMBER(A1503)),VLOOKUP(A1503,Studies!A:BR,3,FALSE),"")</f>
        <v>https://www.ncbi.nlm.nih.gov/pubmed/18172627</v>
      </c>
      <c r="D1503" s="232" t="str">
        <f>IF(AND(A1503&lt;&gt;"",ISNUMBER(A1503)),VLOOKUP(A1503,Studies!A:BR,4,FALSE),"")</f>
        <v>po 200 mg solution male with water</v>
      </c>
      <c r="E1503" s="206" t="str">
        <f>IF(AND(A1503&lt;&gt;"",ISNUMBER(A1503)),VLOOKUP(A1503,Studies!A:BR,5,FALSE),"")</f>
        <v>Itraconazole</v>
      </c>
      <c r="F1503" s="207" t="str">
        <f>IF(AND(A1503&lt;&gt;"",ISNUMBER(A1503)),VLOOKUP(A1503,Studies!A:BR,6,FALSE),"")</f>
        <v>Plasma</v>
      </c>
      <c r="G1503" s="194">
        <v>1</v>
      </c>
      <c r="H1503" s="194" t="s">
        <v>60</v>
      </c>
      <c r="I1503" s="187">
        <v>539.6475830078125</v>
      </c>
      <c r="J1503" s="187" t="s">
        <v>1026</v>
      </c>
      <c r="K1503" s="187" t="s">
        <v>116</v>
      </c>
      <c r="L1503" s="195"/>
      <c r="M1503" s="195"/>
      <c r="N1503" s="195"/>
      <c r="O1503" s="199"/>
      <c r="P1503" s="188" t="s">
        <v>1123</v>
      </c>
      <c r="Q1503" s="174">
        <f>IF(ISNUMBER(VLOOKUP(A1503,NotghiID!A:A,1,FALSE)),1,0)</f>
        <v>0</v>
      </c>
    </row>
    <row r="1504" spans="1:17" ht="14.25" x14ac:dyDescent="0.2">
      <c r="A1504" s="183">
        <v>504</v>
      </c>
      <c r="B1504" s="232" t="str">
        <f>IF(AND(A1504&lt;&gt;"",ISNUMBER(A1504)),VLOOKUP(A1504,Studies!A:BR,2,FALSE),"")</f>
        <v>Gubbins 2007</v>
      </c>
      <c r="C1504" s="232" t="str">
        <f>IF(AND(A1504&lt;&gt;"",ISNUMBER(A1504)),VLOOKUP(A1504,Studies!A:BR,3,FALSE),"")</f>
        <v>https://www.ncbi.nlm.nih.gov/pubmed/18172627</v>
      </c>
      <c r="D1504" s="232" t="str">
        <f>IF(AND(A1504&lt;&gt;"",ISNUMBER(A1504)),VLOOKUP(A1504,Studies!A:BR,4,FALSE),"")</f>
        <v>po 200 mg solution male with water</v>
      </c>
      <c r="E1504" s="206" t="str">
        <f>IF(AND(A1504&lt;&gt;"",ISNUMBER(A1504)),VLOOKUP(A1504,Studies!A:BR,5,FALSE),"")</f>
        <v>Itraconazole</v>
      </c>
      <c r="F1504" s="207" t="str">
        <f>IF(AND(A1504&lt;&gt;"",ISNUMBER(A1504)),VLOOKUP(A1504,Studies!A:BR,6,FALSE),"")</f>
        <v>Plasma</v>
      </c>
      <c r="G1504" s="194">
        <v>2</v>
      </c>
      <c r="H1504" s="194" t="s">
        <v>60</v>
      </c>
      <c r="I1504" s="187">
        <v>445.59469604492187</v>
      </c>
      <c r="J1504" s="187" t="s">
        <v>1026</v>
      </c>
      <c r="K1504" s="187" t="s">
        <v>116</v>
      </c>
      <c r="L1504" s="195"/>
      <c r="M1504" s="195"/>
      <c r="N1504" s="195"/>
      <c r="O1504" s="199"/>
      <c r="P1504" s="188" t="s">
        <v>1123</v>
      </c>
      <c r="Q1504" s="174">
        <f>IF(ISNUMBER(VLOOKUP(A1504,NotghiID!A:A,1,FALSE)),1,0)</f>
        <v>0</v>
      </c>
    </row>
    <row r="1505" spans="1:17" ht="14.25" x14ac:dyDescent="0.2">
      <c r="A1505" s="183">
        <v>504</v>
      </c>
      <c r="B1505" s="232" t="str">
        <f>IF(AND(A1505&lt;&gt;"",ISNUMBER(A1505)),VLOOKUP(A1505,Studies!A:BR,2,FALSE),"")</f>
        <v>Gubbins 2007</v>
      </c>
      <c r="C1505" s="232" t="str">
        <f>IF(AND(A1505&lt;&gt;"",ISNUMBER(A1505)),VLOOKUP(A1505,Studies!A:BR,3,FALSE),"")</f>
        <v>https://www.ncbi.nlm.nih.gov/pubmed/18172627</v>
      </c>
      <c r="D1505" s="232" t="str">
        <f>IF(AND(A1505&lt;&gt;"",ISNUMBER(A1505)),VLOOKUP(A1505,Studies!A:BR,4,FALSE),"")</f>
        <v>po 200 mg solution male with water</v>
      </c>
      <c r="E1505" s="206" t="str">
        <f>IF(AND(A1505&lt;&gt;"",ISNUMBER(A1505)),VLOOKUP(A1505,Studies!A:BR,5,FALSE),"")</f>
        <v>Itraconazole</v>
      </c>
      <c r="F1505" s="207" t="str">
        <f>IF(AND(A1505&lt;&gt;"",ISNUMBER(A1505)),VLOOKUP(A1505,Studies!A:BR,6,FALSE),"")</f>
        <v>Plasma</v>
      </c>
      <c r="G1505" s="194">
        <v>3</v>
      </c>
      <c r="H1505" s="194" t="s">
        <v>60</v>
      </c>
      <c r="I1505" s="187">
        <v>417.84140014648437</v>
      </c>
      <c r="J1505" s="187" t="s">
        <v>1026</v>
      </c>
      <c r="K1505" s="187" t="s">
        <v>116</v>
      </c>
      <c r="L1505" s="195"/>
      <c r="M1505" s="195"/>
      <c r="N1505" s="195"/>
      <c r="O1505" s="199"/>
      <c r="P1505" s="188" t="s">
        <v>1123</v>
      </c>
      <c r="Q1505" s="174">
        <f>IF(ISNUMBER(VLOOKUP(A1505,NotghiID!A:A,1,FALSE)),1,0)</f>
        <v>0</v>
      </c>
    </row>
    <row r="1506" spans="1:17" ht="14.25" x14ac:dyDescent="0.2">
      <c r="A1506" s="183">
        <v>504</v>
      </c>
      <c r="B1506" s="232" t="str">
        <f>IF(AND(A1506&lt;&gt;"",ISNUMBER(A1506)),VLOOKUP(A1506,Studies!A:BR,2,FALSE),"")</f>
        <v>Gubbins 2007</v>
      </c>
      <c r="C1506" s="232" t="str">
        <f>IF(AND(A1506&lt;&gt;"",ISNUMBER(A1506)),VLOOKUP(A1506,Studies!A:BR,3,FALSE),"")</f>
        <v>https://www.ncbi.nlm.nih.gov/pubmed/18172627</v>
      </c>
      <c r="D1506" s="232" t="str">
        <f>IF(AND(A1506&lt;&gt;"",ISNUMBER(A1506)),VLOOKUP(A1506,Studies!A:BR,4,FALSE),"")</f>
        <v>po 200 mg solution male with water</v>
      </c>
      <c r="E1506" s="206" t="str">
        <f>IF(AND(A1506&lt;&gt;"",ISNUMBER(A1506)),VLOOKUP(A1506,Studies!A:BR,5,FALSE),"")</f>
        <v>Itraconazole</v>
      </c>
      <c r="F1506" s="207" t="str">
        <f>IF(AND(A1506&lt;&gt;"",ISNUMBER(A1506)),VLOOKUP(A1506,Studies!A:BR,6,FALSE),"")</f>
        <v>Plasma</v>
      </c>
      <c r="G1506" s="194">
        <v>4</v>
      </c>
      <c r="H1506" s="194" t="s">
        <v>60</v>
      </c>
      <c r="I1506" s="187">
        <v>382.37884521484375</v>
      </c>
      <c r="J1506" s="187" t="s">
        <v>1026</v>
      </c>
      <c r="K1506" s="187" t="s">
        <v>116</v>
      </c>
      <c r="L1506" s="195"/>
      <c r="M1506" s="195"/>
      <c r="N1506" s="195"/>
      <c r="O1506" s="199"/>
      <c r="P1506" s="188" t="s">
        <v>1123</v>
      </c>
      <c r="Q1506" s="174">
        <f>IF(ISNUMBER(VLOOKUP(A1506,NotghiID!A:A,1,FALSE)),1,0)</f>
        <v>0</v>
      </c>
    </row>
    <row r="1507" spans="1:17" ht="14.25" x14ac:dyDescent="0.2">
      <c r="A1507" s="183">
        <v>504</v>
      </c>
      <c r="B1507" s="232" t="str">
        <f>IF(AND(A1507&lt;&gt;"",ISNUMBER(A1507)),VLOOKUP(A1507,Studies!A:BR,2,FALSE),"")</f>
        <v>Gubbins 2007</v>
      </c>
      <c r="C1507" s="232" t="str">
        <f>IF(AND(A1507&lt;&gt;"",ISNUMBER(A1507)),VLOOKUP(A1507,Studies!A:BR,3,FALSE),"")</f>
        <v>https://www.ncbi.nlm.nih.gov/pubmed/18172627</v>
      </c>
      <c r="D1507" s="232" t="str">
        <f>IF(AND(A1507&lt;&gt;"",ISNUMBER(A1507)),VLOOKUP(A1507,Studies!A:BR,4,FALSE),"")</f>
        <v>po 200 mg solution male with water</v>
      </c>
      <c r="E1507" s="206" t="str">
        <f>IF(AND(A1507&lt;&gt;"",ISNUMBER(A1507)),VLOOKUP(A1507,Studies!A:BR,5,FALSE),"")</f>
        <v>Itraconazole</v>
      </c>
      <c r="F1507" s="207" t="str">
        <f>IF(AND(A1507&lt;&gt;"",ISNUMBER(A1507)),VLOOKUP(A1507,Studies!A:BR,6,FALSE),"")</f>
        <v>Plasma</v>
      </c>
      <c r="G1507" s="194">
        <v>5</v>
      </c>
      <c r="H1507" s="194" t="s">
        <v>60</v>
      </c>
      <c r="I1507" s="187">
        <v>305.28634643554687</v>
      </c>
      <c r="J1507" s="187" t="s">
        <v>1026</v>
      </c>
      <c r="K1507" s="187" t="s">
        <v>116</v>
      </c>
      <c r="L1507" s="195"/>
      <c r="M1507" s="195"/>
      <c r="N1507" s="195"/>
      <c r="O1507" s="199"/>
      <c r="P1507" s="188" t="s">
        <v>1123</v>
      </c>
      <c r="Q1507" s="174">
        <f>IF(ISNUMBER(VLOOKUP(A1507,NotghiID!A:A,1,FALSE)),1,0)</f>
        <v>0</v>
      </c>
    </row>
    <row r="1508" spans="1:17" ht="14.25" x14ac:dyDescent="0.2">
      <c r="A1508" s="183">
        <v>504</v>
      </c>
      <c r="B1508" s="232" t="str">
        <f>IF(AND(A1508&lt;&gt;"",ISNUMBER(A1508)),VLOOKUP(A1508,Studies!A:BR,2,FALSE),"")</f>
        <v>Gubbins 2007</v>
      </c>
      <c r="C1508" s="232" t="str">
        <f>IF(AND(A1508&lt;&gt;"",ISNUMBER(A1508)),VLOOKUP(A1508,Studies!A:BR,3,FALSE),"")</f>
        <v>https://www.ncbi.nlm.nih.gov/pubmed/18172627</v>
      </c>
      <c r="D1508" s="232" t="str">
        <f>IF(AND(A1508&lt;&gt;"",ISNUMBER(A1508)),VLOOKUP(A1508,Studies!A:BR,4,FALSE),"")</f>
        <v>po 200 mg solution male with water</v>
      </c>
      <c r="E1508" s="206" t="str">
        <f>IF(AND(A1508&lt;&gt;"",ISNUMBER(A1508)),VLOOKUP(A1508,Studies!A:BR,5,FALSE),"")</f>
        <v>Itraconazole</v>
      </c>
      <c r="F1508" s="207" t="str">
        <f>IF(AND(A1508&lt;&gt;"",ISNUMBER(A1508)),VLOOKUP(A1508,Studies!A:BR,6,FALSE),"")</f>
        <v>Plasma</v>
      </c>
      <c r="G1508" s="194">
        <v>6</v>
      </c>
      <c r="H1508" s="194" t="s">
        <v>60</v>
      </c>
      <c r="I1508" s="187">
        <v>248.23788452148437</v>
      </c>
      <c r="J1508" s="187" t="s">
        <v>1026</v>
      </c>
      <c r="K1508" s="187" t="s">
        <v>116</v>
      </c>
      <c r="L1508" s="195"/>
      <c r="M1508" s="195"/>
      <c r="N1508" s="195"/>
      <c r="O1508" s="199"/>
      <c r="P1508" s="188" t="s">
        <v>1123</v>
      </c>
      <c r="Q1508" s="174">
        <f>IF(ISNUMBER(VLOOKUP(A1508,NotghiID!A:A,1,FALSE)),1,0)</f>
        <v>0</v>
      </c>
    </row>
    <row r="1509" spans="1:17" ht="14.25" x14ac:dyDescent="0.2">
      <c r="A1509" s="183">
        <v>504</v>
      </c>
      <c r="B1509" s="232" t="str">
        <f>IF(AND(A1509&lt;&gt;"",ISNUMBER(A1509)),VLOOKUP(A1509,Studies!A:BR,2,FALSE),"")</f>
        <v>Gubbins 2007</v>
      </c>
      <c r="C1509" s="232" t="str">
        <f>IF(AND(A1509&lt;&gt;"",ISNUMBER(A1509)),VLOOKUP(A1509,Studies!A:BR,3,FALSE),"")</f>
        <v>https://www.ncbi.nlm.nih.gov/pubmed/18172627</v>
      </c>
      <c r="D1509" s="232" t="str">
        <f>IF(AND(A1509&lt;&gt;"",ISNUMBER(A1509)),VLOOKUP(A1509,Studies!A:BR,4,FALSE),"")</f>
        <v>po 200 mg solution male with water</v>
      </c>
      <c r="E1509" s="206" t="str">
        <f>IF(AND(A1509&lt;&gt;"",ISNUMBER(A1509)),VLOOKUP(A1509,Studies!A:BR,5,FALSE),"")</f>
        <v>Itraconazole</v>
      </c>
      <c r="F1509" s="207" t="str">
        <f>IF(AND(A1509&lt;&gt;"",ISNUMBER(A1509)),VLOOKUP(A1509,Studies!A:BR,6,FALSE),"")</f>
        <v>Plasma</v>
      </c>
      <c r="G1509" s="194">
        <v>8</v>
      </c>
      <c r="H1509" s="194" t="s">
        <v>60</v>
      </c>
      <c r="I1509" s="187">
        <v>195.81497192382812</v>
      </c>
      <c r="J1509" s="187" t="s">
        <v>1026</v>
      </c>
      <c r="K1509" s="187" t="s">
        <v>116</v>
      </c>
      <c r="L1509" s="195"/>
      <c r="M1509" s="195"/>
      <c r="N1509" s="195"/>
      <c r="O1509" s="199"/>
      <c r="P1509" s="188" t="s">
        <v>1123</v>
      </c>
      <c r="Q1509" s="174">
        <f>IF(ISNUMBER(VLOOKUP(A1509,NotghiID!A:A,1,FALSE)),1,0)</f>
        <v>0</v>
      </c>
    </row>
    <row r="1510" spans="1:17" ht="14.25" x14ac:dyDescent="0.2">
      <c r="A1510" s="183">
        <v>504</v>
      </c>
      <c r="B1510" s="232" t="str">
        <f>IF(AND(A1510&lt;&gt;"",ISNUMBER(A1510)),VLOOKUP(A1510,Studies!A:BR,2,FALSE),"")</f>
        <v>Gubbins 2007</v>
      </c>
      <c r="C1510" s="232" t="str">
        <f>IF(AND(A1510&lt;&gt;"",ISNUMBER(A1510)),VLOOKUP(A1510,Studies!A:BR,3,FALSE),"")</f>
        <v>https://www.ncbi.nlm.nih.gov/pubmed/18172627</v>
      </c>
      <c r="D1510" s="232" t="str">
        <f>IF(AND(A1510&lt;&gt;"",ISNUMBER(A1510)),VLOOKUP(A1510,Studies!A:BR,4,FALSE),"")</f>
        <v>po 200 mg solution male with water</v>
      </c>
      <c r="E1510" s="206" t="str">
        <f>IF(AND(A1510&lt;&gt;"",ISNUMBER(A1510)),VLOOKUP(A1510,Studies!A:BR,5,FALSE),"")</f>
        <v>Itraconazole</v>
      </c>
      <c r="F1510" s="207" t="str">
        <f>IF(AND(A1510&lt;&gt;"",ISNUMBER(A1510)),VLOOKUP(A1510,Studies!A:BR,6,FALSE),"")</f>
        <v>Plasma</v>
      </c>
      <c r="G1510" s="194">
        <v>10</v>
      </c>
      <c r="H1510" s="194" t="s">
        <v>60</v>
      </c>
      <c r="I1510" s="187">
        <v>169.603515625</v>
      </c>
      <c r="J1510" s="187" t="s">
        <v>1026</v>
      </c>
      <c r="K1510" s="187" t="s">
        <v>116</v>
      </c>
      <c r="L1510" s="195"/>
      <c r="M1510" s="195"/>
      <c r="N1510" s="195"/>
      <c r="O1510" s="199"/>
      <c r="P1510" s="188" t="s">
        <v>1123</v>
      </c>
      <c r="Q1510" s="174">
        <f>IF(ISNUMBER(VLOOKUP(A1510,NotghiID!A:A,1,FALSE)),1,0)</f>
        <v>0</v>
      </c>
    </row>
    <row r="1511" spans="1:17" ht="14.25" x14ac:dyDescent="0.2">
      <c r="A1511" s="183">
        <v>504</v>
      </c>
      <c r="B1511" s="232" t="str">
        <f>IF(AND(A1511&lt;&gt;"",ISNUMBER(A1511)),VLOOKUP(A1511,Studies!A:BR,2,FALSE),"")</f>
        <v>Gubbins 2007</v>
      </c>
      <c r="C1511" s="232" t="str">
        <f>IF(AND(A1511&lt;&gt;"",ISNUMBER(A1511)),VLOOKUP(A1511,Studies!A:BR,3,FALSE),"")</f>
        <v>https://www.ncbi.nlm.nih.gov/pubmed/18172627</v>
      </c>
      <c r="D1511" s="232" t="str">
        <f>IF(AND(A1511&lt;&gt;"",ISNUMBER(A1511)),VLOOKUP(A1511,Studies!A:BR,4,FALSE),"")</f>
        <v>po 200 mg solution male with water</v>
      </c>
      <c r="E1511" s="206" t="str">
        <f>IF(AND(A1511&lt;&gt;"",ISNUMBER(A1511)),VLOOKUP(A1511,Studies!A:BR,5,FALSE),"")</f>
        <v>Itraconazole</v>
      </c>
      <c r="F1511" s="207" t="str">
        <f>IF(AND(A1511&lt;&gt;"",ISNUMBER(A1511)),VLOOKUP(A1511,Studies!A:BR,6,FALSE),"")</f>
        <v>Plasma</v>
      </c>
      <c r="G1511" s="194">
        <v>12</v>
      </c>
      <c r="H1511" s="194" t="s">
        <v>60</v>
      </c>
      <c r="I1511" s="187">
        <v>148.01762390136719</v>
      </c>
      <c r="J1511" s="187" t="s">
        <v>1026</v>
      </c>
      <c r="K1511" s="187" t="s">
        <v>116</v>
      </c>
      <c r="L1511" s="195"/>
      <c r="M1511" s="195"/>
      <c r="N1511" s="195"/>
      <c r="O1511" s="199"/>
      <c r="P1511" s="188" t="s">
        <v>1123</v>
      </c>
      <c r="Q1511" s="174">
        <f>IF(ISNUMBER(VLOOKUP(A1511,NotghiID!A:A,1,FALSE)),1,0)</f>
        <v>0</v>
      </c>
    </row>
    <row r="1512" spans="1:17" ht="14.25" x14ac:dyDescent="0.2">
      <c r="A1512" s="183">
        <v>504</v>
      </c>
      <c r="B1512" s="232" t="str">
        <f>IF(AND(A1512&lt;&gt;"",ISNUMBER(A1512)),VLOOKUP(A1512,Studies!A:BR,2,FALSE),"")</f>
        <v>Gubbins 2007</v>
      </c>
      <c r="C1512" s="232" t="str">
        <f>IF(AND(A1512&lt;&gt;"",ISNUMBER(A1512)),VLOOKUP(A1512,Studies!A:BR,3,FALSE),"")</f>
        <v>https://www.ncbi.nlm.nih.gov/pubmed/18172627</v>
      </c>
      <c r="D1512" s="232" t="str">
        <f>IF(AND(A1512&lt;&gt;"",ISNUMBER(A1512)),VLOOKUP(A1512,Studies!A:BR,4,FALSE),"")</f>
        <v>po 200 mg solution male with water</v>
      </c>
      <c r="E1512" s="206" t="str">
        <f>IF(AND(A1512&lt;&gt;"",ISNUMBER(A1512)),VLOOKUP(A1512,Studies!A:BR,5,FALSE),"")</f>
        <v>Itraconazole</v>
      </c>
      <c r="F1512" s="207" t="str">
        <f>IF(AND(A1512&lt;&gt;"",ISNUMBER(A1512)),VLOOKUP(A1512,Studies!A:BR,6,FALSE),"")</f>
        <v>Plasma</v>
      </c>
      <c r="G1512" s="194">
        <v>24</v>
      </c>
      <c r="H1512" s="194" t="s">
        <v>60</v>
      </c>
      <c r="I1512" s="187">
        <v>75.5506591796875</v>
      </c>
      <c r="J1512" s="187" t="s">
        <v>1026</v>
      </c>
      <c r="K1512" s="187" t="s">
        <v>116</v>
      </c>
      <c r="L1512" s="195"/>
      <c r="M1512" s="195"/>
      <c r="N1512" s="195"/>
      <c r="O1512" s="199"/>
      <c r="P1512" s="188" t="s">
        <v>1123</v>
      </c>
      <c r="Q1512" s="174">
        <f>IF(ISNUMBER(VLOOKUP(A1512,NotghiID!A:A,1,FALSE)),1,0)</f>
        <v>0</v>
      </c>
    </row>
    <row r="1513" spans="1:17" ht="14.25" x14ac:dyDescent="0.2">
      <c r="A1513" s="183">
        <v>504</v>
      </c>
      <c r="B1513" s="232" t="str">
        <f>IF(AND(A1513&lt;&gt;"",ISNUMBER(A1513)),VLOOKUP(A1513,Studies!A:BR,2,FALSE),"")</f>
        <v>Gubbins 2007</v>
      </c>
      <c r="C1513" s="232" t="str">
        <f>IF(AND(A1513&lt;&gt;"",ISNUMBER(A1513)),VLOOKUP(A1513,Studies!A:BR,3,FALSE),"")</f>
        <v>https://www.ncbi.nlm.nih.gov/pubmed/18172627</v>
      </c>
      <c r="D1513" s="232" t="str">
        <f>IF(AND(A1513&lt;&gt;"",ISNUMBER(A1513)),VLOOKUP(A1513,Studies!A:BR,4,FALSE),"")</f>
        <v>po 200 mg solution male with water</v>
      </c>
      <c r="E1513" s="206" t="str">
        <f>IF(AND(A1513&lt;&gt;"",ISNUMBER(A1513)),VLOOKUP(A1513,Studies!A:BR,5,FALSE),"")</f>
        <v>Itraconazole</v>
      </c>
      <c r="F1513" s="207" t="str">
        <f>IF(AND(A1513&lt;&gt;"",ISNUMBER(A1513)),VLOOKUP(A1513,Studies!A:BR,6,FALSE),"")</f>
        <v>Plasma</v>
      </c>
      <c r="G1513" s="194">
        <v>36</v>
      </c>
      <c r="H1513" s="194" t="s">
        <v>60</v>
      </c>
      <c r="I1513" s="187">
        <v>47.797355651855469</v>
      </c>
      <c r="J1513" s="187" t="s">
        <v>1026</v>
      </c>
      <c r="K1513" s="187" t="s">
        <v>116</v>
      </c>
      <c r="L1513" s="195"/>
      <c r="M1513" s="195"/>
      <c r="N1513" s="195"/>
      <c r="O1513" s="199"/>
      <c r="P1513" s="188" t="s">
        <v>1123</v>
      </c>
      <c r="Q1513" s="174">
        <f>IF(ISNUMBER(VLOOKUP(A1513,NotghiID!A:A,1,FALSE)),1,0)</f>
        <v>0</v>
      </c>
    </row>
    <row r="1514" spans="1:17" ht="14.25" x14ac:dyDescent="0.2">
      <c r="A1514" s="183">
        <v>504</v>
      </c>
      <c r="B1514" s="232" t="str">
        <f>IF(AND(A1514&lt;&gt;"",ISNUMBER(A1514)),VLOOKUP(A1514,Studies!A:BR,2,FALSE),"")</f>
        <v>Gubbins 2007</v>
      </c>
      <c r="C1514" s="232" t="str">
        <f>IF(AND(A1514&lt;&gt;"",ISNUMBER(A1514)),VLOOKUP(A1514,Studies!A:BR,3,FALSE),"")</f>
        <v>https://www.ncbi.nlm.nih.gov/pubmed/18172627</v>
      </c>
      <c r="D1514" s="232" t="str">
        <f>IF(AND(A1514&lt;&gt;"",ISNUMBER(A1514)),VLOOKUP(A1514,Studies!A:BR,4,FALSE),"")</f>
        <v>po 200 mg solution male with water</v>
      </c>
      <c r="E1514" s="206" t="str">
        <f>IF(AND(A1514&lt;&gt;"",ISNUMBER(A1514)),VLOOKUP(A1514,Studies!A:BR,5,FALSE),"")</f>
        <v>Itraconazole</v>
      </c>
      <c r="F1514" s="207" t="str">
        <f>IF(AND(A1514&lt;&gt;"",ISNUMBER(A1514)),VLOOKUP(A1514,Studies!A:BR,6,FALSE),"")</f>
        <v>Plasma</v>
      </c>
      <c r="G1514" s="194">
        <v>48</v>
      </c>
      <c r="H1514" s="194" t="s">
        <v>60</v>
      </c>
      <c r="I1514" s="187">
        <v>37.004405975341797</v>
      </c>
      <c r="J1514" s="187" t="s">
        <v>1026</v>
      </c>
      <c r="K1514" s="187" t="s">
        <v>116</v>
      </c>
      <c r="L1514" s="195"/>
      <c r="M1514" s="195"/>
      <c r="N1514" s="195"/>
      <c r="O1514" s="199"/>
      <c r="P1514" s="188" t="s">
        <v>1123</v>
      </c>
      <c r="Q1514" s="174">
        <f>IF(ISNUMBER(VLOOKUP(A1514,NotghiID!A:A,1,FALSE)),1,0)</f>
        <v>0</v>
      </c>
    </row>
    <row r="1515" spans="1:17" ht="14.25" x14ac:dyDescent="0.2">
      <c r="A1515" s="183">
        <v>504</v>
      </c>
      <c r="B1515" s="232" t="str">
        <f>IF(AND(A1515&lt;&gt;"",ISNUMBER(A1515)),VLOOKUP(A1515,Studies!A:BR,2,FALSE),"")</f>
        <v>Gubbins 2007</v>
      </c>
      <c r="C1515" s="232" t="str">
        <f>IF(AND(A1515&lt;&gt;"",ISNUMBER(A1515)),VLOOKUP(A1515,Studies!A:BR,3,FALSE),"")</f>
        <v>https://www.ncbi.nlm.nih.gov/pubmed/18172627</v>
      </c>
      <c r="D1515" s="232" t="str">
        <f>IF(AND(A1515&lt;&gt;"",ISNUMBER(A1515)),VLOOKUP(A1515,Studies!A:BR,4,FALSE),"")</f>
        <v>po 200 mg solution male with water</v>
      </c>
      <c r="E1515" s="206" t="str">
        <f>IF(AND(A1515&lt;&gt;"",ISNUMBER(A1515)),VLOOKUP(A1515,Studies!A:BR,5,FALSE),"")</f>
        <v>Itraconazole</v>
      </c>
      <c r="F1515" s="207" t="str">
        <f>IF(AND(A1515&lt;&gt;"",ISNUMBER(A1515)),VLOOKUP(A1515,Studies!A:BR,6,FALSE),"")</f>
        <v>Plasma</v>
      </c>
      <c r="G1515" s="194">
        <v>60</v>
      </c>
      <c r="H1515" s="194" t="s">
        <v>60</v>
      </c>
      <c r="I1515" s="187">
        <v>30.837003707885742</v>
      </c>
      <c r="J1515" s="187" t="s">
        <v>1026</v>
      </c>
      <c r="K1515" s="187" t="s">
        <v>116</v>
      </c>
      <c r="L1515" s="195"/>
      <c r="M1515" s="195"/>
      <c r="N1515" s="195"/>
      <c r="O1515" s="199"/>
      <c r="P1515" s="188" t="s">
        <v>1123</v>
      </c>
      <c r="Q1515" s="174">
        <f>IF(ISNUMBER(VLOOKUP(A1515,NotghiID!A:A,1,FALSE)),1,0)</f>
        <v>0</v>
      </c>
    </row>
    <row r="1516" spans="1:17" ht="14.25" x14ac:dyDescent="0.2">
      <c r="A1516" s="183">
        <v>504</v>
      </c>
      <c r="B1516" s="232" t="str">
        <f>IF(AND(A1516&lt;&gt;"",ISNUMBER(A1516)),VLOOKUP(A1516,Studies!A:BR,2,FALSE),"")</f>
        <v>Gubbins 2007</v>
      </c>
      <c r="C1516" s="232" t="str">
        <f>IF(AND(A1516&lt;&gt;"",ISNUMBER(A1516)),VLOOKUP(A1516,Studies!A:BR,3,FALSE),"")</f>
        <v>https://www.ncbi.nlm.nih.gov/pubmed/18172627</v>
      </c>
      <c r="D1516" s="232" t="str">
        <f>IF(AND(A1516&lt;&gt;"",ISNUMBER(A1516)),VLOOKUP(A1516,Studies!A:BR,4,FALSE),"")</f>
        <v>po 200 mg solution male with water</v>
      </c>
      <c r="E1516" s="206" t="str">
        <f>IF(AND(A1516&lt;&gt;"",ISNUMBER(A1516)),VLOOKUP(A1516,Studies!A:BR,5,FALSE),"")</f>
        <v>Itraconazole</v>
      </c>
      <c r="F1516" s="207" t="str">
        <f>IF(AND(A1516&lt;&gt;"",ISNUMBER(A1516)),VLOOKUP(A1516,Studies!A:BR,6,FALSE),"")</f>
        <v>Plasma</v>
      </c>
      <c r="G1516" s="194">
        <v>72</v>
      </c>
      <c r="H1516" s="194" t="s">
        <v>60</v>
      </c>
      <c r="I1516" s="187">
        <v>27.753303527832031</v>
      </c>
      <c r="J1516" s="187" t="s">
        <v>1026</v>
      </c>
      <c r="K1516" s="187" t="s">
        <v>116</v>
      </c>
      <c r="L1516" s="195"/>
      <c r="M1516" s="195"/>
      <c r="N1516" s="195"/>
      <c r="O1516" s="199"/>
      <c r="P1516" s="188" t="s">
        <v>1123</v>
      </c>
      <c r="Q1516" s="174">
        <f>IF(ISNUMBER(VLOOKUP(A1516,NotghiID!A:A,1,FALSE)),1,0)</f>
        <v>0</v>
      </c>
    </row>
    <row r="1517" spans="1:17" ht="14.25" x14ac:dyDescent="0.2">
      <c r="A1517" s="183">
        <v>505</v>
      </c>
      <c r="B1517" s="232" t="str">
        <f>IF(AND(A1517&lt;&gt;"",ISNUMBER(A1517)),VLOOKUP(A1517,Studies!A:BR,2,FALSE),"")</f>
        <v>Gubbins 2007</v>
      </c>
      <c r="C1517" s="232" t="str">
        <f>IF(AND(A1517&lt;&gt;"",ISNUMBER(A1517)),VLOOKUP(A1517,Studies!A:BR,3,FALSE),"")</f>
        <v>https://www.ncbi.nlm.nih.gov/pubmed/18172627</v>
      </c>
      <c r="D1517" s="232" t="str">
        <f>IF(AND(A1517&lt;&gt;"",ISNUMBER(A1517)),VLOOKUP(A1517,Studies!A:BR,4,FALSE),"")</f>
        <v>po 200 mg solution male with water</v>
      </c>
      <c r="E1517" s="206" t="str">
        <f>IF(AND(A1517&lt;&gt;"",ISNUMBER(A1517)),VLOOKUP(A1517,Studies!A:BR,5,FALSE),"")</f>
        <v>Hydroxy-Itraconazole</v>
      </c>
      <c r="F1517" s="207" t="str">
        <f>IF(AND(A1517&lt;&gt;"",ISNUMBER(A1517)),VLOOKUP(A1517,Studies!A:BR,6,FALSE),"")</f>
        <v>Plasma</v>
      </c>
      <c r="G1517" s="194">
        <v>0.5</v>
      </c>
      <c r="H1517" s="194" t="s">
        <v>60</v>
      </c>
      <c r="I1517" s="187">
        <v>332.60870361328125</v>
      </c>
      <c r="J1517" s="187" t="s">
        <v>1026</v>
      </c>
      <c r="K1517" s="187" t="s">
        <v>116</v>
      </c>
      <c r="L1517" s="195"/>
      <c r="M1517" s="195"/>
      <c r="N1517" s="195"/>
      <c r="O1517" s="199"/>
      <c r="P1517" s="188" t="s">
        <v>1123</v>
      </c>
      <c r="Q1517" s="174">
        <f>IF(ISNUMBER(VLOOKUP(A1517,NotghiID!A:A,1,FALSE)),1,0)</f>
        <v>0</v>
      </c>
    </row>
    <row r="1518" spans="1:17" ht="14.25" x14ac:dyDescent="0.2">
      <c r="A1518" s="183">
        <v>505</v>
      </c>
      <c r="B1518" s="232" t="str">
        <f>IF(AND(A1518&lt;&gt;"",ISNUMBER(A1518)),VLOOKUP(A1518,Studies!A:BR,2,FALSE),"")</f>
        <v>Gubbins 2007</v>
      </c>
      <c r="C1518" s="232" t="str">
        <f>IF(AND(A1518&lt;&gt;"",ISNUMBER(A1518)),VLOOKUP(A1518,Studies!A:BR,3,FALSE),"")</f>
        <v>https://www.ncbi.nlm.nih.gov/pubmed/18172627</v>
      </c>
      <c r="D1518" s="232" t="str">
        <f>IF(AND(A1518&lt;&gt;"",ISNUMBER(A1518)),VLOOKUP(A1518,Studies!A:BR,4,FALSE),"")</f>
        <v>po 200 mg solution male with water</v>
      </c>
      <c r="E1518" s="206" t="str">
        <f>IF(AND(A1518&lt;&gt;"",ISNUMBER(A1518)),VLOOKUP(A1518,Studies!A:BR,5,FALSE),"")</f>
        <v>Hydroxy-Itraconazole</v>
      </c>
      <c r="F1518" s="207" t="str">
        <f>IF(AND(A1518&lt;&gt;"",ISNUMBER(A1518)),VLOOKUP(A1518,Studies!A:BR,6,FALSE),"")</f>
        <v>Plasma</v>
      </c>
      <c r="G1518" s="194">
        <v>1</v>
      </c>
      <c r="H1518" s="194" t="s">
        <v>60</v>
      </c>
      <c r="I1518" s="187">
        <v>540</v>
      </c>
      <c r="J1518" s="187" t="s">
        <v>1026</v>
      </c>
      <c r="K1518" s="187" t="s">
        <v>116</v>
      </c>
      <c r="L1518" s="195"/>
      <c r="M1518" s="195"/>
      <c r="N1518" s="195"/>
      <c r="O1518" s="199"/>
      <c r="P1518" s="188" t="s">
        <v>1123</v>
      </c>
      <c r="Q1518" s="174">
        <f>IF(ISNUMBER(VLOOKUP(A1518,NotghiID!A:A,1,FALSE)),1,0)</f>
        <v>0</v>
      </c>
    </row>
    <row r="1519" spans="1:17" ht="14.25" x14ac:dyDescent="0.2">
      <c r="A1519" s="183">
        <v>505</v>
      </c>
      <c r="B1519" s="232" t="str">
        <f>IF(AND(A1519&lt;&gt;"",ISNUMBER(A1519)),VLOOKUP(A1519,Studies!A:BR,2,FALSE),"")</f>
        <v>Gubbins 2007</v>
      </c>
      <c r="C1519" s="232" t="str">
        <f>IF(AND(A1519&lt;&gt;"",ISNUMBER(A1519)),VLOOKUP(A1519,Studies!A:BR,3,FALSE),"")</f>
        <v>https://www.ncbi.nlm.nih.gov/pubmed/18172627</v>
      </c>
      <c r="D1519" s="232" t="str">
        <f>IF(AND(A1519&lt;&gt;"",ISNUMBER(A1519)),VLOOKUP(A1519,Studies!A:BR,4,FALSE),"")</f>
        <v>po 200 mg solution male with water</v>
      </c>
      <c r="E1519" s="206" t="str">
        <f>IF(AND(A1519&lt;&gt;"",ISNUMBER(A1519)),VLOOKUP(A1519,Studies!A:BR,5,FALSE),"")</f>
        <v>Hydroxy-Itraconazole</v>
      </c>
      <c r="F1519" s="207" t="str">
        <f>IF(AND(A1519&lt;&gt;"",ISNUMBER(A1519)),VLOOKUP(A1519,Studies!A:BR,6,FALSE),"")</f>
        <v>Plasma</v>
      </c>
      <c r="G1519" s="194">
        <v>2</v>
      </c>
      <c r="H1519" s="194" t="s">
        <v>60</v>
      </c>
      <c r="I1519" s="187">
        <v>630</v>
      </c>
      <c r="J1519" s="187" t="s">
        <v>1026</v>
      </c>
      <c r="K1519" s="187" t="s">
        <v>116</v>
      </c>
      <c r="L1519" s="195"/>
      <c r="M1519" s="195"/>
      <c r="N1519" s="195"/>
      <c r="O1519" s="199"/>
      <c r="P1519" s="188" t="s">
        <v>1123</v>
      </c>
      <c r="Q1519" s="174">
        <f>IF(ISNUMBER(VLOOKUP(A1519,NotghiID!A:A,1,FALSE)),1,0)</f>
        <v>0</v>
      </c>
    </row>
    <row r="1520" spans="1:17" ht="14.25" x14ac:dyDescent="0.2">
      <c r="A1520" s="183">
        <v>505</v>
      </c>
      <c r="B1520" s="232" t="str">
        <f>IF(AND(A1520&lt;&gt;"",ISNUMBER(A1520)),VLOOKUP(A1520,Studies!A:BR,2,FALSE),"")</f>
        <v>Gubbins 2007</v>
      </c>
      <c r="C1520" s="232" t="str">
        <f>IF(AND(A1520&lt;&gt;"",ISNUMBER(A1520)),VLOOKUP(A1520,Studies!A:BR,3,FALSE),"")</f>
        <v>https://www.ncbi.nlm.nih.gov/pubmed/18172627</v>
      </c>
      <c r="D1520" s="232" t="str">
        <f>IF(AND(A1520&lt;&gt;"",ISNUMBER(A1520)),VLOOKUP(A1520,Studies!A:BR,4,FALSE),"")</f>
        <v>po 200 mg solution male with water</v>
      </c>
      <c r="E1520" s="206" t="str">
        <f>IF(AND(A1520&lt;&gt;"",ISNUMBER(A1520)),VLOOKUP(A1520,Studies!A:BR,5,FALSE),"")</f>
        <v>Hydroxy-Itraconazole</v>
      </c>
      <c r="F1520" s="207" t="str">
        <f>IF(AND(A1520&lt;&gt;"",ISNUMBER(A1520)),VLOOKUP(A1520,Studies!A:BR,6,FALSE),"")</f>
        <v>Plasma</v>
      </c>
      <c r="G1520" s="194">
        <v>3</v>
      </c>
      <c r="H1520" s="194" t="s">
        <v>60</v>
      </c>
      <c r="I1520" s="187">
        <v>675</v>
      </c>
      <c r="J1520" s="187" t="s">
        <v>1026</v>
      </c>
      <c r="K1520" s="187" t="s">
        <v>116</v>
      </c>
      <c r="L1520" s="195"/>
      <c r="M1520" s="195"/>
      <c r="N1520" s="195"/>
      <c r="O1520" s="199"/>
      <c r="P1520" s="188" t="s">
        <v>1123</v>
      </c>
      <c r="Q1520" s="174">
        <f>IF(ISNUMBER(VLOOKUP(A1520,NotghiID!A:A,1,FALSE)),1,0)</f>
        <v>0</v>
      </c>
    </row>
    <row r="1521" spans="1:17" ht="14.25" x14ac:dyDescent="0.2">
      <c r="A1521" s="183">
        <v>505</v>
      </c>
      <c r="B1521" s="232" t="str">
        <f>IF(AND(A1521&lt;&gt;"",ISNUMBER(A1521)),VLOOKUP(A1521,Studies!A:BR,2,FALSE),"")</f>
        <v>Gubbins 2007</v>
      </c>
      <c r="C1521" s="232" t="str">
        <f>IF(AND(A1521&lt;&gt;"",ISNUMBER(A1521)),VLOOKUP(A1521,Studies!A:BR,3,FALSE),"")</f>
        <v>https://www.ncbi.nlm.nih.gov/pubmed/18172627</v>
      </c>
      <c r="D1521" s="232" t="str">
        <f>IF(AND(A1521&lt;&gt;"",ISNUMBER(A1521)),VLOOKUP(A1521,Studies!A:BR,4,FALSE),"")</f>
        <v>po 200 mg solution male with water</v>
      </c>
      <c r="E1521" s="206" t="str">
        <f>IF(AND(A1521&lt;&gt;"",ISNUMBER(A1521)),VLOOKUP(A1521,Studies!A:BR,5,FALSE),"")</f>
        <v>Hydroxy-Itraconazole</v>
      </c>
      <c r="F1521" s="207" t="str">
        <f>IF(AND(A1521&lt;&gt;"",ISNUMBER(A1521)),VLOOKUP(A1521,Studies!A:BR,6,FALSE),"")</f>
        <v>Plasma</v>
      </c>
      <c r="G1521" s="194">
        <v>4</v>
      </c>
      <c r="H1521" s="194" t="s">
        <v>60</v>
      </c>
      <c r="I1521" s="187">
        <v>688.6956787109375</v>
      </c>
      <c r="J1521" s="187" t="s">
        <v>1026</v>
      </c>
      <c r="K1521" s="187" t="s">
        <v>116</v>
      </c>
      <c r="L1521" s="195"/>
      <c r="M1521" s="195"/>
      <c r="N1521" s="195"/>
      <c r="O1521" s="199"/>
      <c r="P1521" s="188" t="s">
        <v>1123</v>
      </c>
      <c r="Q1521" s="174">
        <f>IF(ISNUMBER(VLOOKUP(A1521,NotghiID!A:A,1,FALSE)),1,0)</f>
        <v>0</v>
      </c>
    </row>
    <row r="1522" spans="1:17" ht="14.25" x14ac:dyDescent="0.2">
      <c r="A1522" s="183">
        <v>505</v>
      </c>
      <c r="B1522" s="232" t="str">
        <f>IF(AND(A1522&lt;&gt;"",ISNUMBER(A1522)),VLOOKUP(A1522,Studies!A:BR,2,FALSE),"")</f>
        <v>Gubbins 2007</v>
      </c>
      <c r="C1522" s="232" t="str">
        <f>IF(AND(A1522&lt;&gt;"",ISNUMBER(A1522)),VLOOKUP(A1522,Studies!A:BR,3,FALSE),"")</f>
        <v>https://www.ncbi.nlm.nih.gov/pubmed/18172627</v>
      </c>
      <c r="D1522" s="232" t="str">
        <f>IF(AND(A1522&lt;&gt;"",ISNUMBER(A1522)),VLOOKUP(A1522,Studies!A:BR,4,FALSE),"")</f>
        <v>po 200 mg solution male with water</v>
      </c>
      <c r="E1522" s="206" t="str">
        <f>IF(AND(A1522&lt;&gt;"",ISNUMBER(A1522)),VLOOKUP(A1522,Studies!A:BR,5,FALSE),"")</f>
        <v>Hydroxy-Itraconazole</v>
      </c>
      <c r="F1522" s="207" t="str">
        <f>IF(AND(A1522&lt;&gt;"",ISNUMBER(A1522)),VLOOKUP(A1522,Studies!A:BR,6,FALSE),"")</f>
        <v>Plasma</v>
      </c>
      <c r="G1522" s="194">
        <v>5</v>
      </c>
      <c r="H1522" s="194" t="s">
        <v>60</v>
      </c>
      <c r="I1522" s="187">
        <v>628.04345703125</v>
      </c>
      <c r="J1522" s="187" t="s">
        <v>1026</v>
      </c>
      <c r="K1522" s="187" t="s">
        <v>116</v>
      </c>
      <c r="L1522" s="195"/>
      <c r="M1522" s="195"/>
      <c r="N1522" s="195"/>
      <c r="O1522" s="199"/>
      <c r="P1522" s="188" t="s">
        <v>1123</v>
      </c>
      <c r="Q1522" s="174">
        <f>IF(ISNUMBER(VLOOKUP(A1522,NotghiID!A:A,1,FALSE)),1,0)</f>
        <v>0</v>
      </c>
    </row>
    <row r="1523" spans="1:17" ht="14.25" x14ac:dyDescent="0.2">
      <c r="A1523" s="183">
        <v>505</v>
      </c>
      <c r="B1523" s="232" t="str">
        <f>IF(AND(A1523&lt;&gt;"",ISNUMBER(A1523)),VLOOKUP(A1523,Studies!A:BR,2,FALSE),"")</f>
        <v>Gubbins 2007</v>
      </c>
      <c r="C1523" s="232" t="str">
        <f>IF(AND(A1523&lt;&gt;"",ISNUMBER(A1523)),VLOOKUP(A1523,Studies!A:BR,3,FALSE),"")</f>
        <v>https://www.ncbi.nlm.nih.gov/pubmed/18172627</v>
      </c>
      <c r="D1523" s="232" t="str">
        <f>IF(AND(A1523&lt;&gt;"",ISNUMBER(A1523)),VLOOKUP(A1523,Studies!A:BR,4,FALSE),"")</f>
        <v>po 200 mg solution male with water</v>
      </c>
      <c r="E1523" s="206" t="str">
        <f>IF(AND(A1523&lt;&gt;"",ISNUMBER(A1523)),VLOOKUP(A1523,Studies!A:BR,5,FALSE),"")</f>
        <v>Hydroxy-Itraconazole</v>
      </c>
      <c r="F1523" s="207" t="str">
        <f>IF(AND(A1523&lt;&gt;"",ISNUMBER(A1523)),VLOOKUP(A1523,Studies!A:BR,6,FALSE),"")</f>
        <v>Plasma</v>
      </c>
      <c r="G1523" s="194">
        <v>6</v>
      </c>
      <c r="H1523" s="194" t="s">
        <v>60</v>
      </c>
      <c r="I1523" s="187">
        <v>592.82611083984375</v>
      </c>
      <c r="J1523" s="187" t="s">
        <v>1026</v>
      </c>
      <c r="K1523" s="187" t="s">
        <v>116</v>
      </c>
      <c r="L1523" s="195"/>
      <c r="M1523" s="195"/>
      <c r="N1523" s="195"/>
      <c r="O1523" s="199"/>
      <c r="P1523" s="188" t="s">
        <v>1123</v>
      </c>
      <c r="Q1523" s="174">
        <f>IF(ISNUMBER(VLOOKUP(A1523,NotghiID!A:A,1,FALSE)),1,0)</f>
        <v>0</v>
      </c>
    </row>
    <row r="1524" spans="1:17" ht="14.25" x14ac:dyDescent="0.2">
      <c r="A1524" s="183">
        <v>505</v>
      </c>
      <c r="B1524" s="232" t="str">
        <f>IF(AND(A1524&lt;&gt;"",ISNUMBER(A1524)),VLOOKUP(A1524,Studies!A:BR,2,FALSE),"")</f>
        <v>Gubbins 2007</v>
      </c>
      <c r="C1524" s="232" t="str">
        <f>IF(AND(A1524&lt;&gt;"",ISNUMBER(A1524)),VLOOKUP(A1524,Studies!A:BR,3,FALSE),"")</f>
        <v>https://www.ncbi.nlm.nih.gov/pubmed/18172627</v>
      </c>
      <c r="D1524" s="232" t="str">
        <f>IF(AND(A1524&lt;&gt;"",ISNUMBER(A1524)),VLOOKUP(A1524,Studies!A:BR,4,FALSE),"")</f>
        <v>po 200 mg solution male with water</v>
      </c>
      <c r="E1524" s="206" t="str">
        <f>IF(AND(A1524&lt;&gt;"",ISNUMBER(A1524)),VLOOKUP(A1524,Studies!A:BR,5,FALSE),"")</f>
        <v>Hydroxy-Itraconazole</v>
      </c>
      <c r="F1524" s="207" t="str">
        <f>IF(AND(A1524&lt;&gt;"",ISNUMBER(A1524)),VLOOKUP(A1524,Studies!A:BR,6,FALSE),"")</f>
        <v>Plasma</v>
      </c>
      <c r="G1524" s="194">
        <v>8</v>
      </c>
      <c r="H1524" s="194" t="s">
        <v>60</v>
      </c>
      <c r="I1524" s="187">
        <v>538.04345703125</v>
      </c>
      <c r="J1524" s="187" t="s">
        <v>1026</v>
      </c>
      <c r="K1524" s="187" t="s">
        <v>116</v>
      </c>
      <c r="L1524" s="195"/>
      <c r="M1524" s="195"/>
      <c r="N1524" s="195"/>
      <c r="O1524" s="199"/>
      <c r="P1524" s="188" t="s">
        <v>1123</v>
      </c>
      <c r="Q1524" s="174">
        <f>IF(ISNUMBER(VLOOKUP(A1524,NotghiID!A:A,1,FALSE)),1,0)</f>
        <v>0</v>
      </c>
    </row>
    <row r="1525" spans="1:17" ht="14.25" x14ac:dyDescent="0.2">
      <c r="A1525" s="183">
        <v>505</v>
      </c>
      <c r="B1525" s="232" t="str">
        <f>IF(AND(A1525&lt;&gt;"",ISNUMBER(A1525)),VLOOKUP(A1525,Studies!A:BR,2,FALSE),"")</f>
        <v>Gubbins 2007</v>
      </c>
      <c r="C1525" s="232" t="str">
        <f>IF(AND(A1525&lt;&gt;"",ISNUMBER(A1525)),VLOOKUP(A1525,Studies!A:BR,3,FALSE),"")</f>
        <v>https://www.ncbi.nlm.nih.gov/pubmed/18172627</v>
      </c>
      <c r="D1525" s="232" t="str">
        <f>IF(AND(A1525&lt;&gt;"",ISNUMBER(A1525)),VLOOKUP(A1525,Studies!A:BR,4,FALSE),"")</f>
        <v>po 200 mg solution male with water</v>
      </c>
      <c r="E1525" s="206" t="str">
        <f>IF(AND(A1525&lt;&gt;"",ISNUMBER(A1525)),VLOOKUP(A1525,Studies!A:BR,5,FALSE),"")</f>
        <v>Hydroxy-Itraconazole</v>
      </c>
      <c r="F1525" s="207" t="str">
        <f>IF(AND(A1525&lt;&gt;"",ISNUMBER(A1525)),VLOOKUP(A1525,Studies!A:BR,6,FALSE),"")</f>
        <v>Plasma</v>
      </c>
      <c r="G1525" s="194">
        <v>10</v>
      </c>
      <c r="H1525" s="194" t="s">
        <v>60</v>
      </c>
      <c r="I1525" s="187">
        <v>502.82608032226562</v>
      </c>
      <c r="J1525" s="187" t="s">
        <v>1026</v>
      </c>
      <c r="K1525" s="187" t="s">
        <v>116</v>
      </c>
      <c r="L1525" s="195"/>
      <c r="M1525" s="195"/>
      <c r="N1525" s="195"/>
      <c r="O1525" s="199"/>
      <c r="P1525" s="188" t="s">
        <v>1123</v>
      </c>
      <c r="Q1525" s="174">
        <f>IF(ISNUMBER(VLOOKUP(A1525,NotghiID!A:A,1,FALSE)),1,0)</f>
        <v>0</v>
      </c>
    </row>
    <row r="1526" spans="1:17" ht="14.25" x14ac:dyDescent="0.2">
      <c r="A1526" s="183">
        <v>505</v>
      </c>
      <c r="B1526" s="232" t="str">
        <f>IF(AND(A1526&lt;&gt;"",ISNUMBER(A1526)),VLOOKUP(A1526,Studies!A:BR,2,FALSE),"")</f>
        <v>Gubbins 2007</v>
      </c>
      <c r="C1526" s="232" t="str">
        <f>IF(AND(A1526&lt;&gt;"",ISNUMBER(A1526)),VLOOKUP(A1526,Studies!A:BR,3,FALSE),"")</f>
        <v>https://www.ncbi.nlm.nih.gov/pubmed/18172627</v>
      </c>
      <c r="D1526" s="232" t="str">
        <f>IF(AND(A1526&lt;&gt;"",ISNUMBER(A1526)),VLOOKUP(A1526,Studies!A:BR,4,FALSE),"")</f>
        <v>po 200 mg solution male with water</v>
      </c>
      <c r="E1526" s="206" t="str">
        <f>IF(AND(A1526&lt;&gt;"",ISNUMBER(A1526)),VLOOKUP(A1526,Studies!A:BR,5,FALSE),"")</f>
        <v>Hydroxy-Itraconazole</v>
      </c>
      <c r="F1526" s="207" t="str">
        <f>IF(AND(A1526&lt;&gt;"",ISNUMBER(A1526)),VLOOKUP(A1526,Studies!A:BR,6,FALSE),"")</f>
        <v>Plasma</v>
      </c>
      <c r="G1526" s="194">
        <v>12</v>
      </c>
      <c r="H1526" s="194" t="s">
        <v>60</v>
      </c>
      <c r="I1526" s="187">
        <v>461.7391357421875</v>
      </c>
      <c r="J1526" s="187" t="s">
        <v>1026</v>
      </c>
      <c r="K1526" s="187" t="s">
        <v>116</v>
      </c>
      <c r="L1526" s="195"/>
      <c r="M1526" s="195"/>
      <c r="N1526" s="195"/>
      <c r="O1526" s="199"/>
      <c r="P1526" s="188" t="s">
        <v>1123</v>
      </c>
      <c r="Q1526" s="174">
        <f>IF(ISNUMBER(VLOOKUP(A1526,NotghiID!A:A,1,FALSE)),1,0)</f>
        <v>0</v>
      </c>
    </row>
    <row r="1527" spans="1:17" ht="14.25" x14ac:dyDescent="0.2">
      <c r="A1527" s="183">
        <v>505</v>
      </c>
      <c r="B1527" s="232" t="str">
        <f>IF(AND(A1527&lt;&gt;"",ISNUMBER(A1527)),VLOOKUP(A1527,Studies!A:BR,2,FALSE),"")</f>
        <v>Gubbins 2007</v>
      </c>
      <c r="C1527" s="232" t="str">
        <f>IF(AND(A1527&lt;&gt;"",ISNUMBER(A1527)),VLOOKUP(A1527,Studies!A:BR,3,FALSE),"")</f>
        <v>https://www.ncbi.nlm.nih.gov/pubmed/18172627</v>
      </c>
      <c r="D1527" s="232" t="str">
        <f>IF(AND(A1527&lt;&gt;"",ISNUMBER(A1527)),VLOOKUP(A1527,Studies!A:BR,4,FALSE),"")</f>
        <v>po 200 mg solution male with water</v>
      </c>
      <c r="E1527" s="206" t="str">
        <f>IF(AND(A1527&lt;&gt;"",ISNUMBER(A1527)),VLOOKUP(A1527,Studies!A:BR,5,FALSE),"")</f>
        <v>Hydroxy-Itraconazole</v>
      </c>
      <c r="F1527" s="207" t="str">
        <f>IF(AND(A1527&lt;&gt;"",ISNUMBER(A1527)),VLOOKUP(A1527,Studies!A:BR,6,FALSE),"")</f>
        <v>Plasma</v>
      </c>
      <c r="G1527" s="194">
        <v>24</v>
      </c>
      <c r="H1527" s="194" t="s">
        <v>60</v>
      </c>
      <c r="I1527" s="187">
        <v>279.78262329101562</v>
      </c>
      <c r="J1527" s="187" t="s">
        <v>1026</v>
      </c>
      <c r="K1527" s="187" t="s">
        <v>116</v>
      </c>
      <c r="L1527" s="195"/>
      <c r="M1527" s="195"/>
      <c r="N1527" s="195"/>
      <c r="O1527" s="199"/>
      <c r="P1527" s="188" t="s">
        <v>1123</v>
      </c>
      <c r="Q1527" s="174">
        <f>IF(ISNUMBER(VLOOKUP(A1527,NotghiID!A:A,1,FALSE)),1,0)</f>
        <v>0</v>
      </c>
    </row>
    <row r="1528" spans="1:17" ht="14.25" x14ac:dyDescent="0.2">
      <c r="A1528" s="183">
        <v>505</v>
      </c>
      <c r="B1528" s="232" t="str">
        <f>IF(AND(A1528&lt;&gt;"",ISNUMBER(A1528)),VLOOKUP(A1528,Studies!A:BR,2,FALSE),"")</f>
        <v>Gubbins 2007</v>
      </c>
      <c r="C1528" s="232" t="str">
        <f>IF(AND(A1528&lt;&gt;"",ISNUMBER(A1528)),VLOOKUP(A1528,Studies!A:BR,3,FALSE),"")</f>
        <v>https://www.ncbi.nlm.nih.gov/pubmed/18172627</v>
      </c>
      <c r="D1528" s="232" t="str">
        <f>IF(AND(A1528&lt;&gt;"",ISNUMBER(A1528)),VLOOKUP(A1528,Studies!A:BR,4,FALSE),"")</f>
        <v>po 200 mg solution male with water</v>
      </c>
      <c r="E1528" s="206" t="str">
        <f>IF(AND(A1528&lt;&gt;"",ISNUMBER(A1528)),VLOOKUP(A1528,Studies!A:BR,5,FALSE),"")</f>
        <v>Hydroxy-Itraconazole</v>
      </c>
      <c r="F1528" s="207" t="str">
        <f>IF(AND(A1528&lt;&gt;"",ISNUMBER(A1528)),VLOOKUP(A1528,Studies!A:BR,6,FALSE),"")</f>
        <v>Plasma</v>
      </c>
      <c r="G1528" s="194">
        <v>36</v>
      </c>
      <c r="H1528" s="194" t="s">
        <v>60</v>
      </c>
      <c r="I1528" s="187">
        <v>150.65217590332031</v>
      </c>
      <c r="J1528" s="187" t="s">
        <v>1026</v>
      </c>
      <c r="K1528" s="187" t="s">
        <v>116</v>
      </c>
      <c r="L1528" s="195"/>
      <c r="M1528" s="195"/>
      <c r="N1528" s="195"/>
      <c r="O1528" s="199"/>
      <c r="P1528" s="188" t="s">
        <v>1123</v>
      </c>
      <c r="Q1528" s="174">
        <f>IF(ISNUMBER(VLOOKUP(A1528,NotghiID!A:A,1,FALSE)),1,0)</f>
        <v>0</v>
      </c>
    </row>
    <row r="1529" spans="1:17" ht="14.25" x14ac:dyDescent="0.2">
      <c r="A1529" s="183">
        <v>505</v>
      </c>
      <c r="B1529" s="232" t="str">
        <f>IF(AND(A1529&lt;&gt;"",ISNUMBER(A1529)),VLOOKUP(A1529,Studies!A:BR,2,FALSE),"")</f>
        <v>Gubbins 2007</v>
      </c>
      <c r="C1529" s="232" t="str">
        <f>IF(AND(A1529&lt;&gt;"",ISNUMBER(A1529)),VLOOKUP(A1529,Studies!A:BR,3,FALSE),"")</f>
        <v>https://www.ncbi.nlm.nih.gov/pubmed/18172627</v>
      </c>
      <c r="D1529" s="232" t="str">
        <f>IF(AND(A1529&lt;&gt;"",ISNUMBER(A1529)),VLOOKUP(A1529,Studies!A:BR,4,FALSE),"")</f>
        <v>po 200 mg solution male with water</v>
      </c>
      <c r="E1529" s="206" t="str">
        <f>IF(AND(A1529&lt;&gt;"",ISNUMBER(A1529)),VLOOKUP(A1529,Studies!A:BR,5,FALSE),"")</f>
        <v>Hydroxy-Itraconazole</v>
      </c>
      <c r="F1529" s="207" t="str">
        <f>IF(AND(A1529&lt;&gt;"",ISNUMBER(A1529)),VLOOKUP(A1529,Studies!A:BR,6,FALSE),"")</f>
        <v>Plasma</v>
      </c>
      <c r="G1529" s="194">
        <v>48</v>
      </c>
      <c r="H1529" s="194" t="s">
        <v>60</v>
      </c>
      <c r="I1529" s="187">
        <v>86.086959838867187</v>
      </c>
      <c r="J1529" s="187" t="s">
        <v>1026</v>
      </c>
      <c r="K1529" s="187" t="s">
        <v>116</v>
      </c>
      <c r="L1529" s="195"/>
      <c r="M1529" s="195"/>
      <c r="N1529" s="195"/>
      <c r="O1529" s="199"/>
      <c r="P1529" s="188" t="s">
        <v>1123</v>
      </c>
      <c r="Q1529" s="174">
        <f>IF(ISNUMBER(VLOOKUP(A1529,NotghiID!A:A,1,FALSE)),1,0)</f>
        <v>0</v>
      </c>
    </row>
    <row r="1530" spans="1:17" ht="14.25" x14ac:dyDescent="0.2">
      <c r="A1530" s="183">
        <v>505</v>
      </c>
      <c r="B1530" s="232" t="str">
        <f>IF(AND(A1530&lt;&gt;"",ISNUMBER(A1530)),VLOOKUP(A1530,Studies!A:BR,2,FALSE),"")</f>
        <v>Gubbins 2007</v>
      </c>
      <c r="C1530" s="232" t="str">
        <f>IF(AND(A1530&lt;&gt;"",ISNUMBER(A1530)),VLOOKUP(A1530,Studies!A:BR,3,FALSE),"")</f>
        <v>https://www.ncbi.nlm.nih.gov/pubmed/18172627</v>
      </c>
      <c r="D1530" s="232" t="str">
        <f>IF(AND(A1530&lt;&gt;"",ISNUMBER(A1530)),VLOOKUP(A1530,Studies!A:BR,4,FALSE),"")</f>
        <v>po 200 mg solution male with water</v>
      </c>
      <c r="E1530" s="206" t="str">
        <f>IF(AND(A1530&lt;&gt;"",ISNUMBER(A1530)),VLOOKUP(A1530,Studies!A:BR,5,FALSE),"")</f>
        <v>Hydroxy-Itraconazole</v>
      </c>
      <c r="F1530" s="207" t="str">
        <f>IF(AND(A1530&lt;&gt;"",ISNUMBER(A1530)),VLOOKUP(A1530,Studies!A:BR,6,FALSE),"")</f>
        <v>Plasma</v>
      </c>
      <c r="G1530" s="194">
        <v>60</v>
      </c>
      <c r="H1530" s="194" t="s">
        <v>60</v>
      </c>
      <c r="I1530" s="187">
        <v>50.869564056396484</v>
      </c>
      <c r="J1530" s="187" t="s">
        <v>1026</v>
      </c>
      <c r="K1530" s="187" t="s">
        <v>116</v>
      </c>
      <c r="L1530" s="195"/>
      <c r="M1530" s="195"/>
      <c r="N1530" s="195"/>
      <c r="O1530" s="199"/>
      <c r="P1530" s="188" t="s">
        <v>1123</v>
      </c>
      <c r="Q1530" s="174">
        <f>IF(ISNUMBER(VLOOKUP(A1530,NotghiID!A:A,1,FALSE)),1,0)</f>
        <v>0</v>
      </c>
    </row>
    <row r="1531" spans="1:17" ht="14.25" x14ac:dyDescent="0.2">
      <c r="A1531" s="183">
        <v>505</v>
      </c>
      <c r="B1531" s="232" t="str">
        <f>IF(AND(A1531&lt;&gt;"",ISNUMBER(A1531)),VLOOKUP(A1531,Studies!A:BR,2,FALSE),"")</f>
        <v>Gubbins 2007</v>
      </c>
      <c r="C1531" s="232" t="str">
        <f>IF(AND(A1531&lt;&gt;"",ISNUMBER(A1531)),VLOOKUP(A1531,Studies!A:BR,3,FALSE),"")</f>
        <v>https://www.ncbi.nlm.nih.gov/pubmed/18172627</v>
      </c>
      <c r="D1531" s="232" t="str">
        <f>IF(AND(A1531&lt;&gt;"",ISNUMBER(A1531)),VLOOKUP(A1531,Studies!A:BR,4,FALSE),"")</f>
        <v>po 200 mg solution male with water</v>
      </c>
      <c r="E1531" s="206" t="str">
        <f>IF(AND(A1531&lt;&gt;"",ISNUMBER(A1531)),VLOOKUP(A1531,Studies!A:BR,5,FALSE),"")</f>
        <v>Hydroxy-Itraconazole</v>
      </c>
      <c r="F1531" s="207" t="str">
        <f>IF(AND(A1531&lt;&gt;"",ISNUMBER(A1531)),VLOOKUP(A1531,Studies!A:BR,6,FALSE),"")</f>
        <v>Plasma</v>
      </c>
      <c r="G1531" s="194">
        <v>72</v>
      </c>
      <c r="H1531" s="194" t="s">
        <v>60</v>
      </c>
      <c r="I1531" s="187">
        <v>39.130435943603516</v>
      </c>
      <c r="J1531" s="187" t="s">
        <v>1026</v>
      </c>
      <c r="K1531" s="187" t="s">
        <v>116</v>
      </c>
      <c r="L1531" s="195"/>
      <c r="M1531" s="195"/>
      <c r="N1531" s="195"/>
      <c r="O1531" s="199"/>
      <c r="P1531" s="188" t="s">
        <v>1123</v>
      </c>
      <c r="Q1531" s="174">
        <f>IF(ISNUMBER(VLOOKUP(A1531,NotghiID!A:A,1,FALSE)),1,0)</f>
        <v>0</v>
      </c>
    </row>
    <row r="1532" spans="1:17" ht="14.25" x14ac:dyDescent="0.2">
      <c r="A1532" s="91">
        <v>510</v>
      </c>
      <c r="B1532" s="232" t="str">
        <f>IF(AND(A1532&lt;&gt;"",ISNUMBER(A1532)),VLOOKUP(A1532,Studies!A:BR,2,FALSE),"")</f>
        <v>Uno 2006</v>
      </c>
      <c r="C1532" s="232" t="str">
        <f>IF(AND(A1532&lt;&gt;"",ISNUMBER(A1532)),VLOOKUP(A1532,Studies!A:BR,3,FALSE),"")</f>
        <v>https://www.ncbi.nlm.nih.gov/pubmed/16885720</v>
      </c>
      <c r="D1532" s="232" t="str">
        <f>IF(AND(A1532&lt;&gt;"",ISNUMBER(A1532)),VLOOKUP(A1532,Studies!A:BR,4,FALSE),"")</f>
        <v>day 1 (Japanese)</v>
      </c>
      <c r="E1532" s="206" t="str">
        <f>IF(AND(A1532&lt;&gt;"",ISNUMBER(A1532)),VLOOKUP(A1532,Studies!A:BR,5,FALSE),"")</f>
        <v>Itraconazole</v>
      </c>
      <c r="F1532" s="207" t="str">
        <f>IF(AND(A1532&lt;&gt;"",ISNUMBER(A1532)),VLOOKUP(A1532,Studies!A:BR,6,FALSE),"")</f>
        <v>Plasma</v>
      </c>
      <c r="G1532" s="194">
        <v>0.5</v>
      </c>
      <c r="H1532" s="194" t="s">
        <v>60</v>
      </c>
      <c r="I1532" s="187">
        <v>1.2820513248443604</v>
      </c>
      <c r="J1532" s="187" t="s">
        <v>1026</v>
      </c>
      <c r="K1532" s="187" t="s">
        <v>116</v>
      </c>
      <c r="L1532" s="195"/>
      <c r="M1532" s="195"/>
      <c r="N1532" s="195"/>
      <c r="O1532" s="199"/>
      <c r="P1532" s="188" t="s">
        <v>1122</v>
      </c>
      <c r="Q1532" s="174">
        <f>IF(ISNUMBER(VLOOKUP(A1532,NotghiID!A:A,1,FALSE)),1,0)</f>
        <v>0</v>
      </c>
    </row>
    <row r="1533" spans="1:17" ht="14.25" x14ac:dyDescent="0.2">
      <c r="A1533" s="91">
        <v>510</v>
      </c>
      <c r="B1533" s="232" t="str">
        <f>IF(AND(A1533&lt;&gt;"",ISNUMBER(A1533)),VLOOKUP(A1533,Studies!A:BR,2,FALSE),"")</f>
        <v>Uno 2006</v>
      </c>
      <c r="C1533" s="232" t="str">
        <f>IF(AND(A1533&lt;&gt;"",ISNUMBER(A1533)),VLOOKUP(A1533,Studies!A:BR,3,FALSE),"")</f>
        <v>https://www.ncbi.nlm.nih.gov/pubmed/16885720</v>
      </c>
      <c r="D1533" s="232" t="str">
        <f>IF(AND(A1533&lt;&gt;"",ISNUMBER(A1533)),VLOOKUP(A1533,Studies!A:BR,4,FALSE),"")</f>
        <v>day 1 (Japanese)</v>
      </c>
      <c r="E1533" s="206" t="str">
        <f>IF(AND(A1533&lt;&gt;"",ISNUMBER(A1533)),VLOOKUP(A1533,Studies!A:BR,5,FALSE),"")</f>
        <v>Itraconazole</v>
      </c>
      <c r="F1533" s="207" t="str">
        <f>IF(AND(A1533&lt;&gt;"",ISNUMBER(A1533)),VLOOKUP(A1533,Studies!A:BR,6,FALSE),"")</f>
        <v>Plasma</v>
      </c>
      <c r="G1533" s="194">
        <v>1</v>
      </c>
      <c r="H1533" s="194" t="s">
        <v>60</v>
      </c>
      <c r="I1533" s="187">
        <v>12.820512771606445</v>
      </c>
      <c r="J1533" s="187" t="s">
        <v>1026</v>
      </c>
      <c r="K1533" s="187" t="s">
        <v>116</v>
      </c>
      <c r="L1533" s="195"/>
      <c r="M1533" s="195"/>
      <c r="N1533" s="195"/>
      <c r="O1533" s="199"/>
      <c r="P1533" s="188" t="s">
        <v>1122</v>
      </c>
      <c r="Q1533" s="174">
        <f>IF(ISNUMBER(VLOOKUP(A1533,NotghiID!A:A,1,FALSE)),1,0)</f>
        <v>0</v>
      </c>
    </row>
    <row r="1534" spans="1:17" ht="14.25" x14ac:dyDescent="0.2">
      <c r="A1534" s="91">
        <v>510</v>
      </c>
      <c r="B1534" s="232" t="str">
        <f>IF(AND(A1534&lt;&gt;"",ISNUMBER(A1534)),VLOOKUP(A1534,Studies!A:BR,2,FALSE),"")</f>
        <v>Uno 2006</v>
      </c>
      <c r="C1534" s="232" t="str">
        <f>IF(AND(A1534&lt;&gt;"",ISNUMBER(A1534)),VLOOKUP(A1534,Studies!A:BR,3,FALSE),"")</f>
        <v>https://www.ncbi.nlm.nih.gov/pubmed/16885720</v>
      </c>
      <c r="D1534" s="232" t="str">
        <f>IF(AND(A1534&lt;&gt;"",ISNUMBER(A1534)),VLOOKUP(A1534,Studies!A:BR,4,FALSE),"")</f>
        <v>day 1 (Japanese)</v>
      </c>
      <c r="E1534" s="206" t="str">
        <f>IF(AND(A1534&lt;&gt;"",ISNUMBER(A1534)),VLOOKUP(A1534,Studies!A:BR,5,FALSE),"")</f>
        <v>Itraconazole</v>
      </c>
      <c r="F1534" s="207" t="str">
        <f>IF(AND(A1534&lt;&gt;"",ISNUMBER(A1534)),VLOOKUP(A1534,Studies!A:BR,6,FALSE),"")</f>
        <v>Plasma</v>
      </c>
      <c r="G1534" s="194">
        <v>1.5</v>
      </c>
      <c r="H1534" s="194" t="s">
        <v>60</v>
      </c>
      <c r="I1534" s="187">
        <v>39.74359130859375</v>
      </c>
      <c r="J1534" s="187" t="s">
        <v>1026</v>
      </c>
      <c r="K1534" s="187" t="s">
        <v>116</v>
      </c>
      <c r="L1534" s="195"/>
      <c r="M1534" s="195"/>
      <c r="N1534" s="195"/>
      <c r="O1534" s="199"/>
      <c r="P1534" s="188" t="s">
        <v>1122</v>
      </c>
      <c r="Q1534" s="174">
        <f>IF(ISNUMBER(VLOOKUP(A1534,NotghiID!A:A,1,FALSE)),1,0)</f>
        <v>0</v>
      </c>
    </row>
    <row r="1535" spans="1:17" ht="14.25" x14ac:dyDescent="0.2">
      <c r="A1535" s="91">
        <v>510</v>
      </c>
      <c r="B1535" s="232" t="str">
        <f>IF(AND(A1535&lt;&gt;"",ISNUMBER(A1535)),VLOOKUP(A1535,Studies!A:BR,2,FALSE),"")</f>
        <v>Uno 2006</v>
      </c>
      <c r="C1535" s="232" t="str">
        <f>IF(AND(A1535&lt;&gt;"",ISNUMBER(A1535)),VLOOKUP(A1535,Studies!A:BR,3,FALSE),"")</f>
        <v>https://www.ncbi.nlm.nih.gov/pubmed/16885720</v>
      </c>
      <c r="D1535" s="232" t="str">
        <f>IF(AND(A1535&lt;&gt;"",ISNUMBER(A1535)),VLOOKUP(A1535,Studies!A:BR,4,FALSE),"")</f>
        <v>day 1 (Japanese)</v>
      </c>
      <c r="E1535" s="206" t="str">
        <f>IF(AND(A1535&lt;&gt;"",ISNUMBER(A1535)),VLOOKUP(A1535,Studies!A:BR,5,FALSE),"")</f>
        <v>Itraconazole</v>
      </c>
      <c r="F1535" s="207" t="str">
        <f>IF(AND(A1535&lt;&gt;"",ISNUMBER(A1535)),VLOOKUP(A1535,Studies!A:BR,6,FALSE),"")</f>
        <v>Plasma</v>
      </c>
      <c r="G1535" s="194">
        <v>2</v>
      </c>
      <c r="H1535" s="194" t="s">
        <v>60</v>
      </c>
      <c r="I1535" s="187">
        <v>60.256412506103516</v>
      </c>
      <c r="J1535" s="187" t="s">
        <v>1026</v>
      </c>
      <c r="K1535" s="187" t="s">
        <v>116</v>
      </c>
      <c r="L1535" s="195"/>
      <c r="M1535" s="195"/>
      <c r="N1535" s="195"/>
      <c r="O1535" s="199"/>
      <c r="P1535" s="188" t="s">
        <v>1122</v>
      </c>
      <c r="Q1535" s="174">
        <f>IF(ISNUMBER(VLOOKUP(A1535,NotghiID!A:A,1,FALSE)),1,0)</f>
        <v>0</v>
      </c>
    </row>
    <row r="1536" spans="1:17" ht="14.25" x14ac:dyDescent="0.2">
      <c r="A1536" s="91">
        <v>510</v>
      </c>
      <c r="B1536" s="232" t="str">
        <f>IF(AND(A1536&lt;&gt;"",ISNUMBER(A1536)),VLOOKUP(A1536,Studies!A:BR,2,FALSE),"")</f>
        <v>Uno 2006</v>
      </c>
      <c r="C1536" s="232" t="str">
        <f>IF(AND(A1536&lt;&gt;"",ISNUMBER(A1536)),VLOOKUP(A1536,Studies!A:BR,3,FALSE),"")</f>
        <v>https://www.ncbi.nlm.nih.gov/pubmed/16885720</v>
      </c>
      <c r="D1536" s="232" t="str">
        <f>IF(AND(A1536&lt;&gt;"",ISNUMBER(A1536)),VLOOKUP(A1536,Studies!A:BR,4,FALSE),"")</f>
        <v>day 1 (Japanese)</v>
      </c>
      <c r="E1536" s="206" t="str">
        <f>IF(AND(A1536&lt;&gt;"",ISNUMBER(A1536)),VLOOKUP(A1536,Studies!A:BR,5,FALSE),"")</f>
        <v>Itraconazole</v>
      </c>
      <c r="F1536" s="207" t="str">
        <f>IF(AND(A1536&lt;&gt;"",ISNUMBER(A1536)),VLOOKUP(A1536,Studies!A:BR,6,FALSE),"")</f>
        <v>Plasma</v>
      </c>
      <c r="G1536" s="194">
        <v>3</v>
      </c>
      <c r="H1536" s="194" t="s">
        <v>60</v>
      </c>
      <c r="I1536" s="187">
        <v>92.307693481445313</v>
      </c>
      <c r="J1536" s="187" t="s">
        <v>1026</v>
      </c>
      <c r="K1536" s="187" t="s">
        <v>116</v>
      </c>
      <c r="L1536" s="195"/>
      <c r="M1536" s="195"/>
      <c r="N1536" s="195"/>
      <c r="O1536" s="199"/>
      <c r="P1536" s="188" t="s">
        <v>1122</v>
      </c>
      <c r="Q1536" s="174">
        <f>IF(ISNUMBER(VLOOKUP(A1536,NotghiID!A:A,1,FALSE)),1,0)</f>
        <v>0</v>
      </c>
    </row>
    <row r="1537" spans="1:17" ht="14.25" x14ac:dyDescent="0.2">
      <c r="A1537" s="91">
        <v>510</v>
      </c>
      <c r="B1537" s="232" t="str">
        <f>IF(AND(A1537&lt;&gt;"",ISNUMBER(A1537)),VLOOKUP(A1537,Studies!A:BR,2,FALSE),"")</f>
        <v>Uno 2006</v>
      </c>
      <c r="C1537" s="232" t="str">
        <f>IF(AND(A1537&lt;&gt;"",ISNUMBER(A1537)),VLOOKUP(A1537,Studies!A:BR,3,FALSE),"")</f>
        <v>https://www.ncbi.nlm.nih.gov/pubmed/16885720</v>
      </c>
      <c r="D1537" s="232" t="str">
        <f>IF(AND(A1537&lt;&gt;"",ISNUMBER(A1537)),VLOOKUP(A1537,Studies!A:BR,4,FALSE),"")</f>
        <v>day 1 (Japanese)</v>
      </c>
      <c r="E1537" s="206" t="str">
        <f>IF(AND(A1537&lt;&gt;"",ISNUMBER(A1537)),VLOOKUP(A1537,Studies!A:BR,5,FALSE),"")</f>
        <v>Itraconazole</v>
      </c>
      <c r="F1537" s="207" t="str">
        <f>IF(AND(A1537&lt;&gt;"",ISNUMBER(A1537)),VLOOKUP(A1537,Studies!A:BR,6,FALSE),"")</f>
        <v>Plasma</v>
      </c>
      <c r="G1537" s="194">
        <v>4</v>
      </c>
      <c r="H1537" s="194" t="s">
        <v>60</v>
      </c>
      <c r="I1537" s="187">
        <v>97.435897827148438</v>
      </c>
      <c r="J1537" s="187" t="s">
        <v>1026</v>
      </c>
      <c r="K1537" s="187" t="s">
        <v>116</v>
      </c>
      <c r="L1537" s="195"/>
      <c r="M1537" s="195"/>
      <c r="N1537" s="195"/>
      <c r="O1537" s="199"/>
      <c r="P1537" s="188" t="s">
        <v>1122</v>
      </c>
      <c r="Q1537" s="174">
        <f>IF(ISNUMBER(VLOOKUP(A1537,NotghiID!A:A,1,FALSE)),1,0)</f>
        <v>0</v>
      </c>
    </row>
    <row r="1538" spans="1:17" ht="14.25" x14ac:dyDescent="0.2">
      <c r="A1538" s="91">
        <v>510</v>
      </c>
      <c r="B1538" s="232" t="str">
        <f>IF(AND(A1538&lt;&gt;"",ISNUMBER(A1538)),VLOOKUP(A1538,Studies!A:BR,2,FALSE),"")</f>
        <v>Uno 2006</v>
      </c>
      <c r="C1538" s="232" t="str">
        <f>IF(AND(A1538&lt;&gt;"",ISNUMBER(A1538)),VLOOKUP(A1538,Studies!A:BR,3,FALSE),"")</f>
        <v>https://www.ncbi.nlm.nih.gov/pubmed/16885720</v>
      </c>
      <c r="D1538" s="232" t="str">
        <f>IF(AND(A1538&lt;&gt;"",ISNUMBER(A1538)),VLOOKUP(A1538,Studies!A:BR,4,FALSE),"")</f>
        <v>day 1 (Japanese)</v>
      </c>
      <c r="E1538" s="206" t="str">
        <f>IF(AND(A1538&lt;&gt;"",ISNUMBER(A1538)),VLOOKUP(A1538,Studies!A:BR,5,FALSE),"")</f>
        <v>Itraconazole</v>
      </c>
      <c r="F1538" s="207" t="str">
        <f>IF(AND(A1538&lt;&gt;"",ISNUMBER(A1538)),VLOOKUP(A1538,Studies!A:BR,6,FALSE),"")</f>
        <v>Plasma</v>
      </c>
      <c r="G1538" s="194">
        <v>6</v>
      </c>
      <c r="H1538" s="194" t="s">
        <v>60</v>
      </c>
      <c r="I1538" s="187">
        <v>67.948722839355469</v>
      </c>
      <c r="J1538" s="187" t="s">
        <v>1026</v>
      </c>
      <c r="K1538" s="187" t="s">
        <v>116</v>
      </c>
      <c r="L1538" s="195"/>
      <c r="M1538" s="195"/>
      <c r="N1538" s="195"/>
      <c r="O1538" s="199"/>
      <c r="P1538" s="188" t="s">
        <v>1122</v>
      </c>
      <c r="Q1538" s="174">
        <f>IF(ISNUMBER(VLOOKUP(A1538,NotghiID!A:A,1,FALSE)),1,0)</f>
        <v>0</v>
      </c>
    </row>
    <row r="1539" spans="1:17" ht="14.25" x14ac:dyDescent="0.2">
      <c r="A1539" s="91">
        <v>510</v>
      </c>
      <c r="B1539" s="232" t="str">
        <f>IF(AND(A1539&lt;&gt;"",ISNUMBER(A1539)),VLOOKUP(A1539,Studies!A:BR,2,FALSE),"")</f>
        <v>Uno 2006</v>
      </c>
      <c r="C1539" s="232" t="str">
        <f>IF(AND(A1539&lt;&gt;"",ISNUMBER(A1539)),VLOOKUP(A1539,Studies!A:BR,3,FALSE),"")</f>
        <v>https://www.ncbi.nlm.nih.gov/pubmed/16885720</v>
      </c>
      <c r="D1539" s="232" t="str">
        <f>IF(AND(A1539&lt;&gt;"",ISNUMBER(A1539)),VLOOKUP(A1539,Studies!A:BR,4,FALSE),"")</f>
        <v>day 1 (Japanese)</v>
      </c>
      <c r="E1539" s="206" t="str">
        <f>IF(AND(A1539&lt;&gt;"",ISNUMBER(A1539)),VLOOKUP(A1539,Studies!A:BR,5,FALSE),"")</f>
        <v>Itraconazole</v>
      </c>
      <c r="F1539" s="207" t="str">
        <f>IF(AND(A1539&lt;&gt;"",ISNUMBER(A1539)),VLOOKUP(A1539,Studies!A:BR,6,FALSE),"")</f>
        <v>Plasma</v>
      </c>
      <c r="G1539" s="194">
        <v>8</v>
      </c>
      <c r="H1539" s="194" t="s">
        <v>60</v>
      </c>
      <c r="I1539" s="187">
        <v>42.307693481445313</v>
      </c>
      <c r="J1539" s="187" t="s">
        <v>1026</v>
      </c>
      <c r="K1539" s="187" t="s">
        <v>116</v>
      </c>
      <c r="L1539" s="195"/>
      <c r="M1539" s="195"/>
      <c r="N1539" s="195"/>
      <c r="O1539" s="199"/>
      <c r="P1539" s="188" t="s">
        <v>1122</v>
      </c>
      <c r="Q1539" s="174">
        <f>IF(ISNUMBER(VLOOKUP(A1539,NotghiID!A:A,1,FALSE)),1,0)</f>
        <v>0</v>
      </c>
    </row>
    <row r="1540" spans="1:17" ht="14.25" x14ac:dyDescent="0.2">
      <c r="A1540" s="91">
        <v>510</v>
      </c>
      <c r="B1540" s="232" t="str">
        <f>IF(AND(A1540&lt;&gt;"",ISNUMBER(A1540)),VLOOKUP(A1540,Studies!A:BR,2,FALSE),"")</f>
        <v>Uno 2006</v>
      </c>
      <c r="C1540" s="232" t="str">
        <f>IF(AND(A1540&lt;&gt;"",ISNUMBER(A1540)),VLOOKUP(A1540,Studies!A:BR,3,FALSE),"")</f>
        <v>https://www.ncbi.nlm.nih.gov/pubmed/16885720</v>
      </c>
      <c r="D1540" s="232" t="str">
        <f>IF(AND(A1540&lt;&gt;"",ISNUMBER(A1540)),VLOOKUP(A1540,Studies!A:BR,4,FALSE),"")</f>
        <v>day 1 (Japanese)</v>
      </c>
      <c r="E1540" s="206" t="str">
        <f>IF(AND(A1540&lt;&gt;"",ISNUMBER(A1540)),VLOOKUP(A1540,Studies!A:BR,5,FALSE),"")</f>
        <v>Itraconazole</v>
      </c>
      <c r="F1540" s="207" t="str">
        <f>IF(AND(A1540&lt;&gt;"",ISNUMBER(A1540)),VLOOKUP(A1540,Studies!A:BR,6,FALSE),"")</f>
        <v>Plasma</v>
      </c>
      <c r="G1540" s="194">
        <v>12</v>
      </c>
      <c r="H1540" s="194" t="s">
        <v>60</v>
      </c>
      <c r="I1540" s="187">
        <v>34.615386962890625</v>
      </c>
      <c r="J1540" s="187" t="s">
        <v>1026</v>
      </c>
      <c r="K1540" s="187" t="s">
        <v>116</v>
      </c>
      <c r="L1540" s="195"/>
      <c r="M1540" s="195"/>
      <c r="N1540" s="195"/>
      <c r="O1540" s="199"/>
      <c r="P1540" s="188" t="s">
        <v>1122</v>
      </c>
      <c r="Q1540" s="174">
        <f>IF(ISNUMBER(VLOOKUP(A1540,NotghiID!A:A,1,FALSE)),1,0)</f>
        <v>0</v>
      </c>
    </row>
    <row r="1541" spans="1:17" ht="14.25" x14ac:dyDescent="0.2">
      <c r="A1541" s="91">
        <v>510</v>
      </c>
      <c r="B1541" s="232" t="str">
        <f>IF(AND(A1541&lt;&gt;"",ISNUMBER(A1541)),VLOOKUP(A1541,Studies!A:BR,2,FALSE),"")</f>
        <v>Uno 2006</v>
      </c>
      <c r="C1541" s="232" t="str">
        <f>IF(AND(A1541&lt;&gt;"",ISNUMBER(A1541)),VLOOKUP(A1541,Studies!A:BR,3,FALSE),"")</f>
        <v>https://www.ncbi.nlm.nih.gov/pubmed/16885720</v>
      </c>
      <c r="D1541" s="232" t="str">
        <f>IF(AND(A1541&lt;&gt;"",ISNUMBER(A1541)),VLOOKUP(A1541,Studies!A:BR,4,FALSE),"")</f>
        <v>day 1 (Japanese)</v>
      </c>
      <c r="E1541" s="206" t="str">
        <f>IF(AND(A1541&lt;&gt;"",ISNUMBER(A1541)),VLOOKUP(A1541,Studies!A:BR,5,FALSE),"")</f>
        <v>Itraconazole</v>
      </c>
      <c r="F1541" s="207" t="str">
        <f>IF(AND(A1541&lt;&gt;"",ISNUMBER(A1541)),VLOOKUP(A1541,Studies!A:BR,6,FALSE),"")</f>
        <v>Plasma</v>
      </c>
      <c r="G1541" s="194">
        <v>24</v>
      </c>
      <c r="H1541" s="194" t="s">
        <v>60</v>
      </c>
      <c r="I1541" s="187">
        <v>17.948719024658203</v>
      </c>
      <c r="J1541" s="187" t="s">
        <v>1026</v>
      </c>
      <c r="K1541" s="187" t="s">
        <v>116</v>
      </c>
      <c r="L1541" s="195"/>
      <c r="M1541" s="195"/>
      <c r="N1541" s="195"/>
      <c r="O1541" s="199"/>
      <c r="P1541" s="188" t="s">
        <v>1122</v>
      </c>
      <c r="Q1541" s="174">
        <f>IF(ISNUMBER(VLOOKUP(A1541,NotghiID!A:A,1,FALSE)),1,0)</f>
        <v>0</v>
      </c>
    </row>
    <row r="1542" spans="1:17" ht="14.25" x14ac:dyDescent="0.2">
      <c r="A1542" s="183">
        <v>511</v>
      </c>
      <c r="B1542" s="232" t="str">
        <f>IF(AND(A1542&lt;&gt;"",ISNUMBER(A1542)),VLOOKUP(A1542,Studies!A:BR,2,FALSE),"")</f>
        <v>Uno 2006</v>
      </c>
      <c r="C1542" s="232" t="str">
        <f>IF(AND(A1542&lt;&gt;"",ISNUMBER(A1542)),VLOOKUP(A1542,Studies!A:BR,3,FALSE),"")</f>
        <v>https://www.ncbi.nlm.nih.gov/pubmed/16885720</v>
      </c>
      <c r="D1542" s="232" t="str">
        <f>IF(AND(A1542&lt;&gt;"",ISNUMBER(A1542)),VLOOKUP(A1542,Studies!A:BR,4,FALSE),"")</f>
        <v>day 1 (Japanese)</v>
      </c>
      <c r="E1542" s="206" t="str">
        <f>IF(AND(A1542&lt;&gt;"",ISNUMBER(A1542)),VLOOKUP(A1542,Studies!A:BR,5,FALSE),"")</f>
        <v>Hydroxy-Itraconazole</v>
      </c>
      <c r="F1542" s="207" t="str">
        <f>IF(AND(A1542&lt;&gt;"",ISNUMBER(A1542)),VLOOKUP(A1542,Studies!A:BR,6,FALSE),"")</f>
        <v>Plasma</v>
      </c>
      <c r="G1542" s="194">
        <v>0.5</v>
      </c>
      <c r="H1542" s="194" t="s">
        <v>60</v>
      </c>
      <c r="I1542" s="187">
        <v>1.2958962917327881</v>
      </c>
      <c r="J1542" s="187" t="s">
        <v>1026</v>
      </c>
      <c r="K1542" s="187" t="s">
        <v>116</v>
      </c>
      <c r="L1542" s="195"/>
      <c r="M1542" s="195"/>
      <c r="N1542" s="195"/>
      <c r="O1542" s="199"/>
      <c r="P1542" s="188" t="s">
        <v>1122</v>
      </c>
      <c r="Q1542" s="174">
        <f>IF(ISNUMBER(VLOOKUP(A1542,NotghiID!A:A,1,FALSE)),1,0)</f>
        <v>0</v>
      </c>
    </row>
    <row r="1543" spans="1:17" ht="14.25" x14ac:dyDescent="0.2">
      <c r="A1543" s="183">
        <v>511</v>
      </c>
      <c r="B1543" s="232" t="str">
        <f>IF(AND(A1543&lt;&gt;"",ISNUMBER(A1543)),VLOOKUP(A1543,Studies!A:BR,2,FALSE),"")</f>
        <v>Uno 2006</v>
      </c>
      <c r="C1543" s="232" t="str">
        <f>IF(AND(A1543&lt;&gt;"",ISNUMBER(A1543)),VLOOKUP(A1543,Studies!A:BR,3,FALSE),"")</f>
        <v>https://www.ncbi.nlm.nih.gov/pubmed/16885720</v>
      </c>
      <c r="D1543" s="232" t="str">
        <f>IF(AND(A1543&lt;&gt;"",ISNUMBER(A1543)),VLOOKUP(A1543,Studies!A:BR,4,FALSE),"")</f>
        <v>day 1 (Japanese)</v>
      </c>
      <c r="E1543" s="206" t="str">
        <f>IF(AND(A1543&lt;&gt;"",ISNUMBER(A1543)),VLOOKUP(A1543,Studies!A:BR,5,FALSE),"")</f>
        <v>Hydroxy-Itraconazole</v>
      </c>
      <c r="F1543" s="207" t="str">
        <f>IF(AND(A1543&lt;&gt;"",ISNUMBER(A1543)),VLOOKUP(A1543,Studies!A:BR,6,FALSE),"")</f>
        <v>Plasma</v>
      </c>
      <c r="G1543" s="194">
        <v>1</v>
      </c>
      <c r="H1543" s="194" t="s">
        <v>60</v>
      </c>
      <c r="I1543" s="187">
        <v>23.326133728027344</v>
      </c>
      <c r="J1543" s="187" t="s">
        <v>1026</v>
      </c>
      <c r="K1543" s="187" t="s">
        <v>116</v>
      </c>
      <c r="L1543" s="195"/>
      <c r="M1543" s="195"/>
      <c r="N1543" s="195"/>
      <c r="O1543" s="199"/>
      <c r="P1543" s="188" t="s">
        <v>1122</v>
      </c>
      <c r="Q1543" s="174">
        <f>IF(ISNUMBER(VLOOKUP(A1543,NotghiID!A:A,1,FALSE)),1,0)</f>
        <v>0</v>
      </c>
    </row>
    <row r="1544" spans="1:17" ht="14.25" x14ac:dyDescent="0.2">
      <c r="A1544" s="183">
        <v>511</v>
      </c>
      <c r="B1544" s="232" t="str">
        <f>IF(AND(A1544&lt;&gt;"",ISNUMBER(A1544)),VLOOKUP(A1544,Studies!A:BR,2,FALSE),"")</f>
        <v>Uno 2006</v>
      </c>
      <c r="C1544" s="232" t="str">
        <f>IF(AND(A1544&lt;&gt;"",ISNUMBER(A1544)),VLOOKUP(A1544,Studies!A:BR,3,FALSE),"")</f>
        <v>https://www.ncbi.nlm.nih.gov/pubmed/16885720</v>
      </c>
      <c r="D1544" s="232" t="str">
        <f>IF(AND(A1544&lt;&gt;"",ISNUMBER(A1544)),VLOOKUP(A1544,Studies!A:BR,4,FALSE),"")</f>
        <v>day 1 (Japanese)</v>
      </c>
      <c r="E1544" s="206" t="str">
        <f>IF(AND(A1544&lt;&gt;"",ISNUMBER(A1544)),VLOOKUP(A1544,Studies!A:BR,5,FALSE),"")</f>
        <v>Hydroxy-Itraconazole</v>
      </c>
      <c r="F1544" s="207" t="str">
        <f>IF(AND(A1544&lt;&gt;"",ISNUMBER(A1544)),VLOOKUP(A1544,Studies!A:BR,6,FALSE),"")</f>
        <v>Plasma</v>
      </c>
      <c r="G1544" s="194">
        <v>1.5</v>
      </c>
      <c r="H1544" s="194" t="s">
        <v>60</v>
      </c>
      <c r="I1544" s="187">
        <v>64.794815063476563</v>
      </c>
      <c r="J1544" s="187" t="s">
        <v>1026</v>
      </c>
      <c r="K1544" s="187" t="s">
        <v>116</v>
      </c>
      <c r="L1544" s="195"/>
      <c r="M1544" s="195"/>
      <c r="N1544" s="195"/>
      <c r="O1544" s="199"/>
      <c r="P1544" s="188" t="s">
        <v>1122</v>
      </c>
      <c r="Q1544" s="174">
        <f>IF(ISNUMBER(VLOOKUP(A1544,NotghiID!A:A,1,FALSE)),1,0)</f>
        <v>0</v>
      </c>
    </row>
    <row r="1545" spans="1:17" ht="14.25" x14ac:dyDescent="0.2">
      <c r="A1545" s="183">
        <v>511</v>
      </c>
      <c r="B1545" s="232" t="str">
        <f>IF(AND(A1545&lt;&gt;"",ISNUMBER(A1545)),VLOOKUP(A1545,Studies!A:BR,2,FALSE),"")</f>
        <v>Uno 2006</v>
      </c>
      <c r="C1545" s="232" t="str">
        <f>IF(AND(A1545&lt;&gt;"",ISNUMBER(A1545)),VLOOKUP(A1545,Studies!A:BR,3,FALSE),"")</f>
        <v>https://www.ncbi.nlm.nih.gov/pubmed/16885720</v>
      </c>
      <c r="D1545" s="232" t="str">
        <f>IF(AND(A1545&lt;&gt;"",ISNUMBER(A1545)),VLOOKUP(A1545,Studies!A:BR,4,FALSE),"")</f>
        <v>day 1 (Japanese)</v>
      </c>
      <c r="E1545" s="206" t="str">
        <f>IF(AND(A1545&lt;&gt;"",ISNUMBER(A1545)),VLOOKUP(A1545,Studies!A:BR,5,FALSE),"")</f>
        <v>Hydroxy-Itraconazole</v>
      </c>
      <c r="F1545" s="207" t="str">
        <f>IF(AND(A1545&lt;&gt;"",ISNUMBER(A1545)),VLOOKUP(A1545,Studies!A:BR,6,FALSE),"")</f>
        <v>Plasma</v>
      </c>
      <c r="G1545" s="194">
        <v>2</v>
      </c>
      <c r="H1545" s="194" t="s">
        <v>60</v>
      </c>
      <c r="I1545" s="187">
        <v>108.85528564453125</v>
      </c>
      <c r="J1545" s="187" t="s">
        <v>1026</v>
      </c>
      <c r="K1545" s="187" t="s">
        <v>116</v>
      </c>
      <c r="L1545" s="195"/>
      <c r="M1545" s="195"/>
      <c r="N1545" s="195"/>
      <c r="O1545" s="199"/>
      <c r="P1545" s="188" t="s">
        <v>1122</v>
      </c>
      <c r="Q1545" s="174">
        <f>IF(ISNUMBER(VLOOKUP(A1545,NotghiID!A:A,1,FALSE)),1,0)</f>
        <v>0</v>
      </c>
    </row>
    <row r="1546" spans="1:17" ht="14.25" x14ac:dyDescent="0.2">
      <c r="A1546" s="183">
        <v>511</v>
      </c>
      <c r="B1546" s="232" t="str">
        <f>IF(AND(A1546&lt;&gt;"",ISNUMBER(A1546)),VLOOKUP(A1546,Studies!A:BR,2,FALSE),"")</f>
        <v>Uno 2006</v>
      </c>
      <c r="C1546" s="232" t="str">
        <f>IF(AND(A1546&lt;&gt;"",ISNUMBER(A1546)),VLOOKUP(A1546,Studies!A:BR,3,FALSE),"")</f>
        <v>https://www.ncbi.nlm.nih.gov/pubmed/16885720</v>
      </c>
      <c r="D1546" s="232" t="str">
        <f>IF(AND(A1546&lt;&gt;"",ISNUMBER(A1546)),VLOOKUP(A1546,Studies!A:BR,4,FALSE),"")</f>
        <v>day 1 (Japanese)</v>
      </c>
      <c r="E1546" s="206" t="str">
        <f>IF(AND(A1546&lt;&gt;"",ISNUMBER(A1546)),VLOOKUP(A1546,Studies!A:BR,5,FALSE),"")</f>
        <v>Hydroxy-Itraconazole</v>
      </c>
      <c r="F1546" s="207" t="str">
        <f>IF(AND(A1546&lt;&gt;"",ISNUMBER(A1546)),VLOOKUP(A1546,Studies!A:BR,6,FALSE),"")</f>
        <v>Plasma</v>
      </c>
      <c r="G1546" s="194">
        <v>3</v>
      </c>
      <c r="H1546" s="194" t="s">
        <v>60</v>
      </c>
      <c r="I1546" s="187">
        <v>176.24189758300781</v>
      </c>
      <c r="J1546" s="187" t="s">
        <v>1026</v>
      </c>
      <c r="K1546" s="187" t="s">
        <v>116</v>
      </c>
      <c r="L1546" s="195"/>
      <c r="M1546" s="195"/>
      <c r="N1546" s="195"/>
      <c r="O1546" s="199"/>
      <c r="P1546" s="188" t="s">
        <v>1122</v>
      </c>
      <c r="Q1546" s="174">
        <f>IF(ISNUMBER(VLOOKUP(A1546,NotghiID!A:A,1,FALSE)),1,0)</f>
        <v>0</v>
      </c>
    </row>
    <row r="1547" spans="1:17" ht="14.25" x14ac:dyDescent="0.2">
      <c r="A1547" s="183">
        <v>511</v>
      </c>
      <c r="B1547" s="232" t="str">
        <f>IF(AND(A1547&lt;&gt;"",ISNUMBER(A1547)),VLOOKUP(A1547,Studies!A:BR,2,FALSE),"")</f>
        <v>Uno 2006</v>
      </c>
      <c r="C1547" s="232" t="str">
        <f>IF(AND(A1547&lt;&gt;"",ISNUMBER(A1547)),VLOOKUP(A1547,Studies!A:BR,3,FALSE),"")</f>
        <v>https://www.ncbi.nlm.nih.gov/pubmed/16885720</v>
      </c>
      <c r="D1547" s="232" t="str">
        <f>IF(AND(A1547&lt;&gt;"",ISNUMBER(A1547)),VLOOKUP(A1547,Studies!A:BR,4,FALSE),"")</f>
        <v>day 1 (Japanese)</v>
      </c>
      <c r="E1547" s="206" t="str">
        <f>IF(AND(A1547&lt;&gt;"",ISNUMBER(A1547)),VLOOKUP(A1547,Studies!A:BR,5,FALSE),"")</f>
        <v>Hydroxy-Itraconazole</v>
      </c>
      <c r="F1547" s="207" t="str">
        <f>IF(AND(A1547&lt;&gt;"",ISNUMBER(A1547)),VLOOKUP(A1547,Studies!A:BR,6,FALSE),"")</f>
        <v>Plasma</v>
      </c>
      <c r="G1547" s="194">
        <v>4</v>
      </c>
      <c r="H1547" s="194" t="s">
        <v>60</v>
      </c>
      <c r="I1547" s="187">
        <v>195.68034362792969</v>
      </c>
      <c r="J1547" s="187" t="s">
        <v>1026</v>
      </c>
      <c r="K1547" s="187" t="s">
        <v>116</v>
      </c>
      <c r="L1547" s="195"/>
      <c r="M1547" s="195"/>
      <c r="N1547" s="195"/>
      <c r="O1547" s="199"/>
      <c r="P1547" s="188" t="s">
        <v>1122</v>
      </c>
      <c r="Q1547" s="174">
        <f>IF(ISNUMBER(VLOOKUP(A1547,NotghiID!A:A,1,FALSE)),1,0)</f>
        <v>0</v>
      </c>
    </row>
    <row r="1548" spans="1:17" ht="14.25" x14ac:dyDescent="0.2">
      <c r="A1548" s="183">
        <v>511</v>
      </c>
      <c r="B1548" s="232" t="str">
        <f>IF(AND(A1548&lt;&gt;"",ISNUMBER(A1548)),VLOOKUP(A1548,Studies!A:BR,2,FALSE),"")</f>
        <v>Uno 2006</v>
      </c>
      <c r="C1548" s="232" t="str">
        <f>IF(AND(A1548&lt;&gt;"",ISNUMBER(A1548)),VLOOKUP(A1548,Studies!A:BR,3,FALSE),"")</f>
        <v>https://www.ncbi.nlm.nih.gov/pubmed/16885720</v>
      </c>
      <c r="D1548" s="232" t="str">
        <f>IF(AND(A1548&lt;&gt;"",ISNUMBER(A1548)),VLOOKUP(A1548,Studies!A:BR,4,FALSE),"")</f>
        <v>day 1 (Japanese)</v>
      </c>
      <c r="E1548" s="206" t="str">
        <f>IF(AND(A1548&lt;&gt;"",ISNUMBER(A1548)),VLOOKUP(A1548,Studies!A:BR,5,FALSE),"")</f>
        <v>Hydroxy-Itraconazole</v>
      </c>
      <c r="F1548" s="207" t="str">
        <f>IF(AND(A1548&lt;&gt;"",ISNUMBER(A1548)),VLOOKUP(A1548,Studies!A:BR,6,FALSE),"")</f>
        <v>Plasma</v>
      </c>
      <c r="G1548" s="194">
        <v>6</v>
      </c>
      <c r="H1548" s="194" t="s">
        <v>60</v>
      </c>
      <c r="I1548" s="187">
        <v>184.01727294921875</v>
      </c>
      <c r="J1548" s="187" t="s">
        <v>1026</v>
      </c>
      <c r="K1548" s="187" t="s">
        <v>116</v>
      </c>
      <c r="L1548" s="195"/>
      <c r="M1548" s="195"/>
      <c r="N1548" s="195"/>
      <c r="O1548" s="199"/>
      <c r="P1548" s="188" t="s">
        <v>1122</v>
      </c>
      <c r="Q1548" s="174">
        <f>IF(ISNUMBER(VLOOKUP(A1548,NotghiID!A:A,1,FALSE)),1,0)</f>
        <v>0</v>
      </c>
    </row>
    <row r="1549" spans="1:17" ht="14.25" x14ac:dyDescent="0.2">
      <c r="A1549" s="183">
        <v>511</v>
      </c>
      <c r="B1549" s="232" t="str">
        <f>IF(AND(A1549&lt;&gt;"",ISNUMBER(A1549)),VLOOKUP(A1549,Studies!A:BR,2,FALSE),"")</f>
        <v>Uno 2006</v>
      </c>
      <c r="C1549" s="232" t="str">
        <f>IF(AND(A1549&lt;&gt;"",ISNUMBER(A1549)),VLOOKUP(A1549,Studies!A:BR,3,FALSE),"")</f>
        <v>https://www.ncbi.nlm.nih.gov/pubmed/16885720</v>
      </c>
      <c r="D1549" s="232" t="str">
        <f>IF(AND(A1549&lt;&gt;"",ISNUMBER(A1549)),VLOOKUP(A1549,Studies!A:BR,4,FALSE),"")</f>
        <v>day 1 (Japanese)</v>
      </c>
      <c r="E1549" s="206" t="str">
        <f>IF(AND(A1549&lt;&gt;"",ISNUMBER(A1549)),VLOOKUP(A1549,Studies!A:BR,5,FALSE),"")</f>
        <v>Hydroxy-Itraconazole</v>
      </c>
      <c r="F1549" s="207" t="str">
        <f>IF(AND(A1549&lt;&gt;"",ISNUMBER(A1549)),VLOOKUP(A1549,Studies!A:BR,6,FALSE),"")</f>
        <v>Plasma</v>
      </c>
      <c r="G1549" s="194">
        <v>8</v>
      </c>
      <c r="H1549" s="194" t="s">
        <v>60</v>
      </c>
      <c r="I1549" s="187">
        <v>154.21165466308594</v>
      </c>
      <c r="J1549" s="187" t="s">
        <v>1026</v>
      </c>
      <c r="K1549" s="187" t="s">
        <v>116</v>
      </c>
      <c r="L1549" s="195"/>
      <c r="M1549" s="195"/>
      <c r="N1549" s="195"/>
      <c r="O1549" s="199"/>
      <c r="P1549" s="188" t="s">
        <v>1122</v>
      </c>
      <c r="Q1549" s="174">
        <f>IF(ISNUMBER(VLOOKUP(A1549,NotghiID!A:A,1,FALSE)),1,0)</f>
        <v>0</v>
      </c>
    </row>
    <row r="1550" spans="1:17" ht="14.25" x14ac:dyDescent="0.2">
      <c r="A1550" s="183">
        <v>511</v>
      </c>
      <c r="B1550" s="232" t="str">
        <f>IF(AND(A1550&lt;&gt;"",ISNUMBER(A1550)),VLOOKUP(A1550,Studies!A:BR,2,FALSE),"")</f>
        <v>Uno 2006</v>
      </c>
      <c r="C1550" s="232" t="str">
        <f>IF(AND(A1550&lt;&gt;"",ISNUMBER(A1550)),VLOOKUP(A1550,Studies!A:BR,3,FALSE),"")</f>
        <v>https://www.ncbi.nlm.nih.gov/pubmed/16885720</v>
      </c>
      <c r="D1550" s="232" t="str">
        <f>IF(AND(A1550&lt;&gt;"",ISNUMBER(A1550)),VLOOKUP(A1550,Studies!A:BR,4,FALSE),"")</f>
        <v>day 1 (Japanese)</v>
      </c>
      <c r="E1550" s="206" t="str">
        <f>IF(AND(A1550&lt;&gt;"",ISNUMBER(A1550)),VLOOKUP(A1550,Studies!A:BR,5,FALSE),"")</f>
        <v>Hydroxy-Itraconazole</v>
      </c>
      <c r="F1550" s="207" t="str">
        <f>IF(AND(A1550&lt;&gt;"",ISNUMBER(A1550)),VLOOKUP(A1550,Studies!A:BR,6,FALSE),"")</f>
        <v>Plasma</v>
      </c>
      <c r="G1550" s="194">
        <v>12</v>
      </c>
      <c r="H1550" s="194" t="s">
        <v>60</v>
      </c>
      <c r="I1550" s="187">
        <v>112.74298095703125</v>
      </c>
      <c r="J1550" s="187" t="s">
        <v>1026</v>
      </c>
      <c r="K1550" s="187" t="s">
        <v>116</v>
      </c>
      <c r="L1550" s="195"/>
      <c r="M1550" s="195"/>
      <c r="N1550" s="195"/>
      <c r="O1550" s="199"/>
      <c r="P1550" s="188" t="s">
        <v>1122</v>
      </c>
      <c r="Q1550" s="174">
        <f>IF(ISNUMBER(VLOOKUP(A1550,NotghiID!A:A,1,FALSE)),1,0)</f>
        <v>0</v>
      </c>
    </row>
    <row r="1551" spans="1:17" ht="14.25" x14ac:dyDescent="0.2">
      <c r="A1551" s="183">
        <v>511</v>
      </c>
      <c r="B1551" s="232" t="str">
        <f>IF(AND(A1551&lt;&gt;"",ISNUMBER(A1551)),VLOOKUP(A1551,Studies!A:BR,2,FALSE),"")</f>
        <v>Uno 2006</v>
      </c>
      <c r="C1551" s="232" t="str">
        <f>IF(AND(A1551&lt;&gt;"",ISNUMBER(A1551)),VLOOKUP(A1551,Studies!A:BR,3,FALSE),"")</f>
        <v>https://www.ncbi.nlm.nih.gov/pubmed/16885720</v>
      </c>
      <c r="D1551" s="232" t="str">
        <f>IF(AND(A1551&lt;&gt;"",ISNUMBER(A1551)),VLOOKUP(A1551,Studies!A:BR,4,FALSE),"")</f>
        <v>day 1 (Japanese)</v>
      </c>
      <c r="E1551" s="206" t="str">
        <f>IF(AND(A1551&lt;&gt;"",ISNUMBER(A1551)),VLOOKUP(A1551,Studies!A:BR,5,FALSE),"")</f>
        <v>Hydroxy-Itraconazole</v>
      </c>
      <c r="F1551" s="207" t="str">
        <f>IF(AND(A1551&lt;&gt;"",ISNUMBER(A1551)),VLOOKUP(A1551,Studies!A:BR,6,FALSE),"")</f>
        <v>Plasma</v>
      </c>
      <c r="G1551" s="194">
        <v>24</v>
      </c>
      <c r="H1551" s="194" t="s">
        <v>60</v>
      </c>
      <c r="I1551" s="187">
        <v>51.835853576660156</v>
      </c>
      <c r="J1551" s="187" t="s">
        <v>1026</v>
      </c>
      <c r="K1551" s="187" t="s">
        <v>116</v>
      </c>
      <c r="L1551" s="195"/>
      <c r="M1551" s="195"/>
      <c r="N1551" s="195"/>
      <c r="O1551" s="199"/>
      <c r="P1551" s="188" t="s">
        <v>1122</v>
      </c>
      <c r="Q1551" s="174">
        <f>IF(ISNUMBER(VLOOKUP(A1551,NotghiID!A:A,1,FALSE)),1,0)</f>
        <v>0</v>
      </c>
    </row>
    <row r="1552" spans="1:17" ht="14.25" x14ac:dyDescent="0.2">
      <c r="A1552" s="183">
        <v>512</v>
      </c>
      <c r="B1552" s="232" t="str">
        <f>IF(AND(A1552&lt;&gt;"",ISNUMBER(A1552)),VLOOKUP(A1552,Studies!A:BR,2,FALSE),"")</f>
        <v>Uno 2006</v>
      </c>
      <c r="C1552" s="232" t="str">
        <f>IF(AND(A1552&lt;&gt;"",ISNUMBER(A1552)),VLOOKUP(A1552,Studies!A:BR,3,FALSE),"")</f>
        <v>https://www.ncbi.nlm.nih.gov/pubmed/16885720</v>
      </c>
      <c r="D1552" s="232" t="str">
        <f>IF(AND(A1552&lt;&gt;"",ISNUMBER(A1552)),VLOOKUP(A1552,Studies!A:BR,4,FALSE),"")</f>
        <v>day 6 (Japanese)</v>
      </c>
      <c r="E1552" s="206" t="str">
        <f>IF(AND(A1552&lt;&gt;"",ISNUMBER(A1552)),VLOOKUP(A1552,Studies!A:BR,5,FALSE),"")</f>
        <v>Itraconazole</v>
      </c>
      <c r="F1552" s="207" t="str">
        <f>IF(AND(A1552&lt;&gt;"",ISNUMBER(A1552)),VLOOKUP(A1552,Studies!A:BR,6,FALSE),"")</f>
        <v>Plasma</v>
      </c>
      <c r="G1552" s="194">
        <v>120</v>
      </c>
      <c r="H1552" s="194" t="s">
        <v>60</v>
      </c>
      <c r="I1552" s="187">
        <v>91.025642395019531</v>
      </c>
      <c r="J1552" s="187" t="s">
        <v>1026</v>
      </c>
      <c r="K1552" s="187" t="s">
        <v>116</v>
      </c>
      <c r="L1552" s="195"/>
      <c r="M1552" s="195"/>
      <c r="N1552" s="195"/>
      <c r="O1552" s="199"/>
      <c r="P1552" s="188" t="s">
        <v>1122</v>
      </c>
      <c r="Q1552" s="174">
        <f>IF(ISNUMBER(VLOOKUP(A1552,NotghiID!A:A,1,FALSE)),1,0)</f>
        <v>0</v>
      </c>
    </row>
    <row r="1553" spans="1:17" ht="14.25" x14ac:dyDescent="0.2">
      <c r="A1553" s="183">
        <v>512</v>
      </c>
      <c r="B1553" s="232" t="str">
        <f>IF(AND(A1553&lt;&gt;"",ISNUMBER(A1553)),VLOOKUP(A1553,Studies!A:BR,2,FALSE),"")</f>
        <v>Uno 2006</v>
      </c>
      <c r="C1553" s="232" t="str">
        <f>IF(AND(A1553&lt;&gt;"",ISNUMBER(A1553)),VLOOKUP(A1553,Studies!A:BR,3,FALSE),"")</f>
        <v>https://www.ncbi.nlm.nih.gov/pubmed/16885720</v>
      </c>
      <c r="D1553" s="232" t="str">
        <f>IF(AND(A1553&lt;&gt;"",ISNUMBER(A1553)),VLOOKUP(A1553,Studies!A:BR,4,FALSE),"")</f>
        <v>day 6 (Japanese)</v>
      </c>
      <c r="E1553" s="206" t="str">
        <f>IF(AND(A1553&lt;&gt;"",ISNUMBER(A1553)),VLOOKUP(A1553,Studies!A:BR,5,FALSE),"")</f>
        <v>Itraconazole</v>
      </c>
      <c r="F1553" s="207" t="str">
        <f>IF(AND(A1553&lt;&gt;"",ISNUMBER(A1553)),VLOOKUP(A1553,Studies!A:BR,6,FALSE),"")</f>
        <v>Plasma</v>
      </c>
      <c r="G1553" s="194">
        <v>120.5</v>
      </c>
      <c r="H1553" s="194" t="s">
        <v>60</v>
      </c>
      <c r="I1553" s="187">
        <v>87.179489135742187</v>
      </c>
      <c r="J1553" s="187" t="s">
        <v>1026</v>
      </c>
      <c r="K1553" s="187" t="s">
        <v>116</v>
      </c>
      <c r="L1553" s="195"/>
      <c r="M1553" s="195"/>
      <c r="N1553" s="195"/>
      <c r="O1553" s="199"/>
      <c r="P1553" s="188" t="s">
        <v>1122</v>
      </c>
      <c r="Q1553" s="174">
        <f>IF(ISNUMBER(VLOOKUP(A1553,NotghiID!A:A,1,FALSE)),1,0)</f>
        <v>0</v>
      </c>
    </row>
    <row r="1554" spans="1:17" ht="14.25" x14ac:dyDescent="0.2">
      <c r="A1554" s="183">
        <v>512</v>
      </c>
      <c r="B1554" s="232" t="str">
        <f>IF(AND(A1554&lt;&gt;"",ISNUMBER(A1554)),VLOOKUP(A1554,Studies!A:BR,2,FALSE),"")</f>
        <v>Uno 2006</v>
      </c>
      <c r="C1554" s="232" t="str">
        <f>IF(AND(A1554&lt;&gt;"",ISNUMBER(A1554)),VLOOKUP(A1554,Studies!A:BR,3,FALSE),"")</f>
        <v>https://www.ncbi.nlm.nih.gov/pubmed/16885720</v>
      </c>
      <c r="D1554" s="232" t="str">
        <f>IF(AND(A1554&lt;&gt;"",ISNUMBER(A1554)),VLOOKUP(A1554,Studies!A:BR,4,FALSE),"")</f>
        <v>day 6 (Japanese)</v>
      </c>
      <c r="E1554" s="206" t="str">
        <f>IF(AND(A1554&lt;&gt;"",ISNUMBER(A1554)),VLOOKUP(A1554,Studies!A:BR,5,FALSE),"")</f>
        <v>Itraconazole</v>
      </c>
      <c r="F1554" s="207" t="str">
        <f>IF(AND(A1554&lt;&gt;"",ISNUMBER(A1554)),VLOOKUP(A1554,Studies!A:BR,6,FALSE),"")</f>
        <v>Plasma</v>
      </c>
      <c r="G1554" s="194">
        <v>121</v>
      </c>
      <c r="H1554" s="194" t="s">
        <v>60</v>
      </c>
      <c r="I1554" s="187">
        <v>111.53846740722656</v>
      </c>
      <c r="J1554" s="187" t="s">
        <v>1026</v>
      </c>
      <c r="K1554" s="187" t="s">
        <v>116</v>
      </c>
      <c r="L1554" s="195"/>
      <c r="M1554" s="195"/>
      <c r="N1554" s="195"/>
      <c r="O1554" s="199"/>
      <c r="P1554" s="188" t="s">
        <v>1122</v>
      </c>
      <c r="Q1554" s="174">
        <f>IF(ISNUMBER(VLOOKUP(A1554,NotghiID!A:A,1,FALSE)),1,0)</f>
        <v>0</v>
      </c>
    </row>
    <row r="1555" spans="1:17" ht="14.25" x14ac:dyDescent="0.2">
      <c r="A1555" s="183">
        <v>512</v>
      </c>
      <c r="B1555" s="232" t="str">
        <f>IF(AND(A1555&lt;&gt;"",ISNUMBER(A1555)),VLOOKUP(A1555,Studies!A:BR,2,FALSE),"")</f>
        <v>Uno 2006</v>
      </c>
      <c r="C1555" s="232" t="str">
        <f>IF(AND(A1555&lt;&gt;"",ISNUMBER(A1555)),VLOOKUP(A1555,Studies!A:BR,3,FALSE),"")</f>
        <v>https://www.ncbi.nlm.nih.gov/pubmed/16885720</v>
      </c>
      <c r="D1555" s="232" t="str">
        <f>IF(AND(A1555&lt;&gt;"",ISNUMBER(A1555)),VLOOKUP(A1555,Studies!A:BR,4,FALSE),"")</f>
        <v>day 6 (Japanese)</v>
      </c>
      <c r="E1555" s="206" t="str">
        <f>IF(AND(A1555&lt;&gt;"",ISNUMBER(A1555)),VLOOKUP(A1555,Studies!A:BR,5,FALSE),"")</f>
        <v>Itraconazole</v>
      </c>
      <c r="F1555" s="207" t="str">
        <f>IF(AND(A1555&lt;&gt;"",ISNUMBER(A1555)),VLOOKUP(A1555,Studies!A:BR,6,FALSE),"")</f>
        <v>Plasma</v>
      </c>
      <c r="G1555" s="194">
        <v>121.5</v>
      </c>
      <c r="H1555" s="194" t="s">
        <v>60</v>
      </c>
      <c r="I1555" s="187">
        <v>164.10256958007812</v>
      </c>
      <c r="J1555" s="187" t="s">
        <v>1026</v>
      </c>
      <c r="K1555" s="187" t="s">
        <v>116</v>
      </c>
      <c r="L1555" s="195"/>
      <c r="M1555" s="195"/>
      <c r="N1555" s="195"/>
      <c r="O1555" s="199"/>
      <c r="P1555" s="188" t="s">
        <v>1122</v>
      </c>
      <c r="Q1555" s="174">
        <f>IF(ISNUMBER(VLOOKUP(A1555,NotghiID!A:A,1,FALSE)),1,0)</f>
        <v>0</v>
      </c>
    </row>
    <row r="1556" spans="1:17" ht="14.25" x14ac:dyDescent="0.2">
      <c r="A1556" s="183">
        <v>512</v>
      </c>
      <c r="B1556" s="232" t="str">
        <f>IF(AND(A1556&lt;&gt;"",ISNUMBER(A1556)),VLOOKUP(A1556,Studies!A:BR,2,FALSE),"")</f>
        <v>Uno 2006</v>
      </c>
      <c r="C1556" s="232" t="str">
        <f>IF(AND(A1556&lt;&gt;"",ISNUMBER(A1556)),VLOOKUP(A1556,Studies!A:BR,3,FALSE),"")</f>
        <v>https://www.ncbi.nlm.nih.gov/pubmed/16885720</v>
      </c>
      <c r="D1556" s="232" t="str">
        <f>IF(AND(A1556&lt;&gt;"",ISNUMBER(A1556)),VLOOKUP(A1556,Studies!A:BR,4,FALSE),"")</f>
        <v>day 6 (Japanese)</v>
      </c>
      <c r="E1556" s="206" t="str">
        <f>IF(AND(A1556&lt;&gt;"",ISNUMBER(A1556)),VLOOKUP(A1556,Studies!A:BR,5,FALSE),"")</f>
        <v>Itraconazole</v>
      </c>
      <c r="F1556" s="207" t="str">
        <f>IF(AND(A1556&lt;&gt;"",ISNUMBER(A1556)),VLOOKUP(A1556,Studies!A:BR,6,FALSE),"")</f>
        <v>Plasma</v>
      </c>
      <c r="G1556" s="194">
        <v>122</v>
      </c>
      <c r="H1556" s="194" t="s">
        <v>60</v>
      </c>
      <c r="I1556" s="187">
        <v>216.66667175292969</v>
      </c>
      <c r="J1556" s="187" t="s">
        <v>1026</v>
      </c>
      <c r="K1556" s="187" t="s">
        <v>116</v>
      </c>
      <c r="L1556" s="195"/>
      <c r="M1556" s="195"/>
      <c r="N1556" s="195"/>
      <c r="O1556" s="199"/>
      <c r="P1556" s="188" t="s">
        <v>1122</v>
      </c>
      <c r="Q1556" s="174">
        <f>IF(ISNUMBER(VLOOKUP(A1556,NotghiID!A:A,1,FALSE)),1,0)</f>
        <v>0</v>
      </c>
    </row>
    <row r="1557" spans="1:17" ht="14.25" x14ac:dyDescent="0.2">
      <c r="A1557" s="183">
        <v>512</v>
      </c>
      <c r="B1557" s="232" t="str">
        <f>IF(AND(A1557&lt;&gt;"",ISNUMBER(A1557)),VLOOKUP(A1557,Studies!A:BR,2,FALSE),"")</f>
        <v>Uno 2006</v>
      </c>
      <c r="C1557" s="232" t="str">
        <f>IF(AND(A1557&lt;&gt;"",ISNUMBER(A1557)),VLOOKUP(A1557,Studies!A:BR,3,FALSE),"")</f>
        <v>https://www.ncbi.nlm.nih.gov/pubmed/16885720</v>
      </c>
      <c r="D1557" s="232" t="str">
        <f>IF(AND(A1557&lt;&gt;"",ISNUMBER(A1557)),VLOOKUP(A1557,Studies!A:BR,4,FALSE),"")</f>
        <v>day 6 (Japanese)</v>
      </c>
      <c r="E1557" s="206" t="str">
        <f>IF(AND(A1557&lt;&gt;"",ISNUMBER(A1557)),VLOOKUP(A1557,Studies!A:BR,5,FALSE),"")</f>
        <v>Itraconazole</v>
      </c>
      <c r="F1557" s="207" t="str">
        <f>IF(AND(A1557&lt;&gt;"",ISNUMBER(A1557)),VLOOKUP(A1557,Studies!A:BR,6,FALSE),"")</f>
        <v>Plasma</v>
      </c>
      <c r="G1557" s="194">
        <v>123</v>
      </c>
      <c r="H1557" s="194" t="s">
        <v>60</v>
      </c>
      <c r="I1557" s="187">
        <v>234.61538696289062</v>
      </c>
      <c r="J1557" s="187" t="s">
        <v>1026</v>
      </c>
      <c r="K1557" s="187" t="s">
        <v>116</v>
      </c>
      <c r="L1557" s="195"/>
      <c r="M1557" s="195"/>
      <c r="N1557" s="195"/>
      <c r="O1557" s="199"/>
      <c r="P1557" s="188" t="s">
        <v>1122</v>
      </c>
      <c r="Q1557" s="174">
        <f>IF(ISNUMBER(VLOOKUP(A1557,NotghiID!A:A,1,FALSE)),1,0)</f>
        <v>0</v>
      </c>
    </row>
    <row r="1558" spans="1:17" ht="14.25" x14ac:dyDescent="0.2">
      <c r="A1558" s="183">
        <v>512</v>
      </c>
      <c r="B1558" s="232" t="str">
        <f>IF(AND(A1558&lt;&gt;"",ISNUMBER(A1558)),VLOOKUP(A1558,Studies!A:BR,2,FALSE),"")</f>
        <v>Uno 2006</v>
      </c>
      <c r="C1558" s="232" t="str">
        <f>IF(AND(A1558&lt;&gt;"",ISNUMBER(A1558)),VLOOKUP(A1558,Studies!A:BR,3,FALSE),"")</f>
        <v>https://www.ncbi.nlm.nih.gov/pubmed/16885720</v>
      </c>
      <c r="D1558" s="232" t="str">
        <f>IF(AND(A1558&lt;&gt;"",ISNUMBER(A1558)),VLOOKUP(A1558,Studies!A:BR,4,FALSE),"")</f>
        <v>day 6 (Japanese)</v>
      </c>
      <c r="E1558" s="206" t="str">
        <f>IF(AND(A1558&lt;&gt;"",ISNUMBER(A1558)),VLOOKUP(A1558,Studies!A:BR,5,FALSE),"")</f>
        <v>Itraconazole</v>
      </c>
      <c r="F1558" s="207" t="str">
        <f>IF(AND(A1558&lt;&gt;"",ISNUMBER(A1558)),VLOOKUP(A1558,Studies!A:BR,6,FALSE),"")</f>
        <v>Plasma</v>
      </c>
      <c r="G1558" s="194">
        <v>124</v>
      </c>
      <c r="H1558" s="194" t="s">
        <v>60</v>
      </c>
      <c r="I1558" s="187">
        <v>258.974365234375</v>
      </c>
      <c r="J1558" s="187" t="s">
        <v>1026</v>
      </c>
      <c r="K1558" s="187" t="s">
        <v>116</v>
      </c>
      <c r="L1558" s="195"/>
      <c r="M1558" s="195"/>
      <c r="N1558" s="195"/>
      <c r="O1558" s="199"/>
      <c r="P1558" s="188" t="s">
        <v>1122</v>
      </c>
      <c r="Q1558" s="174">
        <f>IF(ISNUMBER(VLOOKUP(A1558,NotghiID!A:A,1,FALSE)),1,0)</f>
        <v>0</v>
      </c>
    </row>
    <row r="1559" spans="1:17" ht="14.25" x14ac:dyDescent="0.2">
      <c r="A1559" s="183">
        <v>512</v>
      </c>
      <c r="B1559" s="232" t="str">
        <f>IF(AND(A1559&lt;&gt;"",ISNUMBER(A1559)),VLOOKUP(A1559,Studies!A:BR,2,FALSE),"")</f>
        <v>Uno 2006</v>
      </c>
      <c r="C1559" s="232" t="str">
        <f>IF(AND(A1559&lt;&gt;"",ISNUMBER(A1559)),VLOOKUP(A1559,Studies!A:BR,3,FALSE),"")</f>
        <v>https://www.ncbi.nlm.nih.gov/pubmed/16885720</v>
      </c>
      <c r="D1559" s="232" t="str">
        <f>IF(AND(A1559&lt;&gt;"",ISNUMBER(A1559)),VLOOKUP(A1559,Studies!A:BR,4,FALSE),"")</f>
        <v>day 6 (Japanese)</v>
      </c>
      <c r="E1559" s="206" t="str">
        <f>IF(AND(A1559&lt;&gt;"",ISNUMBER(A1559)),VLOOKUP(A1559,Studies!A:BR,5,FALSE),"")</f>
        <v>Itraconazole</v>
      </c>
      <c r="F1559" s="207" t="str">
        <f>IF(AND(A1559&lt;&gt;"",ISNUMBER(A1559)),VLOOKUP(A1559,Studies!A:BR,6,FALSE),"")</f>
        <v>Plasma</v>
      </c>
      <c r="G1559" s="194">
        <v>126</v>
      </c>
      <c r="H1559" s="194" t="s">
        <v>60</v>
      </c>
      <c r="I1559" s="187">
        <v>202.56410217285156</v>
      </c>
      <c r="J1559" s="187" t="s">
        <v>1026</v>
      </c>
      <c r="K1559" s="187" t="s">
        <v>116</v>
      </c>
      <c r="L1559" s="195"/>
      <c r="M1559" s="195"/>
      <c r="N1559" s="195"/>
      <c r="O1559" s="199"/>
      <c r="P1559" s="188" t="s">
        <v>1122</v>
      </c>
      <c r="Q1559" s="174">
        <f>IF(ISNUMBER(VLOOKUP(A1559,NotghiID!A:A,1,FALSE)),1,0)</f>
        <v>0</v>
      </c>
    </row>
    <row r="1560" spans="1:17" ht="14.25" x14ac:dyDescent="0.2">
      <c r="A1560" s="183">
        <v>512</v>
      </c>
      <c r="B1560" s="232" t="str">
        <f>IF(AND(A1560&lt;&gt;"",ISNUMBER(A1560)),VLOOKUP(A1560,Studies!A:BR,2,FALSE),"")</f>
        <v>Uno 2006</v>
      </c>
      <c r="C1560" s="232" t="str">
        <f>IF(AND(A1560&lt;&gt;"",ISNUMBER(A1560)),VLOOKUP(A1560,Studies!A:BR,3,FALSE),"")</f>
        <v>https://www.ncbi.nlm.nih.gov/pubmed/16885720</v>
      </c>
      <c r="D1560" s="232" t="str">
        <f>IF(AND(A1560&lt;&gt;"",ISNUMBER(A1560)),VLOOKUP(A1560,Studies!A:BR,4,FALSE),"")</f>
        <v>day 6 (Japanese)</v>
      </c>
      <c r="E1560" s="206" t="str">
        <f>IF(AND(A1560&lt;&gt;"",ISNUMBER(A1560)),VLOOKUP(A1560,Studies!A:BR,5,FALSE),"")</f>
        <v>Itraconazole</v>
      </c>
      <c r="F1560" s="207" t="str">
        <f>IF(AND(A1560&lt;&gt;"",ISNUMBER(A1560)),VLOOKUP(A1560,Studies!A:BR,6,FALSE),"")</f>
        <v>Plasma</v>
      </c>
      <c r="G1560" s="194">
        <v>128</v>
      </c>
      <c r="H1560" s="194" t="s">
        <v>60</v>
      </c>
      <c r="I1560" s="187">
        <v>160.25640869140625</v>
      </c>
      <c r="J1560" s="187" t="s">
        <v>1026</v>
      </c>
      <c r="K1560" s="187" t="s">
        <v>116</v>
      </c>
      <c r="L1560" s="195"/>
      <c r="M1560" s="195"/>
      <c r="N1560" s="195"/>
      <c r="O1560" s="199"/>
      <c r="P1560" s="188" t="s">
        <v>1122</v>
      </c>
      <c r="Q1560" s="174">
        <f>IF(ISNUMBER(VLOOKUP(A1560,NotghiID!A:A,1,FALSE)),1,0)</f>
        <v>0</v>
      </c>
    </row>
    <row r="1561" spans="1:17" ht="14.25" x14ac:dyDescent="0.2">
      <c r="A1561" s="183">
        <v>512</v>
      </c>
      <c r="B1561" s="232" t="str">
        <f>IF(AND(A1561&lt;&gt;"",ISNUMBER(A1561)),VLOOKUP(A1561,Studies!A:BR,2,FALSE),"")</f>
        <v>Uno 2006</v>
      </c>
      <c r="C1561" s="232" t="str">
        <f>IF(AND(A1561&lt;&gt;"",ISNUMBER(A1561)),VLOOKUP(A1561,Studies!A:BR,3,FALSE),"")</f>
        <v>https://www.ncbi.nlm.nih.gov/pubmed/16885720</v>
      </c>
      <c r="D1561" s="232" t="str">
        <f>IF(AND(A1561&lt;&gt;"",ISNUMBER(A1561)),VLOOKUP(A1561,Studies!A:BR,4,FALSE),"")</f>
        <v>day 6 (Japanese)</v>
      </c>
      <c r="E1561" s="206" t="str">
        <f>IF(AND(A1561&lt;&gt;"",ISNUMBER(A1561)),VLOOKUP(A1561,Studies!A:BR,5,FALSE),"")</f>
        <v>Itraconazole</v>
      </c>
      <c r="F1561" s="207" t="str">
        <f>IF(AND(A1561&lt;&gt;"",ISNUMBER(A1561)),VLOOKUP(A1561,Studies!A:BR,6,FALSE),"")</f>
        <v>Plasma</v>
      </c>
      <c r="G1561" s="194">
        <v>132</v>
      </c>
      <c r="H1561" s="194" t="s">
        <v>60</v>
      </c>
      <c r="I1561" s="187">
        <v>123.07692718505859</v>
      </c>
      <c r="J1561" s="187" t="s">
        <v>1026</v>
      </c>
      <c r="K1561" s="187" t="s">
        <v>116</v>
      </c>
      <c r="L1561" s="195"/>
      <c r="M1561" s="195"/>
      <c r="N1561" s="195"/>
      <c r="O1561" s="199"/>
      <c r="P1561" s="188" t="s">
        <v>1122</v>
      </c>
      <c r="Q1561" s="174">
        <f>IF(ISNUMBER(VLOOKUP(A1561,NotghiID!A:A,1,FALSE)),1,0)</f>
        <v>0</v>
      </c>
    </row>
    <row r="1562" spans="1:17" ht="14.25" x14ac:dyDescent="0.2">
      <c r="A1562" s="183">
        <v>512</v>
      </c>
      <c r="B1562" s="232" t="str">
        <f>IF(AND(A1562&lt;&gt;"",ISNUMBER(A1562)),VLOOKUP(A1562,Studies!A:BR,2,FALSE),"")</f>
        <v>Uno 2006</v>
      </c>
      <c r="C1562" s="232" t="str">
        <f>IF(AND(A1562&lt;&gt;"",ISNUMBER(A1562)),VLOOKUP(A1562,Studies!A:BR,3,FALSE),"")</f>
        <v>https://www.ncbi.nlm.nih.gov/pubmed/16885720</v>
      </c>
      <c r="D1562" s="232" t="str">
        <f>IF(AND(A1562&lt;&gt;"",ISNUMBER(A1562)),VLOOKUP(A1562,Studies!A:BR,4,FALSE),"")</f>
        <v>day 6 (Japanese)</v>
      </c>
      <c r="E1562" s="206" t="str">
        <f>IF(AND(A1562&lt;&gt;"",ISNUMBER(A1562)),VLOOKUP(A1562,Studies!A:BR,5,FALSE),"")</f>
        <v>Itraconazole</v>
      </c>
      <c r="F1562" s="207" t="str">
        <f>IF(AND(A1562&lt;&gt;"",ISNUMBER(A1562)),VLOOKUP(A1562,Studies!A:BR,6,FALSE),"")</f>
        <v>Plasma</v>
      </c>
      <c r="G1562" s="194">
        <v>144</v>
      </c>
      <c r="H1562" s="194" t="s">
        <v>60</v>
      </c>
      <c r="I1562" s="187">
        <v>88.461540222167969</v>
      </c>
      <c r="J1562" s="187" t="s">
        <v>1026</v>
      </c>
      <c r="K1562" s="187" t="s">
        <v>116</v>
      </c>
      <c r="L1562" s="195"/>
      <c r="M1562" s="195"/>
      <c r="N1562" s="195"/>
      <c r="O1562" s="199"/>
      <c r="P1562" s="188" t="s">
        <v>1122</v>
      </c>
      <c r="Q1562" s="174">
        <f>IF(ISNUMBER(VLOOKUP(A1562,NotghiID!A:A,1,FALSE)),1,0)</f>
        <v>0</v>
      </c>
    </row>
    <row r="1563" spans="1:17" ht="14.25" x14ac:dyDescent="0.2">
      <c r="A1563" s="183">
        <v>513</v>
      </c>
      <c r="B1563" s="232" t="str">
        <f>IF(AND(A1563&lt;&gt;"",ISNUMBER(A1563)),VLOOKUP(A1563,Studies!A:BR,2,FALSE),"")</f>
        <v>Uno 2006</v>
      </c>
      <c r="C1563" s="232" t="str">
        <f>IF(AND(A1563&lt;&gt;"",ISNUMBER(A1563)),VLOOKUP(A1563,Studies!A:BR,3,FALSE),"")</f>
        <v>https://www.ncbi.nlm.nih.gov/pubmed/16885720</v>
      </c>
      <c r="D1563" s="232" t="str">
        <f>IF(AND(A1563&lt;&gt;"",ISNUMBER(A1563)),VLOOKUP(A1563,Studies!A:BR,4,FALSE),"")</f>
        <v>day 6 (Japanese)</v>
      </c>
      <c r="E1563" s="206" t="str">
        <f>IF(AND(A1563&lt;&gt;"",ISNUMBER(A1563)),VLOOKUP(A1563,Studies!A:BR,5,FALSE),"")</f>
        <v>Hydroxy-Itraconazole</v>
      </c>
      <c r="F1563" s="207" t="str">
        <f>IF(AND(A1563&lt;&gt;"",ISNUMBER(A1563)),VLOOKUP(A1563,Studies!A:BR,6,FALSE),"")</f>
        <v>Plasma</v>
      </c>
      <c r="G1563" s="194">
        <v>120</v>
      </c>
      <c r="H1563" s="194" t="s">
        <v>60</v>
      </c>
      <c r="I1563" s="187">
        <v>229.37364196777344</v>
      </c>
      <c r="J1563" s="187" t="s">
        <v>1026</v>
      </c>
      <c r="K1563" s="187" t="s">
        <v>116</v>
      </c>
      <c r="L1563" s="195"/>
      <c r="M1563" s="195"/>
      <c r="N1563" s="195"/>
      <c r="O1563" s="199"/>
      <c r="P1563" s="188" t="s">
        <v>1122</v>
      </c>
      <c r="Q1563" s="174">
        <f>IF(ISNUMBER(VLOOKUP(A1563,NotghiID!A:A,1,FALSE)),1,0)</f>
        <v>0</v>
      </c>
    </row>
    <row r="1564" spans="1:17" ht="14.25" x14ac:dyDescent="0.2">
      <c r="A1564" s="183">
        <v>513</v>
      </c>
      <c r="B1564" s="232" t="str">
        <f>IF(AND(A1564&lt;&gt;"",ISNUMBER(A1564)),VLOOKUP(A1564,Studies!A:BR,2,FALSE),"")</f>
        <v>Uno 2006</v>
      </c>
      <c r="C1564" s="232" t="str">
        <f>IF(AND(A1564&lt;&gt;"",ISNUMBER(A1564)),VLOOKUP(A1564,Studies!A:BR,3,FALSE),"")</f>
        <v>https://www.ncbi.nlm.nih.gov/pubmed/16885720</v>
      </c>
      <c r="D1564" s="232" t="str">
        <f>IF(AND(A1564&lt;&gt;"",ISNUMBER(A1564)),VLOOKUP(A1564,Studies!A:BR,4,FALSE),"")</f>
        <v>day 6 (Japanese)</v>
      </c>
      <c r="E1564" s="206" t="str">
        <f>IF(AND(A1564&lt;&gt;"",ISNUMBER(A1564)),VLOOKUP(A1564,Studies!A:BR,5,FALSE),"")</f>
        <v>Hydroxy-Itraconazole</v>
      </c>
      <c r="F1564" s="207" t="str">
        <f>IF(AND(A1564&lt;&gt;"",ISNUMBER(A1564)),VLOOKUP(A1564,Studies!A:BR,6,FALSE),"")</f>
        <v>Plasma</v>
      </c>
      <c r="G1564" s="194">
        <v>120.5</v>
      </c>
      <c r="H1564" s="194" t="s">
        <v>60</v>
      </c>
      <c r="I1564" s="187">
        <v>220.3023681640625</v>
      </c>
      <c r="J1564" s="187" t="s">
        <v>1026</v>
      </c>
      <c r="K1564" s="187" t="s">
        <v>116</v>
      </c>
      <c r="L1564" s="195"/>
      <c r="M1564" s="195"/>
      <c r="N1564" s="195"/>
      <c r="O1564" s="199"/>
      <c r="P1564" s="188" t="s">
        <v>1122</v>
      </c>
      <c r="Q1564" s="174">
        <f>IF(ISNUMBER(VLOOKUP(A1564,NotghiID!A:A,1,FALSE)),1,0)</f>
        <v>0</v>
      </c>
    </row>
    <row r="1565" spans="1:17" ht="14.25" x14ac:dyDescent="0.2">
      <c r="A1565" s="183">
        <v>513</v>
      </c>
      <c r="B1565" s="232" t="str">
        <f>IF(AND(A1565&lt;&gt;"",ISNUMBER(A1565)),VLOOKUP(A1565,Studies!A:BR,2,FALSE),"")</f>
        <v>Uno 2006</v>
      </c>
      <c r="C1565" s="232" t="str">
        <f>IF(AND(A1565&lt;&gt;"",ISNUMBER(A1565)),VLOOKUP(A1565,Studies!A:BR,3,FALSE),"")</f>
        <v>https://www.ncbi.nlm.nih.gov/pubmed/16885720</v>
      </c>
      <c r="D1565" s="232" t="str">
        <f>IF(AND(A1565&lt;&gt;"",ISNUMBER(A1565)),VLOOKUP(A1565,Studies!A:BR,4,FALSE),"")</f>
        <v>day 6 (Japanese)</v>
      </c>
      <c r="E1565" s="206" t="str">
        <f>IF(AND(A1565&lt;&gt;"",ISNUMBER(A1565)),VLOOKUP(A1565,Studies!A:BR,5,FALSE),"")</f>
        <v>Hydroxy-Itraconazole</v>
      </c>
      <c r="F1565" s="207" t="str">
        <f>IF(AND(A1565&lt;&gt;"",ISNUMBER(A1565)),VLOOKUP(A1565,Studies!A:BR,6,FALSE),"")</f>
        <v>Plasma</v>
      </c>
      <c r="G1565" s="194">
        <v>121</v>
      </c>
      <c r="H1565" s="194" t="s">
        <v>60</v>
      </c>
      <c r="I1565" s="187">
        <v>237.14901733398437</v>
      </c>
      <c r="J1565" s="187" t="s">
        <v>1026</v>
      </c>
      <c r="K1565" s="187" t="s">
        <v>116</v>
      </c>
      <c r="L1565" s="195"/>
      <c r="M1565" s="195"/>
      <c r="N1565" s="195"/>
      <c r="O1565" s="199"/>
      <c r="P1565" s="188" t="s">
        <v>1122</v>
      </c>
      <c r="Q1565" s="174">
        <f>IF(ISNUMBER(VLOOKUP(A1565,NotghiID!A:A,1,FALSE)),1,0)</f>
        <v>0</v>
      </c>
    </row>
    <row r="1566" spans="1:17" ht="14.25" x14ac:dyDescent="0.2">
      <c r="A1566" s="183">
        <v>513</v>
      </c>
      <c r="B1566" s="232" t="str">
        <f>IF(AND(A1566&lt;&gt;"",ISNUMBER(A1566)),VLOOKUP(A1566,Studies!A:BR,2,FALSE),"")</f>
        <v>Uno 2006</v>
      </c>
      <c r="C1566" s="232" t="str">
        <f>IF(AND(A1566&lt;&gt;"",ISNUMBER(A1566)),VLOOKUP(A1566,Studies!A:BR,3,FALSE),"")</f>
        <v>https://www.ncbi.nlm.nih.gov/pubmed/16885720</v>
      </c>
      <c r="D1566" s="232" t="str">
        <f>IF(AND(A1566&lt;&gt;"",ISNUMBER(A1566)),VLOOKUP(A1566,Studies!A:BR,4,FALSE),"")</f>
        <v>day 6 (Japanese)</v>
      </c>
      <c r="E1566" s="206" t="str">
        <f>IF(AND(A1566&lt;&gt;"",ISNUMBER(A1566)),VLOOKUP(A1566,Studies!A:BR,5,FALSE),"")</f>
        <v>Hydroxy-Itraconazole</v>
      </c>
      <c r="F1566" s="207" t="str">
        <f>IF(AND(A1566&lt;&gt;"",ISNUMBER(A1566)),VLOOKUP(A1566,Studies!A:BR,6,FALSE),"")</f>
        <v>Plasma</v>
      </c>
      <c r="G1566" s="194">
        <v>121.5</v>
      </c>
      <c r="H1566" s="194" t="s">
        <v>60</v>
      </c>
      <c r="I1566" s="187">
        <v>279.91360473632812</v>
      </c>
      <c r="J1566" s="187" t="s">
        <v>1026</v>
      </c>
      <c r="K1566" s="187" t="s">
        <v>116</v>
      </c>
      <c r="L1566" s="195"/>
      <c r="M1566" s="195"/>
      <c r="N1566" s="195"/>
      <c r="O1566" s="199"/>
      <c r="P1566" s="188" t="s">
        <v>1122</v>
      </c>
      <c r="Q1566" s="174">
        <f>IF(ISNUMBER(VLOOKUP(A1566,NotghiID!A:A,1,FALSE)),1,0)</f>
        <v>0</v>
      </c>
    </row>
    <row r="1567" spans="1:17" ht="14.25" x14ac:dyDescent="0.2">
      <c r="A1567" s="183">
        <v>513</v>
      </c>
      <c r="B1567" s="232" t="str">
        <f>IF(AND(A1567&lt;&gt;"",ISNUMBER(A1567)),VLOOKUP(A1567,Studies!A:BR,2,FALSE),"")</f>
        <v>Uno 2006</v>
      </c>
      <c r="C1567" s="232" t="str">
        <f>IF(AND(A1567&lt;&gt;"",ISNUMBER(A1567)),VLOOKUP(A1567,Studies!A:BR,3,FALSE),"")</f>
        <v>https://www.ncbi.nlm.nih.gov/pubmed/16885720</v>
      </c>
      <c r="D1567" s="232" t="str">
        <f>IF(AND(A1567&lt;&gt;"",ISNUMBER(A1567)),VLOOKUP(A1567,Studies!A:BR,4,FALSE),"")</f>
        <v>day 6 (Japanese)</v>
      </c>
      <c r="E1567" s="206" t="str">
        <f>IF(AND(A1567&lt;&gt;"",ISNUMBER(A1567)),VLOOKUP(A1567,Studies!A:BR,5,FALSE),"")</f>
        <v>Hydroxy-Itraconazole</v>
      </c>
      <c r="F1567" s="207" t="str">
        <f>IF(AND(A1567&lt;&gt;"",ISNUMBER(A1567)),VLOOKUP(A1567,Studies!A:BR,6,FALSE),"")</f>
        <v>Plasma</v>
      </c>
      <c r="G1567" s="194">
        <v>122</v>
      </c>
      <c r="H1567" s="194" t="s">
        <v>60</v>
      </c>
      <c r="I1567" s="187">
        <v>347.30020141601562</v>
      </c>
      <c r="J1567" s="187" t="s">
        <v>1026</v>
      </c>
      <c r="K1567" s="187" t="s">
        <v>116</v>
      </c>
      <c r="L1567" s="195"/>
      <c r="M1567" s="195"/>
      <c r="N1567" s="195"/>
      <c r="O1567" s="199"/>
      <c r="P1567" s="188" t="s">
        <v>1122</v>
      </c>
      <c r="Q1567" s="174">
        <f>IF(ISNUMBER(VLOOKUP(A1567,NotghiID!A:A,1,FALSE)),1,0)</f>
        <v>0</v>
      </c>
    </row>
    <row r="1568" spans="1:17" ht="14.25" x14ac:dyDescent="0.2">
      <c r="A1568" s="183">
        <v>513</v>
      </c>
      <c r="B1568" s="232" t="str">
        <f>IF(AND(A1568&lt;&gt;"",ISNUMBER(A1568)),VLOOKUP(A1568,Studies!A:BR,2,FALSE),"")</f>
        <v>Uno 2006</v>
      </c>
      <c r="C1568" s="232" t="str">
        <f>IF(AND(A1568&lt;&gt;"",ISNUMBER(A1568)),VLOOKUP(A1568,Studies!A:BR,3,FALSE),"")</f>
        <v>https://www.ncbi.nlm.nih.gov/pubmed/16885720</v>
      </c>
      <c r="D1568" s="232" t="str">
        <f>IF(AND(A1568&lt;&gt;"",ISNUMBER(A1568)),VLOOKUP(A1568,Studies!A:BR,4,FALSE),"")</f>
        <v>day 6 (Japanese)</v>
      </c>
      <c r="E1568" s="206" t="str">
        <f>IF(AND(A1568&lt;&gt;"",ISNUMBER(A1568)),VLOOKUP(A1568,Studies!A:BR,5,FALSE),"")</f>
        <v>Hydroxy-Itraconazole</v>
      </c>
      <c r="F1568" s="207" t="str">
        <f>IF(AND(A1568&lt;&gt;"",ISNUMBER(A1568)),VLOOKUP(A1568,Studies!A:BR,6,FALSE),"")</f>
        <v>Plasma</v>
      </c>
      <c r="G1568" s="194">
        <v>123</v>
      </c>
      <c r="H1568" s="194" t="s">
        <v>60</v>
      </c>
      <c r="I1568" s="187">
        <v>399.13604736328125</v>
      </c>
      <c r="J1568" s="187" t="s">
        <v>1026</v>
      </c>
      <c r="K1568" s="187" t="s">
        <v>116</v>
      </c>
      <c r="L1568" s="195"/>
      <c r="M1568" s="195"/>
      <c r="N1568" s="195"/>
      <c r="O1568" s="199"/>
      <c r="P1568" s="188" t="s">
        <v>1122</v>
      </c>
      <c r="Q1568" s="174">
        <f>IF(ISNUMBER(VLOOKUP(A1568,NotghiID!A:A,1,FALSE)),1,0)</f>
        <v>0</v>
      </c>
    </row>
    <row r="1569" spans="1:17" ht="14.25" x14ac:dyDescent="0.2">
      <c r="A1569" s="183">
        <v>513</v>
      </c>
      <c r="B1569" s="232" t="str">
        <f>IF(AND(A1569&lt;&gt;"",ISNUMBER(A1569)),VLOOKUP(A1569,Studies!A:BR,2,FALSE),"")</f>
        <v>Uno 2006</v>
      </c>
      <c r="C1569" s="232" t="str">
        <f>IF(AND(A1569&lt;&gt;"",ISNUMBER(A1569)),VLOOKUP(A1569,Studies!A:BR,3,FALSE),"")</f>
        <v>https://www.ncbi.nlm.nih.gov/pubmed/16885720</v>
      </c>
      <c r="D1569" s="232" t="str">
        <f>IF(AND(A1569&lt;&gt;"",ISNUMBER(A1569)),VLOOKUP(A1569,Studies!A:BR,4,FALSE),"")</f>
        <v>day 6 (Japanese)</v>
      </c>
      <c r="E1569" s="206" t="str">
        <f>IF(AND(A1569&lt;&gt;"",ISNUMBER(A1569)),VLOOKUP(A1569,Studies!A:BR,5,FALSE),"")</f>
        <v>Hydroxy-Itraconazole</v>
      </c>
      <c r="F1569" s="207" t="str">
        <f>IF(AND(A1569&lt;&gt;"",ISNUMBER(A1569)),VLOOKUP(A1569,Studies!A:BR,6,FALSE),"")</f>
        <v>Plasma</v>
      </c>
      <c r="G1569" s="194">
        <v>124</v>
      </c>
      <c r="H1569" s="194" t="s">
        <v>60</v>
      </c>
      <c r="I1569" s="187">
        <v>400.43194580078125</v>
      </c>
      <c r="J1569" s="187" t="s">
        <v>1026</v>
      </c>
      <c r="K1569" s="187" t="s">
        <v>116</v>
      </c>
      <c r="L1569" s="195"/>
      <c r="M1569" s="195"/>
      <c r="N1569" s="195"/>
      <c r="O1569" s="199"/>
      <c r="P1569" s="188" t="s">
        <v>1122</v>
      </c>
      <c r="Q1569" s="174">
        <f>IF(ISNUMBER(VLOOKUP(A1569,NotghiID!A:A,1,FALSE)),1,0)</f>
        <v>0</v>
      </c>
    </row>
    <row r="1570" spans="1:17" ht="14.25" x14ac:dyDescent="0.2">
      <c r="A1570" s="183">
        <v>513</v>
      </c>
      <c r="B1570" s="232" t="str">
        <f>IF(AND(A1570&lt;&gt;"",ISNUMBER(A1570)),VLOOKUP(A1570,Studies!A:BR,2,FALSE),"")</f>
        <v>Uno 2006</v>
      </c>
      <c r="C1570" s="232" t="str">
        <f>IF(AND(A1570&lt;&gt;"",ISNUMBER(A1570)),VLOOKUP(A1570,Studies!A:BR,3,FALSE),"")</f>
        <v>https://www.ncbi.nlm.nih.gov/pubmed/16885720</v>
      </c>
      <c r="D1570" s="232" t="str">
        <f>IF(AND(A1570&lt;&gt;"",ISNUMBER(A1570)),VLOOKUP(A1570,Studies!A:BR,4,FALSE),"")</f>
        <v>day 6 (Japanese)</v>
      </c>
      <c r="E1570" s="206" t="str">
        <f>IF(AND(A1570&lt;&gt;"",ISNUMBER(A1570)),VLOOKUP(A1570,Studies!A:BR,5,FALSE),"")</f>
        <v>Hydroxy-Itraconazole</v>
      </c>
      <c r="F1570" s="207" t="str">
        <f>IF(AND(A1570&lt;&gt;"",ISNUMBER(A1570)),VLOOKUP(A1570,Studies!A:BR,6,FALSE),"")</f>
        <v>Plasma</v>
      </c>
      <c r="G1570" s="194">
        <v>126</v>
      </c>
      <c r="H1570" s="194" t="s">
        <v>60</v>
      </c>
      <c r="I1570" s="187">
        <v>422.46218872070313</v>
      </c>
      <c r="J1570" s="187" t="s">
        <v>1026</v>
      </c>
      <c r="K1570" s="187" t="s">
        <v>116</v>
      </c>
      <c r="L1570" s="195"/>
      <c r="M1570" s="195"/>
      <c r="N1570" s="195"/>
      <c r="O1570" s="199"/>
      <c r="P1570" s="188" t="s">
        <v>1122</v>
      </c>
      <c r="Q1570" s="174">
        <f>IF(ISNUMBER(VLOOKUP(A1570,NotghiID!A:A,1,FALSE)),1,0)</f>
        <v>0</v>
      </c>
    </row>
    <row r="1571" spans="1:17" ht="14.25" x14ac:dyDescent="0.2">
      <c r="A1571" s="183">
        <v>513</v>
      </c>
      <c r="B1571" s="232" t="str">
        <f>IF(AND(A1571&lt;&gt;"",ISNUMBER(A1571)),VLOOKUP(A1571,Studies!A:BR,2,FALSE),"")</f>
        <v>Uno 2006</v>
      </c>
      <c r="C1571" s="232" t="str">
        <f>IF(AND(A1571&lt;&gt;"",ISNUMBER(A1571)),VLOOKUP(A1571,Studies!A:BR,3,FALSE),"")</f>
        <v>https://www.ncbi.nlm.nih.gov/pubmed/16885720</v>
      </c>
      <c r="D1571" s="232" t="str">
        <f>IF(AND(A1571&lt;&gt;"",ISNUMBER(A1571)),VLOOKUP(A1571,Studies!A:BR,4,FALSE),"")</f>
        <v>day 6 (Japanese)</v>
      </c>
      <c r="E1571" s="206" t="str">
        <f>IF(AND(A1571&lt;&gt;"",ISNUMBER(A1571)),VLOOKUP(A1571,Studies!A:BR,5,FALSE),"")</f>
        <v>Hydroxy-Itraconazole</v>
      </c>
      <c r="F1571" s="207" t="str">
        <f>IF(AND(A1571&lt;&gt;"",ISNUMBER(A1571)),VLOOKUP(A1571,Studies!A:BR,6,FALSE),"")</f>
        <v>Plasma</v>
      </c>
      <c r="G1571" s="194">
        <v>128</v>
      </c>
      <c r="H1571" s="194" t="s">
        <v>60</v>
      </c>
      <c r="I1571" s="187">
        <v>369.3304443359375</v>
      </c>
      <c r="J1571" s="187" t="s">
        <v>1026</v>
      </c>
      <c r="K1571" s="187" t="s">
        <v>116</v>
      </c>
      <c r="L1571" s="195"/>
      <c r="M1571" s="195"/>
      <c r="N1571" s="195"/>
      <c r="O1571" s="199"/>
      <c r="P1571" s="188" t="s">
        <v>1122</v>
      </c>
      <c r="Q1571" s="174">
        <f>IF(ISNUMBER(VLOOKUP(A1571,NotghiID!A:A,1,FALSE)),1,0)</f>
        <v>0</v>
      </c>
    </row>
    <row r="1572" spans="1:17" ht="14.25" x14ac:dyDescent="0.2">
      <c r="A1572" s="183">
        <v>513</v>
      </c>
      <c r="B1572" s="232" t="str">
        <f>IF(AND(A1572&lt;&gt;"",ISNUMBER(A1572)),VLOOKUP(A1572,Studies!A:BR,2,FALSE),"")</f>
        <v>Uno 2006</v>
      </c>
      <c r="C1572" s="232" t="str">
        <f>IF(AND(A1572&lt;&gt;"",ISNUMBER(A1572)),VLOOKUP(A1572,Studies!A:BR,3,FALSE),"")</f>
        <v>https://www.ncbi.nlm.nih.gov/pubmed/16885720</v>
      </c>
      <c r="D1572" s="232" t="str">
        <f>IF(AND(A1572&lt;&gt;"",ISNUMBER(A1572)),VLOOKUP(A1572,Studies!A:BR,4,FALSE),"")</f>
        <v>day 6 (Japanese)</v>
      </c>
      <c r="E1572" s="206" t="str">
        <f>IF(AND(A1572&lt;&gt;"",ISNUMBER(A1572)),VLOOKUP(A1572,Studies!A:BR,5,FALSE),"")</f>
        <v>Hydroxy-Itraconazole</v>
      </c>
      <c r="F1572" s="207" t="str">
        <f>IF(AND(A1572&lt;&gt;"",ISNUMBER(A1572)),VLOOKUP(A1572,Studies!A:BR,6,FALSE),"")</f>
        <v>Plasma</v>
      </c>
      <c r="G1572" s="194">
        <v>132</v>
      </c>
      <c r="H1572" s="194" t="s">
        <v>60</v>
      </c>
      <c r="I1572" s="187">
        <v>338.22894287109375</v>
      </c>
      <c r="J1572" s="187" t="s">
        <v>1026</v>
      </c>
      <c r="K1572" s="187" t="s">
        <v>116</v>
      </c>
      <c r="L1572" s="195"/>
      <c r="M1572" s="195"/>
      <c r="N1572" s="195"/>
      <c r="O1572" s="199"/>
      <c r="P1572" s="188" t="s">
        <v>1122</v>
      </c>
      <c r="Q1572" s="174">
        <f>IF(ISNUMBER(VLOOKUP(A1572,NotghiID!A:A,1,FALSE)),1,0)</f>
        <v>0</v>
      </c>
    </row>
    <row r="1573" spans="1:17" ht="14.25" x14ac:dyDescent="0.2">
      <c r="A1573" s="183">
        <v>513</v>
      </c>
      <c r="B1573" s="232" t="str">
        <f>IF(AND(A1573&lt;&gt;"",ISNUMBER(A1573)),VLOOKUP(A1573,Studies!A:BR,2,FALSE),"")</f>
        <v>Uno 2006</v>
      </c>
      <c r="C1573" s="232" t="str">
        <f>IF(AND(A1573&lt;&gt;"",ISNUMBER(A1573)),VLOOKUP(A1573,Studies!A:BR,3,FALSE),"")</f>
        <v>https://www.ncbi.nlm.nih.gov/pubmed/16885720</v>
      </c>
      <c r="D1573" s="232" t="str">
        <f>IF(AND(A1573&lt;&gt;"",ISNUMBER(A1573)),VLOOKUP(A1573,Studies!A:BR,4,FALSE),"")</f>
        <v>day 6 (Japanese)</v>
      </c>
      <c r="E1573" s="206" t="str">
        <f>IF(AND(A1573&lt;&gt;"",ISNUMBER(A1573)),VLOOKUP(A1573,Studies!A:BR,5,FALSE),"")</f>
        <v>Hydroxy-Itraconazole</v>
      </c>
      <c r="F1573" s="207" t="str">
        <f>IF(AND(A1573&lt;&gt;"",ISNUMBER(A1573)),VLOOKUP(A1573,Studies!A:BR,6,FALSE),"")</f>
        <v>Plasma</v>
      </c>
      <c r="G1573" s="194">
        <v>144</v>
      </c>
      <c r="H1573" s="194" t="s">
        <v>60</v>
      </c>
      <c r="I1573" s="187">
        <v>224.1900634765625</v>
      </c>
      <c r="J1573" s="187" t="s">
        <v>1026</v>
      </c>
      <c r="K1573" s="187" t="s">
        <v>116</v>
      </c>
      <c r="L1573" s="195"/>
      <c r="M1573" s="195"/>
      <c r="N1573" s="195"/>
      <c r="O1573" s="199"/>
      <c r="P1573" s="188" t="s">
        <v>1122</v>
      </c>
      <c r="Q1573" s="174">
        <f>IF(ISNUMBER(VLOOKUP(A1573,NotghiID!A:A,1,FALSE)),1,0)</f>
        <v>0</v>
      </c>
    </row>
    <row r="1574" spans="1:17" ht="14.25" x14ac:dyDescent="0.2">
      <c r="A1574" s="91">
        <v>514</v>
      </c>
      <c r="B1574" s="232" t="str">
        <f>IF(AND(A1574&lt;&gt;"",ISNUMBER(A1574)),VLOOKUP(A1574,Studies!A:BR,2,FALSE),"")</f>
        <v>Bae 2011</v>
      </c>
      <c r="C1574" s="232" t="str">
        <f>IF(AND(A1574&lt;&gt;"",ISNUMBER(A1574)),VLOOKUP(A1574,Studies!A:BR,3,FALSE),"")</f>
        <v>https://www.ncbi.nlm.nih.gov/pubmed/20400647</v>
      </c>
      <c r="D1574" s="232" t="str">
        <f>IF(AND(A1574&lt;&gt;"",ISNUMBER(A1574)),VLOOKUP(A1574,Studies!A:BR,4,FALSE),"")</f>
        <v>po 200 mg capsule with water (Korean)</v>
      </c>
      <c r="E1574" s="206" t="str">
        <f>IF(AND(A1574&lt;&gt;"",ISNUMBER(A1574)),VLOOKUP(A1574,Studies!A:BR,5,FALSE),"")</f>
        <v>Itraconazole</v>
      </c>
      <c r="F1574" s="207" t="str">
        <f>IF(AND(A1574&lt;&gt;"",ISNUMBER(A1574)),VLOOKUP(A1574,Studies!A:BR,6,FALSE),"")</f>
        <v>Plasma</v>
      </c>
      <c r="G1574" s="194">
        <v>0.5</v>
      </c>
      <c r="H1574" s="194" t="s">
        <v>60</v>
      </c>
      <c r="I1574" s="187">
        <v>10.278371810913086</v>
      </c>
      <c r="J1574" s="187" t="s">
        <v>1026</v>
      </c>
      <c r="K1574" s="187" t="s">
        <v>116</v>
      </c>
      <c r="L1574" s="195"/>
      <c r="M1574" s="195"/>
      <c r="N1574" s="195"/>
      <c r="O1574" s="199"/>
      <c r="P1574" s="188" t="s">
        <v>1122</v>
      </c>
      <c r="Q1574" s="174">
        <f>IF(ISNUMBER(VLOOKUP(A1574,NotghiID!A:A,1,FALSE)),1,0)</f>
        <v>0</v>
      </c>
    </row>
    <row r="1575" spans="1:17" ht="14.25" x14ac:dyDescent="0.2">
      <c r="A1575" s="91">
        <v>514</v>
      </c>
      <c r="B1575" s="232" t="str">
        <f>IF(AND(A1575&lt;&gt;"",ISNUMBER(A1575)),VLOOKUP(A1575,Studies!A:BR,2,FALSE),"")</f>
        <v>Bae 2011</v>
      </c>
      <c r="C1575" s="232" t="str">
        <f>IF(AND(A1575&lt;&gt;"",ISNUMBER(A1575)),VLOOKUP(A1575,Studies!A:BR,3,FALSE),"")</f>
        <v>https://www.ncbi.nlm.nih.gov/pubmed/20400647</v>
      </c>
      <c r="D1575" s="232" t="str">
        <f>IF(AND(A1575&lt;&gt;"",ISNUMBER(A1575)),VLOOKUP(A1575,Studies!A:BR,4,FALSE),"")</f>
        <v>po 200 mg capsule with water (Korean)</v>
      </c>
      <c r="E1575" s="206" t="str">
        <f>IF(AND(A1575&lt;&gt;"",ISNUMBER(A1575)),VLOOKUP(A1575,Studies!A:BR,5,FALSE),"")</f>
        <v>Itraconazole</v>
      </c>
      <c r="F1575" s="207" t="str">
        <f>IF(AND(A1575&lt;&gt;"",ISNUMBER(A1575)),VLOOKUP(A1575,Studies!A:BR,6,FALSE),"")</f>
        <v>Plasma</v>
      </c>
      <c r="G1575" s="194">
        <v>1</v>
      </c>
      <c r="H1575" s="194" t="s">
        <v>60</v>
      </c>
      <c r="I1575" s="187">
        <v>53.104923248291016</v>
      </c>
      <c r="J1575" s="187" t="s">
        <v>1026</v>
      </c>
      <c r="K1575" s="187" t="s">
        <v>116</v>
      </c>
      <c r="L1575" s="195"/>
      <c r="M1575" s="195"/>
      <c r="N1575" s="195"/>
      <c r="O1575" s="199"/>
      <c r="P1575" s="188" t="s">
        <v>1122</v>
      </c>
      <c r="Q1575" s="174">
        <f>IF(ISNUMBER(VLOOKUP(A1575,NotghiID!A:A,1,FALSE)),1,0)</f>
        <v>0</v>
      </c>
    </row>
    <row r="1576" spans="1:17" ht="14.25" x14ac:dyDescent="0.2">
      <c r="A1576" s="91">
        <v>514</v>
      </c>
      <c r="B1576" s="232" t="str">
        <f>IF(AND(A1576&lt;&gt;"",ISNUMBER(A1576)),VLOOKUP(A1576,Studies!A:BR,2,FALSE),"")</f>
        <v>Bae 2011</v>
      </c>
      <c r="C1576" s="232" t="str">
        <f>IF(AND(A1576&lt;&gt;"",ISNUMBER(A1576)),VLOOKUP(A1576,Studies!A:BR,3,FALSE),"")</f>
        <v>https://www.ncbi.nlm.nih.gov/pubmed/20400647</v>
      </c>
      <c r="D1576" s="232" t="str">
        <f>IF(AND(A1576&lt;&gt;"",ISNUMBER(A1576)),VLOOKUP(A1576,Studies!A:BR,4,FALSE),"")</f>
        <v>po 200 mg capsule with water (Korean)</v>
      </c>
      <c r="E1576" s="206" t="str">
        <f>IF(AND(A1576&lt;&gt;"",ISNUMBER(A1576)),VLOOKUP(A1576,Studies!A:BR,5,FALSE),"")</f>
        <v>Itraconazole</v>
      </c>
      <c r="F1576" s="207" t="str">
        <f>IF(AND(A1576&lt;&gt;"",ISNUMBER(A1576)),VLOOKUP(A1576,Studies!A:BR,6,FALSE),"")</f>
        <v>Plasma</v>
      </c>
      <c r="G1576" s="194">
        <v>1.5</v>
      </c>
      <c r="H1576" s="194" t="s">
        <v>60</v>
      </c>
      <c r="I1576" s="187">
        <v>123.34046936035156</v>
      </c>
      <c r="J1576" s="187" t="s">
        <v>1026</v>
      </c>
      <c r="K1576" s="187" t="s">
        <v>116</v>
      </c>
      <c r="L1576" s="195"/>
      <c r="M1576" s="195"/>
      <c r="N1576" s="195"/>
      <c r="O1576" s="199"/>
      <c r="P1576" s="188" t="s">
        <v>1122</v>
      </c>
      <c r="Q1576" s="174">
        <f>IF(ISNUMBER(VLOOKUP(A1576,NotghiID!A:A,1,FALSE)),1,0)</f>
        <v>0</v>
      </c>
    </row>
    <row r="1577" spans="1:17" ht="14.25" x14ac:dyDescent="0.2">
      <c r="A1577" s="91">
        <v>514</v>
      </c>
      <c r="B1577" s="232" t="str">
        <f>IF(AND(A1577&lt;&gt;"",ISNUMBER(A1577)),VLOOKUP(A1577,Studies!A:BR,2,FALSE),"")</f>
        <v>Bae 2011</v>
      </c>
      <c r="C1577" s="232" t="str">
        <f>IF(AND(A1577&lt;&gt;"",ISNUMBER(A1577)),VLOOKUP(A1577,Studies!A:BR,3,FALSE),"")</f>
        <v>https://www.ncbi.nlm.nih.gov/pubmed/20400647</v>
      </c>
      <c r="D1577" s="232" t="str">
        <f>IF(AND(A1577&lt;&gt;"",ISNUMBER(A1577)),VLOOKUP(A1577,Studies!A:BR,4,FALSE),"")</f>
        <v>po 200 mg capsule with water (Korean)</v>
      </c>
      <c r="E1577" s="206" t="str">
        <f>IF(AND(A1577&lt;&gt;"",ISNUMBER(A1577)),VLOOKUP(A1577,Studies!A:BR,5,FALSE),"")</f>
        <v>Itraconazole</v>
      </c>
      <c r="F1577" s="207" t="str">
        <f>IF(AND(A1577&lt;&gt;"",ISNUMBER(A1577)),VLOOKUP(A1577,Studies!A:BR,6,FALSE),"")</f>
        <v>Plasma</v>
      </c>
      <c r="G1577" s="194">
        <v>2</v>
      </c>
      <c r="H1577" s="194" t="s">
        <v>60</v>
      </c>
      <c r="I1577" s="187">
        <v>157.60171508789063</v>
      </c>
      <c r="J1577" s="187" t="s">
        <v>1026</v>
      </c>
      <c r="K1577" s="187" t="s">
        <v>116</v>
      </c>
      <c r="L1577" s="195"/>
      <c r="M1577" s="195"/>
      <c r="N1577" s="195"/>
      <c r="O1577" s="199"/>
      <c r="P1577" s="188" t="s">
        <v>1122</v>
      </c>
      <c r="Q1577" s="174">
        <f>IF(ISNUMBER(VLOOKUP(A1577,NotghiID!A:A,1,FALSE)),1,0)</f>
        <v>0</v>
      </c>
    </row>
    <row r="1578" spans="1:17" ht="14.25" x14ac:dyDescent="0.2">
      <c r="A1578" s="91">
        <v>514</v>
      </c>
      <c r="B1578" s="232" t="str">
        <f>IF(AND(A1578&lt;&gt;"",ISNUMBER(A1578)),VLOOKUP(A1578,Studies!A:BR,2,FALSE),"")</f>
        <v>Bae 2011</v>
      </c>
      <c r="C1578" s="232" t="str">
        <f>IF(AND(A1578&lt;&gt;"",ISNUMBER(A1578)),VLOOKUP(A1578,Studies!A:BR,3,FALSE),"")</f>
        <v>https://www.ncbi.nlm.nih.gov/pubmed/20400647</v>
      </c>
      <c r="D1578" s="232" t="str">
        <f>IF(AND(A1578&lt;&gt;"",ISNUMBER(A1578)),VLOOKUP(A1578,Studies!A:BR,4,FALSE),"")</f>
        <v>po 200 mg capsule with water (Korean)</v>
      </c>
      <c r="E1578" s="206" t="str">
        <f>IF(AND(A1578&lt;&gt;"",ISNUMBER(A1578)),VLOOKUP(A1578,Studies!A:BR,5,FALSE),"")</f>
        <v>Itraconazole</v>
      </c>
      <c r="F1578" s="207" t="str">
        <f>IF(AND(A1578&lt;&gt;"",ISNUMBER(A1578)),VLOOKUP(A1578,Studies!A:BR,6,FALSE),"")</f>
        <v>Plasma</v>
      </c>
      <c r="G1578" s="194">
        <v>2.5</v>
      </c>
      <c r="H1578" s="194" t="s">
        <v>60</v>
      </c>
      <c r="I1578" s="187">
        <v>181.58457946777344</v>
      </c>
      <c r="J1578" s="187" t="s">
        <v>1026</v>
      </c>
      <c r="K1578" s="187" t="s">
        <v>116</v>
      </c>
      <c r="L1578" s="195"/>
      <c r="M1578" s="195"/>
      <c r="N1578" s="195"/>
      <c r="O1578" s="199"/>
      <c r="P1578" s="188" t="s">
        <v>1122</v>
      </c>
      <c r="Q1578" s="174">
        <f>IF(ISNUMBER(VLOOKUP(A1578,NotghiID!A:A,1,FALSE)),1,0)</f>
        <v>0</v>
      </c>
    </row>
    <row r="1579" spans="1:17" ht="14.25" x14ac:dyDescent="0.2">
      <c r="A1579" s="91">
        <v>514</v>
      </c>
      <c r="B1579" s="232" t="str">
        <f>IF(AND(A1579&lt;&gt;"",ISNUMBER(A1579)),VLOOKUP(A1579,Studies!A:BR,2,FALSE),"")</f>
        <v>Bae 2011</v>
      </c>
      <c r="C1579" s="232" t="str">
        <f>IF(AND(A1579&lt;&gt;"",ISNUMBER(A1579)),VLOOKUP(A1579,Studies!A:BR,3,FALSE),"")</f>
        <v>https://www.ncbi.nlm.nih.gov/pubmed/20400647</v>
      </c>
      <c r="D1579" s="232" t="str">
        <f>IF(AND(A1579&lt;&gt;"",ISNUMBER(A1579)),VLOOKUP(A1579,Studies!A:BR,4,FALSE),"")</f>
        <v>po 200 mg capsule with water (Korean)</v>
      </c>
      <c r="E1579" s="206" t="str">
        <f>IF(AND(A1579&lt;&gt;"",ISNUMBER(A1579)),VLOOKUP(A1579,Studies!A:BR,5,FALSE),"")</f>
        <v>Itraconazole</v>
      </c>
      <c r="F1579" s="207" t="str">
        <f>IF(AND(A1579&lt;&gt;"",ISNUMBER(A1579)),VLOOKUP(A1579,Studies!A:BR,6,FALSE),"")</f>
        <v>Plasma</v>
      </c>
      <c r="G1579" s="194">
        <v>3</v>
      </c>
      <c r="H1579" s="194" t="s">
        <v>60</v>
      </c>
      <c r="I1579" s="187">
        <v>198.71519470214844</v>
      </c>
      <c r="J1579" s="187" t="s">
        <v>1026</v>
      </c>
      <c r="K1579" s="187" t="s">
        <v>116</v>
      </c>
      <c r="L1579" s="195"/>
      <c r="M1579" s="195"/>
      <c r="N1579" s="195"/>
      <c r="O1579" s="199"/>
      <c r="P1579" s="188" t="s">
        <v>1122</v>
      </c>
      <c r="Q1579" s="174">
        <f>IF(ISNUMBER(VLOOKUP(A1579,NotghiID!A:A,1,FALSE)),1,0)</f>
        <v>0</v>
      </c>
    </row>
    <row r="1580" spans="1:17" ht="14.25" x14ac:dyDescent="0.2">
      <c r="A1580" s="91">
        <v>514</v>
      </c>
      <c r="B1580" s="232" t="str">
        <f>IF(AND(A1580&lt;&gt;"",ISNUMBER(A1580)),VLOOKUP(A1580,Studies!A:BR,2,FALSE),"")</f>
        <v>Bae 2011</v>
      </c>
      <c r="C1580" s="232" t="str">
        <f>IF(AND(A1580&lt;&gt;"",ISNUMBER(A1580)),VLOOKUP(A1580,Studies!A:BR,3,FALSE),"")</f>
        <v>https://www.ncbi.nlm.nih.gov/pubmed/20400647</v>
      </c>
      <c r="D1580" s="232" t="str">
        <f>IF(AND(A1580&lt;&gt;"",ISNUMBER(A1580)),VLOOKUP(A1580,Studies!A:BR,4,FALSE),"")</f>
        <v>po 200 mg capsule with water (Korean)</v>
      </c>
      <c r="E1580" s="206" t="str">
        <f>IF(AND(A1580&lt;&gt;"",ISNUMBER(A1580)),VLOOKUP(A1580,Studies!A:BR,5,FALSE),"")</f>
        <v>Itraconazole</v>
      </c>
      <c r="F1580" s="207" t="str">
        <f>IF(AND(A1580&lt;&gt;"",ISNUMBER(A1580)),VLOOKUP(A1580,Studies!A:BR,6,FALSE),"")</f>
        <v>Plasma</v>
      </c>
      <c r="G1580" s="194">
        <v>3.5</v>
      </c>
      <c r="H1580" s="194" t="s">
        <v>60</v>
      </c>
      <c r="I1580" s="187">
        <v>205.56744384765625</v>
      </c>
      <c r="J1580" s="187" t="s">
        <v>1026</v>
      </c>
      <c r="K1580" s="187" t="s">
        <v>116</v>
      </c>
      <c r="L1580" s="195"/>
      <c r="M1580" s="195"/>
      <c r="N1580" s="195"/>
      <c r="O1580" s="199"/>
      <c r="P1580" s="188" t="s">
        <v>1122</v>
      </c>
      <c r="Q1580" s="174">
        <f>IF(ISNUMBER(VLOOKUP(A1580,NotghiID!A:A,1,FALSE)),1,0)</f>
        <v>0</v>
      </c>
    </row>
    <row r="1581" spans="1:17" ht="14.25" x14ac:dyDescent="0.2">
      <c r="A1581" s="91">
        <v>514</v>
      </c>
      <c r="B1581" s="232" t="str">
        <f>IF(AND(A1581&lt;&gt;"",ISNUMBER(A1581)),VLOOKUP(A1581,Studies!A:BR,2,FALSE),"")</f>
        <v>Bae 2011</v>
      </c>
      <c r="C1581" s="232" t="str">
        <f>IF(AND(A1581&lt;&gt;"",ISNUMBER(A1581)),VLOOKUP(A1581,Studies!A:BR,3,FALSE),"")</f>
        <v>https://www.ncbi.nlm.nih.gov/pubmed/20400647</v>
      </c>
      <c r="D1581" s="232" t="str">
        <f>IF(AND(A1581&lt;&gt;"",ISNUMBER(A1581)),VLOOKUP(A1581,Studies!A:BR,4,FALSE),"")</f>
        <v>po 200 mg capsule with water (Korean)</v>
      </c>
      <c r="E1581" s="206" t="str">
        <f>IF(AND(A1581&lt;&gt;"",ISNUMBER(A1581)),VLOOKUP(A1581,Studies!A:BR,5,FALSE),"")</f>
        <v>Itraconazole</v>
      </c>
      <c r="F1581" s="207" t="str">
        <f>IF(AND(A1581&lt;&gt;"",ISNUMBER(A1581)),VLOOKUP(A1581,Studies!A:BR,6,FALSE),"")</f>
        <v>Plasma</v>
      </c>
      <c r="G1581" s="194">
        <v>4</v>
      </c>
      <c r="H1581" s="194" t="s">
        <v>60</v>
      </c>
      <c r="I1581" s="187">
        <v>210.70663452148437</v>
      </c>
      <c r="J1581" s="187" t="s">
        <v>1026</v>
      </c>
      <c r="K1581" s="187" t="s">
        <v>116</v>
      </c>
      <c r="L1581" s="195"/>
      <c r="M1581" s="195"/>
      <c r="N1581" s="195"/>
      <c r="O1581" s="199"/>
      <c r="P1581" s="188" t="s">
        <v>1122</v>
      </c>
      <c r="Q1581" s="174">
        <f>IF(ISNUMBER(VLOOKUP(A1581,NotghiID!A:A,1,FALSE)),1,0)</f>
        <v>0</v>
      </c>
    </row>
    <row r="1582" spans="1:17" ht="14.25" x14ac:dyDescent="0.2">
      <c r="A1582" s="91">
        <v>514</v>
      </c>
      <c r="B1582" s="232" t="str">
        <f>IF(AND(A1582&lt;&gt;"",ISNUMBER(A1582)),VLOOKUP(A1582,Studies!A:BR,2,FALSE),"")</f>
        <v>Bae 2011</v>
      </c>
      <c r="C1582" s="232" t="str">
        <f>IF(AND(A1582&lt;&gt;"",ISNUMBER(A1582)),VLOOKUP(A1582,Studies!A:BR,3,FALSE),"")</f>
        <v>https://www.ncbi.nlm.nih.gov/pubmed/20400647</v>
      </c>
      <c r="D1582" s="232" t="str">
        <f>IF(AND(A1582&lt;&gt;"",ISNUMBER(A1582)),VLOOKUP(A1582,Studies!A:BR,4,FALSE),"")</f>
        <v>po 200 mg capsule with water (Korean)</v>
      </c>
      <c r="E1582" s="206" t="str">
        <f>IF(AND(A1582&lt;&gt;"",ISNUMBER(A1582)),VLOOKUP(A1582,Studies!A:BR,5,FALSE),"")</f>
        <v>Itraconazole</v>
      </c>
      <c r="F1582" s="207" t="str">
        <f>IF(AND(A1582&lt;&gt;"",ISNUMBER(A1582)),VLOOKUP(A1582,Studies!A:BR,6,FALSE),"")</f>
        <v>Plasma</v>
      </c>
      <c r="G1582" s="194">
        <v>5</v>
      </c>
      <c r="H1582" s="194" t="s">
        <v>60</v>
      </c>
      <c r="I1582" s="187">
        <v>167.88008117675781</v>
      </c>
      <c r="J1582" s="187" t="s">
        <v>1026</v>
      </c>
      <c r="K1582" s="187" t="s">
        <v>116</v>
      </c>
      <c r="L1582" s="195"/>
      <c r="M1582" s="195"/>
      <c r="N1582" s="195"/>
      <c r="O1582" s="199"/>
      <c r="P1582" s="188" t="s">
        <v>1122</v>
      </c>
      <c r="Q1582" s="174">
        <f>IF(ISNUMBER(VLOOKUP(A1582,NotghiID!A:A,1,FALSE)),1,0)</f>
        <v>0</v>
      </c>
    </row>
    <row r="1583" spans="1:17" ht="14.25" x14ac:dyDescent="0.2">
      <c r="A1583" s="91">
        <v>514</v>
      </c>
      <c r="B1583" s="232" t="str">
        <f>IF(AND(A1583&lt;&gt;"",ISNUMBER(A1583)),VLOOKUP(A1583,Studies!A:BR,2,FALSE),"")</f>
        <v>Bae 2011</v>
      </c>
      <c r="C1583" s="232" t="str">
        <f>IF(AND(A1583&lt;&gt;"",ISNUMBER(A1583)),VLOOKUP(A1583,Studies!A:BR,3,FALSE),"")</f>
        <v>https://www.ncbi.nlm.nih.gov/pubmed/20400647</v>
      </c>
      <c r="D1583" s="232" t="str">
        <f>IF(AND(A1583&lt;&gt;"",ISNUMBER(A1583)),VLOOKUP(A1583,Studies!A:BR,4,FALSE),"")</f>
        <v>po 200 mg capsule with water (Korean)</v>
      </c>
      <c r="E1583" s="206" t="str">
        <f>IF(AND(A1583&lt;&gt;"",ISNUMBER(A1583)),VLOOKUP(A1583,Studies!A:BR,5,FALSE),"")</f>
        <v>Itraconazole</v>
      </c>
      <c r="F1583" s="207" t="str">
        <f>IF(AND(A1583&lt;&gt;"",ISNUMBER(A1583)),VLOOKUP(A1583,Studies!A:BR,6,FALSE),"")</f>
        <v>Plasma</v>
      </c>
      <c r="G1583" s="194">
        <v>6</v>
      </c>
      <c r="H1583" s="194" t="s">
        <v>60</v>
      </c>
      <c r="I1583" s="187">
        <v>133.61883544921875</v>
      </c>
      <c r="J1583" s="187" t="s">
        <v>1026</v>
      </c>
      <c r="K1583" s="187" t="s">
        <v>116</v>
      </c>
      <c r="L1583" s="195"/>
      <c r="M1583" s="195"/>
      <c r="N1583" s="195"/>
      <c r="O1583" s="199"/>
      <c r="P1583" s="188" t="s">
        <v>1122</v>
      </c>
      <c r="Q1583" s="174">
        <f>IF(ISNUMBER(VLOOKUP(A1583,NotghiID!A:A,1,FALSE)),1,0)</f>
        <v>0</v>
      </c>
    </row>
    <row r="1584" spans="1:17" ht="14.25" x14ac:dyDescent="0.2">
      <c r="A1584" s="91">
        <v>514</v>
      </c>
      <c r="B1584" s="232" t="str">
        <f>IF(AND(A1584&lt;&gt;"",ISNUMBER(A1584)),VLOOKUP(A1584,Studies!A:BR,2,FALSE),"")</f>
        <v>Bae 2011</v>
      </c>
      <c r="C1584" s="232" t="str">
        <f>IF(AND(A1584&lt;&gt;"",ISNUMBER(A1584)),VLOOKUP(A1584,Studies!A:BR,3,FALSE),"")</f>
        <v>https://www.ncbi.nlm.nih.gov/pubmed/20400647</v>
      </c>
      <c r="D1584" s="232" t="str">
        <f>IF(AND(A1584&lt;&gt;"",ISNUMBER(A1584)),VLOOKUP(A1584,Studies!A:BR,4,FALSE),"")</f>
        <v>po 200 mg capsule with water (Korean)</v>
      </c>
      <c r="E1584" s="206" t="str">
        <f>IF(AND(A1584&lt;&gt;"",ISNUMBER(A1584)),VLOOKUP(A1584,Studies!A:BR,5,FALSE),"")</f>
        <v>Itraconazole</v>
      </c>
      <c r="F1584" s="207" t="str">
        <f>IF(AND(A1584&lt;&gt;"",ISNUMBER(A1584)),VLOOKUP(A1584,Studies!A:BR,6,FALSE),"")</f>
        <v>Plasma</v>
      </c>
      <c r="G1584" s="194">
        <v>8</v>
      </c>
      <c r="H1584" s="194" t="s">
        <v>60</v>
      </c>
      <c r="I1584" s="187">
        <v>101.07066345214844</v>
      </c>
      <c r="J1584" s="187" t="s">
        <v>1026</v>
      </c>
      <c r="K1584" s="187" t="s">
        <v>116</v>
      </c>
      <c r="L1584" s="195"/>
      <c r="M1584" s="195"/>
      <c r="N1584" s="195"/>
      <c r="O1584" s="199"/>
      <c r="P1584" s="188" t="s">
        <v>1122</v>
      </c>
      <c r="Q1584" s="174">
        <f>IF(ISNUMBER(VLOOKUP(A1584,NotghiID!A:A,1,FALSE)),1,0)</f>
        <v>0</v>
      </c>
    </row>
    <row r="1585" spans="1:17" ht="14.25" x14ac:dyDescent="0.2">
      <c r="A1585" s="91">
        <v>514</v>
      </c>
      <c r="B1585" s="232" t="str">
        <f>IF(AND(A1585&lt;&gt;"",ISNUMBER(A1585)),VLOOKUP(A1585,Studies!A:BR,2,FALSE),"")</f>
        <v>Bae 2011</v>
      </c>
      <c r="C1585" s="232" t="str">
        <f>IF(AND(A1585&lt;&gt;"",ISNUMBER(A1585)),VLOOKUP(A1585,Studies!A:BR,3,FALSE),"")</f>
        <v>https://www.ncbi.nlm.nih.gov/pubmed/20400647</v>
      </c>
      <c r="D1585" s="232" t="str">
        <f>IF(AND(A1585&lt;&gt;"",ISNUMBER(A1585)),VLOOKUP(A1585,Studies!A:BR,4,FALSE),"")</f>
        <v>po 200 mg capsule with water (Korean)</v>
      </c>
      <c r="E1585" s="206" t="str">
        <f>IF(AND(A1585&lt;&gt;"",ISNUMBER(A1585)),VLOOKUP(A1585,Studies!A:BR,5,FALSE),"")</f>
        <v>Itraconazole</v>
      </c>
      <c r="F1585" s="207" t="str">
        <f>IF(AND(A1585&lt;&gt;"",ISNUMBER(A1585)),VLOOKUP(A1585,Studies!A:BR,6,FALSE),"")</f>
        <v>Plasma</v>
      </c>
      <c r="G1585" s="194">
        <v>12</v>
      </c>
      <c r="H1585" s="194" t="s">
        <v>60</v>
      </c>
      <c r="I1585" s="187">
        <v>53.104923248291016</v>
      </c>
      <c r="J1585" s="187" t="s">
        <v>1026</v>
      </c>
      <c r="K1585" s="187" t="s">
        <v>116</v>
      </c>
      <c r="L1585" s="195"/>
      <c r="M1585" s="195"/>
      <c r="N1585" s="195"/>
      <c r="O1585" s="199"/>
      <c r="P1585" s="188" t="s">
        <v>1122</v>
      </c>
      <c r="Q1585" s="174">
        <f>IF(ISNUMBER(VLOOKUP(A1585,NotghiID!A:A,1,FALSE)),1,0)</f>
        <v>0</v>
      </c>
    </row>
    <row r="1586" spans="1:17" ht="14.25" x14ac:dyDescent="0.2">
      <c r="A1586" s="91">
        <v>514</v>
      </c>
      <c r="B1586" s="232" t="str">
        <f>IF(AND(A1586&lt;&gt;"",ISNUMBER(A1586)),VLOOKUP(A1586,Studies!A:BR,2,FALSE),"")</f>
        <v>Bae 2011</v>
      </c>
      <c r="C1586" s="232" t="str">
        <f>IF(AND(A1586&lt;&gt;"",ISNUMBER(A1586)),VLOOKUP(A1586,Studies!A:BR,3,FALSE),"")</f>
        <v>https://www.ncbi.nlm.nih.gov/pubmed/20400647</v>
      </c>
      <c r="D1586" s="232" t="str">
        <f>IF(AND(A1586&lt;&gt;"",ISNUMBER(A1586)),VLOOKUP(A1586,Studies!A:BR,4,FALSE),"")</f>
        <v>po 200 mg capsule with water (Korean)</v>
      </c>
      <c r="E1586" s="206" t="str">
        <f>IF(AND(A1586&lt;&gt;"",ISNUMBER(A1586)),VLOOKUP(A1586,Studies!A:BR,5,FALSE),"")</f>
        <v>Itraconazole</v>
      </c>
      <c r="F1586" s="207" t="str">
        <f>IF(AND(A1586&lt;&gt;"",ISNUMBER(A1586)),VLOOKUP(A1586,Studies!A:BR,6,FALSE),"")</f>
        <v>Plasma</v>
      </c>
      <c r="G1586" s="194">
        <v>24</v>
      </c>
      <c r="H1586" s="194" t="s">
        <v>60</v>
      </c>
      <c r="I1586" s="187">
        <v>37.687366485595703</v>
      </c>
      <c r="J1586" s="187" t="s">
        <v>1026</v>
      </c>
      <c r="K1586" s="187" t="s">
        <v>116</v>
      </c>
      <c r="L1586" s="195"/>
      <c r="M1586" s="195"/>
      <c r="N1586" s="195"/>
      <c r="O1586" s="199"/>
      <c r="P1586" s="188" t="s">
        <v>1122</v>
      </c>
      <c r="Q1586" s="174">
        <f>IF(ISNUMBER(VLOOKUP(A1586,NotghiID!A:A,1,FALSE)),1,0)</f>
        <v>0</v>
      </c>
    </row>
    <row r="1587" spans="1:17" ht="14.25" x14ac:dyDescent="0.2">
      <c r="A1587" s="91">
        <v>514</v>
      </c>
      <c r="B1587" s="232" t="str">
        <f>IF(AND(A1587&lt;&gt;"",ISNUMBER(A1587)),VLOOKUP(A1587,Studies!A:BR,2,FALSE),"")</f>
        <v>Bae 2011</v>
      </c>
      <c r="C1587" s="232" t="str">
        <f>IF(AND(A1587&lt;&gt;"",ISNUMBER(A1587)),VLOOKUP(A1587,Studies!A:BR,3,FALSE),"")</f>
        <v>https://www.ncbi.nlm.nih.gov/pubmed/20400647</v>
      </c>
      <c r="D1587" s="232" t="str">
        <f>IF(AND(A1587&lt;&gt;"",ISNUMBER(A1587)),VLOOKUP(A1587,Studies!A:BR,4,FALSE),"")</f>
        <v>po 200 mg capsule with water (Korean)</v>
      </c>
      <c r="E1587" s="206" t="str">
        <f>IF(AND(A1587&lt;&gt;"",ISNUMBER(A1587)),VLOOKUP(A1587,Studies!A:BR,5,FALSE),"")</f>
        <v>Itraconazole</v>
      </c>
      <c r="F1587" s="207" t="str">
        <f>IF(AND(A1587&lt;&gt;"",ISNUMBER(A1587)),VLOOKUP(A1587,Studies!A:BR,6,FALSE),"")</f>
        <v>Plasma</v>
      </c>
      <c r="G1587" s="194">
        <v>36</v>
      </c>
      <c r="H1587" s="194" t="s">
        <v>60</v>
      </c>
      <c r="I1587" s="187">
        <v>23.982868194580078</v>
      </c>
      <c r="J1587" s="187" t="s">
        <v>1026</v>
      </c>
      <c r="K1587" s="187" t="s">
        <v>116</v>
      </c>
      <c r="L1587" s="195"/>
      <c r="M1587" s="195"/>
      <c r="N1587" s="195"/>
      <c r="O1587" s="199"/>
      <c r="P1587" s="188" t="s">
        <v>1122</v>
      </c>
      <c r="Q1587" s="174">
        <f>IF(ISNUMBER(VLOOKUP(A1587,NotghiID!A:A,1,FALSE)),1,0)</f>
        <v>0</v>
      </c>
    </row>
    <row r="1588" spans="1:17" ht="14.25" x14ac:dyDescent="0.2">
      <c r="A1588" s="91">
        <v>514</v>
      </c>
      <c r="B1588" s="232" t="str">
        <f>IF(AND(A1588&lt;&gt;"",ISNUMBER(A1588)),VLOOKUP(A1588,Studies!A:BR,2,FALSE),"")</f>
        <v>Bae 2011</v>
      </c>
      <c r="C1588" s="232" t="str">
        <f>IF(AND(A1588&lt;&gt;"",ISNUMBER(A1588)),VLOOKUP(A1588,Studies!A:BR,3,FALSE),"")</f>
        <v>https://www.ncbi.nlm.nih.gov/pubmed/20400647</v>
      </c>
      <c r="D1588" s="232" t="str">
        <f>IF(AND(A1588&lt;&gt;"",ISNUMBER(A1588)),VLOOKUP(A1588,Studies!A:BR,4,FALSE),"")</f>
        <v>po 200 mg capsule with water (Korean)</v>
      </c>
      <c r="E1588" s="206" t="str">
        <f>IF(AND(A1588&lt;&gt;"",ISNUMBER(A1588)),VLOOKUP(A1588,Studies!A:BR,5,FALSE),"")</f>
        <v>Itraconazole</v>
      </c>
      <c r="F1588" s="207" t="str">
        <f>IF(AND(A1588&lt;&gt;"",ISNUMBER(A1588)),VLOOKUP(A1588,Studies!A:BR,6,FALSE),"")</f>
        <v>Plasma</v>
      </c>
      <c r="G1588" s="194">
        <v>48</v>
      </c>
      <c r="H1588" s="194" t="s">
        <v>60</v>
      </c>
      <c r="I1588" s="187">
        <v>18.843683242797852</v>
      </c>
      <c r="J1588" s="187" t="s">
        <v>1026</v>
      </c>
      <c r="K1588" s="187" t="s">
        <v>116</v>
      </c>
      <c r="L1588" s="195"/>
      <c r="M1588" s="195"/>
      <c r="N1588" s="195"/>
      <c r="O1588" s="199"/>
      <c r="P1588" s="188" t="s">
        <v>1122</v>
      </c>
      <c r="Q1588" s="174">
        <f>IF(ISNUMBER(VLOOKUP(A1588,NotghiID!A:A,1,FALSE)),1,0)</f>
        <v>0</v>
      </c>
    </row>
    <row r="1589" spans="1:17" ht="14.25" x14ac:dyDescent="0.2">
      <c r="A1589" s="183">
        <v>515</v>
      </c>
      <c r="B1589" s="232" t="str">
        <f>IF(AND(A1589&lt;&gt;"",ISNUMBER(A1589)),VLOOKUP(A1589,Studies!A:BR,2,FALSE),"")</f>
        <v>Bae 2011</v>
      </c>
      <c r="C1589" s="232" t="str">
        <f>IF(AND(A1589&lt;&gt;"",ISNUMBER(A1589)),VLOOKUP(A1589,Studies!A:BR,3,FALSE),"")</f>
        <v>https://www.ncbi.nlm.nih.gov/pubmed/20400647</v>
      </c>
      <c r="D1589" s="232" t="str">
        <f>IF(AND(A1589&lt;&gt;"",ISNUMBER(A1589)),VLOOKUP(A1589,Studies!A:BR,4,FALSE),"")</f>
        <v>po 200 mg capsule with water (Korean)</v>
      </c>
      <c r="E1589" s="206" t="str">
        <f>IF(AND(A1589&lt;&gt;"",ISNUMBER(A1589)),VLOOKUP(A1589,Studies!A:BR,5,FALSE),"")</f>
        <v>Hydroxy-Itraconazole</v>
      </c>
      <c r="F1589" s="207" t="str">
        <f>IF(AND(A1589&lt;&gt;"",ISNUMBER(A1589)),VLOOKUP(A1589,Studies!A:BR,6,FALSE),"")</f>
        <v>Plasma</v>
      </c>
      <c r="G1589" s="194">
        <v>0.5</v>
      </c>
      <c r="H1589" s="194" t="s">
        <v>60</v>
      </c>
      <c r="I1589" s="187">
        <v>20.512821197509766</v>
      </c>
      <c r="J1589" s="187" t="s">
        <v>1026</v>
      </c>
      <c r="K1589" s="187" t="s">
        <v>116</v>
      </c>
      <c r="L1589" s="195"/>
      <c r="M1589" s="195"/>
      <c r="N1589" s="195"/>
      <c r="O1589" s="199"/>
      <c r="P1589" s="188" t="s">
        <v>1122</v>
      </c>
      <c r="Q1589" s="174">
        <f>IF(ISNUMBER(VLOOKUP(A1589,NotghiID!A:A,1,FALSE)),1,0)</f>
        <v>0</v>
      </c>
    </row>
    <row r="1590" spans="1:17" ht="14.25" x14ac:dyDescent="0.2">
      <c r="A1590" s="183">
        <v>515</v>
      </c>
      <c r="B1590" s="232" t="str">
        <f>IF(AND(A1590&lt;&gt;"",ISNUMBER(A1590)),VLOOKUP(A1590,Studies!A:BR,2,FALSE),"")</f>
        <v>Bae 2011</v>
      </c>
      <c r="C1590" s="232" t="str">
        <f>IF(AND(A1590&lt;&gt;"",ISNUMBER(A1590)),VLOOKUP(A1590,Studies!A:BR,3,FALSE),"")</f>
        <v>https://www.ncbi.nlm.nih.gov/pubmed/20400647</v>
      </c>
      <c r="D1590" s="232" t="str">
        <f>IF(AND(A1590&lt;&gt;"",ISNUMBER(A1590)),VLOOKUP(A1590,Studies!A:BR,4,FALSE),"")</f>
        <v>po 200 mg capsule with water (Korean)</v>
      </c>
      <c r="E1590" s="206" t="str">
        <f>IF(AND(A1590&lt;&gt;"",ISNUMBER(A1590)),VLOOKUP(A1590,Studies!A:BR,5,FALSE),"")</f>
        <v>Hydroxy-Itraconazole</v>
      </c>
      <c r="F1590" s="207" t="str">
        <f>IF(AND(A1590&lt;&gt;"",ISNUMBER(A1590)),VLOOKUP(A1590,Studies!A:BR,6,FALSE),"")</f>
        <v>Plasma</v>
      </c>
      <c r="G1590" s="194">
        <v>1</v>
      </c>
      <c r="H1590" s="194" t="s">
        <v>60</v>
      </c>
      <c r="I1590" s="187">
        <v>97.435897827148438</v>
      </c>
      <c r="J1590" s="187" t="s">
        <v>1026</v>
      </c>
      <c r="K1590" s="187" t="s">
        <v>116</v>
      </c>
      <c r="L1590" s="195"/>
      <c r="M1590" s="195"/>
      <c r="N1590" s="195"/>
      <c r="O1590" s="199"/>
      <c r="P1590" s="188" t="s">
        <v>1122</v>
      </c>
      <c r="Q1590" s="174">
        <f>IF(ISNUMBER(VLOOKUP(A1590,NotghiID!A:A,1,FALSE)),1,0)</f>
        <v>0</v>
      </c>
    </row>
    <row r="1591" spans="1:17" ht="14.25" x14ac:dyDescent="0.2">
      <c r="A1591" s="183">
        <v>515</v>
      </c>
      <c r="B1591" s="232" t="str">
        <f>IF(AND(A1591&lt;&gt;"",ISNUMBER(A1591)),VLOOKUP(A1591,Studies!A:BR,2,FALSE),"")</f>
        <v>Bae 2011</v>
      </c>
      <c r="C1591" s="232" t="str">
        <f>IF(AND(A1591&lt;&gt;"",ISNUMBER(A1591)),VLOOKUP(A1591,Studies!A:BR,3,FALSE),"")</f>
        <v>https://www.ncbi.nlm.nih.gov/pubmed/20400647</v>
      </c>
      <c r="D1591" s="232" t="str">
        <f>IF(AND(A1591&lt;&gt;"",ISNUMBER(A1591)),VLOOKUP(A1591,Studies!A:BR,4,FALSE),"")</f>
        <v>po 200 mg capsule with water (Korean)</v>
      </c>
      <c r="E1591" s="206" t="str">
        <f>IF(AND(A1591&lt;&gt;"",ISNUMBER(A1591)),VLOOKUP(A1591,Studies!A:BR,5,FALSE),"")</f>
        <v>Hydroxy-Itraconazole</v>
      </c>
      <c r="F1591" s="207" t="str">
        <f>IF(AND(A1591&lt;&gt;"",ISNUMBER(A1591)),VLOOKUP(A1591,Studies!A:BR,6,FALSE),"")</f>
        <v>Plasma</v>
      </c>
      <c r="G1591" s="194">
        <v>1.5</v>
      </c>
      <c r="H1591" s="194" t="s">
        <v>60</v>
      </c>
      <c r="I1591" s="187">
        <v>205.12820434570312</v>
      </c>
      <c r="J1591" s="187" t="s">
        <v>1026</v>
      </c>
      <c r="K1591" s="187" t="s">
        <v>116</v>
      </c>
      <c r="L1591" s="195"/>
      <c r="M1591" s="195"/>
      <c r="N1591" s="195"/>
      <c r="O1591" s="199"/>
      <c r="P1591" s="188" t="s">
        <v>1122</v>
      </c>
      <c r="Q1591" s="174">
        <f>IF(ISNUMBER(VLOOKUP(A1591,NotghiID!A:A,1,FALSE)),1,0)</f>
        <v>0</v>
      </c>
    </row>
    <row r="1592" spans="1:17" ht="14.25" x14ac:dyDescent="0.2">
      <c r="A1592" s="183">
        <v>515</v>
      </c>
      <c r="B1592" s="232" t="str">
        <f>IF(AND(A1592&lt;&gt;"",ISNUMBER(A1592)),VLOOKUP(A1592,Studies!A:BR,2,FALSE),"")</f>
        <v>Bae 2011</v>
      </c>
      <c r="C1592" s="232" t="str">
        <f>IF(AND(A1592&lt;&gt;"",ISNUMBER(A1592)),VLOOKUP(A1592,Studies!A:BR,3,FALSE),"")</f>
        <v>https://www.ncbi.nlm.nih.gov/pubmed/20400647</v>
      </c>
      <c r="D1592" s="232" t="str">
        <f>IF(AND(A1592&lt;&gt;"",ISNUMBER(A1592)),VLOOKUP(A1592,Studies!A:BR,4,FALSE),"")</f>
        <v>po 200 mg capsule with water (Korean)</v>
      </c>
      <c r="E1592" s="206" t="str">
        <f>IF(AND(A1592&lt;&gt;"",ISNUMBER(A1592)),VLOOKUP(A1592,Studies!A:BR,5,FALSE),"")</f>
        <v>Hydroxy-Itraconazole</v>
      </c>
      <c r="F1592" s="207" t="str">
        <f>IF(AND(A1592&lt;&gt;"",ISNUMBER(A1592)),VLOOKUP(A1592,Studies!A:BR,6,FALSE),"")</f>
        <v>Plasma</v>
      </c>
      <c r="G1592" s="194">
        <v>2</v>
      </c>
      <c r="H1592" s="194" t="s">
        <v>60</v>
      </c>
      <c r="I1592" s="187">
        <v>256.4102783203125</v>
      </c>
      <c r="J1592" s="187" t="s">
        <v>1026</v>
      </c>
      <c r="K1592" s="187" t="s">
        <v>116</v>
      </c>
      <c r="L1592" s="195"/>
      <c r="M1592" s="195"/>
      <c r="N1592" s="195"/>
      <c r="O1592" s="199"/>
      <c r="P1592" s="188" t="s">
        <v>1122</v>
      </c>
      <c r="Q1592" s="174">
        <f>IF(ISNUMBER(VLOOKUP(A1592,NotghiID!A:A,1,FALSE)),1,0)</f>
        <v>0</v>
      </c>
    </row>
    <row r="1593" spans="1:17" ht="14.25" x14ac:dyDescent="0.2">
      <c r="A1593" s="183">
        <v>515</v>
      </c>
      <c r="B1593" s="232" t="str">
        <f>IF(AND(A1593&lt;&gt;"",ISNUMBER(A1593)),VLOOKUP(A1593,Studies!A:BR,2,FALSE),"")</f>
        <v>Bae 2011</v>
      </c>
      <c r="C1593" s="232" t="str">
        <f>IF(AND(A1593&lt;&gt;"",ISNUMBER(A1593)),VLOOKUP(A1593,Studies!A:BR,3,FALSE),"")</f>
        <v>https://www.ncbi.nlm.nih.gov/pubmed/20400647</v>
      </c>
      <c r="D1593" s="232" t="str">
        <f>IF(AND(A1593&lt;&gt;"",ISNUMBER(A1593)),VLOOKUP(A1593,Studies!A:BR,4,FALSE),"")</f>
        <v>po 200 mg capsule with water (Korean)</v>
      </c>
      <c r="E1593" s="206" t="str">
        <f>IF(AND(A1593&lt;&gt;"",ISNUMBER(A1593)),VLOOKUP(A1593,Studies!A:BR,5,FALSE),"")</f>
        <v>Hydroxy-Itraconazole</v>
      </c>
      <c r="F1593" s="207" t="str">
        <f>IF(AND(A1593&lt;&gt;"",ISNUMBER(A1593)),VLOOKUP(A1593,Studies!A:BR,6,FALSE),"")</f>
        <v>Plasma</v>
      </c>
      <c r="G1593" s="194">
        <v>2.5</v>
      </c>
      <c r="H1593" s="194" t="s">
        <v>60</v>
      </c>
      <c r="I1593" s="187">
        <v>376.923095703125</v>
      </c>
      <c r="J1593" s="187" t="s">
        <v>1026</v>
      </c>
      <c r="K1593" s="187" t="s">
        <v>116</v>
      </c>
      <c r="L1593" s="195"/>
      <c r="M1593" s="195"/>
      <c r="N1593" s="195"/>
      <c r="O1593" s="199"/>
      <c r="P1593" s="188" t="s">
        <v>1122</v>
      </c>
      <c r="Q1593" s="174">
        <f>IF(ISNUMBER(VLOOKUP(A1593,NotghiID!A:A,1,FALSE)),1,0)</f>
        <v>0</v>
      </c>
    </row>
    <row r="1594" spans="1:17" ht="14.25" x14ac:dyDescent="0.2">
      <c r="A1594" s="183">
        <v>515</v>
      </c>
      <c r="B1594" s="232" t="str">
        <f>IF(AND(A1594&lt;&gt;"",ISNUMBER(A1594)),VLOOKUP(A1594,Studies!A:BR,2,FALSE),"")</f>
        <v>Bae 2011</v>
      </c>
      <c r="C1594" s="232" t="str">
        <f>IF(AND(A1594&lt;&gt;"",ISNUMBER(A1594)),VLOOKUP(A1594,Studies!A:BR,3,FALSE),"")</f>
        <v>https://www.ncbi.nlm.nih.gov/pubmed/20400647</v>
      </c>
      <c r="D1594" s="232" t="str">
        <f>IF(AND(A1594&lt;&gt;"",ISNUMBER(A1594)),VLOOKUP(A1594,Studies!A:BR,4,FALSE),"")</f>
        <v>po 200 mg capsule with water (Korean)</v>
      </c>
      <c r="E1594" s="206" t="str">
        <f>IF(AND(A1594&lt;&gt;"",ISNUMBER(A1594)),VLOOKUP(A1594,Studies!A:BR,5,FALSE),"")</f>
        <v>Hydroxy-Itraconazole</v>
      </c>
      <c r="F1594" s="207" t="str">
        <f>IF(AND(A1594&lt;&gt;"",ISNUMBER(A1594)),VLOOKUP(A1594,Studies!A:BR,6,FALSE),"")</f>
        <v>Plasma</v>
      </c>
      <c r="G1594" s="194">
        <v>3</v>
      </c>
      <c r="H1594" s="194" t="s">
        <v>60</v>
      </c>
      <c r="I1594" s="187">
        <v>417.94873046875</v>
      </c>
      <c r="J1594" s="187" t="s">
        <v>1026</v>
      </c>
      <c r="K1594" s="187" t="s">
        <v>116</v>
      </c>
      <c r="L1594" s="195"/>
      <c r="M1594" s="195"/>
      <c r="N1594" s="195"/>
      <c r="O1594" s="199"/>
      <c r="P1594" s="188" t="s">
        <v>1122</v>
      </c>
      <c r="Q1594" s="174">
        <f>IF(ISNUMBER(VLOOKUP(A1594,NotghiID!A:A,1,FALSE)),1,0)</f>
        <v>0</v>
      </c>
    </row>
    <row r="1595" spans="1:17" ht="14.25" x14ac:dyDescent="0.2">
      <c r="A1595" s="183">
        <v>515</v>
      </c>
      <c r="B1595" s="232" t="str">
        <f>IF(AND(A1595&lt;&gt;"",ISNUMBER(A1595)),VLOOKUP(A1595,Studies!A:BR,2,FALSE),"")</f>
        <v>Bae 2011</v>
      </c>
      <c r="C1595" s="232" t="str">
        <f>IF(AND(A1595&lt;&gt;"",ISNUMBER(A1595)),VLOOKUP(A1595,Studies!A:BR,3,FALSE),"")</f>
        <v>https://www.ncbi.nlm.nih.gov/pubmed/20400647</v>
      </c>
      <c r="D1595" s="232" t="str">
        <f>IF(AND(A1595&lt;&gt;"",ISNUMBER(A1595)),VLOOKUP(A1595,Studies!A:BR,4,FALSE),"")</f>
        <v>po 200 mg capsule with water (Korean)</v>
      </c>
      <c r="E1595" s="206" t="str">
        <f>IF(AND(A1595&lt;&gt;"",ISNUMBER(A1595)),VLOOKUP(A1595,Studies!A:BR,5,FALSE),"")</f>
        <v>Hydroxy-Itraconazole</v>
      </c>
      <c r="F1595" s="207" t="str">
        <f>IF(AND(A1595&lt;&gt;"",ISNUMBER(A1595)),VLOOKUP(A1595,Studies!A:BR,6,FALSE),"")</f>
        <v>Plasma</v>
      </c>
      <c r="G1595" s="194">
        <v>3.5</v>
      </c>
      <c r="H1595" s="194" t="s">
        <v>60</v>
      </c>
      <c r="I1595" s="187">
        <v>451.28207397460937</v>
      </c>
      <c r="J1595" s="187" t="s">
        <v>1026</v>
      </c>
      <c r="K1595" s="187" t="s">
        <v>116</v>
      </c>
      <c r="L1595" s="195"/>
      <c r="M1595" s="195"/>
      <c r="N1595" s="195"/>
      <c r="O1595" s="199"/>
      <c r="P1595" s="188" t="s">
        <v>1122</v>
      </c>
      <c r="Q1595" s="174">
        <f>IF(ISNUMBER(VLOOKUP(A1595,NotghiID!A:A,1,FALSE)),1,0)</f>
        <v>0</v>
      </c>
    </row>
    <row r="1596" spans="1:17" ht="14.25" x14ac:dyDescent="0.2">
      <c r="A1596" s="183">
        <v>515</v>
      </c>
      <c r="B1596" s="232" t="str">
        <f>IF(AND(A1596&lt;&gt;"",ISNUMBER(A1596)),VLOOKUP(A1596,Studies!A:BR,2,FALSE),"")</f>
        <v>Bae 2011</v>
      </c>
      <c r="C1596" s="232" t="str">
        <f>IF(AND(A1596&lt;&gt;"",ISNUMBER(A1596)),VLOOKUP(A1596,Studies!A:BR,3,FALSE),"")</f>
        <v>https://www.ncbi.nlm.nih.gov/pubmed/20400647</v>
      </c>
      <c r="D1596" s="232" t="str">
        <f>IF(AND(A1596&lt;&gt;"",ISNUMBER(A1596)),VLOOKUP(A1596,Studies!A:BR,4,FALSE),"")</f>
        <v>po 200 mg capsule with water (Korean)</v>
      </c>
      <c r="E1596" s="206" t="str">
        <f>IF(AND(A1596&lt;&gt;"",ISNUMBER(A1596)),VLOOKUP(A1596,Studies!A:BR,5,FALSE),"")</f>
        <v>Hydroxy-Itraconazole</v>
      </c>
      <c r="F1596" s="207" t="str">
        <f>IF(AND(A1596&lt;&gt;"",ISNUMBER(A1596)),VLOOKUP(A1596,Studies!A:BR,6,FALSE),"")</f>
        <v>Plasma</v>
      </c>
      <c r="G1596" s="194">
        <v>4</v>
      </c>
      <c r="H1596" s="194" t="s">
        <v>60</v>
      </c>
      <c r="I1596" s="187">
        <v>479.4871826171875</v>
      </c>
      <c r="J1596" s="187" t="s">
        <v>1026</v>
      </c>
      <c r="K1596" s="187" t="s">
        <v>116</v>
      </c>
      <c r="L1596" s="195"/>
      <c r="M1596" s="195"/>
      <c r="N1596" s="195"/>
      <c r="O1596" s="199"/>
      <c r="P1596" s="188" t="s">
        <v>1122</v>
      </c>
      <c r="Q1596" s="174">
        <f>IF(ISNUMBER(VLOOKUP(A1596,NotghiID!A:A,1,FALSE)),1,0)</f>
        <v>0</v>
      </c>
    </row>
    <row r="1597" spans="1:17" ht="14.25" x14ac:dyDescent="0.2">
      <c r="A1597" s="183">
        <v>515</v>
      </c>
      <c r="B1597" s="232" t="str">
        <f>IF(AND(A1597&lt;&gt;"",ISNUMBER(A1597)),VLOOKUP(A1597,Studies!A:BR,2,FALSE),"")</f>
        <v>Bae 2011</v>
      </c>
      <c r="C1597" s="232" t="str">
        <f>IF(AND(A1597&lt;&gt;"",ISNUMBER(A1597)),VLOOKUP(A1597,Studies!A:BR,3,FALSE),"")</f>
        <v>https://www.ncbi.nlm.nih.gov/pubmed/20400647</v>
      </c>
      <c r="D1597" s="232" t="str">
        <f>IF(AND(A1597&lt;&gt;"",ISNUMBER(A1597)),VLOOKUP(A1597,Studies!A:BR,4,FALSE),"")</f>
        <v>po 200 mg capsule with water (Korean)</v>
      </c>
      <c r="E1597" s="206" t="str">
        <f>IF(AND(A1597&lt;&gt;"",ISNUMBER(A1597)),VLOOKUP(A1597,Studies!A:BR,5,FALSE),"")</f>
        <v>Hydroxy-Itraconazole</v>
      </c>
      <c r="F1597" s="207" t="str">
        <f>IF(AND(A1597&lt;&gt;"",ISNUMBER(A1597)),VLOOKUP(A1597,Studies!A:BR,6,FALSE),"")</f>
        <v>Plasma</v>
      </c>
      <c r="G1597" s="194">
        <v>5</v>
      </c>
      <c r="H1597" s="194" t="s">
        <v>60</v>
      </c>
      <c r="I1597" s="187">
        <v>487.17950439453125</v>
      </c>
      <c r="J1597" s="187" t="s">
        <v>1026</v>
      </c>
      <c r="K1597" s="187" t="s">
        <v>116</v>
      </c>
      <c r="L1597" s="195"/>
      <c r="M1597" s="195"/>
      <c r="N1597" s="195"/>
      <c r="O1597" s="199"/>
      <c r="P1597" s="188" t="s">
        <v>1122</v>
      </c>
      <c r="Q1597" s="174">
        <f>IF(ISNUMBER(VLOOKUP(A1597,NotghiID!A:A,1,FALSE)),1,0)</f>
        <v>0</v>
      </c>
    </row>
    <row r="1598" spans="1:17" ht="14.25" x14ac:dyDescent="0.2">
      <c r="A1598" s="183">
        <v>515</v>
      </c>
      <c r="B1598" s="232" t="str">
        <f>IF(AND(A1598&lt;&gt;"",ISNUMBER(A1598)),VLOOKUP(A1598,Studies!A:BR,2,FALSE),"")</f>
        <v>Bae 2011</v>
      </c>
      <c r="C1598" s="232" t="str">
        <f>IF(AND(A1598&lt;&gt;"",ISNUMBER(A1598)),VLOOKUP(A1598,Studies!A:BR,3,FALSE),"")</f>
        <v>https://www.ncbi.nlm.nih.gov/pubmed/20400647</v>
      </c>
      <c r="D1598" s="232" t="str">
        <f>IF(AND(A1598&lt;&gt;"",ISNUMBER(A1598)),VLOOKUP(A1598,Studies!A:BR,4,FALSE),"")</f>
        <v>po 200 mg capsule with water (Korean)</v>
      </c>
      <c r="E1598" s="206" t="str">
        <f>IF(AND(A1598&lt;&gt;"",ISNUMBER(A1598)),VLOOKUP(A1598,Studies!A:BR,5,FALSE),"")</f>
        <v>Hydroxy-Itraconazole</v>
      </c>
      <c r="F1598" s="207" t="str">
        <f>IF(AND(A1598&lt;&gt;"",ISNUMBER(A1598)),VLOOKUP(A1598,Studies!A:BR,6,FALSE),"")</f>
        <v>Plasma</v>
      </c>
      <c r="G1598" s="194">
        <v>6</v>
      </c>
      <c r="H1598" s="194" t="s">
        <v>60</v>
      </c>
      <c r="I1598" s="187">
        <v>433.33334350585937</v>
      </c>
      <c r="J1598" s="187" t="s">
        <v>1026</v>
      </c>
      <c r="K1598" s="187" t="s">
        <v>116</v>
      </c>
      <c r="L1598" s="195"/>
      <c r="M1598" s="195"/>
      <c r="N1598" s="195"/>
      <c r="O1598" s="199"/>
      <c r="P1598" s="188" t="s">
        <v>1122</v>
      </c>
      <c r="Q1598" s="174">
        <f>IF(ISNUMBER(VLOOKUP(A1598,NotghiID!A:A,1,FALSE)),1,0)</f>
        <v>0</v>
      </c>
    </row>
    <row r="1599" spans="1:17" ht="14.25" x14ac:dyDescent="0.2">
      <c r="A1599" s="183">
        <v>515</v>
      </c>
      <c r="B1599" s="232" t="str">
        <f>IF(AND(A1599&lt;&gt;"",ISNUMBER(A1599)),VLOOKUP(A1599,Studies!A:BR,2,FALSE),"")</f>
        <v>Bae 2011</v>
      </c>
      <c r="C1599" s="232" t="str">
        <f>IF(AND(A1599&lt;&gt;"",ISNUMBER(A1599)),VLOOKUP(A1599,Studies!A:BR,3,FALSE),"")</f>
        <v>https://www.ncbi.nlm.nih.gov/pubmed/20400647</v>
      </c>
      <c r="D1599" s="232" t="str">
        <f>IF(AND(A1599&lt;&gt;"",ISNUMBER(A1599)),VLOOKUP(A1599,Studies!A:BR,4,FALSE),"")</f>
        <v>po 200 mg capsule with water (Korean)</v>
      </c>
      <c r="E1599" s="206" t="str">
        <f>IF(AND(A1599&lt;&gt;"",ISNUMBER(A1599)),VLOOKUP(A1599,Studies!A:BR,5,FALSE),"")</f>
        <v>Hydroxy-Itraconazole</v>
      </c>
      <c r="F1599" s="207" t="str">
        <f>IF(AND(A1599&lt;&gt;"",ISNUMBER(A1599)),VLOOKUP(A1599,Studies!A:BR,6,FALSE),"")</f>
        <v>Plasma</v>
      </c>
      <c r="G1599" s="194">
        <v>8</v>
      </c>
      <c r="H1599" s="194" t="s">
        <v>60</v>
      </c>
      <c r="I1599" s="187">
        <v>394.87179565429687</v>
      </c>
      <c r="J1599" s="187" t="s">
        <v>1026</v>
      </c>
      <c r="K1599" s="187" t="s">
        <v>116</v>
      </c>
      <c r="L1599" s="195"/>
      <c r="M1599" s="195"/>
      <c r="N1599" s="195"/>
      <c r="O1599" s="199"/>
      <c r="P1599" s="188" t="s">
        <v>1122</v>
      </c>
      <c r="Q1599" s="174">
        <f>IF(ISNUMBER(VLOOKUP(A1599,NotghiID!A:A,1,FALSE)),1,0)</f>
        <v>0</v>
      </c>
    </row>
    <row r="1600" spans="1:17" ht="14.25" x14ac:dyDescent="0.2">
      <c r="A1600" s="183">
        <v>515</v>
      </c>
      <c r="B1600" s="232" t="str">
        <f>IF(AND(A1600&lt;&gt;"",ISNUMBER(A1600)),VLOOKUP(A1600,Studies!A:BR,2,FALSE),"")</f>
        <v>Bae 2011</v>
      </c>
      <c r="C1600" s="232" t="str">
        <f>IF(AND(A1600&lt;&gt;"",ISNUMBER(A1600)),VLOOKUP(A1600,Studies!A:BR,3,FALSE),"")</f>
        <v>https://www.ncbi.nlm.nih.gov/pubmed/20400647</v>
      </c>
      <c r="D1600" s="232" t="str">
        <f>IF(AND(A1600&lt;&gt;"",ISNUMBER(A1600)),VLOOKUP(A1600,Studies!A:BR,4,FALSE),"")</f>
        <v>po 200 mg capsule with water (Korean)</v>
      </c>
      <c r="E1600" s="206" t="str">
        <f>IF(AND(A1600&lt;&gt;"",ISNUMBER(A1600)),VLOOKUP(A1600,Studies!A:BR,5,FALSE),"")</f>
        <v>Hydroxy-Itraconazole</v>
      </c>
      <c r="F1600" s="207" t="str">
        <f>IF(AND(A1600&lt;&gt;"",ISNUMBER(A1600)),VLOOKUP(A1600,Studies!A:BR,6,FALSE),"")</f>
        <v>Plasma</v>
      </c>
      <c r="G1600" s="194">
        <v>12</v>
      </c>
      <c r="H1600" s="194" t="s">
        <v>60</v>
      </c>
      <c r="I1600" s="187">
        <v>258.974365234375</v>
      </c>
      <c r="J1600" s="187" t="s">
        <v>1026</v>
      </c>
      <c r="K1600" s="187" t="s">
        <v>116</v>
      </c>
      <c r="L1600" s="195"/>
      <c r="M1600" s="195"/>
      <c r="N1600" s="195"/>
      <c r="O1600" s="199"/>
      <c r="P1600" s="188" t="s">
        <v>1122</v>
      </c>
      <c r="Q1600" s="174">
        <f>IF(ISNUMBER(VLOOKUP(A1600,NotghiID!A:A,1,FALSE)),1,0)</f>
        <v>0</v>
      </c>
    </row>
    <row r="1601" spans="1:17" ht="14.25" x14ac:dyDescent="0.2">
      <c r="A1601" s="183">
        <v>515</v>
      </c>
      <c r="B1601" s="232" t="str">
        <f>IF(AND(A1601&lt;&gt;"",ISNUMBER(A1601)),VLOOKUP(A1601,Studies!A:BR,2,FALSE),"")</f>
        <v>Bae 2011</v>
      </c>
      <c r="C1601" s="232" t="str">
        <f>IF(AND(A1601&lt;&gt;"",ISNUMBER(A1601)),VLOOKUP(A1601,Studies!A:BR,3,FALSE),"")</f>
        <v>https://www.ncbi.nlm.nih.gov/pubmed/20400647</v>
      </c>
      <c r="D1601" s="232" t="str">
        <f>IF(AND(A1601&lt;&gt;"",ISNUMBER(A1601)),VLOOKUP(A1601,Studies!A:BR,4,FALSE),"")</f>
        <v>po 200 mg capsule with water (Korean)</v>
      </c>
      <c r="E1601" s="206" t="str">
        <f>IF(AND(A1601&lt;&gt;"",ISNUMBER(A1601)),VLOOKUP(A1601,Studies!A:BR,5,FALSE),"")</f>
        <v>Hydroxy-Itraconazole</v>
      </c>
      <c r="F1601" s="207" t="str">
        <f>IF(AND(A1601&lt;&gt;"",ISNUMBER(A1601)),VLOOKUP(A1601,Studies!A:BR,6,FALSE),"")</f>
        <v>Plasma</v>
      </c>
      <c r="G1601" s="194">
        <v>24</v>
      </c>
      <c r="H1601" s="194" t="s">
        <v>60</v>
      </c>
      <c r="I1601" s="187">
        <v>135.89744567871094</v>
      </c>
      <c r="J1601" s="187" t="s">
        <v>1026</v>
      </c>
      <c r="K1601" s="187" t="s">
        <v>116</v>
      </c>
      <c r="L1601" s="195"/>
      <c r="M1601" s="195"/>
      <c r="N1601" s="195"/>
      <c r="O1601" s="199"/>
      <c r="P1601" s="188" t="s">
        <v>1122</v>
      </c>
      <c r="Q1601" s="174">
        <f>IF(ISNUMBER(VLOOKUP(A1601,NotghiID!A:A,1,FALSE)),1,0)</f>
        <v>0</v>
      </c>
    </row>
    <row r="1602" spans="1:17" ht="14.25" x14ac:dyDescent="0.2">
      <c r="A1602" s="183">
        <v>515</v>
      </c>
      <c r="B1602" s="232" t="str">
        <f>IF(AND(A1602&lt;&gt;"",ISNUMBER(A1602)),VLOOKUP(A1602,Studies!A:BR,2,FALSE),"")</f>
        <v>Bae 2011</v>
      </c>
      <c r="C1602" s="232" t="str">
        <f>IF(AND(A1602&lt;&gt;"",ISNUMBER(A1602)),VLOOKUP(A1602,Studies!A:BR,3,FALSE),"")</f>
        <v>https://www.ncbi.nlm.nih.gov/pubmed/20400647</v>
      </c>
      <c r="D1602" s="232" t="str">
        <f>IF(AND(A1602&lt;&gt;"",ISNUMBER(A1602)),VLOOKUP(A1602,Studies!A:BR,4,FALSE),"")</f>
        <v>po 200 mg capsule with water (Korean)</v>
      </c>
      <c r="E1602" s="206" t="str">
        <f>IF(AND(A1602&lt;&gt;"",ISNUMBER(A1602)),VLOOKUP(A1602,Studies!A:BR,5,FALSE),"")</f>
        <v>Hydroxy-Itraconazole</v>
      </c>
      <c r="F1602" s="207" t="str">
        <f>IF(AND(A1602&lt;&gt;"",ISNUMBER(A1602)),VLOOKUP(A1602,Studies!A:BR,6,FALSE),"")</f>
        <v>Plasma</v>
      </c>
      <c r="G1602" s="194">
        <v>36</v>
      </c>
      <c r="H1602" s="194" t="s">
        <v>60</v>
      </c>
      <c r="I1602" s="187">
        <v>94.871795654296875</v>
      </c>
      <c r="J1602" s="187" t="s">
        <v>1026</v>
      </c>
      <c r="K1602" s="187" t="s">
        <v>116</v>
      </c>
      <c r="L1602" s="195"/>
      <c r="M1602" s="195"/>
      <c r="N1602" s="195"/>
      <c r="O1602" s="199"/>
      <c r="P1602" s="188" t="s">
        <v>1122</v>
      </c>
      <c r="Q1602" s="174">
        <f>IF(ISNUMBER(VLOOKUP(A1602,NotghiID!A:A,1,FALSE)),1,0)</f>
        <v>0</v>
      </c>
    </row>
    <row r="1603" spans="1:17" ht="14.25" x14ac:dyDescent="0.2">
      <c r="A1603" s="183">
        <v>515</v>
      </c>
      <c r="B1603" s="232" t="str">
        <f>IF(AND(A1603&lt;&gt;"",ISNUMBER(A1603)),VLOOKUP(A1603,Studies!A:BR,2,FALSE),"")</f>
        <v>Bae 2011</v>
      </c>
      <c r="C1603" s="232" t="str">
        <f>IF(AND(A1603&lt;&gt;"",ISNUMBER(A1603)),VLOOKUP(A1603,Studies!A:BR,3,FALSE),"")</f>
        <v>https://www.ncbi.nlm.nih.gov/pubmed/20400647</v>
      </c>
      <c r="D1603" s="232" t="str">
        <f>IF(AND(A1603&lt;&gt;"",ISNUMBER(A1603)),VLOOKUP(A1603,Studies!A:BR,4,FALSE),"")</f>
        <v>po 200 mg capsule with water (Korean)</v>
      </c>
      <c r="E1603" s="206" t="str">
        <f>IF(AND(A1603&lt;&gt;"",ISNUMBER(A1603)),VLOOKUP(A1603,Studies!A:BR,5,FALSE),"")</f>
        <v>Hydroxy-Itraconazole</v>
      </c>
      <c r="F1603" s="207" t="str">
        <f>IF(AND(A1603&lt;&gt;"",ISNUMBER(A1603)),VLOOKUP(A1603,Studies!A:BR,6,FALSE),"")</f>
        <v>Plasma</v>
      </c>
      <c r="G1603" s="194">
        <v>48</v>
      </c>
      <c r="H1603" s="194" t="s">
        <v>60</v>
      </c>
      <c r="I1603" s="187">
        <v>61.538463592529297</v>
      </c>
      <c r="J1603" s="187" t="s">
        <v>1026</v>
      </c>
      <c r="K1603" s="187" t="s">
        <v>116</v>
      </c>
      <c r="L1603" s="195"/>
      <c r="M1603" s="195"/>
      <c r="N1603" s="195"/>
      <c r="O1603" s="199"/>
      <c r="P1603" s="188" t="s">
        <v>1122</v>
      </c>
      <c r="Q1603" s="174">
        <f>IF(ISNUMBER(VLOOKUP(A1603,NotghiID!A:A,1,FALSE)),1,0)</f>
        <v>0</v>
      </c>
    </row>
    <row r="1604" spans="1:17" ht="14.25" x14ac:dyDescent="0.2">
      <c r="A1604" s="183">
        <v>516</v>
      </c>
      <c r="B1604" s="232" t="str">
        <f>IF(AND(A1604&lt;&gt;"",ISNUMBER(A1604)),VLOOKUP(A1604,Studies!A:BR,2,FALSE),"")</f>
        <v>Bae 2011</v>
      </c>
      <c r="C1604" s="232" t="str">
        <f>IF(AND(A1604&lt;&gt;"",ISNUMBER(A1604)),VLOOKUP(A1604,Studies!A:BR,3,FALSE),"")</f>
        <v>https://www.ncbi.nlm.nih.gov/pubmed/20400647</v>
      </c>
      <c r="D1604" s="232" t="str">
        <f>IF(AND(A1604&lt;&gt;"",ISNUMBER(A1604)),VLOOKUP(A1604,Studies!A:BR,4,FALSE),"")</f>
        <v>po 200 mg capsule with cola (Korean)</v>
      </c>
      <c r="E1604" s="206" t="str">
        <f>IF(AND(A1604&lt;&gt;"",ISNUMBER(A1604)),VLOOKUP(A1604,Studies!A:BR,5,FALSE),"")</f>
        <v>Itraconazole</v>
      </c>
      <c r="F1604" s="207" t="str">
        <f>IF(AND(A1604&lt;&gt;"",ISNUMBER(A1604)),VLOOKUP(A1604,Studies!A:BR,6,FALSE),"")</f>
        <v>Plasma</v>
      </c>
      <c r="G1604" s="194">
        <v>0.5</v>
      </c>
      <c r="H1604" s="194" t="s">
        <v>60</v>
      </c>
      <c r="I1604" s="187">
        <v>6.8522481918334961</v>
      </c>
      <c r="J1604" s="187" t="s">
        <v>1026</v>
      </c>
      <c r="K1604" s="187" t="s">
        <v>116</v>
      </c>
      <c r="L1604" s="195"/>
      <c r="M1604" s="195"/>
      <c r="N1604" s="195"/>
      <c r="O1604" s="199"/>
      <c r="P1604" s="188" t="s">
        <v>1122</v>
      </c>
      <c r="Q1604" s="174">
        <f>IF(ISNUMBER(VLOOKUP(A1604,NotghiID!A:A,1,FALSE)),1,0)</f>
        <v>0</v>
      </c>
    </row>
    <row r="1605" spans="1:17" ht="14.25" x14ac:dyDescent="0.2">
      <c r="A1605" s="183">
        <v>516</v>
      </c>
      <c r="B1605" s="232" t="str">
        <f>IF(AND(A1605&lt;&gt;"",ISNUMBER(A1605)),VLOOKUP(A1605,Studies!A:BR,2,FALSE),"")</f>
        <v>Bae 2011</v>
      </c>
      <c r="C1605" s="232" t="str">
        <f>IF(AND(A1605&lt;&gt;"",ISNUMBER(A1605)),VLOOKUP(A1605,Studies!A:BR,3,FALSE),"")</f>
        <v>https://www.ncbi.nlm.nih.gov/pubmed/20400647</v>
      </c>
      <c r="D1605" s="232" t="str">
        <f>IF(AND(A1605&lt;&gt;"",ISNUMBER(A1605)),VLOOKUP(A1605,Studies!A:BR,4,FALSE),"")</f>
        <v>po 200 mg capsule with cola (Korean)</v>
      </c>
      <c r="E1605" s="206" t="str">
        <f>IF(AND(A1605&lt;&gt;"",ISNUMBER(A1605)),VLOOKUP(A1605,Studies!A:BR,5,FALSE),"")</f>
        <v>Itraconazole</v>
      </c>
      <c r="F1605" s="207" t="str">
        <f>IF(AND(A1605&lt;&gt;"",ISNUMBER(A1605)),VLOOKUP(A1605,Studies!A:BR,6,FALSE),"")</f>
        <v>Plasma</v>
      </c>
      <c r="G1605" s="194">
        <v>1</v>
      </c>
      <c r="H1605" s="194" t="s">
        <v>60</v>
      </c>
      <c r="I1605" s="187">
        <v>68.522483825683594</v>
      </c>
      <c r="J1605" s="187" t="s">
        <v>1026</v>
      </c>
      <c r="K1605" s="187" t="s">
        <v>116</v>
      </c>
      <c r="L1605" s="195"/>
      <c r="M1605" s="195"/>
      <c r="N1605" s="195"/>
      <c r="O1605" s="199"/>
      <c r="P1605" s="188" t="s">
        <v>1122</v>
      </c>
      <c r="Q1605" s="174">
        <f>IF(ISNUMBER(VLOOKUP(A1605,NotghiID!A:A,1,FALSE)),1,0)</f>
        <v>0</v>
      </c>
    </row>
    <row r="1606" spans="1:17" ht="14.25" x14ac:dyDescent="0.2">
      <c r="A1606" s="183">
        <v>516</v>
      </c>
      <c r="B1606" s="232" t="str">
        <f>IF(AND(A1606&lt;&gt;"",ISNUMBER(A1606)),VLOOKUP(A1606,Studies!A:BR,2,FALSE),"")</f>
        <v>Bae 2011</v>
      </c>
      <c r="C1606" s="232" t="str">
        <f>IF(AND(A1606&lt;&gt;"",ISNUMBER(A1606)),VLOOKUP(A1606,Studies!A:BR,3,FALSE),"")</f>
        <v>https://www.ncbi.nlm.nih.gov/pubmed/20400647</v>
      </c>
      <c r="D1606" s="232" t="str">
        <f>IF(AND(A1606&lt;&gt;"",ISNUMBER(A1606)),VLOOKUP(A1606,Studies!A:BR,4,FALSE),"")</f>
        <v>po 200 mg capsule with cola (Korean)</v>
      </c>
      <c r="E1606" s="206" t="str">
        <f>IF(AND(A1606&lt;&gt;"",ISNUMBER(A1606)),VLOOKUP(A1606,Studies!A:BR,5,FALSE),"")</f>
        <v>Itraconazole</v>
      </c>
      <c r="F1606" s="207" t="str">
        <f>IF(AND(A1606&lt;&gt;"",ISNUMBER(A1606)),VLOOKUP(A1606,Studies!A:BR,6,FALSE),"")</f>
        <v>Plasma</v>
      </c>
      <c r="G1606" s="194">
        <v>1.5</v>
      </c>
      <c r="H1606" s="194" t="s">
        <v>60</v>
      </c>
      <c r="I1606" s="187">
        <v>217.55888366699219</v>
      </c>
      <c r="J1606" s="187" t="s">
        <v>1026</v>
      </c>
      <c r="K1606" s="187" t="s">
        <v>116</v>
      </c>
      <c r="L1606" s="195"/>
      <c r="M1606" s="195"/>
      <c r="N1606" s="195"/>
      <c r="O1606" s="199"/>
      <c r="P1606" s="188" t="s">
        <v>1122</v>
      </c>
      <c r="Q1606" s="174">
        <f>IF(ISNUMBER(VLOOKUP(A1606,NotghiID!A:A,1,FALSE)),1,0)</f>
        <v>0</v>
      </c>
    </row>
    <row r="1607" spans="1:17" ht="14.25" x14ac:dyDescent="0.2">
      <c r="A1607" s="183">
        <v>516</v>
      </c>
      <c r="B1607" s="232" t="str">
        <f>IF(AND(A1607&lt;&gt;"",ISNUMBER(A1607)),VLOOKUP(A1607,Studies!A:BR,2,FALSE),"")</f>
        <v>Bae 2011</v>
      </c>
      <c r="C1607" s="232" t="str">
        <f>IF(AND(A1607&lt;&gt;"",ISNUMBER(A1607)),VLOOKUP(A1607,Studies!A:BR,3,FALSE),"")</f>
        <v>https://www.ncbi.nlm.nih.gov/pubmed/20400647</v>
      </c>
      <c r="D1607" s="232" t="str">
        <f>IF(AND(A1607&lt;&gt;"",ISNUMBER(A1607)),VLOOKUP(A1607,Studies!A:BR,4,FALSE),"")</f>
        <v>po 200 mg capsule with cola (Korean)</v>
      </c>
      <c r="E1607" s="206" t="str">
        <f>IF(AND(A1607&lt;&gt;"",ISNUMBER(A1607)),VLOOKUP(A1607,Studies!A:BR,5,FALSE),"")</f>
        <v>Itraconazole</v>
      </c>
      <c r="F1607" s="207" t="str">
        <f>IF(AND(A1607&lt;&gt;"",ISNUMBER(A1607)),VLOOKUP(A1607,Studies!A:BR,6,FALSE),"")</f>
        <v>Plasma</v>
      </c>
      <c r="G1607" s="194">
        <v>2</v>
      </c>
      <c r="H1607" s="194" t="s">
        <v>60</v>
      </c>
      <c r="I1607" s="187">
        <v>392.29119873046875</v>
      </c>
      <c r="J1607" s="187" t="s">
        <v>1026</v>
      </c>
      <c r="K1607" s="187" t="s">
        <v>116</v>
      </c>
      <c r="L1607" s="195"/>
      <c r="M1607" s="195"/>
      <c r="N1607" s="195"/>
      <c r="O1607" s="199"/>
      <c r="P1607" s="188" t="s">
        <v>1122</v>
      </c>
      <c r="Q1607" s="174">
        <f>IF(ISNUMBER(VLOOKUP(A1607,NotghiID!A:A,1,FALSE)),1,0)</f>
        <v>0</v>
      </c>
    </row>
    <row r="1608" spans="1:17" ht="14.25" x14ac:dyDescent="0.2">
      <c r="A1608" s="183">
        <v>516</v>
      </c>
      <c r="B1608" s="232" t="str">
        <f>IF(AND(A1608&lt;&gt;"",ISNUMBER(A1608)),VLOOKUP(A1608,Studies!A:BR,2,FALSE),"")</f>
        <v>Bae 2011</v>
      </c>
      <c r="C1608" s="232" t="str">
        <f>IF(AND(A1608&lt;&gt;"",ISNUMBER(A1608)),VLOOKUP(A1608,Studies!A:BR,3,FALSE),"")</f>
        <v>https://www.ncbi.nlm.nih.gov/pubmed/20400647</v>
      </c>
      <c r="D1608" s="232" t="str">
        <f>IF(AND(A1608&lt;&gt;"",ISNUMBER(A1608)),VLOOKUP(A1608,Studies!A:BR,4,FALSE),"")</f>
        <v>po 200 mg capsule with cola (Korean)</v>
      </c>
      <c r="E1608" s="206" t="str">
        <f>IF(AND(A1608&lt;&gt;"",ISNUMBER(A1608)),VLOOKUP(A1608,Studies!A:BR,5,FALSE),"")</f>
        <v>Itraconazole</v>
      </c>
      <c r="F1608" s="207" t="str">
        <f>IF(AND(A1608&lt;&gt;"",ISNUMBER(A1608)),VLOOKUP(A1608,Studies!A:BR,6,FALSE),"")</f>
        <v>Plasma</v>
      </c>
      <c r="G1608" s="194">
        <v>2.5</v>
      </c>
      <c r="H1608" s="194" t="s">
        <v>60</v>
      </c>
      <c r="I1608" s="187">
        <v>388.86508178710937</v>
      </c>
      <c r="J1608" s="187" t="s">
        <v>1026</v>
      </c>
      <c r="K1608" s="187" t="s">
        <v>116</v>
      </c>
      <c r="L1608" s="195"/>
      <c r="M1608" s="195"/>
      <c r="N1608" s="195"/>
      <c r="O1608" s="199"/>
      <c r="P1608" s="188" t="s">
        <v>1122</v>
      </c>
      <c r="Q1608" s="174">
        <f>IF(ISNUMBER(VLOOKUP(A1608,NotghiID!A:A,1,FALSE)),1,0)</f>
        <v>0</v>
      </c>
    </row>
    <row r="1609" spans="1:17" ht="14.25" x14ac:dyDescent="0.2">
      <c r="A1609" s="183">
        <v>516</v>
      </c>
      <c r="B1609" s="232" t="str">
        <f>IF(AND(A1609&lt;&gt;"",ISNUMBER(A1609)),VLOOKUP(A1609,Studies!A:BR,2,FALSE),"")</f>
        <v>Bae 2011</v>
      </c>
      <c r="C1609" s="232" t="str">
        <f>IF(AND(A1609&lt;&gt;"",ISNUMBER(A1609)),VLOOKUP(A1609,Studies!A:BR,3,FALSE),"")</f>
        <v>https://www.ncbi.nlm.nih.gov/pubmed/20400647</v>
      </c>
      <c r="D1609" s="232" t="str">
        <f>IF(AND(A1609&lt;&gt;"",ISNUMBER(A1609)),VLOOKUP(A1609,Studies!A:BR,4,FALSE),"")</f>
        <v>po 200 mg capsule with cola (Korean)</v>
      </c>
      <c r="E1609" s="206" t="str">
        <f>IF(AND(A1609&lt;&gt;"",ISNUMBER(A1609)),VLOOKUP(A1609,Studies!A:BR,5,FALSE),"")</f>
        <v>Itraconazole</v>
      </c>
      <c r="F1609" s="207" t="str">
        <f>IF(AND(A1609&lt;&gt;"",ISNUMBER(A1609)),VLOOKUP(A1609,Studies!A:BR,6,FALSE),"")</f>
        <v>Plasma</v>
      </c>
      <c r="G1609" s="194">
        <v>3</v>
      </c>
      <c r="H1609" s="194" t="s">
        <v>60</v>
      </c>
      <c r="I1609" s="187">
        <v>409.42184448242187</v>
      </c>
      <c r="J1609" s="187" t="s">
        <v>1026</v>
      </c>
      <c r="K1609" s="187" t="s">
        <v>116</v>
      </c>
      <c r="L1609" s="195"/>
      <c r="M1609" s="195"/>
      <c r="N1609" s="195"/>
      <c r="O1609" s="199"/>
      <c r="P1609" s="188" t="s">
        <v>1122</v>
      </c>
      <c r="Q1609" s="174">
        <f>IF(ISNUMBER(VLOOKUP(A1609,NotghiID!A:A,1,FALSE)),1,0)</f>
        <v>0</v>
      </c>
    </row>
    <row r="1610" spans="1:17" ht="14.25" x14ac:dyDescent="0.2">
      <c r="A1610" s="183">
        <v>516</v>
      </c>
      <c r="B1610" s="232" t="str">
        <f>IF(AND(A1610&lt;&gt;"",ISNUMBER(A1610)),VLOOKUP(A1610,Studies!A:BR,2,FALSE),"")</f>
        <v>Bae 2011</v>
      </c>
      <c r="C1610" s="232" t="str">
        <f>IF(AND(A1610&lt;&gt;"",ISNUMBER(A1610)),VLOOKUP(A1610,Studies!A:BR,3,FALSE),"")</f>
        <v>https://www.ncbi.nlm.nih.gov/pubmed/20400647</v>
      </c>
      <c r="D1610" s="232" t="str">
        <f>IF(AND(A1610&lt;&gt;"",ISNUMBER(A1610)),VLOOKUP(A1610,Studies!A:BR,4,FALSE),"")</f>
        <v>po 200 mg capsule with cola (Korean)</v>
      </c>
      <c r="E1610" s="206" t="str">
        <f>IF(AND(A1610&lt;&gt;"",ISNUMBER(A1610)),VLOOKUP(A1610,Studies!A:BR,5,FALSE),"")</f>
        <v>Itraconazole</v>
      </c>
      <c r="F1610" s="207" t="str">
        <f>IF(AND(A1610&lt;&gt;"",ISNUMBER(A1610)),VLOOKUP(A1610,Studies!A:BR,6,FALSE),"")</f>
        <v>Plasma</v>
      </c>
      <c r="G1610" s="194">
        <v>3.5</v>
      </c>
      <c r="H1610" s="194" t="s">
        <v>60</v>
      </c>
      <c r="I1610" s="187">
        <v>373.44754028320312</v>
      </c>
      <c r="J1610" s="187" t="s">
        <v>1026</v>
      </c>
      <c r="K1610" s="187" t="s">
        <v>116</v>
      </c>
      <c r="L1610" s="195"/>
      <c r="M1610" s="195"/>
      <c r="N1610" s="195"/>
      <c r="O1610" s="199"/>
      <c r="P1610" s="188" t="s">
        <v>1122</v>
      </c>
      <c r="Q1610" s="174">
        <f>IF(ISNUMBER(VLOOKUP(A1610,NotghiID!A:A,1,FALSE)),1,0)</f>
        <v>0</v>
      </c>
    </row>
    <row r="1611" spans="1:17" ht="14.25" x14ac:dyDescent="0.2">
      <c r="A1611" s="183">
        <v>516</v>
      </c>
      <c r="B1611" s="232" t="str">
        <f>IF(AND(A1611&lt;&gt;"",ISNUMBER(A1611)),VLOOKUP(A1611,Studies!A:BR,2,FALSE),"")</f>
        <v>Bae 2011</v>
      </c>
      <c r="C1611" s="232" t="str">
        <f>IF(AND(A1611&lt;&gt;"",ISNUMBER(A1611)),VLOOKUP(A1611,Studies!A:BR,3,FALSE),"")</f>
        <v>https://www.ncbi.nlm.nih.gov/pubmed/20400647</v>
      </c>
      <c r="D1611" s="232" t="str">
        <f>IF(AND(A1611&lt;&gt;"",ISNUMBER(A1611)),VLOOKUP(A1611,Studies!A:BR,4,FALSE),"")</f>
        <v>po 200 mg capsule with cola (Korean)</v>
      </c>
      <c r="E1611" s="206" t="str">
        <f>IF(AND(A1611&lt;&gt;"",ISNUMBER(A1611)),VLOOKUP(A1611,Studies!A:BR,5,FALSE),"")</f>
        <v>Itraconazole</v>
      </c>
      <c r="F1611" s="207" t="str">
        <f>IF(AND(A1611&lt;&gt;"",ISNUMBER(A1611)),VLOOKUP(A1611,Studies!A:BR,6,FALSE),"")</f>
        <v>Plasma</v>
      </c>
      <c r="G1611" s="194">
        <v>4</v>
      </c>
      <c r="H1611" s="194" t="s">
        <v>60</v>
      </c>
      <c r="I1611" s="187">
        <v>349.46466064453125</v>
      </c>
      <c r="J1611" s="187" t="s">
        <v>1026</v>
      </c>
      <c r="K1611" s="187" t="s">
        <v>116</v>
      </c>
      <c r="L1611" s="195"/>
      <c r="M1611" s="195"/>
      <c r="N1611" s="195"/>
      <c r="O1611" s="199"/>
      <c r="P1611" s="188" t="s">
        <v>1122</v>
      </c>
      <c r="Q1611" s="174">
        <f>IF(ISNUMBER(VLOOKUP(A1611,NotghiID!A:A,1,FALSE)),1,0)</f>
        <v>0</v>
      </c>
    </row>
    <row r="1612" spans="1:17" ht="14.25" x14ac:dyDescent="0.2">
      <c r="A1612" s="183">
        <v>516</v>
      </c>
      <c r="B1612" s="232" t="str">
        <f>IF(AND(A1612&lt;&gt;"",ISNUMBER(A1612)),VLOOKUP(A1612,Studies!A:BR,2,FALSE),"")</f>
        <v>Bae 2011</v>
      </c>
      <c r="C1612" s="232" t="str">
        <f>IF(AND(A1612&lt;&gt;"",ISNUMBER(A1612)),VLOOKUP(A1612,Studies!A:BR,3,FALSE),"")</f>
        <v>https://www.ncbi.nlm.nih.gov/pubmed/20400647</v>
      </c>
      <c r="D1612" s="232" t="str">
        <f>IF(AND(A1612&lt;&gt;"",ISNUMBER(A1612)),VLOOKUP(A1612,Studies!A:BR,4,FALSE),"")</f>
        <v>po 200 mg capsule with cola (Korean)</v>
      </c>
      <c r="E1612" s="206" t="str">
        <f>IF(AND(A1612&lt;&gt;"",ISNUMBER(A1612)),VLOOKUP(A1612,Studies!A:BR,5,FALSE),"")</f>
        <v>Itraconazole</v>
      </c>
      <c r="F1612" s="207" t="str">
        <f>IF(AND(A1612&lt;&gt;"",ISNUMBER(A1612)),VLOOKUP(A1612,Studies!A:BR,6,FALSE),"")</f>
        <v>Plasma</v>
      </c>
      <c r="G1612" s="194">
        <v>5</v>
      </c>
      <c r="H1612" s="194" t="s">
        <v>60</v>
      </c>
      <c r="I1612" s="187">
        <v>274.08993530273437</v>
      </c>
      <c r="J1612" s="187" t="s">
        <v>1026</v>
      </c>
      <c r="K1612" s="187" t="s">
        <v>116</v>
      </c>
      <c r="L1612" s="195"/>
      <c r="M1612" s="195"/>
      <c r="N1612" s="195"/>
      <c r="O1612" s="199"/>
      <c r="P1612" s="188" t="s">
        <v>1122</v>
      </c>
      <c r="Q1612" s="174">
        <f>IF(ISNUMBER(VLOOKUP(A1612,NotghiID!A:A,1,FALSE)),1,0)</f>
        <v>0</v>
      </c>
    </row>
    <row r="1613" spans="1:17" ht="14.25" x14ac:dyDescent="0.2">
      <c r="A1613" s="183">
        <v>516</v>
      </c>
      <c r="B1613" s="232" t="str">
        <f>IF(AND(A1613&lt;&gt;"",ISNUMBER(A1613)),VLOOKUP(A1613,Studies!A:BR,2,FALSE),"")</f>
        <v>Bae 2011</v>
      </c>
      <c r="C1613" s="232" t="str">
        <f>IF(AND(A1613&lt;&gt;"",ISNUMBER(A1613)),VLOOKUP(A1613,Studies!A:BR,3,FALSE),"")</f>
        <v>https://www.ncbi.nlm.nih.gov/pubmed/20400647</v>
      </c>
      <c r="D1613" s="232" t="str">
        <f>IF(AND(A1613&lt;&gt;"",ISNUMBER(A1613)),VLOOKUP(A1613,Studies!A:BR,4,FALSE),"")</f>
        <v>po 200 mg capsule with cola (Korean)</v>
      </c>
      <c r="E1613" s="206" t="str">
        <f>IF(AND(A1613&lt;&gt;"",ISNUMBER(A1613)),VLOOKUP(A1613,Studies!A:BR,5,FALSE),"")</f>
        <v>Itraconazole</v>
      </c>
      <c r="F1613" s="207" t="str">
        <f>IF(AND(A1613&lt;&gt;"",ISNUMBER(A1613)),VLOOKUP(A1613,Studies!A:BR,6,FALSE),"")</f>
        <v>Plasma</v>
      </c>
      <c r="G1613" s="194">
        <v>6</v>
      </c>
      <c r="H1613" s="194" t="s">
        <v>60</v>
      </c>
      <c r="I1613" s="187">
        <v>226.12419128417969</v>
      </c>
      <c r="J1613" s="187" t="s">
        <v>1026</v>
      </c>
      <c r="K1613" s="187" t="s">
        <v>116</v>
      </c>
      <c r="L1613" s="195"/>
      <c r="M1613" s="195"/>
      <c r="N1613" s="195"/>
      <c r="O1613" s="199"/>
      <c r="P1613" s="188" t="s">
        <v>1122</v>
      </c>
      <c r="Q1613" s="174">
        <f>IF(ISNUMBER(VLOOKUP(A1613,NotghiID!A:A,1,FALSE)),1,0)</f>
        <v>0</v>
      </c>
    </row>
    <row r="1614" spans="1:17" ht="14.25" x14ac:dyDescent="0.2">
      <c r="A1614" s="183">
        <v>516</v>
      </c>
      <c r="B1614" s="232" t="str">
        <f>IF(AND(A1614&lt;&gt;"",ISNUMBER(A1614)),VLOOKUP(A1614,Studies!A:BR,2,FALSE),"")</f>
        <v>Bae 2011</v>
      </c>
      <c r="C1614" s="232" t="str">
        <f>IF(AND(A1614&lt;&gt;"",ISNUMBER(A1614)),VLOOKUP(A1614,Studies!A:BR,3,FALSE),"")</f>
        <v>https://www.ncbi.nlm.nih.gov/pubmed/20400647</v>
      </c>
      <c r="D1614" s="232" t="str">
        <f>IF(AND(A1614&lt;&gt;"",ISNUMBER(A1614)),VLOOKUP(A1614,Studies!A:BR,4,FALSE),"")</f>
        <v>po 200 mg capsule with cola (Korean)</v>
      </c>
      <c r="E1614" s="206" t="str">
        <f>IF(AND(A1614&lt;&gt;"",ISNUMBER(A1614)),VLOOKUP(A1614,Studies!A:BR,5,FALSE),"")</f>
        <v>Itraconazole</v>
      </c>
      <c r="F1614" s="207" t="str">
        <f>IF(AND(A1614&lt;&gt;"",ISNUMBER(A1614)),VLOOKUP(A1614,Studies!A:BR,6,FALSE),"")</f>
        <v>Plasma</v>
      </c>
      <c r="G1614" s="194">
        <v>8</v>
      </c>
      <c r="H1614" s="194" t="s">
        <v>60</v>
      </c>
      <c r="I1614" s="187">
        <v>173.01927185058594</v>
      </c>
      <c r="J1614" s="187" t="s">
        <v>1026</v>
      </c>
      <c r="K1614" s="187" t="s">
        <v>116</v>
      </c>
      <c r="L1614" s="195"/>
      <c r="M1614" s="195"/>
      <c r="N1614" s="195"/>
      <c r="O1614" s="199"/>
      <c r="P1614" s="188" t="s">
        <v>1122</v>
      </c>
      <c r="Q1614" s="174">
        <f>IF(ISNUMBER(VLOOKUP(A1614,NotghiID!A:A,1,FALSE)),1,0)</f>
        <v>0</v>
      </c>
    </row>
    <row r="1615" spans="1:17" ht="14.25" x14ac:dyDescent="0.2">
      <c r="A1615" s="183">
        <v>516</v>
      </c>
      <c r="B1615" s="232" t="str">
        <f>IF(AND(A1615&lt;&gt;"",ISNUMBER(A1615)),VLOOKUP(A1615,Studies!A:BR,2,FALSE),"")</f>
        <v>Bae 2011</v>
      </c>
      <c r="C1615" s="232" t="str">
        <f>IF(AND(A1615&lt;&gt;"",ISNUMBER(A1615)),VLOOKUP(A1615,Studies!A:BR,3,FALSE),"")</f>
        <v>https://www.ncbi.nlm.nih.gov/pubmed/20400647</v>
      </c>
      <c r="D1615" s="232" t="str">
        <f>IF(AND(A1615&lt;&gt;"",ISNUMBER(A1615)),VLOOKUP(A1615,Studies!A:BR,4,FALSE),"")</f>
        <v>po 200 mg capsule with cola (Korean)</v>
      </c>
      <c r="E1615" s="206" t="str">
        <f>IF(AND(A1615&lt;&gt;"",ISNUMBER(A1615)),VLOOKUP(A1615,Studies!A:BR,5,FALSE),"")</f>
        <v>Itraconazole</v>
      </c>
      <c r="F1615" s="207" t="str">
        <f>IF(AND(A1615&lt;&gt;"",ISNUMBER(A1615)),VLOOKUP(A1615,Studies!A:BR,6,FALSE),"")</f>
        <v>Plasma</v>
      </c>
      <c r="G1615" s="194">
        <v>12</v>
      </c>
      <c r="H1615" s="194" t="s">
        <v>60</v>
      </c>
      <c r="I1615" s="187">
        <v>99.357597351074219</v>
      </c>
      <c r="J1615" s="187" t="s">
        <v>1026</v>
      </c>
      <c r="K1615" s="187" t="s">
        <v>116</v>
      </c>
      <c r="L1615" s="195"/>
      <c r="M1615" s="195"/>
      <c r="N1615" s="195"/>
      <c r="O1615" s="199"/>
      <c r="P1615" s="188" t="s">
        <v>1122</v>
      </c>
      <c r="Q1615" s="174">
        <f>IF(ISNUMBER(VLOOKUP(A1615,NotghiID!A:A,1,FALSE)),1,0)</f>
        <v>0</v>
      </c>
    </row>
    <row r="1616" spans="1:17" ht="14.25" x14ac:dyDescent="0.2">
      <c r="A1616" s="183">
        <v>516</v>
      </c>
      <c r="B1616" s="232" t="str">
        <f>IF(AND(A1616&lt;&gt;"",ISNUMBER(A1616)),VLOOKUP(A1616,Studies!A:BR,2,FALSE),"")</f>
        <v>Bae 2011</v>
      </c>
      <c r="C1616" s="232" t="str">
        <f>IF(AND(A1616&lt;&gt;"",ISNUMBER(A1616)),VLOOKUP(A1616,Studies!A:BR,3,FALSE),"")</f>
        <v>https://www.ncbi.nlm.nih.gov/pubmed/20400647</v>
      </c>
      <c r="D1616" s="232" t="str">
        <f>IF(AND(A1616&lt;&gt;"",ISNUMBER(A1616)),VLOOKUP(A1616,Studies!A:BR,4,FALSE),"")</f>
        <v>po 200 mg capsule with cola (Korean)</v>
      </c>
      <c r="E1616" s="206" t="str">
        <f>IF(AND(A1616&lt;&gt;"",ISNUMBER(A1616)),VLOOKUP(A1616,Studies!A:BR,5,FALSE),"")</f>
        <v>Itraconazole</v>
      </c>
      <c r="F1616" s="207" t="str">
        <f>IF(AND(A1616&lt;&gt;"",ISNUMBER(A1616)),VLOOKUP(A1616,Studies!A:BR,6,FALSE),"")</f>
        <v>Plasma</v>
      </c>
      <c r="G1616" s="194">
        <v>24</v>
      </c>
      <c r="H1616" s="194" t="s">
        <v>60</v>
      </c>
      <c r="I1616" s="187">
        <v>65.096359252929688</v>
      </c>
      <c r="J1616" s="187" t="s">
        <v>1026</v>
      </c>
      <c r="K1616" s="187" t="s">
        <v>116</v>
      </c>
      <c r="L1616" s="195"/>
      <c r="M1616" s="195"/>
      <c r="N1616" s="195"/>
      <c r="O1616" s="199"/>
      <c r="P1616" s="188" t="s">
        <v>1122</v>
      </c>
      <c r="Q1616" s="174">
        <f>IF(ISNUMBER(VLOOKUP(A1616,NotghiID!A:A,1,FALSE)),1,0)</f>
        <v>0</v>
      </c>
    </row>
    <row r="1617" spans="1:17" ht="14.25" x14ac:dyDescent="0.2">
      <c r="A1617" s="183">
        <v>516</v>
      </c>
      <c r="B1617" s="232" t="str">
        <f>IF(AND(A1617&lt;&gt;"",ISNUMBER(A1617)),VLOOKUP(A1617,Studies!A:BR,2,FALSE),"")</f>
        <v>Bae 2011</v>
      </c>
      <c r="C1617" s="232" t="str">
        <f>IF(AND(A1617&lt;&gt;"",ISNUMBER(A1617)),VLOOKUP(A1617,Studies!A:BR,3,FALSE),"")</f>
        <v>https://www.ncbi.nlm.nih.gov/pubmed/20400647</v>
      </c>
      <c r="D1617" s="232" t="str">
        <f>IF(AND(A1617&lt;&gt;"",ISNUMBER(A1617)),VLOOKUP(A1617,Studies!A:BR,4,FALSE),"")</f>
        <v>po 200 mg capsule with cola (Korean)</v>
      </c>
      <c r="E1617" s="206" t="str">
        <f>IF(AND(A1617&lt;&gt;"",ISNUMBER(A1617)),VLOOKUP(A1617,Studies!A:BR,5,FALSE),"")</f>
        <v>Itraconazole</v>
      </c>
      <c r="F1617" s="207" t="str">
        <f>IF(AND(A1617&lt;&gt;"",ISNUMBER(A1617)),VLOOKUP(A1617,Studies!A:BR,6,FALSE),"")</f>
        <v>Plasma</v>
      </c>
      <c r="G1617" s="194">
        <v>36</v>
      </c>
      <c r="H1617" s="194" t="s">
        <v>60</v>
      </c>
      <c r="I1617" s="187">
        <v>49.678798675537109</v>
      </c>
      <c r="J1617" s="187" t="s">
        <v>1026</v>
      </c>
      <c r="K1617" s="187" t="s">
        <v>116</v>
      </c>
      <c r="L1617" s="195"/>
      <c r="M1617" s="195"/>
      <c r="N1617" s="195"/>
      <c r="O1617" s="199"/>
      <c r="P1617" s="188" t="s">
        <v>1122</v>
      </c>
      <c r="Q1617" s="174">
        <f>IF(ISNUMBER(VLOOKUP(A1617,NotghiID!A:A,1,FALSE)),1,0)</f>
        <v>0</v>
      </c>
    </row>
    <row r="1618" spans="1:17" ht="14.25" x14ac:dyDescent="0.2">
      <c r="A1618" s="183">
        <v>516</v>
      </c>
      <c r="B1618" s="232" t="str">
        <f>IF(AND(A1618&lt;&gt;"",ISNUMBER(A1618)),VLOOKUP(A1618,Studies!A:BR,2,FALSE),"")</f>
        <v>Bae 2011</v>
      </c>
      <c r="C1618" s="232" t="str">
        <f>IF(AND(A1618&lt;&gt;"",ISNUMBER(A1618)),VLOOKUP(A1618,Studies!A:BR,3,FALSE),"")</f>
        <v>https://www.ncbi.nlm.nih.gov/pubmed/20400647</v>
      </c>
      <c r="D1618" s="232" t="str">
        <f>IF(AND(A1618&lt;&gt;"",ISNUMBER(A1618)),VLOOKUP(A1618,Studies!A:BR,4,FALSE),"")</f>
        <v>po 200 mg capsule with cola (Korean)</v>
      </c>
      <c r="E1618" s="206" t="str">
        <f>IF(AND(A1618&lt;&gt;"",ISNUMBER(A1618)),VLOOKUP(A1618,Studies!A:BR,5,FALSE),"")</f>
        <v>Itraconazole</v>
      </c>
      <c r="F1618" s="207" t="str">
        <f>IF(AND(A1618&lt;&gt;"",ISNUMBER(A1618)),VLOOKUP(A1618,Studies!A:BR,6,FALSE),"")</f>
        <v>Plasma</v>
      </c>
      <c r="G1618" s="194">
        <v>48</v>
      </c>
      <c r="H1618" s="194" t="s">
        <v>60</v>
      </c>
      <c r="I1618" s="187">
        <v>32.548179626464844</v>
      </c>
      <c r="J1618" s="187" t="s">
        <v>1026</v>
      </c>
      <c r="K1618" s="187" t="s">
        <v>116</v>
      </c>
      <c r="L1618" s="195"/>
      <c r="M1618" s="195"/>
      <c r="N1618" s="195"/>
      <c r="O1618" s="199"/>
      <c r="P1618" s="188" t="s">
        <v>1122</v>
      </c>
      <c r="Q1618" s="174">
        <f>IF(ISNUMBER(VLOOKUP(A1618,NotghiID!A:A,1,FALSE)),1,0)</f>
        <v>0</v>
      </c>
    </row>
    <row r="1619" spans="1:17" ht="14.25" x14ac:dyDescent="0.2">
      <c r="A1619" s="183">
        <v>517</v>
      </c>
      <c r="B1619" s="232" t="str">
        <f>IF(AND(A1619&lt;&gt;"",ISNUMBER(A1619)),VLOOKUP(A1619,Studies!A:BR,2,FALSE),"")</f>
        <v>Bae 2011</v>
      </c>
      <c r="C1619" s="232" t="str">
        <f>IF(AND(A1619&lt;&gt;"",ISNUMBER(A1619)),VLOOKUP(A1619,Studies!A:BR,3,FALSE),"")</f>
        <v>https://www.ncbi.nlm.nih.gov/pubmed/20400647</v>
      </c>
      <c r="D1619" s="232" t="str">
        <f>IF(AND(A1619&lt;&gt;"",ISNUMBER(A1619)),VLOOKUP(A1619,Studies!A:BR,4,FALSE),"")</f>
        <v>po 200 mg capsule with cola (Korean)</v>
      </c>
      <c r="E1619" s="206" t="str">
        <f>IF(AND(A1619&lt;&gt;"",ISNUMBER(A1619)),VLOOKUP(A1619,Studies!A:BR,5,FALSE),"")</f>
        <v>Hydroxy-Itraconazole</v>
      </c>
      <c r="F1619" s="207" t="str">
        <f>IF(AND(A1619&lt;&gt;"",ISNUMBER(A1619)),VLOOKUP(A1619,Studies!A:BR,6,FALSE),"")</f>
        <v>Plasma</v>
      </c>
      <c r="G1619" s="194">
        <v>0.5</v>
      </c>
      <c r="H1619" s="194" t="s">
        <v>60</v>
      </c>
      <c r="I1619" s="187">
        <v>10.256410598754883</v>
      </c>
      <c r="J1619" s="187" t="s">
        <v>1026</v>
      </c>
      <c r="K1619" s="187" t="s">
        <v>116</v>
      </c>
      <c r="L1619" s="195"/>
      <c r="M1619" s="195"/>
      <c r="N1619" s="195"/>
      <c r="O1619" s="199"/>
      <c r="P1619" s="188" t="s">
        <v>1122</v>
      </c>
      <c r="Q1619" s="174">
        <f>IF(ISNUMBER(VLOOKUP(A1619,NotghiID!A:A,1,FALSE)),1,0)</f>
        <v>0</v>
      </c>
    </row>
    <row r="1620" spans="1:17" ht="14.25" x14ac:dyDescent="0.2">
      <c r="A1620" s="183">
        <v>517</v>
      </c>
      <c r="B1620" s="232" t="str">
        <f>IF(AND(A1620&lt;&gt;"",ISNUMBER(A1620)),VLOOKUP(A1620,Studies!A:BR,2,FALSE),"")</f>
        <v>Bae 2011</v>
      </c>
      <c r="C1620" s="232" t="str">
        <f>IF(AND(A1620&lt;&gt;"",ISNUMBER(A1620)),VLOOKUP(A1620,Studies!A:BR,3,FALSE),"")</f>
        <v>https://www.ncbi.nlm.nih.gov/pubmed/20400647</v>
      </c>
      <c r="D1620" s="232" t="str">
        <f>IF(AND(A1620&lt;&gt;"",ISNUMBER(A1620)),VLOOKUP(A1620,Studies!A:BR,4,FALSE),"")</f>
        <v>po 200 mg capsule with cola (Korean)</v>
      </c>
      <c r="E1620" s="206" t="str">
        <f>IF(AND(A1620&lt;&gt;"",ISNUMBER(A1620)),VLOOKUP(A1620,Studies!A:BR,5,FALSE),"")</f>
        <v>Hydroxy-Itraconazole</v>
      </c>
      <c r="F1620" s="207" t="str">
        <f>IF(AND(A1620&lt;&gt;"",ISNUMBER(A1620)),VLOOKUP(A1620,Studies!A:BR,6,FALSE),"")</f>
        <v>Plasma</v>
      </c>
      <c r="G1620" s="194">
        <v>1</v>
      </c>
      <c r="H1620" s="194" t="s">
        <v>60</v>
      </c>
      <c r="I1620" s="187">
        <v>110.25641632080078</v>
      </c>
      <c r="J1620" s="187" t="s">
        <v>1026</v>
      </c>
      <c r="K1620" s="187" t="s">
        <v>116</v>
      </c>
      <c r="L1620" s="195"/>
      <c r="M1620" s="195"/>
      <c r="N1620" s="195"/>
      <c r="O1620" s="199"/>
      <c r="P1620" s="188" t="s">
        <v>1122</v>
      </c>
      <c r="Q1620" s="174">
        <f>IF(ISNUMBER(VLOOKUP(A1620,NotghiID!A:A,1,FALSE)),1,0)</f>
        <v>0</v>
      </c>
    </row>
    <row r="1621" spans="1:17" ht="14.25" x14ac:dyDescent="0.2">
      <c r="A1621" s="183">
        <v>517</v>
      </c>
      <c r="B1621" s="232" t="str">
        <f>IF(AND(A1621&lt;&gt;"",ISNUMBER(A1621)),VLOOKUP(A1621,Studies!A:BR,2,FALSE),"")</f>
        <v>Bae 2011</v>
      </c>
      <c r="C1621" s="232" t="str">
        <f>IF(AND(A1621&lt;&gt;"",ISNUMBER(A1621)),VLOOKUP(A1621,Studies!A:BR,3,FALSE),"")</f>
        <v>https://www.ncbi.nlm.nih.gov/pubmed/20400647</v>
      </c>
      <c r="D1621" s="232" t="str">
        <f>IF(AND(A1621&lt;&gt;"",ISNUMBER(A1621)),VLOOKUP(A1621,Studies!A:BR,4,FALSE),"")</f>
        <v>po 200 mg capsule with cola (Korean)</v>
      </c>
      <c r="E1621" s="206" t="str">
        <f>IF(AND(A1621&lt;&gt;"",ISNUMBER(A1621)),VLOOKUP(A1621,Studies!A:BR,5,FALSE),"")</f>
        <v>Hydroxy-Itraconazole</v>
      </c>
      <c r="F1621" s="207" t="str">
        <f>IF(AND(A1621&lt;&gt;"",ISNUMBER(A1621)),VLOOKUP(A1621,Studies!A:BR,6,FALSE),"")</f>
        <v>Plasma</v>
      </c>
      <c r="G1621" s="194">
        <v>1.5</v>
      </c>
      <c r="H1621" s="194" t="s">
        <v>60</v>
      </c>
      <c r="I1621" s="187">
        <v>297.4359130859375</v>
      </c>
      <c r="J1621" s="187" t="s">
        <v>1026</v>
      </c>
      <c r="K1621" s="187" t="s">
        <v>116</v>
      </c>
      <c r="L1621" s="195"/>
      <c r="M1621" s="195"/>
      <c r="N1621" s="195"/>
      <c r="O1621" s="199"/>
      <c r="P1621" s="188" t="s">
        <v>1122</v>
      </c>
      <c r="Q1621" s="174">
        <f>IF(ISNUMBER(VLOOKUP(A1621,NotghiID!A:A,1,FALSE)),1,0)</f>
        <v>0</v>
      </c>
    </row>
    <row r="1622" spans="1:17" ht="14.25" x14ac:dyDescent="0.2">
      <c r="A1622" s="183">
        <v>517</v>
      </c>
      <c r="B1622" s="232" t="str">
        <f>IF(AND(A1622&lt;&gt;"",ISNUMBER(A1622)),VLOOKUP(A1622,Studies!A:BR,2,FALSE),"")</f>
        <v>Bae 2011</v>
      </c>
      <c r="C1622" s="232" t="str">
        <f>IF(AND(A1622&lt;&gt;"",ISNUMBER(A1622)),VLOOKUP(A1622,Studies!A:BR,3,FALSE),"")</f>
        <v>https://www.ncbi.nlm.nih.gov/pubmed/20400647</v>
      </c>
      <c r="D1622" s="232" t="str">
        <f>IF(AND(A1622&lt;&gt;"",ISNUMBER(A1622)),VLOOKUP(A1622,Studies!A:BR,4,FALSE),"")</f>
        <v>po 200 mg capsule with cola (Korean)</v>
      </c>
      <c r="E1622" s="206" t="str">
        <f>IF(AND(A1622&lt;&gt;"",ISNUMBER(A1622)),VLOOKUP(A1622,Studies!A:BR,5,FALSE),"")</f>
        <v>Hydroxy-Itraconazole</v>
      </c>
      <c r="F1622" s="207" t="str">
        <f>IF(AND(A1622&lt;&gt;"",ISNUMBER(A1622)),VLOOKUP(A1622,Studies!A:BR,6,FALSE),"")</f>
        <v>Plasma</v>
      </c>
      <c r="G1622" s="194">
        <v>2</v>
      </c>
      <c r="H1622" s="194" t="s">
        <v>60</v>
      </c>
      <c r="I1622" s="187">
        <v>433.33334350585937</v>
      </c>
      <c r="J1622" s="187" t="s">
        <v>1026</v>
      </c>
      <c r="K1622" s="187" t="s">
        <v>116</v>
      </c>
      <c r="L1622" s="195"/>
      <c r="M1622" s="195"/>
      <c r="N1622" s="195"/>
      <c r="O1622" s="199"/>
      <c r="P1622" s="188" t="s">
        <v>1122</v>
      </c>
      <c r="Q1622" s="174">
        <f>IF(ISNUMBER(VLOOKUP(A1622,NotghiID!A:A,1,FALSE)),1,0)</f>
        <v>0</v>
      </c>
    </row>
    <row r="1623" spans="1:17" ht="14.25" x14ac:dyDescent="0.2">
      <c r="A1623" s="183">
        <v>517</v>
      </c>
      <c r="B1623" s="232" t="str">
        <f>IF(AND(A1623&lt;&gt;"",ISNUMBER(A1623)),VLOOKUP(A1623,Studies!A:BR,2,FALSE),"")</f>
        <v>Bae 2011</v>
      </c>
      <c r="C1623" s="232" t="str">
        <f>IF(AND(A1623&lt;&gt;"",ISNUMBER(A1623)),VLOOKUP(A1623,Studies!A:BR,3,FALSE),"")</f>
        <v>https://www.ncbi.nlm.nih.gov/pubmed/20400647</v>
      </c>
      <c r="D1623" s="232" t="str">
        <f>IF(AND(A1623&lt;&gt;"",ISNUMBER(A1623)),VLOOKUP(A1623,Studies!A:BR,4,FALSE),"")</f>
        <v>po 200 mg capsule with cola (Korean)</v>
      </c>
      <c r="E1623" s="206" t="str">
        <f>IF(AND(A1623&lt;&gt;"",ISNUMBER(A1623)),VLOOKUP(A1623,Studies!A:BR,5,FALSE),"")</f>
        <v>Hydroxy-Itraconazole</v>
      </c>
      <c r="F1623" s="207" t="str">
        <f>IF(AND(A1623&lt;&gt;"",ISNUMBER(A1623)),VLOOKUP(A1623,Studies!A:BR,6,FALSE),"")</f>
        <v>Plasma</v>
      </c>
      <c r="G1623" s="194">
        <v>2.5</v>
      </c>
      <c r="H1623" s="194" t="s">
        <v>60</v>
      </c>
      <c r="I1623" s="187">
        <v>535.8974609375</v>
      </c>
      <c r="J1623" s="187" t="s">
        <v>1026</v>
      </c>
      <c r="K1623" s="187" t="s">
        <v>116</v>
      </c>
      <c r="L1623" s="195"/>
      <c r="M1623" s="195"/>
      <c r="N1623" s="195"/>
      <c r="O1623" s="199"/>
      <c r="P1623" s="188" t="s">
        <v>1122</v>
      </c>
      <c r="Q1623" s="174">
        <f>IF(ISNUMBER(VLOOKUP(A1623,NotghiID!A:A,1,FALSE)),1,0)</f>
        <v>0</v>
      </c>
    </row>
    <row r="1624" spans="1:17" ht="14.25" x14ac:dyDescent="0.2">
      <c r="A1624" s="183">
        <v>517</v>
      </c>
      <c r="B1624" s="232" t="str">
        <f>IF(AND(A1624&lt;&gt;"",ISNUMBER(A1624)),VLOOKUP(A1624,Studies!A:BR,2,FALSE),"")</f>
        <v>Bae 2011</v>
      </c>
      <c r="C1624" s="232" t="str">
        <f>IF(AND(A1624&lt;&gt;"",ISNUMBER(A1624)),VLOOKUP(A1624,Studies!A:BR,3,FALSE),"")</f>
        <v>https://www.ncbi.nlm.nih.gov/pubmed/20400647</v>
      </c>
      <c r="D1624" s="232" t="str">
        <f>IF(AND(A1624&lt;&gt;"",ISNUMBER(A1624)),VLOOKUP(A1624,Studies!A:BR,4,FALSE),"")</f>
        <v>po 200 mg capsule with cola (Korean)</v>
      </c>
      <c r="E1624" s="206" t="str">
        <f>IF(AND(A1624&lt;&gt;"",ISNUMBER(A1624)),VLOOKUP(A1624,Studies!A:BR,5,FALSE),"")</f>
        <v>Hydroxy-Itraconazole</v>
      </c>
      <c r="F1624" s="207" t="str">
        <f>IF(AND(A1624&lt;&gt;"",ISNUMBER(A1624)),VLOOKUP(A1624,Studies!A:BR,6,FALSE),"")</f>
        <v>Plasma</v>
      </c>
      <c r="G1624" s="194">
        <v>3</v>
      </c>
      <c r="H1624" s="194" t="s">
        <v>60</v>
      </c>
      <c r="I1624" s="187">
        <v>661.53851318359375</v>
      </c>
      <c r="J1624" s="187" t="s">
        <v>1026</v>
      </c>
      <c r="K1624" s="187" t="s">
        <v>116</v>
      </c>
      <c r="L1624" s="195"/>
      <c r="M1624" s="195"/>
      <c r="N1624" s="195"/>
      <c r="O1624" s="199"/>
      <c r="P1624" s="188" t="s">
        <v>1122</v>
      </c>
      <c r="Q1624" s="174">
        <f>IF(ISNUMBER(VLOOKUP(A1624,NotghiID!A:A,1,FALSE)),1,0)</f>
        <v>0</v>
      </c>
    </row>
    <row r="1625" spans="1:17" ht="14.25" x14ac:dyDescent="0.2">
      <c r="A1625" s="183">
        <v>517</v>
      </c>
      <c r="B1625" s="232" t="str">
        <f>IF(AND(A1625&lt;&gt;"",ISNUMBER(A1625)),VLOOKUP(A1625,Studies!A:BR,2,FALSE),"")</f>
        <v>Bae 2011</v>
      </c>
      <c r="C1625" s="232" t="str">
        <f>IF(AND(A1625&lt;&gt;"",ISNUMBER(A1625)),VLOOKUP(A1625,Studies!A:BR,3,FALSE),"")</f>
        <v>https://www.ncbi.nlm.nih.gov/pubmed/20400647</v>
      </c>
      <c r="D1625" s="232" t="str">
        <f>IF(AND(A1625&lt;&gt;"",ISNUMBER(A1625)),VLOOKUP(A1625,Studies!A:BR,4,FALSE),"")</f>
        <v>po 200 mg capsule with cola (Korean)</v>
      </c>
      <c r="E1625" s="206" t="str">
        <f>IF(AND(A1625&lt;&gt;"",ISNUMBER(A1625)),VLOOKUP(A1625,Studies!A:BR,5,FALSE),"")</f>
        <v>Hydroxy-Itraconazole</v>
      </c>
      <c r="F1625" s="207" t="str">
        <f>IF(AND(A1625&lt;&gt;"",ISNUMBER(A1625)),VLOOKUP(A1625,Studies!A:BR,6,FALSE),"")</f>
        <v>Plasma</v>
      </c>
      <c r="G1625" s="194">
        <v>3.5</v>
      </c>
      <c r="H1625" s="194" t="s">
        <v>60</v>
      </c>
      <c r="I1625" s="187">
        <v>612.820556640625</v>
      </c>
      <c r="J1625" s="187" t="s">
        <v>1026</v>
      </c>
      <c r="K1625" s="187" t="s">
        <v>116</v>
      </c>
      <c r="L1625" s="195"/>
      <c r="M1625" s="195"/>
      <c r="N1625" s="195"/>
      <c r="O1625" s="199"/>
      <c r="P1625" s="188" t="s">
        <v>1122</v>
      </c>
      <c r="Q1625" s="174">
        <f>IF(ISNUMBER(VLOOKUP(A1625,NotghiID!A:A,1,FALSE)),1,0)</f>
        <v>0</v>
      </c>
    </row>
    <row r="1626" spans="1:17" ht="14.25" x14ac:dyDescent="0.2">
      <c r="A1626" s="183">
        <v>517</v>
      </c>
      <c r="B1626" s="232" t="str">
        <f>IF(AND(A1626&lt;&gt;"",ISNUMBER(A1626)),VLOOKUP(A1626,Studies!A:BR,2,FALSE),"")</f>
        <v>Bae 2011</v>
      </c>
      <c r="C1626" s="232" t="str">
        <f>IF(AND(A1626&lt;&gt;"",ISNUMBER(A1626)),VLOOKUP(A1626,Studies!A:BR,3,FALSE),"")</f>
        <v>https://www.ncbi.nlm.nih.gov/pubmed/20400647</v>
      </c>
      <c r="D1626" s="232" t="str">
        <f>IF(AND(A1626&lt;&gt;"",ISNUMBER(A1626)),VLOOKUP(A1626,Studies!A:BR,4,FALSE),"")</f>
        <v>po 200 mg capsule with cola (Korean)</v>
      </c>
      <c r="E1626" s="206" t="str">
        <f>IF(AND(A1626&lt;&gt;"",ISNUMBER(A1626)),VLOOKUP(A1626,Studies!A:BR,5,FALSE),"")</f>
        <v>Hydroxy-Itraconazole</v>
      </c>
      <c r="F1626" s="207" t="str">
        <f>IF(AND(A1626&lt;&gt;"",ISNUMBER(A1626)),VLOOKUP(A1626,Studies!A:BR,6,FALSE),"")</f>
        <v>Plasma</v>
      </c>
      <c r="G1626" s="194">
        <v>4</v>
      </c>
      <c r="H1626" s="194" t="s">
        <v>60</v>
      </c>
      <c r="I1626" s="187">
        <v>684.61541748046875</v>
      </c>
      <c r="J1626" s="187" t="s">
        <v>1026</v>
      </c>
      <c r="K1626" s="187" t="s">
        <v>116</v>
      </c>
      <c r="L1626" s="195"/>
      <c r="M1626" s="195"/>
      <c r="N1626" s="195"/>
      <c r="O1626" s="199"/>
      <c r="P1626" s="188" t="s">
        <v>1122</v>
      </c>
      <c r="Q1626" s="174">
        <f>IF(ISNUMBER(VLOOKUP(A1626,NotghiID!A:A,1,FALSE)),1,0)</f>
        <v>0</v>
      </c>
    </row>
    <row r="1627" spans="1:17" ht="14.25" x14ac:dyDescent="0.2">
      <c r="A1627" s="183">
        <v>517</v>
      </c>
      <c r="B1627" s="232" t="str">
        <f>IF(AND(A1627&lt;&gt;"",ISNUMBER(A1627)),VLOOKUP(A1627,Studies!A:BR,2,FALSE),"")</f>
        <v>Bae 2011</v>
      </c>
      <c r="C1627" s="232" t="str">
        <f>IF(AND(A1627&lt;&gt;"",ISNUMBER(A1627)),VLOOKUP(A1627,Studies!A:BR,3,FALSE),"")</f>
        <v>https://www.ncbi.nlm.nih.gov/pubmed/20400647</v>
      </c>
      <c r="D1627" s="232" t="str">
        <f>IF(AND(A1627&lt;&gt;"",ISNUMBER(A1627)),VLOOKUP(A1627,Studies!A:BR,4,FALSE),"")</f>
        <v>po 200 mg capsule with cola (Korean)</v>
      </c>
      <c r="E1627" s="206" t="str">
        <f>IF(AND(A1627&lt;&gt;"",ISNUMBER(A1627)),VLOOKUP(A1627,Studies!A:BR,5,FALSE),"")</f>
        <v>Hydroxy-Itraconazole</v>
      </c>
      <c r="F1627" s="207" t="str">
        <f>IF(AND(A1627&lt;&gt;"",ISNUMBER(A1627)),VLOOKUP(A1627,Studies!A:BR,6,FALSE),"")</f>
        <v>Plasma</v>
      </c>
      <c r="G1627" s="194">
        <v>5</v>
      </c>
      <c r="H1627" s="194" t="s">
        <v>60</v>
      </c>
      <c r="I1627" s="187">
        <v>648.71795654296875</v>
      </c>
      <c r="J1627" s="187" t="s">
        <v>1026</v>
      </c>
      <c r="K1627" s="187" t="s">
        <v>116</v>
      </c>
      <c r="L1627" s="195"/>
      <c r="M1627" s="195"/>
      <c r="N1627" s="195"/>
      <c r="O1627" s="199"/>
      <c r="P1627" s="188" t="s">
        <v>1122</v>
      </c>
      <c r="Q1627" s="174">
        <f>IF(ISNUMBER(VLOOKUP(A1627,NotghiID!A:A,1,FALSE)),1,0)</f>
        <v>0</v>
      </c>
    </row>
    <row r="1628" spans="1:17" ht="14.25" x14ac:dyDescent="0.2">
      <c r="A1628" s="183">
        <v>517</v>
      </c>
      <c r="B1628" s="232" t="str">
        <f>IF(AND(A1628&lt;&gt;"",ISNUMBER(A1628)),VLOOKUP(A1628,Studies!A:BR,2,FALSE),"")</f>
        <v>Bae 2011</v>
      </c>
      <c r="C1628" s="232" t="str">
        <f>IF(AND(A1628&lt;&gt;"",ISNUMBER(A1628)),VLOOKUP(A1628,Studies!A:BR,3,FALSE),"")</f>
        <v>https://www.ncbi.nlm.nih.gov/pubmed/20400647</v>
      </c>
      <c r="D1628" s="232" t="str">
        <f>IF(AND(A1628&lt;&gt;"",ISNUMBER(A1628)),VLOOKUP(A1628,Studies!A:BR,4,FALSE),"")</f>
        <v>po 200 mg capsule with cola (Korean)</v>
      </c>
      <c r="E1628" s="206" t="str">
        <f>IF(AND(A1628&lt;&gt;"",ISNUMBER(A1628)),VLOOKUP(A1628,Studies!A:BR,5,FALSE),"")</f>
        <v>Hydroxy-Itraconazole</v>
      </c>
      <c r="F1628" s="207" t="str">
        <f>IF(AND(A1628&lt;&gt;"",ISNUMBER(A1628)),VLOOKUP(A1628,Studies!A:BR,6,FALSE),"")</f>
        <v>Plasma</v>
      </c>
      <c r="G1628" s="194">
        <v>6</v>
      </c>
      <c r="H1628" s="194" t="s">
        <v>60</v>
      </c>
      <c r="I1628" s="187">
        <v>602.56414794921875</v>
      </c>
      <c r="J1628" s="187" t="s">
        <v>1026</v>
      </c>
      <c r="K1628" s="187" t="s">
        <v>116</v>
      </c>
      <c r="L1628" s="195"/>
      <c r="M1628" s="195"/>
      <c r="N1628" s="195"/>
      <c r="O1628" s="199"/>
      <c r="P1628" s="188" t="s">
        <v>1122</v>
      </c>
      <c r="Q1628" s="174">
        <f>IF(ISNUMBER(VLOOKUP(A1628,NotghiID!A:A,1,FALSE)),1,0)</f>
        <v>0</v>
      </c>
    </row>
    <row r="1629" spans="1:17" ht="14.25" x14ac:dyDescent="0.2">
      <c r="A1629" s="183">
        <v>517</v>
      </c>
      <c r="B1629" s="232" t="str">
        <f>IF(AND(A1629&lt;&gt;"",ISNUMBER(A1629)),VLOOKUP(A1629,Studies!A:BR,2,FALSE),"")</f>
        <v>Bae 2011</v>
      </c>
      <c r="C1629" s="232" t="str">
        <f>IF(AND(A1629&lt;&gt;"",ISNUMBER(A1629)),VLOOKUP(A1629,Studies!A:BR,3,FALSE),"")</f>
        <v>https://www.ncbi.nlm.nih.gov/pubmed/20400647</v>
      </c>
      <c r="D1629" s="232" t="str">
        <f>IF(AND(A1629&lt;&gt;"",ISNUMBER(A1629)),VLOOKUP(A1629,Studies!A:BR,4,FALSE),"")</f>
        <v>po 200 mg capsule with cola (Korean)</v>
      </c>
      <c r="E1629" s="206" t="str">
        <f>IF(AND(A1629&lt;&gt;"",ISNUMBER(A1629)),VLOOKUP(A1629,Studies!A:BR,5,FALSE),"")</f>
        <v>Hydroxy-Itraconazole</v>
      </c>
      <c r="F1629" s="207" t="str">
        <f>IF(AND(A1629&lt;&gt;"",ISNUMBER(A1629)),VLOOKUP(A1629,Studies!A:BR,6,FALSE),"")</f>
        <v>Plasma</v>
      </c>
      <c r="G1629" s="194">
        <v>8</v>
      </c>
      <c r="H1629" s="194" t="s">
        <v>60</v>
      </c>
      <c r="I1629" s="187">
        <v>571.79486083984375</v>
      </c>
      <c r="J1629" s="187" t="s">
        <v>1026</v>
      </c>
      <c r="K1629" s="187" t="s">
        <v>116</v>
      </c>
      <c r="L1629" s="195"/>
      <c r="M1629" s="195"/>
      <c r="N1629" s="195"/>
      <c r="O1629" s="199"/>
      <c r="P1629" s="188" t="s">
        <v>1122</v>
      </c>
      <c r="Q1629" s="174">
        <f>IF(ISNUMBER(VLOOKUP(A1629,NotghiID!A:A,1,FALSE)),1,0)</f>
        <v>0</v>
      </c>
    </row>
    <row r="1630" spans="1:17" ht="14.25" x14ac:dyDescent="0.2">
      <c r="A1630" s="183">
        <v>517</v>
      </c>
      <c r="B1630" s="232" t="str">
        <f>IF(AND(A1630&lt;&gt;"",ISNUMBER(A1630)),VLOOKUP(A1630,Studies!A:BR,2,FALSE),"")</f>
        <v>Bae 2011</v>
      </c>
      <c r="C1630" s="232" t="str">
        <f>IF(AND(A1630&lt;&gt;"",ISNUMBER(A1630)),VLOOKUP(A1630,Studies!A:BR,3,FALSE),"")</f>
        <v>https://www.ncbi.nlm.nih.gov/pubmed/20400647</v>
      </c>
      <c r="D1630" s="232" t="str">
        <f>IF(AND(A1630&lt;&gt;"",ISNUMBER(A1630)),VLOOKUP(A1630,Studies!A:BR,4,FALSE),"")</f>
        <v>po 200 mg capsule with cola (Korean)</v>
      </c>
      <c r="E1630" s="206" t="str">
        <f>IF(AND(A1630&lt;&gt;"",ISNUMBER(A1630)),VLOOKUP(A1630,Studies!A:BR,5,FALSE),"")</f>
        <v>Hydroxy-Itraconazole</v>
      </c>
      <c r="F1630" s="207" t="str">
        <f>IF(AND(A1630&lt;&gt;"",ISNUMBER(A1630)),VLOOKUP(A1630,Studies!A:BR,6,FALSE),"")</f>
        <v>Plasma</v>
      </c>
      <c r="G1630" s="194">
        <v>12</v>
      </c>
      <c r="H1630" s="194" t="s">
        <v>60</v>
      </c>
      <c r="I1630" s="187">
        <v>441.02566528320312</v>
      </c>
      <c r="J1630" s="187" t="s">
        <v>1026</v>
      </c>
      <c r="K1630" s="187" t="s">
        <v>116</v>
      </c>
      <c r="L1630" s="195"/>
      <c r="M1630" s="195"/>
      <c r="N1630" s="195"/>
      <c r="O1630" s="199"/>
      <c r="P1630" s="188" t="s">
        <v>1122</v>
      </c>
      <c r="Q1630" s="174">
        <f>IF(ISNUMBER(VLOOKUP(A1630,NotghiID!A:A,1,FALSE)),1,0)</f>
        <v>0</v>
      </c>
    </row>
    <row r="1631" spans="1:17" ht="14.25" x14ac:dyDescent="0.2">
      <c r="A1631" s="183">
        <v>517</v>
      </c>
      <c r="B1631" s="232" t="str">
        <f>IF(AND(A1631&lt;&gt;"",ISNUMBER(A1631)),VLOOKUP(A1631,Studies!A:BR,2,FALSE),"")</f>
        <v>Bae 2011</v>
      </c>
      <c r="C1631" s="232" t="str">
        <f>IF(AND(A1631&lt;&gt;"",ISNUMBER(A1631)),VLOOKUP(A1631,Studies!A:BR,3,FALSE),"")</f>
        <v>https://www.ncbi.nlm.nih.gov/pubmed/20400647</v>
      </c>
      <c r="D1631" s="232" t="str">
        <f>IF(AND(A1631&lt;&gt;"",ISNUMBER(A1631)),VLOOKUP(A1631,Studies!A:BR,4,FALSE),"")</f>
        <v>po 200 mg capsule with cola (Korean)</v>
      </c>
      <c r="E1631" s="206" t="str">
        <f>IF(AND(A1631&lt;&gt;"",ISNUMBER(A1631)),VLOOKUP(A1631,Studies!A:BR,5,FALSE),"")</f>
        <v>Hydroxy-Itraconazole</v>
      </c>
      <c r="F1631" s="207" t="str">
        <f>IF(AND(A1631&lt;&gt;"",ISNUMBER(A1631)),VLOOKUP(A1631,Studies!A:BR,6,FALSE),"")</f>
        <v>Plasma</v>
      </c>
      <c r="G1631" s="194">
        <v>24</v>
      </c>
      <c r="H1631" s="194" t="s">
        <v>60</v>
      </c>
      <c r="I1631" s="187">
        <v>261.53848266601562</v>
      </c>
      <c r="J1631" s="187" t="s">
        <v>1026</v>
      </c>
      <c r="K1631" s="187" t="s">
        <v>116</v>
      </c>
      <c r="L1631" s="195"/>
      <c r="M1631" s="195"/>
      <c r="N1631" s="195"/>
      <c r="O1631" s="199"/>
      <c r="P1631" s="188" t="s">
        <v>1122</v>
      </c>
      <c r="Q1631" s="174">
        <f>IF(ISNUMBER(VLOOKUP(A1631,NotghiID!A:A,1,FALSE)),1,0)</f>
        <v>0</v>
      </c>
    </row>
    <row r="1632" spans="1:17" ht="14.25" x14ac:dyDescent="0.2">
      <c r="A1632" s="183">
        <v>517</v>
      </c>
      <c r="B1632" s="232" t="str">
        <f>IF(AND(A1632&lt;&gt;"",ISNUMBER(A1632)),VLOOKUP(A1632,Studies!A:BR,2,FALSE),"")</f>
        <v>Bae 2011</v>
      </c>
      <c r="C1632" s="232" t="str">
        <f>IF(AND(A1632&lt;&gt;"",ISNUMBER(A1632)),VLOOKUP(A1632,Studies!A:BR,3,FALSE),"")</f>
        <v>https://www.ncbi.nlm.nih.gov/pubmed/20400647</v>
      </c>
      <c r="D1632" s="232" t="str">
        <f>IF(AND(A1632&lt;&gt;"",ISNUMBER(A1632)),VLOOKUP(A1632,Studies!A:BR,4,FALSE),"")</f>
        <v>po 200 mg capsule with cola (Korean)</v>
      </c>
      <c r="E1632" s="206" t="str">
        <f>IF(AND(A1632&lt;&gt;"",ISNUMBER(A1632)),VLOOKUP(A1632,Studies!A:BR,5,FALSE),"")</f>
        <v>Hydroxy-Itraconazole</v>
      </c>
      <c r="F1632" s="207" t="str">
        <f>IF(AND(A1632&lt;&gt;"",ISNUMBER(A1632)),VLOOKUP(A1632,Studies!A:BR,6,FALSE),"")</f>
        <v>Plasma</v>
      </c>
      <c r="G1632" s="194">
        <v>36</v>
      </c>
      <c r="H1632" s="194" t="s">
        <v>60</v>
      </c>
      <c r="I1632" s="187">
        <v>146.15385437011719</v>
      </c>
      <c r="J1632" s="187" t="s">
        <v>1026</v>
      </c>
      <c r="K1632" s="187" t="s">
        <v>116</v>
      </c>
      <c r="L1632" s="195"/>
      <c r="M1632" s="195"/>
      <c r="N1632" s="195"/>
      <c r="O1632" s="199"/>
      <c r="P1632" s="188" t="s">
        <v>1122</v>
      </c>
      <c r="Q1632" s="174">
        <f>IF(ISNUMBER(VLOOKUP(A1632,NotghiID!A:A,1,FALSE)),1,0)</f>
        <v>0</v>
      </c>
    </row>
    <row r="1633" spans="1:17" ht="14.25" x14ac:dyDescent="0.2">
      <c r="A1633" s="183">
        <v>517</v>
      </c>
      <c r="B1633" s="232" t="str">
        <f>IF(AND(A1633&lt;&gt;"",ISNUMBER(A1633)),VLOOKUP(A1633,Studies!A:BR,2,FALSE),"")</f>
        <v>Bae 2011</v>
      </c>
      <c r="C1633" s="232" t="str">
        <f>IF(AND(A1633&lt;&gt;"",ISNUMBER(A1633)),VLOOKUP(A1633,Studies!A:BR,3,FALSE),"")</f>
        <v>https://www.ncbi.nlm.nih.gov/pubmed/20400647</v>
      </c>
      <c r="D1633" s="232" t="str">
        <f>IF(AND(A1633&lt;&gt;"",ISNUMBER(A1633)),VLOOKUP(A1633,Studies!A:BR,4,FALSE),"")</f>
        <v>po 200 mg capsule with cola (Korean)</v>
      </c>
      <c r="E1633" s="206" t="str">
        <f>IF(AND(A1633&lt;&gt;"",ISNUMBER(A1633)),VLOOKUP(A1633,Studies!A:BR,5,FALSE),"")</f>
        <v>Hydroxy-Itraconazole</v>
      </c>
      <c r="F1633" s="207" t="str">
        <f>IF(AND(A1633&lt;&gt;"",ISNUMBER(A1633)),VLOOKUP(A1633,Studies!A:BR,6,FALSE),"")</f>
        <v>Plasma</v>
      </c>
      <c r="G1633" s="194">
        <v>48</v>
      </c>
      <c r="H1633" s="194" t="s">
        <v>60</v>
      </c>
      <c r="I1633" s="187">
        <v>76.923080444335938</v>
      </c>
      <c r="J1633" s="187" t="s">
        <v>1026</v>
      </c>
      <c r="K1633" s="187" t="s">
        <v>116</v>
      </c>
      <c r="L1633" s="195"/>
      <c r="M1633" s="195"/>
      <c r="N1633" s="195"/>
      <c r="O1633" s="199"/>
      <c r="P1633" s="188" t="s">
        <v>1122</v>
      </c>
      <c r="Q1633" s="174">
        <f>IF(ISNUMBER(VLOOKUP(A1633,NotghiID!A:A,1,FALSE)),1,0)</f>
        <v>0</v>
      </c>
    </row>
    <row r="1634" spans="1:17" ht="14.25" x14ac:dyDescent="0.2">
      <c r="A1634" s="183">
        <v>518</v>
      </c>
      <c r="B1634" s="232" t="str">
        <f>IF(AND(A1634&lt;&gt;"",ISNUMBER(A1634)),VLOOKUP(A1634,Studies!A:BR,2,FALSE),"")</f>
        <v>Bae 2011</v>
      </c>
      <c r="C1634" s="232" t="str">
        <f>IF(AND(A1634&lt;&gt;"",ISNUMBER(A1634)),VLOOKUP(A1634,Studies!A:BR,3,FALSE),"")</f>
        <v>https://www.ncbi.nlm.nih.gov/pubmed/20400647</v>
      </c>
      <c r="D1634" s="232" t="str">
        <f>IF(AND(A1634&lt;&gt;"",ISNUMBER(A1634)),VLOOKUP(A1634,Studies!A:BR,4,FALSE),"")</f>
        <v>po 200 mg capsule with vit. C (Korean)</v>
      </c>
      <c r="E1634" s="206" t="str">
        <f>IF(AND(A1634&lt;&gt;"",ISNUMBER(A1634)),VLOOKUP(A1634,Studies!A:BR,5,FALSE),"")</f>
        <v>Itraconazole</v>
      </c>
      <c r="F1634" s="207" t="str">
        <f>IF(AND(A1634&lt;&gt;"",ISNUMBER(A1634)),VLOOKUP(A1634,Studies!A:BR,6,FALSE),"")</f>
        <v>Plasma</v>
      </c>
      <c r="G1634" s="194">
        <v>0.5</v>
      </c>
      <c r="H1634" s="194" t="s">
        <v>60</v>
      </c>
      <c r="I1634" s="187">
        <v>3.426124095916748</v>
      </c>
      <c r="J1634" s="187" t="s">
        <v>1026</v>
      </c>
      <c r="K1634" s="187" t="s">
        <v>116</v>
      </c>
      <c r="L1634" s="195"/>
      <c r="M1634" s="195"/>
      <c r="N1634" s="195"/>
      <c r="O1634" s="199"/>
      <c r="P1634" s="188" t="s">
        <v>1122</v>
      </c>
      <c r="Q1634" s="174">
        <f>IF(ISNUMBER(VLOOKUP(A1634,NotghiID!A:A,1,FALSE)),1,0)</f>
        <v>0</v>
      </c>
    </row>
    <row r="1635" spans="1:17" ht="14.25" x14ac:dyDescent="0.2">
      <c r="A1635" s="183">
        <v>518</v>
      </c>
      <c r="B1635" s="232" t="str">
        <f>IF(AND(A1635&lt;&gt;"",ISNUMBER(A1635)),VLOOKUP(A1635,Studies!A:BR,2,FALSE),"")</f>
        <v>Bae 2011</v>
      </c>
      <c r="C1635" s="232" t="str">
        <f>IF(AND(A1635&lt;&gt;"",ISNUMBER(A1635)),VLOOKUP(A1635,Studies!A:BR,3,FALSE),"")</f>
        <v>https://www.ncbi.nlm.nih.gov/pubmed/20400647</v>
      </c>
      <c r="D1635" s="232" t="str">
        <f>IF(AND(A1635&lt;&gt;"",ISNUMBER(A1635)),VLOOKUP(A1635,Studies!A:BR,4,FALSE),"")</f>
        <v>po 200 mg capsule with vit. C (Korean)</v>
      </c>
      <c r="E1635" s="206" t="str">
        <f>IF(AND(A1635&lt;&gt;"",ISNUMBER(A1635)),VLOOKUP(A1635,Studies!A:BR,5,FALSE),"")</f>
        <v>Itraconazole</v>
      </c>
      <c r="F1635" s="207" t="str">
        <f>IF(AND(A1635&lt;&gt;"",ISNUMBER(A1635)),VLOOKUP(A1635,Studies!A:BR,6,FALSE),"")</f>
        <v>Plasma</v>
      </c>
      <c r="G1635" s="194">
        <v>1</v>
      </c>
      <c r="H1635" s="194" t="s">
        <v>60</v>
      </c>
      <c r="I1635" s="187">
        <v>44.53961181640625</v>
      </c>
      <c r="J1635" s="187" t="s">
        <v>1026</v>
      </c>
      <c r="K1635" s="187" t="s">
        <v>116</v>
      </c>
      <c r="L1635" s="195"/>
      <c r="M1635" s="195"/>
      <c r="N1635" s="195"/>
      <c r="O1635" s="199"/>
      <c r="P1635" s="188" t="s">
        <v>1122</v>
      </c>
      <c r="Q1635" s="174">
        <f>IF(ISNUMBER(VLOOKUP(A1635,NotghiID!A:A,1,FALSE)),1,0)</f>
        <v>0</v>
      </c>
    </row>
    <row r="1636" spans="1:17" ht="14.25" x14ac:dyDescent="0.2">
      <c r="A1636" s="183">
        <v>518</v>
      </c>
      <c r="B1636" s="232" t="str">
        <f>IF(AND(A1636&lt;&gt;"",ISNUMBER(A1636)),VLOOKUP(A1636,Studies!A:BR,2,FALSE),"")</f>
        <v>Bae 2011</v>
      </c>
      <c r="C1636" s="232" t="str">
        <f>IF(AND(A1636&lt;&gt;"",ISNUMBER(A1636)),VLOOKUP(A1636,Studies!A:BR,3,FALSE),"")</f>
        <v>https://www.ncbi.nlm.nih.gov/pubmed/20400647</v>
      </c>
      <c r="D1636" s="232" t="str">
        <f>IF(AND(A1636&lt;&gt;"",ISNUMBER(A1636)),VLOOKUP(A1636,Studies!A:BR,4,FALSE),"")</f>
        <v>po 200 mg capsule with vit. C (Korean)</v>
      </c>
      <c r="E1636" s="206" t="str">
        <f>IF(AND(A1636&lt;&gt;"",ISNUMBER(A1636)),VLOOKUP(A1636,Studies!A:BR,5,FALSE),"")</f>
        <v>Itraconazole</v>
      </c>
      <c r="F1636" s="207" t="str">
        <f>IF(AND(A1636&lt;&gt;"",ISNUMBER(A1636)),VLOOKUP(A1636,Studies!A:BR,6,FALSE),"")</f>
        <v>Plasma</v>
      </c>
      <c r="G1636" s="194">
        <v>1.5</v>
      </c>
      <c r="H1636" s="194" t="s">
        <v>60</v>
      </c>
      <c r="I1636" s="187">
        <v>116.48822021484375</v>
      </c>
      <c r="J1636" s="187" t="s">
        <v>1026</v>
      </c>
      <c r="K1636" s="187" t="s">
        <v>116</v>
      </c>
      <c r="L1636" s="195"/>
      <c r="M1636" s="195"/>
      <c r="N1636" s="195"/>
      <c r="O1636" s="199"/>
      <c r="P1636" s="188" t="s">
        <v>1122</v>
      </c>
      <c r="Q1636" s="174">
        <f>IF(ISNUMBER(VLOOKUP(A1636,NotghiID!A:A,1,FALSE)),1,0)</f>
        <v>0</v>
      </c>
    </row>
    <row r="1637" spans="1:17" ht="14.25" x14ac:dyDescent="0.2">
      <c r="A1637" s="183">
        <v>518</v>
      </c>
      <c r="B1637" s="232" t="str">
        <f>IF(AND(A1637&lt;&gt;"",ISNUMBER(A1637)),VLOOKUP(A1637,Studies!A:BR,2,FALSE),"")</f>
        <v>Bae 2011</v>
      </c>
      <c r="C1637" s="232" t="str">
        <f>IF(AND(A1637&lt;&gt;"",ISNUMBER(A1637)),VLOOKUP(A1637,Studies!A:BR,3,FALSE),"")</f>
        <v>https://www.ncbi.nlm.nih.gov/pubmed/20400647</v>
      </c>
      <c r="D1637" s="232" t="str">
        <f>IF(AND(A1637&lt;&gt;"",ISNUMBER(A1637)),VLOOKUP(A1637,Studies!A:BR,4,FALSE),"")</f>
        <v>po 200 mg capsule with vit. C (Korean)</v>
      </c>
      <c r="E1637" s="206" t="str">
        <f>IF(AND(A1637&lt;&gt;"",ISNUMBER(A1637)),VLOOKUP(A1637,Studies!A:BR,5,FALSE),"")</f>
        <v>Itraconazole</v>
      </c>
      <c r="F1637" s="207" t="str">
        <f>IF(AND(A1637&lt;&gt;"",ISNUMBER(A1637)),VLOOKUP(A1637,Studies!A:BR,6,FALSE),"")</f>
        <v>Plasma</v>
      </c>
      <c r="G1637" s="194">
        <v>2</v>
      </c>
      <c r="H1637" s="194" t="s">
        <v>60</v>
      </c>
      <c r="I1637" s="187">
        <v>234.68949890136719</v>
      </c>
      <c r="J1637" s="187" t="s">
        <v>1026</v>
      </c>
      <c r="K1637" s="187" t="s">
        <v>116</v>
      </c>
      <c r="L1637" s="195"/>
      <c r="M1637" s="195"/>
      <c r="N1637" s="195"/>
      <c r="O1637" s="199"/>
      <c r="P1637" s="188" t="s">
        <v>1122</v>
      </c>
      <c r="Q1637" s="174">
        <f>IF(ISNUMBER(VLOOKUP(A1637,NotghiID!A:A,1,FALSE)),1,0)</f>
        <v>0</v>
      </c>
    </row>
    <row r="1638" spans="1:17" ht="14.25" x14ac:dyDescent="0.2">
      <c r="A1638" s="183">
        <v>518</v>
      </c>
      <c r="B1638" s="232" t="str">
        <f>IF(AND(A1638&lt;&gt;"",ISNUMBER(A1638)),VLOOKUP(A1638,Studies!A:BR,2,FALSE),"")</f>
        <v>Bae 2011</v>
      </c>
      <c r="C1638" s="232" t="str">
        <f>IF(AND(A1638&lt;&gt;"",ISNUMBER(A1638)),VLOOKUP(A1638,Studies!A:BR,3,FALSE),"")</f>
        <v>https://www.ncbi.nlm.nih.gov/pubmed/20400647</v>
      </c>
      <c r="D1638" s="232" t="str">
        <f>IF(AND(A1638&lt;&gt;"",ISNUMBER(A1638)),VLOOKUP(A1638,Studies!A:BR,4,FALSE),"")</f>
        <v>po 200 mg capsule with vit. C (Korean)</v>
      </c>
      <c r="E1638" s="206" t="str">
        <f>IF(AND(A1638&lt;&gt;"",ISNUMBER(A1638)),VLOOKUP(A1638,Studies!A:BR,5,FALSE),"")</f>
        <v>Itraconazole</v>
      </c>
      <c r="F1638" s="207" t="str">
        <f>IF(AND(A1638&lt;&gt;"",ISNUMBER(A1638)),VLOOKUP(A1638,Studies!A:BR,6,FALSE),"")</f>
        <v>Plasma</v>
      </c>
      <c r="G1638" s="194">
        <v>2.5</v>
      </c>
      <c r="H1638" s="194" t="s">
        <v>60</v>
      </c>
      <c r="I1638" s="187">
        <v>316.91647338867187</v>
      </c>
      <c r="J1638" s="187" t="s">
        <v>1026</v>
      </c>
      <c r="K1638" s="187" t="s">
        <v>116</v>
      </c>
      <c r="L1638" s="195"/>
      <c r="M1638" s="195"/>
      <c r="N1638" s="195"/>
      <c r="O1638" s="199"/>
      <c r="P1638" s="188" t="s">
        <v>1122</v>
      </c>
      <c r="Q1638" s="174">
        <f>IF(ISNUMBER(VLOOKUP(A1638,NotghiID!A:A,1,FALSE)),1,0)</f>
        <v>0</v>
      </c>
    </row>
    <row r="1639" spans="1:17" ht="14.25" x14ac:dyDescent="0.2">
      <c r="A1639" s="183">
        <v>518</v>
      </c>
      <c r="B1639" s="232" t="str">
        <f>IF(AND(A1639&lt;&gt;"",ISNUMBER(A1639)),VLOOKUP(A1639,Studies!A:BR,2,FALSE),"")</f>
        <v>Bae 2011</v>
      </c>
      <c r="C1639" s="232" t="str">
        <f>IF(AND(A1639&lt;&gt;"",ISNUMBER(A1639)),VLOOKUP(A1639,Studies!A:BR,3,FALSE),"")</f>
        <v>https://www.ncbi.nlm.nih.gov/pubmed/20400647</v>
      </c>
      <c r="D1639" s="232" t="str">
        <f>IF(AND(A1639&lt;&gt;"",ISNUMBER(A1639)),VLOOKUP(A1639,Studies!A:BR,4,FALSE),"")</f>
        <v>po 200 mg capsule with vit. C (Korean)</v>
      </c>
      <c r="E1639" s="206" t="str">
        <f>IF(AND(A1639&lt;&gt;"",ISNUMBER(A1639)),VLOOKUP(A1639,Studies!A:BR,5,FALSE),"")</f>
        <v>Itraconazole</v>
      </c>
      <c r="F1639" s="207" t="str">
        <f>IF(AND(A1639&lt;&gt;"",ISNUMBER(A1639)),VLOOKUP(A1639,Studies!A:BR,6,FALSE),"")</f>
        <v>Plasma</v>
      </c>
      <c r="G1639" s="194">
        <v>3</v>
      </c>
      <c r="H1639" s="194" t="s">
        <v>60</v>
      </c>
      <c r="I1639" s="187">
        <v>346.03854370117187</v>
      </c>
      <c r="J1639" s="187" t="s">
        <v>1026</v>
      </c>
      <c r="K1639" s="187" t="s">
        <v>116</v>
      </c>
      <c r="L1639" s="195"/>
      <c r="M1639" s="195"/>
      <c r="N1639" s="195"/>
      <c r="O1639" s="199"/>
      <c r="P1639" s="188" t="s">
        <v>1122</v>
      </c>
      <c r="Q1639" s="174">
        <f>IF(ISNUMBER(VLOOKUP(A1639,NotghiID!A:A,1,FALSE)),1,0)</f>
        <v>0</v>
      </c>
    </row>
    <row r="1640" spans="1:17" ht="14.25" x14ac:dyDescent="0.2">
      <c r="A1640" s="183">
        <v>518</v>
      </c>
      <c r="B1640" s="232" t="str">
        <f>IF(AND(A1640&lt;&gt;"",ISNUMBER(A1640)),VLOOKUP(A1640,Studies!A:BR,2,FALSE),"")</f>
        <v>Bae 2011</v>
      </c>
      <c r="C1640" s="232" t="str">
        <f>IF(AND(A1640&lt;&gt;"",ISNUMBER(A1640)),VLOOKUP(A1640,Studies!A:BR,3,FALSE),"")</f>
        <v>https://www.ncbi.nlm.nih.gov/pubmed/20400647</v>
      </c>
      <c r="D1640" s="232" t="str">
        <f>IF(AND(A1640&lt;&gt;"",ISNUMBER(A1640)),VLOOKUP(A1640,Studies!A:BR,4,FALSE),"")</f>
        <v>po 200 mg capsule with vit. C (Korean)</v>
      </c>
      <c r="E1640" s="206" t="str">
        <f>IF(AND(A1640&lt;&gt;"",ISNUMBER(A1640)),VLOOKUP(A1640,Studies!A:BR,5,FALSE),"")</f>
        <v>Itraconazole</v>
      </c>
      <c r="F1640" s="207" t="str">
        <f>IF(AND(A1640&lt;&gt;"",ISNUMBER(A1640)),VLOOKUP(A1640,Studies!A:BR,6,FALSE),"")</f>
        <v>Plasma</v>
      </c>
      <c r="G1640" s="194">
        <v>3.5</v>
      </c>
      <c r="H1640" s="194" t="s">
        <v>60</v>
      </c>
      <c r="I1640" s="187">
        <v>335.76016235351562</v>
      </c>
      <c r="J1640" s="187" t="s">
        <v>1026</v>
      </c>
      <c r="K1640" s="187" t="s">
        <v>116</v>
      </c>
      <c r="L1640" s="195"/>
      <c r="M1640" s="195"/>
      <c r="N1640" s="195"/>
      <c r="O1640" s="199"/>
      <c r="P1640" s="188" t="s">
        <v>1122</v>
      </c>
      <c r="Q1640" s="174">
        <f>IF(ISNUMBER(VLOOKUP(A1640,NotghiID!A:A,1,FALSE)),1,0)</f>
        <v>0</v>
      </c>
    </row>
    <row r="1641" spans="1:17" ht="14.25" x14ac:dyDescent="0.2">
      <c r="A1641" s="183">
        <v>518</v>
      </c>
      <c r="B1641" s="232" t="str">
        <f>IF(AND(A1641&lt;&gt;"",ISNUMBER(A1641)),VLOOKUP(A1641,Studies!A:BR,2,FALSE),"")</f>
        <v>Bae 2011</v>
      </c>
      <c r="C1641" s="232" t="str">
        <f>IF(AND(A1641&lt;&gt;"",ISNUMBER(A1641)),VLOOKUP(A1641,Studies!A:BR,3,FALSE),"")</f>
        <v>https://www.ncbi.nlm.nih.gov/pubmed/20400647</v>
      </c>
      <c r="D1641" s="232" t="str">
        <f>IF(AND(A1641&lt;&gt;"",ISNUMBER(A1641)),VLOOKUP(A1641,Studies!A:BR,4,FALSE),"")</f>
        <v>po 200 mg capsule with vit. C (Korean)</v>
      </c>
      <c r="E1641" s="206" t="str">
        <f>IF(AND(A1641&lt;&gt;"",ISNUMBER(A1641)),VLOOKUP(A1641,Studies!A:BR,5,FALSE),"")</f>
        <v>Itraconazole</v>
      </c>
      <c r="F1641" s="207" t="str">
        <f>IF(AND(A1641&lt;&gt;"",ISNUMBER(A1641)),VLOOKUP(A1641,Studies!A:BR,6,FALSE),"")</f>
        <v>Plasma</v>
      </c>
      <c r="G1641" s="194">
        <v>4</v>
      </c>
      <c r="H1641" s="194" t="s">
        <v>60</v>
      </c>
      <c r="I1641" s="187">
        <v>315.20343017578125</v>
      </c>
      <c r="J1641" s="187" t="s">
        <v>1026</v>
      </c>
      <c r="K1641" s="187" t="s">
        <v>116</v>
      </c>
      <c r="L1641" s="195"/>
      <c r="M1641" s="195"/>
      <c r="N1641" s="195"/>
      <c r="O1641" s="199"/>
      <c r="P1641" s="188" t="s">
        <v>1122</v>
      </c>
      <c r="Q1641" s="174">
        <f>IF(ISNUMBER(VLOOKUP(A1641,NotghiID!A:A,1,FALSE)),1,0)</f>
        <v>0</v>
      </c>
    </row>
    <row r="1642" spans="1:17" ht="14.25" x14ac:dyDescent="0.2">
      <c r="A1642" s="183">
        <v>518</v>
      </c>
      <c r="B1642" s="232" t="str">
        <f>IF(AND(A1642&lt;&gt;"",ISNUMBER(A1642)),VLOOKUP(A1642,Studies!A:BR,2,FALSE),"")</f>
        <v>Bae 2011</v>
      </c>
      <c r="C1642" s="232" t="str">
        <f>IF(AND(A1642&lt;&gt;"",ISNUMBER(A1642)),VLOOKUP(A1642,Studies!A:BR,3,FALSE),"")</f>
        <v>https://www.ncbi.nlm.nih.gov/pubmed/20400647</v>
      </c>
      <c r="D1642" s="232" t="str">
        <f>IF(AND(A1642&lt;&gt;"",ISNUMBER(A1642)),VLOOKUP(A1642,Studies!A:BR,4,FALSE),"")</f>
        <v>po 200 mg capsule with vit. C (Korean)</v>
      </c>
      <c r="E1642" s="206" t="str">
        <f>IF(AND(A1642&lt;&gt;"",ISNUMBER(A1642)),VLOOKUP(A1642,Studies!A:BR,5,FALSE),"")</f>
        <v>Itraconazole</v>
      </c>
      <c r="F1642" s="207" t="str">
        <f>IF(AND(A1642&lt;&gt;"",ISNUMBER(A1642)),VLOOKUP(A1642,Studies!A:BR,6,FALSE),"")</f>
        <v>Plasma</v>
      </c>
      <c r="G1642" s="194">
        <v>5</v>
      </c>
      <c r="H1642" s="194" t="s">
        <v>60</v>
      </c>
      <c r="I1642" s="187">
        <v>248.39399719238281</v>
      </c>
      <c r="J1642" s="187" t="s">
        <v>1026</v>
      </c>
      <c r="K1642" s="187" t="s">
        <v>116</v>
      </c>
      <c r="L1642" s="195"/>
      <c r="M1642" s="195"/>
      <c r="N1642" s="195"/>
      <c r="O1642" s="199"/>
      <c r="P1642" s="188" t="s">
        <v>1122</v>
      </c>
      <c r="Q1642" s="174">
        <f>IF(ISNUMBER(VLOOKUP(A1642,NotghiID!A:A,1,FALSE)),1,0)</f>
        <v>0</v>
      </c>
    </row>
    <row r="1643" spans="1:17" ht="14.25" x14ac:dyDescent="0.2">
      <c r="A1643" s="183">
        <v>518</v>
      </c>
      <c r="B1643" s="232" t="str">
        <f>IF(AND(A1643&lt;&gt;"",ISNUMBER(A1643)),VLOOKUP(A1643,Studies!A:BR,2,FALSE),"")</f>
        <v>Bae 2011</v>
      </c>
      <c r="C1643" s="232" t="str">
        <f>IF(AND(A1643&lt;&gt;"",ISNUMBER(A1643)),VLOOKUP(A1643,Studies!A:BR,3,FALSE),"")</f>
        <v>https://www.ncbi.nlm.nih.gov/pubmed/20400647</v>
      </c>
      <c r="D1643" s="232" t="str">
        <f>IF(AND(A1643&lt;&gt;"",ISNUMBER(A1643)),VLOOKUP(A1643,Studies!A:BR,4,FALSE),"")</f>
        <v>po 200 mg capsule with vit. C (Korean)</v>
      </c>
      <c r="E1643" s="206" t="str">
        <f>IF(AND(A1643&lt;&gt;"",ISNUMBER(A1643)),VLOOKUP(A1643,Studies!A:BR,5,FALSE),"")</f>
        <v>Itraconazole</v>
      </c>
      <c r="F1643" s="207" t="str">
        <f>IF(AND(A1643&lt;&gt;"",ISNUMBER(A1643)),VLOOKUP(A1643,Studies!A:BR,6,FALSE),"")</f>
        <v>Plasma</v>
      </c>
      <c r="G1643" s="194">
        <v>6</v>
      </c>
      <c r="H1643" s="194" t="s">
        <v>60</v>
      </c>
      <c r="I1643" s="187">
        <v>190.14988708496094</v>
      </c>
      <c r="J1643" s="187" t="s">
        <v>1026</v>
      </c>
      <c r="K1643" s="187" t="s">
        <v>116</v>
      </c>
      <c r="L1643" s="195"/>
      <c r="M1643" s="195"/>
      <c r="N1643" s="195"/>
      <c r="O1643" s="199"/>
      <c r="P1643" s="188" t="s">
        <v>1122</v>
      </c>
      <c r="Q1643" s="174">
        <f>IF(ISNUMBER(VLOOKUP(A1643,NotghiID!A:A,1,FALSE)),1,0)</f>
        <v>0</v>
      </c>
    </row>
    <row r="1644" spans="1:17" ht="14.25" x14ac:dyDescent="0.2">
      <c r="A1644" s="183">
        <v>518</v>
      </c>
      <c r="B1644" s="232" t="str">
        <f>IF(AND(A1644&lt;&gt;"",ISNUMBER(A1644)),VLOOKUP(A1644,Studies!A:BR,2,FALSE),"")</f>
        <v>Bae 2011</v>
      </c>
      <c r="C1644" s="232" t="str">
        <f>IF(AND(A1644&lt;&gt;"",ISNUMBER(A1644)),VLOOKUP(A1644,Studies!A:BR,3,FALSE),"")</f>
        <v>https://www.ncbi.nlm.nih.gov/pubmed/20400647</v>
      </c>
      <c r="D1644" s="232" t="str">
        <f>IF(AND(A1644&lt;&gt;"",ISNUMBER(A1644)),VLOOKUP(A1644,Studies!A:BR,4,FALSE),"")</f>
        <v>po 200 mg capsule with vit. C (Korean)</v>
      </c>
      <c r="E1644" s="206" t="str">
        <f>IF(AND(A1644&lt;&gt;"",ISNUMBER(A1644)),VLOOKUP(A1644,Studies!A:BR,5,FALSE),"")</f>
        <v>Itraconazole</v>
      </c>
      <c r="F1644" s="207" t="str">
        <f>IF(AND(A1644&lt;&gt;"",ISNUMBER(A1644)),VLOOKUP(A1644,Studies!A:BR,6,FALSE),"")</f>
        <v>Plasma</v>
      </c>
      <c r="G1644" s="194">
        <v>8</v>
      </c>
      <c r="H1644" s="194" t="s">
        <v>60</v>
      </c>
      <c r="I1644" s="187">
        <v>143.897216796875</v>
      </c>
      <c r="J1644" s="187" t="s">
        <v>1026</v>
      </c>
      <c r="K1644" s="187" t="s">
        <v>116</v>
      </c>
      <c r="L1644" s="195"/>
      <c r="M1644" s="195"/>
      <c r="N1644" s="195"/>
      <c r="O1644" s="199"/>
      <c r="P1644" s="188" t="s">
        <v>1122</v>
      </c>
      <c r="Q1644" s="174">
        <f>IF(ISNUMBER(VLOOKUP(A1644,NotghiID!A:A,1,FALSE)),1,0)</f>
        <v>0</v>
      </c>
    </row>
    <row r="1645" spans="1:17" ht="14.25" x14ac:dyDescent="0.2">
      <c r="A1645" s="183">
        <v>518</v>
      </c>
      <c r="B1645" s="232" t="str">
        <f>IF(AND(A1645&lt;&gt;"",ISNUMBER(A1645)),VLOOKUP(A1645,Studies!A:BR,2,FALSE),"")</f>
        <v>Bae 2011</v>
      </c>
      <c r="C1645" s="232" t="str">
        <f>IF(AND(A1645&lt;&gt;"",ISNUMBER(A1645)),VLOOKUP(A1645,Studies!A:BR,3,FALSE),"")</f>
        <v>https://www.ncbi.nlm.nih.gov/pubmed/20400647</v>
      </c>
      <c r="D1645" s="232" t="str">
        <f>IF(AND(A1645&lt;&gt;"",ISNUMBER(A1645)),VLOOKUP(A1645,Studies!A:BR,4,FALSE),"")</f>
        <v>po 200 mg capsule with vit. C (Korean)</v>
      </c>
      <c r="E1645" s="206" t="str">
        <f>IF(AND(A1645&lt;&gt;"",ISNUMBER(A1645)),VLOOKUP(A1645,Studies!A:BR,5,FALSE),"")</f>
        <v>Itraconazole</v>
      </c>
      <c r="F1645" s="207" t="str">
        <f>IF(AND(A1645&lt;&gt;"",ISNUMBER(A1645)),VLOOKUP(A1645,Studies!A:BR,6,FALSE),"")</f>
        <v>Plasma</v>
      </c>
      <c r="G1645" s="194">
        <v>12</v>
      </c>
      <c r="H1645" s="194" t="s">
        <v>60</v>
      </c>
      <c r="I1645" s="187">
        <v>89.0792236328125</v>
      </c>
      <c r="J1645" s="187" t="s">
        <v>1026</v>
      </c>
      <c r="K1645" s="187" t="s">
        <v>116</v>
      </c>
      <c r="L1645" s="195"/>
      <c r="M1645" s="195"/>
      <c r="N1645" s="195"/>
      <c r="O1645" s="199"/>
      <c r="P1645" s="188" t="s">
        <v>1122</v>
      </c>
      <c r="Q1645" s="174">
        <f>IF(ISNUMBER(VLOOKUP(A1645,NotghiID!A:A,1,FALSE)),1,0)</f>
        <v>0</v>
      </c>
    </row>
    <row r="1646" spans="1:17" ht="14.25" x14ac:dyDescent="0.2">
      <c r="A1646" s="183">
        <v>518</v>
      </c>
      <c r="B1646" s="232" t="str">
        <f>IF(AND(A1646&lt;&gt;"",ISNUMBER(A1646)),VLOOKUP(A1646,Studies!A:BR,2,FALSE),"")</f>
        <v>Bae 2011</v>
      </c>
      <c r="C1646" s="232" t="str">
        <f>IF(AND(A1646&lt;&gt;"",ISNUMBER(A1646)),VLOOKUP(A1646,Studies!A:BR,3,FALSE),"")</f>
        <v>https://www.ncbi.nlm.nih.gov/pubmed/20400647</v>
      </c>
      <c r="D1646" s="232" t="str">
        <f>IF(AND(A1646&lt;&gt;"",ISNUMBER(A1646)),VLOOKUP(A1646,Studies!A:BR,4,FALSE),"")</f>
        <v>po 200 mg capsule with vit. C (Korean)</v>
      </c>
      <c r="E1646" s="206" t="str">
        <f>IF(AND(A1646&lt;&gt;"",ISNUMBER(A1646)),VLOOKUP(A1646,Studies!A:BR,5,FALSE),"")</f>
        <v>Itraconazole</v>
      </c>
      <c r="F1646" s="207" t="str">
        <f>IF(AND(A1646&lt;&gt;"",ISNUMBER(A1646)),VLOOKUP(A1646,Studies!A:BR,6,FALSE),"")</f>
        <v>Plasma</v>
      </c>
      <c r="G1646" s="194">
        <v>24</v>
      </c>
      <c r="H1646" s="194" t="s">
        <v>60</v>
      </c>
      <c r="I1646" s="187">
        <v>56.531047821044922</v>
      </c>
      <c r="J1646" s="187" t="s">
        <v>1026</v>
      </c>
      <c r="K1646" s="187" t="s">
        <v>116</v>
      </c>
      <c r="L1646" s="195"/>
      <c r="M1646" s="195"/>
      <c r="N1646" s="195"/>
      <c r="O1646" s="199"/>
      <c r="P1646" s="188" t="s">
        <v>1122</v>
      </c>
      <c r="Q1646" s="174">
        <f>IF(ISNUMBER(VLOOKUP(A1646,NotghiID!A:A,1,FALSE)),1,0)</f>
        <v>0</v>
      </c>
    </row>
    <row r="1647" spans="1:17" ht="14.25" x14ac:dyDescent="0.2">
      <c r="A1647" s="183">
        <v>518</v>
      </c>
      <c r="B1647" s="232" t="str">
        <f>IF(AND(A1647&lt;&gt;"",ISNUMBER(A1647)),VLOOKUP(A1647,Studies!A:BR,2,FALSE),"")</f>
        <v>Bae 2011</v>
      </c>
      <c r="C1647" s="232" t="str">
        <f>IF(AND(A1647&lt;&gt;"",ISNUMBER(A1647)),VLOOKUP(A1647,Studies!A:BR,3,FALSE),"")</f>
        <v>https://www.ncbi.nlm.nih.gov/pubmed/20400647</v>
      </c>
      <c r="D1647" s="232" t="str">
        <f>IF(AND(A1647&lt;&gt;"",ISNUMBER(A1647)),VLOOKUP(A1647,Studies!A:BR,4,FALSE),"")</f>
        <v>po 200 mg capsule with vit. C (Korean)</v>
      </c>
      <c r="E1647" s="206" t="str">
        <f>IF(AND(A1647&lt;&gt;"",ISNUMBER(A1647)),VLOOKUP(A1647,Studies!A:BR,5,FALSE),"")</f>
        <v>Itraconazole</v>
      </c>
      <c r="F1647" s="207" t="str">
        <f>IF(AND(A1647&lt;&gt;"",ISNUMBER(A1647)),VLOOKUP(A1647,Studies!A:BR,6,FALSE),"")</f>
        <v>Plasma</v>
      </c>
      <c r="G1647" s="194">
        <v>36</v>
      </c>
      <c r="H1647" s="194" t="s">
        <v>60</v>
      </c>
      <c r="I1647" s="187">
        <v>37.687366485595703</v>
      </c>
      <c r="J1647" s="187" t="s">
        <v>1026</v>
      </c>
      <c r="K1647" s="187" t="s">
        <v>116</v>
      </c>
      <c r="L1647" s="195"/>
      <c r="M1647" s="195"/>
      <c r="N1647" s="195"/>
      <c r="O1647" s="199"/>
      <c r="P1647" s="188" t="s">
        <v>1122</v>
      </c>
      <c r="Q1647" s="174">
        <f>IF(ISNUMBER(VLOOKUP(A1647,NotghiID!A:A,1,FALSE)),1,0)</f>
        <v>0</v>
      </c>
    </row>
    <row r="1648" spans="1:17" ht="14.25" x14ac:dyDescent="0.2">
      <c r="A1648" s="183">
        <v>518</v>
      </c>
      <c r="B1648" s="232" t="str">
        <f>IF(AND(A1648&lt;&gt;"",ISNUMBER(A1648)),VLOOKUP(A1648,Studies!A:BR,2,FALSE),"")</f>
        <v>Bae 2011</v>
      </c>
      <c r="C1648" s="232" t="str">
        <f>IF(AND(A1648&lt;&gt;"",ISNUMBER(A1648)),VLOOKUP(A1648,Studies!A:BR,3,FALSE),"")</f>
        <v>https://www.ncbi.nlm.nih.gov/pubmed/20400647</v>
      </c>
      <c r="D1648" s="232" t="str">
        <f>IF(AND(A1648&lt;&gt;"",ISNUMBER(A1648)),VLOOKUP(A1648,Studies!A:BR,4,FALSE),"")</f>
        <v>po 200 mg capsule with vit. C (Korean)</v>
      </c>
      <c r="E1648" s="206" t="str">
        <f>IF(AND(A1648&lt;&gt;"",ISNUMBER(A1648)),VLOOKUP(A1648,Studies!A:BR,5,FALSE),"")</f>
        <v>Itraconazole</v>
      </c>
      <c r="F1648" s="207" t="str">
        <f>IF(AND(A1648&lt;&gt;"",ISNUMBER(A1648)),VLOOKUP(A1648,Studies!A:BR,6,FALSE),"")</f>
        <v>Plasma</v>
      </c>
      <c r="G1648" s="194">
        <v>48</v>
      </c>
      <c r="H1648" s="194" t="s">
        <v>60</v>
      </c>
      <c r="I1648" s="187">
        <v>27.408992767333984</v>
      </c>
      <c r="J1648" s="187" t="s">
        <v>1026</v>
      </c>
      <c r="K1648" s="187" t="s">
        <v>116</v>
      </c>
      <c r="L1648" s="195"/>
      <c r="M1648" s="195"/>
      <c r="N1648" s="195"/>
      <c r="O1648" s="199"/>
      <c r="P1648" s="188" t="s">
        <v>1122</v>
      </c>
      <c r="Q1648" s="174">
        <f>IF(ISNUMBER(VLOOKUP(A1648,NotghiID!A:A,1,FALSE)),1,0)</f>
        <v>0</v>
      </c>
    </row>
    <row r="1649" spans="1:17" ht="14.25" x14ac:dyDescent="0.2">
      <c r="A1649" s="183">
        <v>519</v>
      </c>
      <c r="B1649" s="232" t="str">
        <f>IF(AND(A1649&lt;&gt;"",ISNUMBER(A1649)),VLOOKUP(A1649,Studies!A:BR,2,FALSE),"")</f>
        <v>Bae 2011</v>
      </c>
      <c r="C1649" s="232" t="str">
        <f>IF(AND(A1649&lt;&gt;"",ISNUMBER(A1649)),VLOOKUP(A1649,Studies!A:BR,3,FALSE),"")</f>
        <v>https://www.ncbi.nlm.nih.gov/pubmed/20400647</v>
      </c>
      <c r="D1649" s="232" t="str">
        <f>IF(AND(A1649&lt;&gt;"",ISNUMBER(A1649)),VLOOKUP(A1649,Studies!A:BR,4,FALSE),"")</f>
        <v>po 200 mg capsule with vit. C (Korean)</v>
      </c>
      <c r="E1649" s="206" t="str">
        <f>IF(AND(A1649&lt;&gt;"",ISNUMBER(A1649)),VLOOKUP(A1649,Studies!A:BR,5,FALSE),"")</f>
        <v>Hydroxy-Itraconazole</v>
      </c>
      <c r="F1649" s="207" t="str">
        <f>IF(AND(A1649&lt;&gt;"",ISNUMBER(A1649)),VLOOKUP(A1649,Studies!A:BR,6,FALSE),"")</f>
        <v>Plasma</v>
      </c>
      <c r="G1649" s="194">
        <v>0.5</v>
      </c>
      <c r="H1649" s="194" t="s">
        <v>60</v>
      </c>
      <c r="I1649" s="187">
        <v>7.6923079490661621</v>
      </c>
      <c r="J1649" s="187" t="s">
        <v>1026</v>
      </c>
      <c r="K1649" s="187" t="s">
        <v>116</v>
      </c>
      <c r="L1649" s="195"/>
      <c r="M1649" s="195"/>
      <c r="N1649" s="195"/>
      <c r="O1649" s="199"/>
      <c r="P1649" s="188" t="s">
        <v>1122</v>
      </c>
      <c r="Q1649" s="174">
        <f>IF(ISNUMBER(VLOOKUP(A1649,NotghiID!A:A,1,FALSE)),1,0)</f>
        <v>0</v>
      </c>
    </row>
    <row r="1650" spans="1:17" ht="14.25" x14ac:dyDescent="0.2">
      <c r="A1650" s="183">
        <v>519</v>
      </c>
      <c r="B1650" s="232" t="str">
        <f>IF(AND(A1650&lt;&gt;"",ISNUMBER(A1650)),VLOOKUP(A1650,Studies!A:BR,2,FALSE),"")</f>
        <v>Bae 2011</v>
      </c>
      <c r="C1650" s="232" t="str">
        <f>IF(AND(A1650&lt;&gt;"",ISNUMBER(A1650)),VLOOKUP(A1650,Studies!A:BR,3,FALSE),"")</f>
        <v>https://www.ncbi.nlm.nih.gov/pubmed/20400647</v>
      </c>
      <c r="D1650" s="232" t="str">
        <f>IF(AND(A1650&lt;&gt;"",ISNUMBER(A1650)),VLOOKUP(A1650,Studies!A:BR,4,FALSE),"")</f>
        <v>po 200 mg capsule with vit. C (Korean)</v>
      </c>
      <c r="E1650" s="206" t="str">
        <f>IF(AND(A1650&lt;&gt;"",ISNUMBER(A1650)),VLOOKUP(A1650,Studies!A:BR,5,FALSE),"")</f>
        <v>Hydroxy-Itraconazole</v>
      </c>
      <c r="F1650" s="207" t="str">
        <f>IF(AND(A1650&lt;&gt;"",ISNUMBER(A1650)),VLOOKUP(A1650,Studies!A:BR,6,FALSE),"")</f>
        <v>Plasma</v>
      </c>
      <c r="G1650" s="194">
        <v>1</v>
      </c>
      <c r="H1650" s="194" t="s">
        <v>60</v>
      </c>
      <c r="I1650" s="187">
        <v>69.23077392578125</v>
      </c>
      <c r="J1650" s="187" t="s">
        <v>1026</v>
      </c>
      <c r="K1650" s="187" t="s">
        <v>116</v>
      </c>
      <c r="L1650" s="195"/>
      <c r="M1650" s="195"/>
      <c r="N1650" s="195"/>
      <c r="O1650" s="199"/>
      <c r="P1650" s="188" t="s">
        <v>1122</v>
      </c>
      <c r="Q1650" s="174">
        <f>IF(ISNUMBER(VLOOKUP(A1650,NotghiID!A:A,1,FALSE)),1,0)</f>
        <v>0</v>
      </c>
    </row>
    <row r="1651" spans="1:17" ht="14.25" x14ac:dyDescent="0.2">
      <c r="A1651" s="183">
        <v>519</v>
      </c>
      <c r="B1651" s="232" t="str">
        <f>IF(AND(A1651&lt;&gt;"",ISNUMBER(A1651)),VLOOKUP(A1651,Studies!A:BR,2,FALSE),"")</f>
        <v>Bae 2011</v>
      </c>
      <c r="C1651" s="232" t="str">
        <f>IF(AND(A1651&lt;&gt;"",ISNUMBER(A1651)),VLOOKUP(A1651,Studies!A:BR,3,FALSE),"")</f>
        <v>https://www.ncbi.nlm.nih.gov/pubmed/20400647</v>
      </c>
      <c r="D1651" s="232" t="str">
        <f>IF(AND(A1651&lt;&gt;"",ISNUMBER(A1651)),VLOOKUP(A1651,Studies!A:BR,4,FALSE),"")</f>
        <v>po 200 mg capsule with vit. C (Korean)</v>
      </c>
      <c r="E1651" s="206" t="str">
        <f>IF(AND(A1651&lt;&gt;"",ISNUMBER(A1651)),VLOOKUP(A1651,Studies!A:BR,5,FALSE),"")</f>
        <v>Hydroxy-Itraconazole</v>
      </c>
      <c r="F1651" s="207" t="str">
        <f>IF(AND(A1651&lt;&gt;"",ISNUMBER(A1651)),VLOOKUP(A1651,Studies!A:BR,6,FALSE),"")</f>
        <v>Plasma</v>
      </c>
      <c r="G1651" s="194">
        <v>1.5</v>
      </c>
      <c r="H1651" s="194" t="s">
        <v>60</v>
      </c>
      <c r="I1651" s="187">
        <v>200</v>
      </c>
      <c r="J1651" s="187" t="s">
        <v>1026</v>
      </c>
      <c r="K1651" s="187" t="s">
        <v>116</v>
      </c>
      <c r="L1651" s="195"/>
      <c r="M1651" s="195"/>
      <c r="N1651" s="195"/>
      <c r="O1651" s="199"/>
      <c r="P1651" s="188" t="s">
        <v>1122</v>
      </c>
      <c r="Q1651" s="174">
        <f>IF(ISNUMBER(VLOOKUP(A1651,NotghiID!A:A,1,FALSE)),1,0)</f>
        <v>0</v>
      </c>
    </row>
    <row r="1652" spans="1:17" ht="14.25" x14ac:dyDescent="0.2">
      <c r="A1652" s="183">
        <v>519</v>
      </c>
      <c r="B1652" s="232" t="str">
        <f>IF(AND(A1652&lt;&gt;"",ISNUMBER(A1652)),VLOOKUP(A1652,Studies!A:BR,2,FALSE),"")</f>
        <v>Bae 2011</v>
      </c>
      <c r="C1652" s="232" t="str">
        <f>IF(AND(A1652&lt;&gt;"",ISNUMBER(A1652)),VLOOKUP(A1652,Studies!A:BR,3,FALSE),"")</f>
        <v>https://www.ncbi.nlm.nih.gov/pubmed/20400647</v>
      </c>
      <c r="D1652" s="232" t="str">
        <f>IF(AND(A1652&lt;&gt;"",ISNUMBER(A1652)),VLOOKUP(A1652,Studies!A:BR,4,FALSE),"")</f>
        <v>po 200 mg capsule with vit. C (Korean)</v>
      </c>
      <c r="E1652" s="206" t="str">
        <f>IF(AND(A1652&lt;&gt;"",ISNUMBER(A1652)),VLOOKUP(A1652,Studies!A:BR,5,FALSE),"")</f>
        <v>Hydroxy-Itraconazole</v>
      </c>
      <c r="F1652" s="207" t="str">
        <f>IF(AND(A1652&lt;&gt;"",ISNUMBER(A1652)),VLOOKUP(A1652,Studies!A:BR,6,FALSE),"")</f>
        <v>Plasma</v>
      </c>
      <c r="G1652" s="194">
        <v>2</v>
      </c>
      <c r="H1652" s="194" t="s">
        <v>60</v>
      </c>
      <c r="I1652" s="187">
        <v>402.56411743164062</v>
      </c>
      <c r="J1652" s="187" t="s">
        <v>1026</v>
      </c>
      <c r="K1652" s="187" t="s">
        <v>116</v>
      </c>
      <c r="L1652" s="195"/>
      <c r="M1652" s="195"/>
      <c r="N1652" s="195"/>
      <c r="O1652" s="199"/>
      <c r="P1652" s="188" t="s">
        <v>1122</v>
      </c>
      <c r="Q1652" s="174">
        <f>IF(ISNUMBER(VLOOKUP(A1652,NotghiID!A:A,1,FALSE)),1,0)</f>
        <v>0</v>
      </c>
    </row>
    <row r="1653" spans="1:17" ht="14.25" x14ac:dyDescent="0.2">
      <c r="A1653" s="183">
        <v>519</v>
      </c>
      <c r="B1653" s="232" t="str">
        <f>IF(AND(A1653&lt;&gt;"",ISNUMBER(A1653)),VLOOKUP(A1653,Studies!A:BR,2,FALSE),"")</f>
        <v>Bae 2011</v>
      </c>
      <c r="C1653" s="232" t="str">
        <f>IF(AND(A1653&lt;&gt;"",ISNUMBER(A1653)),VLOOKUP(A1653,Studies!A:BR,3,FALSE),"")</f>
        <v>https://www.ncbi.nlm.nih.gov/pubmed/20400647</v>
      </c>
      <c r="D1653" s="232" t="str">
        <f>IF(AND(A1653&lt;&gt;"",ISNUMBER(A1653)),VLOOKUP(A1653,Studies!A:BR,4,FALSE),"")</f>
        <v>po 200 mg capsule with vit. C (Korean)</v>
      </c>
      <c r="E1653" s="206" t="str">
        <f>IF(AND(A1653&lt;&gt;"",ISNUMBER(A1653)),VLOOKUP(A1653,Studies!A:BR,5,FALSE),"")</f>
        <v>Hydroxy-Itraconazole</v>
      </c>
      <c r="F1653" s="207" t="str">
        <f>IF(AND(A1653&lt;&gt;"",ISNUMBER(A1653)),VLOOKUP(A1653,Studies!A:BR,6,FALSE),"")</f>
        <v>Plasma</v>
      </c>
      <c r="G1653" s="194">
        <v>2.5</v>
      </c>
      <c r="H1653" s="194" t="s">
        <v>60</v>
      </c>
      <c r="I1653" s="187">
        <v>564.10260009765625</v>
      </c>
      <c r="J1653" s="187" t="s">
        <v>1026</v>
      </c>
      <c r="K1653" s="187" t="s">
        <v>116</v>
      </c>
      <c r="L1653" s="195"/>
      <c r="M1653" s="195"/>
      <c r="N1653" s="195"/>
      <c r="O1653" s="199"/>
      <c r="P1653" s="188" t="s">
        <v>1122</v>
      </c>
      <c r="Q1653" s="174">
        <f>IF(ISNUMBER(VLOOKUP(A1653,NotghiID!A:A,1,FALSE)),1,0)</f>
        <v>0</v>
      </c>
    </row>
    <row r="1654" spans="1:17" ht="14.25" x14ac:dyDescent="0.2">
      <c r="A1654" s="183">
        <v>519</v>
      </c>
      <c r="B1654" s="232" t="str">
        <f>IF(AND(A1654&lt;&gt;"",ISNUMBER(A1654)),VLOOKUP(A1654,Studies!A:BR,2,FALSE),"")</f>
        <v>Bae 2011</v>
      </c>
      <c r="C1654" s="232" t="str">
        <f>IF(AND(A1654&lt;&gt;"",ISNUMBER(A1654)),VLOOKUP(A1654,Studies!A:BR,3,FALSE),"")</f>
        <v>https://www.ncbi.nlm.nih.gov/pubmed/20400647</v>
      </c>
      <c r="D1654" s="232" t="str">
        <f>IF(AND(A1654&lt;&gt;"",ISNUMBER(A1654)),VLOOKUP(A1654,Studies!A:BR,4,FALSE),"")</f>
        <v>po 200 mg capsule with vit. C (Korean)</v>
      </c>
      <c r="E1654" s="206" t="str">
        <f>IF(AND(A1654&lt;&gt;"",ISNUMBER(A1654)),VLOOKUP(A1654,Studies!A:BR,5,FALSE),"")</f>
        <v>Hydroxy-Itraconazole</v>
      </c>
      <c r="F1654" s="207" t="str">
        <f>IF(AND(A1654&lt;&gt;"",ISNUMBER(A1654)),VLOOKUP(A1654,Studies!A:BR,6,FALSE),"")</f>
        <v>Plasma</v>
      </c>
      <c r="G1654" s="194">
        <v>3</v>
      </c>
      <c r="H1654" s="194" t="s">
        <v>60</v>
      </c>
      <c r="I1654" s="187">
        <v>633.3333740234375</v>
      </c>
      <c r="J1654" s="187" t="s">
        <v>1026</v>
      </c>
      <c r="K1654" s="187" t="s">
        <v>116</v>
      </c>
      <c r="L1654" s="195"/>
      <c r="M1654" s="195"/>
      <c r="N1654" s="195"/>
      <c r="O1654" s="199"/>
      <c r="P1654" s="188" t="s">
        <v>1122</v>
      </c>
      <c r="Q1654" s="174">
        <f>IF(ISNUMBER(VLOOKUP(A1654,NotghiID!A:A,1,FALSE)),1,0)</f>
        <v>0</v>
      </c>
    </row>
    <row r="1655" spans="1:17" ht="14.25" x14ac:dyDescent="0.2">
      <c r="A1655" s="183">
        <v>519</v>
      </c>
      <c r="B1655" s="232" t="str">
        <f>IF(AND(A1655&lt;&gt;"",ISNUMBER(A1655)),VLOOKUP(A1655,Studies!A:BR,2,FALSE),"")</f>
        <v>Bae 2011</v>
      </c>
      <c r="C1655" s="232" t="str">
        <f>IF(AND(A1655&lt;&gt;"",ISNUMBER(A1655)),VLOOKUP(A1655,Studies!A:BR,3,FALSE),"")</f>
        <v>https://www.ncbi.nlm.nih.gov/pubmed/20400647</v>
      </c>
      <c r="D1655" s="232" t="str">
        <f>IF(AND(A1655&lt;&gt;"",ISNUMBER(A1655)),VLOOKUP(A1655,Studies!A:BR,4,FALSE),"")</f>
        <v>po 200 mg capsule with vit. C (Korean)</v>
      </c>
      <c r="E1655" s="206" t="str">
        <f>IF(AND(A1655&lt;&gt;"",ISNUMBER(A1655)),VLOOKUP(A1655,Studies!A:BR,5,FALSE),"")</f>
        <v>Hydroxy-Itraconazole</v>
      </c>
      <c r="F1655" s="207" t="str">
        <f>IF(AND(A1655&lt;&gt;"",ISNUMBER(A1655)),VLOOKUP(A1655,Studies!A:BR,6,FALSE),"")</f>
        <v>Plasma</v>
      </c>
      <c r="G1655" s="194">
        <v>3.5</v>
      </c>
      <c r="H1655" s="194" t="s">
        <v>60</v>
      </c>
      <c r="I1655" s="187">
        <v>656.4102783203125</v>
      </c>
      <c r="J1655" s="187" t="s">
        <v>1026</v>
      </c>
      <c r="K1655" s="187" t="s">
        <v>116</v>
      </c>
      <c r="L1655" s="195"/>
      <c r="M1655" s="195"/>
      <c r="N1655" s="195"/>
      <c r="O1655" s="199"/>
      <c r="P1655" s="188" t="s">
        <v>1122</v>
      </c>
      <c r="Q1655" s="174">
        <f>IF(ISNUMBER(VLOOKUP(A1655,NotghiID!A:A,1,FALSE)),1,0)</f>
        <v>0</v>
      </c>
    </row>
    <row r="1656" spans="1:17" ht="14.25" x14ac:dyDescent="0.2">
      <c r="A1656" s="183">
        <v>519</v>
      </c>
      <c r="B1656" s="232" t="str">
        <f>IF(AND(A1656&lt;&gt;"",ISNUMBER(A1656)),VLOOKUP(A1656,Studies!A:BR,2,FALSE),"")</f>
        <v>Bae 2011</v>
      </c>
      <c r="C1656" s="232" t="str">
        <f>IF(AND(A1656&lt;&gt;"",ISNUMBER(A1656)),VLOOKUP(A1656,Studies!A:BR,3,FALSE),"")</f>
        <v>https://www.ncbi.nlm.nih.gov/pubmed/20400647</v>
      </c>
      <c r="D1656" s="232" t="str">
        <f>IF(AND(A1656&lt;&gt;"",ISNUMBER(A1656)),VLOOKUP(A1656,Studies!A:BR,4,FALSE),"")</f>
        <v>po 200 mg capsule with vit. C (Korean)</v>
      </c>
      <c r="E1656" s="206" t="str">
        <f>IF(AND(A1656&lt;&gt;"",ISNUMBER(A1656)),VLOOKUP(A1656,Studies!A:BR,5,FALSE),"")</f>
        <v>Hydroxy-Itraconazole</v>
      </c>
      <c r="F1656" s="207" t="str">
        <f>IF(AND(A1656&lt;&gt;"",ISNUMBER(A1656)),VLOOKUP(A1656,Studies!A:BR,6,FALSE),"")</f>
        <v>Plasma</v>
      </c>
      <c r="G1656" s="194">
        <v>4</v>
      </c>
      <c r="H1656" s="194" t="s">
        <v>60</v>
      </c>
      <c r="I1656" s="187">
        <v>676.923095703125</v>
      </c>
      <c r="J1656" s="187" t="s">
        <v>1026</v>
      </c>
      <c r="K1656" s="187" t="s">
        <v>116</v>
      </c>
      <c r="L1656" s="195"/>
      <c r="M1656" s="195"/>
      <c r="N1656" s="195"/>
      <c r="O1656" s="199"/>
      <c r="P1656" s="188" t="s">
        <v>1122</v>
      </c>
      <c r="Q1656" s="174">
        <f>IF(ISNUMBER(VLOOKUP(A1656,NotghiID!A:A,1,FALSE)),1,0)</f>
        <v>0</v>
      </c>
    </row>
    <row r="1657" spans="1:17" ht="14.25" x14ac:dyDescent="0.2">
      <c r="A1657" s="183">
        <v>519</v>
      </c>
      <c r="B1657" s="232" t="str">
        <f>IF(AND(A1657&lt;&gt;"",ISNUMBER(A1657)),VLOOKUP(A1657,Studies!A:BR,2,FALSE),"")</f>
        <v>Bae 2011</v>
      </c>
      <c r="C1657" s="232" t="str">
        <f>IF(AND(A1657&lt;&gt;"",ISNUMBER(A1657)),VLOOKUP(A1657,Studies!A:BR,3,FALSE),"")</f>
        <v>https://www.ncbi.nlm.nih.gov/pubmed/20400647</v>
      </c>
      <c r="D1657" s="232" t="str">
        <f>IF(AND(A1657&lt;&gt;"",ISNUMBER(A1657)),VLOOKUP(A1657,Studies!A:BR,4,FALSE),"")</f>
        <v>po 200 mg capsule with vit. C (Korean)</v>
      </c>
      <c r="E1657" s="206" t="str">
        <f>IF(AND(A1657&lt;&gt;"",ISNUMBER(A1657)),VLOOKUP(A1657,Studies!A:BR,5,FALSE),"")</f>
        <v>Hydroxy-Itraconazole</v>
      </c>
      <c r="F1657" s="207" t="str">
        <f>IF(AND(A1657&lt;&gt;"",ISNUMBER(A1657)),VLOOKUP(A1657,Studies!A:BR,6,FALSE),"")</f>
        <v>Plasma</v>
      </c>
      <c r="G1657" s="194">
        <v>5</v>
      </c>
      <c r="H1657" s="194" t="s">
        <v>60</v>
      </c>
      <c r="I1657" s="187">
        <v>669.23077392578125</v>
      </c>
      <c r="J1657" s="187" t="s">
        <v>1026</v>
      </c>
      <c r="K1657" s="187" t="s">
        <v>116</v>
      </c>
      <c r="L1657" s="195"/>
      <c r="M1657" s="195"/>
      <c r="N1657" s="195"/>
      <c r="O1657" s="199"/>
      <c r="P1657" s="188" t="s">
        <v>1122</v>
      </c>
      <c r="Q1657" s="174">
        <f>IF(ISNUMBER(VLOOKUP(A1657,NotghiID!A:A,1,FALSE)),1,0)</f>
        <v>0</v>
      </c>
    </row>
    <row r="1658" spans="1:17" ht="14.25" x14ac:dyDescent="0.2">
      <c r="A1658" s="183">
        <v>519</v>
      </c>
      <c r="B1658" s="232" t="str">
        <f>IF(AND(A1658&lt;&gt;"",ISNUMBER(A1658)),VLOOKUP(A1658,Studies!A:BR,2,FALSE),"")</f>
        <v>Bae 2011</v>
      </c>
      <c r="C1658" s="232" t="str">
        <f>IF(AND(A1658&lt;&gt;"",ISNUMBER(A1658)),VLOOKUP(A1658,Studies!A:BR,3,FALSE),"")</f>
        <v>https://www.ncbi.nlm.nih.gov/pubmed/20400647</v>
      </c>
      <c r="D1658" s="232" t="str">
        <f>IF(AND(A1658&lt;&gt;"",ISNUMBER(A1658)),VLOOKUP(A1658,Studies!A:BR,4,FALSE),"")</f>
        <v>po 200 mg capsule with vit. C (Korean)</v>
      </c>
      <c r="E1658" s="206" t="str">
        <f>IF(AND(A1658&lt;&gt;"",ISNUMBER(A1658)),VLOOKUP(A1658,Studies!A:BR,5,FALSE),"")</f>
        <v>Hydroxy-Itraconazole</v>
      </c>
      <c r="F1658" s="207" t="str">
        <f>IF(AND(A1658&lt;&gt;"",ISNUMBER(A1658)),VLOOKUP(A1658,Studies!A:BR,6,FALSE),"")</f>
        <v>Plasma</v>
      </c>
      <c r="G1658" s="194">
        <v>6</v>
      </c>
      <c r="H1658" s="194" t="s">
        <v>60</v>
      </c>
      <c r="I1658" s="187">
        <v>587.17950439453125</v>
      </c>
      <c r="J1658" s="187" t="s">
        <v>1026</v>
      </c>
      <c r="K1658" s="187" t="s">
        <v>116</v>
      </c>
      <c r="L1658" s="195"/>
      <c r="M1658" s="195"/>
      <c r="N1658" s="195"/>
      <c r="O1658" s="199"/>
      <c r="P1658" s="188" t="s">
        <v>1122</v>
      </c>
      <c r="Q1658" s="174">
        <f>IF(ISNUMBER(VLOOKUP(A1658,NotghiID!A:A,1,FALSE)),1,0)</f>
        <v>0</v>
      </c>
    </row>
    <row r="1659" spans="1:17" ht="14.25" x14ac:dyDescent="0.2">
      <c r="A1659" s="183">
        <v>519</v>
      </c>
      <c r="B1659" s="232" t="str">
        <f>IF(AND(A1659&lt;&gt;"",ISNUMBER(A1659)),VLOOKUP(A1659,Studies!A:BR,2,FALSE),"")</f>
        <v>Bae 2011</v>
      </c>
      <c r="C1659" s="232" t="str">
        <f>IF(AND(A1659&lt;&gt;"",ISNUMBER(A1659)),VLOOKUP(A1659,Studies!A:BR,3,FALSE),"")</f>
        <v>https://www.ncbi.nlm.nih.gov/pubmed/20400647</v>
      </c>
      <c r="D1659" s="232" t="str">
        <f>IF(AND(A1659&lt;&gt;"",ISNUMBER(A1659)),VLOOKUP(A1659,Studies!A:BR,4,FALSE),"")</f>
        <v>po 200 mg capsule with vit. C (Korean)</v>
      </c>
      <c r="E1659" s="206" t="str">
        <f>IF(AND(A1659&lt;&gt;"",ISNUMBER(A1659)),VLOOKUP(A1659,Studies!A:BR,5,FALSE),"")</f>
        <v>Hydroxy-Itraconazole</v>
      </c>
      <c r="F1659" s="207" t="str">
        <f>IF(AND(A1659&lt;&gt;"",ISNUMBER(A1659)),VLOOKUP(A1659,Studies!A:BR,6,FALSE),"")</f>
        <v>Plasma</v>
      </c>
      <c r="G1659" s="194">
        <v>8</v>
      </c>
      <c r="H1659" s="194" t="s">
        <v>60</v>
      </c>
      <c r="I1659" s="187">
        <v>525.64105224609375</v>
      </c>
      <c r="J1659" s="187" t="s">
        <v>1026</v>
      </c>
      <c r="K1659" s="187" t="s">
        <v>116</v>
      </c>
      <c r="L1659" s="195"/>
      <c r="M1659" s="195"/>
      <c r="N1659" s="195"/>
      <c r="O1659" s="199"/>
      <c r="P1659" s="188" t="s">
        <v>1122</v>
      </c>
      <c r="Q1659" s="174">
        <f>IF(ISNUMBER(VLOOKUP(A1659,NotghiID!A:A,1,FALSE)),1,0)</f>
        <v>0</v>
      </c>
    </row>
    <row r="1660" spans="1:17" ht="14.25" x14ac:dyDescent="0.2">
      <c r="A1660" s="183">
        <v>519</v>
      </c>
      <c r="B1660" s="232" t="str">
        <f>IF(AND(A1660&lt;&gt;"",ISNUMBER(A1660)),VLOOKUP(A1660,Studies!A:BR,2,FALSE),"")</f>
        <v>Bae 2011</v>
      </c>
      <c r="C1660" s="232" t="str">
        <f>IF(AND(A1660&lt;&gt;"",ISNUMBER(A1660)),VLOOKUP(A1660,Studies!A:BR,3,FALSE),"")</f>
        <v>https://www.ncbi.nlm.nih.gov/pubmed/20400647</v>
      </c>
      <c r="D1660" s="232" t="str">
        <f>IF(AND(A1660&lt;&gt;"",ISNUMBER(A1660)),VLOOKUP(A1660,Studies!A:BR,4,FALSE),"")</f>
        <v>po 200 mg capsule with vit. C (Korean)</v>
      </c>
      <c r="E1660" s="206" t="str">
        <f>IF(AND(A1660&lt;&gt;"",ISNUMBER(A1660)),VLOOKUP(A1660,Studies!A:BR,5,FALSE),"")</f>
        <v>Hydroxy-Itraconazole</v>
      </c>
      <c r="F1660" s="207" t="str">
        <f>IF(AND(A1660&lt;&gt;"",ISNUMBER(A1660)),VLOOKUP(A1660,Studies!A:BR,6,FALSE),"")</f>
        <v>Plasma</v>
      </c>
      <c r="G1660" s="194">
        <v>12</v>
      </c>
      <c r="H1660" s="194" t="s">
        <v>60</v>
      </c>
      <c r="I1660" s="187">
        <v>366.66668701171875</v>
      </c>
      <c r="J1660" s="187" t="s">
        <v>1026</v>
      </c>
      <c r="K1660" s="187" t="s">
        <v>116</v>
      </c>
      <c r="L1660" s="195"/>
      <c r="M1660" s="195"/>
      <c r="N1660" s="195"/>
      <c r="O1660" s="199"/>
      <c r="P1660" s="188" t="s">
        <v>1122</v>
      </c>
      <c r="Q1660" s="174">
        <f>IF(ISNUMBER(VLOOKUP(A1660,NotghiID!A:A,1,FALSE)),1,0)</f>
        <v>0</v>
      </c>
    </row>
    <row r="1661" spans="1:17" ht="14.25" x14ac:dyDescent="0.2">
      <c r="A1661" s="183">
        <v>519</v>
      </c>
      <c r="B1661" s="232" t="str">
        <f>IF(AND(A1661&lt;&gt;"",ISNUMBER(A1661)),VLOOKUP(A1661,Studies!A:BR,2,FALSE),"")</f>
        <v>Bae 2011</v>
      </c>
      <c r="C1661" s="232" t="str">
        <f>IF(AND(A1661&lt;&gt;"",ISNUMBER(A1661)),VLOOKUP(A1661,Studies!A:BR,3,FALSE),"")</f>
        <v>https://www.ncbi.nlm.nih.gov/pubmed/20400647</v>
      </c>
      <c r="D1661" s="232" t="str">
        <f>IF(AND(A1661&lt;&gt;"",ISNUMBER(A1661)),VLOOKUP(A1661,Studies!A:BR,4,FALSE),"")</f>
        <v>po 200 mg capsule with vit. C (Korean)</v>
      </c>
      <c r="E1661" s="206" t="str">
        <f>IF(AND(A1661&lt;&gt;"",ISNUMBER(A1661)),VLOOKUP(A1661,Studies!A:BR,5,FALSE),"")</f>
        <v>Hydroxy-Itraconazole</v>
      </c>
      <c r="F1661" s="207" t="str">
        <f>IF(AND(A1661&lt;&gt;"",ISNUMBER(A1661)),VLOOKUP(A1661,Studies!A:BR,6,FALSE),"")</f>
        <v>Plasma</v>
      </c>
      <c r="G1661" s="194">
        <v>24</v>
      </c>
      <c r="H1661" s="194" t="s">
        <v>60</v>
      </c>
      <c r="I1661" s="187">
        <v>210.25642395019531</v>
      </c>
      <c r="J1661" s="187" t="s">
        <v>1026</v>
      </c>
      <c r="K1661" s="187" t="s">
        <v>116</v>
      </c>
      <c r="L1661" s="195"/>
      <c r="M1661" s="195"/>
      <c r="N1661" s="195"/>
      <c r="O1661" s="199"/>
      <c r="P1661" s="188" t="s">
        <v>1122</v>
      </c>
      <c r="Q1661" s="174">
        <f>IF(ISNUMBER(VLOOKUP(A1661,NotghiID!A:A,1,FALSE)),1,0)</f>
        <v>0</v>
      </c>
    </row>
    <row r="1662" spans="1:17" ht="14.25" x14ac:dyDescent="0.2">
      <c r="A1662" s="183">
        <v>519</v>
      </c>
      <c r="B1662" s="232" t="str">
        <f>IF(AND(A1662&lt;&gt;"",ISNUMBER(A1662)),VLOOKUP(A1662,Studies!A:BR,2,FALSE),"")</f>
        <v>Bae 2011</v>
      </c>
      <c r="C1662" s="232" t="str">
        <f>IF(AND(A1662&lt;&gt;"",ISNUMBER(A1662)),VLOOKUP(A1662,Studies!A:BR,3,FALSE),"")</f>
        <v>https://www.ncbi.nlm.nih.gov/pubmed/20400647</v>
      </c>
      <c r="D1662" s="232" t="str">
        <f>IF(AND(A1662&lt;&gt;"",ISNUMBER(A1662)),VLOOKUP(A1662,Studies!A:BR,4,FALSE),"")</f>
        <v>po 200 mg capsule with vit. C (Korean)</v>
      </c>
      <c r="E1662" s="206" t="str">
        <f>IF(AND(A1662&lt;&gt;"",ISNUMBER(A1662)),VLOOKUP(A1662,Studies!A:BR,5,FALSE),"")</f>
        <v>Hydroxy-Itraconazole</v>
      </c>
      <c r="F1662" s="207" t="str">
        <f>IF(AND(A1662&lt;&gt;"",ISNUMBER(A1662)),VLOOKUP(A1662,Studies!A:BR,6,FALSE),"")</f>
        <v>Plasma</v>
      </c>
      <c r="G1662" s="194">
        <v>36</v>
      </c>
      <c r="H1662" s="194" t="s">
        <v>60</v>
      </c>
      <c r="I1662" s="187">
        <v>133.33334350585937</v>
      </c>
      <c r="J1662" s="187" t="s">
        <v>1026</v>
      </c>
      <c r="K1662" s="187" t="s">
        <v>116</v>
      </c>
      <c r="L1662" s="195"/>
      <c r="M1662" s="195"/>
      <c r="N1662" s="195"/>
      <c r="O1662" s="199"/>
      <c r="P1662" s="188" t="s">
        <v>1122</v>
      </c>
      <c r="Q1662" s="174">
        <f>IF(ISNUMBER(VLOOKUP(A1662,NotghiID!A:A,1,FALSE)),1,0)</f>
        <v>0</v>
      </c>
    </row>
    <row r="1663" spans="1:17" ht="14.25" x14ac:dyDescent="0.2">
      <c r="A1663" s="183">
        <v>519</v>
      </c>
      <c r="B1663" s="232" t="str">
        <f>IF(AND(A1663&lt;&gt;"",ISNUMBER(A1663)),VLOOKUP(A1663,Studies!A:BR,2,FALSE),"")</f>
        <v>Bae 2011</v>
      </c>
      <c r="C1663" s="232" t="str">
        <f>IF(AND(A1663&lt;&gt;"",ISNUMBER(A1663)),VLOOKUP(A1663,Studies!A:BR,3,FALSE),"")</f>
        <v>https://www.ncbi.nlm.nih.gov/pubmed/20400647</v>
      </c>
      <c r="D1663" s="232" t="str">
        <f>IF(AND(A1663&lt;&gt;"",ISNUMBER(A1663)),VLOOKUP(A1663,Studies!A:BR,4,FALSE),"")</f>
        <v>po 200 mg capsule with vit. C (Korean)</v>
      </c>
      <c r="E1663" s="206" t="str">
        <f>IF(AND(A1663&lt;&gt;"",ISNUMBER(A1663)),VLOOKUP(A1663,Studies!A:BR,5,FALSE),"")</f>
        <v>Hydroxy-Itraconazole</v>
      </c>
      <c r="F1663" s="207" t="str">
        <f>IF(AND(A1663&lt;&gt;"",ISNUMBER(A1663)),VLOOKUP(A1663,Studies!A:BR,6,FALSE),"")</f>
        <v>Plasma</v>
      </c>
      <c r="G1663" s="194">
        <v>48</v>
      </c>
      <c r="H1663" s="194" t="s">
        <v>60</v>
      </c>
      <c r="I1663" s="187">
        <v>82.051284790039062</v>
      </c>
      <c r="J1663" s="187" t="s">
        <v>1026</v>
      </c>
      <c r="K1663" s="187" t="s">
        <v>116</v>
      </c>
      <c r="L1663" s="195"/>
      <c r="M1663" s="195"/>
      <c r="N1663" s="195"/>
      <c r="O1663" s="199"/>
      <c r="P1663" s="188" t="s">
        <v>1122</v>
      </c>
      <c r="Q1663" s="174">
        <f>IF(ISNUMBER(VLOOKUP(A1663,NotghiID!A:A,1,FALSE)),1,0)</f>
        <v>0</v>
      </c>
    </row>
    <row r="1664" spans="1:17" ht="14.25" x14ac:dyDescent="0.2">
      <c r="A1664" s="91">
        <v>520</v>
      </c>
      <c r="B1664" s="232" t="str">
        <f>IF(AND(A1664&lt;&gt;"",ISNUMBER(A1664)),VLOOKUP(A1664,Studies!A:BR,2,FALSE),"")</f>
        <v>Mouton 2006</v>
      </c>
      <c r="C1664" s="232" t="str">
        <f>IF(AND(A1664&lt;&gt;"",ISNUMBER(A1664)),VLOOKUP(A1664,Studies!A:BR,3,FALSE),"")</f>
        <v>https://www.ncbi.nlm.nih.gov/pubmed/16982783</v>
      </c>
      <c r="D1664" s="232" t="str">
        <f>IF(AND(A1664&lt;&gt;"",ISNUMBER(A1664)),VLOOKUP(A1664,Studies!A:BR,4,FALSE),"")</f>
        <v>SAD_A 50 mg</v>
      </c>
      <c r="E1664" s="206" t="str">
        <f>IF(AND(A1664&lt;&gt;"",ISNUMBER(A1664)),VLOOKUP(A1664,Studies!A:BR,5,FALSE),"")</f>
        <v>Itraconazole</v>
      </c>
      <c r="F1664" s="207" t="str">
        <f>IF(AND(A1664&lt;&gt;"",ISNUMBER(A1664)),VLOOKUP(A1664,Studies!A:BR,6,FALSE),"")</f>
        <v>Plasma</v>
      </c>
      <c r="G1664" s="194">
        <v>0.5</v>
      </c>
      <c r="H1664" s="194" t="s">
        <v>60</v>
      </c>
      <c r="I1664" s="187">
        <v>1192.719970703125</v>
      </c>
      <c r="J1664" s="187" t="s">
        <v>1026</v>
      </c>
      <c r="K1664" s="187" t="s">
        <v>116</v>
      </c>
      <c r="L1664" s="195"/>
      <c r="M1664" s="195"/>
      <c r="N1664" s="195"/>
      <c r="O1664" s="199"/>
      <c r="P1664" s="188"/>
      <c r="Q1664" s="174">
        <f>IF(ISNUMBER(VLOOKUP(A1664,NotghiID!A:A,1,FALSE)),1,0)</f>
        <v>0</v>
      </c>
    </row>
    <row r="1665" spans="1:17" ht="14.25" x14ac:dyDescent="0.2">
      <c r="A1665" s="91">
        <v>520</v>
      </c>
      <c r="B1665" s="232" t="str">
        <f>IF(AND(A1665&lt;&gt;"",ISNUMBER(A1665)),VLOOKUP(A1665,Studies!A:BR,2,FALSE),"")</f>
        <v>Mouton 2006</v>
      </c>
      <c r="C1665" s="232" t="str">
        <f>IF(AND(A1665&lt;&gt;"",ISNUMBER(A1665)),VLOOKUP(A1665,Studies!A:BR,3,FALSE),"")</f>
        <v>https://www.ncbi.nlm.nih.gov/pubmed/16982783</v>
      </c>
      <c r="D1665" s="232" t="str">
        <f>IF(AND(A1665&lt;&gt;"",ISNUMBER(A1665)),VLOOKUP(A1665,Studies!A:BR,4,FALSE),"")</f>
        <v>SAD_A 50 mg</v>
      </c>
      <c r="E1665" s="206" t="str">
        <f>IF(AND(A1665&lt;&gt;"",ISNUMBER(A1665)),VLOOKUP(A1665,Studies!A:BR,5,FALSE),"")</f>
        <v>Itraconazole</v>
      </c>
      <c r="F1665" s="207" t="str">
        <f>IF(AND(A1665&lt;&gt;"",ISNUMBER(A1665)),VLOOKUP(A1665,Studies!A:BR,6,FALSE),"")</f>
        <v>Plasma</v>
      </c>
      <c r="G1665" s="194">
        <v>1</v>
      </c>
      <c r="H1665" s="194" t="s">
        <v>60</v>
      </c>
      <c r="I1665" s="187">
        <v>1422.823974609375</v>
      </c>
      <c r="J1665" s="187" t="s">
        <v>1026</v>
      </c>
      <c r="K1665" s="187" t="s">
        <v>116</v>
      </c>
      <c r="L1665" s="195"/>
      <c r="M1665" s="195"/>
      <c r="N1665" s="195"/>
      <c r="O1665" s="199"/>
      <c r="P1665" s="188"/>
      <c r="Q1665" s="174">
        <f>IF(ISNUMBER(VLOOKUP(A1665,NotghiID!A:A,1,FALSE)),1,0)</f>
        <v>0</v>
      </c>
    </row>
    <row r="1666" spans="1:17" ht="14.25" x14ac:dyDescent="0.2">
      <c r="A1666" s="91">
        <v>520</v>
      </c>
      <c r="B1666" s="232" t="str">
        <f>IF(AND(A1666&lt;&gt;"",ISNUMBER(A1666)),VLOOKUP(A1666,Studies!A:BR,2,FALSE),"")</f>
        <v>Mouton 2006</v>
      </c>
      <c r="C1666" s="232" t="str">
        <f>IF(AND(A1666&lt;&gt;"",ISNUMBER(A1666)),VLOOKUP(A1666,Studies!A:BR,3,FALSE),"")</f>
        <v>https://www.ncbi.nlm.nih.gov/pubmed/16982783</v>
      </c>
      <c r="D1666" s="232" t="str">
        <f>IF(AND(A1666&lt;&gt;"",ISNUMBER(A1666)),VLOOKUP(A1666,Studies!A:BR,4,FALSE),"")</f>
        <v>SAD_A 50 mg</v>
      </c>
      <c r="E1666" s="206" t="str">
        <f>IF(AND(A1666&lt;&gt;"",ISNUMBER(A1666)),VLOOKUP(A1666,Studies!A:BR,5,FALSE),"")</f>
        <v>Itraconazole</v>
      </c>
      <c r="F1666" s="207" t="str">
        <f>IF(AND(A1666&lt;&gt;"",ISNUMBER(A1666)),VLOOKUP(A1666,Studies!A:BR,6,FALSE),"")</f>
        <v>Plasma</v>
      </c>
      <c r="G1666" s="194">
        <v>1.08</v>
      </c>
      <c r="H1666" s="194" t="s">
        <v>60</v>
      </c>
      <c r="I1666" s="187">
        <v>1009.1549682617187</v>
      </c>
      <c r="J1666" s="187" t="s">
        <v>1026</v>
      </c>
      <c r="K1666" s="187" t="s">
        <v>116</v>
      </c>
      <c r="L1666" s="195"/>
      <c r="M1666" s="195"/>
      <c r="N1666" s="195"/>
      <c r="O1666" s="199"/>
      <c r="P1666" s="188"/>
      <c r="Q1666" s="174">
        <f>IF(ISNUMBER(VLOOKUP(A1666,NotghiID!A:A,1,FALSE)),1,0)</f>
        <v>0</v>
      </c>
    </row>
    <row r="1667" spans="1:17" ht="14.25" x14ac:dyDescent="0.2">
      <c r="A1667" s="91">
        <v>520</v>
      </c>
      <c r="B1667" s="232" t="str">
        <f>IF(AND(A1667&lt;&gt;"",ISNUMBER(A1667)),VLOOKUP(A1667,Studies!A:BR,2,FALSE),"")</f>
        <v>Mouton 2006</v>
      </c>
      <c r="C1667" s="232" t="str">
        <f>IF(AND(A1667&lt;&gt;"",ISNUMBER(A1667)),VLOOKUP(A1667,Studies!A:BR,3,FALSE),"")</f>
        <v>https://www.ncbi.nlm.nih.gov/pubmed/16982783</v>
      </c>
      <c r="D1667" s="232" t="str">
        <f>IF(AND(A1667&lt;&gt;"",ISNUMBER(A1667)),VLOOKUP(A1667,Studies!A:BR,4,FALSE),"")</f>
        <v>SAD_A 50 mg</v>
      </c>
      <c r="E1667" s="206" t="str">
        <f>IF(AND(A1667&lt;&gt;"",ISNUMBER(A1667)),VLOOKUP(A1667,Studies!A:BR,5,FALSE),"")</f>
        <v>Itraconazole</v>
      </c>
      <c r="F1667" s="207" t="str">
        <f>IF(AND(A1667&lt;&gt;"",ISNUMBER(A1667)),VLOOKUP(A1667,Studies!A:BR,6,FALSE),"")</f>
        <v>Plasma</v>
      </c>
      <c r="G1667" s="194">
        <v>1.25</v>
      </c>
      <c r="H1667" s="194" t="s">
        <v>60</v>
      </c>
      <c r="I1667" s="187">
        <v>380.68917846679687</v>
      </c>
      <c r="J1667" s="187" t="s">
        <v>1026</v>
      </c>
      <c r="K1667" s="187" t="s">
        <v>116</v>
      </c>
      <c r="L1667" s="195"/>
      <c r="M1667" s="195"/>
      <c r="N1667" s="195"/>
      <c r="O1667" s="199"/>
      <c r="P1667" s="188"/>
      <c r="Q1667" s="174">
        <f>IF(ISNUMBER(VLOOKUP(A1667,NotghiID!A:A,1,FALSE)),1,0)</f>
        <v>0</v>
      </c>
    </row>
    <row r="1668" spans="1:17" ht="14.25" x14ac:dyDescent="0.2">
      <c r="A1668" s="91">
        <v>520</v>
      </c>
      <c r="B1668" s="232" t="str">
        <f>IF(AND(A1668&lt;&gt;"",ISNUMBER(A1668)),VLOOKUP(A1668,Studies!A:BR,2,FALSE),"")</f>
        <v>Mouton 2006</v>
      </c>
      <c r="C1668" s="232" t="str">
        <f>IF(AND(A1668&lt;&gt;"",ISNUMBER(A1668)),VLOOKUP(A1668,Studies!A:BR,3,FALSE),"")</f>
        <v>https://www.ncbi.nlm.nih.gov/pubmed/16982783</v>
      </c>
      <c r="D1668" s="232" t="str">
        <f>IF(AND(A1668&lt;&gt;"",ISNUMBER(A1668)),VLOOKUP(A1668,Studies!A:BR,4,FALSE),"")</f>
        <v>SAD_A 50 mg</v>
      </c>
      <c r="E1668" s="206" t="str">
        <f>IF(AND(A1668&lt;&gt;"",ISNUMBER(A1668)),VLOOKUP(A1668,Studies!A:BR,5,FALSE),"")</f>
        <v>Itraconazole</v>
      </c>
      <c r="F1668" s="207" t="str">
        <f>IF(AND(A1668&lt;&gt;"",ISNUMBER(A1668)),VLOOKUP(A1668,Studies!A:BR,6,FALSE),"")</f>
        <v>Plasma</v>
      </c>
      <c r="G1668" s="194">
        <v>1.5</v>
      </c>
      <c r="H1668" s="194" t="s">
        <v>60</v>
      </c>
      <c r="I1668" s="187">
        <v>168.16358947753906</v>
      </c>
      <c r="J1668" s="187" t="s">
        <v>1026</v>
      </c>
      <c r="K1668" s="187" t="s">
        <v>116</v>
      </c>
      <c r="L1668" s="195"/>
      <c r="M1668" s="195"/>
      <c r="N1668" s="195"/>
      <c r="O1668" s="199"/>
      <c r="P1668" s="188"/>
      <c r="Q1668" s="174">
        <f>IF(ISNUMBER(VLOOKUP(A1668,NotghiID!A:A,1,FALSE)),1,0)</f>
        <v>0</v>
      </c>
    </row>
    <row r="1669" spans="1:17" ht="14.25" x14ac:dyDescent="0.2">
      <c r="A1669" s="91">
        <v>520</v>
      </c>
      <c r="B1669" s="232" t="str">
        <f>IF(AND(A1669&lt;&gt;"",ISNUMBER(A1669)),VLOOKUP(A1669,Studies!A:BR,2,FALSE),"")</f>
        <v>Mouton 2006</v>
      </c>
      <c r="C1669" s="232" t="str">
        <f>IF(AND(A1669&lt;&gt;"",ISNUMBER(A1669)),VLOOKUP(A1669,Studies!A:BR,3,FALSE),"")</f>
        <v>https://www.ncbi.nlm.nih.gov/pubmed/16982783</v>
      </c>
      <c r="D1669" s="232" t="str">
        <f>IF(AND(A1669&lt;&gt;"",ISNUMBER(A1669)),VLOOKUP(A1669,Studies!A:BR,4,FALSE),"")</f>
        <v>SAD_A 50 mg</v>
      </c>
      <c r="E1669" s="206" t="str">
        <f>IF(AND(A1669&lt;&gt;"",ISNUMBER(A1669)),VLOOKUP(A1669,Studies!A:BR,5,FALSE),"")</f>
        <v>Itraconazole</v>
      </c>
      <c r="F1669" s="207" t="str">
        <f>IF(AND(A1669&lt;&gt;"",ISNUMBER(A1669)),VLOOKUP(A1669,Studies!A:BR,6,FALSE),"")</f>
        <v>Plasma</v>
      </c>
      <c r="G1669" s="194">
        <v>1.75</v>
      </c>
      <c r="H1669" s="194" t="s">
        <v>60</v>
      </c>
      <c r="I1669" s="187">
        <v>138.37400817871094</v>
      </c>
      <c r="J1669" s="187" t="s">
        <v>1026</v>
      </c>
      <c r="K1669" s="187" t="s">
        <v>116</v>
      </c>
      <c r="L1669" s="195"/>
      <c r="M1669" s="195"/>
      <c r="N1669" s="195"/>
      <c r="O1669" s="199"/>
      <c r="P1669" s="188"/>
      <c r="Q1669" s="174">
        <f>IF(ISNUMBER(VLOOKUP(A1669,NotghiID!A:A,1,FALSE)),1,0)</f>
        <v>0</v>
      </c>
    </row>
    <row r="1670" spans="1:17" ht="14.25" x14ac:dyDescent="0.2">
      <c r="A1670" s="91">
        <v>520</v>
      </c>
      <c r="B1670" s="232" t="str">
        <f>IF(AND(A1670&lt;&gt;"",ISNUMBER(A1670)),VLOOKUP(A1670,Studies!A:BR,2,FALSE),"")</f>
        <v>Mouton 2006</v>
      </c>
      <c r="C1670" s="232" t="str">
        <f>IF(AND(A1670&lt;&gt;"",ISNUMBER(A1670)),VLOOKUP(A1670,Studies!A:BR,3,FALSE),"")</f>
        <v>https://www.ncbi.nlm.nih.gov/pubmed/16982783</v>
      </c>
      <c r="D1670" s="232" t="str">
        <f>IF(AND(A1670&lt;&gt;"",ISNUMBER(A1670)),VLOOKUP(A1670,Studies!A:BR,4,FALSE),"")</f>
        <v>SAD_A 50 mg</v>
      </c>
      <c r="E1670" s="206" t="str">
        <f>IF(AND(A1670&lt;&gt;"",ISNUMBER(A1670)),VLOOKUP(A1670,Studies!A:BR,5,FALSE),"")</f>
        <v>Itraconazole</v>
      </c>
      <c r="F1670" s="207" t="str">
        <f>IF(AND(A1670&lt;&gt;"",ISNUMBER(A1670)),VLOOKUP(A1670,Studies!A:BR,6,FALSE),"")</f>
        <v>Plasma</v>
      </c>
      <c r="G1670" s="194">
        <v>2</v>
      </c>
      <c r="H1670" s="194" t="s">
        <v>60</v>
      </c>
      <c r="I1670" s="187">
        <v>120.38449859619141</v>
      </c>
      <c r="J1670" s="187" t="s">
        <v>1026</v>
      </c>
      <c r="K1670" s="187" t="s">
        <v>116</v>
      </c>
      <c r="L1670" s="195"/>
      <c r="M1670" s="195"/>
      <c r="N1670" s="195"/>
      <c r="O1670" s="199"/>
      <c r="P1670" s="188"/>
      <c r="Q1670" s="174">
        <f>IF(ISNUMBER(VLOOKUP(A1670,NotghiID!A:A,1,FALSE)),1,0)</f>
        <v>0</v>
      </c>
    </row>
    <row r="1671" spans="1:17" ht="14.25" x14ac:dyDescent="0.2">
      <c r="A1671" s="91">
        <v>520</v>
      </c>
      <c r="B1671" s="232" t="str">
        <f>IF(AND(A1671&lt;&gt;"",ISNUMBER(A1671)),VLOOKUP(A1671,Studies!A:BR,2,FALSE),"")</f>
        <v>Mouton 2006</v>
      </c>
      <c r="C1671" s="232" t="str">
        <f>IF(AND(A1671&lt;&gt;"",ISNUMBER(A1671)),VLOOKUP(A1671,Studies!A:BR,3,FALSE),"")</f>
        <v>https://www.ncbi.nlm.nih.gov/pubmed/16982783</v>
      </c>
      <c r="D1671" s="232" t="str">
        <f>IF(AND(A1671&lt;&gt;"",ISNUMBER(A1671)),VLOOKUP(A1671,Studies!A:BR,4,FALSE),"")</f>
        <v>SAD_A 50 mg</v>
      </c>
      <c r="E1671" s="206" t="str">
        <f>IF(AND(A1671&lt;&gt;"",ISNUMBER(A1671)),VLOOKUP(A1671,Studies!A:BR,5,FALSE),"")</f>
        <v>Itraconazole</v>
      </c>
      <c r="F1671" s="207" t="str">
        <f>IF(AND(A1671&lt;&gt;"",ISNUMBER(A1671)),VLOOKUP(A1671,Studies!A:BR,6,FALSE),"")</f>
        <v>Plasma</v>
      </c>
      <c r="G1671" s="194">
        <v>2.5</v>
      </c>
      <c r="H1671" s="194" t="s">
        <v>60</v>
      </c>
      <c r="I1671" s="187">
        <v>117.07759857177734</v>
      </c>
      <c r="J1671" s="187" t="s">
        <v>1026</v>
      </c>
      <c r="K1671" s="187" t="s">
        <v>116</v>
      </c>
      <c r="L1671" s="195"/>
      <c r="M1671" s="195"/>
      <c r="N1671" s="195"/>
      <c r="O1671" s="199"/>
      <c r="P1671" s="188"/>
      <c r="Q1671" s="174">
        <f>IF(ISNUMBER(VLOOKUP(A1671,NotghiID!A:A,1,FALSE)),1,0)</f>
        <v>0</v>
      </c>
    </row>
    <row r="1672" spans="1:17" ht="14.25" x14ac:dyDescent="0.2">
      <c r="A1672" s="91">
        <v>520</v>
      </c>
      <c r="B1672" s="232" t="str">
        <f>IF(AND(A1672&lt;&gt;"",ISNUMBER(A1672)),VLOOKUP(A1672,Studies!A:BR,2,FALSE),"")</f>
        <v>Mouton 2006</v>
      </c>
      <c r="C1672" s="232" t="str">
        <f>IF(AND(A1672&lt;&gt;"",ISNUMBER(A1672)),VLOOKUP(A1672,Studies!A:BR,3,FALSE),"")</f>
        <v>https://www.ncbi.nlm.nih.gov/pubmed/16982783</v>
      </c>
      <c r="D1672" s="232" t="str">
        <f>IF(AND(A1672&lt;&gt;"",ISNUMBER(A1672)),VLOOKUP(A1672,Studies!A:BR,4,FALSE),"")</f>
        <v>SAD_A 50 mg</v>
      </c>
      <c r="E1672" s="206" t="str">
        <f>IF(AND(A1672&lt;&gt;"",ISNUMBER(A1672)),VLOOKUP(A1672,Studies!A:BR,5,FALSE),"")</f>
        <v>Itraconazole</v>
      </c>
      <c r="F1672" s="207" t="str">
        <f>IF(AND(A1672&lt;&gt;"",ISNUMBER(A1672)),VLOOKUP(A1672,Studies!A:BR,6,FALSE),"")</f>
        <v>Plasma</v>
      </c>
      <c r="G1672" s="194">
        <v>3</v>
      </c>
      <c r="H1672" s="194" t="s">
        <v>60</v>
      </c>
      <c r="I1672" s="187">
        <v>86.984443664550781</v>
      </c>
      <c r="J1672" s="187" t="s">
        <v>1026</v>
      </c>
      <c r="K1672" s="187" t="s">
        <v>116</v>
      </c>
      <c r="L1672" s="195"/>
      <c r="M1672" s="195"/>
      <c r="N1672" s="195"/>
      <c r="O1672" s="199"/>
      <c r="P1672" s="188"/>
      <c r="Q1672" s="174">
        <f>IF(ISNUMBER(VLOOKUP(A1672,NotghiID!A:A,1,FALSE)),1,0)</f>
        <v>0</v>
      </c>
    </row>
    <row r="1673" spans="1:17" ht="14.25" x14ac:dyDescent="0.2">
      <c r="A1673" s="91">
        <v>520</v>
      </c>
      <c r="B1673" s="232" t="str">
        <f>IF(AND(A1673&lt;&gt;"",ISNUMBER(A1673)),VLOOKUP(A1673,Studies!A:BR,2,FALSE),"")</f>
        <v>Mouton 2006</v>
      </c>
      <c r="C1673" s="232" t="str">
        <f>IF(AND(A1673&lt;&gt;"",ISNUMBER(A1673)),VLOOKUP(A1673,Studies!A:BR,3,FALSE),"")</f>
        <v>https://www.ncbi.nlm.nih.gov/pubmed/16982783</v>
      </c>
      <c r="D1673" s="232" t="str">
        <f>IF(AND(A1673&lt;&gt;"",ISNUMBER(A1673)),VLOOKUP(A1673,Studies!A:BR,4,FALSE),"")</f>
        <v>SAD_A 50 mg</v>
      </c>
      <c r="E1673" s="206" t="str">
        <f>IF(AND(A1673&lt;&gt;"",ISNUMBER(A1673)),VLOOKUP(A1673,Studies!A:BR,5,FALSE),"")</f>
        <v>Itraconazole</v>
      </c>
      <c r="F1673" s="207" t="str">
        <f>IF(AND(A1673&lt;&gt;"",ISNUMBER(A1673)),VLOOKUP(A1673,Studies!A:BR,6,FALSE),"")</f>
        <v>Plasma</v>
      </c>
      <c r="G1673" s="194">
        <v>4</v>
      </c>
      <c r="H1673" s="194" t="s">
        <v>60</v>
      </c>
      <c r="I1673" s="187">
        <v>57.81256103515625</v>
      </c>
      <c r="J1673" s="187" t="s">
        <v>1026</v>
      </c>
      <c r="K1673" s="187" t="s">
        <v>116</v>
      </c>
      <c r="L1673" s="195"/>
      <c r="M1673" s="195"/>
      <c r="N1673" s="195"/>
      <c r="O1673" s="199"/>
      <c r="P1673" s="188"/>
      <c r="Q1673" s="174">
        <f>IF(ISNUMBER(VLOOKUP(A1673,NotghiID!A:A,1,FALSE)),1,0)</f>
        <v>0</v>
      </c>
    </row>
    <row r="1674" spans="1:17" ht="14.25" x14ac:dyDescent="0.2">
      <c r="A1674" s="91">
        <v>520</v>
      </c>
      <c r="B1674" s="232" t="str">
        <f>IF(AND(A1674&lt;&gt;"",ISNUMBER(A1674)),VLOOKUP(A1674,Studies!A:BR,2,FALSE),"")</f>
        <v>Mouton 2006</v>
      </c>
      <c r="C1674" s="232" t="str">
        <f>IF(AND(A1674&lt;&gt;"",ISNUMBER(A1674)),VLOOKUP(A1674,Studies!A:BR,3,FALSE),"")</f>
        <v>https://www.ncbi.nlm.nih.gov/pubmed/16982783</v>
      </c>
      <c r="D1674" s="232" t="str">
        <f>IF(AND(A1674&lt;&gt;"",ISNUMBER(A1674)),VLOOKUP(A1674,Studies!A:BR,4,FALSE),"")</f>
        <v>SAD_A 50 mg</v>
      </c>
      <c r="E1674" s="206" t="str">
        <f>IF(AND(A1674&lt;&gt;"",ISNUMBER(A1674)),VLOOKUP(A1674,Studies!A:BR,5,FALSE),"")</f>
        <v>Itraconazole</v>
      </c>
      <c r="F1674" s="207" t="str">
        <f>IF(AND(A1674&lt;&gt;"",ISNUMBER(A1674)),VLOOKUP(A1674,Studies!A:BR,6,FALSE),"")</f>
        <v>Plasma</v>
      </c>
      <c r="G1674" s="194">
        <v>5</v>
      </c>
      <c r="H1674" s="194" t="s">
        <v>60</v>
      </c>
      <c r="I1674" s="187">
        <v>48.462890625</v>
      </c>
      <c r="J1674" s="187" t="s">
        <v>1026</v>
      </c>
      <c r="K1674" s="187" t="s">
        <v>116</v>
      </c>
      <c r="L1674" s="195"/>
      <c r="M1674" s="195"/>
      <c r="N1674" s="195"/>
      <c r="O1674" s="199"/>
      <c r="P1674" s="188"/>
      <c r="Q1674" s="174">
        <f>IF(ISNUMBER(VLOOKUP(A1674,NotghiID!A:A,1,FALSE)),1,0)</f>
        <v>0</v>
      </c>
    </row>
    <row r="1675" spans="1:17" ht="14.25" x14ac:dyDescent="0.2">
      <c r="A1675" s="91">
        <v>520</v>
      </c>
      <c r="B1675" s="232" t="str">
        <f>IF(AND(A1675&lt;&gt;"",ISNUMBER(A1675)),VLOOKUP(A1675,Studies!A:BR,2,FALSE),"")</f>
        <v>Mouton 2006</v>
      </c>
      <c r="C1675" s="232" t="str">
        <f>IF(AND(A1675&lt;&gt;"",ISNUMBER(A1675)),VLOOKUP(A1675,Studies!A:BR,3,FALSE),"")</f>
        <v>https://www.ncbi.nlm.nih.gov/pubmed/16982783</v>
      </c>
      <c r="D1675" s="232" t="str">
        <f>IF(AND(A1675&lt;&gt;"",ISNUMBER(A1675)),VLOOKUP(A1675,Studies!A:BR,4,FALSE),"")</f>
        <v>SAD_A 50 mg</v>
      </c>
      <c r="E1675" s="206" t="str">
        <f>IF(AND(A1675&lt;&gt;"",ISNUMBER(A1675)),VLOOKUP(A1675,Studies!A:BR,5,FALSE),"")</f>
        <v>Itraconazole</v>
      </c>
      <c r="F1675" s="207" t="str">
        <f>IF(AND(A1675&lt;&gt;"",ISNUMBER(A1675)),VLOOKUP(A1675,Studies!A:BR,6,FALSE),"")</f>
        <v>Plasma</v>
      </c>
      <c r="G1675" s="194">
        <v>7</v>
      </c>
      <c r="H1675" s="194" t="s">
        <v>60</v>
      </c>
      <c r="I1675" s="187">
        <v>33.119716644287109</v>
      </c>
      <c r="J1675" s="187" t="s">
        <v>1026</v>
      </c>
      <c r="K1675" s="187" t="s">
        <v>116</v>
      </c>
      <c r="L1675" s="195"/>
      <c r="M1675" s="195"/>
      <c r="N1675" s="195"/>
      <c r="O1675" s="199"/>
      <c r="P1675" s="188"/>
      <c r="Q1675" s="174">
        <f>IF(ISNUMBER(VLOOKUP(A1675,NotghiID!A:A,1,FALSE)),1,0)</f>
        <v>0</v>
      </c>
    </row>
    <row r="1676" spans="1:17" ht="14.25" x14ac:dyDescent="0.2">
      <c r="A1676" s="91">
        <v>520</v>
      </c>
      <c r="B1676" s="232" t="str">
        <f>IF(AND(A1676&lt;&gt;"",ISNUMBER(A1676)),VLOOKUP(A1676,Studies!A:BR,2,FALSE),"")</f>
        <v>Mouton 2006</v>
      </c>
      <c r="C1676" s="232" t="str">
        <f>IF(AND(A1676&lt;&gt;"",ISNUMBER(A1676)),VLOOKUP(A1676,Studies!A:BR,3,FALSE),"")</f>
        <v>https://www.ncbi.nlm.nih.gov/pubmed/16982783</v>
      </c>
      <c r="D1676" s="232" t="str">
        <f>IF(AND(A1676&lt;&gt;"",ISNUMBER(A1676)),VLOOKUP(A1676,Studies!A:BR,4,FALSE),"")</f>
        <v>SAD_A 50 mg</v>
      </c>
      <c r="E1676" s="206" t="str">
        <f>IF(AND(A1676&lt;&gt;"",ISNUMBER(A1676)),VLOOKUP(A1676,Studies!A:BR,5,FALSE),"")</f>
        <v>Itraconazole</v>
      </c>
      <c r="F1676" s="207" t="str">
        <f>IF(AND(A1676&lt;&gt;"",ISNUMBER(A1676)),VLOOKUP(A1676,Studies!A:BR,6,FALSE),"")</f>
        <v>Plasma</v>
      </c>
      <c r="G1676" s="194">
        <v>9</v>
      </c>
      <c r="H1676" s="194" t="s">
        <v>60</v>
      </c>
      <c r="I1676" s="187">
        <v>27.506900787353516</v>
      </c>
      <c r="J1676" s="187" t="s">
        <v>1026</v>
      </c>
      <c r="K1676" s="187" t="s">
        <v>116</v>
      </c>
      <c r="L1676" s="195"/>
      <c r="M1676" s="195"/>
      <c r="N1676" s="195"/>
      <c r="O1676" s="199"/>
      <c r="P1676" s="188"/>
      <c r="Q1676" s="174">
        <f>IF(ISNUMBER(VLOOKUP(A1676,NotghiID!A:A,1,FALSE)),1,0)</f>
        <v>0</v>
      </c>
    </row>
    <row r="1677" spans="1:17" ht="14.25" x14ac:dyDescent="0.2">
      <c r="A1677" s="91">
        <v>520</v>
      </c>
      <c r="B1677" s="232" t="str">
        <f>IF(AND(A1677&lt;&gt;"",ISNUMBER(A1677)),VLOOKUP(A1677,Studies!A:BR,2,FALSE),"")</f>
        <v>Mouton 2006</v>
      </c>
      <c r="C1677" s="232" t="str">
        <f>IF(AND(A1677&lt;&gt;"",ISNUMBER(A1677)),VLOOKUP(A1677,Studies!A:BR,3,FALSE),"")</f>
        <v>https://www.ncbi.nlm.nih.gov/pubmed/16982783</v>
      </c>
      <c r="D1677" s="232" t="str">
        <f>IF(AND(A1677&lt;&gt;"",ISNUMBER(A1677)),VLOOKUP(A1677,Studies!A:BR,4,FALSE),"")</f>
        <v>SAD_A 50 mg</v>
      </c>
      <c r="E1677" s="206" t="str">
        <f>IF(AND(A1677&lt;&gt;"",ISNUMBER(A1677)),VLOOKUP(A1677,Studies!A:BR,5,FALSE),"")</f>
        <v>Itraconazole</v>
      </c>
      <c r="F1677" s="207" t="str">
        <f>IF(AND(A1677&lt;&gt;"",ISNUMBER(A1677)),VLOOKUP(A1677,Studies!A:BR,6,FALSE),"")</f>
        <v>Plasma</v>
      </c>
      <c r="G1677" s="194">
        <v>24</v>
      </c>
      <c r="H1677" s="194" t="s">
        <v>60</v>
      </c>
      <c r="I1677" s="187">
        <v>10.28069019317627</v>
      </c>
      <c r="J1677" s="187" t="s">
        <v>1026</v>
      </c>
      <c r="K1677" s="187" t="s">
        <v>116</v>
      </c>
      <c r="L1677" s="195"/>
      <c r="M1677" s="195"/>
      <c r="N1677" s="195"/>
      <c r="O1677" s="199"/>
      <c r="P1677" s="188"/>
      <c r="Q1677" s="174">
        <f>IF(ISNUMBER(VLOOKUP(A1677,NotghiID!A:A,1,FALSE)),1,0)</f>
        <v>0</v>
      </c>
    </row>
    <row r="1678" spans="1:17" ht="14.25" x14ac:dyDescent="0.2">
      <c r="A1678" s="91">
        <v>520</v>
      </c>
      <c r="B1678" s="232" t="str">
        <f>IF(AND(A1678&lt;&gt;"",ISNUMBER(A1678)),VLOOKUP(A1678,Studies!A:BR,2,FALSE),"")</f>
        <v>Mouton 2006</v>
      </c>
      <c r="C1678" s="232" t="str">
        <f>IF(AND(A1678&lt;&gt;"",ISNUMBER(A1678)),VLOOKUP(A1678,Studies!A:BR,3,FALSE),"")</f>
        <v>https://www.ncbi.nlm.nih.gov/pubmed/16982783</v>
      </c>
      <c r="D1678" s="232" t="str">
        <f>IF(AND(A1678&lt;&gt;"",ISNUMBER(A1678)),VLOOKUP(A1678,Studies!A:BR,4,FALSE),"")</f>
        <v>SAD_A 50 mg</v>
      </c>
      <c r="E1678" s="206" t="str">
        <f>IF(AND(A1678&lt;&gt;"",ISNUMBER(A1678)),VLOOKUP(A1678,Studies!A:BR,5,FALSE),"")</f>
        <v>Itraconazole</v>
      </c>
      <c r="F1678" s="207" t="str">
        <f>IF(AND(A1678&lt;&gt;"",ISNUMBER(A1678)),VLOOKUP(A1678,Studies!A:BR,6,FALSE),"")</f>
        <v>Plasma</v>
      </c>
      <c r="G1678" s="194">
        <v>32</v>
      </c>
      <c r="H1678" s="194" t="s">
        <v>60</v>
      </c>
      <c r="I1678" s="187">
        <v>8.0011281967163086</v>
      </c>
      <c r="J1678" s="187" t="s">
        <v>1026</v>
      </c>
      <c r="K1678" s="187" t="s">
        <v>116</v>
      </c>
      <c r="L1678" s="195"/>
      <c r="M1678" s="195"/>
      <c r="N1678" s="195"/>
      <c r="O1678" s="199"/>
      <c r="P1678" s="188"/>
      <c r="Q1678" s="174">
        <f>IF(ISNUMBER(VLOOKUP(A1678,NotghiID!A:A,1,FALSE)),1,0)</f>
        <v>0</v>
      </c>
    </row>
    <row r="1679" spans="1:17" ht="14.25" x14ac:dyDescent="0.2">
      <c r="A1679" s="183">
        <v>521</v>
      </c>
      <c r="B1679" s="232" t="str">
        <f>IF(AND(A1679&lt;&gt;"",ISNUMBER(A1679)),VLOOKUP(A1679,Studies!A:BR,2,FALSE),"")</f>
        <v>Mouton 2006</v>
      </c>
      <c r="C1679" s="232" t="str">
        <f>IF(AND(A1679&lt;&gt;"",ISNUMBER(A1679)),VLOOKUP(A1679,Studies!A:BR,3,FALSE),"")</f>
        <v>https://www.ncbi.nlm.nih.gov/pubmed/16982783</v>
      </c>
      <c r="D1679" s="232" t="str">
        <f>IF(AND(A1679&lt;&gt;"",ISNUMBER(A1679)),VLOOKUP(A1679,Studies!A:BR,4,FALSE),"")</f>
        <v>SAD_B 100 mg</v>
      </c>
      <c r="E1679" s="206" t="str">
        <f>IF(AND(A1679&lt;&gt;"",ISNUMBER(A1679)),VLOOKUP(A1679,Studies!A:BR,5,FALSE),"")</f>
        <v>Itraconazole</v>
      </c>
      <c r="F1679" s="207" t="str">
        <f>IF(AND(A1679&lt;&gt;"",ISNUMBER(A1679)),VLOOKUP(A1679,Studies!A:BR,6,FALSE),"")</f>
        <v>Plasma</v>
      </c>
      <c r="G1679" s="194">
        <v>1</v>
      </c>
      <c r="H1679" s="194" t="s">
        <v>60</v>
      </c>
      <c r="I1679" s="187">
        <f>3.50171113014221*1000</f>
        <v>3501.7111301422101</v>
      </c>
      <c r="J1679" s="187" t="s">
        <v>1026</v>
      </c>
      <c r="K1679" s="187" t="s">
        <v>116</v>
      </c>
      <c r="L1679" s="195"/>
      <c r="M1679" s="195"/>
      <c r="N1679" s="195"/>
      <c r="O1679" s="199"/>
      <c r="P1679" s="188"/>
      <c r="Q1679" s="174">
        <f>IF(ISNUMBER(VLOOKUP(A1679,NotghiID!A:A,1,FALSE)),1,0)</f>
        <v>0</v>
      </c>
    </row>
    <row r="1680" spans="1:17" ht="14.25" x14ac:dyDescent="0.2">
      <c r="A1680" s="183">
        <v>521</v>
      </c>
      <c r="B1680" s="232" t="str">
        <f>IF(AND(A1680&lt;&gt;"",ISNUMBER(A1680)),VLOOKUP(A1680,Studies!A:BR,2,FALSE),"")</f>
        <v>Mouton 2006</v>
      </c>
      <c r="C1680" s="232" t="str">
        <f>IF(AND(A1680&lt;&gt;"",ISNUMBER(A1680)),VLOOKUP(A1680,Studies!A:BR,3,FALSE),"")</f>
        <v>https://www.ncbi.nlm.nih.gov/pubmed/16982783</v>
      </c>
      <c r="D1680" s="232" t="str">
        <f>IF(AND(A1680&lt;&gt;"",ISNUMBER(A1680)),VLOOKUP(A1680,Studies!A:BR,4,FALSE),"")</f>
        <v>SAD_B 100 mg</v>
      </c>
      <c r="E1680" s="206" t="str">
        <f>IF(AND(A1680&lt;&gt;"",ISNUMBER(A1680)),VLOOKUP(A1680,Studies!A:BR,5,FALSE),"")</f>
        <v>Itraconazole</v>
      </c>
      <c r="F1680" s="207" t="str">
        <f>IF(AND(A1680&lt;&gt;"",ISNUMBER(A1680)),VLOOKUP(A1680,Studies!A:BR,6,FALSE),"")</f>
        <v>Plasma</v>
      </c>
      <c r="G1680" s="194">
        <v>1.08</v>
      </c>
      <c r="H1680" s="194" t="s">
        <v>60</v>
      </c>
      <c r="I1680" s="187">
        <f>2.67512893676757*1000</f>
        <v>2675.1289367675699</v>
      </c>
      <c r="J1680" s="187" t="s">
        <v>1026</v>
      </c>
      <c r="K1680" s="187" t="s">
        <v>116</v>
      </c>
      <c r="L1680" s="195"/>
      <c r="M1680" s="195"/>
      <c r="N1680" s="195"/>
      <c r="O1680" s="199"/>
      <c r="P1680" s="188"/>
      <c r="Q1680" s="174">
        <f>IF(ISNUMBER(VLOOKUP(A1680,NotghiID!A:A,1,FALSE)),1,0)</f>
        <v>0</v>
      </c>
    </row>
    <row r="1681" spans="1:17" ht="14.25" x14ac:dyDescent="0.2">
      <c r="A1681" s="183">
        <v>521</v>
      </c>
      <c r="B1681" s="232" t="str">
        <f>IF(AND(A1681&lt;&gt;"",ISNUMBER(A1681)),VLOOKUP(A1681,Studies!A:BR,2,FALSE),"")</f>
        <v>Mouton 2006</v>
      </c>
      <c r="C1681" s="232" t="str">
        <f>IF(AND(A1681&lt;&gt;"",ISNUMBER(A1681)),VLOOKUP(A1681,Studies!A:BR,3,FALSE),"")</f>
        <v>https://www.ncbi.nlm.nih.gov/pubmed/16982783</v>
      </c>
      <c r="D1681" s="232" t="str">
        <f>IF(AND(A1681&lt;&gt;"",ISNUMBER(A1681)),VLOOKUP(A1681,Studies!A:BR,4,FALSE),"")</f>
        <v>SAD_B 100 mg</v>
      </c>
      <c r="E1681" s="206" t="str">
        <f>IF(AND(A1681&lt;&gt;"",ISNUMBER(A1681)),VLOOKUP(A1681,Studies!A:BR,5,FALSE),"")</f>
        <v>Itraconazole</v>
      </c>
      <c r="F1681" s="207" t="str">
        <f>IF(AND(A1681&lt;&gt;"",ISNUMBER(A1681)),VLOOKUP(A1681,Studies!A:BR,6,FALSE),"")</f>
        <v>Plasma</v>
      </c>
      <c r="G1681" s="194">
        <v>1.5</v>
      </c>
      <c r="H1681" s="194" t="s">
        <v>60</v>
      </c>
      <c r="I1681" s="187">
        <v>441.658616065979</v>
      </c>
      <c r="J1681" s="187" t="s">
        <v>1026</v>
      </c>
      <c r="K1681" s="187" t="s">
        <v>116</v>
      </c>
      <c r="L1681" s="195"/>
      <c r="M1681" s="195"/>
      <c r="N1681" s="195"/>
      <c r="O1681" s="199"/>
      <c r="P1681" s="188"/>
      <c r="Q1681" s="174">
        <f>IF(ISNUMBER(VLOOKUP(A1681,NotghiID!A:A,1,FALSE)),1,0)</f>
        <v>0</v>
      </c>
    </row>
    <row r="1682" spans="1:17" ht="14.25" x14ac:dyDescent="0.2">
      <c r="A1682" s="183">
        <v>521</v>
      </c>
      <c r="B1682" s="232" t="str">
        <f>IF(AND(A1682&lt;&gt;"",ISNUMBER(A1682)),VLOOKUP(A1682,Studies!A:BR,2,FALSE),"")</f>
        <v>Mouton 2006</v>
      </c>
      <c r="C1682" s="232" t="str">
        <f>IF(AND(A1682&lt;&gt;"",ISNUMBER(A1682)),VLOOKUP(A1682,Studies!A:BR,3,FALSE),"")</f>
        <v>https://www.ncbi.nlm.nih.gov/pubmed/16982783</v>
      </c>
      <c r="D1682" s="232" t="str">
        <f>IF(AND(A1682&lt;&gt;"",ISNUMBER(A1682)),VLOOKUP(A1682,Studies!A:BR,4,FALSE),"")</f>
        <v>SAD_B 100 mg</v>
      </c>
      <c r="E1682" s="206" t="str">
        <f>IF(AND(A1682&lt;&gt;"",ISNUMBER(A1682)),VLOOKUP(A1682,Studies!A:BR,5,FALSE),"")</f>
        <v>Itraconazole</v>
      </c>
      <c r="F1682" s="207" t="str">
        <f>IF(AND(A1682&lt;&gt;"",ISNUMBER(A1682)),VLOOKUP(A1682,Studies!A:BR,6,FALSE),"")</f>
        <v>Plasma</v>
      </c>
      <c r="G1682" s="194">
        <v>2</v>
      </c>
      <c r="H1682" s="194" t="s">
        <v>60</v>
      </c>
      <c r="I1682" s="187">
        <v>307.48829245567322</v>
      </c>
      <c r="J1682" s="187" t="s">
        <v>1026</v>
      </c>
      <c r="K1682" s="187" t="s">
        <v>116</v>
      </c>
      <c r="L1682" s="195"/>
      <c r="M1682" s="195"/>
      <c r="N1682" s="195"/>
      <c r="O1682" s="199"/>
      <c r="P1682" s="188"/>
      <c r="Q1682" s="174">
        <f>IF(ISNUMBER(VLOOKUP(A1682,NotghiID!A:A,1,FALSE)),1,0)</f>
        <v>0</v>
      </c>
    </row>
    <row r="1683" spans="1:17" ht="14.25" x14ac:dyDescent="0.2">
      <c r="A1683" s="183">
        <v>521</v>
      </c>
      <c r="B1683" s="232" t="str">
        <f>IF(AND(A1683&lt;&gt;"",ISNUMBER(A1683)),VLOOKUP(A1683,Studies!A:BR,2,FALSE),"")</f>
        <v>Mouton 2006</v>
      </c>
      <c r="C1683" s="232" t="str">
        <f>IF(AND(A1683&lt;&gt;"",ISNUMBER(A1683)),VLOOKUP(A1683,Studies!A:BR,3,FALSE),"")</f>
        <v>https://www.ncbi.nlm.nih.gov/pubmed/16982783</v>
      </c>
      <c r="D1683" s="232" t="str">
        <f>IF(AND(A1683&lt;&gt;"",ISNUMBER(A1683)),VLOOKUP(A1683,Studies!A:BR,4,FALSE),"")</f>
        <v>SAD_B 100 mg</v>
      </c>
      <c r="E1683" s="206" t="str">
        <f>IF(AND(A1683&lt;&gt;"",ISNUMBER(A1683)),VLOOKUP(A1683,Studies!A:BR,5,FALSE),"")</f>
        <v>Itraconazole</v>
      </c>
      <c r="F1683" s="207" t="str">
        <f>IF(AND(A1683&lt;&gt;"",ISNUMBER(A1683)),VLOOKUP(A1683,Studies!A:BR,6,FALSE),"")</f>
        <v>Plasma</v>
      </c>
      <c r="G1683" s="194">
        <v>2.5</v>
      </c>
      <c r="H1683" s="194" t="s">
        <v>60</v>
      </c>
      <c r="I1683" s="187">
        <v>328.1363844871521</v>
      </c>
      <c r="J1683" s="187" t="s">
        <v>1026</v>
      </c>
      <c r="K1683" s="187" t="s">
        <v>116</v>
      </c>
      <c r="L1683" s="195"/>
      <c r="M1683" s="195"/>
      <c r="N1683" s="195"/>
      <c r="O1683" s="199"/>
      <c r="P1683" s="188"/>
      <c r="Q1683" s="174">
        <f>IF(ISNUMBER(VLOOKUP(A1683,NotghiID!A:A,1,FALSE)),1,0)</f>
        <v>0</v>
      </c>
    </row>
    <row r="1684" spans="1:17" ht="14.25" x14ac:dyDescent="0.2">
      <c r="A1684" s="183">
        <v>521</v>
      </c>
      <c r="B1684" s="232" t="str">
        <f>IF(AND(A1684&lt;&gt;"",ISNUMBER(A1684)),VLOOKUP(A1684,Studies!A:BR,2,FALSE),"")</f>
        <v>Mouton 2006</v>
      </c>
      <c r="C1684" s="232" t="str">
        <f>IF(AND(A1684&lt;&gt;"",ISNUMBER(A1684)),VLOOKUP(A1684,Studies!A:BR,3,FALSE),"")</f>
        <v>https://www.ncbi.nlm.nih.gov/pubmed/16982783</v>
      </c>
      <c r="D1684" s="232" t="str">
        <f>IF(AND(A1684&lt;&gt;"",ISNUMBER(A1684)),VLOOKUP(A1684,Studies!A:BR,4,FALSE),"")</f>
        <v>SAD_B 100 mg</v>
      </c>
      <c r="E1684" s="206" t="str">
        <f>IF(AND(A1684&lt;&gt;"",ISNUMBER(A1684)),VLOOKUP(A1684,Studies!A:BR,5,FALSE),"")</f>
        <v>Itraconazole</v>
      </c>
      <c r="F1684" s="207" t="str">
        <f>IF(AND(A1684&lt;&gt;"",ISNUMBER(A1684)),VLOOKUP(A1684,Studies!A:BR,6,FALSE),"")</f>
        <v>Plasma</v>
      </c>
      <c r="G1684" s="194">
        <v>3</v>
      </c>
      <c r="H1684" s="194" t="s">
        <v>60</v>
      </c>
      <c r="I1684" s="187">
        <v>270.00829577445984</v>
      </c>
      <c r="J1684" s="187" t="s">
        <v>1026</v>
      </c>
      <c r="K1684" s="187" t="s">
        <v>116</v>
      </c>
      <c r="L1684" s="195"/>
      <c r="M1684" s="195"/>
      <c r="N1684" s="195"/>
      <c r="O1684" s="199"/>
      <c r="P1684" s="188"/>
      <c r="Q1684" s="174">
        <f>IF(ISNUMBER(VLOOKUP(A1684,NotghiID!A:A,1,FALSE)),1,0)</f>
        <v>0</v>
      </c>
    </row>
    <row r="1685" spans="1:17" ht="14.25" x14ac:dyDescent="0.2">
      <c r="A1685" s="183">
        <v>521</v>
      </c>
      <c r="B1685" s="232" t="str">
        <f>IF(AND(A1685&lt;&gt;"",ISNUMBER(A1685)),VLOOKUP(A1685,Studies!A:BR,2,FALSE),"")</f>
        <v>Mouton 2006</v>
      </c>
      <c r="C1685" s="232" t="str">
        <f>IF(AND(A1685&lt;&gt;"",ISNUMBER(A1685)),VLOOKUP(A1685,Studies!A:BR,3,FALSE),"")</f>
        <v>https://www.ncbi.nlm.nih.gov/pubmed/16982783</v>
      </c>
      <c r="D1685" s="232" t="str">
        <f>IF(AND(A1685&lt;&gt;"",ISNUMBER(A1685)),VLOOKUP(A1685,Studies!A:BR,4,FALSE),"")</f>
        <v>SAD_B 100 mg</v>
      </c>
      <c r="E1685" s="206" t="str">
        <f>IF(AND(A1685&lt;&gt;"",ISNUMBER(A1685)),VLOOKUP(A1685,Studies!A:BR,5,FALSE),"")</f>
        <v>Itraconazole</v>
      </c>
      <c r="F1685" s="207" t="str">
        <f>IF(AND(A1685&lt;&gt;"",ISNUMBER(A1685)),VLOOKUP(A1685,Studies!A:BR,6,FALSE),"")</f>
        <v>Plasma</v>
      </c>
      <c r="G1685" s="194">
        <v>4</v>
      </c>
      <c r="H1685" s="194" t="s">
        <v>60</v>
      </c>
      <c r="I1685" s="187">
        <v>232.73460566997528</v>
      </c>
      <c r="J1685" s="187" t="s">
        <v>1026</v>
      </c>
      <c r="K1685" s="187" t="s">
        <v>116</v>
      </c>
      <c r="L1685" s="195"/>
      <c r="M1685" s="195"/>
      <c r="N1685" s="195"/>
      <c r="O1685" s="199"/>
      <c r="P1685" s="188"/>
      <c r="Q1685" s="174">
        <f>IF(ISNUMBER(VLOOKUP(A1685,NotghiID!A:A,1,FALSE)),1,0)</f>
        <v>0</v>
      </c>
    </row>
    <row r="1686" spans="1:17" ht="14.25" x14ac:dyDescent="0.2">
      <c r="A1686" s="183">
        <v>521</v>
      </c>
      <c r="B1686" s="232" t="str">
        <f>IF(AND(A1686&lt;&gt;"",ISNUMBER(A1686)),VLOOKUP(A1686,Studies!A:BR,2,FALSE),"")</f>
        <v>Mouton 2006</v>
      </c>
      <c r="C1686" s="232" t="str">
        <f>IF(AND(A1686&lt;&gt;"",ISNUMBER(A1686)),VLOOKUP(A1686,Studies!A:BR,3,FALSE),"")</f>
        <v>https://www.ncbi.nlm.nih.gov/pubmed/16982783</v>
      </c>
      <c r="D1686" s="232" t="str">
        <f>IF(AND(A1686&lt;&gt;"",ISNUMBER(A1686)),VLOOKUP(A1686,Studies!A:BR,4,FALSE),"")</f>
        <v>SAD_B 100 mg</v>
      </c>
      <c r="E1686" s="206" t="str">
        <f>IF(AND(A1686&lt;&gt;"",ISNUMBER(A1686)),VLOOKUP(A1686,Studies!A:BR,5,FALSE),"")</f>
        <v>Itraconazole</v>
      </c>
      <c r="F1686" s="207" t="str">
        <f>IF(AND(A1686&lt;&gt;"",ISNUMBER(A1686)),VLOOKUP(A1686,Studies!A:BR,6,FALSE),"")</f>
        <v>Plasma</v>
      </c>
      <c r="G1686" s="194">
        <v>5</v>
      </c>
      <c r="H1686" s="194" t="s">
        <v>60</v>
      </c>
      <c r="I1686" s="187">
        <v>202.4775892496109</v>
      </c>
      <c r="J1686" s="187" t="s">
        <v>1026</v>
      </c>
      <c r="K1686" s="187" t="s">
        <v>116</v>
      </c>
      <c r="L1686" s="195"/>
      <c r="M1686" s="195"/>
      <c r="N1686" s="195"/>
      <c r="O1686" s="199"/>
      <c r="P1686" s="188"/>
      <c r="Q1686" s="174">
        <f>IF(ISNUMBER(VLOOKUP(A1686,NotghiID!A:A,1,FALSE)),1,0)</f>
        <v>0</v>
      </c>
    </row>
    <row r="1687" spans="1:17" ht="14.25" x14ac:dyDescent="0.2">
      <c r="A1687" s="183">
        <v>521</v>
      </c>
      <c r="B1687" s="232" t="str">
        <f>IF(AND(A1687&lt;&gt;"",ISNUMBER(A1687)),VLOOKUP(A1687,Studies!A:BR,2,FALSE),"")</f>
        <v>Mouton 2006</v>
      </c>
      <c r="C1687" s="232" t="str">
        <f>IF(AND(A1687&lt;&gt;"",ISNUMBER(A1687)),VLOOKUP(A1687,Studies!A:BR,3,FALSE),"")</f>
        <v>https://www.ncbi.nlm.nih.gov/pubmed/16982783</v>
      </c>
      <c r="D1687" s="232" t="str">
        <f>IF(AND(A1687&lt;&gt;"",ISNUMBER(A1687)),VLOOKUP(A1687,Studies!A:BR,4,FALSE),"")</f>
        <v>SAD_B 100 mg</v>
      </c>
      <c r="E1687" s="206" t="str">
        <f>IF(AND(A1687&lt;&gt;"",ISNUMBER(A1687)),VLOOKUP(A1687,Studies!A:BR,5,FALSE),"")</f>
        <v>Itraconazole</v>
      </c>
      <c r="F1687" s="207" t="str">
        <f>IF(AND(A1687&lt;&gt;"",ISNUMBER(A1687)),VLOOKUP(A1687,Studies!A:BR,6,FALSE),"")</f>
        <v>Plasma</v>
      </c>
      <c r="G1687" s="194">
        <v>7</v>
      </c>
      <c r="H1687" s="194" t="s">
        <v>60</v>
      </c>
      <c r="I1687" s="187">
        <v>144.94919776916504</v>
      </c>
      <c r="J1687" s="187" t="s">
        <v>1026</v>
      </c>
      <c r="K1687" s="187" t="s">
        <v>116</v>
      </c>
      <c r="L1687" s="195"/>
      <c r="M1687" s="195"/>
      <c r="N1687" s="195"/>
      <c r="O1687" s="199"/>
      <c r="P1687" s="188"/>
      <c r="Q1687" s="174">
        <f>IF(ISNUMBER(VLOOKUP(A1687,NotghiID!A:A,1,FALSE)),1,0)</f>
        <v>0</v>
      </c>
    </row>
    <row r="1688" spans="1:17" ht="14.25" x14ac:dyDescent="0.2">
      <c r="A1688" s="183">
        <v>521</v>
      </c>
      <c r="B1688" s="232" t="str">
        <f>IF(AND(A1688&lt;&gt;"",ISNUMBER(A1688)),VLOOKUP(A1688,Studies!A:BR,2,FALSE),"")</f>
        <v>Mouton 2006</v>
      </c>
      <c r="C1688" s="232" t="str">
        <f>IF(AND(A1688&lt;&gt;"",ISNUMBER(A1688)),VLOOKUP(A1688,Studies!A:BR,3,FALSE),"")</f>
        <v>https://www.ncbi.nlm.nih.gov/pubmed/16982783</v>
      </c>
      <c r="D1688" s="232" t="str">
        <f>IF(AND(A1688&lt;&gt;"",ISNUMBER(A1688)),VLOOKUP(A1688,Studies!A:BR,4,FALSE),"")</f>
        <v>SAD_B 100 mg</v>
      </c>
      <c r="E1688" s="206" t="str">
        <f>IF(AND(A1688&lt;&gt;"",ISNUMBER(A1688)),VLOOKUP(A1688,Studies!A:BR,5,FALSE),"")</f>
        <v>Itraconazole</v>
      </c>
      <c r="F1688" s="207" t="str">
        <f>IF(AND(A1688&lt;&gt;"",ISNUMBER(A1688)),VLOOKUP(A1688,Studies!A:BR,6,FALSE),"")</f>
        <v>Plasma</v>
      </c>
      <c r="G1688" s="194">
        <v>9</v>
      </c>
      <c r="H1688" s="194" t="s">
        <v>60</v>
      </c>
      <c r="I1688" s="187">
        <v>119.27200108766556</v>
      </c>
      <c r="J1688" s="187" t="s">
        <v>1026</v>
      </c>
      <c r="K1688" s="187" t="s">
        <v>116</v>
      </c>
      <c r="L1688" s="195"/>
      <c r="M1688" s="195"/>
      <c r="N1688" s="195"/>
      <c r="O1688" s="199"/>
      <c r="P1688" s="188"/>
      <c r="Q1688" s="174">
        <f>IF(ISNUMBER(VLOOKUP(A1688,NotghiID!A:A,1,FALSE)),1,0)</f>
        <v>0</v>
      </c>
    </row>
    <row r="1689" spans="1:17" ht="14.25" x14ac:dyDescent="0.2">
      <c r="A1689" s="183">
        <v>521</v>
      </c>
      <c r="B1689" s="232" t="str">
        <f>IF(AND(A1689&lt;&gt;"",ISNUMBER(A1689)),VLOOKUP(A1689,Studies!A:BR,2,FALSE),"")</f>
        <v>Mouton 2006</v>
      </c>
      <c r="C1689" s="232" t="str">
        <f>IF(AND(A1689&lt;&gt;"",ISNUMBER(A1689)),VLOOKUP(A1689,Studies!A:BR,3,FALSE),"")</f>
        <v>https://www.ncbi.nlm.nih.gov/pubmed/16982783</v>
      </c>
      <c r="D1689" s="232" t="str">
        <f>IF(AND(A1689&lt;&gt;"",ISNUMBER(A1689)),VLOOKUP(A1689,Studies!A:BR,4,FALSE),"")</f>
        <v>SAD_B 100 mg</v>
      </c>
      <c r="E1689" s="206" t="str">
        <f>IF(AND(A1689&lt;&gt;"",ISNUMBER(A1689)),VLOOKUP(A1689,Studies!A:BR,5,FALSE),"")</f>
        <v>Itraconazole</v>
      </c>
      <c r="F1689" s="207" t="str">
        <f>IF(AND(A1689&lt;&gt;"",ISNUMBER(A1689)),VLOOKUP(A1689,Studies!A:BR,6,FALSE),"")</f>
        <v>Plasma</v>
      </c>
      <c r="G1689" s="194">
        <v>24</v>
      </c>
      <c r="H1689" s="194" t="s">
        <v>60</v>
      </c>
      <c r="I1689" s="187">
        <v>44.577836990356445</v>
      </c>
      <c r="J1689" s="187" t="s">
        <v>1026</v>
      </c>
      <c r="K1689" s="187" t="s">
        <v>116</v>
      </c>
      <c r="L1689" s="195"/>
      <c r="M1689" s="195"/>
      <c r="N1689" s="195"/>
      <c r="O1689" s="199"/>
      <c r="P1689" s="188"/>
      <c r="Q1689" s="174">
        <f>IF(ISNUMBER(VLOOKUP(A1689,NotghiID!A:A,1,FALSE)),1,0)</f>
        <v>0</v>
      </c>
    </row>
    <row r="1690" spans="1:17" ht="14.25" x14ac:dyDescent="0.2">
      <c r="A1690" s="183">
        <v>521</v>
      </c>
      <c r="B1690" s="232" t="str">
        <f>IF(AND(A1690&lt;&gt;"",ISNUMBER(A1690)),VLOOKUP(A1690,Studies!A:BR,2,FALSE),"")</f>
        <v>Mouton 2006</v>
      </c>
      <c r="C1690" s="232" t="str">
        <f>IF(AND(A1690&lt;&gt;"",ISNUMBER(A1690)),VLOOKUP(A1690,Studies!A:BR,3,FALSE),"")</f>
        <v>https://www.ncbi.nlm.nih.gov/pubmed/16982783</v>
      </c>
      <c r="D1690" s="232" t="str">
        <f>IF(AND(A1690&lt;&gt;"",ISNUMBER(A1690)),VLOOKUP(A1690,Studies!A:BR,4,FALSE),"")</f>
        <v>SAD_B 100 mg</v>
      </c>
      <c r="E1690" s="206" t="str">
        <f>IF(AND(A1690&lt;&gt;"",ISNUMBER(A1690)),VLOOKUP(A1690,Studies!A:BR,5,FALSE),"")</f>
        <v>Itraconazole</v>
      </c>
      <c r="F1690" s="207" t="str">
        <f>IF(AND(A1690&lt;&gt;"",ISNUMBER(A1690)),VLOOKUP(A1690,Studies!A:BR,6,FALSE),"")</f>
        <v>Plasma</v>
      </c>
      <c r="G1690" s="194">
        <v>32</v>
      </c>
      <c r="H1690" s="194" t="s">
        <v>60</v>
      </c>
      <c r="I1690" s="187">
        <v>33.119719475507736</v>
      </c>
      <c r="J1690" s="187" t="s">
        <v>1026</v>
      </c>
      <c r="K1690" s="187" t="s">
        <v>116</v>
      </c>
      <c r="L1690" s="195"/>
      <c r="M1690" s="195"/>
      <c r="N1690" s="195"/>
      <c r="O1690" s="199"/>
      <c r="P1690" s="188"/>
      <c r="Q1690" s="174">
        <f>IF(ISNUMBER(VLOOKUP(A1690,NotghiID!A:A,1,FALSE)),1,0)</f>
        <v>0</v>
      </c>
    </row>
    <row r="1691" spans="1:17" ht="14.25" x14ac:dyDescent="0.2">
      <c r="A1691" s="183">
        <v>521</v>
      </c>
      <c r="B1691" s="232" t="str">
        <f>IF(AND(A1691&lt;&gt;"",ISNUMBER(A1691)),VLOOKUP(A1691,Studies!A:BR,2,FALSE),"")</f>
        <v>Mouton 2006</v>
      </c>
      <c r="C1691" s="232" t="str">
        <f>IF(AND(A1691&lt;&gt;"",ISNUMBER(A1691)),VLOOKUP(A1691,Studies!A:BR,3,FALSE),"")</f>
        <v>https://www.ncbi.nlm.nih.gov/pubmed/16982783</v>
      </c>
      <c r="D1691" s="232" t="str">
        <f>IF(AND(A1691&lt;&gt;"",ISNUMBER(A1691)),VLOOKUP(A1691,Studies!A:BR,4,FALSE),"")</f>
        <v>SAD_B 100 mg</v>
      </c>
      <c r="E1691" s="206" t="str">
        <f>IF(AND(A1691&lt;&gt;"",ISNUMBER(A1691)),VLOOKUP(A1691,Studies!A:BR,5,FALSE),"")</f>
        <v>Itraconazole</v>
      </c>
      <c r="F1691" s="207" t="str">
        <f>IF(AND(A1691&lt;&gt;"",ISNUMBER(A1691)),VLOOKUP(A1691,Studies!A:BR,6,FALSE),"")</f>
        <v>Plasma</v>
      </c>
      <c r="G1691" s="194">
        <v>48</v>
      </c>
      <c r="H1691" s="194" t="s">
        <v>60</v>
      </c>
      <c r="I1691" s="187">
        <v>21.013868972659111</v>
      </c>
      <c r="J1691" s="187" t="s">
        <v>1026</v>
      </c>
      <c r="K1691" s="187" t="s">
        <v>116</v>
      </c>
      <c r="L1691" s="195"/>
      <c r="M1691" s="195"/>
      <c r="N1691" s="195"/>
      <c r="O1691" s="199"/>
      <c r="P1691" s="188"/>
      <c r="Q1691" s="174">
        <f>IF(ISNUMBER(VLOOKUP(A1691,NotghiID!A:A,1,FALSE)),1,0)</f>
        <v>0</v>
      </c>
    </row>
    <row r="1692" spans="1:17" ht="14.25" x14ac:dyDescent="0.2">
      <c r="A1692" s="183">
        <v>521</v>
      </c>
      <c r="B1692" s="232" t="str">
        <f>IF(AND(A1692&lt;&gt;"",ISNUMBER(A1692)),VLOOKUP(A1692,Studies!A:BR,2,FALSE),"")</f>
        <v>Mouton 2006</v>
      </c>
      <c r="C1692" s="232" t="str">
        <f>IF(AND(A1692&lt;&gt;"",ISNUMBER(A1692)),VLOOKUP(A1692,Studies!A:BR,3,FALSE),"")</f>
        <v>https://www.ncbi.nlm.nih.gov/pubmed/16982783</v>
      </c>
      <c r="D1692" s="232" t="str">
        <f>IF(AND(A1692&lt;&gt;"",ISNUMBER(A1692)),VLOOKUP(A1692,Studies!A:BR,4,FALSE),"")</f>
        <v>SAD_B 100 mg</v>
      </c>
      <c r="E1692" s="206" t="str">
        <f>IF(AND(A1692&lt;&gt;"",ISNUMBER(A1692)),VLOOKUP(A1692,Studies!A:BR,5,FALSE),"")</f>
        <v>Itraconazole</v>
      </c>
      <c r="F1692" s="207" t="str">
        <f>IF(AND(A1692&lt;&gt;"",ISNUMBER(A1692)),VLOOKUP(A1692,Studies!A:BR,6,FALSE),"")</f>
        <v>Plasma</v>
      </c>
      <c r="G1692" s="194">
        <v>72</v>
      </c>
      <c r="H1692" s="194" t="s">
        <v>60</v>
      </c>
      <c r="I1692" s="187">
        <v>11.492360383272171</v>
      </c>
      <c r="J1692" s="187" t="s">
        <v>1026</v>
      </c>
      <c r="K1692" s="187" t="s">
        <v>116</v>
      </c>
      <c r="L1692" s="195"/>
      <c r="M1692" s="195"/>
      <c r="N1692" s="195"/>
      <c r="O1692" s="199"/>
      <c r="P1692" s="188"/>
      <c r="Q1692" s="174">
        <f>IF(ISNUMBER(VLOOKUP(A1692,NotghiID!A:A,1,FALSE)),1,0)</f>
        <v>0</v>
      </c>
    </row>
    <row r="1693" spans="1:17" ht="14.25" x14ac:dyDescent="0.2">
      <c r="A1693" s="183">
        <v>521</v>
      </c>
      <c r="B1693" s="232" t="str">
        <f>IF(AND(A1693&lt;&gt;"",ISNUMBER(A1693)),VLOOKUP(A1693,Studies!A:BR,2,FALSE),"")</f>
        <v>Mouton 2006</v>
      </c>
      <c r="C1693" s="232" t="str">
        <f>IF(AND(A1693&lt;&gt;"",ISNUMBER(A1693)),VLOOKUP(A1693,Studies!A:BR,3,FALSE),"")</f>
        <v>https://www.ncbi.nlm.nih.gov/pubmed/16982783</v>
      </c>
      <c r="D1693" s="232" t="str">
        <f>IF(AND(A1693&lt;&gt;"",ISNUMBER(A1693)),VLOOKUP(A1693,Studies!A:BR,4,FALSE),"")</f>
        <v>SAD_B 100 mg</v>
      </c>
      <c r="E1693" s="206" t="str">
        <f>IF(AND(A1693&lt;&gt;"",ISNUMBER(A1693)),VLOOKUP(A1693,Studies!A:BR,5,FALSE),"")</f>
        <v>Itraconazole</v>
      </c>
      <c r="F1693" s="207" t="str">
        <f>IF(AND(A1693&lt;&gt;"",ISNUMBER(A1693)),VLOOKUP(A1693,Studies!A:BR,6,FALSE),"")</f>
        <v>Plasma</v>
      </c>
      <c r="G1693" s="194">
        <v>96</v>
      </c>
      <c r="H1693" s="194" t="s">
        <v>60</v>
      </c>
      <c r="I1693" s="187">
        <v>7.0913988165557384</v>
      </c>
      <c r="J1693" s="187" t="s">
        <v>1026</v>
      </c>
      <c r="K1693" s="187" t="s">
        <v>116</v>
      </c>
      <c r="L1693" s="195"/>
      <c r="M1693" s="195"/>
      <c r="N1693" s="195"/>
      <c r="O1693" s="199"/>
      <c r="P1693" s="188"/>
      <c r="Q1693" s="174">
        <f>IF(ISNUMBER(VLOOKUP(A1693,NotghiID!A:A,1,FALSE)),1,0)</f>
        <v>0</v>
      </c>
    </row>
    <row r="1694" spans="1:17" ht="14.25" x14ac:dyDescent="0.2">
      <c r="A1694" s="183">
        <v>522</v>
      </c>
      <c r="B1694" s="232" t="str">
        <f>IF(AND(A1694&lt;&gt;"",ISNUMBER(A1694)),VLOOKUP(A1694,Studies!A:BR,2,FALSE),"")</f>
        <v>Mouton 2006</v>
      </c>
      <c r="C1694" s="232" t="str">
        <f>IF(AND(A1694&lt;&gt;"",ISNUMBER(A1694)),VLOOKUP(A1694,Studies!A:BR,3,FALSE),"")</f>
        <v>https://www.ncbi.nlm.nih.gov/pubmed/16982783</v>
      </c>
      <c r="D1694" s="232" t="str">
        <f>IF(AND(A1694&lt;&gt;"",ISNUMBER(A1694)),VLOOKUP(A1694,Studies!A:BR,4,FALSE),"")</f>
        <v>SAD_A 200 mg</v>
      </c>
      <c r="E1694" s="206" t="str">
        <f>IF(AND(A1694&lt;&gt;"",ISNUMBER(A1694)),VLOOKUP(A1694,Studies!A:BR,5,FALSE),"")</f>
        <v>Itraconazole</v>
      </c>
      <c r="F1694" s="207" t="str">
        <f>IF(AND(A1694&lt;&gt;"",ISNUMBER(A1694)),VLOOKUP(A1694,Studies!A:BR,6,FALSE),"")</f>
        <v>Plasma</v>
      </c>
      <c r="G1694" s="194">
        <v>0.5</v>
      </c>
      <c r="H1694" s="194" t="s">
        <v>60</v>
      </c>
      <c r="I1694" s="187">
        <v>2802.2451400756836</v>
      </c>
      <c r="J1694" s="187" t="s">
        <v>1026</v>
      </c>
      <c r="K1694" s="187" t="s">
        <v>116</v>
      </c>
      <c r="L1694" s="195"/>
      <c r="M1694" s="195"/>
      <c r="N1694" s="195"/>
      <c r="O1694" s="199"/>
      <c r="P1694" s="188"/>
      <c r="Q1694" s="174">
        <f>IF(ISNUMBER(VLOOKUP(A1694,NotghiID!A:A,1,FALSE)),1,0)</f>
        <v>0</v>
      </c>
    </row>
    <row r="1695" spans="1:17" ht="14.25" x14ac:dyDescent="0.2">
      <c r="A1695" s="183">
        <v>522</v>
      </c>
      <c r="B1695" s="232" t="str">
        <f>IF(AND(A1695&lt;&gt;"",ISNUMBER(A1695)),VLOOKUP(A1695,Studies!A:BR,2,FALSE),"")</f>
        <v>Mouton 2006</v>
      </c>
      <c r="C1695" s="232" t="str">
        <f>IF(AND(A1695&lt;&gt;"",ISNUMBER(A1695)),VLOOKUP(A1695,Studies!A:BR,3,FALSE),"")</f>
        <v>https://www.ncbi.nlm.nih.gov/pubmed/16982783</v>
      </c>
      <c r="D1695" s="232" t="str">
        <f>IF(AND(A1695&lt;&gt;"",ISNUMBER(A1695)),VLOOKUP(A1695,Studies!A:BR,4,FALSE),"")</f>
        <v>SAD_A 200 mg</v>
      </c>
      <c r="E1695" s="206" t="str">
        <f>IF(AND(A1695&lt;&gt;"",ISNUMBER(A1695)),VLOOKUP(A1695,Studies!A:BR,5,FALSE),"")</f>
        <v>Itraconazole</v>
      </c>
      <c r="F1695" s="207" t="str">
        <f>IF(AND(A1695&lt;&gt;"",ISNUMBER(A1695)),VLOOKUP(A1695,Studies!A:BR,6,FALSE),"")</f>
        <v>Plasma</v>
      </c>
      <c r="G1695" s="194">
        <v>1</v>
      </c>
      <c r="H1695" s="194" t="s">
        <v>60</v>
      </c>
      <c r="I1695" s="187">
        <v>5076.5728950500488</v>
      </c>
      <c r="J1695" s="187" t="s">
        <v>1026</v>
      </c>
      <c r="K1695" s="187" t="s">
        <v>116</v>
      </c>
      <c r="L1695" s="195"/>
      <c r="M1695" s="195"/>
      <c r="N1695" s="195"/>
      <c r="O1695" s="199"/>
      <c r="P1695" s="188"/>
      <c r="Q1695" s="174">
        <f>IF(ISNUMBER(VLOOKUP(A1695,NotghiID!A:A,1,FALSE)),1,0)</f>
        <v>0</v>
      </c>
    </row>
    <row r="1696" spans="1:17" ht="14.25" x14ac:dyDescent="0.2">
      <c r="A1696" s="183">
        <v>522</v>
      </c>
      <c r="B1696" s="232" t="str">
        <f>IF(AND(A1696&lt;&gt;"",ISNUMBER(A1696)),VLOOKUP(A1696,Studies!A:BR,2,FALSE),"")</f>
        <v>Mouton 2006</v>
      </c>
      <c r="C1696" s="232" t="str">
        <f>IF(AND(A1696&lt;&gt;"",ISNUMBER(A1696)),VLOOKUP(A1696,Studies!A:BR,3,FALSE),"")</f>
        <v>https://www.ncbi.nlm.nih.gov/pubmed/16982783</v>
      </c>
      <c r="D1696" s="232" t="str">
        <f>IF(AND(A1696&lt;&gt;"",ISNUMBER(A1696)),VLOOKUP(A1696,Studies!A:BR,4,FALSE),"")</f>
        <v>SAD_A 200 mg</v>
      </c>
      <c r="E1696" s="206" t="str">
        <f>IF(AND(A1696&lt;&gt;"",ISNUMBER(A1696)),VLOOKUP(A1696,Studies!A:BR,5,FALSE),"")</f>
        <v>Itraconazole</v>
      </c>
      <c r="F1696" s="207" t="str">
        <f>IF(AND(A1696&lt;&gt;"",ISNUMBER(A1696)),VLOOKUP(A1696,Studies!A:BR,6,FALSE),"")</f>
        <v>Plasma</v>
      </c>
      <c r="G1696" s="194">
        <v>1.08</v>
      </c>
      <c r="H1696" s="194" t="s">
        <v>60</v>
      </c>
      <c r="I1696" s="187">
        <v>4335.3309631347656</v>
      </c>
      <c r="J1696" s="187" t="s">
        <v>1026</v>
      </c>
      <c r="K1696" s="187" t="s">
        <v>116</v>
      </c>
      <c r="L1696" s="195"/>
      <c r="M1696" s="195"/>
      <c r="N1696" s="195"/>
      <c r="O1696" s="199"/>
      <c r="P1696" s="188"/>
      <c r="Q1696" s="174">
        <f>IF(ISNUMBER(VLOOKUP(A1696,NotghiID!A:A,1,FALSE)),1,0)</f>
        <v>0</v>
      </c>
    </row>
    <row r="1697" spans="1:17" ht="14.25" x14ac:dyDescent="0.2">
      <c r="A1697" s="183">
        <v>522</v>
      </c>
      <c r="B1697" s="232" t="str">
        <f>IF(AND(A1697&lt;&gt;"",ISNUMBER(A1697)),VLOOKUP(A1697,Studies!A:BR,2,FALSE),"")</f>
        <v>Mouton 2006</v>
      </c>
      <c r="C1697" s="232" t="str">
        <f>IF(AND(A1697&lt;&gt;"",ISNUMBER(A1697)),VLOOKUP(A1697,Studies!A:BR,3,FALSE),"")</f>
        <v>https://www.ncbi.nlm.nih.gov/pubmed/16982783</v>
      </c>
      <c r="D1697" s="232" t="str">
        <f>IF(AND(A1697&lt;&gt;"",ISNUMBER(A1697)),VLOOKUP(A1697,Studies!A:BR,4,FALSE),"")</f>
        <v>SAD_A 200 mg</v>
      </c>
      <c r="E1697" s="206" t="str">
        <f>IF(AND(A1697&lt;&gt;"",ISNUMBER(A1697)),VLOOKUP(A1697,Studies!A:BR,5,FALSE),"")</f>
        <v>Itraconazole</v>
      </c>
      <c r="F1697" s="207" t="str">
        <f>IF(AND(A1697&lt;&gt;"",ISNUMBER(A1697)),VLOOKUP(A1697,Studies!A:BR,6,FALSE),"")</f>
        <v>Plasma</v>
      </c>
      <c r="G1697" s="194">
        <v>1.25</v>
      </c>
      <c r="H1697" s="194" t="s">
        <v>60</v>
      </c>
      <c r="I1697" s="187">
        <v>1879.8320293426514</v>
      </c>
      <c r="J1697" s="187" t="s">
        <v>1026</v>
      </c>
      <c r="K1697" s="187" t="s">
        <v>116</v>
      </c>
      <c r="L1697" s="195"/>
      <c r="M1697" s="195"/>
      <c r="N1697" s="195"/>
      <c r="O1697" s="199"/>
      <c r="P1697" s="188"/>
      <c r="Q1697" s="174">
        <f>IF(ISNUMBER(VLOOKUP(A1697,NotghiID!A:A,1,FALSE)),1,0)</f>
        <v>0</v>
      </c>
    </row>
    <row r="1698" spans="1:17" ht="14.25" x14ac:dyDescent="0.2">
      <c r="A1698" s="183">
        <v>522</v>
      </c>
      <c r="B1698" s="232" t="str">
        <f>IF(AND(A1698&lt;&gt;"",ISNUMBER(A1698)),VLOOKUP(A1698,Studies!A:BR,2,FALSE),"")</f>
        <v>Mouton 2006</v>
      </c>
      <c r="C1698" s="232" t="str">
        <f>IF(AND(A1698&lt;&gt;"",ISNUMBER(A1698)),VLOOKUP(A1698,Studies!A:BR,3,FALSE),"")</f>
        <v>https://www.ncbi.nlm.nih.gov/pubmed/16982783</v>
      </c>
      <c r="D1698" s="232" t="str">
        <f>IF(AND(A1698&lt;&gt;"",ISNUMBER(A1698)),VLOOKUP(A1698,Studies!A:BR,4,FALSE),"")</f>
        <v>SAD_A 200 mg</v>
      </c>
      <c r="E1698" s="206" t="str">
        <f>IF(AND(A1698&lt;&gt;"",ISNUMBER(A1698)),VLOOKUP(A1698,Studies!A:BR,5,FALSE),"")</f>
        <v>Itraconazole</v>
      </c>
      <c r="F1698" s="207" t="str">
        <f>IF(AND(A1698&lt;&gt;"",ISNUMBER(A1698)),VLOOKUP(A1698,Studies!A:BR,6,FALSE),"")</f>
        <v>Plasma</v>
      </c>
      <c r="G1698" s="194">
        <v>1.5</v>
      </c>
      <c r="H1698" s="194" t="s">
        <v>60</v>
      </c>
      <c r="I1698" s="187">
        <v>845.95018625259399</v>
      </c>
      <c r="J1698" s="187" t="s">
        <v>1026</v>
      </c>
      <c r="K1698" s="187" t="s">
        <v>116</v>
      </c>
      <c r="L1698" s="195"/>
      <c r="M1698" s="195"/>
      <c r="N1698" s="195"/>
      <c r="O1698" s="199"/>
      <c r="P1698" s="188"/>
      <c r="Q1698" s="174">
        <f>IF(ISNUMBER(VLOOKUP(A1698,NotghiID!A:A,1,FALSE)),1,0)</f>
        <v>0</v>
      </c>
    </row>
    <row r="1699" spans="1:17" ht="14.25" x14ac:dyDescent="0.2">
      <c r="A1699" s="183">
        <v>522</v>
      </c>
      <c r="B1699" s="232" t="str">
        <f>IF(AND(A1699&lt;&gt;"",ISNUMBER(A1699)),VLOOKUP(A1699,Studies!A:BR,2,FALSE),"")</f>
        <v>Mouton 2006</v>
      </c>
      <c r="C1699" s="232" t="str">
        <f>IF(AND(A1699&lt;&gt;"",ISNUMBER(A1699)),VLOOKUP(A1699,Studies!A:BR,3,FALSE),"")</f>
        <v>https://www.ncbi.nlm.nih.gov/pubmed/16982783</v>
      </c>
      <c r="D1699" s="232" t="str">
        <f>IF(AND(A1699&lt;&gt;"",ISNUMBER(A1699)),VLOOKUP(A1699,Studies!A:BR,4,FALSE),"")</f>
        <v>SAD_A 200 mg</v>
      </c>
      <c r="E1699" s="206" t="str">
        <f>IF(AND(A1699&lt;&gt;"",ISNUMBER(A1699)),VLOOKUP(A1699,Studies!A:BR,5,FALSE),"")</f>
        <v>Itraconazole</v>
      </c>
      <c r="F1699" s="207" t="str">
        <f>IF(AND(A1699&lt;&gt;"",ISNUMBER(A1699)),VLOOKUP(A1699,Studies!A:BR,6,FALSE),"")</f>
        <v>Plasma</v>
      </c>
      <c r="G1699" s="194">
        <v>2</v>
      </c>
      <c r="H1699" s="194" t="s">
        <v>60</v>
      </c>
      <c r="I1699" s="187">
        <v>622.70200252532959</v>
      </c>
      <c r="J1699" s="187" t="s">
        <v>1026</v>
      </c>
      <c r="K1699" s="187" t="s">
        <v>116</v>
      </c>
      <c r="L1699" s="195"/>
      <c r="M1699" s="195"/>
      <c r="N1699" s="195"/>
      <c r="O1699" s="199"/>
      <c r="P1699" s="188"/>
      <c r="Q1699" s="174">
        <f>IF(ISNUMBER(VLOOKUP(A1699,NotghiID!A:A,1,FALSE)),1,0)</f>
        <v>0</v>
      </c>
    </row>
    <row r="1700" spans="1:17" ht="14.25" x14ac:dyDescent="0.2">
      <c r="A1700" s="183">
        <v>522</v>
      </c>
      <c r="B1700" s="232" t="str">
        <f>IF(AND(A1700&lt;&gt;"",ISNUMBER(A1700)),VLOOKUP(A1700,Studies!A:BR,2,FALSE),"")</f>
        <v>Mouton 2006</v>
      </c>
      <c r="C1700" s="232" t="str">
        <f>IF(AND(A1700&lt;&gt;"",ISNUMBER(A1700)),VLOOKUP(A1700,Studies!A:BR,3,FALSE),"")</f>
        <v>https://www.ncbi.nlm.nih.gov/pubmed/16982783</v>
      </c>
      <c r="D1700" s="232" t="str">
        <f>IF(AND(A1700&lt;&gt;"",ISNUMBER(A1700)),VLOOKUP(A1700,Studies!A:BR,4,FALSE),"")</f>
        <v>SAD_A 200 mg</v>
      </c>
      <c r="E1700" s="206" t="str">
        <f>IF(AND(A1700&lt;&gt;"",ISNUMBER(A1700)),VLOOKUP(A1700,Studies!A:BR,5,FALSE),"")</f>
        <v>Itraconazole</v>
      </c>
      <c r="F1700" s="207" t="str">
        <f>IF(AND(A1700&lt;&gt;"",ISNUMBER(A1700)),VLOOKUP(A1700,Studies!A:BR,6,FALSE),"")</f>
        <v>Plasma</v>
      </c>
      <c r="G1700" s="194">
        <v>3</v>
      </c>
      <c r="H1700" s="194" t="s">
        <v>60</v>
      </c>
      <c r="I1700" s="187">
        <v>512.39258050918579</v>
      </c>
      <c r="J1700" s="187" t="s">
        <v>1026</v>
      </c>
      <c r="K1700" s="187" t="s">
        <v>116</v>
      </c>
      <c r="L1700" s="195"/>
      <c r="M1700" s="195"/>
      <c r="N1700" s="195"/>
      <c r="O1700" s="199"/>
      <c r="P1700" s="188"/>
      <c r="Q1700" s="174">
        <f>IF(ISNUMBER(VLOOKUP(A1700,NotghiID!A:A,1,FALSE)),1,0)</f>
        <v>0</v>
      </c>
    </row>
    <row r="1701" spans="1:17" ht="14.25" x14ac:dyDescent="0.2">
      <c r="A1701" s="183">
        <v>522</v>
      </c>
      <c r="B1701" s="232" t="str">
        <f>IF(AND(A1701&lt;&gt;"",ISNUMBER(A1701)),VLOOKUP(A1701,Studies!A:BR,2,FALSE),"")</f>
        <v>Mouton 2006</v>
      </c>
      <c r="C1701" s="232" t="str">
        <f>IF(AND(A1701&lt;&gt;"",ISNUMBER(A1701)),VLOOKUP(A1701,Studies!A:BR,3,FALSE),"")</f>
        <v>https://www.ncbi.nlm.nih.gov/pubmed/16982783</v>
      </c>
      <c r="D1701" s="232" t="str">
        <f>IF(AND(A1701&lt;&gt;"",ISNUMBER(A1701)),VLOOKUP(A1701,Studies!A:BR,4,FALSE),"")</f>
        <v>SAD_A 200 mg</v>
      </c>
      <c r="E1701" s="206" t="str">
        <f>IF(AND(A1701&lt;&gt;"",ISNUMBER(A1701)),VLOOKUP(A1701,Studies!A:BR,5,FALSE),"")</f>
        <v>Itraconazole</v>
      </c>
      <c r="F1701" s="207" t="str">
        <f>IF(AND(A1701&lt;&gt;"",ISNUMBER(A1701)),VLOOKUP(A1701,Studies!A:BR,6,FALSE),"")</f>
        <v>Plasma</v>
      </c>
      <c r="G1701" s="194">
        <v>4</v>
      </c>
      <c r="H1701" s="194" t="s">
        <v>60</v>
      </c>
      <c r="I1701" s="187">
        <v>425.55701732635498</v>
      </c>
      <c r="J1701" s="187" t="s">
        <v>1026</v>
      </c>
      <c r="K1701" s="187" t="s">
        <v>116</v>
      </c>
      <c r="L1701" s="195"/>
      <c r="M1701" s="195"/>
      <c r="N1701" s="195"/>
      <c r="O1701" s="199"/>
      <c r="P1701" s="188"/>
      <c r="Q1701" s="174">
        <f>IF(ISNUMBER(VLOOKUP(A1701,NotghiID!A:A,1,FALSE)),1,0)</f>
        <v>0</v>
      </c>
    </row>
    <row r="1702" spans="1:17" ht="14.25" x14ac:dyDescent="0.2">
      <c r="A1702" s="183">
        <v>522</v>
      </c>
      <c r="B1702" s="232" t="str">
        <f>IF(AND(A1702&lt;&gt;"",ISNUMBER(A1702)),VLOOKUP(A1702,Studies!A:BR,2,FALSE),"")</f>
        <v>Mouton 2006</v>
      </c>
      <c r="C1702" s="232" t="str">
        <f>IF(AND(A1702&lt;&gt;"",ISNUMBER(A1702)),VLOOKUP(A1702,Studies!A:BR,3,FALSE),"")</f>
        <v>https://www.ncbi.nlm.nih.gov/pubmed/16982783</v>
      </c>
      <c r="D1702" s="232" t="str">
        <f>IF(AND(A1702&lt;&gt;"",ISNUMBER(A1702)),VLOOKUP(A1702,Studies!A:BR,4,FALSE),"")</f>
        <v>SAD_A 200 mg</v>
      </c>
      <c r="E1702" s="206" t="str">
        <f>IF(AND(A1702&lt;&gt;"",ISNUMBER(A1702)),VLOOKUP(A1702,Studies!A:BR,5,FALSE),"")</f>
        <v>Itraconazole</v>
      </c>
      <c r="F1702" s="207" t="str">
        <f>IF(AND(A1702&lt;&gt;"",ISNUMBER(A1702)),VLOOKUP(A1702,Studies!A:BR,6,FALSE),"")</f>
        <v>Plasma</v>
      </c>
      <c r="G1702" s="194">
        <v>5</v>
      </c>
      <c r="H1702" s="194" t="s">
        <v>60</v>
      </c>
      <c r="I1702" s="187">
        <v>398.77870678901672</v>
      </c>
      <c r="J1702" s="187" t="s">
        <v>1026</v>
      </c>
      <c r="K1702" s="187" t="s">
        <v>116</v>
      </c>
      <c r="L1702" s="195"/>
      <c r="M1702" s="195"/>
      <c r="N1702" s="195"/>
      <c r="O1702" s="199"/>
      <c r="P1702" s="188"/>
      <c r="Q1702" s="174">
        <f>IF(ISNUMBER(VLOOKUP(A1702,NotghiID!A:A,1,FALSE)),1,0)</f>
        <v>0</v>
      </c>
    </row>
    <row r="1703" spans="1:17" ht="14.25" x14ac:dyDescent="0.2">
      <c r="A1703" s="183">
        <v>522</v>
      </c>
      <c r="B1703" s="232" t="str">
        <f>IF(AND(A1703&lt;&gt;"",ISNUMBER(A1703)),VLOOKUP(A1703,Studies!A:BR,2,FALSE),"")</f>
        <v>Mouton 2006</v>
      </c>
      <c r="C1703" s="232" t="str">
        <f>IF(AND(A1703&lt;&gt;"",ISNUMBER(A1703)),VLOOKUP(A1703,Studies!A:BR,3,FALSE),"")</f>
        <v>https://www.ncbi.nlm.nih.gov/pubmed/16982783</v>
      </c>
      <c r="D1703" s="232" t="str">
        <f>IF(AND(A1703&lt;&gt;"",ISNUMBER(A1703)),VLOOKUP(A1703,Studies!A:BR,4,FALSE),"")</f>
        <v>SAD_A 200 mg</v>
      </c>
      <c r="E1703" s="206" t="str">
        <f>IF(AND(A1703&lt;&gt;"",ISNUMBER(A1703)),VLOOKUP(A1703,Studies!A:BR,5,FALSE),"")</f>
        <v>Itraconazole</v>
      </c>
      <c r="F1703" s="207" t="str">
        <f>IF(AND(A1703&lt;&gt;"",ISNUMBER(A1703)),VLOOKUP(A1703,Studies!A:BR,6,FALSE),"")</f>
        <v>Plasma</v>
      </c>
      <c r="G1703" s="194">
        <v>7</v>
      </c>
      <c r="H1703" s="194" t="s">
        <v>60</v>
      </c>
      <c r="I1703" s="187">
        <v>334.28660035133362</v>
      </c>
      <c r="J1703" s="187" t="s">
        <v>1026</v>
      </c>
      <c r="K1703" s="187" t="s">
        <v>116</v>
      </c>
      <c r="L1703" s="195"/>
      <c r="M1703" s="195"/>
      <c r="N1703" s="195"/>
      <c r="O1703" s="199"/>
      <c r="P1703" s="188"/>
      <c r="Q1703" s="174">
        <f>IF(ISNUMBER(VLOOKUP(A1703,NotghiID!A:A,1,FALSE)),1,0)</f>
        <v>0</v>
      </c>
    </row>
    <row r="1704" spans="1:17" ht="14.25" x14ac:dyDescent="0.2">
      <c r="A1704" s="183">
        <v>522</v>
      </c>
      <c r="B1704" s="232" t="str">
        <f>IF(AND(A1704&lt;&gt;"",ISNUMBER(A1704)),VLOOKUP(A1704,Studies!A:BR,2,FALSE),"")</f>
        <v>Mouton 2006</v>
      </c>
      <c r="C1704" s="232" t="str">
        <f>IF(AND(A1704&lt;&gt;"",ISNUMBER(A1704)),VLOOKUP(A1704,Studies!A:BR,3,FALSE),"")</f>
        <v>https://www.ncbi.nlm.nih.gov/pubmed/16982783</v>
      </c>
      <c r="D1704" s="232" t="str">
        <f>IF(AND(A1704&lt;&gt;"",ISNUMBER(A1704)),VLOOKUP(A1704,Studies!A:BR,4,FALSE),"")</f>
        <v>SAD_A 200 mg</v>
      </c>
      <c r="E1704" s="206" t="str">
        <f>IF(AND(A1704&lt;&gt;"",ISNUMBER(A1704)),VLOOKUP(A1704,Studies!A:BR,5,FALSE),"")</f>
        <v>Itraconazole</v>
      </c>
      <c r="F1704" s="207" t="str">
        <f>IF(AND(A1704&lt;&gt;"",ISNUMBER(A1704)),VLOOKUP(A1704,Studies!A:BR,6,FALSE),"")</f>
        <v>Plasma</v>
      </c>
      <c r="G1704" s="194">
        <v>9</v>
      </c>
      <c r="H1704" s="194" t="s">
        <v>60</v>
      </c>
      <c r="I1704" s="187">
        <v>282.83840417861938</v>
      </c>
      <c r="J1704" s="187" t="s">
        <v>1026</v>
      </c>
      <c r="K1704" s="187" t="s">
        <v>116</v>
      </c>
      <c r="L1704" s="195"/>
      <c r="M1704" s="195"/>
      <c r="N1704" s="195"/>
      <c r="O1704" s="199"/>
      <c r="P1704" s="188"/>
      <c r="Q1704" s="174">
        <f>IF(ISNUMBER(VLOOKUP(A1704,NotghiID!A:A,1,FALSE)),1,0)</f>
        <v>0</v>
      </c>
    </row>
    <row r="1705" spans="1:17" ht="14.25" x14ac:dyDescent="0.2">
      <c r="A1705" s="183">
        <v>522</v>
      </c>
      <c r="B1705" s="232" t="str">
        <f>IF(AND(A1705&lt;&gt;"",ISNUMBER(A1705)),VLOOKUP(A1705,Studies!A:BR,2,FALSE),"")</f>
        <v>Mouton 2006</v>
      </c>
      <c r="C1705" s="232" t="str">
        <f>IF(AND(A1705&lt;&gt;"",ISNUMBER(A1705)),VLOOKUP(A1705,Studies!A:BR,3,FALSE),"")</f>
        <v>https://www.ncbi.nlm.nih.gov/pubmed/16982783</v>
      </c>
      <c r="D1705" s="232" t="str">
        <f>IF(AND(A1705&lt;&gt;"",ISNUMBER(A1705)),VLOOKUP(A1705,Studies!A:BR,4,FALSE),"")</f>
        <v>SAD_A 200 mg</v>
      </c>
      <c r="E1705" s="206" t="str">
        <f>IF(AND(A1705&lt;&gt;"",ISNUMBER(A1705)),VLOOKUP(A1705,Studies!A:BR,5,FALSE),"")</f>
        <v>Itraconazole</v>
      </c>
      <c r="F1705" s="207" t="str">
        <f>IF(AND(A1705&lt;&gt;"",ISNUMBER(A1705)),VLOOKUP(A1705,Studies!A:BR,6,FALSE),"")</f>
        <v>Plasma</v>
      </c>
      <c r="G1705" s="194">
        <v>24</v>
      </c>
      <c r="H1705" s="194" t="s">
        <v>60</v>
      </c>
      <c r="I1705" s="187">
        <v>118.16970258951187</v>
      </c>
      <c r="J1705" s="187" t="s">
        <v>1026</v>
      </c>
      <c r="K1705" s="187" t="s">
        <v>116</v>
      </c>
      <c r="L1705" s="195"/>
      <c r="M1705" s="195"/>
      <c r="N1705" s="195"/>
      <c r="O1705" s="199"/>
      <c r="P1705" s="188"/>
      <c r="Q1705" s="174">
        <f>IF(ISNUMBER(VLOOKUP(A1705,NotghiID!A:A,1,FALSE)),1,0)</f>
        <v>0</v>
      </c>
    </row>
    <row r="1706" spans="1:17" ht="14.25" x14ac:dyDescent="0.2">
      <c r="A1706" s="183">
        <v>522</v>
      </c>
      <c r="B1706" s="232" t="str">
        <f>IF(AND(A1706&lt;&gt;"",ISNUMBER(A1706)),VLOOKUP(A1706,Studies!A:BR,2,FALSE),"")</f>
        <v>Mouton 2006</v>
      </c>
      <c r="C1706" s="232" t="str">
        <f>IF(AND(A1706&lt;&gt;"",ISNUMBER(A1706)),VLOOKUP(A1706,Studies!A:BR,3,FALSE),"")</f>
        <v>https://www.ncbi.nlm.nih.gov/pubmed/16982783</v>
      </c>
      <c r="D1706" s="232" t="str">
        <f>IF(AND(A1706&lt;&gt;"",ISNUMBER(A1706)),VLOOKUP(A1706,Studies!A:BR,4,FALSE),"")</f>
        <v>SAD_A 200 mg</v>
      </c>
      <c r="E1706" s="206" t="str">
        <f>IF(AND(A1706&lt;&gt;"",ISNUMBER(A1706)),VLOOKUP(A1706,Studies!A:BR,5,FALSE),"")</f>
        <v>Itraconazole</v>
      </c>
      <c r="F1706" s="207" t="str">
        <f>IF(AND(A1706&lt;&gt;"",ISNUMBER(A1706)),VLOOKUP(A1706,Studies!A:BR,6,FALSE),"")</f>
        <v>Plasma</v>
      </c>
      <c r="G1706" s="194">
        <v>32</v>
      </c>
      <c r="H1706" s="194" t="s">
        <v>60</v>
      </c>
      <c r="I1706" s="187">
        <v>76.381810009479523</v>
      </c>
      <c r="J1706" s="187" t="s">
        <v>1026</v>
      </c>
      <c r="K1706" s="187" t="s">
        <v>116</v>
      </c>
      <c r="L1706" s="195"/>
      <c r="M1706" s="195"/>
      <c r="N1706" s="195"/>
      <c r="O1706" s="199"/>
      <c r="P1706" s="188"/>
      <c r="Q1706" s="174">
        <f>IF(ISNUMBER(VLOOKUP(A1706,NotghiID!A:A,1,FALSE)),1,0)</f>
        <v>0</v>
      </c>
    </row>
    <row r="1707" spans="1:17" ht="14.25" x14ac:dyDescent="0.2">
      <c r="A1707" s="183">
        <v>522</v>
      </c>
      <c r="B1707" s="232" t="str">
        <f>IF(AND(A1707&lt;&gt;"",ISNUMBER(A1707)),VLOOKUP(A1707,Studies!A:BR,2,FALSE),"")</f>
        <v>Mouton 2006</v>
      </c>
      <c r="C1707" s="232" t="str">
        <f>IF(AND(A1707&lt;&gt;"",ISNUMBER(A1707)),VLOOKUP(A1707,Studies!A:BR,3,FALSE),"")</f>
        <v>https://www.ncbi.nlm.nih.gov/pubmed/16982783</v>
      </c>
      <c r="D1707" s="232" t="str">
        <f>IF(AND(A1707&lt;&gt;"",ISNUMBER(A1707)),VLOOKUP(A1707,Studies!A:BR,4,FALSE),"")</f>
        <v>SAD_A 200 mg</v>
      </c>
      <c r="E1707" s="206" t="str">
        <f>IF(AND(A1707&lt;&gt;"",ISNUMBER(A1707)),VLOOKUP(A1707,Studies!A:BR,5,FALSE),"")</f>
        <v>Itraconazole</v>
      </c>
      <c r="F1707" s="207" t="str">
        <f>IF(AND(A1707&lt;&gt;"",ISNUMBER(A1707)),VLOOKUP(A1707,Studies!A:BR,6,FALSE),"")</f>
        <v>Plasma</v>
      </c>
      <c r="G1707" s="194">
        <v>48</v>
      </c>
      <c r="H1707" s="194" t="s">
        <v>60</v>
      </c>
      <c r="I1707" s="187">
        <v>48.914942890405655</v>
      </c>
      <c r="J1707" s="187" t="s">
        <v>1026</v>
      </c>
      <c r="K1707" s="187" t="s">
        <v>116</v>
      </c>
      <c r="L1707" s="195"/>
      <c r="M1707" s="195"/>
      <c r="N1707" s="195"/>
      <c r="O1707" s="199"/>
      <c r="P1707" s="188"/>
      <c r="Q1707" s="174">
        <f>IF(ISNUMBER(VLOOKUP(A1707,NotghiID!A:A,1,FALSE)),1,0)</f>
        <v>0</v>
      </c>
    </row>
    <row r="1708" spans="1:17" ht="14.25" x14ac:dyDescent="0.2">
      <c r="A1708" s="183">
        <v>522</v>
      </c>
      <c r="B1708" s="232" t="str">
        <f>IF(AND(A1708&lt;&gt;"",ISNUMBER(A1708)),VLOOKUP(A1708,Studies!A:BR,2,FALSE),"")</f>
        <v>Mouton 2006</v>
      </c>
      <c r="C1708" s="232" t="str">
        <f>IF(AND(A1708&lt;&gt;"",ISNUMBER(A1708)),VLOOKUP(A1708,Studies!A:BR,3,FALSE),"")</f>
        <v>https://www.ncbi.nlm.nih.gov/pubmed/16982783</v>
      </c>
      <c r="D1708" s="232" t="str">
        <f>IF(AND(A1708&lt;&gt;"",ISNUMBER(A1708)),VLOOKUP(A1708,Studies!A:BR,4,FALSE),"")</f>
        <v>SAD_A 200 mg</v>
      </c>
      <c r="E1708" s="206" t="str">
        <f>IF(AND(A1708&lt;&gt;"",ISNUMBER(A1708)),VLOOKUP(A1708,Studies!A:BR,5,FALSE),"")</f>
        <v>Itraconazole</v>
      </c>
      <c r="F1708" s="207" t="str">
        <f>IF(AND(A1708&lt;&gt;"",ISNUMBER(A1708)),VLOOKUP(A1708,Studies!A:BR,6,FALSE),"")</f>
        <v>Plasma</v>
      </c>
      <c r="G1708" s="194">
        <v>72</v>
      </c>
      <c r="H1708" s="194" t="s">
        <v>60</v>
      </c>
      <c r="I1708" s="187">
        <v>24.379350244998932</v>
      </c>
      <c r="J1708" s="187" t="s">
        <v>1026</v>
      </c>
      <c r="K1708" s="187" t="s">
        <v>116</v>
      </c>
      <c r="L1708" s="195"/>
      <c r="M1708" s="195"/>
      <c r="N1708" s="195"/>
      <c r="O1708" s="199"/>
      <c r="P1708" s="188"/>
      <c r="Q1708" s="174">
        <f>IF(ISNUMBER(VLOOKUP(A1708,NotghiID!A:A,1,FALSE)),1,0)</f>
        <v>0</v>
      </c>
    </row>
    <row r="1709" spans="1:17" ht="14.25" x14ac:dyDescent="0.2">
      <c r="A1709" s="183">
        <v>522</v>
      </c>
      <c r="B1709" s="232" t="str">
        <f>IF(AND(A1709&lt;&gt;"",ISNUMBER(A1709)),VLOOKUP(A1709,Studies!A:BR,2,FALSE),"")</f>
        <v>Mouton 2006</v>
      </c>
      <c r="C1709" s="232" t="str">
        <f>IF(AND(A1709&lt;&gt;"",ISNUMBER(A1709)),VLOOKUP(A1709,Studies!A:BR,3,FALSE),"")</f>
        <v>https://www.ncbi.nlm.nih.gov/pubmed/16982783</v>
      </c>
      <c r="D1709" s="232" t="str">
        <f>IF(AND(A1709&lt;&gt;"",ISNUMBER(A1709)),VLOOKUP(A1709,Studies!A:BR,4,FALSE),"")</f>
        <v>SAD_A 200 mg</v>
      </c>
      <c r="E1709" s="206" t="str">
        <f>IF(AND(A1709&lt;&gt;"",ISNUMBER(A1709)),VLOOKUP(A1709,Studies!A:BR,5,FALSE),"")</f>
        <v>Itraconazole</v>
      </c>
      <c r="F1709" s="207" t="str">
        <f>IF(AND(A1709&lt;&gt;"",ISNUMBER(A1709)),VLOOKUP(A1709,Studies!A:BR,6,FALSE),"")</f>
        <v>Plasma</v>
      </c>
      <c r="G1709" s="194">
        <v>96</v>
      </c>
      <c r="H1709" s="194" t="s">
        <v>60</v>
      </c>
      <c r="I1709" s="187">
        <v>12.966680340468884</v>
      </c>
      <c r="J1709" s="187" t="s">
        <v>1026</v>
      </c>
      <c r="K1709" s="187" t="s">
        <v>116</v>
      </c>
      <c r="L1709" s="195"/>
      <c r="M1709" s="195"/>
      <c r="N1709" s="195"/>
      <c r="O1709" s="199"/>
      <c r="P1709" s="188"/>
      <c r="Q1709" s="174">
        <f>IF(ISNUMBER(VLOOKUP(A1709,NotghiID!A:A,1,FALSE)),1,0)</f>
        <v>0</v>
      </c>
    </row>
    <row r="1710" spans="1:17" ht="14.25" x14ac:dyDescent="0.2">
      <c r="A1710" s="183">
        <v>523</v>
      </c>
      <c r="B1710" s="232" t="str">
        <f>IF(AND(A1710&lt;&gt;"",ISNUMBER(A1710)),VLOOKUP(A1710,Studies!A:BR,2,FALSE),"")</f>
        <v>Mouton 2006</v>
      </c>
      <c r="C1710" s="232" t="str">
        <f>IF(AND(A1710&lt;&gt;"",ISNUMBER(A1710)),VLOOKUP(A1710,Studies!A:BR,3,FALSE),"")</f>
        <v>https://www.ncbi.nlm.nih.gov/pubmed/16982783</v>
      </c>
      <c r="D1710" s="232" t="str">
        <f>IF(AND(A1710&lt;&gt;"",ISNUMBER(A1710)),VLOOKUP(A1710,Studies!A:BR,4,FALSE),"")</f>
        <v>SAD_B 300 mg</v>
      </c>
      <c r="E1710" s="206" t="str">
        <f>IF(AND(A1710&lt;&gt;"",ISNUMBER(A1710)),VLOOKUP(A1710,Studies!A:BR,5,FALSE),"")</f>
        <v>Itraconazole</v>
      </c>
      <c r="F1710" s="207" t="str">
        <f>IF(AND(A1710&lt;&gt;"",ISNUMBER(A1710)),VLOOKUP(A1710,Studies!A:BR,6,FALSE),"")</f>
        <v>Plasma</v>
      </c>
      <c r="G1710" s="194">
        <v>1.25</v>
      </c>
      <c r="H1710" s="194" t="s">
        <v>60</v>
      </c>
      <c r="I1710" s="187">
        <v>3191.22705078125</v>
      </c>
      <c r="J1710" s="187" t="s">
        <v>1026</v>
      </c>
      <c r="K1710" s="187" t="s">
        <v>116</v>
      </c>
      <c r="L1710" s="195"/>
      <c r="M1710" s="195"/>
      <c r="N1710" s="195"/>
      <c r="O1710" s="199"/>
      <c r="P1710" s="188"/>
      <c r="Q1710" s="174">
        <f>IF(ISNUMBER(VLOOKUP(A1710,NotghiID!A:A,1,FALSE)),1,0)</f>
        <v>0</v>
      </c>
    </row>
    <row r="1711" spans="1:17" ht="14.25" x14ac:dyDescent="0.2">
      <c r="A1711" s="183">
        <v>523</v>
      </c>
      <c r="B1711" s="232" t="str">
        <f>IF(AND(A1711&lt;&gt;"",ISNUMBER(A1711)),VLOOKUP(A1711,Studies!A:BR,2,FALSE),"")</f>
        <v>Mouton 2006</v>
      </c>
      <c r="C1711" s="232" t="str">
        <f>IF(AND(A1711&lt;&gt;"",ISNUMBER(A1711)),VLOOKUP(A1711,Studies!A:BR,3,FALSE),"")</f>
        <v>https://www.ncbi.nlm.nih.gov/pubmed/16982783</v>
      </c>
      <c r="D1711" s="232" t="str">
        <f>IF(AND(A1711&lt;&gt;"",ISNUMBER(A1711)),VLOOKUP(A1711,Studies!A:BR,4,FALSE),"")</f>
        <v>SAD_B 300 mg</v>
      </c>
      <c r="E1711" s="206" t="str">
        <f>IF(AND(A1711&lt;&gt;"",ISNUMBER(A1711)),VLOOKUP(A1711,Studies!A:BR,5,FALSE),"")</f>
        <v>Itraconazole</v>
      </c>
      <c r="F1711" s="207" t="str">
        <f>IF(AND(A1711&lt;&gt;"",ISNUMBER(A1711)),VLOOKUP(A1711,Studies!A:BR,6,FALSE),"")</f>
        <v>Plasma</v>
      </c>
      <c r="G1711" s="194">
        <v>1.5</v>
      </c>
      <c r="H1711" s="194" t="s">
        <v>60</v>
      </c>
      <c r="I1711" s="187">
        <v>1018.5679931640625</v>
      </c>
      <c r="J1711" s="187" t="s">
        <v>1026</v>
      </c>
      <c r="K1711" s="187" t="s">
        <v>116</v>
      </c>
      <c r="L1711" s="195"/>
      <c r="M1711" s="195"/>
      <c r="N1711" s="195"/>
      <c r="O1711" s="199"/>
      <c r="P1711" s="188"/>
      <c r="Q1711" s="174">
        <f>IF(ISNUMBER(VLOOKUP(A1711,NotghiID!A:A,1,FALSE)),1,0)</f>
        <v>0</v>
      </c>
    </row>
    <row r="1712" spans="1:17" ht="14.25" x14ac:dyDescent="0.2">
      <c r="A1712" s="183">
        <v>523</v>
      </c>
      <c r="B1712" s="232" t="str">
        <f>IF(AND(A1712&lt;&gt;"",ISNUMBER(A1712)),VLOOKUP(A1712,Studies!A:BR,2,FALSE),"")</f>
        <v>Mouton 2006</v>
      </c>
      <c r="C1712" s="232" t="str">
        <f>IF(AND(A1712&lt;&gt;"",ISNUMBER(A1712)),VLOOKUP(A1712,Studies!A:BR,3,FALSE),"")</f>
        <v>https://www.ncbi.nlm.nih.gov/pubmed/16982783</v>
      </c>
      <c r="D1712" s="232" t="str">
        <f>IF(AND(A1712&lt;&gt;"",ISNUMBER(A1712)),VLOOKUP(A1712,Studies!A:BR,4,FALSE),"")</f>
        <v>SAD_B 300 mg</v>
      </c>
      <c r="E1712" s="206" t="str">
        <f>IF(AND(A1712&lt;&gt;"",ISNUMBER(A1712)),VLOOKUP(A1712,Studies!A:BR,5,FALSE),"")</f>
        <v>Itraconazole</v>
      </c>
      <c r="F1712" s="207" t="str">
        <f>IF(AND(A1712&lt;&gt;"",ISNUMBER(A1712)),VLOOKUP(A1712,Studies!A:BR,6,FALSE),"")</f>
        <v>Plasma</v>
      </c>
      <c r="G1712" s="194">
        <v>1.75</v>
      </c>
      <c r="H1712" s="194" t="s">
        <v>60</v>
      </c>
      <c r="I1712" s="187">
        <v>676.971923828125</v>
      </c>
      <c r="J1712" s="187" t="s">
        <v>1026</v>
      </c>
      <c r="K1712" s="187" t="s">
        <v>116</v>
      </c>
      <c r="L1712" s="195"/>
      <c r="M1712" s="195"/>
      <c r="N1712" s="195"/>
      <c r="O1712" s="199"/>
      <c r="P1712" s="188"/>
      <c r="Q1712" s="174">
        <f>IF(ISNUMBER(VLOOKUP(A1712,NotghiID!A:A,1,FALSE)),1,0)</f>
        <v>0</v>
      </c>
    </row>
    <row r="1713" spans="1:17" ht="14.25" x14ac:dyDescent="0.2">
      <c r="A1713" s="183">
        <v>523</v>
      </c>
      <c r="B1713" s="232" t="str">
        <f>IF(AND(A1713&lt;&gt;"",ISNUMBER(A1713)),VLOOKUP(A1713,Studies!A:BR,2,FALSE),"")</f>
        <v>Mouton 2006</v>
      </c>
      <c r="C1713" s="232" t="str">
        <f>IF(AND(A1713&lt;&gt;"",ISNUMBER(A1713)),VLOOKUP(A1713,Studies!A:BR,3,FALSE),"")</f>
        <v>https://www.ncbi.nlm.nih.gov/pubmed/16982783</v>
      </c>
      <c r="D1713" s="232" t="str">
        <f>IF(AND(A1713&lt;&gt;"",ISNUMBER(A1713)),VLOOKUP(A1713,Studies!A:BR,4,FALSE),"")</f>
        <v>SAD_B 300 mg</v>
      </c>
      <c r="E1713" s="206" t="str">
        <f>IF(AND(A1713&lt;&gt;"",ISNUMBER(A1713)),VLOOKUP(A1713,Studies!A:BR,5,FALSE),"")</f>
        <v>Itraconazole</v>
      </c>
      <c r="F1713" s="207" t="str">
        <f>IF(AND(A1713&lt;&gt;"",ISNUMBER(A1713)),VLOOKUP(A1713,Studies!A:BR,6,FALSE),"")</f>
        <v>Plasma</v>
      </c>
      <c r="G1713" s="194">
        <v>3</v>
      </c>
      <c r="H1713" s="194" t="s">
        <v>60</v>
      </c>
      <c r="I1713" s="187">
        <v>652.29132080078125</v>
      </c>
      <c r="J1713" s="187" t="s">
        <v>1026</v>
      </c>
      <c r="K1713" s="187" t="s">
        <v>116</v>
      </c>
      <c r="L1713" s="195"/>
      <c r="M1713" s="195"/>
      <c r="N1713" s="195"/>
      <c r="O1713" s="199"/>
      <c r="P1713" s="188"/>
      <c r="Q1713" s="174">
        <f>IF(ISNUMBER(VLOOKUP(A1713,NotghiID!A:A,1,FALSE)),1,0)</f>
        <v>0</v>
      </c>
    </row>
    <row r="1714" spans="1:17" ht="14.25" x14ac:dyDescent="0.2">
      <c r="A1714" s="183">
        <v>523</v>
      </c>
      <c r="B1714" s="232" t="str">
        <f>IF(AND(A1714&lt;&gt;"",ISNUMBER(A1714)),VLOOKUP(A1714,Studies!A:BR,2,FALSE),"")</f>
        <v>Mouton 2006</v>
      </c>
      <c r="C1714" s="232" t="str">
        <f>IF(AND(A1714&lt;&gt;"",ISNUMBER(A1714)),VLOOKUP(A1714,Studies!A:BR,3,FALSE),"")</f>
        <v>https://www.ncbi.nlm.nih.gov/pubmed/16982783</v>
      </c>
      <c r="D1714" s="232" t="str">
        <f>IF(AND(A1714&lt;&gt;"",ISNUMBER(A1714)),VLOOKUP(A1714,Studies!A:BR,4,FALSE),"")</f>
        <v>SAD_B 300 mg</v>
      </c>
      <c r="E1714" s="206" t="str">
        <f>IF(AND(A1714&lt;&gt;"",ISNUMBER(A1714)),VLOOKUP(A1714,Studies!A:BR,5,FALSE),"")</f>
        <v>Itraconazole</v>
      </c>
      <c r="F1714" s="207" t="str">
        <f>IF(AND(A1714&lt;&gt;"",ISNUMBER(A1714)),VLOOKUP(A1714,Studies!A:BR,6,FALSE),"")</f>
        <v>Plasma</v>
      </c>
      <c r="G1714" s="194">
        <v>4</v>
      </c>
      <c r="H1714" s="194" t="s">
        <v>60</v>
      </c>
      <c r="I1714" s="187">
        <v>634.3731689453125</v>
      </c>
      <c r="J1714" s="187" t="s">
        <v>1026</v>
      </c>
      <c r="K1714" s="187" t="s">
        <v>116</v>
      </c>
      <c r="L1714" s="195"/>
      <c r="M1714" s="195"/>
      <c r="N1714" s="195"/>
      <c r="O1714" s="199"/>
      <c r="P1714" s="188"/>
      <c r="Q1714" s="174">
        <f>IF(ISNUMBER(VLOOKUP(A1714,NotghiID!A:A,1,FALSE)),1,0)</f>
        <v>0</v>
      </c>
    </row>
    <row r="1715" spans="1:17" ht="14.25" x14ac:dyDescent="0.2">
      <c r="A1715" s="183">
        <v>523</v>
      </c>
      <c r="B1715" s="232" t="str">
        <f>IF(AND(A1715&lt;&gt;"",ISNUMBER(A1715)),VLOOKUP(A1715,Studies!A:BR,2,FALSE),"")</f>
        <v>Mouton 2006</v>
      </c>
      <c r="C1715" s="232" t="str">
        <f>IF(AND(A1715&lt;&gt;"",ISNUMBER(A1715)),VLOOKUP(A1715,Studies!A:BR,3,FALSE),"")</f>
        <v>https://www.ncbi.nlm.nih.gov/pubmed/16982783</v>
      </c>
      <c r="D1715" s="232" t="str">
        <f>IF(AND(A1715&lt;&gt;"",ISNUMBER(A1715)),VLOOKUP(A1715,Studies!A:BR,4,FALSE),"")</f>
        <v>SAD_B 300 mg</v>
      </c>
      <c r="E1715" s="206" t="str">
        <f>IF(AND(A1715&lt;&gt;"",ISNUMBER(A1715)),VLOOKUP(A1715,Studies!A:BR,5,FALSE),"")</f>
        <v>Itraconazole</v>
      </c>
      <c r="F1715" s="207" t="str">
        <f>IF(AND(A1715&lt;&gt;"",ISNUMBER(A1715)),VLOOKUP(A1715,Studies!A:BR,6,FALSE),"")</f>
        <v>Plasma</v>
      </c>
      <c r="G1715" s="194">
        <v>5</v>
      </c>
      <c r="H1715" s="194" t="s">
        <v>60</v>
      </c>
      <c r="I1715" s="187">
        <v>622.70196533203125</v>
      </c>
      <c r="J1715" s="187" t="s">
        <v>1026</v>
      </c>
      <c r="K1715" s="187" t="s">
        <v>116</v>
      </c>
      <c r="L1715" s="195"/>
      <c r="M1715" s="195"/>
      <c r="N1715" s="195"/>
      <c r="O1715" s="199"/>
      <c r="P1715" s="188"/>
      <c r="Q1715" s="174">
        <f>IF(ISNUMBER(VLOOKUP(A1715,NotghiID!A:A,1,FALSE)),1,0)</f>
        <v>0</v>
      </c>
    </row>
    <row r="1716" spans="1:17" ht="14.25" x14ac:dyDescent="0.2">
      <c r="A1716" s="183">
        <v>523</v>
      </c>
      <c r="B1716" s="232" t="str">
        <f>IF(AND(A1716&lt;&gt;"",ISNUMBER(A1716)),VLOOKUP(A1716,Studies!A:BR,2,FALSE),"")</f>
        <v>Mouton 2006</v>
      </c>
      <c r="C1716" s="232" t="str">
        <f>IF(AND(A1716&lt;&gt;"",ISNUMBER(A1716)),VLOOKUP(A1716,Studies!A:BR,3,FALSE),"")</f>
        <v>https://www.ncbi.nlm.nih.gov/pubmed/16982783</v>
      </c>
      <c r="D1716" s="232" t="str">
        <f>IF(AND(A1716&lt;&gt;"",ISNUMBER(A1716)),VLOOKUP(A1716,Studies!A:BR,4,FALSE),"")</f>
        <v>SAD_B 300 mg</v>
      </c>
      <c r="E1716" s="206" t="str">
        <f>IF(AND(A1716&lt;&gt;"",ISNUMBER(A1716)),VLOOKUP(A1716,Studies!A:BR,5,FALSE),"")</f>
        <v>Itraconazole</v>
      </c>
      <c r="F1716" s="207" t="str">
        <f>IF(AND(A1716&lt;&gt;"",ISNUMBER(A1716)),VLOOKUP(A1716,Studies!A:BR,6,FALSE),"")</f>
        <v>Plasma</v>
      </c>
      <c r="G1716" s="194">
        <v>7</v>
      </c>
      <c r="H1716" s="194" t="s">
        <v>60</v>
      </c>
      <c r="I1716" s="187">
        <v>628.510498046875</v>
      </c>
      <c r="J1716" s="187" t="s">
        <v>1026</v>
      </c>
      <c r="K1716" s="187" t="s">
        <v>116</v>
      </c>
      <c r="L1716" s="195"/>
      <c r="M1716" s="195"/>
      <c r="N1716" s="195"/>
      <c r="O1716" s="199"/>
      <c r="P1716" s="188"/>
      <c r="Q1716" s="174">
        <f>IF(ISNUMBER(VLOOKUP(A1716,NotghiID!A:A,1,FALSE)),1,0)</f>
        <v>0</v>
      </c>
    </row>
    <row r="1717" spans="1:17" ht="14.25" x14ac:dyDescent="0.2">
      <c r="A1717" s="183">
        <v>523</v>
      </c>
      <c r="B1717" s="232" t="str">
        <f>IF(AND(A1717&lt;&gt;"",ISNUMBER(A1717)),VLOOKUP(A1717,Studies!A:BR,2,FALSE),"")</f>
        <v>Mouton 2006</v>
      </c>
      <c r="C1717" s="232" t="str">
        <f>IF(AND(A1717&lt;&gt;"",ISNUMBER(A1717)),VLOOKUP(A1717,Studies!A:BR,3,FALSE),"")</f>
        <v>https://www.ncbi.nlm.nih.gov/pubmed/16982783</v>
      </c>
      <c r="D1717" s="232" t="str">
        <f>IF(AND(A1717&lt;&gt;"",ISNUMBER(A1717)),VLOOKUP(A1717,Studies!A:BR,4,FALSE),"")</f>
        <v>SAD_B 300 mg</v>
      </c>
      <c r="E1717" s="206" t="str">
        <f>IF(AND(A1717&lt;&gt;"",ISNUMBER(A1717)),VLOOKUP(A1717,Studies!A:BR,5,FALSE),"")</f>
        <v>Itraconazole</v>
      </c>
      <c r="F1717" s="207" t="str">
        <f>IF(AND(A1717&lt;&gt;"",ISNUMBER(A1717)),VLOOKUP(A1717,Studies!A:BR,6,FALSE),"")</f>
        <v>Plasma</v>
      </c>
      <c r="G1717" s="194">
        <v>9</v>
      </c>
      <c r="H1717" s="194" t="s">
        <v>60</v>
      </c>
      <c r="I1717" s="187">
        <v>572.7828369140625</v>
      </c>
      <c r="J1717" s="187" t="s">
        <v>1026</v>
      </c>
      <c r="K1717" s="187" t="s">
        <v>116</v>
      </c>
      <c r="L1717" s="195"/>
      <c r="M1717" s="195"/>
      <c r="N1717" s="195"/>
      <c r="O1717" s="199"/>
      <c r="P1717" s="188"/>
      <c r="Q1717" s="174">
        <f>IF(ISNUMBER(VLOOKUP(A1717,NotghiID!A:A,1,FALSE)),1,0)</f>
        <v>0</v>
      </c>
    </row>
    <row r="1718" spans="1:17" ht="14.25" x14ac:dyDescent="0.2">
      <c r="A1718" s="183">
        <v>523</v>
      </c>
      <c r="B1718" s="232" t="str">
        <f>IF(AND(A1718&lt;&gt;"",ISNUMBER(A1718)),VLOOKUP(A1718,Studies!A:BR,2,FALSE),"")</f>
        <v>Mouton 2006</v>
      </c>
      <c r="C1718" s="232" t="str">
        <f>IF(AND(A1718&lt;&gt;"",ISNUMBER(A1718)),VLOOKUP(A1718,Studies!A:BR,3,FALSE),"")</f>
        <v>https://www.ncbi.nlm.nih.gov/pubmed/16982783</v>
      </c>
      <c r="D1718" s="232" t="str">
        <f>IF(AND(A1718&lt;&gt;"",ISNUMBER(A1718)),VLOOKUP(A1718,Studies!A:BR,4,FALSE),"")</f>
        <v>SAD_B 300 mg</v>
      </c>
      <c r="E1718" s="206" t="str">
        <f>IF(AND(A1718&lt;&gt;"",ISNUMBER(A1718)),VLOOKUP(A1718,Studies!A:BR,5,FALSE),"")</f>
        <v>Itraconazole</v>
      </c>
      <c r="F1718" s="207" t="str">
        <f>IF(AND(A1718&lt;&gt;"",ISNUMBER(A1718)),VLOOKUP(A1718,Studies!A:BR,6,FALSE),"")</f>
        <v>Plasma</v>
      </c>
      <c r="G1718" s="194">
        <v>24</v>
      </c>
      <c r="H1718" s="194" t="s">
        <v>60</v>
      </c>
      <c r="I1718" s="187">
        <v>218.08969116210937</v>
      </c>
      <c r="J1718" s="187" t="s">
        <v>1026</v>
      </c>
      <c r="K1718" s="187" t="s">
        <v>116</v>
      </c>
      <c r="L1718" s="195"/>
      <c r="M1718" s="195"/>
      <c r="N1718" s="195"/>
      <c r="O1718" s="199"/>
      <c r="P1718" s="188"/>
      <c r="Q1718" s="174">
        <f>IF(ISNUMBER(VLOOKUP(A1718,NotghiID!A:A,1,FALSE)),1,0)</f>
        <v>0</v>
      </c>
    </row>
    <row r="1719" spans="1:17" ht="14.25" x14ac:dyDescent="0.2">
      <c r="A1719" s="183">
        <v>523</v>
      </c>
      <c r="B1719" s="232" t="str">
        <f>IF(AND(A1719&lt;&gt;"",ISNUMBER(A1719)),VLOOKUP(A1719,Studies!A:BR,2,FALSE),"")</f>
        <v>Mouton 2006</v>
      </c>
      <c r="C1719" s="232" t="str">
        <f>IF(AND(A1719&lt;&gt;"",ISNUMBER(A1719)),VLOOKUP(A1719,Studies!A:BR,3,FALSE),"")</f>
        <v>https://www.ncbi.nlm.nih.gov/pubmed/16982783</v>
      </c>
      <c r="D1719" s="232" t="str">
        <f>IF(AND(A1719&lt;&gt;"",ISNUMBER(A1719)),VLOOKUP(A1719,Studies!A:BR,4,FALSE),"")</f>
        <v>SAD_B 300 mg</v>
      </c>
      <c r="E1719" s="206" t="str">
        <f>IF(AND(A1719&lt;&gt;"",ISNUMBER(A1719)),VLOOKUP(A1719,Studies!A:BR,5,FALSE),"")</f>
        <v>Itraconazole</v>
      </c>
      <c r="F1719" s="207" t="str">
        <f>IF(AND(A1719&lt;&gt;"",ISNUMBER(A1719)),VLOOKUP(A1719,Studies!A:BR,6,FALSE),"")</f>
        <v>Plasma</v>
      </c>
      <c r="G1719" s="194">
        <v>32</v>
      </c>
      <c r="H1719" s="194" t="s">
        <v>60</v>
      </c>
      <c r="I1719" s="187">
        <v>156.12548828125</v>
      </c>
      <c r="J1719" s="187" t="s">
        <v>1026</v>
      </c>
      <c r="K1719" s="187" t="s">
        <v>116</v>
      </c>
      <c r="L1719" s="195"/>
      <c r="M1719" s="195"/>
      <c r="N1719" s="195"/>
      <c r="O1719" s="199"/>
      <c r="P1719" s="188"/>
      <c r="Q1719" s="174">
        <f>IF(ISNUMBER(VLOOKUP(A1719,NotghiID!A:A,1,FALSE)),1,0)</f>
        <v>0</v>
      </c>
    </row>
    <row r="1720" spans="1:17" ht="14.25" x14ac:dyDescent="0.2">
      <c r="A1720" s="183">
        <v>523</v>
      </c>
      <c r="B1720" s="232" t="str">
        <f>IF(AND(A1720&lt;&gt;"",ISNUMBER(A1720)),VLOOKUP(A1720,Studies!A:BR,2,FALSE),"")</f>
        <v>Mouton 2006</v>
      </c>
      <c r="C1720" s="232" t="str">
        <f>IF(AND(A1720&lt;&gt;"",ISNUMBER(A1720)),VLOOKUP(A1720,Studies!A:BR,3,FALSE),"")</f>
        <v>https://www.ncbi.nlm.nih.gov/pubmed/16982783</v>
      </c>
      <c r="D1720" s="232" t="str">
        <f>IF(AND(A1720&lt;&gt;"",ISNUMBER(A1720)),VLOOKUP(A1720,Studies!A:BR,4,FALSE),"")</f>
        <v>SAD_B 300 mg</v>
      </c>
      <c r="E1720" s="206" t="str">
        <f>IF(AND(A1720&lt;&gt;"",ISNUMBER(A1720)),VLOOKUP(A1720,Studies!A:BR,5,FALSE),"")</f>
        <v>Itraconazole</v>
      </c>
      <c r="F1720" s="207" t="str">
        <f>IF(AND(A1720&lt;&gt;"",ISNUMBER(A1720)),VLOOKUP(A1720,Studies!A:BR,6,FALSE),"")</f>
        <v>Plasma</v>
      </c>
      <c r="G1720" s="194">
        <v>48</v>
      </c>
      <c r="H1720" s="194" t="s">
        <v>60</v>
      </c>
      <c r="I1720" s="187">
        <v>97.236351013183594</v>
      </c>
      <c r="J1720" s="187" t="s">
        <v>1026</v>
      </c>
      <c r="K1720" s="187" t="s">
        <v>116</v>
      </c>
      <c r="L1720" s="195"/>
      <c r="M1720" s="195"/>
      <c r="N1720" s="195"/>
      <c r="O1720" s="199"/>
      <c r="P1720" s="188"/>
      <c r="Q1720" s="174">
        <f>IF(ISNUMBER(VLOOKUP(A1720,NotghiID!A:A,1,FALSE)),1,0)</f>
        <v>0</v>
      </c>
    </row>
    <row r="1721" spans="1:17" ht="14.25" x14ac:dyDescent="0.2">
      <c r="A1721" s="183">
        <v>523</v>
      </c>
      <c r="B1721" s="232" t="str">
        <f>IF(AND(A1721&lt;&gt;"",ISNUMBER(A1721)),VLOOKUP(A1721,Studies!A:BR,2,FALSE),"")</f>
        <v>Mouton 2006</v>
      </c>
      <c r="C1721" s="232" t="str">
        <f>IF(AND(A1721&lt;&gt;"",ISNUMBER(A1721)),VLOOKUP(A1721,Studies!A:BR,3,FALSE),"")</f>
        <v>https://www.ncbi.nlm.nih.gov/pubmed/16982783</v>
      </c>
      <c r="D1721" s="232" t="str">
        <f>IF(AND(A1721&lt;&gt;"",ISNUMBER(A1721)),VLOOKUP(A1721,Studies!A:BR,4,FALSE),"")</f>
        <v>SAD_B 300 mg</v>
      </c>
      <c r="E1721" s="206" t="str">
        <f>IF(AND(A1721&lt;&gt;"",ISNUMBER(A1721)),VLOOKUP(A1721,Studies!A:BR,5,FALSE),"")</f>
        <v>Itraconazole</v>
      </c>
      <c r="F1721" s="207" t="str">
        <f>IF(AND(A1721&lt;&gt;"",ISNUMBER(A1721)),VLOOKUP(A1721,Studies!A:BR,6,FALSE),"")</f>
        <v>Plasma</v>
      </c>
      <c r="G1721" s="194">
        <v>72</v>
      </c>
      <c r="H1721" s="194" t="s">
        <v>60</v>
      </c>
      <c r="I1721" s="187">
        <v>49.831752777099609</v>
      </c>
      <c r="J1721" s="187" t="s">
        <v>1026</v>
      </c>
      <c r="K1721" s="187" t="s">
        <v>116</v>
      </c>
      <c r="L1721" s="195"/>
      <c r="M1721" s="195"/>
      <c r="N1721" s="195"/>
      <c r="O1721" s="199"/>
      <c r="P1721" s="188"/>
      <c r="Q1721" s="174">
        <f>IF(ISNUMBER(VLOOKUP(A1721,NotghiID!A:A,1,FALSE)),1,0)</f>
        <v>0</v>
      </c>
    </row>
    <row r="1722" spans="1:17" ht="14.25" x14ac:dyDescent="0.2">
      <c r="A1722" s="183">
        <v>523</v>
      </c>
      <c r="B1722" s="232" t="str">
        <f>IF(AND(A1722&lt;&gt;"",ISNUMBER(A1722)),VLOOKUP(A1722,Studies!A:BR,2,FALSE),"")</f>
        <v>Mouton 2006</v>
      </c>
      <c r="C1722" s="232" t="str">
        <f>IF(AND(A1722&lt;&gt;"",ISNUMBER(A1722)),VLOOKUP(A1722,Studies!A:BR,3,FALSE),"")</f>
        <v>https://www.ncbi.nlm.nih.gov/pubmed/16982783</v>
      </c>
      <c r="D1722" s="232" t="str">
        <f>IF(AND(A1722&lt;&gt;"",ISNUMBER(A1722)),VLOOKUP(A1722,Studies!A:BR,4,FALSE),"")</f>
        <v>SAD_B 300 mg</v>
      </c>
      <c r="E1722" s="206" t="str">
        <f>IF(AND(A1722&lt;&gt;"",ISNUMBER(A1722)),VLOOKUP(A1722,Studies!A:BR,5,FALSE),"")</f>
        <v>Itraconazole</v>
      </c>
      <c r="F1722" s="207" t="str">
        <f>IF(AND(A1722&lt;&gt;"",ISNUMBER(A1722)),VLOOKUP(A1722,Studies!A:BR,6,FALSE),"")</f>
        <v>Plasma</v>
      </c>
      <c r="G1722" s="194">
        <v>96</v>
      </c>
      <c r="H1722" s="194" t="s">
        <v>60</v>
      </c>
      <c r="I1722" s="187">
        <v>26.504070281982422</v>
      </c>
      <c r="J1722" s="187" t="s">
        <v>1026</v>
      </c>
      <c r="K1722" s="187" t="s">
        <v>116</v>
      </c>
      <c r="L1722" s="195"/>
      <c r="M1722" s="195"/>
      <c r="N1722" s="195"/>
      <c r="O1722" s="199"/>
      <c r="P1722" s="188"/>
      <c r="Q1722" s="174">
        <f>IF(ISNUMBER(VLOOKUP(A1722,NotghiID!A:A,1,FALSE)),1,0)</f>
        <v>0</v>
      </c>
    </row>
    <row r="1723" spans="1:17" ht="14.25" x14ac:dyDescent="0.2">
      <c r="A1723" s="183">
        <v>528</v>
      </c>
      <c r="B1723" s="232" t="str">
        <f>IF(AND(A1723&lt;&gt;"",ISNUMBER(A1723)),VLOOKUP(A1723,Studies!A:BR,2,FALSE),"")</f>
        <v>Mouton 2006</v>
      </c>
      <c r="C1723" s="232" t="str">
        <f>IF(AND(A1723&lt;&gt;"",ISNUMBER(A1723)),VLOOKUP(A1723,Studies!A:BR,3,FALSE),"")</f>
        <v>https://www.ncbi.nlm.nih.gov/pubmed/16982783</v>
      </c>
      <c r="D1723" s="232" t="str">
        <f>IF(AND(A1723&lt;&gt;"",ISNUMBER(A1723)),VLOOKUP(A1723,Studies!A:BR,4,FALSE),"")</f>
        <v>SAD_A 50 mg</v>
      </c>
      <c r="E1723" s="206" t="str">
        <f>IF(AND(A1723&lt;&gt;"",ISNUMBER(A1723)),VLOOKUP(A1723,Studies!A:BR,5,FALSE),"")</f>
        <v>Hydroxy-Itraconazole</v>
      </c>
      <c r="F1723" s="207" t="str">
        <f>IF(AND(A1723&lt;&gt;"",ISNUMBER(A1723)),VLOOKUP(A1723,Studies!A:BR,6,FALSE),"")</f>
        <v>Plasma</v>
      </c>
      <c r="G1723" s="194">
        <v>0.5</v>
      </c>
      <c r="H1723" s="194" t="s">
        <v>60</v>
      </c>
      <c r="I1723" s="187">
        <v>21.134603500366211</v>
      </c>
      <c r="J1723" s="187" t="s">
        <v>1026</v>
      </c>
      <c r="K1723" s="187" t="s">
        <v>116</v>
      </c>
      <c r="L1723" s="195"/>
      <c r="M1723" s="195"/>
      <c r="N1723" s="195"/>
      <c r="O1723" s="199"/>
      <c r="P1723" s="188"/>
      <c r="Q1723" s="174">
        <f>IF(ISNUMBER(VLOOKUP(A1723,NotghiID!A:A,1,FALSE)),1,0)</f>
        <v>0</v>
      </c>
    </row>
    <row r="1724" spans="1:17" ht="14.25" x14ac:dyDescent="0.2">
      <c r="A1724" s="183">
        <v>528</v>
      </c>
      <c r="B1724" s="232" t="str">
        <f>IF(AND(A1724&lt;&gt;"",ISNUMBER(A1724)),VLOOKUP(A1724,Studies!A:BR,2,FALSE),"")</f>
        <v>Mouton 2006</v>
      </c>
      <c r="C1724" s="232" t="str">
        <f>IF(AND(A1724&lt;&gt;"",ISNUMBER(A1724)),VLOOKUP(A1724,Studies!A:BR,3,FALSE),"")</f>
        <v>https://www.ncbi.nlm.nih.gov/pubmed/16982783</v>
      </c>
      <c r="D1724" s="232" t="str">
        <f>IF(AND(A1724&lt;&gt;"",ISNUMBER(A1724)),VLOOKUP(A1724,Studies!A:BR,4,FALSE),"")</f>
        <v>SAD_A 50 mg</v>
      </c>
      <c r="E1724" s="206" t="str">
        <f>IF(AND(A1724&lt;&gt;"",ISNUMBER(A1724)),VLOOKUP(A1724,Studies!A:BR,5,FALSE),"")</f>
        <v>Hydroxy-Itraconazole</v>
      </c>
      <c r="F1724" s="207" t="str">
        <f>IF(AND(A1724&lt;&gt;"",ISNUMBER(A1724)),VLOOKUP(A1724,Studies!A:BR,6,FALSE),"")</f>
        <v>Plasma</v>
      </c>
      <c r="G1724" s="194">
        <v>1</v>
      </c>
      <c r="H1724" s="194" t="s">
        <v>60</v>
      </c>
      <c r="I1724" s="187">
        <v>70.34014892578125</v>
      </c>
      <c r="J1724" s="187" t="s">
        <v>1026</v>
      </c>
      <c r="K1724" s="187" t="s">
        <v>116</v>
      </c>
      <c r="L1724" s="195"/>
      <c r="M1724" s="195"/>
      <c r="N1724" s="195"/>
      <c r="O1724" s="199"/>
      <c r="P1724" s="188"/>
      <c r="Q1724" s="174">
        <f>IF(ISNUMBER(VLOOKUP(A1724,NotghiID!A:A,1,FALSE)),1,0)</f>
        <v>0</v>
      </c>
    </row>
    <row r="1725" spans="1:17" ht="14.25" x14ac:dyDescent="0.2">
      <c r="A1725" s="183">
        <v>528</v>
      </c>
      <c r="B1725" s="232" t="str">
        <f>IF(AND(A1725&lt;&gt;"",ISNUMBER(A1725)),VLOOKUP(A1725,Studies!A:BR,2,FALSE),"")</f>
        <v>Mouton 2006</v>
      </c>
      <c r="C1725" s="232" t="str">
        <f>IF(AND(A1725&lt;&gt;"",ISNUMBER(A1725)),VLOOKUP(A1725,Studies!A:BR,3,FALSE),"")</f>
        <v>https://www.ncbi.nlm.nih.gov/pubmed/16982783</v>
      </c>
      <c r="D1725" s="232" t="str">
        <f>IF(AND(A1725&lt;&gt;"",ISNUMBER(A1725)),VLOOKUP(A1725,Studies!A:BR,4,FALSE),"")</f>
        <v>SAD_A 50 mg</v>
      </c>
      <c r="E1725" s="206" t="str">
        <f>IF(AND(A1725&lt;&gt;"",ISNUMBER(A1725)),VLOOKUP(A1725,Studies!A:BR,5,FALSE),"")</f>
        <v>Hydroxy-Itraconazole</v>
      </c>
      <c r="F1725" s="207" t="str">
        <f>IF(AND(A1725&lt;&gt;"",ISNUMBER(A1725)),VLOOKUP(A1725,Studies!A:BR,6,FALSE),"")</f>
        <v>Plasma</v>
      </c>
      <c r="G1725" s="194">
        <v>1.25</v>
      </c>
      <c r="H1725" s="194" t="s">
        <v>60</v>
      </c>
      <c r="I1725" s="187">
        <v>86.613517761230469</v>
      </c>
      <c r="J1725" s="187" t="s">
        <v>1026</v>
      </c>
      <c r="K1725" s="187" t="s">
        <v>116</v>
      </c>
      <c r="L1725" s="195"/>
      <c r="M1725" s="195"/>
      <c r="N1725" s="195"/>
      <c r="O1725" s="199"/>
      <c r="P1725" s="188"/>
      <c r="Q1725" s="174">
        <f>IF(ISNUMBER(VLOOKUP(A1725,NotghiID!A:A,1,FALSE)),1,0)</f>
        <v>0</v>
      </c>
    </row>
    <row r="1726" spans="1:17" ht="14.25" x14ac:dyDescent="0.2">
      <c r="A1726" s="183">
        <v>528</v>
      </c>
      <c r="B1726" s="232" t="str">
        <f>IF(AND(A1726&lt;&gt;"",ISNUMBER(A1726)),VLOOKUP(A1726,Studies!A:BR,2,FALSE),"")</f>
        <v>Mouton 2006</v>
      </c>
      <c r="C1726" s="232" t="str">
        <f>IF(AND(A1726&lt;&gt;"",ISNUMBER(A1726)),VLOOKUP(A1726,Studies!A:BR,3,FALSE),"")</f>
        <v>https://www.ncbi.nlm.nih.gov/pubmed/16982783</v>
      </c>
      <c r="D1726" s="232" t="str">
        <f>IF(AND(A1726&lt;&gt;"",ISNUMBER(A1726)),VLOOKUP(A1726,Studies!A:BR,4,FALSE),"")</f>
        <v>SAD_A 50 mg</v>
      </c>
      <c r="E1726" s="206" t="str">
        <f>IF(AND(A1726&lt;&gt;"",ISNUMBER(A1726)),VLOOKUP(A1726,Studies!A:BR,5,FALSE),"")</f>
        <v>Hydroxy-Itraconazole</v>
      </c>
      <c r="F1726" s="207" t="str">
        <f>IF(AND(A1726&lt;&gt;"",ISNUMBER(A1726)),VLOOKUP(A1726,Studies!A:BR,6,FALSE),"")</f>
        <v>Plasma</v>
      </c>
      <c r="G1726" s="194">
        <v>1.5</v>
      </c>
      <c r="H1726" s="194" t="s">
        <v>60</v>
      </c>
      <c r="I1726" s="187">
        <v>106.65177154541016</v>
      </c>
      <c r="J1726" s="187" t="s">
        <v>1026</v>
      </c>
      <c r="K1726" s="187" t="s">
        <v>116</v>
      </c>
      <c r="L1726" s="195"/>
      <c r="M1726" s="195"/>
      <c r="N1726" s="195"/>
      <c r="O1726" s="199"/>
      <c r="P1726" s="188"/>
      <c r="Q1726" s="174">
        <f>IF(ISNUMBER(VLOOKUP(A1726,NotghiID!A:A,1,FALSE)),1,0)</f>
        <v>0</v>
      </c>
    </row>
    <row r="1727" spans="1:17" ht="14.25" x14ac:dyDescent="0.2">
      <c r="A1727" s="183">
        <v>528</v>
      </c>
      <c r="B1727" s="232" t="str">
        <f>IF(AND(A1727&lt;&gt;"",ISNUMBER(A1727)),VLOOKUP(A1727,Studies!A:BR,2,FALSE),"")</f>
        <v>Mouton 2006</v>
      </c>
      <c r="C1727" s="232" t="str">
        <f>IF(AND(A1727&lt;&gt;"",ISNUMBER(A1727)),VLOOKUP(A1727,Studies!A:BR,3,FALSE),"")</f>
        <v>https://www.ncbi.nlm.nih.gov/pubmed/16982783</v>
      </c>
      <c r="D1727" s="232" t="str">
        <f>IF(AND(A1727&lt;&gt;"",ISNUMBER(A1727)),VLOOKUP(A1727,Studies!A:BR,4,FALSE),"")</f>
        <v>SAD_A 50 mg</v>
      </c>
      <c r="E1727" s="206" t="str">
        <f>IF(AND(A1727&lt;&gt;"",ISNUMBER(A1727)),VLOOKUP(A1727,Studies!A:BR,5,FALSE),"")</f>
        <v>Hydroxy-Itraconazole</v>
      </c>
      <c r="F1727" s="207" t="str">
        <f>IF(AND(A1727&lt;&gt;"",ISNUMBER(A1727)),VLOOKUP(A1727,Studies!A:BR,6,FALSE),"")</f>
        <v>Plasma</v>
      </c>
      <c r="G1727" s="194">
        <v>3</v>
      </c>
      <c r="H1727" s="194" t="s">
        <v>60</v>
      </c>
      <c r="I1727" s="187">
        <v>100.66117095947266</v>
      </c>
      <c r="J1727" s="187" t="s">
        <v>1026</v>
      </c>
      <c r="K1727" s="187" t="s">
        <v>116</v>
      </c>
      <c r="L1727" s="195"/>
      <c r="M1727" s="195"/>
      <c r="N1727" s="195"/>
      <c r="O1727" s="199"/>
      <c r="P1727" s="188"/>
      <c r="Q1727" s="174">
        <f>IF(ISNUMBER(VLOOKUP(A1727,NotghiID!A:A,1,FALSE)),1,0)</f>
        <v>0</v>
      </c>
    </row>
    <row r="1728" spans="1:17" ht="14.25" x14ac:dyDescent="0.2">
      <c r="A1728" s="183">
        <v>528</v>
      </c>
      <c r="B1728" s="232" t="str">
        <f>IF(AND(A1728&lt;&gt;"",ISNUMBER(A1728)),VLOOKUP(A1728,Studies!A:BR,2,FALSE),"")</f>
        <v>Mouton 2006</v>
      </c>
      <c r="C1728" s="232" t="str">
        <f>IF(AND(A1728&lt;&gt;"",ISNUMBER(A1728)),VLOOKUP(A1728,Studies!A:BR,3,FALSE),"")</f>
        <v>https://www.ncbi.nlm.nih.gov/pubmed/16982783</v>
      </c>
      <c r="D1728" s="232" t="str">
        <f>IF(AND(A1728&lt;&gt;"",ISNUMBER(A1728)),VLOOKUP(A1728,Studies!A:BR,4,FALSE),"")</f>
        <v>SAD_A 50 mg</v>
      </c>
      <c r="E1728" s="206" t="str">
        <f>IF(AND(A1728&lt;&gt;"",ISNUMBER(A1728)),VLOOKUP(A1728,Studies!A:BR,5,FALSE),"")</f>
        <v>Hydroxy-Itraconazole</v>
      </c>
      <c r="F1728" s="207" t="str">
        <f>IF(AND(A1728&lt;&gt;"",ISNUMBER(A1728)),VLOOKUP(A1728,Studies!A:BR,6,FALSE),"")</f>
        <v>Plasma</v>
      </c>
      <c r="G1728" s="194">
        <v>4</v>
      </c>
      <c r="H1728" s="194" t="s">
        <v>60</v>
      </c>
      <c r="I1728" s="187">
        <v>88.639686584472656</v>
      </c>
      <c r="J1728" s="187" t="s">
        <v>1026</v>
      </c>
      <c r="K1728" s="187" t="s">
        <v>116</v>
      </c>
      <c r="L1728" s="195"/>
      <c r="M1728" s="195"/>
      <c r="N1728" s="195"/>
      <c r="O1728" s="199"/>
      <c r="P1728" s="188"/>
      <c r="Q1728" s="174">
        <f>IF(ISNUMBER(VLOOKUP(A1728,NotghiID!A:A,1,FALSE)),1,0)</f>
        <v>0</v>
      </c>
    </row>
    <row r="1729" spans="1:17" ht="14.25" x14ac:dyDescent="0.2">
      <c r="A1729" s="183">
        <v>528</v>
      </c>
      <c r="B1729" s="232" t="str">
        <f>IF(AND(A1729&lt;&gt;"",ISNUMBER(A1729)),VLOOKUP(A1729,Studies!A:BR,2,FALSE),"")</f>
        <v>Mouton 2006</v>
      </c>
      <c r="C1729" s="232" t="str">
        <f>IF(AND(A1729&lt;&gt;"",ISNUMBER(A1729)),VLOOKUP(A1729,Studies!A:BR,3,FALSE),"")</f>
        <v>https://www.ncbi.nlm.nih.gov/pubmed/16982783</v>
      </c>
      <c r="D1729" s="232" t="str">
        <f>IF(AND(A1729&lt;&gt;"",ISNUMBER(A1729)),VLOOKUP(A1729,Studies!A:BR,4,FALSE),"")</f>
        <v>SAD_A 50 mg</v>
      </c>
      <c r="E1729" s="206" t="str">
        <f>IF(AND(A1729&lt;&gt;"",ISNUMBER(A1729)),VLOOKUP(A1729,Studies!A:BR,5,FALSE),"")</f>
        <v>Hydroxy-Itraconazole</v>
      </c>
      <c r="F1729" s="207" t="str">
        <f>IF(AND(A1729&lt;&gt;"",ISNUMBER(A1729)),VLOOKUP(A1729,Studies!A:BR,6,FALSE),"")</f>
        <v>Plasma</v>
      </c>
      <c r="G1729" s="194">
        <v>5</v>
      </c>
      <c r="H1729" s="194" t="s">
        <v>60</v>
      </c>
      <c r="I1729" s="187">
        <v>79.879814147949219</v>
      </c>
      <c r="J1729" s="187" t="s">
        <v>1026</v>
      </c>
      <c r="K1729" s="187" t="s">
        <v>116</v>
      </c>
      <c r="L1729" s="195"/>
      <c r="M1729" s="195"/>
      <c r="N1729" s="195"/>
      <c r="O1729" s="199"/>
      <c r="P1729" s="188"/>
      <c r="Q1729" s="174">
        <f>IF(ISNUMBER(VLOOKUP(A1729,NotghiID!A:A,1,FALSE)),1,0)</f>
        <v>0</v>
      </c>
    </row>
    <row r="1730" spans="1:17" ht="14.25" x14ac:dyDescent="0.2">
      <c r="A1730" s="183">
        <v>528</v>
      </c>
      <c r="B1730" s="232" t="str">
        <f>IF(AND(A1730&lt;&gt;"",ISNUMBER(A1730)),VLOOKUP(A1730,Studies!A:BR,2,FALSE),"")</f>
        <v>Mouton 2006</v>
      </c>
      <c r="C1730" s="232" t="str">
        <f>IF(AND(A1730&lt;&gt;"",ISNUMBER(A1730)),VLOOKUP(A1730,Studies!A:BR,3,FALSE),"")</f>
        <v>https://www.ncbi.nlm.nih.gov/pubmed/16982783</v>
      </c>
      <c r="D1730" s="232" t="str">
        <f>IF(AND(A1730&lt;&gt;"",ISNUMBER(A1730)),VLOOKUP(A1730,Studies!A:BR,4,FALSE),"")</f>
        <v>SAD_A 50 mg</v>
      </c>
      <c r="E1730" s="206" t="str">
        <f>IF(AND(A1730&lt;&gt;"",ISNUMBER(A1730)),VLOOKUP(A1730,Studies!A:BR,5,FALSE),"")</f>
        <v>Hydroxy-Itraconazole</v>
      </c>
      <c r="F1730" s="207" t="str">
        <f>IF(AND(A1730&lt;&gt;"",ISNUMBER(A1730)),VLOOKUP(A1730,Studies!A:BR,6,FALSE),"")</f>
        <v>Plasma</v>
      </c>
      <c r="G1730" s="194">
        <v>7</v>
      </c>
      <c r="H1730" s="194" t="s">
        <v>60</v>
      </c>
      <c r="I1730" s="187">
        <v>63.388740539550781</v>
      </c>
      <c r="J1730" s="187" t="s">
        <v>1026</v>
      </c>
      <c r="K1730" s="187" t="s">
        <v>116</v>
      </c>
      <c r="L1730" s="195"/>
      <c r="M1730" s="195"/>
      <c r="N1730" s="195"/>
      <c r="O1730" s="199"/>
      <c r="P1730" s="188"/>
      <c r="Q1730" s="174">
        <f>IF(ISNUMBER(VLOOKUP(A1730,NotghiID!A:A,1,FALSE)),1,0)</f>
        <v>0</v>
      </c>
    </row>
    <row r="1731" spans="1:17" ht="14.25" x14ac:dyDescent="0.2">
      <c r="A1731" s="183">
        <v>528</v>
      </c>
      <c r="B1731" s="232" t="str">
        <f>IF(AND(A1731&lt;&gt;"",ISNUMBER(A1731)),VLOOKUP(A1731,Studies!A:BR,2,FALSE),"")</f>
        <v>Mouton 2006</v>
      </c>
      <c r="C1731" s="232" t="str">
        <f>IF(AND(A1731&lt;&gt;"",ISNUMBER(A1731)),VLOOKUP(A1731,Studies!A:BR,3,FALSE),"")</f>
        <v>https://www.ncbi.nlm.nih.gov/pubmed/16982783</v>
      </c>
      <c r="D1731" s="232" t="str">
        <f>IF(AND(A1731&lt;&gt;"",ISNUMBER(A1731)),VLOOKUP(A1731,Studies!A:BR,4,FALSE),"")</f>
        <v>SAD_A 50 mg</v>
      </c>
      <c r="E1731" s="206" t="str">
        <f>IF(AND(A1731&lt;&gt;"",ISNUMBER(A1731)),VLOOKUP(A1731,Studies!A:BR,5,FALSE),"")</f>
        <v>Hydroxy-Itraconazole</v>
      </c>
      <c r="F1731" s="207" t="str">
        <f>IF(AND(A1731&lt;&gt;"",ISNUMBER(A1731)),VLOOKUP(A1731,Studies!A:BR,6,FALSE),"")</f>
        <v>Plasma</v>
      </c>
      <c r="G1731" s="194">
        <v>9</v>
      </c>
      <c r="H1731" s="194" t="s">
        <v>60</v>
      </c>
      <c r="I1731" s="187">
        <v>51.478954315185547</v>
      </c>
      <c r="J1731" s="187" t="s">
        <v>1026</v>
      </c>
      <c r="K1731" s="187" t="s">
        <v>116</v>
      </c>
      <c r="L1731" s="195"/>
      <c r="M1731" s="195"/>
      <c r="N1731" s="195"/>
      <c r="O1731" s="199"/>
      <c r="P1731" s="188"/>
      <c r="Q1731" s="174">
        <f>IF(ISNUMBER(VLOOKUP(A1731,NotghiID!A:A,1,FALSE)),1,0)</f>
        <v>0</v>
      </c>
    </row>
    <row r="1732" spans="1:17" ht="14.25" x14ac:dyDescent="0.2">
      <c r="A1732" s="183">
        <v>528</v>
      </c>
      <c r="B1732" s="232" t="str">
        <f>IF(AND(A1732&lt;&gt;"",ISNUMBER(A1732)),VLOOKUP(A1732,Studies!A:BR,2,FALSE),"")</f>
        <v>Mouton 2006</v>
      </c>
      <c r="C1732" s="232" t="str">
        <f>IF(AND(A1732&lt;&gt;"",ISNUMBER(A1732)),VLOOKUP(A1732,Studies!A:BR,3,FALSE),"")</f>
        <v>https://www.ncbi.nlm.nih.gov/pubmed/16982783</v>
      </c>
      <c r="D1732" s="232" t="str">
        <f>IF(AND(A1732&lt;&gt;"",ISNUMBER(A1732)),VLOOKUP(A1732,Studies!A:BR,4,FALSE),"")</f>
        <v>SAD_A 50 mg</v>
      </c>
      <c r="E1732" s="206" t="str">
        <f>IF(AND(A1732&lt;&gt;"",ISNUMBER(A1732)),VLOOKUP(A1732,Studies!A:BR,5,FALSE),"")</f>
        <v>Hydroxy-Itraconazole</v>
      </c>
      <c r="F1732" s="207" t="str">
        <f>IF(AND(A1732&lt;&gt;"",ISNUMBER(A1732)),VLOOKUP(A1732,Studies!A:BR,6,FALSE),"")</f>
        <v>Plasma</v>
      </c>
      <c r="G1732" s="194">
        <v>24</v>
      </c>
      <c r="H1732" s="194" t="s">
        <v>60</v>
      </c>
      <c r="I1732" s="187">
        <v>11.993697166442871</v>
      </c>
      <c r="J1732" s="187" t="s">
        <v>1026</v>
      </c>
      <c r="K1732" s="187" t="s">
        <v>116</v>
      </c>
      <c r="L1732" s="195"/>
      <c r="M1732" s="195"/>
      <c r="N1732" s="195"/>
      <c r="O1732" s="199"/>
      <c r="P1732" s="188"/>
      <c r="Q1732" s="174">
        <f>IF(ISNUMBER(VLOOKUP(A1732,NotghiID!A:A,1,FALSE)),1,0)</f>
        <v>0</v>
      </c>
    </row>
    <row r="1733" spans="1:17" ht="14.25" x14ac:dyDescent="0.2">
      <c r="A1733" s="183">
        <v>528</v>
      </c>
      <c r="B1733" s="232" t="str">
        <f>IF(AND(A1733&lt;&gt;"",ISNUMBER(A1733)),VLOOKUP(A1733,Studies!A:BR,2,FALSE),"")</f>
        <v>Mouton 2006</v>
      </c>
      <c r="C1733" s="232" t="str">
        <f>IF(AND(A1733&lt;&gt;"",ISNUMBER(A1733)),VLOOKUP(A1733,Studies!A:BR,3,FALSE),"")</f>
        <v>https://www.ncbi.nlm.nih.gov/pubmed/16982783</v>
      </c>
      <c r="D1733" s="232" t="str">
        <f>IF(AND(A1733&lt;&gt;"",ISNUMBER(A1733)),VLOOKUP(A1733,Studies!A:BR,4,FALSE),"")</f>
        <v>SAD_A 50 mg</v>
      </c>
      <c r="E1733" s="206" t="str">
        <f>IF(AND(A1733&lt;&gt;"",ISNUMBER(A1733)),VLOOKUP(A1733,Studies!A:BR,5,FALSE),"")</f>
        <v>Hydroxy-Itraconazole</v>
      </c>
      <c r="F1733" s="207" t="str">
        <f>IF(AND(A1733&lt;&gt;"",ISNUMBER(A1733)),VLOOKUP(A1733,Studies!A:BR,6,FALSE),"")</f>
        <v>Plasma</v>
      </c>
      <c r="G1733" s="194">
        <v>32</v>
      </c>
      <c r="H1733" s="194" t="s">
        <v>60</v>
      </c>
      <c r="I1733" s="187">
        <v>6.5742835998535156</v>
      </c>
      <c r="J1733" s="187" t="s">
        <v>1026</v>
      </c>
      <c r="K1733" s="187" t="s">
        <v>116</v>
      </c>
      <c r="L1733" s="195"/>
      <c r="M1733" s="195"/>
      <c r="N1733" s="195"/>
      <c r="O1733" s="199"/>
      <c r="P1733" s="188"/>
      <c r="Q1733" s="174">
        <f>IF(ISNUMBER(VLOOKUP(A1733,NotghiID!A:A,1,FALSE)),1,0)</f>
        <v>0</v>
      </c>
    </row>
    <row r="1734" spans="1:17" ht="14.25" x14ac:dyDescent="0.2">
      <c r="A1734" s="183">
        <v>528</v>
      </c>
      <c r="B1734" s="232" t="str">
        <f>IF(AND(A1734&lt;&gt;"",ISNUMBER(A1734)),VLOOKUP(A1734,Studies!A:BR,2,FALSE),"")</f>
        <v>Mouton 2006</v>
      </c>
      <c r="C1734" s="232" t="str">
        <f>IF(AND(A1734&lt;&gt;"",ISNUMBER(A1734)),VLOOKUP(A1734,Studies!A:BR,3,FALSE),"")</f>
        <v>https://www.ncbi.nlm.nih.gov/pubmed/16982783</v>
      </c>
      <c r="D1734" s="232" t="str">
        <f>IF(AND(A1734&lt;&gt;"",ISNUMBER(A1734)),VLOOKUP(A1734,Studies!A:BR,4,FALSE),"")</f>
        <v>SAD_A 50 mg</v>
      </c>
      <c r="E1734" s="206" t="str">
        <f>IF(AND(A1734&lt;&gt;"",ISNUMBER(A1734)),VLOOKUP(A1734,Studies!A:BR,5,FALSE),"")</f>
        <v>Hydroxy-Itraconazole</v>
      </c>
      <c r="F1734" s="207" t="str">
        <f>IF(AND(A1734&lt;&gt;"",ISNUMBER(A1734)),VLOOKUP(A1734,Studies!A:BR,6,FALSE),"")</f>
        <v>Plasma</v>
      </c>
      <c r="G1734" s="194">
        <v>48</v>
      </c>
      <c r="H1734" s="194" t="s">
        <v>60</v>
      </c>
      <c r="I1734" s="187">
        <v>2.6070492267608643</v>
      </c>
      <c r="J1734" s="187" t="s">
        <v>1026</v>
      </c>
      <c r="K1734" s="187" t="s">
        <v>116</v>
      </c>
      <c r="L1734" s="195"/>
      <c r="M1734" s="195"/>
      <c r="N1734" s="195"/>
      <c r="O1734" s="199"/>
      <c r="P1734" s="188"/>
      <c r="Q1734" s="174">
        <f>IF(ISNUMBER(VLOOKUP(A1734,NotghiID!A:A,1,FALSE)),1,0)</f>
        <v>0</v>
      </c>
    </row>
    <row r="1735" spans="1:17" ht="14.25" x14ac:dyDescent="0.2">
      <c r="A1735" s="183">
        <v>529</v>
      </c>
      <c r="B1735" s="232" t="str">
        <f>IF(AND(A1735&lt;&gt;"",ISNUMBER(A1735)),VLOOKUP(A1735,Studies!A:BR,2,FALSE),"")</f>
        <v>Mouton 2006</v>
      </c>
      <c r="C1735" s="232" t="str">
        <f>IF(AND(A1735&lt;&gt;"",ISNUMBER(A1735)),VLOOKUP(A1735,Studies!A:BR,3,FALSE),"")</f>
        <v>https://www.ncbi.nlm.nih.gov/pubmed/16982783</v>
      </c>
      <c r="D1735" s="232" t="str">
        <f>IF(AND(A1735&lt;&gt;"",ISNUMBER(A1735)),VLOOKUP(A1735,Studies!A:BR,4,FALSE),"")</f>
        <v>SAD_B 100 mg</v>
      </c>
      <c r="E1735" s="206" t="str">
        <f>IF(AND(A1735&lt;&gt;"",ISNUMBER(A1735)),VLOOKUP(A1735,Studies!A:BR,5,FALSE),"")</f>
        <v>Hydroxy-Itraconazole</v>
      </c>
      <c r="F1735" s="207" t="str">
        <f>IF(AND(A1735&lt;&gt;"",ISNUMBER(A1735)),VLOOKUP(A1735,Studies!A:BR,6,FALSE),"")</f>
        <v>Plasma</v>
      </c>
      <c r="G1735" s="194">
        <v>0.5</v>
      </c>
      <c r="H1735" s="194" t="s">
        <v>60</v>
      </c>
      <c r="I1735" s="187">
        <v>43.785713613033295</v>
      </c>
      <c r="J1735" s="187" t="s">
        <v>1026</v>
      </c>
      <c r="K1735" s="187" t="s">
        <v>116</v>
      </c>
      <c r="L1735" s="195"/>
      <c r="M1735" s="195"/>
      <c r="N1735" s="195"/>
      <c r="O1735" s="199"/>
      <c r="P1735" s="188"/>
      <c r="Q1735" s="174">
        <f>IF(ISNUMBER(VLOOKUP(A1735,NotghiID!A:A,1,FALSE)),1,0)</f>
        <v>0</v>
      </c>
    </row>
    <row r="1736" spans="1:17" ht="14.25" x14ac:dyDescent="0.2">
      <c r="A1736" s="183">
        <v>529</v>
      </c>
      <c r="B1736" s="232" t="str">
        <f>IF(AND(A1736&lt;&gt;"",ISNUMBER(A1736)),VLOOKUP(A1736,Studies!A:BR,2,FALSE),"")</f>
        <v>Mouton 2006</v>
      </c>
      <c r="C1736" s="232" t="str">
        <f>IF(AND(A1736&lt;&gt;"",ISNUMBER(A1736)),VLOOKUP(A1736,Studies!A:BR,3,FALSE),"")</f>
        <v>https://www.ncbi.nlm.nih.gov/pubmed/16982783</v>
      </c>
      <c r="D1736" s="232" t="str">
        <f>IF(AND(A1736&lt;&gt;"",ISNUMBER(A1736)),VLOOKUP(A1736,Studies!A:BR,4,FALSE),"")</f>
        <v>SAD_B 100 mg</v>
      </c>
      <c r="E1736" s="206" t="str">
        <f>IF(AND(A1736&lt;&gt;"",ISNUMBER(A1736)),VLOOKUP(A1736,Studies!A:BR,5,FALSE),"")</f>
        <v>Hydroxy-Itraconazole</v>
      </c>
      <c r="F1736" s="207" t="str">
        <f>IF(AND(A1736&lt;&gt;"",ISNUMBER(A1736)),VLOOKUP(A1736,Studies!A:BR,6,FALSE),"")</f>
        <v>Plasma</v>
      </c>
      <c r="G1736" s="194">
        <v>1.25</v>
      </c>
      <c r="H1736" s="194" t="s">
        <v>60</v>
      </c>
      <c r="I1736" s="187">
        <v>135.9608918428421</v>
      </c>
      <c r="J1736" s="187" t="s">
        <v>1026</v>
      </c>
      <c r="K1736" s="187" t="s">
        <v>116</v>
      </c>
      <c r="L1736" s="195"/>
      <c r="M1736" s="195"/>
      <c r="N1736" s="195"/>
      <c r="O1736" s="199"/>
      <c r="P1736" s="188"/>
      <c r="Q1736" s="174">
        <f>IF(ISNUMBER(VLOOKUP(A1736,NotghiID!A:A,1,FALSE)),1,0)</f>
        <v>0</v>
      </c>
    </row>
    <row r="1737" spans="1:17" ht="14.25" x14ac:dyDescent="0.2">
      <c r="A1737" s="183">
        <v>529</v>
      </c>
      <c r="B1737" s="232" t="str">
        <f>IF(AND(A1737&lt;&gt;"",ISNUMBER(A1737)),VLOOKUP(A1737,Studies!A:BR,2,FALSE),"")</f>
        <v>Mouton 2006</v>
      </c>
      <c r="C1737" s="232" t="str">
        <f>IF(AND(A1737&lt;&gt;"",ISNUMBER(A1737)),VLOOKUP(A1737,Studies!A:BR,3,FALSE),"")</f>
        <v>https://www.ncbi.nlm.nih.gov/pubmed/16982783</v>
      </c>
      <c r="D1737" s="232" t="str">
        <f>IF(AND(A1737&lt;&gt;"",ISNUMBER(A1737)),VLOOKUP(A1737,Studies!A:BR,4,FALSE),"")</f>
        <v>SAD_B 100 mg</v>
      </c>
      <c r="E1737" s="206" t="str">
        <f>IF(AND(A1737&lt;&gt;"",ISNUMBER(A1737)),VLOOKUP(A1737,Studies!A:BR,5,FALSE),"")</f>
        <v>Hydroxy-Itraconazole</v>
      </c>
      <c r="F1737" s="207" t="str">
        <f>IF(AND(A1737&lt;&gt;"",ISNUMBER(A1737)),VLOOKUP(A1737,Studies!A:BR,6,FALSE),"")</f>
        <v>Plasma</v>
      </c>
      <c r="G1737" s="194">
        <v>1.5</v>
      </c>
      <c r="H1737" s="194" t="s">
        <v>60</v>
      </c>
      <c r="I1737" s="187">
        <v>154.40015494823456</v>
      </c>
      <c r="J1737" s="187" t="s">
        <v>1026</v>
      </c>
      <c r="K1737" s="187" t="s">
        <v>116</v>
      </c>
      <c r="L1737" s="195"/>
      <c r="M1737" s="195"/>
      <c r="N1737" s="195"/>
      <c r="O1737" s="199"/>
      <c r="P1737" s="188"/>
      <c r="Q1737" s="174">
        <f>IF(ISNUMBER(VLOOKUP(A1737,NotghiID!A:A,1,FALSE)),1,0)</f>
        <v>0</v>
      </c>
    </row>
    <row r="1738" spans="1:17" ht="14.25" x14ac:dyDescent="0.2">
      <c r="A1738" s="183">
        <v>529</v>
      </c>
      <c r="B1738" s="232" t="str">
        <f>IF(AND(A1738&lt;&gt;"",ISNUMBER(A1738)),VLOOKUP(A1738,Studies!A:BR,2,FALSE),"")</f>
        <v>Mouton 2006</v>
      </c>
      <c r="C1738" s="232" t="str">
        <f>IF(AND(A1738&lt;&gt;"",ISNUMBER(A1738)),VLOOKUP(A1738,Studies!A:BR,3,FALSE),"")</f>
        <v>https://www.ncbi.nlm.nih.gov/pubmed/16982783</v>
      </c>
      <c r="D1738" s="232" t="str">
        <f>IF(AND(A1738&lt;&gt;"",ISNUMBER(A1738)),VLOOKUP(A1738,Studies!A:BR,4,FALSE),"")</f>
        <v>SAD_B 100 mg</v>
      </c>
      <c r="E1738" s="206" t="str">
        <f>IF(AND(A1738&lt;&gt;"",ISNUMBER(A1738)),VLOOKUP(A1738,Studies!A:BR,5,FALSE),"")</f>
        <v>Hydroxy-Itraconazole</v>
      </c>
      <c r="F1738" s="207" t="str">
        <f>IF(AND(A1738&lt;&gt;"",ISNUMBER(A1738)),VLOOKUP(A1738,Studies!A:BR,6,FALSE),"")</f>
        <v>Plasma</v>
      </c>
      <c r="G1738" s="194">
        <v>1.75</v>
      </c>
      <c r="H1738" s="194" t="s">
        <v>60</v>
      </c>
      <c r="I1738" s="187">
        <v>163.58891129493713</v>
      </c>
      <c r="J1738" s="187" t="s">
        <v>1026</v>
      </c>
      <c r="K1738" s="187" t="s">
        <v>116</v>
      </c>
      <c r="L1738" s="195"/>
      <c r="M1738" s="195"/>
      <c r="N1738" s="195"/>
      <c r="O1738" s="199"/>
      <c r="P1738" s="188"/>
      <c r="Q1738" s="174">
        <f>IF(ISNUMBER(VLOOKUP(A1738,NotghiID!A:A,1,FALSE)),1,0)</f>
        <v>0</v>
      </c>
    </row>
    <row r="1739" spans="1:17" ht="14.25" x14ac:dyDescent="0.2">
      <c r="A1739" s="183">
        <v>529</v>
      </c>
      <c r="B1739" s="232" t="str">
        <f>IF(AND(A1739&lt;&gt;"",ISNUMBER(A1739)),VLOOKUP(A1739,Studies!A:BR,2,FALSE),"")</f>
        <v>Mouton 2006</v>
      </c>
      <c r="C1739" s="232" t="str">
        <f>IF(AND(A1739&lt;&gt;"",ISNUMBER(A1739)),VLOOKUP(A1739,Studies!A:BR,3,FALSE),"")</f>
        <v>https://www.ncbi.nlm.nih.gov/pubmed/16982783</v>
      </c>
      <c r="D1739" s="232" t="str">
        <f>IF(AND(A1739&lt;&gt;"",ISNUMBER(A1739)),VLOOKUP(A1739,Studies!A:BR,4,FALSE),"")</f>
        <v>SAD_B 100 mg</v>
      </c>
      <c r="E1739" s="206" t="str">
        <f>IF(AND(A1739&lt;&gt;"",ISNUMBER(A1739)),VLOOKUP(A1739,Studies!A:BR,5,FALSE),"")</f>
        <v>Hydroxy-Itraconazole</v>
      </c>
      <c r="F1739" s="207" t="str">
        <f>IF(AND(A1739&lt;&gt;"",ISNUMBER(A1739)),VLOOKUP(A1739,Studies!A:BR,6,FALSE),"")</f>
        <v>Plasma</v>
      </c>
      <c r="G1739" s="194">
        <v>2</v>
      </c>
      <c r="H1739" s="194" t="s">
        <v>60</v>
      </c>
      <c r="I1739" s="187">
        <v>177.37911641597748</v>
      </c>
      <c r="J1739" s="187" t="s">
        <v>1026</v>
      </c>
      <c r="K1739" s="187" t="s">
        <v>116</v>
      </c>
      <c r="L1739" s="195"/>
      <c r="M1739" s="195"/>
      <c r="N1739" s="195"/>
      <c r="O1739" s="199"/>
      <c r="P1739" s="188"/>
      <c r="Q1739" s="174">
        <f>IF(ISNUMBER(VLOOKUP(A1739,NotghiID!A:A,1,FALSE)),1,0)</f>
        <v>0</v>
      </c>
    </row>
    <row r="1740" spans="1:17" ht="14.25" x14ac:dyDescent="0.2">
      <c r="A1740" s="183">
        <v>529</v>
      </c>
      <c r="B1740" s="232" t="str">
        <f>IF(AND(A1740&lt;&gt;"",ISNUMBER(A1740)),VLOOKUP(A1740,Studies!A:BR,2,FALSE),"")</f>
        <v>Mouton 2006</v>
      </c>
      <c r="C1740" s="232" t="str">
        <f>IF(AND(A1740&lt;&gt;"",ISNUMBER(A1740)),VLOOKUP(A1740,Studies!A:BR,3,FALSE),"")</f>
        <v>https://www.ncbi.nlm.nih.gov/pubmed/16982783</v>
      </c>
      <c r="D1740" s="232" t="str">
        <f>IF(AND(A1740&lt;&gt;"",ISNUMBER(A1740)),VLOOKUP(A1740,Studies!A:BR,4,FALSE),"")</f>
        <v>SAD_B 100 mg</v>
      </c>
      <c r="E1740" s="206" t="str">
        <f>IF(AND(A1740&lt;&gt;"",ISNUMBER(A1740)),VLOOKUP(A1740,Studies!A:BR,5,FALSE),"")</f>
        <v>Hydroxy-Itraconazole</v>
      </c>
      <c r="F1740" s="207" t="str">
        <f>IF(AND(A1740&lt;&gt;"",ISNUMBER(A1740)),VLOOKUP(A1740,Studies!A:BR,6,FALSE),"")</f>
        <v>Plasma</v>
      </c>
      <c r="G1740" s="194">
        <v>3</v>
      </c>
      <c r="H1740" s="194" t="s">
        <v>60</v>
      </c>
      <c r="I1740" s="187">
        <v>239.58247900009155</v>
      </c>
      <c r="J1740" s="187" t="s">
        <v>1026</v>
      </c>
      <c r="K1740" s="187" t="s">
        <v>116</v>
      </c>
      <c r="L1740" s="195"/>
      <c r="M1740" s="195"/>
      <c r="N1740" s="195"/>
      <c r="O1740" s="199"/>
      <c r="P1740" s="188"/>
      <c r="Q1740" s="174">
        <f>IF(ISNUMBER(VLOOKUP(A1740,NotghiID!A:A,1,FALSE)),1,0)</f>
        <v>0</v>
      </c>
    </row>
    <row r="1741" spans="1:17" ht="14.25" x14ac:dyDescent="0.2">
      <c r="A1741" s="183">
        <v>529</v>
      </c>
      <c r="B1741" s="232" t="str">
        <f>IF(AND(A1741&lt;&gt;"",ISNUMBER(A1741)),VLOOKUP(A1741,Studies!A:BR,2,FALSE),"")</f>
        <v>Mouton 2006</v>
      </c>
      <c r="C1741" s="232" t="str">
        <f>IF(AND(A1741&lt;&gt;"",ISNUMBER(A1741)),VLOOKUP(A1741,Studies!A:BR,3,FALSE),"")</f>
        <v>https://www.ncbi.nlm.nih.gov/pubmed/16982783</v>
      </c>
      <c r="D1741" s="232" t="str">
        <f>IF(AND(A1741&lt;&gt;"",ISNUMBER(A1741)),VLOOKUP(A1741,Studies!A:BR,4,FALSE),"")</f>
        <v>SAD_B 100 mg</v>
      </c>
      <c r="E1741" s="206" t="str">
        <f>IF(AND(A1741&lt;&gt;"",ISNUMBER(A1741)),VLOOKUP(A1741,Studies!A:BR,5,FALSE),"")</f>
        <v>Hydroxy-Itraconazole</v>
      </c>
      <c r="F1741" s="207" t="str">
        <f>IF(AND(A1741&lt;&gt;"",ISNUMBER(A1741)),VLOOKUP(A1741,Studies!A:BR,6,FALSE),"")</f>
        <v>Plasma</v>
      </c>
      <c r="G1741" s="194">
        <v>4</v>
      </c>
      <c r="H1741" s="194" t="s">
        <v>60</v>
      </c>
      <c r="I1741" s="187">
        <v>253.84065508842468</v>
      </c>
      <c r="J1741" s="187" t="s">
        <v>1026</v>
      </c>
      <c r="K1741" s="187" t="s">
        <v>116</v>
      </c>
      <c r="L1741" s="195"/>
      <c r="M1741" s="195"/>
      <c r="N1741" s="195"/>
      <c r="O1741" s="199"/>
      <c r="P1741" s="188"/>
      <c r="Q1741" s="174">
        <f>IF(ISNUMBER(VLOOKUP(A1741,NotghiID!A:A,1,FALSE)),1,0)</f>
        <v>0</v>
      </c>
    </row>
    <row r="1742" spans="1:17" ht="14.25" x14ac:dyDescent="0.2">
      <c r="A1742" s="183">
        <v>529</v>
      </c>
      <c r="B1742" s="232" t="str">
        <f>IF(AND(A1742&lt;&gt;"",ISNUMBER(A1742)),VLOOKUP(A1742,Studies!A:BR,2,FALSE),"")</f>
        <v>Mouton 2006</v>
      </c>
      <c r="C1742" s="232" t="str">
        <f>IF(AND(A1742&lt;&gt;"",ISNUMBER(A1742)),VLOOKUP(A1742,Studies!A:BR,3,FALSE),"")</f>
        <v>https://www.ncbi.nlm.nih.gov/pubmed/16982783</v>
      </c>
      <c r="D1742" s="232" t="str">
        <f>IF(AND(A1742&lt;&gt;"",ISNUMBER(A1742)),VLOOKUP(A1742,Studies!A:BR,4,FALSE),"")</f>
        <v>SAD_B 100 mg</v>
      </c>
      <c r="E1742" s="206" t="str">
        <f>IF(AND(A1742&lt;&gt;"",ISNUMBER(A1742)),VLOOKUP(A1742,Studies!A:BR,5,FALSE),"")</f>
        <v>Hydroxy-Itraconazole</v>
      </c>
      <c r="F1742" s="207" t="str">
        <f>IF(AND(A1742&lt;&gt;"",ISNUMBER(A1742)),VLOOKUP(A1742,Studies!A:BR,6,FALSE),"")</f>
        <v>Plasma</v>
      </c>
      <c r="G1742" s="194">
        <v>5</v>
      </c>
      <c r="H1742" s="194" t="s">
        <v>60</v>
      </c>
      <c r="I1742" s="187">
        <v>253.84065508842468</v>
      </c>
      <c r="J1742" s="187" t="s">
        <v>1026</v>
      </c>
      <c r="K1742" s="187" t="s">
        <v>116</v>
      </c>
      <c r="L1742" s="195"/>
      <c r="M1742" s="195"/>
      <c r="N1742" s="195"/>
      <c r="O1742" s="199"/>
      <c r="P1742" s="188"/>
      <c r="Q1742" s="174">
        <f>IF(ISNUMBER(VLOOKUP(A1742,NotghiID!A:A,1,FALSE)),1,0)</f>
        <v>0</v>
      </c>
    </row>
    <row r="1743" spans="1:17" ht="14.25" x14ac:dyDescent="0.2">
      <c r="A1743" s="183">
        <v>529</v>
      </c>
      <c r="B1743" s="232" t="str">
        <f>IF(AND(A1743&lt;&gt;"",ISNUMBER(A1743)),VLOOKUP(A1743,Studies!A:BR,2,FALSE),"")</f>
        <v>Mouton 2006</v>
      </c>
      <c r="C1743" s="232" t="str">
        <f>IF(AND(A1743&lt;&gt;"",ISNUMBER(A1743)),VLOOKUP(A1743,Studies!A:BR,3,FALSE),"")</f>
        <v>https://www.ncbi.nlm.nih.gov/pubmed/16982783</v>
      </c>
      <c r="D1743" s="232" t="str">
        <f>IF(AND(A1743&lt;&gt;"",ISNUMBER(A1743)),VLOOKUP(A1743,Studies!A:BR,4,FALSE),"")</f>
        <v>SAD_B 100 mg</v>
      </c>
      <c r="E1743" s="206" t="str">
        <f>IF(AND(A1743&lt;&gt;"",ISNUMBER(A1743)),VLOOKUP(A1743,Studies!A:BR,5,FALSE),"")</f>
        <v>Hydroxy-Itraconazole</v>
      </c>
      <c r="F1743" s="207" t="str">
        <f>IF(AND(A1743&lt;&gt;"",ISNUMBER(A1743)),VLOOKUP(A1743,Studies!A:BR,6,FALSE),"")</f>
        <v>Plasma</v>
      </c>
      <c r="G1743" s="194">
        <v>7</v>
      </c>
      <c r="H1743" s="194" t="s">
        <v>60</v>
      </c>
      <c r="I1743" s="187">
        <v>234.10598933696747</v>
      </c>
      <c r="J1743" s="187" t="s">
        <v>1026</v>
      </c>
      <c r="K1743" s="187" t="s">
        <v>116</v>
      </c>
      <c r="L1743" s="195"/>
      <c r="M1743" s="195"/>
      <c r="N1743" s="195"/>
      <c r="O1743" s="199"/>
      <c r="P1743" s="188"/>
      <c r="Q1743" s="174">
        <f>IF(ISNUMBER(VLOOKUP(A1743,NotghiID!A:A,1,FALSE)),1,0)</f>
        <v>0</v>
      </c>
    </row>
    <row r="1744" spans="1:17" ht="14.25" x14ac:dyDescent="0.2">
      <c r="A1744" s="183">
        <v>529</v>
      </c>
      <c r="B1744" s="232" t="str">
        <f>IF(AND(A1744&lt;&gt;"",ISNUMBER(A1744)),VLOOKUP(A1744,Studies!A:BR,2,FALSE),"")</f>
        <v>Mouton 2006</v>
      </c>
      <c r="C1744" s="232" t="str">
        <f>IF(AND(A1744&lt;&gt;"",ISNUMBER(A1744)),VLOOKUP(A1744,Studies!A:BR,3,FALSE),"")</f>
        <v>https://www.ncbi.nlm.nih.gov/pubmed/16982783</v>
      </c>
      <c r="D1744" s="232" t="str">
        <f>IF(AND(A1744&lt;&gt;"",ISNUMBER(A1744)),VLOOKUP(A1744,Studies!A:BR,4,FALSE),"")</f>
        <v>SAD_B 100 mg</v>
      </c>
      <c r="E1744" s="206" t="str">
        <f>IF(AND(A1744&lt;&gt;"",ISNUMBER(A1744)),VLOOKUP(A1744,Studies!A:BR,5,FALSE),"")</f>
        <v>Hydroxy-Itraconazole</v>
      </c>
      <c r="F1744" s="207" t="str">
        <f>IF(AND(A1744&lt;&gt;"",ISNUMBER(A1744)),VLOOKUP(A1744,Studies!A:BR,6,FALSE),"")</f>
        <v>Plasma</v>
      </c>
      <c r="G1744" s="194">
        <v>9</v>
      </c>
      <c r="H1744" s="194" t="s">
        <v>60</v>
      </c>
      <c r="I1744" s="187">
        <v>223.52567315101624</v>
      </c>
      <c r="J1744" s="187" t="s">
        <v>1026</v>
      </c>
      <c r="K1744" s="187" t="s">
        <v>116</v>
      </c>
      <c r="L1744" s="195"/>
      <c r="M1744" s="195"/>
      <c r="N1744" s="195"/>
      <c r="O1744" s="199"/>
      <c r="P1744" s="188"/>
      <c r="Q1744" s="174">
        <f>IF(ISNUMBER(VLOOKUP(A1744,NotghiID!A:A,1,FALSE)),1,0)</f>
        <v>0</v>
      </c>
    </row>
    <row r="1745" spans="1:17" ht="14.25" x14ac:dyDescent="0.2">
      <c r="A1745" s="183">
        <v>529</v>
      </c>
      <c r="B1745" s="232" t="str">
        <f>IF(AND(A1745&lt;&gt;"",ISNUMBER(A1745)),VLOOKUP(A1745,Studies!A:BR,2,FALSE),"")</f>
        <v>Mouton 2006</v>
      </c>
      <c r="C1745" s="232" t="str">
        <f>IF(AND(A1745&lt;&gt;"",ISNUMBER(A1745)),VLOOKUP(A1745,Studies!A:BR,3,FALSE),"")</f>
        <v>https://www.ncbi.nlm.nih.gov/pubmed/16982783</v>
      </c>
      <c r="D1745" s="232" t="str">
        <f>IF(AND(A1745&lt;&gt;"",ISNUMBER(A1745)),VLOOKUP(A1745,Studies!A:BR,4,FALSE),"")</f>
        <v>SAD_B 100 mg</v>
      </c>
      <c r="E1745" s="206" t="str">
        <f>IF(AND(A1745&lt;&gt;"",ISNUMBER(A1745)),VLOOKUP(A1745,Studies!A:BR,5,FALSE),"")</f>
        <v>Hydroxy-Itraconazole</v>
      </c>
      <c r="F1745" s="207" t="str">
        <f>IF(AND(A1745&lt;&gt;"",ISNUMBER(A1745)),VLOOKUP(A1745,Studies!A:BR,6,FALSE),"")</f>
        <v>Plasma</v>
      </c>
      <c r="G1745" s="194">
        <v>24</v>
      </c>
      <c r="H1745" s="194" t="s">
        <v>60</v>
      </c>
      <c r="I1745" s="187">
        <v>111.69999837875366</v>
      </c>
      <c r="J1745" s="187" t="s">
        <v>1026</v>
      </c>
      <c r="K1745" s="187" t="s">
        <v>116</v>
      </c>
      <c r="L1745" s="195"/>
      <c r="M1745" s="195"/>
      <c r="N1745" s="195"/>
      <c r="O1745" s="199"/>
      <c r="P1745" s="188"/>
      <c r="Q1745" s="174">
        <f>IF(ISNUMBER(VLOOKUP(A1745,NotghiID!A:A,1,FALSE)),1,0)</f>
        <v>0</v>
      </c>
    </row>
    <row r="1746" spans="1:17" ht="14.25" x14ac:dyDescent="0.2">
      <c r="A1746" s="183">
        <v>529</v>
      </c>
      <c r="B1746" s="232" t="str">
        <f>IF(AND(A1746&lt;&gt;"",ISNUMBER(A1746)),VLOOKUP(A1746,Studies!A:BR,2,FALSE),"")</f>
        <v>Mouton 2006</v>
      </c>
      <c r="C1746" s="232" t="str">
        <f>IF(AND(A1746&lt;&gt;"",ISNUMBER(A1746)),VLOOKUP(A1746,Studies!A:BR,3,FALSE),"")</f>
        <v>https://www.ncbi.nlm.nih.gov/pubmed/16982783</v>
      </c>
      <c r="D1746" s="232" t="str">
        <f>IF(AND(A1746&lt;&gt;"",ISNUMBER(A1746)),VLOOKUP(A1746,Studies!A:BR,4,FALSE),"")</f>
        <v>SAD_B 100 mg</v>
      </c>
      <c r="E1746" s="206" t="str">
        <f>IF(AND(A1746&lt;&gt;"",ISNUMBER(A1746)),VLOOKUP(A1746,Studies!A:BR,5,FALSE),"")</f>
        <v>Hydroxy-Itraconazole</v>
      </c>
      <c r="F1746" s="207" t="str">
        <f>IF(AND(A1746&lt;&gt;"",ISNUMBER(A1746)),VLOOKUP(A1746,Studies!A:BR,6,FALSE),"")</f>
        <v>Plasma</v>
      </c>
      <c r="G1746" s="194">
        <v>32</v>
      </c>
      <c r="H1746" s="194" t="s">
        <v>60</v>
      </c>
      <c r="I1746" s="187">
        <v>76.269686222076416</v>
      </c>
      <c r="J1746" s="187" t="s">
        <v>1026</v>
      </c>
      <c r="K1746" s="187" t="s">
        <v>116</v>
      </c>
      <c r="L1746" s="195"/>
      <c r="M1746" s="195"/>
      <c r="N1746" s="195"/>
      <c r="O1746" s="199"/>
      <c r="P1746" s="188"/>
      <c r="Q1746" s="174">
        <f>IF(ISNUMBER(VLOOKUP(A1746,NotghiID!A:A,1,FALSE)),1,0)</f>
        <v>0</v>
      </c>
    </row>
    <row r="1747" spans="1:17" ht="14.25" x14ac:dyDescent="0.2">
      <c r="A1747" s="183">
        <v>529</v>
      </c>
      <c r="B1747" s="232" t="str">
        <f>IF(AND(A1747&lt;&gt;"",ISNUMBER(A1747)),VLOOKUP(A1747,Studies!A:BR,2,FALSE),"")</f>
        <v>Mouton 2006</v>
      </c>
      <c r="C1747" s="232" t="str">
        <f>IF(AND(A1747&lt;&gt;"",ISNUMBER(A1747)),VLOOKUP(A1747,Studies!A:BR,3,FALSE),"")</f>
        <v>https://www.ncbi.nlm.nih.gov/pubmed/16982783</v>
      </c>
      <c r="D1747" s="232" t="str">
        <f>IF(AND(A1747&lt;&gt;"",ISNUMBER(A1747)),VLOOKUP(A1747,Studies!A:BR,4,FALSE),"")</f>
        <v>SAD_B 100 mg</v>
      </c>
      <c r="E1747" s="206" t="str">
        <f>IF(AND(A1747&lt;&gt;"",ISNUMBER(A1747)),VLOOKUP(A1747,Studies!A:BR,5,FALSE),"")</f>
        <v>Hydroxy-Itraconazole</v>
      </c>
      <c r="F1747" s="207" t="str">
        <f>IF(AND(A1747&lt;&gt;"",ISNUMBER(A1747)),VLOOKUP(A1747,Studies!A:BR,6,FALSE),"")</f>
        <v>Plasma</v>
      </c>
      <c r="G1747" s="194">
        <v>48</v>
      </c>
      <c r="H1747" s="194" t="s">
        <v>60</v>
      </c>
      <c r="I1747" s="187">
        <v>34.346815198659897</v>
      </c>
      <c r="J1747" s="187" t="s">
        <v>1026</v>
      </c>
      <c r="K1747" s="187" t="s">
        <v>116</v>
      </c>
      <c r="L1747" s="195"/>
      <c r="M1747" s="195"/>
      <c r="N1747" s="195"/>
      <c r="O1747" s="199"/>
      <c r="P1747" s="188"/>
      <c r="Q1747" s="174">
        <f>IF(ISNUMBER(VLOOKUP(A1747,NotghiID!A:A,1,FALSE)),1,0)</f>
        <v>0</v>
      </c>
    </row>
    <row r="1748" spans="1:17" ht="14.25" x14ac:dyDescent="0.2">
      <c r="A1748" s="183">
        <v>529</v>
      </c>
      <c r="B1748" s="232" t="str">
        <f>IF(AND(A1748&lt;&gt;"",ISNUMBER(A1748)),VLOOKUP(A1748,Studies!A:BR,2,FALSE),"")</f>
        <v>Mouton 2006</v>
      </c>
      <c r="C1748" s="232" t="str">
        <f>IF(AND(A1748&lt;&gt;"",ISNUMBER(A1748)),VLOOKUP(A1748,Studies!A:BR,3,FALSE),"")</f>
        <v>https://www.ncbi.nlm.nih.gov/pubmed/16982783</v>
      </c>
      <c r="D1748" s="232" t="str">
        <f>IF(AND(A1748&lt;&gt;"",ISNUMBER(A1748)),VLOOKUP(A1748,Studies!A:BR,4,FALSE),"")</f>
        <v>SAD_B 100 mg</v>
      </c>
      <c r="E1748" s="206" t="str">
        <f>IF(AND(A1748&lt;&gt;"",ISNUMBER(A1748)),VLOOKUP(A1748,Studies!A:BR,5,FALSE),"")</f>
        <v>Hydroxy-Itraconazole</v>
      </c>
      <c r="F1748" s="207" t="str">
        <f>IF(AND(A1748&lt;&gt;"",ISNUMBER(A1748)),VLOOKUP(A1748,Studies!A:BR,6,FALSE),"")</f>
        <v>Plasma</v>
      </c>
      <c r="G1748" s="194">
        <v>72</v>
      </c>
      <c r="H1748" s="194" t="s">
        <v>60</v>
      </c>
      <c r="I1748" s="187">
        <v>11.855832301080227</v>
      </c>
      <c r="J1748" s="187" t="s">
        <v>1026</v>
      </c>
      <c r="K1748" s="187" t="s">
        <v>116</v>
      </c>
      <c r="L1748" s="195"/>
      <c r="M1748" s="195"/>
      <c r="N1748" s="195"/>
      <c r="O1748" s="199"/>
      <c r="P1748" s="188"/>
      <c r="Q1748" s="174">
        <f>IF(ISNUMBER(VLOOKUP(A1748,NotghiID!A:A,1,FALSE)),1,0)</f>
        <v>0</v>
      </c>
    </row>
    <row r="1749" spans="1:17" ht="14.25" x14ac:dyDescent="0.2">
      <c r="A1749" s="183">
        <v>529</v>
      </c>
      <c r="B1749" s="232" t="str">
        <f>IF(AND(A1749&lt;&gt;"",ISNUMBER(A1749)),VLOOKUP(A1749,Studies!A:BR,2,FALSE),"")</f>
        <v>Mouton 2006</v>
      </c>
      <c r="C1749" s="232" t="str">
        <f>IF(AND(A1749&lt;&gt;"",ISNUMBER(A1749)),VLOOKUP(A1749,Studies!A:BR,3,FALSE),"")</f>
        <v>https://www.ncbi.nlm.nih.gov/pubmed/16982783</v>
      </c>
      <c r="D1749" s="232" t="str">
        <f>IF(AND(A1749&lt;&gt;"",ISNUMBER(A1749)),VLOOKUP(A1749,Studies!A:BR,4,FALSE),"")</f>
        <v>SAD_B 100 mg</v>
      </c>
      <c r="E1749" s="206" t="str">
        <f>IF(AND(A1749&lt;&gt;"",ISNUMBER(A1749)),VLOOKUP(A1749,Studies!A:BR,5,FALSE),"")</f>
        <v>Hydroxy-Itraconazole</v>
      </c>
      <c r="F1749" s="207" t="str">
        <f>IF(AND(A1749&lt;&gt;"",ISNUMBER(A1749)),VLOOKUP(A1749,Studies!A:BR,6,FALSE),"")</f>
        <v>Plasma</v>
      </c>
      <c r="G1749" s="194">
        <v>96</v>
      </c>
      <c r="H1749" s="194" t="s">
        <v>60</v>
      </c>
      <c r="I1749" s="187">
        <v>5.4011666215956211</v>
      </c>
      <c r="J1749" s="187" t="s">
        <v>1026</v>
      </c>
      <c r="K1749" s="187" t="s">
        <v>116</v>
      </c>
      <c r="L1749" s="195"/>
      <c r="M1749" s="195"/>
      <c r="N1749" s="195"/>
      <c r="O1749" s="199"/>
      <c r="P1749" s="188"/>
      <c r="Q1749" s="174">
        <f>IF(ISNUMBER(VLOOKUP(A1749,NotghiID!A:A,1,FALSE)),1,0)</f>
        <v>0</v>
      </c>
    </row>
    <row r="1750" spans="1:17" ht="14.25" x14ac:dyDescent="0.2">
      <c r="A1750" s="183">
        <v>530</v>
      </c>
      <c r="B1750" s="232" t="str">
        <f>IF(AND(A1750&lt;&gt;"",ISNUMBER(A1750)),VLOOKUP(A1750,Studies!A:BR,2,FALSE),"")</f>
        <v>Mouton 2006</v>
      </c>
      <c r="C1750" s="232" t="str">
        <f>IF(AND(A1750&lt;&gt;"",ISNUMBER(A1750)),VLOOKUP(A1750,Studies!A:BR,3,FALSE),"")</f>
        <v>https://www.ncbi.nlm.nih.gov/pubmed/16982783</v>
      </c>
      <c r="D1750" s="232" t="str">
        <f>IF(AND(A1750&lt;&gt;"",ISNUMBER(A1750)),VLOOKUP(A1750,Studies!A:BR,4,FALSE),"")</f>
        <v>SAD_A 200 mg</v>
      </c>
      <c r="E1750" s="206" t="str">
        <f>IF(AND(A1750&lt;&gt;"",ISNUMBER(A1750)),VLOOKUP(A1750,Studies!A:BR,5,FALSE),"")</f>
        <v>Hydroxy-Itraconazole</v>
      </c>
      <c r="F1750" s="207" t="str">
        <f>IF(AND(A1750&lt;&gt;"",ISNUMBER(A1750)),VLOOKUP(A1750,Studies!A:BR,6,FALSE),"")</f>
        <v>Plasma</v>
      </c>
      <c r="G1750" s="194">
        <v>1.5</v>
      </c>
      <c r="H1750" s="194" t="s">
        <v>60</v>
      </c>
      <c r="I1750" s="187">
        <v>281.6776123046875</v>
      </c>
      <c r="J1750" s="187" t="s">
        <v>1026</v>
      </c>
      <c r="K1750" s="187" t="s">
        <v>116</v>
      </c>
      <c r="L1750" s="195"/>
      <c r="M1750" s="195"/>
      <c r="N1750" s="195"/>
      <c r="O1750" s="199"/>
      <c r="P1750" s="188"/>
      <c r="Q1750" s="174">
        <f>IF(ISNUMBER(VLOOKUP(A1750,NotghiID!A:A,1,FALSE)),1,0)</f>
        <v>0</v>
      </c>
    </row>
    <row r="1751" spans="1:17" ht="14.25" x14ac:dyDescent="0.2">
      <c r="A1751" s="183">
        <v>530</v>
      </c>
      <c r="B1751" s="232" t="str">
        <f>IF(AND(A1751&lt;&gt;"",ISNUMBER(A1751)),VLOOKUP(A1751,Studies!A:BR,2,FALSE),"")</f>
        <v>Mouton 2006</v>
      </c>
      <c r="C1751" s="232" t="str">
        <f>IF(AND(A1751&lt;&gt;"",ISNUMBER(A1751)),VLOOKUP(A1751,Studies!A:BR,3,FALSE),"")</f>
        <v>https://www.ncbi.nlm.nih.gov/pubmed/16982783</v>
      </c>
      <c r="D1751" s="232" t="str">
        <f>IF(AND(A1751&lt;&gt;"",ISNUMBER(A1751)),VLOOKUP(A1751,Studies!A:BR,4,FALSE),"")</f>
        <v>SAD_A 200 mg</v>
      </c>
      <c r="E1751" s="206" t="str">
        <f>IF(AND(A1751&lt;&gt;"",ISNUMBER(A1751)),VLOOKUP(A1751,Studies!A:BR,5,FALSE),"")</f>
        <v>Hydroxy-Itraconazole</v>
      </c>
      <c r="F1751" s="207" t="str">
        <f>IF(AND(A1751&lt;&gt;"",ISNUMBER(A1751)),VLOOKUP(A1751,Studies!A:BR,6,FALSE),"")</f>
        <v>Plasma</v>
      </c>
      <c r="G1751" s="194">
        <v>2.5</v>
      </c>
      <c r="H1751" s="194" t="s">
        <v>60</v>
      </c>
      <c r="I1751" s="187">
        <v>359.08584594726562</v>
      </c>
      <c r="J1751" s="187" t="s">
        <v>1026</v>
      </c>
      <c r="K1751" s="187" t="s">
        <v>116</v>
      </c>
      <c r="L1751" s="195"/>
      <c r="M1751" s="195"/>
      <c r="N1751" s="195"/>
      <c r="O1751" s="199"/>
      <c r="P1751" s="188"/>
      <c r="Q1751" s="174">
        <f>IF(ISNUMBER(VLOOKUP(A1751,NotghiID!A:A,1,FALSE)),1,0)</f>
        <v>0</v>
      </c>
    </row>
    <row r="1752" spans="1:17" ht="14.25" x14ac:dyDescent="0.2">
      <c r="A1752" s="183">
        <v>530</v>
      </c>
      <c r="B1752" s="232" t="str">
        <f>IF(AND(A1752&lt;&gt;"",ISNUMBER(A1752)),VLOOKUP(A1752,Studies!A:BR,2,FALSE),"")</f>
        <v>Mouton 2006</v>
      </c>
      <c r="C1752" s="232" t="str">
        <f>IF(AND(A1752&lt;&gt;"",ISNUMBER(A1752)),VLOOKUP(A1752,Studies!A:BR,3,FALSE),"")</f>
        <v>https://www.ncbi.nlm.nih.gov/pubmed/16982783</v>
      </c>
      <c r="D1752" s="232" t="str">
        <f>IF(AND(A1752&lt;&gt;"",ISNUMBER(A1752)),VLOOKUP(A1752,Studies!A:BR,4,FALSE),"")</f>
        <v>SAD_A 200 mg</v>
      </c>
      <c r="E1752" s="206" t="str">
        <f>IF(AND(A1752&lt;&gt;"",ISNUMBER(A1752)),VLOOKUP(A1752,Studies!A:BR,5,FALSE),"")</f>
        <v>Hydroxy-Itraconazole</v>
      </c>
      <c r="F1752" s="207" t="str">
        <f>IF(AND(A1752&lt;&gt;"",ISNUMBER(A1752)),VLOOKUP(A1752,Studies!A:BR,6,FALSE),"")</f>
        <v>Plasma</v>
      </c>
      <c r="G1752" s="194">
        <v>3</v>
      </c>
      <c r="H1752" s="194" t="s">
        <v>60</v>
      </c>
      <c r="I1752" s="187">
        <v>393.88409423828125</v>
      </c>
      <c r="J1752" s="187" t="s">
        <v>1026</v>
      </c>
      <c r="K1752" s="187" t="s">
        <v>116</v>
      </c>
      <c r="L1752" s="195"/>
      <c r="M1752" s="195"/>
      <c r="N1752" s="195"/>
      <c r="O1752" s="199"/>
      <c r="P1752" s="188"/>
      <c r="Q1752" s="174">
        <f>IF(ISNUMBER(VLOOKUP(A1752,NotghiID!A:A,1,FALSE)),1,0)</f>
        <v>0</v>
      </c>
    </row>
    <row r="1753" spans="1:17" ht="14.25" x14ac:dyDescent="0.2">
      <c r="A1753" s="183">
        <v>530</v>
      </c>
      <c r="B1753" s="232" t="str">
        <f>IF(AND(A1753&lt;&gt;"",ISNUMBER(A1753)),VLOOKUP(A1753,Studies!A:BR,2,FALSE),"")</f>
        <v>Mouton 2006</v>
      </c>
      <c r="C1753" s="232" t="str">
        <f>IF(AND(A1753&lt;&gt;"",ISNUMBER(A1753)),VLOOKUP(A1753,Studies!A:BR,3,FALSE),"")</f>
        <v>https://www.ncbi.nlm.nih.gov/pubmed/16982783</v>
      </c>
      <c r="D1753" s="232" t="str">
        <f>IF(AND(A1753&lt;&gt;"",ISNUMBER(A1753)),VLOOKUP(A1753,Studies!A:BR,4,FALSE),"")</f>
        <v>SAD_A 200 mg</v>
      </c>
      <c r="E1753" s="206" t="str">
        <f>IF(AND(A1753&lt;&gt;"",ISNUMBER(A1753)),VLOOKUP(A1753,Studies!A:BR,5,FALSE),"")</f>
        <v>Hydroxy-Itraconazole</v>
      </c>
      <c r="F1753" s="207" t="str">
        <f>IF(AND(A1753&lt;&gt;"",ISNUMBER(A1753)),VLOOKUP(A1753,Studies!A:BR,6,FALSE),"")</f>
        <v>Plasma</v>
      </c>
      <c r="G1753" s="194">
        <v>4</v>
      </c>
      <c r="H1753" s="194" t="s">
        <v>60</v>
      </c>
      <c r="I1753" s="187">
        <v>417.32516479492187</v>
      </c>
      <c r="J1753" s="187" t="s">
        <v>1026</v>
      </c>
      <c r="K1753" s="187" t="s">
        <v>116</v>
      </c>
      <c r="L1753" s="195"/>
      <c r="M1753" s="195"/>
      <c r="N1753" s="195"/>
      <c r="O1753" s="199"/>
      <c r="P1753" s="188"/>
      <c r="Q1753" s="174">
        <f>IF(ISNUMBER(VLOOKUP(A1753,NotghiID!A:A,1,FALSE)),1,0)</f>
        <v>0</v>
      </c>
    </row>
    <row r="1754" spans="1:17" ht="14.25" x14ac:dyDescent="0.2">
      <c r="A1754" s="183">
        <v>530</v>
      </c>
      <c r="B1754" s="232" t="str">
        <f>IF(AND(A1754&lt;&gt;"",ISNUMBER(A1754)),VLOOKUP(A1754,Studies!A:BR,2,FALSE),"")</f>
        <v>Mouton 2006</v>
      </c>
      <c r="C1754" s="232" t="str">
        <f>IF(AND(A1754&lt;&gt;"",ISNUMBER(A1754)),VLOOKUP(A1754,Studies!A:BR,3,FALSE),"")</f>
        <v>https://www.ncbi.nlm.nih.gov/pubmed/16982783</v>
      </c>
      <c r="D1754" s="232" t="str">
        <f>IF(AND(A1754&lt;&gt;"",ISNUMBER(A1754)),VLOOKUP(A1754,Studies!A:BR,4,FALSE),"")</f>
        <v>SAD_A 200 mg</v>
      </c>
      <c r="E1754" s="206" t="str">
        <f>IF(AND(A1754&lt;&gt;"",ISNUMBER(A1754)),VLOOKUP(A1754,Studies!A:BR,5,FALSE),"")</f>
        <v>Hydroxy-Itraconazole</v>
      </c>
      <c r="F1754" s="207" t="str">
        <f>IF(AND(A1754&lt;&gt;"",ISNUMBER(A1754)),VLOOKUP(A1754,Studies!A:BR,6,FALSE),"")</f>
        <v>Plasma</v>
      </c>
      <c r="G1754" s="194">
        <v>5</v>
      </c>
      <c r="H1754" s="194" t="s">
        <v>60</v>
      </c>
      <c r="I1754" s="187">
        <v>452.50482177734375</v>
      </c>
      <c r="J1754" s="187" t="s">
        <v>1026</v>
      </c>
      <c r="K1754" s="187" t="s">
        <v>116</v>
      </c>
      <c r="L1754" s="195"/>
      <c r="M1754" s="195"/>
      <c r="N1754" s="195"/>
      <c r="O1754" s="199"/>
      <c r="P1754" s="188"/>
      <c r="Q1754" s="174">
        <f>IF(ISNUMBER(VLOOKUP(A1754,NotghiID!A:A,1,FALSE)),1,0)</f>
        <v>0</v>
      </c>
    </row>
    <row r="1755" spans="1:17" ht="14.25" x14ac:dyDescent="0.2">
      <c r="A1755" s="183">
        <v>530</v>
      </c>
      <c r="B1755" s="232" t="str">
        <f>IF(AND(A1755&lt;&gt;"",ISNUMBER(A1755)),VLOOKUP(A1755,Studies!A:BR,2,FALSE),"")</f>
        <v>Mouton 2006</v>
      </c>
      <c r="C1755" s="232" t="str">
        <f>IF(AND(A1755&lt;&gt;"",ISNUMBER(A1755)),VLOOKUP(A1755,Studies!A:BR,3,FALSE),"")</f>
        <v>https://www.ncbi.nlm.nih.gov/pubmed/16982783</v>
      </c>
      <c r="D1755" s="232" t="str">
        <f>IF(AND(A1755&lt;&gt;"",ISNUMBER(A1755)),VLOOKUP(A1755,Studies!A:BR,4,FALSE),"")</f>
        <v>SAD_A 200 mg</v>
      </c>
      <c r="E1755" s="206" t="str">
        <f>IF(AND(A1755&lt;&gt;"",ISNUMBER(A1755)),VLOOKUP(A1755,Studies!A:BR,5,FALSE),"")</f>
        <v>Hydroxy-Itraconazole</v>
      </c>
      <c r="F1755" s="207" t="str">
        <f>IF(AND(A1755&lt;&gt;"",ISNUMBER(A1755)),VLOOKUP(A1755,Studies!A:BR,6,FALSE),"")</f>
        <v>Plasma</v>
      </c>
      <c r="G1755" s="194">
        <v>7</v>
      </c>
      <c r="H1755" s="194" t="s">
        <v>60</v>
      </c>
      <c r="I1755" s="187">
        <v>479.4345703125</v>
      </c>
      <c r="J1755" s="187" t="s">
        <v>1026</v>
      </c>
      <c r="K1755" s="187" t="s">
        <v>116</v>
      </c>
      <c r="L1755" s="195"/>
      <c r="M1755" s="195"/>
      <c r="N1755" s="195"/>
      <c r="O1755" s="199"/>
      <c r="P1755" s="188"/>
      <c r="Q1755" s="174">
        <f>IF(ISNUMBER(VLOOKUP(A1755,NotghiID!A:A,1,FALSE)),1,0)</f>
        <v>0</v>
      </c>
    </row>
    <row r="1756" spans="1:17" ht="14.25" x14ac:dyDescent="0.2">
      <c r="A1756" s="183">
        <v>530</v>
      </c>
      <c r="B1756" s="232" t="str">
        <f>IF(AND(A1756&lt;&gt;"",ISNUMBER(A1756)),VLOOKUP(A1756,Studies!A:BR,2,FALSE),"")</f>
        <v>Mouton 2006</v>
      </c>
      <c r="C1756" s="232" t="str">
        <f>IF(AND(A1756&lt;&gt;"",ISNUMBER(A1756)),VLOOKUP(A1756,Studies!A:BR,3,FALSE),"")</f>
        <v>https://www.ncbi.nlm.nih.gov/pubmed/16982783</v>
      </c>
      <c r="D1756" s="232" t="str">
        <f>IF(AND(A1756&lt;&gt;"",ISNUMBER(A1756)),VLOOKUP(A1756,Studies!A:BR,4,FALSE),"")</f>
        <v>SAD_A 200 mg</v>
      </c>
      <c r="E1756" s="206" t="str">
        <f>IF(AND(A1756&lt;&gt;"",ISNUMBER(A1756)),VLOOKUP(A1756,Studies!A:BR,5,FALSE),"")</f>
        <v>Hydroxy-Itraconazole</v>
      </c>
      <c r="F1756" s="207" t="str">
        <f>IF(AND(A1756&lt;&gt;"",ISNUMBER(A1756)),VLOOKUP(A1756,Studies!A:BR,6,FALSE),"")</f>
        <v>Plasma</v>
      </c>
      <c r="G1756" s="194">
        <v>9</v>
      </c>
      <c r="H1756" s="194" t="s">
        <v>60</v>
      </c>
      <c r="I1756" s="187">
        <v>479.4345703125</v>
      </c>
      <c r="J1756" s="187" t="s">
        <v>1026</v>
      </c>
      <c r="K1756" s="187" t="s">
        <v>116</v>
      </c>
      <c r="L1756" s="195"/>
      <c r="M1756" s="195"/>
      <c r="N1756" s="195"/>
      <c r="O1756" s="199"/>
      <c r="P1756" s="188"/>
      <c r="Q1756" s="174">
        <f>IF(ISNUMBER(VLOOKUP(A1756,NotghiID!A:A,1,FALSE)),1,0)</f>
        <v>0</v>
      </c>
    </row>
    <row r="1757" spans="1:17" ht="14.25" x14ac:dyDescent="0.2">
      <c r="A1757" s="183">
        <v>530</v>
      </c>
      <c r="B1757" s="232" t="str">
        <f>IF(AND(A1757&lt;&gt;"",ISNUMBER(A1757)),VLOOKUP(A1757,Studies!A:BR,2,FALSE),"")</f>
        <v>Mouton 2006</v>
      </c>
      <c r="C1757" s="232" t="str">
        <f>IF(AND(A1757&lt;&gt;"",ISNUMBER(A1757)),VLOOKUP(A1757,Studies!A:BR,3,FALSE),"")</f>
        <v>https://www.ncbi.nlm.nih.gov/pubmed/16982783</v>
      </c>
      <c r="D1757" s="232" t="str">
        <f>IF(AND(A1757&lt;&gt;"",ISNUMBER(A1757)),VLOOKUP(A1757,Studies!A:BR,4,FALSE),"")</f>
        <v>SAD_A 200 mg</v>
      </c>
      <c r="E1757" s="206" t="str">
        <f>IF(AND(A1757&lt;&gt;"",ISNUMBER(A1757)),VLOOKUP(A1757,Studies!A:BR,5,FALSE),"")</f>
        <v>Hydroxy-Itraconazole</v>
      </c>
      <c r="F1757" s="207" t="str">
        <f>IF(AND(A1757&lt;&gt;"",ISNUMBER(A1757)),VLOOKUP(A1757,Studies!A:BR,6,FALSE),"")</f>
        <v>Plasma</v>
      </c>
      <c r="G1757" s="194">
        <v>24</v>
      </c>
      <c r="H1757" s="194" t="s">
        <v>60</v>
      </c>
      <c r="I1757" s="187">
        <v>295.01046752929688</v>
      </c>
      <c r="J1757" s="187" t="s">
        <v>1026</v>
      </c>
      <c r="K1757" s="187" t="s">
        <v>116</v>
      </c>
      <c r="L1757" s="195"/>
      <c r="M1757" s="195"/>
      <c r="N1757" s="195"/>
      <c r="O1757" s="199"/>
      <c r="P1757" s="188"/>
      <c r="Q1757" s="174">
        <f>IF(ISNUMBER(VLOOKUP(A1757,NotghiID!A:A,1,FALSE)),1,0)</f>
        <v>0</v>
      </c>
    </row>
    <row r="1758" spans="1:17" ht="14.25" x14ac:dyDescent="0.2">
      <c r="A1758" s="183">
        <v>530</v>
      </c>
      <c r="B1758" s="232" t="str">
        <f>IF(AND(A1758&lt;&gt;"",ISNUMBER(A1758)),VLOOKUP(A1758,Studies!A:BR,2,FALSE),"")</f>
        <v>Mouton 2006</v>
      </c>
      <c r="C1758" s="232" t="str">
        <f>IF(AND(A1758&lt;&gt;"",ISNUMBER(A1758)),VLOOKUP(A1758,Studies!A:BR,3,FALSE),"")</f>
        <v>https://www.ncbi.nlm.nih.gov/pubmed/16982783</v>
      </c>
      <c r="D1758" s="232" t="str">
        <f>IF(AND(A1758&lt;&gt;"",ISNUMBER(A1758)),VLOOKUP(A1758,Studies!A:BR,4,FALSE),"")</f>
        <v>SAD_A 200 mg</v>
      </c>
      <c r="E1758" s="206" t="str">
        <f>IF(AND(A1758&lt;&gt;"",ISNUMBER(A1758)),VLOOKUP(A1758,Studies!A:BR,5,FALSE),"")</f>
        <v>Hydroxy-Itraconazole</v>
      </c>
      <c r="F1758" s="207" t="str">
        <f>IF(AND(A1758&lt;&gt;"",ISNUMBER(A1758)),VLOOKUP(A1758,Studies!A:BR,6,FALSE),"")</f>
        <v>Plasma</v>
      </c>
      <c r="G1758" s="194">
        <v>32</v>
      </c>
      <c r="H1758" s="194" t="s">
        <v>60</v>
      </c>
      <c r="I1758" s="187">
        <v>199.12014770507812</v>
      </c>
      <c r="J1758" s="187" t="s">
        <v>1026</v>
      </c>
      <c r="K1758" s="187" t="s">
        <v>116</v>
      </c>
      <c r="L1758" s="195"/>
      <c r="M1758" s="195"/>
      <c r="N1758" s="195"/>
      <c r="O1758" s="199"/>
      <c r="P1758" s="188"/>
      <c r="Q1758" s="174">
        <f>IF(ISNUMBER(VLOOKUP(A1758,NotghiID!A:A,1,FALSE)),1,0)</f>
        <v>0</v>
      </c>
    </row>
    <row r="1759" spans="1:17" ht="14.25" x14ac:dyDescent="0.2">
      <c r="A1759" s="183">
        <v>530</v>
      </c>
      <c r="B1759" s="232" t="str">
        <f>IF(AND(A1759&lt;&gt;"",ISNUMBER(A1759)),VLOOKUP(A1759,Studies!A:BR,2,FALSE),"")</f>
        <v>Mouton 2006</v>
      </c>
      <c r="C1759" s="232" t="str">
        <f>IF(AND(A1759&lt;&gt;"",ISNUMBER(A1759)),VLOOKUP(A1759,Studies!A:BR,3,FALSE),"")</f>
        <v>https://www.ncbi.nlm.nih.gov/pubmed/16982783</v>
      </c>
      <c r="D1759" s="232" t="str">
        <f>IF(AND(A1759&lt;&gt;"",ISNUMBER(A1759)),VLOOKUP(A1759,Studies!A:BR,4,FALSE),"")</f>
        <v>SAD_A 200 mg</v>
      </c>
      <c r="E1759" s="206" t="str">
        <f>IF(AND(A1759&lt;&gt;"",ISNUMBER(A1759)),VLOOKUP(A1759,Studies!A:BR,5,FALSE),"")</f>
        <v>Hydroxy-Itraconazole</v>
      </c>
      <c r="F1759" s="207" t="str">
        <f>IF(AND(A1759&lt;&gt;"",ISNUMBER(A1759)),VLOOKUP(A1759,Studies!A:BR,6,FALSE),"")</f>
        <v>Plasma</v>
      </c>
      <c r="G1759" s="194">
        <v>48</v>
      </c>
      <c r="H1759" s="194" t="s">
        <v>60</v>
      </c>
      <c r="I1759" s="187">
        <v>91.768104553222656</v>
      </c>
      <c r="J1759" s="187" t="s">
        <v>1026</v>
      </c>
      <c r="K1759" s="187" t="s">
        <v>116</v>
      </c>
      <c r="L1759" s="195"/>
      <c r="M1759" s="195"/>
      <c r="N1759" s="195"/>
      <c r="O1759" s="199"/>
      <c r="P1759" s="188"/>
      <c r="Q1759" s="174">
        <f>IF(ISNUMBER(VLOOKUP(A1759,NotghiID!A:A,1,FALSE)),1,0)</f>
        <v>0</v>
      </c>
    </row>
    <row r="1760" spans="1:17" ht="14.25" x14ac:dyDescent="0.2">
      <c r="A1760" s="183">
        <v>530</v>
      </c>
      <c r="B1760" s="232" t="str">
        <f>IF(AND(A1760&lt;&gt;"",ISNUMBER(A1760)),VLOOKUP(A1760,Studies!A:BR,2,FALSE),"")</f>
        <v>Mouton 2006</v>
      </c>
      <c r="C1760" s="232" t="str">
        <f>IF(AND(A1760&lt;&gt;"",ISNUMBER(A1760)),VLOOKUP(A1760,Studies!A:BR,3,FALSE),"")</f>
        <v>https://www.ncbi.nlm.nih.gov/pubmed/16982783</v>
      </c>
      <c r="D1760" s="232" t="str">
        <f>IF(AND(A1760&lt;&gt;"",ISNUMBER(A1760)),VLOOKUP(A1760,Studies!A:BR,4,FALSE),"")</f>
        <v>SAD_A 200 mg</v>
      </c>
      <c r="E1760" s="206" t="str">
        <f>IF(AND(A1760&lt;&gt;"",ISNUMBER(A1760)),VLOOKUP(A1760,Studies!A:BR,5,FALSE),"")</f>
        <v>Hydroxy-Itraconazole</v>
      </c>
      <c r="F1760" s="207" t="str">
        <f>IF(AND(A1760&lt;&gt;"",ISNUMBER(A1760)),VLOOKUP(A1760,Studies!A:BR,6,FALSE),"")</f>
        <v>Plasma</v>
      </c>
      <c r="G1760" s="194">
        <v>72</v>
      </c>
      <c r="H1760" s="194" t="s">
        <v>60</v>
      </c>
      <c r="I1760" s="187">
        <v>23.452291488647461</v>
      </c>
      <c r="J1760" s="187" t="s">
        <v>1026</v>
      </c>
      <c r="K1760" s="187" t="s">
        <v>116</v>
      </c>
      <c r="L1760" s="195"/>
      <c r="M1760" s="195"/>
      <c r="N1760" s="195"/>
      <c r="O1760" s="199"/>
      <c r="P1760" s="188"/>
      <c r="Q1760" s="174">
        <f>IF(ISNUMBER(VLOOKUP(A1760,NotghiID!A:A,1,FALSE)),1,0)</f>
        <v>0</v>
      </c>
    </row>
    <row r="1761" spans="1:17" ht="14.25" x14ac:dyDescent="0.2">
      <c r="A1761" s="183">
        <v>530</v>
      </c>
      <c r="B1761" s="232" t="str">
        <f>IF(AND(A1761&lt;&gt;"",ISNUMBER(A1761)),VLOOKUP(A1761,Studies!A:BR,2,FALSE),"")</f>
        <v>Mouton 2006</v>
      </c>
      <c r="C1761" s="232" t="str">
        <f>IF(AND(A1761&lt;&gt;"",ISNUMBER(A1761)),VLOOKUP(A1761,Studies!A:BR,3,FALSE),"")</f>
        <v>https://www.ncbi.nlm.nih.gov/pubmed/16982783</v>
      </c>
      <c r="D1761" s="232" t="str">
        <f>IF(AND(A1761&lt;&gt;"",ISNUMBER(A1761)),VLOOKUP(A1761,Studies!A:BR,4,FALSE),"")</f>
        <v>SAD_A 200 mg</v>
      </c>
      <c r="E1761" s="206" t="str">
        <f>IF(AND(A1761&lt;&gt;"",ISNUMBER(A1761)),VLOOKUP(A1761,Studies!A:BR,5,FALSE),"")</f>
        <v>Hydroxy-Itraconazole</v>
      </c>
      <c r="F1761" s="207" t="str">
        <f>IF(AND(A1761&lt;&gt;"",ISNUMBER(A1761)),VLOOKUP(A1761,Studies!A:BR,6,FALSE),"")</f>
        <v>Plasma</v>
      </c>
      <c r="G1761" s="194">
        <v>96</v>
      </c>
      <c r="H1761" s="194" t="s">
        <v>60</v>
      </c>
      <c r="I1761" s="187">
        <v>10.084043502807617</v>
      </c>
      <c r="J1761" s="187" t="s">
        <v>1026</v>
      </c>
      <c r="K1761" s="187" t="s">
        <v>116</v>
      </c>
      <c r="L1761" s="195"/>
      <c r="M1761" s="195"/>
      <c r="N1761" s="195"/>
      <c r="O1761" s="199"/>
      <c r="P1761" s="188"/>
      <c r="Q1761" s="174">
        <f>IF(ISNUMBER(VLOOKUP(A1761,NotghiID!A:A,1,FALSE)),1,0)</f>
        <v>0</v>
      </c>
    </row>
    <row r="1762" spans="1:17" ht="14.25" x14ac:dyDescent="0.2">
      <c r="A1762" s="183">
        <v>531</v>
      </c>
      <c r="B1762" s="232" t="str">
        <f>IF(AND(A1762&lt;&gt;"",ISNUMBER(A1762)),VLOOKUP(A1762,Studies!A:BR,2,FALSE),"")</f>
        <v>Mouton 2006</v>
      </c>
      <c r="C1762" s="232" t="str">
        <f>IF(AND(A1762&lt;&gt;"",ISNUMBER(A1762)),VLOOKUP(A1762,Studies!A:BR,3,FALSE),"")</f>
        <v>https://www.ncbi.nlm.nih.gov/pubmed/16982783</v>
      </c>
      <c r="D1762" s="232" t="str">
        <f>IF(AND(A1762&lt;&gt;"",ISNUMBER(A1762)),VLOOKUP(A1762,Studies!A:BR,4,FALSE),"")</f>
        <v>SAD_B 300 mg</v>
      </c>
      <c r="E1762" s="206" t="str">
        <f>IF(AND(A1762&lt;&gt;"",ISNUMBER(A1762)),VLOOKUP(A1762,Studies!A:BR,5,FALSE),"")</f>
        <v>Hydroxy-Itraconazole</v>
      </c>
      <c r="F1762" s="207" t="str">
        <f>IF(AND(A1762&lt;&gt;"",ISNUMBER(A1762)),VLOOKUP(A1762,Studies!A:BR,6,FALSE),"")</f>
        <v>Plasma</v>
      </c>
      <c r="G1762" s="194">
        <v>2</v>
      </c>
      <c r="H1762" s="194" t="s">
        <v>60</v>
      </c>
      <c r="I1762" s="187">
        <v>393.88409423828125</v>
      </c>
      <c r="J1762" s="187" t="s">
        <v>1026</v>
      </c>
      <c r="K1762" s="187" t="s">
        <v>116</v>
      </c>
      <c r="L1762" s="195"/>
      <c r="M1762" s="195"/>
      <c r="N1762" s="195"/>
      <c r="O1762" s="199"/>
      <c r="P1762" s="188"/>
      <c r="Q1762" s="174">
        <f>IF(ISNUMBER(VLOOKUP(A1762,NotghiID!A:A,1,FALSE)),1,0)</f>
        <v>0</v>
      </c>
    </row>
    <row r="1763" spans="1:17" ht="14.25" x14ac:dyDescent="0.2">
      <c r="A1763" s="183">
        <v>531</v>
      </c>
      <c r="B1763" s="232" t="str">
        <f>IF(AND(A1763&lt;&gt;"",ISNUMBER(A1763)),VLOOKUP(A1763,Studies!A:BR,2,FALSE),"")</f>
        <v>Mouton 2006</v>
      </c>
      <c r="C1763" s="232" t="str">
        <f>IF(AND(A1763&lt;&gt;"",ISNUMBER(A1763)),VLOOKUP(A1763,Studies!A:BR,3,FALSE),"")</f>
        <v>https://www.ncbi.nlm.nih.gov/pubmed/16982783</v>
      </c>
      <c r="D1763" s="232" t="str">
        <f>IF(AND(A1763&lt;&gt;"",ISNUMBER(A1763)),VLOOKUP(A1763,Studies!A:BR,4,FALSE),"")</f>
        <v>SAD_B 300 mg</v>
      </c>
      <c r="E1763" s="206" t="str">
        <f>IF(AND(A1763&lt;&gt;"",ISNUMBER(A1763)),VLOOKUP(A1763,Studies!A:BR,5,FALSE),"")</f>
        <v>Hydroxy-Itraconazole</v>
      </c>
      <c r="F1763" s="207" t="str">
        <f>IF(AND(A1763&lt;&gt;"",ISNUMBER(A1763)),VLOOKUP(A1763,Studies!A:BR,6,FALSE),"")</f>
        <v>Plasma</v>
      </c>
      <c r="G1763" s="194">
        <v>2.5</v>
      </c>
      <c r="H1763" s="194" t="s">
        <v>60</v>
      </c>
      <c r="I1763" s="187">
        <v>583.56695556640625</v>
      </c>
      <c r="J1763" s="187" t="s">
        <v>1026</v>
      </c>
      <c r="K1763" s="187" t="s">
        <v>116</v>
      </c>
      <c r="L1763" s="195"/>
      <c r="M1763" s="195"/>
      <c r="N1763" s="195"/>
      <c r="O1763" s="199"/>
      <c r="P1763" s="188"/>
      <c r="Q1763" s="174">
        <f>IF(ISNUMBER(VLOOKUP(A1763,NotghiID!A:A,1,FALSE)),1,0)</f>
        <v>0</v>
      </c>
    </row>
    <row r="1764" spans="1:17" ht="14.25" x14ac:dyDescent="0.2">
      <c r="A1764" s="183">
        <v>531</v>
      </c>
      <c r="B1764" s="232" t="str">
        <f>IF(AND(A1764&lt;&gt;"",ISNUMBER(A1764)),VLOOKUP(A1764,Studies!A:BR,2,FALSE),"")</f>
        <v>Mouton 2006</v>
      </c>
      <c r="C1764" s="232" t="str">
        <f>IF(AND(A1764&lt;&gt;"",ISNUMBER(A1764)),VLOOKUP(A1764,Studies!A:BR,3,FALSE),"")</f>
        <v>https://www.ncbi.nlm.nih.gov/pubmed/16982783</v>
      </c>
      <c r="D1764" s="232" t="str">
        <f>IF(AND(A1764&lt;&gt;"",ISNUMBER(A1764)),VLOOKUP(A1764,Studies!A:BR,4,FALSE),"")</f>
        <v>SAD_B 300 mg</v>
      </c>
      <c r="E1764" s="206" t="str">
        <f>IF(AND(A1764&lt;&gt;"",ISNUMBER(A1764)),VLOOKUP(A1764,Studies!A:BR,5,FALSE),"")</f>
        <v>Hydroxy-Itraconazole</v>
      </c>
      <c r="F1764" s="207" t="str">
        <f>IF(AND(A1764&lt;&gt;"",ISNUMBER(A1764)),VLOOKUP(A1764,Studies!A:BR,6,FALSE),"")</f>
        <v>Plasma</v>
      </c>
      <c r="G1764" s="194">
        <v>3</v>
      </c>
      <c r="H1764" s="194" t="s">
        <v>60</v>
      </c>
      <c r="I1764" s="187">
        <v>473.92355346679687</v>
      </c>
      <c r="J1764" s="187" t="s">
        <v>1026</v>
      </c>
      <c r="K1764" s="187" t="s">
        <v>116</v>
      </c>
      <c r="L1764" s="195"/>
      <c r="M1764" s="195"/>
      <c r="N1764" s="195"/>
      <c r="O1764" s="199"/>
      <c r="P1764" s="188"/>
      <c r="Q1764" s="174">
        <f>IF(ISNUMBER(VLOOKUP(A1764,NotghiID!A:A,1,FALSE)),1,0)</f>
        <v>0</v>
      </c>
    </row>
    <row r="1765" spans="1:17" ht="14.25" x14ac:dyDescent="0.2">
      <c r="A1765" s="183">
        <v>531</v>
      </c>
      <c r="B1765" s="232" t="str">
        <f>IF(AND(A1765&lt;&gt;"",ISNUMBER(A1765)),VLOOKUP(A1765,Studies!A:BR,2,FALSE),"")</f>
        <v>Mouton 2006</v>
      </c>
      <c r="C1765" s="232" t="str">
        <f>IF(AND(A1765&lt;&gt;"",ISNUMBER(A1765)),VLOOKUP(A1765,Studies!A:BR,3,FALSE),"")</f>
        <v>https://www.ncbi.nlm.nih.gov/pubmed/16982783</v>
      </c>
      <c r="D1765" s="232" t="str">
        <f>IF(AND(A1765&lt;&gt;"",ISNUMBER(A1765)),VLOOKUP(A1765,Studies!A:BR,4,FALSE),"")</f>
        <v>SAD_B 300 mg</v>
      </c>
      <c r="E1765" s="206" t="str">
        <f>IF(AND(A1765&lt;&gt;"",ISNUMBER(A1765)),VLOOKUP(A1765,Studies!A:BR,5,FALSE),"")</f>
        <v>Hydroxy-Itraconazole</v>
      </c>
      <c r="F1765" s="207" t="str">
        <f>IF(AND(A1765&lt;&gt;"",ISNUMBER(A1765)),VLOOKUP(A1765,Studies!A:BR,6,FALSE),"")</f>
        <v>Plasma</v>
      </c>
      <c r="G1765" s="194">
        <v>4</v>
      </c>
      <c r="H1765" s="194" t="s">
        <v>60</v>
      </c>
      <c r="I1765" s="187">
        <v>590.3529052734375</v>
      </c>
      <c r="J1765" s="187" t="s">
        <v>1026</v>
      </c>
      <c r="K1765" s="187" t="s">
        <v>116</v>
      </c>
      <c r="L1765" s="195"/>
      <c r="M1765" s="195"/>
      <c r="N1765" s="195"/>
      <c r="O1765" s="199"/>
      <c r="P1765" s="188"/>
      <c r="Q1765" s="174">
        <f>IF(ISNUMBER(VLOOKUP(A1765,NotghiID!A:A,1,FALSE)),1,0)</f>
        <v>0</v>
      </c>
    </row>
    <row r="1766" spans="1:17" ht="14.25" x14ac:dyDescent="0.2">
      <c r="A1766" s="183">
        <v>531</v>
      </c>
      <c r="B1766" s="232" t="str">
        <f>IF(AND(A1766&lt;&gt;"",ISNUMBER(A1766)),VLOOKUP(A1766,Studies!A:BR,2,FALSE),"")</f>
        <v>Mouton 2006</v>
      </c>
      <c r="C1766" s="232" t="str">
        <f>IF(AND(A1766&lt;&gt;"",ISNUMBER(A1766)),VLOOKUP(A1766,Studies!A:BR,3,FALSE),"")</f>
        <v>https://www.ncbi.nlm.nih.gov/pubmed/16982783</v>
      </c>
      <c r="D1766" s="232" t="str">
        <f>IF(AND(A1766&lt;&gt;"",ISNUMBER(A1766)),VLOOKUP(A1766,Studies!A:BR,4,FALSE),"")</f>
        <v>SAD_B 300 mg</v>
      </c>
      <c r="E1766" s="206" t="str">
        <f>IF(AND(A1766&lt;&gt;"",ISNUMBER(A1766)),VLOOKUP(A1766,Studies!A:BR,5,FALSE),"")</f>
        <v>Hydroxy-Itraconazole</v>
      </c>
      <c r="F1766" s="207" t="str">
        <f>IF(AND(A1766&lt;&gt;"",ISNUMBER(A1766)),VLOOKUP(A1766,Studies!A:BR,6,FALSE),"")</f>
        <v>Plasma</v>
      </c>
      <c r="G1766" s="194">
        <v>5</v>
      </c>
      <c r="H1766" s="194" t="s">
        <v>60</v>
      </c>
      <c r="I1766" s="187">
        <v>640.11846923828125</v>
      </c>
      <c r="J1766" s="187" t="s">
        <v>1026</v>
      </c>
      <c r="K1766" s="187" t="s">
        <v>116</v>
      </c>
      <c r="L1766" s="195"/>
      <c r="M1766" s="195"/>
      <c r="N1766" s="195"/>
      <c r="O1766" s="199"/>
      <c r="P1766" s="188"/>
      <c r="Q1766" s="174">
        <f>IF(ISNUMBER(VLOOKUP(A1766,NotghiID!A:A,1,FALSE)),1,0)</f>
        <v>0</v>
      </c>
    </row>
    <row r="1767" spans="1:17" ht="14.25" x14ac:dyDescent="0.2">
      <c r="A1767" s="183">
        <v>531</v>
      </c>
      <c r="B1767" s="232" t="str">
        <f>IF(AND(A1767&lt;&gt;"",ISNUMBER(A1767)),VLOOKUP(A1767,Studies!A:BR,2,FALSE),"")</f>
        <v>Mouton 2006</v>
      </c>
      <c r="C1767" s="232" t="str">
        <f>IF(AND(A1767&lt;&gt;"",ISNUMBER(A1767)),VLOOKUP(A1767,Studies!A:BR,3,FALSE),"")</f>
        <v>https://www.ncbi.nlm.nih.gov/pubmed/16982783</v>
      </c>
      <c r="D1767" s="232" t="str">
        <f>IF(AND(A1767&lt;&gt;"",ISNUMBER(A1767)),VLOOKUP(A1767,Studies!A:BR,4,FALSE),"")</f>
        <v>SAD_B 300 mg</v>
      </c>
      <c r="E1767" s="206" t="str">
        <f>IF(AND(A1767&lt;&gt;"",ISNUMBER(A1767)),VLOOKUP(A1767,Studies!A:BR,5,FALSE),"")</f>
        <v>Hydroxy-Itraconazole</v>
      </c>
      <c r="F1767" s="207" t="str">
        <f>IF(AND(A1767&lt;&gt;"",ISNUMBER(A1767)),VLOOKUP(A1767,Studies!A:BR,6,FALSE),"")</f>
        <v>Plasma</v>
      </c>
      <c r="G1767" s="194">
        <v>7</v>
      </c>
      <c r="H1767" s="194" t="s">
        <v>60</v>
      </c>
      <c r="I1767" s="187">
        <v>726.9324951171875</v>
      </c>
      <c r="J1767" s="187" t="s">
        <v>1026</v>
      </c>
      <c r="K1767" s="187" t="s">
        <v>116</v>
      </c>
      <c r="L1767" s="195"/>
      <c r="M1767" s="195"/>
      <c r="N1767" s="195"/>
      <c r="O1767" s="199"/>
      <c r="P1767" s="188"/>
      <c r="Q1767" s="174">
        <f>IF(ISNUMBER(VLOOKUP(A1767,NotghiID!A:A,1,FALSE)),1,0)</f>
        <v>0</v>
      </c>
    </row>
    <row r="1768" spans="1:17" ht="14.25" x14ac:dyDescent="0.2">
      <c r="A1768" s="183">
        <v>531</v>
      </c>
      <c r="B1768" s="232" t="str">
        <f>IF(AND(A1768&lt;&gt;"",ISNUMBER(A1768)),VLOOKUP(A1768,Studies!A:BR,2,FALSE),"")</f>
        <v>Mouton 2006</v>
      </c>
      <c r="C1768" s="232" t="str">
        <f>IF(AND(A1768&lt;&gt;"",ISNUMBER(A1768)),VLOOKUP(A1768,Studies!A:BR,3,FALSE),"")</f>
        <v>https://www.ncbi.nlm.nih.gov/pubmed/16982783</v>
      </c>
      <c r="D1768" s="232" t="str">
        <f>IF(AND(A1768&lt;&gt;"",ISNUMBER(A1768)),VLOOKUP(A1768,Studies!A:BR,4,FALSE),"")</f>
        <v>SAD_B 300 mg</v>
      </c>
      <c r="E1768" s="206" t="str">
        <f>IF(AND(A1768&lt;&gt;"",ISNUMBER(A1768)),VLOOKUP(A1768,Studies!A:BR,5,FALSE),"")</f>
        <v>Hydroxy-Itraconazole</v>
      </c>
      <c r="F1768" s="207" t="str">
        <f>IF(AND(A1768&lt;&gt;"",ISNUMBER(A1768)),VLOOKUP(A1768,Studies!A:BR,6,FALSE),"")</f>
        <v>Plasma</v>
      </c>
      <c r="G1768" s="194">
        <v>9</v>
      </c>
      <c r="H1768" s="194" t="s">
        <v>60</v>
      </c>
      <c r="I1768" s="187">
        <v>874.6492919921875</v>
      </c>
      <c r="J1768" s="187" t="s">
        <v>1026</v>
      </c>
      <c r="K1768" s="187" t="s">
        <v>116</v>
      </c>
      <c r="L1768" s="195"/>
      <c r="M1768" s="195"/>
      <c r="N1768" s="195"/>
      <c r="O1768" s="199"/>
      <c r="P1768" s="188"/>
      <c r="Q1768" s="174">
        <f>IF(ISNUMBER(VLOOKUP(A1768,NotghiID!A:A,1,FALSE)),1,0)</f>
        <v>0</v>
      </c>
    </row>
    <row r="1769" spans="1:17" ht="14.25" x14ac:dyDescent="0.2">
      <c r="A1769" s="183">
        <v>531</v>
      </c>
      <c r="B1769" s="232" t="str">
        <f>IF(AND(A1769&lt;&gt;"",ISNUMBER(A1769)),VLOOKUP(A1769,Studies!A:BR,2,FALSE),"")</f>
        <v>Mouton 2006</v>
      </c>
      <c r="C1769" s="232" t="str">
        <f>IF(AND(A1769&lt;&gt;"",ISNUMBER(A1769)),VLOOKUP(A1769,Studies!A:BR,3,FALSE),"")</f>
        <v>https://www.ncbi.nlm.nih.gov/pubmed/16982783</v>
      </c>
      <c r="D1769" s="232" t="str">
        <f>IF(AND(A1769&lt;&gt;"",ISNUMBER(A1769)),VLOOKUP(A1769,Studies!A:BR,4,FALSE),"")</f>
        <v>SAD_B 300 mg</v>
      </c>
      <c r="E1769" s="206" t="str">
        <f>IF(AND(A1769&lt;&gt;"",ISNUMBER(A1769)),VLOOKUP(A1769,Studies!A:BR,5,FALSE),"")</f>
        <v>Hydroxy-Itraconazole</v>
      </c>
      <c r="F1769" s="207" t="str">
        <f>IF(AND(A1769&lt;&gt;"",ISNUMBER(A1769)),VLOOKUP(A1769,Studies!A:BR,6,FALSE),"")</f>
        <v>Plasma</v>
      </c>
      <c r="G1769" s="194">
        <v>24</v>
      </c>
      <c r="H1769" s="194" t="s">
        <v>60</v>
      </c>
      <c r="I1769" s="187">
        <v>597.21844482421875</v>
      </c>
      <c r="J1769" s="187" t="s">
        <v>1026</v>
      </c>
      <c r="K1769" s="187" t="s">
        <v>116</v>
      </c>
      <c r="L1769" s="195"/>
      <c r="M1769" s="195"/>
      <c r="N1769" s="195"/>
      <c r="O1769" s="199"/>
      <c r="P1769" s="188"/>
      <c r="Q1769" s="174">
        <f>IF(ISNUMBER(VLOOKUP(A1769,NotghiID!A:A,1,FALSE)),1,0)</f>
        <v>0</v>
      </c>
    </row>
    <row r="1770" spans="1:17" ht="14.25" x14ac:dyDescent="0.2">
      <c r="A1770" s="183">
        <v>531</v>
      </c>
      <c r="B1770" s="232" t="str">
        <f>IF(AND(A1770&lt;&gt;"",ISNUMBER(A1770)),VLOOKUP(A1770,Studies!A:BR,2,FALSE),"")</f>
        <v>Mouton 2006</v>
      </c>
      <c r="C1770" s="232" t="str">
        <f>IF(AND(A1770&lt;&gt;"",ISNUMBER(A1770)),VLOOKUP(A1770,Studies!A:BR,3,FALSE),"")</f>
        <v>https://www.ncbi.nlm.nih.gov/pubmed/16982783</v>
      </c>
      <c r="D1770" s="232" t="str">
        <f>IF(AND(A1770&lt;&gt;"",ISNUMBER(A1770)),VLOOKUP(A1770,Studies!A:BR,4,FALSE),"")</f>
        <v>SAD_B 300 mg</v>
      </c>
      <c r="E1770" s="206" t="str">
        <f>IF(AND(A1770&lt;&gt;"",ISNUMBER(A1770)),VLOOKUP(A1770,Studies!A:BR,5,FALSE),"")</f>
        <v>Hydroxy-Itraconazole</v>
      </c>
      <c r="F1770" s="207" t="str">
        <f>IF(AND(A1770&lt;&gt;"",ISNUMBER(A1770)),VLOOKUP(A1770,Studies!A:BR,6,FALSE),"")</f>
        <v>Plasma</v>
      </c>
      <c r="G1770" s="194">
        <v>32</v>
      </c>
      <c r="H1770" s="194" t="s">
        <v>60</v>
      </c>
      <c r="I1770" s="187">
        <v>485.01016235351562</v>
      </c>
      <c r="J1770" s="187" t="s">
        <v>1026</v>
      </c>
      <c r="K1770" s="187" t="s">
        <v>116</v>
      </c>
      <c r="L1770" s="195"/>
      <c r="M1770" s="195"/>
      <c r="N1770" s="195"/>
      <c r="O1770" s="199"/>
      <c r="P1770" s="188"/>
      <c r="Q1770" s="174">
        <f>IF(ISNUMBER(VLOOKUP(A1770,NotghiID!A:A,1,FALSE)),1,0)</f>
        <v>0</v>
      </c>
    </row>
    <row r="1771" spans="1:17" ht="14.25" x14ac:dyDescent="0.2">
      <c r="A1771" s="183">
        <v>531</v>
      </c>
      <c r="B1771" s="232" t="str">
        <f>IF(AND(A1771&lt;&gt;"",ISNUMBER(A1771)),VLOOKUP(A1771,Studies!A:BR,2,FALSE),"")</f>
        <v>Mouton 2006</v>
      </c>
      <c r="C1771" s="232" t="str">
        <f>IF(AND(A1771&lt;&gt;"",ISNUMBER(A1771)),VLOOKUP(A1771,Studies!A:BR,3,FALSE),"")</f>
        <v>https://www.ncbi.nlm.nih.gov/pubmed/16982783</v>
      </c>
      <c r="D1771" s="232" t="str">
        <f>IF(AND(A1771&lt;&gt;"",ISNUMBER(A1771)),VLOOKUP(A1771,Studies!A:BR,4,FALSE),"")</f>
        <v>SAD_B 300 mg</v>
      </c>
      <c r="E1771" s="206" t="str">
        <f>IF(AND(A1771&lt;&gt;"",ISNUMBER(A1771)),VLOOKUP(A1771,Studies!A:BR,5,FALSE),"")</f>
        <v>Hydroxy-Itraconazole</v>
      </c>
      <c r="F1771" s="207" t="str">
        <f>IF(AND(A1771&lt;&gt;"",ISNUMBER(A1771)),VLOOKUP(A1771,Studies!A:BR,6,FALSE),"")</f>
        <v>Plasma</v>
      </c>
      <c r="G1771" s="194">
        <v>48</v>
      </c>
      <c r="H1771" s="194" t="s">
        <v>60</v>
      </c>
      <c r="I1771" s="187">
        <v>259.77880859375</v>
      </c>
      <c r="J1771" s="187" t="s">
        <v>1026</v>
      </c>
      <c r="K1771" s="187" t="s">
        <v>116</v>
      </c>
      <c r="L1771" s="195"/>
      <c r="M1771" s="195"/>
      <c r="N1771" s="195"/>
      <c r="O1771" s="199"/>
      <c r="P1771" s="188"/>
      <c r="Q1771" s="174">
        <f>IF(ISNUMBER(VLOOKUP(A1771,NotghiID!A:A,1,FALSE)),1,0)</f>
        <v>0</v>
      </c>
    </row>
    <row r="1772" spans="1:17" ht="14.25" x14ac:dyDescent="0.2">
      <c r="A1772" s="183">
        <v>531</v>
      </c>
      <c r="B1772" s="232" t="str">
        <f>IF(AND(A1772&lt;&gt;"",ISNUMBER(A1772)),VLOOKUP(A1772,Studies!A:BR,2,FALSE),"")</f>
        <v>Mouton 2006</v>
      </c>
      <c r="C1772" s="232" t="str">
        <f>IF(AND(A1772&lt;&gt;"",ISNUMBER(A1772)),VLOOKUP(A1772,Studies!A:BR,3,FALSE),"")</f>
        <v>https://www.ncbi.nlm.nih.gov/pubmed/16982783</v>
      </c>
      <c r="D1772" s="232" t="str">
        <f>IF(AND(A1772&lt;&gt;"",ISNUMBER(A1772)),VLOOKUP(A1772,Studies!A:BR,4,FALSE),"")</f>
        <v>SAD_B 300 mg</v>
      </c>
      <c r="E1772" s="206" t="str">
        <f>IF(AND(A1772&lt;&gt;"",ISNUMBER(A1772)),VLOOKUP(A1772,Studies!A:BR,5,FALSE),"")</f>
        <v>Hydroxy-Itraconazole</v>
      </c>
      <c r="F1772" s="207" t="str">
        <f>IF(AND(A1772&lt;&gt;"",ISNUMBER(A1772)),VLOOKUP(A1772,Studies!A:BR,6,FALSE),"")</f>
        <v>Plasma</v>
      </c>
      <c r="G1772" s="194">
        <v>72</v>
      </c>
      <c r="H1772" s="194" t="s">
        <v>60</v>
      </c>
      <c r="I1772" s="187">
        <v>97.229469299316406</v>
      </c>
      <c r="J1772" s="187" t="s">
        <v>1026</v>
      </c>
      <c r="K1772" s="187" t="s">
        <v>116</v>
      </c>
      <c r="L1772" s="195"/>
      <c r="M1772" s="195"/>
      <c r="N1772" s="195"/>
      <c r="O1772" s="199"/>
      <c r="P1772" s="188"/>
      <c r="Q1772" s="174">
        <f>IF(ISNUMBER(VLOOKUP(A1772,NotghiID!A:A,1,FALSE)),1,0)</f>
        <v>0</v>
      </c>
    </row>
    <row r="1773" spans="1:17" ht="14.25" x14ac:dyDescent="0.2">
      <c r="A1773" s="183">
        <v>531</v>
      </c>
      <c r="B1773" s="232" t="str">
        <f>IF(AND(A1773&lt;&gt;"",ISNUMBER(A1773)),VLOOKUP(A1773,Studies!A:BR,2,FALSE),"")</f>
        <v>Mouton 2006</v>
      </c>
      <c r="C1773" s="232" t="str">
        <f>IF(AND(A1773&lt;&gt;"",ISNUMBER(A1773)),VLOOKUP(A1773,Studies!A:BR,3,FALSE),"")</f>
        <v>https://www.ncbi.nlm.nih.gov/pubmed/16982783</v>
      </c>
      <c r="D1773" s="232" t="str">
        <f>IF(AND(A1773&lt;&gt;"",ISNUMBER(A1773)),VLOOKUP(A1773,Studies!A:BR,4,FALSE),"")</f>
        <v>SAD_B 300 mg</v>
      </c>
      <c r="E1773" s="206" t="str">
        <f>IF(AND(A1773&lt;&gt;"",ISNUMBER(A1773)),VLOOKUP(A1773,Studies!A:BR,5,FALSE),"")</f>
        <v>Hydroxy-Itraconazole</v>
      </c>
      <c r="F1773" s="207" t="str">
        <f>IF(AND(A1773&lt;&gt;"",ISNUMBER(A1773)),VLOOKUP(A1773,Studies!A:BR,6,FALSE),"")</f>
        <v>Plasma</v>
      </c>
      <c r="G1773" s="194">
        <v>96</v>
      </c>
      <c r="H1773" s="194" t="s">
        <v>60</v>
      </c>
      <c r="I1773" s="187">
        <v>27.572908401489258</v>
      </c>
      <c r="J1773" s="187" t="s">
        <v>1026</v>
      </c>
      <c r="K1773" s="187" t="s">
        <v>116</v>
      </c>
      <c r="L1773" s="195"/>
      <c r="M1773" s="195"/>
      <c r="N1773" s="195"/>
      <c r="O1773" s="199"/>
      <c r="P1773" s="188"/>
      <c r="Q1773" s="174">
        <f>IF(ISNUMBER(VLOOKUP(A1773,NotghiID!A:A,1,FALSE)),1,0)</f>
        <v>0</v>
      </c>
    </row>
    <row r="1774" spans="1:17" ht="14.25" x14ac:dyDescent="0.2">
      <c r="A1774" s="183">
        <v>524</v>
      </c>
      <c r="B1774" s="232" t="str">
        <f>IF(AND(A1774&lt;&gt;"",ISNUMBER(A1774)),VLOOKUP(A1774,Studies!A:BR,2,FALSE),"")</f>
        <v>Mouton 2006</v>
      </c>
      <c r="C1774" s="232" t="str">
        <f>IF(AND(A1774&lt;&gt;"",ISNUMBER(A1774)),VLOOKUP(A1774,Studies!A:BR,3,FALSE),"")</f>
        <v>https://www.ncbi.nlm.nih.gov/pubmed/16982783</v>
      </c>
      <c r="D1774" s="232" t="str">
        <f>IF(AND(A1774&lt;&gt;"",ISNUMBER(A1774)),VLOOKUP(A1774,Studies!A:BR,4,FALSE),"")</f>
        <v>MAD_m_A 100 mg</v>
      </c>
      <c r="E1774" s="206" t="str">
        <f>IF(AND(A1774&lt;&gt;"",ISNUMBER(A1774)),VLOOKUP(A1774,Studies!A:BR,5,FALSE),"")</f>
        <v>Itraconazole</v>
      </c>
      <c r="F1774" s="207" t="str">
        <f>IF(AND(A1774&lt;&gt;"",ISNUMBER(A1774)),VLOOKUP(A1774,Studies!A:BR,6,FALSE),"")</f>
        <v>Plasma</v>
      </c>
      <c r="G1774" s="194">
        <v>1</v>
      </c>
      <c r="H1774" s="194" t="s">
        <v>60</v>
      </c>
      <c r="I1774" s="187">
        <v>1883.4549188613892</v>
      </c>
      <c r="J1774" s="187" t="s">
        <v>1026</v>
      </c>
      <c r="K1774" s="187" t="s">
        <v>116</v>
      </c>
      <c r="L1774" s="195"/>
      <c r="M1774" s="195"/>
      <c r="N1774" s="195"/>
      <c r="O1774" s="199"/>
      <c r="P1774" s="188"/>
      <c r="Q1774" s="174">
        <f>IF(ISNUMBER(VLOOKUP(A1774,NotghiID!A:A,1,FALSE)),1,0)</f>
        <v>0</v>
      </c>
    </row>
    <row r="1775" spans="1:17" ht="14.25" x14ac:dyDescent="0.2">
      <c r="A1775" s="183">
        <v>524</v>
      </c>
      <c r="B1775" s="232" t="str">
        <f>IF(AND(A1775&lt;&gt;"",ISNUMBER(A1775)),VLOOKUP(A1775,Studies!A:BR,2,FALSE),"")</f>
        <v>Mouton 2006</v>
      </c>
      <c r="C1775" s="232" t="str">
        <f>IF(AND(A1775&lt;&gt;"",ISNUMBER(A1775)),VLOOKUP(A1775,Studies!A:BR,3,FALSE),"")</f>
        <v>https://www.ncbi.nlm.nih.gov/pubmed/16982783</v>
      </c>
      <c r="D1775" s="232" t="str">
        <f>IF(AND(A1775&lt;&gt;"",ISNUMBER(A1775)),VLOOKUP(A1775,Studies!A:BR,4,FALSE),"")</f>
        <v>MAD_m_A 100 mg</v>
      </c>
      <c r="E1775" s="206" t="str">
        <f>IF(AND(A1775&lt;&gt;"",ISNUMBER(A1775)),VLOOKUP(A1775,Studies!A:BR,5,FALSE),"")</f>
        <v>Itraconazole</v>
      </c>
      <c r="F1775" s="207" t="str">
        <f>IF(AND(A1775&lt;&gt;"",ISNUMBER(A1775)),VLOOKUP(A1775,Studies!A:BR,6,FALSE),"")</f>
        <v>Plasma</v>
      </c>
      <c r="G1775" s="194">
        <v>8</v>
      </c>
      <c r="H1775" s="194" t="s">
        <v>60</v>
      </c>
      <c r="I1775" s="187">
        <v>101.813904941082</v>
      </c>
      <c r="J1775" s="187" t="s">
        <v>1026</v>
      </c>
      <c r="K1775" s="187" t="s">
        <v>116</v>
      </c>
      <c r="L1775" s="195"/>
      <c r="M1775" s="195"/>
      <c r="N1775" s="195"/>
      <c r="O1775" s="199"/>
      <c r="P1775" s="188"/>
      <c r="Q1775" s="174">
        <f>IF(ISNUMBER(VLOOKUP(A1775,NotghiID!A:A,1,FALSE)),1,0)</f>
        <v>0</v>
      </c>
    </row>
    <row r="1776" spans="1:17" ht="14.25" x14ac:dyDescent="0.2">
      <c r="A1776" s="183">
        <v>524</v>
      </c>
      <c r="B1776" s="232" t="str">
        <f>IF(AND(A1776&lt;&gt;"",ISNUMBER(A1776)),VLOOKUP(A1776,Studies!A:BR,2,FALSE),"")</f>
        <v>Mouton 2006</v>
      </c>
      <c r="C1776" s="232" t="str">
        <f>IF(AND(A1776&lt;&gt;"",ISNUMBER(A1776)),VLOOKUP(A1776,Studies!A:BR,3,FALSE),"")</f>
        <v>https://www.ncbi.nlm.nih.gov/pubmed/16982783</v>
      </c>
      <c r="D1776" s="232" t="str">
        <f>IF(AND(A1776&lt;&gt;"",ISNUMBER(A1776)),VLOOKUP(A1776,Studies!A:BR,4,FALSE),"")</f>
        <v>MAD_m_A 100 mg</v>
      </c>
      <c r="E1776" s="206" t="str">
        <f>IF(AND(A1776&lt;&gt;"",ISNUMBER(A1776)),VLOOKUP(A1776,Studies!A:BR,5,FALSE),"")</f>
        <v>Itraconazole</v>
      </c>
      <c r="F1776" s="207" t="str">
        <f>IF(AND(A1776&lt;&gt;"",ISNUMBER(A1776)),VLOOKUP(A1776,Studies!A:BR,6,FALSE),"")</f>
        <v>Plasma</v>
      </c>
      <c r="G1776" s="194">
        <v>9</v>
      </c>
      <c r="H1776" s="194" t="s">
        <v>60</v>
      </c>
      <c r="I1776" s="187">
        <v>2242.6810264587402</v>
      </c>
      <c r="J1776" s="187" t="s">
        <v>1026</v>
      </c>
      <c r="K1776" s="187" t="s">
        <v>116</v>
      </c>
      <c r="L1776" s="195"/>
      <c r="M1776" s="195"/>
      <c r="N1776" s="195"/>
      <c r="O1776" s="199"/>
      <c r="P1776" s="188"/>
      <c r="Q1776" s="174">
        <f>IF(ISNUMBER(VLOOKUP(A1776,NotghiID!A:A,1,FALSE)),1,0)</f>
        <v>0</v>
      </c>
    </row>
    <row r="1777" spans="1:17" ht="14.25" x14ac:dyDescent="0.2">
      <c r="A1777" s="183">
        <v>524</v>
      </c>
      <c r="B1777" s="232" t="str">
        <f>IF(AND(A1777&lt;&gt;"",ISNUMBER(A1777)),VLOOKUP(A1777,Studies!A:BR,2,FALSE),"")</f>
        <v>Mouton 2006</v>
      </c>
      <c r="C1777" s="232" t="str">
        <f>IF(AND(A1777&lt;&gt;"",ISNUMBER(A1777)),VLOOKUP(A1777,Studies!A:BR,3,FALSE),"")</f>
        <v>https://www.ncbi.nlm.nih.gov/pubmed/16982783</v>
      </c>
      <c r="D1777" s="232" t="str">
        <f>IF(AND(A1777&lt;&gt;"",ISNUMBER(A1777)),VLOOKUP(A1777,Studies!A:BR,4,FALSE),"")</f>
        <v>MAD_m_A 100 mg</v>
      </c>
      <c r="E1777" s="206" t="str">
        <f>IF(AND(A1777&lt;&gt;"",ISNUMBER(A1777)),VLOOKUP(A1777,Studies!A:BR,5,FALSE),"")</f>
        <v>Itraconazole</v>
      </c>
      <c r="F1777" s="207" t="str">
        <f>IF(AND(A1777&lt;&gt;"",ISNUMBER(A1777)),VLOOKUP(A1777,Studies!A:BR,6,FALSE),"")</f>
        <v>Plasma</v>
      </c>
      <c r="G1777" s="194">
        <v>24</v>
      </c>
      <c r="H1777" s="194" t="s">
        <v>60</v>
      </c>
      <c r="I1777" s="187">
        <v>245.74160575866699</v>
      </c>
      <c r="J1777" s="187" t="s">
        <v>1026</v>
      </c>
      <c r="K1777" s="187" t="s">
        <v>116</v>
      </c>
      <c r="L1777" s="195"/>
      <c r="M1777" s="195"/>
      <c r="N1777" s="195"/>
      <c r="O1777" s="199"/>
      <c r="P1777" s="188"/>
      <c r="Q1777" s="174">
        <f>IF(ISNUMBER(VLOOKUP(A1777,NotghiID!A:A,1,FALSE)),1,0)</f>
        <v>0</v>
      </c>
    </row>
    <row r="1778" spans="1:17" ht="14.25" x14ac:dyDescent="0.2">
      <c r="A1778" s="183">
        <v>524</v>
      </c>
      <c r="B1778" s="232" t="str">
        <f>IF(AND(A1778&lt;&gt;"",ISNUMBER(A1778)),VLOOKUP(A1778,Studies!A:BR,2,FALSE),"")</f>
        <v>Mouton 2006</v>
      </c>
      <c r="C1778" s="232" t="str">
        <f>IF(AND(A1778&lt;&gt;"",ISNUMBER(A1778)),VLOOKUP(A1778,Studies!A:BR,3,FALSE),"")</f>
        <v>https://www.ncbi.nlm.nih.gov/pubmed/16982783</v>
      </c>
      <c r="D1778" s="232" t="str">
        <f>IF(AND(A1778&lt;&gt;"",ISNUMBER(A1778)),VLOOKUP(A1778,Studies!A:BR,4,FALSE),"")</f>
        <v>MAD_m_A 100 mg</v>
      </c>
      <c r="E1778" s="206" t="str">
        <f>IF(AND(A1778&lt;&gt;"",ISNUMBER(A1778)),VLOOKUP(A1778,Studies!A:BR,5,FALSE),"")</f>
        <v>Itraconazole</v>
      </c>
      <c r="F1778" s="207" t="str">
        <f>IF(AND(A1778&lt;&gt;"",ISNUMBER(A1778)),VLOOKUP(A1778,Studies!A:BR,6,FALSE),"")</f>
        <v>Plasma</v>
      </c>
      <c r="G1778" s="194">
        <v>25</v>
      </c>
      <c r="H1778" s="194" t="s">
        <v>60</v>
      </c>
      <c r="I1778" s="187">
        <v>2299.3111610412598</v>
      </c>
      <c r="J1778" s="187" t="s">
        <v>1026</v>
      </c>
      <c r="K1778" s="187" t="s">
        <v>116</v>
      </c>
      <c r="L1778" s="195"/>
      <c r="M1778" s="195"/>
      <c r="N1778" s="195"/>
      <c r="O1778" s="199"/>
      <c r="P1778" s="188"/>
      <c r="Q1778" s="174">
        <f>IF(ISNUMBER(VLOOKUP(A1778,NotghiID!A:A,1,FALSE)),1,0)</f>
        <v>0</v>
      </c>
    </row>
    <row r="1779" spans="1:17" ht="14.25" x14ac:dyDescent="0.2">
      <c r="A1779" s="183">
        <v>524</v>
      </c>
      <c r="B1779" s="232" t="str">
        <f>IF(AND(A1779&lt;&gt;"",ISNUMBER(A1779)),VLOOKUP(A1779,Studies!A:BR,2,FALSE),"")</f>
        <v>Mouton 2006</v>
      </c>
      <c r="C1779" s="232" t="str">
        <f>IF(AND(A1779&lt;&gt;"",ISNUMBER(A1779)),VLOOKUP(A1779,Studies!A:BR,3,FALSE),"")</f>
        <v>https://www.ncbi.nlm.nih.gov/pubmed/16982783</v>
      </c>
      <c r="D1779" s="232" t="str">
        <f>IF(AND(A1779&lt;&gt;"",ISNUMBER(A1779)),VLOOKUP(A1779,Studies!A:BR,4,FALSE),"")</f>
        <v>MAD_m_A 100 mg</v>
      </c>
      <c r="E1779" s="206" t="str">
        <f>IF(AND(A1779&lt;&gt;"",ISNUMBER(A1779)),VLOOKUP(A1779,Studies!A:BR,5,FALSE),"")</f>
        <v>Itraconazole</v>
      </c>
      <c r="F1779" s="207" t="str">
        <f>IF(AND(A1779&lt;&gt;"",ISNUMBER(A1779)),VLOOKUP(A1779,Studies!A:BR,6,FALSE),"")</f>
        <v>Plasma</v>
      </c>
      <c r="G1779" s="194">
        <v>32</v>
      </c>
      <c r="H1779" s="194" t="s">
        <v>60</v>
      </c>
      <c r="I1779" s="187">
        <v>320.62849402427673</v>
      </c>
      <c r="J1779" s="187" t="s">
        <v>1026</v>
      </c>
      <c r="K1779" s="187" t="s">
        <v>116</v>
      </c>
      <c r="L1779" s="195"/>
      <c r="M1779" s="195"/>
      <c r="N1779" s="195"/>
      <c r="O1779" s="199"/>
      <c r="P1779" s="188"/>
      <c r="Q1779" s="174">
        <f>IF(ISNUMBER(VLOOKUP(A1779,NotghiID!A:A,1,FALSE)),1,0)</f>
        <v>0</v>
      </c>
    </row>
    <row r="1780" spans="1:17" ht="14.25" x14ac:dyDescent="0.2">
      <c r="A1780" s="183">
        <v>524</v>
      </c>
      <c r="B1780" s="232" t="str">
        <f>IF(AND(A1780&lt;&gt;"",ISNUMBER(A1780)),VLOOKUP(A1780,Studies!A:BR,2,FALSE),"")</f>
        <v>Mouton 2006</v>
      </c>
      <c r="C1780" s="232" t="str">
        <f>IF(AND(A1780&lt;&gt;"",ISNUMBER(A1780)),VLOOKUP(A1780,Studies!A:BR,3,FALSE),"")</f>
        <v>https://www.ncbi.nlm.nih.gov/pubmed/16982783</v>
      </c>
      <c r="D1780" s="232" t="str">
        <f>IF(AND(A1780&lt;&gt;"",ISNUMBER(A1780)),VLOOKUP(A1780,Studies!A:BR,4,FALSE),"")</f>
        <v>MAD_m_A 100 mg</v>
      </c>
      <c r="E1780" s="206" t="str">
        <f>IF(AND(A1780&lt;&gt;"",ISNUMBER(A1780)),VLOOKUP(A1780,Studies!A:BR,5,FALSE),"")</f>
        <v>Itraconazole</v>
      </c>
      <c r="F1780" s="207" t="str">
        <f>IF(AND(A1780&lt;&gt;"",ISNUMBER(A1780)),VLOOKUP(A1780,Studies!A:BR,6,FALSE),"")</f>
        <v>Plasma</v>
      </c>
      <c r="G1780" s="194">
        <v>33</v>
      </c>
      <c r="H1780" s="194" t="s">
        <v>60</v>
      </c>
      <c r="I1780" s="187">
        <v>2205.7039737701416</v>
      </c>
      <c r="J1780" s="187" t="s">
        <v>1026</v>
      </c>
      <c r="K1780" s="187" t="s">
        <v>116</v>
      </c>
      <c r="L1780" s="195"/>
      <c r="M1780" s="195"/>
      <c r="N1780" s="195"/>
      <c r="O1780" s="199"/>
      <c r="P1780" s="188"/>
      <c r="Q1780" s="174">
        <f>IF(ISNUMBER(VLOOKUP(A1780,NotghiID!A:A,1,FALSE)),1,0)</f>
        <v>0</v>
      </c>
    </row>
    <row r="1781" spans="1:17" ht="14.25" x14ac:dyDescent="0.2">
      <c r="A1781" s="183">
        <v>524</v>
      </c>
      <c r="B1781" s="232" t="str">
        <f>IF(AND(A1781&lt;&gt;"",ISNUMBER(A1781)),VLOOKUP(A1781,Studies!A:BR,2,FALSE),"")</f>
        <v>Mouton 2006</v>
      </c>
      <c r="C1781" s="232" t="str">
        <f>IF(AND(A1781&lt;&gt;"",ISNUMBER(A1781)),VLOOKUP(A1781,Studies!A:BR,3,FALSE),"")</f>
        <v>https://www.ncbi.nlm.nih.gov/pubmed/16982783</v>
      </c>
      <c r="D1781" s="232" t="str">
        <f>IF(AND(A1781&lt;&gt;"",ISNUMBER(A1781)),VLOOKUP(A1781,Studies!A:BR,4,FALSE),"")</f>
        <v>MAD_m_A 100 mg</v>
      </c>
      <c r="E1781" s="206" t="str">
        <f>IF(AND(A1781&lt;&gt;"",ISNUMBER(A1781)),VLOOKUP(A1781,Studies!A:BR,5,FALSE),"")</f>
        <v>Itraconazole</v>
      </c>
      <c r="F1781" s="207" t="str">
        <f>IF(AND(A1781&lt;&gt;"",ISNUMBER(A1781)),VLOOKUP(A1781,Studies!A:BR,6,FALSE),"")</f>
        <v>Plasma</v>
      </c>
      <c r="G1781" s="194">
        <v>48</v>
      </c>
      <c r="H1781" s="194" t="s">
        <v>60</v>
      </c>
      <c r="I1781" s="187">
        <v>264.83151316642761</v>
      </c>
      <c r="J1781" s="187" t="s">
        <v>1026</v>
      </c>
      <c r="K1781" s="187" t="s">
        <v>116</v>
      </c>
      <c r="L1781" s="195"/>
      <c r="M1781" s="195"/>
      <c r="N1781" s="195"/>
      <c r="O1781" s="199"/>
      <c r="P1781" s="188"/>
      <c r="Q1781" s="174">
        <f>IF(ISNUMBER(VLOOKUP(A1781,NotghiID!A:A,1,FALSE)),1,0)</f>
        <v>0</v>
      </c>
    </row>
    <row r="1782" spans="1:17" ht="14.25" x14ac:dyDescent="0.2">
      <c r="A1782" s="183">
        <v>524</v>
      </c>
      <c r="B1782" s="232" t="str">
        <f>IF(AND(A1782&lt;&gt;"",ISNUMBER(A1782)),VLOOKUP(A1782,Studies!A:BR,2,FALSE),"")</f>
        <v>Mouton 2006</v>
      </c>
      <c r="C1782" s="232" t="str">
        <f>IF(AND(A1782&lt;&gt;"",ISNUMBER(A1782)),VLOOKUP(A1782,Studies!A:BR,3,FALSE),"")</f>
        <v>https://www.ncbi.nlm.nih.gov/pubmed/16982783</v>
      </c>
      <c r="D1782" s="232" t="str">
        <f>IF(AND(A1782&lt;&gt;"",ISNUMBER(A1782)),VLOOKUP(A1782,Studies!A:BR,4,FALSE),"")</f>
        <v>MAD_m_A 100 mg</v>
      </c>
      <c r="E1782" s="206" t="str">
        <f>IF(AND(A1782&lt;&gt;"",ISNUMBER(A1782)),VLOOKUP(A1782,Studies!A:BR,5,FALSE),"")</f>
        <v>Itraconazole</v>
      </c>
      <c r="F1782" s="207" t="str">
        <f>IF(AND(A1782&lt;&gt;"",ISNUMBER(A1782)),VLOOKUP(A1782,Studies!A:BR,6,FALSE),"")</f>
        <v>Plasma</v>
      </c>
      <c r="G1782" s="194">
        <v>49</v>
      </c>
      <c r="H1782" s="194" t="s">
        <v>60</v>
      </c>
      <c r="I1782" s="187">
        <v>2357.3720455169678</v>
      </c>
      <c r="J1782" s="187" t="s">
        <v>1026</v>
      </c>
      <c r="K1782" s="187" t="s">
        <v>116</v>
      </c>
      <c r="L1782" s="195"/>
      <c r="M1782" s="195"/>
      <c r="N1782" s="195"/>
      <c r="O1782" s="199"/>
      <c r="P1782" s="188"/>
      <c r="Q1782" s="174">
        <f>IF(ISNUMBER(VLOOKUP(A1782,NotghiID!A:A,1,FALSE)),1,0)</f>
        <v>0</v>
      </c>
    </row>
    <row r="1783" spans="1:17" ht="14.25" x14ac:dyDescent="0.2">
      <c r="A1783" s="183">
        <v>524</v>
      </c>
      <c r="B1783" s="232" t="str">
        <f>IF(AND(A1783&lt;&gt;"",ISNUMBER(A1783)),VLOOKUP(A1783,Studies!A:BR,2,FALSE),"")</f>
        <v>Mouton 2006</v>
      </c>
      <c r="C1783" s="232" t="str">
        <f>IF(AND(A1783&lt;&gt;"",ISNUMBER(A1783)),VLOOKUP(A1783,Studies!A:BR,3,FALSE),"")</f>
        <v>https://www.ncbi.nlm.nih.gov/pubmed/16982783</v>
      </c>
      <c r="D1783" s="232" t="str">
        <f>IF(AND(A1783&lt;&gt;"",ISNUMBER(A1783)),VLOOKUP(A1783,Studies!A:BR,4,FALSE),"")</f>
        <v>MAD_m_A 100 mg</v>
      </c>
      <c r="E1783" s="206" t="str">
        <f>IF(AND(A1783&lt;&gt;"",ISNUMBER(A1783)),VLOOKUP(A1783,Studies!A:BR,5,FALSE),"")</f>
        <v>Itraconazole</v>
      </c>
      <c r="F1783" s="207" t="str">
        <f>IF(AND(A1783&lt;&gt;"",ISNUMBER(A1783)),VLOOKUP(A1783,Studies!A:BR,6,FALSE),"")</f>
        <v>Plasma</v>
      </c>
      <c r="G1783" s="194">
        <v>72</v>
      </c>
      <c r="H1783" s="194" t="s">
        <v>60</v>
      </c>
      <c r="I1783" s="187">
        <v>254.04989719390869</v>
      </c>
      <c r="J1783" s="187" t="s">
        <v>1026</v>
      </c>
      <c r="K1783" s="187" t="s">
        <v>116</v>
      </c>
      <c r="L1783" s="195"/>
      <c r="M1783" s="195"/>
      <c r="N1783" s="195"/>
      <c r="O1783" s="199"/>
      <c r="P1783" s="188"/>
      <c r="Q1783" s="174">
        <f>IF(ISNUMBER(VLOOKUP(A1783,NotghiID!A:A,1,FALSE)),1,0)</f>
        <v>0</v>
      </c>
    </row>
    <row r="1784" spans="1:17" ht="14.25" x14ac:dyDescent="0.2">
      <c r="A1784" s="183">
        <v>524</v>
      </c>
      <c r="B1784" s="232" t="str">
        <f>IF(AND(A1784&lt;&gt;"",ISNUMBER(A1784)),VLOOKUP(A1784,Studies!A:BR,2,FALSE),"")</f>
        <v>Mouton 2006</v>
      </c>
      <c r="C1784" s="232" t="str">
        <f>IF(AND(A1784&lt;&gt;"",ISNUMBER(A1784)),VLOOKUP(A1784,Studies!A:BR,3,FALSE),"")</f>
        <v>https://www.ncbi.nlm.nih.gov/pubmed/16982783</v>
      </c>
      <c r="D1784" s="232" t="str">
        <f>IF(AND(A1784&lt;&gt;"",ISNUMBER(A1784)),VLOOKUP(A1784,Studies!A:BR,4,FALSE),"")</f>
        <v>MAD_m_A 100 mg</v>
      </c>
      <c r="E1784" s="206" t="str">
        <f>IF(AND(A1784&lt;&gt;"",ISNUMBER(A1784)),VLOOKUP(A1784,Studies!A:BR,5,FALSE),"")</f>
        <v>Itraconazole</v>
      </c>
      <c r="F1784" s="207" t="str">
        <f>IF(AND(A1784&lt;&gt;"",ISNUMBER(A1784)),VLOOKUP(A1784,Studies!A:BR,6,FALSE),"")</f>
        <v>Plasma</v>
      </c>
      <c r="G1784" s="194">
        <v>73</v>
      </c>
      <c r="H1784" s="194" t="s">
        <v>60</v>
      </c>
      <c r="I1784" s="187">
        <v>2396.8908786773682</v>
      </c>
      <c r="J1784" s="187" t="s">
        <v>1026</v>
      </c>
      <c r="K1784" s="187" t="s">
        <v>116</v>
      </c>
      <c r="L1784" s="195"/>
      <c r="M1784" s="195"/>
      <c r="N1784" s="195"/>
      <c r="O1784" s="199"/>
      <c r="P1784" s="188"/>
      <c r="Q1784" s="174">
        <f>IF(ISNUMBER(VLOOKUP(A1784,NotghiID!A:A,1,FALSE)),1,0)</f>
        <v>0</v>
      </c>
    </row>
    <row r="1785" spans="1:17" ht="14.25" x14ac:dyDescent="0.2">
      <c r="A1785" s="183">
        <v>524</v>
      </c>
      <c r="B1785" s="232" t="str">
        <f>IF(AND(A1785&lt;&gt;"",ISNUMBER(A1785)),VLOOKUP(A1785,Studies!A:BR,2,FALSE),"")</f>
        <v>Mouton 2006</v>
      </c>
      <c r="C1785" s="232" t="str">
        <f>IF(AND(A1785&lt;&gt;"",ISNUMBER(A1785)),VLOOKUP(A1785,Studies!A:BR,3,FALSE),"")</f>
        <v>https://www.ncbi.nlm.nih.gov/pubmed/16982783</v>
      </c>
      <c r="D1785" s="232" t="str">
        <f>IF(AND(A1785&lt;&gt;"",ISNUMBER(A1785)),VLOOKUP(A1785,Studies!A:BR,4,FALSE),"")</f>
        <v>MAD_m_A 100 mg</v>
      </c>
      <c r="E1785" s="206" t="str">
        <f>IF(AND(A1785&lt;&gt;"",ISNUMBER(A1785)),VLOOKUP(A1785,Studies!A:BR,5,FALSE),"")</f>
        <v>Itraconazole</v>
      </c>
      <c r="F1785" s="207" t="str">
        <f>IF(AND(A1785&lt;&gt;"",ISNUMBER(A1785)),VLOOKUP(A1785,Studies!A:BR,6,FALSE),"")</f>
        <v>Plasma</v>
      </c>
      <c r="G1785" s="194">
        <v>96</v>
      </c>
      <c r="H1785" s="194" t="s">
        <v>60</v>
      </c>
      <c r="I1785" s="187">
        <v>249.86118078231812</v>
      </c>
      <c r="J1785" s="187" t="s">
        <v>1026</v>
      </c>
      <c r="K1785" s="187" t="s">
        <v>116</v>
      </c>
      <c r="L1785" s="195"/>
      <c r="M1785" s="195"/>
      <c r="N1785" s="195"/>
      <c r="O1785" s="199"/>
      <c r="P1785" s="188"/>
      <c r="Q1785" s="174">
        <f>IF(ISNUMBER(VLOOKUP(A1785,NotghiID!A:A,1,FALSE)),1,0)</f>
        <v>0</v>
      </c>
    </row>
    <row r="1786" spans="1:17" ht="14.25" x14ac:dyDescent="0.2">
      <c r="A1786" s="183">
        <v>524</v>
      </c>
      <c r="B1786" s="232" t="str">
        <f>IF(AND(A1786&lt;&gt;"",ISNUMBER(A1786)),VLOOKUP(A1786,Studies!A:BR,2,FALSE),"")</f>
        <v>Mouton 2006</v>
      </c>
      <c r="C1786" s="232" t="str">
        <f>IF(AND(A1786&lt;&gt;"",ISNUMBER(A1786)),VLOOKUP(A1786,Studies!A:BR,3,FALSE),"")</f>
        <v>https://www.ncbi.nlm.nih.gov/pubmed/16982783</v>
      </c>
      <c r="D1786" s="232" t="str">
        <f>IF(AND(A1786&lt;&gt;"",ISNUMBER(A1786)),VLOOKUP(A1786,Studies!A:BR,4,FALSE),"")</f>
        <v>MAD_m_A 100 mg</v>
      </c>
      <c r="E1786" s="206" t="str">
        <f>IF(AND(A1786&lt;&gt;"",ISNUMBER(A1786)),VLOOKUP(A1786,Studies!A:BR,5,FALSE),"")</f>
        <v>Itraconazole</v>
      </c>
      <c r="F1786" s="207" t="str">
        <f>IF(AND(A1786&lt;&gt;"",ISNUMBER(A1786)),VLOOKUP(A1786,Studies!A:BR,6,FALSE),"")</f>
        <v>Plasma</v>
      </c>
      <c r="G1786" s="194">
        <v>97</v>
      </c>
      <c r="H1786" s="194" t="s">
        <v>60</v>
      </c>
      <c r="I1786" s="187">
        <v>2261.4009380340576</v>
      </c>
      <c r="J1786" s="187" t="s">
        <v>1026</v>
      </c>
      <c r="K1786" s="187" t="s">
        <v>116</v>
      </c>
      <c r="L1786" s="195"/>
      <c r="M1786" s="195"/>
      <c r="N1786" s="195"/>
      <c r="O1786" s="199"/>
      <c r="P1786" s="188"/>
      <c r="Q1786" s="174">
        <f>IF(ISNUMBER(VLOOKUP(A1786,NotghiID!A:A,1,FALSE)),1,0)</f>
        <v>0</v>
      </c>
    </row>
    <row r="1787" spans="1:17" ht="14.25" x14ac:dyDescent="0.2">
      <c r="A1787" s="183">
        <v>524</v>
      </c>
      <c r="B1787" s="232" t="str">
        <f>IF(AND(A1787&lt;&gt;"",ISNUMBER(A1787)),VLOOKUP(A1787,Studies!A:BR,2,FALSE),"")</f>
        <v>Mouton 2006</v>
      </c>
      <c r="C1787" s="232" t="str">
        <f>IF(AND(A1787&lt;&gt;"",ISNUMBER(A1787)),VLOOKUP(A1787,Studies!A:BR,3,FALSE),"")</f>
        <v>https://www.ncbi.nlm.nih.gov/pubmed/16982783</v>
      </c>
      <c r="D1787" s="232" t="str">
        <f>IF(AND(A1787&lt;&gt;"",ISNUMBER(A1787)),VLOOKUP(A1787,Studies!A:BR,4,FALSE),"")</f>
        <v>MAD_m_A 100 mg</v>
      </c>
      <c r="E1787" s="206" t="str">
        <f>IF(AND(A1787&lt;&gt;"",ISNUMBER(A1787)),VLOOKUP(A1787,Studies!A:BR,5,FALSE),"")</f>
        <v>Itraconazole</v>
      </c>
      <c r="F1787" s="207" t="str">
        <f>IF(AND(A1787&lt;&gt;"",ISNUMBER(A1787)),VLOOKUP(A1787,Studies!A:BR,6,FALSE),"")</f>
        <v>Plasma</v>
      </c>
      <c r="G1787" s="194">
        <v>120</v>
      </c>
      <c r="H1787" s="194" t="s">
        <v>60</v>
      </c>
      <c r="I1787" s="187">
        <v>273.78520369529724</v>
      </c>
      <c r="J1787" s="187" t="s">
        <v>1026</v>
      </c>
      <c r="K1787" s="187" t="s">
        <v>116</v>
      </c>
      <c r="L1787" s="195"/>
      <c r="M1787" s="195"/>
      <c r="N1787" s="195"/>
      <c r="O1787" s="199"/>
      <c r="P1787" s="188"/>
      <c r="Q1787" s="174">
        <f>IF(ISNUMBER(VLOOKUP(A1787,NotghiID!A:A,1,FALSE)),1,0)</f>
        <v>0</v>
      </c>
    </row>
    <row r="1788" spans="1:17" ht="14.25" x14ac:dyDescent="0.2">
      <c r="A1788" s="183">
        <v>524</v>
      </c>
      <c r="B1788" s="232" t="str">
        <f>IF(AND(A1788&lt;&gt;"",ISNUMBER(A1788)),VLOOKUP(A1788,Studies!A:BR,2,FALSE),"")</f>
        <v>Mouton 2006</v>
      </c>
      <c r="C1788" s="232" t="str">
        <f>IF(AND(A1788&lt;&gt;"",ISNUMBER(A1788)),VLOOKUP(A1788,Studies!A:BR,3,FALSE),"")</f>
        <v>https://www.ncbi.nlm.nih.gov/pubmed/16982783</v>
      </c>
      <c r="D1788" s="232" t="str">
        <f>IF(AND(A1788&lt;&gt;"",ISNUMBER(A1788)),VLOOKUP(A1788,Studies!A:BR,4,FALSE),"")</f>
        <v>MAD_m_A 100 mg</v>
      </c>
      <c r="E1788" s="206" t="str">
        <f>IF(AND(A1788&lt;&gt;"",ISNUMBER(A1788)),VLOOKUP(A1788,Studies!A:BR,5,FALSE),"")</f>
        <v>Itraconazole</v>
      </c>
      <c r="F1788" s="207" t="str">
        <f>IF(AND(A1788&lt;&gt;"",ISNUMBER(A1788)),VLOOKUP(A1788,Studies!A:BR,6,FALSE),"")</f>
        <v>Plasma</v>
      </c>
      <c r="G1788" s="194">
        <v>121</v>
      </c>
      <c r="H1788" s="194" t="s">
        <v>60</v>
      </c>
      <c r="I1788" s="187">
        <v>2561.7060661315918</v>
      </c>
      <c r="J1788" s="187" t="s">
        <v>1026</v>
      </c>
      <c r="K1788" s="187" t="s">
        <v>116</v>
      </c>
      <c r="L1788" s="195"/>
      <c r="M1788" s="195"/>
      <c r="N1788" s="195"/>
      <c r="O1788" s="199"/>
      <c r="P1788" s="188"/>
      <c r="Q1788" s="174">
        <f>IF(ISNUMBER(VLOOKUP(A1788,NotghiID!A:A,1,FALSE)),1,0)</f>
        <v>0</v>
      </c>
    </row>
    <row r="1789" spans="1:17" ht="14.25" x14ac:dyDescent="0.2">
      <c r="A1789" s="183">
        <v>524</v>
      </c>
      <c r="B1789" s="232" t="str">
        <f>IF(AND(A1789&lt;&gt;"",ISNUMBER(A1789)),VLOOKUP(A1789,Studies!A:BR,2,FALSE),"")</f>
        <v>Mouton 2006</v>
      </c>
      <c r="C1789" s="232" t="str">
        <f>IF(AND(A1789&lt;&gt;"",ISNUMBER(A1789)),VLOOKUP(A1789,Studies!A:BR,3,FALSE),"")</f>
        <v>https://www.ncbi.nlm.nih.gov/pubmed/16982783</v>
      </c>
      <c r="D1789" s="232" t="str">
        <f>IF(AND(A1789&lt;&gt;"",ISNUMBER(A1789)),VLOOKUP(A1789,Studies!A:BR,4,FALSE),"")</f>
        <v>MAD_m_A 100 mg</v>
      </c>
      <c r="E1789" s="206" t="str">
        <f>IF(AND(A1789&lt;&gt;"",ISNUMBER(A1789)),VLOOKUP(A1789,Studies!A:BR,5,FALSE),"")</f>
        <v>Itraconazole</v>
      </c>
      <c r="F1789" s="207" t="str">
        <f>IF(AND(A1789&lt;&gt;"",ISNUMBER(A1789)),VLOOKUP(A1789,Studies!A:BR,6,FALSE),"")</f>
        <v>Plasma</v>
      </c>
      <c r="G1789" s="194">
        <v>144</v>
      </c>
      <c r="H1789" s="194" t="s">
        <v>60</v>
      </c>
      <c r="I1789" s="187">
        <v>317.97429919242859</v>
      </c>
      <c r="J1789" s="187" t="s">
        <v>1026</v>
      </c>
      <c r="K1789" s="187" t="s">
        <v>116</v>
      </c>
      <c r="L1789" s="195"/>
      <c r="M1789" s="195"/>
      <c r="N1789" s="195"/>
      <c r="O1789" s="199"/>
      <c r="P1789" s="188"/>
      <c r="Q1789" s="174">
        <f>IF(ISNUMBER(VLOOKUP(A1789,NotghiID!A:A,1,FALSE)),1,0)</f>
        <v>0</v>
      </c>
    </row>
    <row r="1790" spans="1:17" ht="14.25" x14ac:dyDescent="0.2">
      <c r="A1790" s="183">
        <v>524</v>
      </c>
      <c r="B1790" s="232" t="str">
        <f>IF(AND(A1790&lt;&gt;"",ISNUMBER(A1790)),VLOOKUP(A1790,Studies!A:BR,2,FALSE),"")</f>
        <v>Mouton 2006</v>
      </c>
      <c r="C1790" s="232" t="str">
        <f>IF(AND(A1790&lt;&gt;"",ISNUMBER(A1790)),VLOOKUP(A1790,Studies!A:BR,3,FALSE),"")</f>
        <v>https://www.ncbi.nlm.nih.gov/pubmed/16982783</v>
      </c>
      <c r="D1790" s="232" t="str">
        <f>IF(AND(A1790&lt;&gt;"",ISNUMBER(A1790)),VLOOKUP(A1790,Studies!A:BR,4,FALSE),"")</f>
        <v>MAD_m_A 100 mg</v>
      </c>
      <c r="E1790" s="206" t="str">
        <f>IF(AND(A1790&lt;&gt;"",ISNUMBER(A1790)),VLOOKUP(A1790,Studies!A:BR,5,FALSE),"")</f>
        <v>Itraconazole</v>
      </c>
      <c r="F1790" s="207" t="str">
        <f>IF(AND(A1790&lt;&gt;"",ISNUMBER(A1790)),VLOOKUP(A1790,Studies!A:BR,6,FALSE),"")</f>
        <v>Plasma</v>
      </c>
      <c r="G1790" s="194">
        <v>144.5</v>
      </c>
      <c r="H1790" s="194" t="s">
        <v>60</v>
      </c>
      <c r="I1790" s="187">
        <v>2715.1880264282227</v>
      </c>
      <c r="J1790" s="187" t="s">
        <v>1026</v>
      </c>
      <c r="K1790" s="187" t="s">
        <v>116</v>
      </c>
      <c r="L1790" s="195"/>
      <c r="M1790" s="195"/>
      <c r="N1790" s="195"/>
      <c r="O1790" s="199"/>
      <c r="P1790" s="188"/>
      <c r="Q1790" s="174">
        <f>IF(ISNUMBER(VLOOKUP(A1790,NotghiID!A:A,1,FALSE)),1,0)</f>
        <v>0</v>
      </c>
    </row>
    <row r="1791" spans="1:17" ht="14.25" x14ac:dyDescent="0.2">
      <c r="A1791" s="183">
        <v>524</v>
      </c>
      <c r="B1791" s="232" t="str">
        <f>IF(AND(A1791&lt;&gt;"",ISNUMBER(A1791)),VLOOKUP(A1791,Studies!A:BR,2,FALSE),"")</f>
        <v>Mouton 2006</v>
      </c>
      <c r="C1791" s="232" t="str">
        <f>IF(AND(A1791&lt;&gt;"",ISNUMBER(A1791)),VLOOKUP(A1791,Studies!A:BR,3,FALSE),"")</f>
        <v>https://www.ncbi.nlm.nih.gov/pubmed/16982783</v>
      </c>
      <c r="D1791" s="232" t="str">
        <f>IF(AND(A1791&lt;&gt;"",ISNUMBER(A1791)),VLOOKUP(A1791,Studies!A:BR,4,FALSE),"")</f>
        <v>MAD_m_A 100 mg</v>
      </c>
      <c r="E1791" s="206" t="str">
        <f>IF(AND(A1791&lt;&gt;"",ISNUMBER(A1791)),VLOOKUP(A1791,Studies!A:BR,5,FALSE),"")</f>
        <v>Itraconazole</v>
      </c>
      <c r="F1791" s="207" t="str">
        <f>IF(AND(A1791&lt;&gt;"",ISNUMBER(A1791)),VLOOKUP(A1791,Studies!A:BR,6,FALSE),"")</f>
        <v>Plasma</v>
      </c>
      <c r="G1791" s="194">
        <v>145</v>
      </c>
      <c r="H1791" s="194" t="s">
        <v>60</v>
      </c>
      <c r="I1791" s="187">
        <v>2280.2770137786865</v>
      </c>
      <c r="J1791" s="187" t="s">
        <v>1026</v>
      </c>
      <c r="K1791" s="187" t="s">
        <v>116</v>
      </c>
      <c r="L1791" s="195"/>
      <c r="M1791" s="195"/>
      <c r="N1791" s="195"/>
      <c r="O1791" s="199"/>
      <c r="P1791" s="188"/>
      <c r="Q1791" s="174">
        <f>IF(ISNUMBER(VLOOKUP(A1791,NotghiID!A:A,1,FALSE)),1,0)</f>
        <v>0</v>
      </c>
    </row>
    <row r="1792" spans="1:17" ht="14.25" x14ac:dyDescent="0.2">
      <c r="A1792" s="183">
        <v>524</v>
      </c>
      <c r="B1792" s="232" t="str">
        <f>IF(AND(A1792&lt;&gt;"",ISNUMBER(A1792)),VLOOKUP(A1792,Studies!A:BR,2,FALSE),"")</f>
        <v>Mouton 2006</v>
      </c>
      <c r="C1792" s="232" t="str">
        <f>IF(AND(A1792&lt;&gt;"",ISNUMBER(A1792)),VLOOKUP(A1792,Studies!A:BR,3,FALSE),"")</f>
        <v>https://www.ncbi.nlm.nih.gov/pubmed/16982783</v>
      </c>
      <c r="D1792" s="232" t="str">
        <f>IF(AND(A1792&lt;&gt;"",ISNUMBER(A1792)),VLOOKUP(A1792,Studies!A:BR,4,FALSE),"")</f>
        <v>MAD_m_A 100 mg</v>
      </c>
      <c r="E1792" s="206" t="str">
        <f>IF(AND(A1792&lt;&gt;"",ISNUMBER(A1792)),VLOOKUP(A1792,Studies!A:BR,5,FALSE),"")</f>
        <v>Itraconazole</v>
      </c>
      <c r="F1792" s="207" t="str">
        <f>IF(AND(A1792&lt;&gt;"",ISNUMBER(A1792)),VLOOKUP(A1792,Studies!A:BR,6,FALSE),"")</f>
        <v>Plasma</v>
      </c>
      <c r="G1792" s="194">
        <v>145.25</v>
      </c>
      <c r="H1792" s="194" t="s">
        <v>60</v>
      </c>
      <c r="I1792" s="187">
        <v>913.85179758071899</v>
      </c>
      <c r="J1792" s="187" t="s">
        <v>1026</v>
      </c>
      <c r="K1792" s="187" t="s">
        <v>116</v>
      </c>
      <c r="L1792" s="195"/>
      <c r="M1792" s="195"/>
      <c r="N1792" s="195"/>
      <c r="O1792" s="199"/>
      <c r="P1792" s="188"/>
      <c r="Q1792" s="174">
        <f>IF(ISNUMBER(VLOOKUP(A1792,NotghiID!A:A,1,FALSE)),1,0)</f>
        <v>0</v>
      </c>
    </row>
    <row r="1793" spans="1:17" ht="14.25" x14ac:dyDescent="0.2">
      <c r="A1793" s="183">
        <v>524</v>
      </c>
      <c r="B1793" s="232" t="str">
        <f>IF(AND(A1793&lt;&gt;"",ISNUMBER(A1793)),VLOOKUP(A1793,Studies!A:BR,2,FALSE),"")</f>
        <v>Mouton 2006</v>
      </c>
      <c r="C1793" s="232" t="str">
        <f>IF(AND(A1793&lt;&gt;"",ISNUMBER(A1793)),VLOOKUP(A1793,Studies!A:BR,3,FALSE),"")</f>
        <v>https://www.ncbi.nlm.nih.gov/pubmed/16982783</v>
      </c>
      <c r="D1793" s="232" t="str">
        <f>IF(AND(A1793&lt;&gt;"",ISNUMBER(A1793)),VLOOKUP(A1793,Studies!A:BR,4,FALSE),"")</f>
        <v>MAD_m_A 100 mg</v>
      </c>
      <c r="E1793" s="206" t="str">
        <f>IF(AND(A1793&lt;&gt;"",ISNUMBER(A1793)),VLOOKUP(A1793,Studies!A:BR,5,FALSE),"")</f>
        <v>Itraconazole</v>
      </c>
      <c r="F1793" s="207" t="str">
        <f>IF(AND(A1793&lt;&gt;"",ISNUMBER(A1793)),VLOOKUP(A1793,Studies!A:BR,6,FALSE),"")</f>
        <v>Plasma</v>
      </c>
      <c r="G1793" s="194">
        <v>146</v>
      </c>
      <c r="H1793" s="194" t="s">
        <v>60</v>
      </c>
      <c r="I1793" s="187">
        <v>712.15170621871948</v>
      </c>
      <c r="J1793" s="187" t="s">
        <v>1026</v>
      </c>
      <c r="K1793" s="187" t="s">
        <v>116</v>
      </c>
      <c r="L1793" s="195"/>
      <c r="M1793" s="195"/>
      <c r="N1793" s="195"/>
      <c r="O1793" s="199"/>
      <c r="P1793" s="188"/>
      <c r="Q1793" s="174">
        <f>IF(ISNUMBER(VLOOKUP(A1793,NotghiID!A:A,1,FALSE)),1,0)</f>
        <v>0</v>
      </c>
    </row>
    <row r="1794" spans="1:17" ht="14.25" x14ac:dyDescent="0.2">
      <c r="A1794" s="183">
        <v>524</v>
      </c>
      <c r="B1794" s="232" t="str">
        <f>IF(AND(A1794&lt;&gt;"",ISNUMBER(A1794)),VLOOKUP(A1794,Studies!A:BR,2,FALSE),"")</f>
        <v>Mouton 2006</v>
      </c>
      <c r="C1794" s="232" t="str">
        <f>IF(AND(A1794&lt;&gt;"",ISNUMBER(A1794)),VLOOKUP(A1794,Studies!A:BR,3,FALSE),"")</f>
        <v>https://www.ncbi.nlm.nih.gov/pubmed/16982783</v>
      </c>
      <c r="D1794" s="232" t="str">
        <f>IF(AND(A1794&lt;&gt;"",ISNUMBER(A1794)),VLOOKUP(A1794,Studies!A:BR,4,FALSE),"")</f>
        <v>MAD_m_A 100 mg</v>
      </c>
      <c r="E1794" s="206" t="str">
        <f>IF(AND(A1794&lt;&gt;"",ISNUMBER(A1794)),VLOOKUP(A1794,Studies!A:BR,5,FALSE),"")</f>
        <v>Itraconazole</v>
      </c>
      <c r="F1794" s="207" t="str">
        <f>IF(AND(A1794&lt;&gt;"",ISNUMBER(A1794)),VLOOKUP(A1794,Studies!A:BR,6,FALSE),"")</f>
        <v>Plasma</v>
      </c>
      <c r="G1794" s="194">
        <v>147</v>
      </c>
      <c r="H1794" s="194" t="s">
        <v>60</v>
      </c>
      <c r="I1794" s="187">
        <v>633.9150071144104</v>
      </c>
      <c r="J1794" s="187" t="s">
        <v>1026</v>
      </c>
      <c r="K1794" s="187" t="s">
        <v>116</v>
      </c>
      <c r="L1794" s="195"/>
      <c r="M1794" s="195"/>
      <c r="N1794" s="195"/>
      <c r="O1794" s="199"/>
      <c r="P1794" s="188"/>
      <c r="Q1794" s="174">
        <f>IF(ISNUMBER(VLOOKUP(A1794,NotghiID!A:A,1,FALSE)),1,0)</f>
        <v>0</v>
      </c>
    </row>
    <row r="1795" spans="1:17" ht="14.25" x14ac:dyDescent="0.2">
      <c r="A1795" s="183">
        <v>524</v>
      </c>
      <c r="B1795" s="232" t="str">
        <f>IF(AND(A1795&lt;&gt;"",ISNUMBER(A1795)),VLOOKUP(A1795,Studies!A:BR,2,FALSE),"")</f>
        <v>Mouton 2006</v>
      </c>
      <c r="C1795" s="232" t="str">
        <f>IF(AND(A1795&lt;&gt;"",ISNUMBER(A1795)),VLOOKUP(A1795,Studies!A:BR,3,FALSE),"")</f>
        <v>https://www.ncbi.nlm.nih.gov/pubmed/16982783</v>
      </c>
      <c r="D1795" s="232" t="str">
        <f>IF(AND(A1795&lt;&gt;"",ISNUMBER(A1795)),VLOOKUP(A1795,Studies!A:BR,4,FALSE),"")</f>
        <v>MAD_m_A 100 mg</v>
      </c>
      <c r="E1795" s="206" t="str">
        <f>IF(AND(A1795&lt;&gt;"",ISNUMBER(A1795)),VLOOKUP(A1795,Studies!A:BR,5,FALSE),"")</f>
        <v>Itraconazole</v>
      </c>
      <c r="F1795" s="207" t="str">
        <f>IF(AND(A1795&lt;&gt;"",ISNUMBER(A1795)),VLOOKUP(A1795,Studies!A:BR,6,FALSE),"")</f>
        <v>Plasma</v>
      </c>
      <c r="G1795" s="194">
        <v>149</v>
      </c>
      <c r="H1795" s="194" t="s">
        <v>60</v>
      </c>
      <c r="I1795" s="187">
        <v>578.52190732955933</v>
      </c>
      <c r="J1795" s="187" t="s">
        <v>1026</v>
      </c>
      <c r="K1795" s="187" t="s">
        <v>116</v>
      </c>
      <c r="L1795" s="195"/>
      <c r="M1795" s="195"/>
      <c r="N1795" s="195"/>
      <c r="O1795" s="199"/>
      <c r="P1795" s="188"/>
      <c r="Q1795" s="174">
        <f>IF(ISNUMBER(VLOOKUP(A1795,NotghiID!A:A,1,FALSE)),1,0)</f>
        <v>0</v>
      </c>
    </row>
    <row r="1796" spans="1:17" ht="14.25" x14ac:dyDescent="0.2">
      <c r="A1796" s="183">
        <v>524</v>
      </c>
      <c r="B1796" s="232" t="str">
        <f>IF(AND(A1796&lt;&gt;"",ISNUMBER(A1796)),VLOOKUP(A1796,Studies!A:BR,2,FALSE),"")</f>
        <v>Mouton 2006</v>
      </c>
      <c r="C1796" s="232" t="str">
        <f>IF(AND(A1796&lt;&gt;"",ISNUMBER(A1796)),VLOOKUP(A1796,Studies!A:BR,3,FALSE),"")</f>
        <v>https://www.ncbi.nlm.nih.gov/pubmed/16982783</v>
      </c>
      <c r="D1796" s="232" t="str">
        <f>IF(AND(A1796&lt;&gt;"",ISNUMBER(A1796)),VLOOKUP(A1796,Studies!A:BR,4,FALSE),"")</f>
        <v>MAD_m_A 100 mg</v>
      </c>
      <c r="E1796" s="206" t="str">
        <f>IF(AND(A1796&lt;&gt;"",ISNUMBER(A1796)),VLOOKUP(A1796,Studies!A:BR,5,FALSE),"")</f>
        <v>Itraconazole</v>
      </c>
      <c r="F1796" s="207" t="str">
        <f>IF(AND(A1796&lt;&gt;"",ISNUMBER(A1796)),VLOOKUP(A1796,Studies!A:BR,6,FALSE),"")</f>
        <v>Plasma</v>
      </c>
      <c r="G1796" s="194">
        <v>151</v>
      </c>
      <c r="H1796" s="194" t="s">
        <v>60</v>
      </c>
      <c r="I1796" s="187">
        <v>502.28238105773926</v>
      </c>
      <c r="J1796" s="187" t="s">
        <v>1026</v>
      </c>
      <c r="K1796" s="187" t="s">
        <v>116</v>
      </c>
      <c r="L1796" s="195"/>
      <c r="M1796" s="195"/>
      <c r="N1796" s="195"/>
      <c r="O1796" s="199"/>
      <c r="P1796" s="188"/>
      <c r="Q1796" s="174">
        <f>IF(ISNUMBER(VLOOKUP(A1796,NotghiID!A:A,1,FALSE)),1,0)</f>
        <v>0</v>
      </c>
    </row>
    <row r="1797" spans="1:17" ht="14.25" x14ac:dyDescent="0.2">
      <c r="A1797" s="183">
        <v>524</v>
      </c>
      <c r="B1797" s="232" t="str">
        <f>IF(AND(A1797&lt;&gt;"",ISNUMBER(A1797)),VLOOKUP(A1797,Studies!A:BR,2,FALSE),"")</f>
        <v>Mouton 2006</v>
      </c>
      <c r="C1797" s="232" t="str">
        <f>IF(AND(A1797&lt;&gt;"",ISNUMBER(A1797)),VLOOKUP(A1797,Studies!A:BR,3,FALSE),"")</f>
        <v>https://www.ncbi.nlm.nih.gov/pubmed/16982783</v>
      </c>
      <c r="D1797" s="232" t="str">
        <f>IF(AND(A1797&lt;&gt;"",ISNUMBER(A1797)),VLOOKUP(A1797,Studies!A:BR,4,FALSE),"")</f>
        <v>MAD_m_A 100 mg</v>
      </c>
      <c r="E1797" s="206" t="str">
        <f>IF(AND(A1797&lt;&gt;"",ISNUMBER(A1797)),VLOOKUP(A1797,Studies!A:BR,5,FALSE),"")</f>
        <v>Itraconazole</v>
      </c>
      <c r="F1797" s="207" t="str">
        <f>IF(AND(A1797&lt;&gt;"",ISNUMBER(A1797)),VLOOKUP(A1797,Studies!A:BR,6,FALSE),"")</f>
        <v>Plasma</v>
      </c>
      <c r="G1797" s="194">
        <v>153</v>
      </c>
      <c r="H1797" s="194" t="s">
        <v>60</v>
      </c>
      <c r="I1797" s="187">
        <v>485.85599660873413</v>
      </c>
      <c r="J1797" s="187" t="s">
        <v>1026</v>
      </c>
      <c r="K1797" s="187" t="s">
        <v>116</v>
      </c>
      <c r="L1797" s="195"/>
      <c r="M1797" s="195"/>
      <c r="N1797" s="195"/>
      <c r="O1797" s="199"/>
      <c r="P1797" s="188"/>
      <c r="Q1797" s="174">
        <f>IF(ISNUMBER(VLOOKUP(A1797,NotghiID!A:A,1,FALSE)),1,0)</f>
        <v>0</v>
      </c>
    </row>
    <row r="1798" spans="1:17" ht="14.25" x14ac:dyDescent="0.2">
      <c r="A1798" s="183">
        <v>524</v>
      </c>
      <c r="B1798" s="232" t="str">
        <f>IF(AND(A1798&lt;&gt;"",ISNUMBER(A1798)),VLOOKUP(A1798,Studies!A:BR,2,FALSE),"")</f>
        <v>Mouton 2006</v>
      </c>
      <c r="C1798" s="232" t="str">
        <f>IF(AND(A1798&lt;&gt;"",ISNUMBER(A1798)),VLOOKUP(A1798,Studies!A:BR,3,FALSE),"")</f>
        <v>https://www.ncbi.nlm.nih.gov/pubmed/16982783</v>
      </c>
      <c r="D1798" s="232" t="str">
        <f>IF(AND(A1798&lt;&gt;"",ISNUMBER(A1798)),VLOOKUP(A1798,Studies!A:BR,4,FALSE),"")</f>
        <v>MAD_m_A 100 mg</v>
      </c>
      <c r="E1798" s="206" t="str">
        <f>IF(AND(A1798&lt;&gt;"",ISNUMBER(A1798)),VLOOKUP(A1798,Studies!A:BR,5,FALSE),"")</f>
        <v>Itraconazole</v>
      </c>
      <c r="F1798" s="207" t="str">
        <f>IF(AND(A1798&lt;&gt;"",ISNUMBER(A1798)),VLOOKUP(A1798,Studies!A:BR,6,FALSE),"")</f>
        <v>Plasma</v>
      </c>
      <c r="G1798" s="194">
        <v>160</v>
      </c>
      <c r="H1798" s="194" t="s">
        <v>60</v>
      </c>
      <c r="I1798" s="187">
        <v>302.50418186187744</v>
      </c>
      <c r="J1798" s="187" t="s">
        <v>1026</v>
      </c>
      <c r="K1798" s="187" t="s">
        <v>116</v>
      </c>
      <c r="L1798" s="195"/>
      <c r="M1798" s="195"/>
      <c r="N1798" s="195"/>
      <c r="O1798" s="199"/>
      <c r="P1798" s="188"/>
      <c r="Q1798" s="174">
        <f>IF(ISNUMBER(VLOOKUP(A1798,NotghiID!A:A,1,FALSE)),1,0)</f>
        <v>0</v>
      </c>
    </row>
    <row r="1799" spans="1:17" ht="14.25" x14ac:dyDescent="0.2">
      <c r="A1799" s="183">
        <v>524</v>
      </c>
      <c r="B1799" s="232" t="str">
        <f>IF(AND(A1799&lt;&gt;"",ISNUMBER(A1799)),VLOOKUP(A1799,Studies!A:BR,2,FALSE),"")</f>
        <v>Mouton 2006</v>
      </c>
      <c r="C1799" s="232" t="str">
        <f>IF(AND(A1799&lt;&gt;"",ISNUMBER(A1799)),VLOOKUP(A1799,Studies!A:BR,3,FALSE),"")</f>
        <v>https://www.ncbi.nlm.nih.gov/pubmed/16982783</v>
      </c>
      <c r="D1799" s="232" t="str">
        <f>IF(AND(A1799&lt;&gt;"",ISNUMBER(A1799)),VLOOKUP(A1799,Studies!A:BR,4,FALSE),"")</f>
        <v>MAD_m_A 100 mg</v>
      </c>
      <c r="E1799" s="206" t="str">
        <f>IF(AND(A1799&lt;&gt;"",ISNUMBER(A1799)),VLOOKUP(A1799,Studies!A:BR,5,FALSE),"")</f>
        <v>Itraconazole</v>
      </c>
      <c r="F1799" s="207" t="str">
        <f>IF(AND(A1799&lt;&gt;"",ISNUMBER(A1799)),VLOOKUP(A1799,Studies!A:BR,6,FALSE),"")</f>
        <v>Plasma</v>
      </c>
      <c r="G1799" s="194">
        <v>168</v>
      </c>
      <c r="H1799" s="194" t="s">
        <v>60</v>
      </c>
      <c r="I1799" s="187">
        <v>337.02552318572998</v>
      </c>
      <c r="J1799" s="187" t="s">
        <v>1026</v>
      </c>
      <c r="K1799" s="187" t="s">
        <v>116</v>
      </c>
      <c r="L1799" s="195"/>
      <c r="M1799" s="195"/>
      <c r="N1799" s="195"/>
      <c r="O1799" s="199"/>
      <c r="P1799" s="188"/>
      <c r="Q1799" s="174">
        <f>IF(ISNUMBER(VLOOKUP(A1799,NotghiID!A:A,1,FALSE)),1,0)</f>
        <v>0</v>
      </c>
    </row>
    <row r="1800" spans="1:17" ht="14.25" x14ac:dyDescent="0.2">
      <c r="A1800" s="183">
        <v>524</v>
      </c>
      <c r="B1800" s="232" t="str">
        <f>IF(AND(A1800&lt;&gt;"",ISNUMBER(A1800)),VLOOKUP(A1800,Studies!A:BR,2,FALSE),"")</f>
        <v>Mouton 2006</v>
      </c>
      <c r="C1800" s="232" t="str">
        <f>IF(AND(A1800&lt;&gt;"",ISNUMBER(A1800)),VLOOKUP(A1800,Studies!A:BR,3,FALSE),"")</f>
        <v>https://www.ncbi.nlm.nih.gov/pubmed/16982783</v>
      </c>
      <c r="D1800" s="232" t="str">
        <f>IF(AND(A1800&lt;&gt;"",ISNUMBER(A1800)),VLOOKUP(A1800,Studies!A:BR,4,FALSE),"")</f>
        <v>MAD_m_A 100 mg</v>
      </c>
      <c r="E1800" s="206" t="str">
        <f>IF(AND(A1800&lt;&gt;"",ISNUMBER(A1800)),VLOOKUP(A1800,Studies!A:BR,5,FALSE),"")</f>
        <v>Itraconazole</v>
      </c>
      <c r="F1800" s="207" t="str">
        <f>IF(AND(A1800&lt;&gt;"",ISNUMBER(A1800)),VLOOKUP(A1800,Studies!A:BR,6,FALSE),"")</f>
        <v>Plasma</v>
      </c>
      <c r="G1800" s="194">
        <v>176</v>
      </c>
      <c r="H1800" s="194" t="s">
        <v>60</v>
      </c>
      <c r="I1800" s="187">
        <v>264.83151316642761</v>
      </c>
      <c r="J1800" s="187" t="s">
        <v>1026</v>
      </c>
      <c r="K1800" s="187" t="s">
        <v>116</v>
      </c>
      <c r="L1800" s="195"/>
      <c r="M1800" s="195"/>
      <c r="N1800" s="195"/>
      <c r="O1800" s="199"/>
      <c r="P1800" s="188"/>
      <c r="Q1800" s="174">
        <f>IF(ISNUMBER(VLOOKUP(A1800,NotghiID!A:A,1,FALSE)),1,0)</f>
        <v>0</v>
      </c>
    </row>
    <row r="1801" spans="1:17" ht="14.25" x14ac:dyDescent="0.2">
      <c r="A1801" s="183">
        <v>524</v>
      </c>
      <c r="B1801" s="232" t="str">
        <f>IF(AND(A1801&lt;&gt;"",ISNUMBER(A1801)),VLOOKUP(A1801,Studies!A:BR,2,FALSE),"")</f>
        <v>Mouton 2006</v>
      </c>
      <c r="C1801" s="232" t="str">
        <f>IF(AND(A1801&lt;&gt;"",ISNUMBER(A1801)),VLOOKUP(A1801,Studies!A:BR,3,FALSE),"")</f>
        <v>https://www.ncbi.nlm.nih.gov/pubmed/16982783</v>
      </c>
      <c r="D1801" s="232" t="str">
        <f>IF(AND(A1801&lt;&gt;"",ISNUMBER(A1801)),VLOOKUP(A1801,Studies!A:BR,4,FALSE),"")</f>
        <v>MAD_m_A 100 mg</v>
      </c>
      <c r="E1801" s="206" t="str">
        <f>IF(AND(A1801&lt;&gt;"",ISNUMBER(A1801)),VLOOKUP(A1801,Studies!A:BR,5,FALSE),"")</f>
        <v>Itraconazole</v>
      </c>
      <c r="F1801" s="207" t="str">
        <f>IF(AND(A1801&lt;&gt;"",ISNUMBER(A1801)),VLOOKUP(A1801,Studies!A:BR,6,FALSE),"")</f>
        <v>Plasma</v>
      </c>
      <c r="G1801" s="194">
        <v>192</v>
      </c>
      <c r="H1801" s="194" t="s">
        <v>60</v>
      </c>
      <c r="I1801" s="187">
        <v>189.91759419441223</v>
      </c>
      <c r="J1801" s="187" t="s">
        <v>1026</v>
      </c>
      <c r="K1801" s="187" t="s">
        <v>116</v>
      </c>
      <c r="L1801" s="195"/>
      <c r="M1801" s="195"/>
      <c r="N1801" s="195"/>
      <c r="O1801" s="199"/>
      <c r="P1801" s="188"/>
      <c r="Q1801" s="174">
        <f>IF(ISNUMBER(VLOOKUP(A1801,NotghiID!A:A,1,FALSE)),1,0)</f>
        <v>0</v>
      </c>
    </row>
    <row r="1802" spans="1:17" ht="14.25" x14ac:dyDescent="0.2">
      <c r="A1802" s="183">
        <v>524</v>
      </c>
      <c r="B1802" s="232" t="str">
        <f>IF(AND(A1802&lt;&gt;"",ISNUMBER(A1802)),VLOOKUP(A1802,Studies!A:BR,2,FALSE),"")</f>
        <v>Mouton 2006</v>
      </c>
      <c r="C1802" s="232" t="str">
        <f>IF(AND(A1802&lt;&gt;"",ISNUMBER(A1802)),VLOOKUP(A1802,Studies!A:BR,3,FALSE),"")</f>
        <v>https://www.ncbi.nlm.nih.gov/pubmed/16982783</v>
      </c>
      <c r="D1802" s="232" t="str">
        <f>IF(AND(A1802&lt;&gt;"",ISNUMBER(A1802)),VLOOKUP(A1802,Studies!A:BR,4,FALSE),"")</f>
        <v>MAD_m_A 100 mg</v>
      </c>
      <c r="E1802" s="206" t="str">
        <f>IF(AND(A1802&lt;&gt;"",ISNUMBER(A1802)),VLOOKUP(A1802,Studies!A:BR,5,FALSE),"")</f>
        <v>Itraconazole</v>
      </c>
      <c r="F1802" s="207" t="str">
        <f>IF(AND(A1802&lt;&gt;"",ISNUMBER(A1802)),VLOOKUP(A1802,Studies!A:BR,6,FALSE),"")</f>
        <v>Plasma</v>
      </c>
      <c r="G1802" s="194">
        <v>216</v>
      </c>
      <c r="H1802" s="194" t="s">
        <v>60</v>
      </c>
      <c r="I1802" s="187">
        <v>159.49720144271851</v>
      </c>
      <c r="J1802" s="187" t="s">
        <v>1026</v>
      </c>
      <c r="K1802" s="187" t="s">
        <v>116</v>
      </c>
      <c r="L1802" s="195"/>
      <c r="M1802" s="195"/>
      <c r="N1802" s="195"/>
      <c r="O1802" s="199"/>
      <c r="P1802" s="188"/>
      <c r="Q1802" s="174">
        <f>IF(ISNUMBER(VLOOKUP(A1802,NotghiID!A:A,1,FALSE)),1,0)</f>
        <v>0</v>
      </c>
    </row>
    <row r="1803" spans="1:17" ht="14.25" x14ac:dyDescent="0.2">
      <c r="A1803" s="183">
        <v>524</v>
      </c>
      <c r="B1803" s="232" t="str">
        <f>IF(AND(A1803&lt;&gt;"",ISNUMBER(A1803)),VLOOKUP(A1803,Studies!A:BR,2,FALSE),"")</f>
        <v>Mouton 2006</v>
      </c>
      <c r="C1803" s="232" t="str">
        <f>IF(AND(A1803&lt;&gt;"",ISNUMBER(A1803)),VLOOKUP(A1803,Studies!A:BR,3,FALSE),"")</f>
        <v>https://www.ncbi.nlm.nih.gov/pubmed/16982783</v>
      </c>
      <c r="D1803" s="232" t="str">
        <f>IF(AND(A1803&lt;&gt;"",ISNUMBER(A1803)),VLOOKUP(A1803,Studies!A:BR,4,FALSE),"")</f>
        <v>MAD_m_A 100 mg</v>
      </c>
      <c r="E1803" s="206" t="str">
        <f>IF(AND(A1803&lt;&gt;"",ISNUMBER(A1803)),VLOOKUP(A1803,Studies!A:BR,5,FALSE),"")</f>
        <v>Itraconazole</v>
      </c>
      <c r="F1803" s="207" t="str">
        <f>IF(AND(A1803&lt;&gt;"",ISNUMBER(A1803)),VLOOKUP(A1803,Studies!A:BR,6,FALSE),"")</f>
        <v>Plasma</v>
      </c>
      <c r="G1803" s="194">
        <v>240</v>
      </c>
      <c r="H1803" s="194" t="s">
        <v>60</v>
      </c>
      <c r="I1803" s="187">
        <v>101.813904941082</v>
      </c>
      <c r="J1803" s="187" t="s">
        <v>1026</v>
      </c>
      <c r="K1803" s="187" t="s">
        <v>116</v>
      </c>
      <c r="L1803" s="195"/>
      <c r="M1803" s="195"/>
      <c r="N1803" s="195"/>
      <c r="O1803" s="199"/>
      <c r="P1803" s="188"/>
      <c r="Q1803" s="174">
        <f>IF(ISNUMBER(VLOOKUP(A1803,NotghiID!A:A,1,FALSE)),1,0)</f>
        <v>0</v>
      </c>
    </row>
    <row r="1804" spans="1:17" ht="14.25" x14ac:dyDescent="0.2">
      <c r="A1804" s="183">
        <v>524</v>
      </c>
      <c r="B1804" s="232" t="str">
        <f>IF(AND(A1804&lt;&gt;"",ISNUMBER(A1804)),VLOOKUP(A1804,Studies!A:BR,2,FALSE),"")</f>
        <v>Mouton 2006</v>
      </c>
      <c r="C1804" s="232" t="str">
        <f>IF(AND(A1804&lt;&gt;"",ISNUMBER(A1804)),VLOOKUP(A1804,Studies!A:BR,3,FALSE),"")</f>
        <v>https://www.ncbi.nlm.nih.gov/pubmed/16982783</v>
      </c>
      <c r="D1804" s="232" t="str">
        <f>IF(AND(A1804&lt;&gt;"",ISNUMBER(A1804)),VLOOKUP(A1804,Studies!A:BR,4,FALSE),"")</f>
        <v>MAD_m_A 100 mg</v>
      </c>
      <c r="E1804" s="206" t="str">
        <f>IF(AND(A1804&lt;&gt;"",ISNUMBER(A1804)),VLOOKUP(A1804,Studies!A:BR,5,FALSE),"")</f>
        <v>Itraconazole</v>
      </c>
      <c r="F1804" s="207" t="str">
        <f>IF(AND(A1804&lt;&gt;"",ISNUMBER(A1804)),VLOOKUP(A1804,Studies!A:BR,6,FALSE),"")</f>
        <v>Plasma</v>
      </c>
      <c r="G1804" s="194">
        <v>312</v>
      </c>
      <c r="H1804" s="194" t="s">
        <v>60</v>
      </c>
      <c r="I1804" s="187">
        <v>38.117222487926483</v>
      </c>
      <c r="J1804" s="187" t="s">
        <v>1026</v>
      </c>
      <c r="K1804" s="187" t="s">
        <v>116</v>
      </c>
      <c r="L1804" s="195"/>
      <c r="M1804" s="195"/>
      <c r="N1804" s="195"/>
      <c r="O1804" s="199"/>
      <c r="P1804" s="188"/>
      <c r="Q1804" s="174">
        <f>IF(ISNUMBER(VLOOKUP(A1804,NotghiID!A:A,1,FALSE)),1,0)</f>
        <v>0</v>
      </c>
    </row>
    <row r="1805" spans="1:17" ht="14.25" x14ac:dyDescent="0.2">
      <c r="A1805" s="183">
        <v>526</v>
      </c>
      <c r="B1805" s="232" t="str">
        <f>IF(AND(A1805&lt;&gt;"",ISNUMBER(A1805)),VLOOKUP(A1805,Studies!A:BR,2,FALSE),"")</f>
        <v>Mouton 2006</v>
      </c>
      <c r="C1805" s="232" t="str">
        <f>IF(AND(A1805&lt;&gt;"",ISNUMBER(A1805)),VLOOKUP(A1805,Studies!A:BR,3,FALSE),"")</f>
        <v>https://www.ncbi.nlm.nih.gov/pubmed/16982783</v>
      </c>
      <c r="D1805" s="232" t="str">
        <f>IF(AND(A1805&lt;&gt;"",ISNUMBER(A1805)),VLOOKUP(A1805,Studies!A:BR,4,FALSE),"")</f>
        <v>MAD_m_C 300 mg</v>
      </c>
      <c r="E1805" s="206" t="str">
        <f>IF(AND(A1805&lt;&gt;"",ISNUMBER(A1805)),VLOOKUP(A1805,Studies!A:BR,5,FALSE),"")</f>
        <v>Itraconazole</v>
      </c>
      <c r="F1805" s="207" t="str">
        <f>IF(AND(A1805&lt;&gt;"",ISNUMBER(A1805)),VLOOKUP(A1805,Studies!A:BR,6,FALSE),"")</f>
        <v>Plasma</v>
      </c>
      <c r="G1805" s="194">
        <v>3</v>
      </c>
      <c r="H1805" s="194" t="s">
        <v>60</v>
      </c>
      <c r="I1805" s="187">
        <v>3260.035888671875</v>
      </c>
      <c r="J1805" s="187" t="s">
        <v>1026</v>
      </c>
      <c r="K1805" s="187" t="s">
        <v>116</v>
      </c>
      <c r="L1805" s="195"/>
      <c r="M1805" s="195"/>
      <c r="N1805" s="195"/>
      <c r="O1805" s="199"/>
      <c r="P1805" s="188"/>
      <c r="Q1805" s="174">
        <f>IF(ISNUMBER(VLOOKUP(A1805,NotghiID!A:A,1,FALSE)),1,0)</f>
        <v>0</v>
      </c>
    </row>
    <row r="1806" spans="1:17" ht="14.25" x14ac:dyDescent="0.2">
      <c r="A1806" s="183">
        <v>526</v>
      </c>
      <c r="B1806" s="232" t="str">
        <f>IF(AND(A1806&lt;&gt;"",ISNUMBER(A1806)),VLOOKUP(A1806,Studies!A:BR,2,FALSE),"")</f>
        <v>Mouton 2006</v>
      </c>
      <c r="C1806" s="232" t="str">
        <f>IF(AND(A1806&lt;&gt;"",ISNUMBER(A1806)),VLOOKUP(A1806,Studies!A:BR,3,FALSE),"")</f>
        <v>https://www.ncbi.nlm.nih.gov/pubmed/16982783</v>
      </c>
      <c r="D1806" s="232" t="str">
        <f>IF(AND(A1806&lt;&gt;"",ISNUMBER(A1806)),VLOOKUP(A1806,Studies!A:BR,4,FALSE),"")</f>
        <v>MAD_m_C 300 mg</v>
      </c>
      <c r="E1806" s="206" t="str">
        <f>IF(AND(A1806&lt;&gt;"",ISNUMBER(A1806)),VLOOKUP(A1806,Studies!A:BR,5,FALSE),"")</f>
        <v>Itraconazole</v>
      </c>
      <c r="F1806" s="207" t="str">
        <f>IF(AND(A1806&lt;&gt;"",ISNUMBER(A1806)),VLOOKUP(A1806,Studies!A:BR,6,FALSE),"")</f>
        <v>Plasma</v>
      </c>
      <c r="G1806" s="194">
        <v>8</v>
      </c>
      <c r="H1806" s="194" t="s">
        <v>60</v>
      </c>
      <c r="I1806" s="187">
        <v>593.13031005859375</v>
      </c>
      <c r="J1806" s="187" t="s">
        <v>1026</v>
      </c>
      <c r="K1806" s="187" t="s">
        <v>116</v>
      </c>
      <c r="L1806" s="195"/>
      <c r="M1806" s="195"/>
      <c r="N1806" s="195"/>
      <c r="O1806" s="199"/>
      <c r="P1806" s="188"/>
      <c r="Q1806" s="174">
        <f>IF(ISNUMBER(VLOOKUP(A1806,NotghiID!A:A,1,FALSE)),1,0)</f>
        <v>0</v>
      </c>
    </row>
    <row r="1807" spans="1:17" ht="14.25" x14ac:dyDescent="0.2">
      <c r="A1807" s="183">
        <v>526</v>
      </c>
      <c r="B1807" s="232" t="str">
        <f>IF(AND(A1807&lt;&gt;"",ISNUMBER(A1807)),VLOOKUP(A1807,Studies!A:BR,2,FALSE),"")</f>
        <v>Mouton 2006</v>
      </c>
      <c r="C1807" s="232" t="str">
        <f>IF(AND(A1807&lt;&gt;"",ISNUMBER(A1807)),VLOOKUP(A1807,Studies!A:BR,3,FALSE),"")</f>
        <v>https://www.ncbi.nlm.nih.gov/pubmed/16982783</v>
      </c>
      <c r="D1807" s="232" t="str">
        <f>IF(AND(A1807&lt;&gt;"",ISNUMBER(A1807)),VLOOKUP(A1807,Studies!A:BR,4,FALSE),"")</f>
        <v>MAD_m_C 300 mg</v>
      </c>
      <c r="E1807" s="206" t="str">
        <f>IF(AND(A1807&lt;&gt;"",ISNUMBER(A1807)),VLOOKUP(A1807,Studies!A:BR,5,FALSE),"")</f>
        <v>Itraconazole</v>
      </c>
      <c r="F1807" s="207" t="str">
        <f>IF(AND(A1807&lt;&gt;"",ISNUMBER(A1807)),VLOOKUP(A1807,Studies!A:BR,6,FALSE),"")</f>
        <v>Plasma</v>
      </c>
      <c r="G1807" s="194">
        <v>11</v>
      </c>
      <c r="H1807" s="194" t="s">
        <v>60</v>
      </c>
      <c r="I1807" s="187">
        <v>3754.864013671875</v>
      </c>
      <c r="J1807" s="187" t="s">
        <v>1026</v>
      </c>
      <c r="K1807" s="187" t="s">
        <v>116</v>
      </c>
      <c r="L1807" s="195"/>
      <c r="M1807" s="195"/>
      <c r="N1807" s="195"/>
      <c r="O1807" s="199"/>
      <c r="P1807" s="188"/>
      <c r="Q1807" s="174">
        <f>IF(ISNUMBER(VLOOKUP(A1807,NotghiID!A:A,1,FALSE)),1,0)</f>
        <v>0</v>
      </c>
    </row>
    <row r="1808" spans="1:17" ht="14.25" x14ac:dyDescent="0.2">
      <c r="A1808" s="183">
        <v>526</v>
      </c>
      <c r="B1808" s="232" t="str">
        <f>IF(AND(A1808&lt;&gt;"",ISNUMBER(A1808)),VLOOKUP(A1808,Studies!A:BR,2,FALSE),"")</f>
        <v>Mouton 2006</v>
      </c>
      <c r="C1808" s="232" t="str">
        <f>IF(AND(A1808&lt;&gt;"",ISNUMBER(A1808)),VLOOKUP(A1808,Studies!A:BR,3,FALSE),"")</f>
        <v>https://www.ncbi.nlm.nih.gov/pubmed/16982783</v>
      </c>
      <c r="D1808" s="232" t="str">
        <f>IF(AND(A1808&lt;&gt;"",ISNUMBER(A1808)),VLOOKUP(A1808,Studies!A:BR,4,FALSE),"")</f>
        <v>MAD_m_C 300 mg</v>
      </c>
      <c r="E1808" s="206" t="str">
        <f>IF(AND(A1808&lt;&gt;"",ISNUMBER(A1808)),VLOOKUP(A1808,Studies!A:BR,5,FALSE),"")</f>
        <v>Itraconazole</v>
      </c>
      <c r="F1808" s="207" t="str">
        <f>IF(AND(A1808&lt;&gt;"",ISNUMBER(A1808)),VLOOKUP(A1808,Studies!A:BR,6,FALSE),"")</f>
        <v>Plasma</v>
      </c>
      <c r="G1808" s="194">
        <v>24</v>
      </c>
      <c r="H1808" s="194" t="s">
        <v>60</v>
      </c>
      <c r="I1808" s="187">
        <v>671.89556884765625</v>
      </c>
      <c r="J1808" s="187" t="s">
        <v>1026</v>
      </c>
      <c r="K1808" s="187" t="s">
        <v>116</v>
      </c>
      <c r="L1808" s="195"/>
      <c r="M1808" s="195"/>
      <c r="N1808" s="195"/>
      <c r="O1808" s="199"/>
      <c r="P1808" s="188"/>
      <c r="Q1808" s="174">
        <f>IF(ISNUMBER(VLOOKUP(A1808,NotghiID!A:A,1,FALSE)),1,0)</f>
        <v>0</v>
      </c>
    </row>
    <row r="1809" spans="1:17" ht="14.25" x14ac:dyDescent="0.2">
      <c r="A1809" s="183">
        <v>526</v>
      </c>
      <c r="B1809" s="232" t="str">
        <f>IF(AND(A1809&lt;&gt;"",ISNUMBER(A1809)),VLOOKUP(A1809,Studies!A:BR,2,FALSE),"")</f>
        <v>Mouton 2006</v>
      </c>
      <c r="C1809" s="232" t="str">
        <f>IF(AND(A1809&lt;&gt;"",ISNUMBER(A1809)),VLOOKUP(A1809,Studies!A:BR,3,FALSE),"")</f>
        <v>https://www.ncbi.nlm.nih.gov/pubmed/16982783</v>
      </c>
      <c r="D1809" s="232" t="str">
        <f>IF(AND(A1809&lt;&gt;"",ISNUMBER(A1809)),VLOOKUP(A1809,Studies!A:BR,4,FALSE),"")</f>
        <v>MAD_m_C 300 mg</v>
      </c>
      <c r="E1809" s="206" t="str">
        <f>IF(AND(A1809&lt;&gt;"",ISNUMBER(A1809)),VLOOKUP(A1809,Studies!A:BR,5,FALSE),"")</f>
        <v>Itraconazole</v>
      </c>
      <c r="F1809" s="207" t="str">
        <f>IF(AND(A1809&lt;&gt;"",ISNUMBER(A1809)),VLOOKUP(A1809,Studies!A:BR,6,FALSE),"")</f>
        <v>Plasma</v>
      </c>
      <c r="G1809" s="194">
        <v>27</v>
      </c>
      <c r="H1809" s="194" t="s">
        <v>60</v>
      </c>
      <c r="I1809" s="187">
        <v>3572.18212890625</v>
      </c>
      <c r="J1809" s="187" t="s">
        <v>1026</v>
      </c>
      <c r="K1809" s="187" t="s">
        <v>116</v>
      </c>
      <c r="L1809" s="195"/>
      <c r="M1809" s="195"/>
      <c r="N1809" s="195"/>
      <c r="O1809" s="199"/>
      <c r="P1809" s="188"/>
      <c r="Q1809" s="174">
        <f>IF(ISNUMBER(VLOOKUP(A1809,NotghiID!A:A,1,FALSE)),1,0)</f>
        <v>0</v>
      </c>
    </row>
    <row r="1810" spans="1:17" ht="14.25" x14ac:dyDescent="0.2">
      <c r="A1810" s="183">
        <v>526</v>
      </c>
      <c r="B1810" s="232" t="str">
        <f>IF(AND(A1810&lt;&gt;"",ISNUMBER(A1810)),VLOOKUP(A1810,Studies!A:BR,2,FALSE),"")</f>
        <v>Mouton 2006</v>
      </c>
      <c r="C1810" s="232" t="str">
        <f>IF(AND(A1810&lt;&gt;"",ISNUMBER(A1810)),VLOOKUP(A1810,Studies!A:BR,3,FALSE),"")</f>
        <v>https://www.ncbi.nlm.nih.gov/pubmed/16982783</v>
      </c>
      <c r="D1810" s="232" t="str">
        <f>IF(AND(A1810&lt;&gt;"",ISNUMBER(A1810)),VLOOKUP(A1810,Studies!A:BR,4,FALSE),"")</f>
        <v>MAD_m_C 300 mg</v>
      </c>
      <c r="E1810" s="206" t="str">
        <f>IF(AND(A1810&lt;&gt;"",ISNUMBER(A1810)),VLOOKUP(A1810,Studies!A:BR,5,FALSE),"")</f>
        <v>Itraconazole</v>
      </c>
      <c r="F1810" s="207" t="str">
        <f>IF(AND(A1810&lt;&gt;"",ISNUMBER(A1810)),VLOOKUP(A1810,Studies!A:BR,6,FALSE),"")</f>
        <v>Plasma</v>
      </c>
      <c r="G1810" s="194">
        <v>32</v>
      </c>
      <c r="H1810" s="194" t="s">
        <v>60</v>
      </c>
      <c r="I1810" s="187">
        <v>1079.1400146484375</v>
      </c>
      <c r="J1810" s="187" t="s">
        <v>1026</v>
      </c>
      <c r="K1810" s="187" t="s">
        <v>116</v>
      </c>
      <c r="L1810" s="195"/>
      <c r="M1810" s="195"/>
      <c r="N1810" s="195"/>
      <c r="O1810" s="199"/>
      <c r="P1810" s="188"/>
      <c r="Q1810" s="174">
        <f>IF(ISNUMBER(VLOOKUP(A1810,NotghiID!A:A,1,FALSE)),1,0)</f>
        <v>0</v>
      </c>
    </row>
    <row r="1811" spans="1:17" ht="14.25" x14ac:dyDescent="0.2">
      <c r="A1811" s="183">
        <v>526</v>
      </c>
      <c r="B1811" s="232" t="str">
        <f>IF(AND(A1811&lt;&gt;"",ISNUMBER(A1811)),VLOOKUP(A1811,Studies!A:BR,2,FALSE),"")</f>
        <v>Mouton 2006</v>
      </c>
      <c r="C1811" s="232" t="str">
        <f>IF(AND(A1811&lt;&gt;"",ISNUMBER(A1811)),VLOOKUP(A1811,Studies!A:BR,3,FALSE),"")</f>
        <v>https://www.ncbi.nlm.nih.gov/pubmed/16982783</v>
      </c>
      <c r="D1811" s="232" t="str">
        <f>IF(AND(A1811&lt;&gt;"",ISNUMBER(A1811)),VLOOKUP(A1811,Studies!A:BR,4,FALSE),"")</f>
        <v>MAD_m_C 300 mg</v>
      </c>
      <c r="E1811" s="206" t="str">
        <f>IF(AND(A1811&lt;&gt;"",ISNUMBER(A1811)),VLOOKUP(A1811,Studies!A:BR,5,FALSE),"")</f>
        <v>Itraconazole</v>
      </c>
      <c r="F1811" s="207" t="str">
        <f>IF(AND(A1811&lt;&gt;"",ISNUMBER(A1811)),VLOOKUP(A1811,Studies!A:BR,6,FALSE),"")</f>
        <v>Plasma</v>
      </c>
      <c r="G1811" s="194">
        <v>35</v>
      </c>
      <c r="H1811" s="194" t="s">
        <v>60</v>
      </c>
      <c r="I1811" s="187">
        <v>3914.215087890625</v>
      </c>
      <c r="J1811" s="187" t="s">
        <v>1026</v>
      </c>
      <c r="K1811" s="187" t="s">
        <v>116</v>
      </c>
      <c r="L1811" s="195"/>
      <c r="M1811" s="195"/>
      <c r="N1811" s="195"/>
      <c r="O1811" s="199"/>
      <c r="P1811" s="188"/>
      <c r="Q1811" s="174">
        <f>IF(ISNUMBER(VLOOKUP(A1811,NotghiID!A:A,1,FALSE)),1,0)</f>
        <v>0</v>
      </c>
    </row>
    <row r="1812" spans="1:17" ht="14.25" x14ac:dyDescent="0.2">
      <c r="A1812" s="183">
        <v>526</v>
      </c>
      <c r="B1812" s="232" t="str">
        <f>IF(AND(A1812&lt;&gt;"",ISNUMBER(A1812)),VLOOKUP(A1812,Studies!A:BR,2,FALSE),"")</f>
        <v>Mouton 2006</v>
      </c>
      <c r="C1812" s="232" t="str">
        <f>IF(AND(A1812&lt;&gt;"",ISNUMBER(A1812)),VLOOKUP(A1812,Studies!A:BR,3,FALSE),"")</f>
        <v>https://www.ncbi.nlm.nih.gov/pubmed/16982783</v>
      </c>
      <c r="D1812" s="232" t="str">
        <f>IF(AND(A1812&lt;&gt;"",ISNUMBER(A1812)),VLOOKUP(A1812,Studies!A:BR,4,FALSE),"")</f>
        <v>MAD_m_C 300 mg</v>
      </c>
      <c r="E1812" s="206" t="str">
        <f>IF(AND(A1812&lt;&gt;"",ISNUMBER(A1812)),VLOOKUP(A1812,Studies!A:BR,5,FALSE),"")</f>
        <v>Itraconazole</v>
      </c>
      <c r="F1812" s="207" t="str">
        <f>IF(AND(A1812&lt;&gt;"",ISNUMBER(A1812)),VLOOKUP(A1812,Studies!A:BR,6,FALSE),"")</f>
        <v>Plasma</v>
      </c>
      <c r="G1812" s="194">
        <v>48</v>
      </c>
      <c r="H1812" s="194" t="s">
        <v>60</v>
      </c>
      <c r="I1812" s="187">
        <v>1192.3380126953125</v>
      </c>
      <c r="J1812" s="187" t="s">
        <v>1026</v>
      </c>
      <c r="K1812" s="187" t="s">
        <v>116</v>
      </c>
      <c r="L1812" s="195"/>
      <c r="M1812" s="195"/>
      <c r="N1812" s="195"/>
      <c r="O1812" s="199"/>
      <c r="P1812" s="188"/>
      <c r="Q1812" s="174">
        <f>IF(ISNUMBER(VLOOKUP(A1812,NotghiID!A:A,1,FALSE)),1,0)</f>
        <v>0</v>
      </c>
    </row>
    <row r="1813" spans="1:17" ht="14.25" x14ac:dyDescent="0.2">
      <c r="A1813" s="183">
        <v>526</v>
      </c>
      <c r="B1813" s="232" t="str">
        <f>IF(AND(A1813&lt;&gt;"",ISNUMBER(A1813)),VLOOKUP(A1813,Studies!A:BR,2,FALSE),"")</f>
        <v>Mouton 2006</v>
      </c>
      <c r="C1813" s="232" t="str">
        <f>IF(AND(A1813&lt;&gt;"",ISNUMBER(A1813)),VLOOKUP(A1813,Studies!A:BR,3,FALSE),"")</f>
        <v>https://www.ncbi.nlm.nih.gov/pubmed/16982783</v>
      </c>
      <c r="D1813" s="232" t="str">
        <f>IF(AND(A1813&lt;&gt;"",ISNUMBER(A1813)),VLOOKUP(A1813,Studies!A:BR,4,FALSE),"")</f>
        <v>MAD_m_C 300 mg</v>
      </c>
      <c r="E1813" s="206" t="str">
        <f>IF(AND(A1813&lt;&gt;"",ISNUMBER(A1813)),VLOOKUP(A1813,Studies!A:BR,5,FALSE),"")</f>
        <v>Itraconazole</v>
      </c>
      <c r="F1813" s="207" t="str">
        <f>IF(AND(A1813&lt;&gt;"",ISNUMBER(A1813)),VLOOKUP(A1813,Studies!A:BR,6,FALSE),"")</f>
        <v>Plasma</v>
      </c>
      <c r="G1813" s="194">
        <v>51</v>
      </c>
      <c r="H1813" s="194" t="s">
        <v>60</v>
      </c>
      <c r="I1813" s="187">
        <v>4148.73291015625</v>
      </c>
      <c r="J1813" s="187" t="s">
        <v>1026</v>
      </c>
      <c r="K1813" s="187" t="s">
        <v>116</v>
      </c>
      <c r="L1813" s="195"/>
      <c r="M1813" s="195"/>
      <c r="N1813" s="195"/>
      <c r="O1813" s="199"/>
      <c r="P1813" s="188"/>
      <c r="Q1813" s="174">
        <f>IF(ISNUMBER(VLOOKUP(A1813,NotghiID!A:A,1,FALSE)),1,0)</f>
        <v>0</v>
      </c>
    </row>
    <row r="1814" spans="1:17" ht="14.25" x14ac:dyDescent="0.2">
      <c r="A1814" s="183">
        <v>526</v>
      </c>
      <c r="B1814" s="232" t="str">
        <f>IF(AND(A1814&lt;&gt;"",ISNUMBER(A1814)),VLOOKUP(A1814,Studies!A:BR,2,FALSE),"")</f>
        <v>Mouton 2006</v>
      </c>
      <c r="C1814" s="232" t="str">
        <f>IF(AND(A1814&lt;&gt;"",ISNUMBER(A1814)),VLOOKUP(A1814,Studies!A:BR,3,FALSE),"")</f>
        <v>https://www.ncbi.nlm.nih.gov/pubmed/16982783</v>
      </c>
      <c r="D1814" s="232" t="str">
        <f>IF(AND(A1814&lt;&gt;"",ISNUMBER(A1814)),VLOOKUP(A1814,Studies!A:BR,4,FALSE),"")</f>
        <v>MAD_m_C 300 mg</v>
      </c>
      <c r="E1814" s="206" t="str">
        <f>IF(AND(A1814&lt;&gt;"",ISNUMBER(A1814)),VLOOKUP(A1814,Studies!A:BR,5,FALSE),"")</f>
        <v>Itraconazole</v>
      </c>
      <c r="F1814" s="207" t="str">
        <f>IF(AND(A1814&lt;&gt;"",ISNUMBER(A1814)),VLOOKUP(A1814,Studies!A:BR,6,FALSE),"")</f>
        <v>Plasma</v>
      </c>
      <c r="G1814" s="194">
        <v>72</v>
      </c>
      <c r="H1814" s="194" t="s">
        <v>60</v>
      </c>
      <c r="I1814" s="187">
        <v>1172.6790771484375</v>
      </c>
      <c r="J1814" s="187" t="s">
        <v>1026</v>
      </c>
      <c r="K1814" s="187" t="s">
        <v>116</v>
      </c>
      <c r="L1814" s="195"/>
      <c r="M1814" s="195"/>
      <c r="N1814" s="195"/>
      <c r="O1814" s="199"/>
      <c r="P1814" s="188"/>
      <c r="Q1814" s="174">
        <f>IF(ISNUMBER(VLOOKUP(A1814,NotghiID!A:A,1,FALSE)),1,0)</f>
        <v>0</v>
      </c>
    </row>
    <row r="1815" spans="1:17" ht="14.25" x14ac:dyDescent="0.2">
      <c r="A1815" s="183">
        <v>526</v>
      </c>
      <c r="B1815" s="232" t="str">
        <f>IF(AND(A1815&lt;&gt;"",ISNUMBER(A1815)),VLOOKUP(A1815,Studies!A:BR,2,FALSE),"")</f>
        <v>Mouton 2006</v>
      </c>
      <c r="C1815" s="232" t="str">
        <f>IF(AND(A1815&lt;&gt;"",ISNUMBER(A1815)),VLOOKUP(A1815,Studies!A:BR,3,FALSE),"")</f>
        <v>https://www.ncbi.nlm.nih.gov/pubmed/16982783</v>
      </c>
      <c r="D1815" s="232" t="str">
        <f>IF(AND(A1815&lt;&gt;"",ISNUMBER(A1815)),VLOOKUP(A1815,Studies!A:BR,4,FALSE),"")</f>
        <v>MAD_m_C 300 mg</v>
      </c>
      <c r="E1815" s="206" t="str">
        <f>IF(AND(A1815&lt;&gt;"",ISNUMBER(A1815)),VLOOKUP(A1815,Studies!A:BR,5,FALSE),"")</f>
        <v>Itraconazole</v>
      </c>
      <c r="F1815" s="207" t="str">
        <f>IF(AND(A1815&lt;&gt;"",ISNUMBER(A1815)),VLOOKUP(A1815,Studies!A:BR,6,FALSE),"")</f>
        <v>Plasma</v>
      </c>
      <c r="G1815" s="194">
        <v>75</v>
      </c>
      <c r="H1815" s="194" t="s">
        <v>60</v>
      </c>
      <c r="I1815" s="187">
        <v>4434.00732421875</v>
      </c>
      <c r="J1815" s="187" t="s">
        <v>1026</v>
      </c>
      <c r="K1815" s="187" t="s">
        <v>116</v>
      </c>
      <c r="L1815" s="195"/>
      <c r="M1815" s="195"/>
      <c r="N1815" s="195"/>
      <c r="O1815" s="199"/>
      <c r="P1815" s="188"/>
      <c r="Q1815" s="174">
        <f>IF(ISNUMBER(VLOOKUP(A1815,NotghiID!A:A,1,FALSE)),1,0)</f>
        <v>0</v>
      </c>
    </row>
    <row r="1816" spans="1:17" ht="14.25" x14ac:dyDescent="0.2">
      <c r="A1816" s="183">
        <v>526</v>
      </c>
      <c r="B1816" s="232" t="str">
        <f>IF(AND(A1816&lt;&gt;"",ISNUMBER(A1816)),VLOOKUP(A1816,Studies!A:BR,2,FALSE),"")</f>
        <v>Mouton 2006</v>
      </c>
      <c r="C1816" s="232" t="str">
        <f>IF(AND(A1816&lt;&gt;"",ISNUMBER(A1816)),VLOOKUP(A1816,Studies!A:BR,3,FALSE),"")</f>
        <v>https://www.ncbi.nlm.nih.gov/pubmed/16982783</v>
      </c>
      <c r="D1816" s="232" t="str">
        <f>IF(AND(A1816&lt;&gt;"",ISNUMBER(A1816)),VLOOKUP(A1816,Studies!A:BR,4,FALSE),"")</f>
        <v>MAD_m_C 300 mg</v>
      </c>
      <c r="E1816" s="206" t="str">
        <f>IF(AND(A1816&lt;&gt;"",ISNUMBER(A1816)),VLOOKUP(A1816,Studies!A:BR,5,FALSE),"")</f>
        <v>Itraconazole</v>
      </c>
      <c r="F1816" s="207" t="str">
        <f>IF(AND(A1816&lt;&gt;"",ISNUMBER(A1816)),VLOOKUP(A1816,Studies!A:BR,6,FALSE),"")</f>
        <v>Plasma</v>
      </c>
      <c r="G1816" s="194">
        <v>96</v>
      </c>
      <c r="H1816" s="194" t="s">
        <v>60</v>
      </c>
      <c r="I1816" s="187">
        <v>1222.446044921875</v>
      </c>
      <c r="J1816" s="187" t="s">
        <v>1026</v>
      </c>
      <c r="K1816" s="187" t="s">
        <v>116</v>
      </c>
      <c r="L1816" s="195"/>
      <c r="M1816" s="195"/>
      <c r="N1816" s="195"/>
      <c r="O1816" s="199"/>
      <c r="P1816" s="188"/>
      <c r="Q1816" s="174">
        <f>IF(ISNUMBER(VLOOKUP(A1816,NotghiID!A:A,1,FALSE)),1,0)</f>
        <v>0</v>
      </c>
    </row>
    <row r="1817" spans="1:17" ht="14.25" x14ac:dyDescent="0.2">
      <c r="A1817" s="183">
        <v>526</v>
      </c>
      <c r="B1817" s="232" t="str">
        <f>IF(AND(A1817&lt;&gt;"",ISNUMBER(A1817)),VLOOKUP(A1817,Studies!A:BR,2,FALSE),"")</f>
        <v>Mouton 2006</v>
      </c>
      <c r="C1817" s="232" t="str">
        <f>IF(AND(A1817&lt;&gt;"",ISNUMBER(A1817)),VLOOKUP(A1817,Studies!A:BR,3,FALSE),"")</f>
        <v>https://www.ncbi.nlm.nih.gov/pubmed/16982783</v>
      </c>
      <c r="D1817" s="232" t="str">
        <f>IF(AND(A1817&lt;&gt;"",ISNUMBER(A1817)),VLOOKUP(A1817,Studies!A:BR,4,FALSE),"")</f>
        <v>MAD_m_C 300 mg</v>
      </c>
      <c r="E1817" s="206" t="str">
        <f>IF(AND(A1817&lt;&gt;"",ISNUMBER(A1817)),VLOOKUP(A1817,Studies!A:BR,5,FALSE),"")</f>
        <v>Itraconazole</v>
      </c>
      <c r="F1817" s="207" t="str">
        <f>IF(AND(A1817&lt;&gt;"",ISNUMBER(A1817)),VLOOKUP(A1817,Studies!A:BR,6,FALSE),"")</f>
        <v>Plasma</v>
      </c>
      <c r="G1817" s="194">
        <v>99</v>
      </c>
      <c r="H1817" s="194" t="s">
        <v>60</v>
      </c>
      <c r="I1817" s="187">
        <v>4397.30078125</v>
      </c>
      <c r="J1817" s="187" t="s">
        <v>1026</v>
      </c>
      <c r="K1817" s="187" t="s">
        <v>116</v>
      </c>
      <c r="L1817" s="195"/>
      <c r="M1817" s="195"/>
      <c r="N1817" s="195"/>
      <c r="O1817" s="199"/>
      <c r="P1817" s="188"/>
      <c r="Q1817" s="174">
        <f>IF(ISNUMBER(VLOOKUP(A1817,NotghiID!A:A,1,FALSE)),1,0)</f>
        <v>0</v>
      </c>
    </row>
    <row r="1818" spans="1:17" ht="14.25" x14ac:dyDescent="0.2">
      <c r="A1818" s="183">
        <v>526</v>
      </c>
      <c r="B1818" s="232" t="str">
        <f>IF(AND(A1818&lt;&gt;"",ISNUMBER(A1818)),VLOOKUP(A1818,Studies!A:BR,2,FALSE),"")</f>
        <v>Mouton 2006</v>
      </c>
      <c r="C1818" s="232" t="str">
        <f>IF(AND(A1818&lt;&gt;"",ISNUMBER(A1818)),VLOOKUP(A1818,Studies!A:BR,3,FALSE),"")</f>
        <v>https://www.ncbi.nlm.nih.gov/pubmed/16982783</v>
      </c>
      <c r="D1818" s="232" t="str">
        <f>IF(AND(A1818&lt;&gt;"",ISNUMBER(A1818)),VLOOKUP(A1818,Studies!A:BR,4,FALSE),"")</f>
        <v>MAD_m_C 300 mg</v>
      </c>
      <c r="E1818" s="206" t="str">
        <f>IF(AND(A1818&lt;&gt;"",ISNUMBER(A1818)),VLOOKUP(A1818,Studies!A:BR,5,FALSE),"")</f>
        <v>Itraconazole</v>
      </c>
      <c r="F1818" s="207" t="str">
        <f>IF(AND(A1818&lt;&gt;"",ISNUMBER(A1818)),VLOOKUP(A1818,Studies!A:BR,6,FALSE),"")</f>
        <v>Plasma</v>
      </c>
      <c r="G1818" s="194">
        <v>120</v>
      </c>
      <c r="H1818" s="194" t="s">
        <v>60</v>
      </c>
      <c r="I1818" s="187">
        <v>1431.5999755859375</v>
      </c>
      <c r="J1818" s="187" t="s">
        <v>1026</v>
      </c>
      <c r="K1818" s="187" t="s">
        <v>116</v>
      </c>
      <c r="L1818" s="195"/>
      <c r="M1818" s="195"/>
      <c r="N1818" s="195"/>
      <c r="O1818" s="199"/>
      <c r="P1818" s="188"/>
      <c r="Q1818" s="174">
        <f>IF(ISNUMBER(VLOOKUP(A1818,NotghiID!A:A,1,FALSE)),1,0)</f>
        <v>0</v>
      </c>
    </row>
    <row r="1819" spans="1:17" ht="14.25" x14ac:dyDescent="0.2">
      <c r="A1819" s="183">
        <v>526</v>
      </c>
      <c r="B1819" s="232" t="str">
        <f>IF(AND(A1819&lt;&gt;"",ISNUMBER(A1819)),VLOOKUP(A1819,Studies!A:BR,2,FALSE),"")</f>
        <v>Mouton 2006</v>
      </c>
      <c r="C1819" s="232" t="str">
        <f>IF(AND(A1819&lt;&gt;"",ISNUMBER(A1819)),VLOOKUP(A1819,Studies!A:BR,3,FALSE),"")</f>
        <v>https://www.ncbi.nlm.nih.gov/pubmed/16982783</v>
      </c>
      <c r="D1819" s="232" t="str">
        <f>IF(AND(A1819&lt;&gt;"",ISNUMBER(A1819)),VLOOKUP(A1819,Studies!A:BR,4,FALSE),"")</f>
        <v>MAD_m_C 300 mg</v>
      </c>
      <c r="E1819" s="206" t="str">
        <f>IF(AND(A1819&lt;&gt;"",ISNUMBER(A1819)),VLOOKUP(A1819,Studies!A:BR,5,FALSE),"")</f>
        <v>Itraconazole</v>
      </c>
      <c r="F1819" s="207" t="str">
        <f>IF(AND(A1819&lt;&gt;"",ISNUMBER(A1819)),VLOOKUP(A1819,Studies!A:BR,6,FALSE),"")</f>
        <v>Plasma</v>
      </c>
      <c r="G1819" s="194">
        <v>123</v>
      </c>
      <c r="H1819" s="194" t="s">
        <v>60</v>
      </c>
      <c r="I1819" s="187">
        <v>4218.28271484375</v>
      </c>
      <c r="J1819" s="187" t="s">
        <v>1026</v>
      </c>
      <c r="K1819" s="187" t="s">
        <v>116</v>
      </c>
      <c r="L1819" s="195"/>
      <c r="M1819" s="195"/>
      <c r="N1819" s="195"/>
      <c r="O1819" s="199"/>
      <c r="P1819" s="188"/>
      <c r="Q1819" s="174">
        <f>IF(ISNUMBER(VLOOKUP(A1819,NotghiID!A:A,1,FALSE)),1,0)</f>
        <v>0</v>
      </c>
    </row>
    <row r="1820" spans="1:17" ht="14.25" x14ac:dyDescent="0.2">
      <c r="A1820" s="183">
        <v>526</v>
      </c>
      <c r="B1820" s="232" t="str">
        <f>IF(AND(A1820&lt;&gt;"",ISNUMBER(A1820)),VLOOKUP(A1820,Studies!A:BR,2,FALSE),"")</f>
        <v>Mouton 2006</v>
      </c>
      <c r="C1820" s="232" t="str">
        <f>IF(AND(A1820&lt;&gt;"",ISNUMBER(A1820)),VLOOKUP(A1820,Studies!A:BR,3,FALSE),"")</f>
        <v>https://www.ncbi.nlm.nih.gov/pubmed/16982783</v>
      </c>
      <c r="D1820" s="232" t="str">
        <f>IF(AND(A1820&lt;&gt;"",ISNUMBER(A1820)),VLOOKUP(A1820,Studies!A:BR,4,FALSE),"")</f>
        <v>MAD_m_C 300 mg</v>
      </c>
      <c r="E1820" s="206" t="str">
        <f>IF(AND(A1820&lt;&gt;"",ISNUMBER(A1820)),VLOOKUP(A1820,Studies!A:BR,5,FALSE),"")</f>
        <v>Itraconazole</v>
      </c>
      <c r="F1820" s="207" t="str">
        <f>IF(AND(A1820&lt;&gt;"",ISNUMBER(A1820)),VLOOKUP(A1820,Studies!A:BR,6,FALSE),"")</f>
        <v>Plasma</v>
      </c>
      <c r="G1820" s="194">
        <v>144</v>
      </c>
      <c r="H1820" s="194" t="s">
        <v>60</v>
      </c>
      <c r="I1820" s="187">
        <v>1455.5989990234375</v>
      </c>
      <c r="J1820" s="187" t="s">
        <v>1026</v>
      </c>
      <c r="K1820" s="187" t="s">
        <v>116</v>
      </c>
      <c r="L1820" s="195"/>
      <c r="M1820" s="195"/>
      <c r="N1820" s="195"/>
      <c r="O1820" s="199"/>
      <c r="P1820" s="188"/>
      <c r="Q1820" s="174">
        <f>IF(ISNUMBER(VLOOKUP(A1820,NotghiID!A:A,1,FALSE)),1,0)</f>
        <v>0</v>
      </c>
    </row>
    <row r="1821" spans="1:17" ht="14.25" x14ac:dyDescent="0.2">
      <c r="A1821" s="183">
        <v>526</v>
      </c>
      <c r="B1821" s="232" t="str">
        <f>IF(AND(A1821&lt;&gt;"",ISNUMBER(A1821)),VLOOKUP(A1821,Studies!A:BR,2,FALSE),"")</f>
        <v>Mouton 2006</v>
      </c>
      <c r="C1821" s="232" t="str">
        <f>IF(AND(A1821&lt;&gt;"",ISNUMBER(A1821)),VLOOKUP(A1821,Studies!A:BR,3,FALSE),"")</f>
        <v>https://www.ncbi.nlm.nih.gov/pubmed/16982783</v>
      </c>
      <c r="D1821" s="232" t="str">
        <f>IF(AND(A1821&lt;&gt;"",ISNUMBER(A1821)),VLOOKUP(A1821,Studies!A:BR,4,FALSE),"")</f>
        <v>MAD_m_C 300 mg</v>
      </c>
      <c r="E1821" s="206" t="str">
        <f>IF(AND(A1821&lt;&gt;"",ISNUMBER(A1821)),VLOOKUP(A1821,Studies!A:BR,5,FALSE),"")</f>
        <v>Itraconazole</v>
      </c>
      <c r="F1821" s="207" t="str">
        <f>IF(AND(A1821&lt;&gt;"",ISNUMBER(A1821)),VLOOKUP(A1821,Studies!A:BR,6,FALSE),"")</f>
        <v>Plasma</v>
      </c>
      <c r="G1821" s="194">
        <v>147</v>
      </c>
      <c r="H1821" s="194" t="s">
        <v>60</v>
      </c>
      <c r="I1821" s="187">
        <v>4148.73291015625</v>
      </c>
      <c r="J1821" s="187" t="s">
        <v>1026</v>
      </c>
      <c r="K1821" s="187" t="s">
        <v>116</v>
      </c>
      <c r="L1821" s="195"/>
      <c r="M1821" s="195"/>
      <c r="N1821" s="195"/>
      <c r="O1821" s="199"/>
      <c r="P1821" s="188"/>
      <c r="Q1821" s="174">
        <f>IF(ISNUMBER(VLOOKUP(A1821,NotghiID!A:A,1,FALSE)),1,0)</f>
        <v>0</v>
      </c>
    </row>
    <row r="1822" spans="1:17" ht="14.25" x14ac:dyDescent="0.2">
      <c r="A1822" s="183">
        <v>526</v>
      </c>
      <c r="B1822" s="232" t="str">
        <f>IF(AND(A1822&lt;&gt;"",ISNUMBER(A1822)),VLOOKUP(A1822,Studies!A:BR,2,FALSE),"")</f>
        <v>Mouton 2006</v>
      </c>
      <c r="C1822" s="232" t="str">
        <f>IF(AND(A1822&lt;&gt;"",ISNUMBER(A1822)),VLOOKUP(A1822,Studies!A:BR,3,FALSE),"")</f>
        <v>https://www.ncbi.nlm.nih.gov/pubmed/16982783</v>
      </c>
      <c r="D1822" s="232" t="str">
        <f>IF(AND(A1822&lt;&gt;"",ISNUMBER(A1822)),VLOOKUP(A1822,Studies!A:BR,4,FALSE),"")</f>
        <v>MAD_m_C 300 mg</v>
      </c>
      <c r="E1822" s="206" t="str">
        <f>IF(AND(A1822&lt;&gt;"",ISNUMBER(A1822)),VLOOKUP(A1822,Studies!A:BR,5,FALSE),"")</f>
        <v>Itraconazole</v>
      </c>
      <c r="F1822" s="207" t="str">
        <f>IF(AND(A1822&lt;&gt;"",ISNUMBER(A1822)),VLOOKUP(A1822,Studies!A:BR,6,FALSE),"")</f>
        <v>Plasma</v>
      </c>
      <c r="G1822" s="194">
        <v>148</v>
      </c>
      <c r="H1822" s="194" t="s">
        <v>60</v>
      </c>
      <c r="I1822" s="187">
        <v>2806.98681640625</v>
      </c>
      <c r="J1822" s="187" t="s">
        <v>1026</v>
      </c>
      <c r="K1822" s="187" t="s">
        <v>116</v>
      </c>
      <c r="L1822" s="195"/>
      <c r="M1822" s="195"/>
      <c r="N1822" s="195"/>
      <c r="O1822" s="199"/>
      <c r="P1822" s="188"/>
      <c r="Q1822" s="174">
        <f>IF(ISNUMBER(VLOOKUP(A1822,NotghiID!A:A,1,FALSE)),1,0)</f>
        <v>0</v>
      </c>
    </row>
    <row r="1823" spans="1:17" ht="14.25" x14ac:dyDescent="0.2">
      <c r="A1823" s="183">
        <v>526</v>
      </c>
      <c r="B1823" s="232" t="str">
        <f>IF(AND(A1823&lt;&gt;"",ISNUMBER(A1823)),VLOOKUP(A1823,Studies!A:BR,2,FALSE),"")</f>
        <v>Mouton 2006</v>
      </c>
      <c r="C1823" s="232" t="str">
        <f>IF(AND(A1823&lt;&gt;"",ISNUMBER(A1823)),VLOOKUP(A1823,Studies!A:BR,3,FALSE),"")</f>
        <v>https://www.ncbi.nlm.nih.gov/pubmed/16982783</v>
      </c>
      <c r="D1823" s="232" t="str">
        <f>IF(AND(A1823&lt;&gt;"",ISNUMBER(A1823)),VLOOKUP(A1823,Studies!A:BR,4,FALSE),"")</f>
        <v>MAD_m_C 300 mg</v>
      </c>
      <c r="E1823" s="206" t="str">
        <f>IF(AND(A1823&lt;&gt;"",ISNUMBER(A1823)),VLOOKUP(A1823,Studies!A:BR,5,FALSE),"")</f>
        <v>Itraconazole</v>
      </c>
      <c r="F1823" s="207" t="str">
        <f>IF(AND(A1823&lt;&gt;"",ISNUMBER(A1823)),VLOOKUP(A1823,Studies!A:BR,6,FALSE),"")</f>
        <v>Plasma</v>
      </c>
      <c r="G1823" s="194">
        <v>148.5</v>
      </c>
      <c r="H1823" s="194" t="s">
        <v>60</v>
      </c>
      <c r="I1823" s="187">
        <v>2205.7041015625</v>
      </c>
      <c r="J1823" s="187" t="s">
        <v>1026</v>
      </c>
      <c r="K1823" s="187" t="s">
        <v>116</v>
      </c>
      <c r="L1823" s="195"/>
      <c r="M1823" s="195"/>
      <c r="N1823" s="195"/>
      <c r="O1823" s="199"/>
      <c r="P1823" s="188"/>
      <c r="Q1823" s="174">
        <f>IF(ISNUMBER(VLOOKUP(A1823,NotghiID!A:A,1,FALSE)),1,0)</f>
        <v>0</v>
      </c>
    </row>
    <row r="1824" spans="1:17" ht="14.25" x14ac:dyDescent="0.2">
      <c r="A1824" s="183">
        <v>526</v>
      </c>
      <c r="B1824" s="232" t="str">
        <f>IF(AND(A1824&lt;&gt;"",ISNUMBER(A1824)),VLOOKUP(A1824,Studies!A:BR,2,FALSE),"")</f>
        <v>Mouton 2006</v>
      </c>
      <c r="C1824" s="232" t="str">
        <f>IF(AND(A1824&lt;&gt;"",ISNUMBER(A1824)),VLOOKUP(A1824,Studies!A:BR,3,FALSE),"")</f>
        <v>https://www.ncbi.nlm.nih.gov/pubmed/16982783</v>
      </c>
      <c r="D1824" s="232" t="str">
        <f>IF(AND(A1824&lt;&gt;"",ISNUMBER(A1824)),VLOOKUP(A1824,Studies!A:BR,4,FALSE),"")</f>
        <v>MAD_m_C 300 mg</v>
      </c>
      <c r="E1824" s="206" t="str">
        <f>IF(AND(A1824&lt;&gt;"",ISNUMBER(A1824)),VLOOKUP(A1824,Studies!A:BR,5,FALSE),"")</f>
        <v>Itraconazole</v>
      </c>
      <c r="F1824" s="207" t="str">
        <f>IF(AND(A1824&lt;&gt;"",ISNUMBER(A1824)),VLOOKUP(A1824,Studies!A:BR,6,FALSE),"")</f>
        <v>Plasma</v>
      </c>
      <c r="G1824" s="194">
        <v>149</v>
      </c>
      <c r="H1824" s="194" t="s">
        <v>60</v>
      </c>
      <c r="I1824" s="187">
        <v>1996.301025390625</v>
      </c>
      <c r="J1824" s="187" t="s">
        <v>1026</v>
      </c>
      <c r="K1824" s="187" t="s">
        <v>116</v>
      </c>
      <c r="L1824" s="195"/>
      <c r="M1824" s="195"/>
      <c r="N1824" s="195"/>
      <c r="O1824" s="199"/>
      <c r="P1824" s="188"/>
      <c r="Q1824" s="174">
        <f>IF(ISNUMBER(VLOOKUP(A1824,NotghiID!A:A,1,FALSE)),1,0)</f>
        <v>0</v>
      </c>
    </row>
    <row r="1825" spans="1:17" ht="14.25" x14ac:dyDescent="0.2">
      <c r="A1825" s="183">
        <v>526</v>
      </c>
      <c r="B1825" s="232" t="str">
        <f>IF(AND(A1825&lt;&gt;"",ISNUMBER(A1825)),VLOOKUP(A1825,Studies!A:BR,2,FALSE),"")</f>
        <v>Mouton 2006</v>
      </c>
      <c r="C1825" s="232" t="str">
        <f>IF(AND(A1825&lt;&gt;"",ISNUMBER(A1825)),VLOOKUP(A1825,Studies!A:BR,3,FALSE),"")</f>
        <v>https://www.ncbi.nlm.nih.gov/pubmed/16982783</v>
      </c>
      <c r="D1825" s="232" t="str">
        <f>IF(AND(A1825&lt;&gt;"",ISNUMBER(A1825)),VLOOKUP(A1825,Studies!A:BR,4,FALSE),"")</f>
        <v>MAD_m_C 300 mg</v>
      </c>
      <c r="E1825" s="206" t="str">
        <f>IF(AND(A1825&lt;&gt;"",ISNUMBER(A1825)),VLOOKUP(A1825,Studies!A:BR,5,FALSE),"")</f>
        <v>Itraconazole</v>
      </c>
      <c r="F1825" s="207" t="str">
        <f>IF(AND(A1825&lt;&gt;"",ISNUMBER(A1825)),VLOOKUP(A1825,Studies!A:BR,6,FALSE),"")</f>
        <v>Plasma</v>
      </c>
      <c r="G1825" s="194">
        <v>151</v>
      </c>
      <c r="H1825" s="194" t="s">
        <v>60</v>
      </c>
      <c r="I1825" s="187">
        <v>1704.64501953125</v>
      </c>
      <c r="J1825" s="187" t="s">
        <v>1026</v>
      </c>
      <c r="K1825" s="187" t="s">
        <v>116</v>
      </c>
      <c r="L1825" s="195"/>
      <c r="M1825" s="195"/>
      <c r="N1825" s="195"/>
      <c r="O1825" s="199"/>
      <c r="P1825" s="188"/>
      <c r="Q1825" s="174">
        <f>IF(ISNUMBER(VLOOKUP(A1825,NotghiID!A:A,1,FALSE)),1,0)</f>
        <v>0</v>
      </c>
    </row>
    <row r="1826" spans="1:17" ht="14.25" x14ac:dyDescent="0.2">
      <c r="A1826" s="183">
        <v>526</v>
      </c>
      <c r="B1826" s="232" t="str">
        <f>IF(AND(A1826&lt;&gt;"",ISNUMBER(A1826)),VLOOKUP(A1826,Studies!A:BR,2,FALSE),"")</f>
        <v>Mouton 2006</v>
      </c>
      <c r="C1826" s="232" t="str">
        <f>IF(AND(A1826&lt;&gt;"",ISNUMBER(A1826)),VLOOKUP(A1826,Studies!A:BR,3,FALSE),"")</f>
        <v>https://www.ncbi.nlm.nih.gov/pubmed/16982783</v>
      </c>
      <c r="D1826" s="232" t="str">
        <f>IF(AND(A1826&lt;&gt;"",ISNUMBER(A1826)),VLOOKUP(A1826,Studies!A:BR,4,FALSE),"")</f>
        <v>MAD_m_C 300 mg</v>
      </c>
      <c r="E1826" s="206" t="str">
        <f>IF(AND(A1826&lt;&gt;"",ISNUMBER(A1826)),VLOOKUP(A1826,Studies!A:BR,5,FALSE),"")</f>
        <v>Itraconazole</v>
      </c>
      <c r="F1826" s="207" t="str">
        <f>IF(AND(A1826&lt;&gt;"",ISNUMBER(A1826)),VLOOKUP(A1826,Studies!A:BR,6,FALSE),"")</f>
        <v>Plasma</v>
      </c>
      <c r="G1826" s="194">
        <v>153</v>
      </c>
      <c r="H1826" s="194" t="s">
        <v>60</v>
      </c>
      <c r="I1826" s="187">
        <v>1581.7679443359375</v>
      </c>
      <c r="J1826" s="187" t="s">
        <v>1026</v>
      </c>
      <c r="K1826" s="187" t="s">
        <v>116</v>
      </c>
      <c r="L1826" s="195"/>
      <c r="M1826" s="195"/>
      <c r="N1826" s="195"/>
      <c r="O1826" s="199"/>
      <c r="P1826" s="188"/>
      <c r="Q1826" s="174">
        <f>IF(ISNUMBER(VLOOKUP(A1826,NotghiID!A:A,1,FALSE)),1,0)</f>
        <v>0</v>
      </c>
    </row>
    <row r="1827" spans="1:17" ht="14.25" x14ac:dyDescent="0.2">
      <c r="A1827" s="183">
        <v>526</v>
      </c>
      <c r="B1827" s="232" t="str">
        <f>IF(AND(A1827&lt;&gt;"",ISNUMBER(A1827)),VLOOKUP(A1827,Studies!A:BR,2,FALSE),"")</f>
        <v>Mouton 2006</v>
      </c>
      <c r="C1827" s="232" t="str">
        <f>IF(AND(A1827&lt;&gt;"",ISNUMBER(A1827)),VLOOKUP(A1827,Studies!A:BR,3,FALSE),"")</f>
        <v>https://www.ncbi.nlm.nih.gov/pubmed/16982783</v>
      </c>
      <c r="D1827" s="232" t="str">
        <f>IF(AND(A1827&lt;&gt;"",ISNUMBER(A1827)),VLOOKUP(A1827,Studies!A:BR,4,FALSE),"")</f>
        <v>MAD_m_C 300 mg</v>
      </c>
      <c r="E1827" s="206" t="str">
        <f>IF(AND(A1827&lt;&gt;"",ISNUMBER(A1827)),VLOOKUP(A1827,Studies!A:BR,5,FALSE),"")</f>
        <v>Itraconazole</v>
      </c>
      <c r="F1827" s="207" t="str">
        <f>IF(AND(A1827&lt;&gt;"",ISNUMBER(A1827)),VLOOKUP(A1827,Studies!A:BR,6,FALSE),"")</f>
        <v>Plasma</v>
      </c>
      <c r="G1827" s="194">
        <v>155</v>
      </c>
      <c r="H1827" s="194" t="s">
        <v>60</v>
      </c>
      <c r="I1827" s="187">
        <v>1555.68896484375</v>
      </c>
      <c r="J1827" s="187" t="s">
        <v>1026</v>
      </c>
      <c r="K1827" s="187" t="s">
        <v>116</v>
      </c>
      <c r="L1827" s="195"/>
      <c r="M1827" s="195"/>
      <c r="N1827" s="195"/>
      <c r="O1827" s="199"/>
      <c r="P1827" s="188"/>
      <c r="Q1827" s="174">
        <f>IF(ISNUMBER(VLOOKUP(A1827,NotghiID!A:A,1,FALSE)),1,0)</f>
        <v>0</v>
      </c>
    </row>
    <row r="1828" spans="1:17" ht="14.25" x14ac:dyDescent="0.2">
      <c r="A1828" s="183">
        <v>526</v>
      </c>
      <c r="B1828" s="232" t="str">
        <f>IF(AND(A1828&lt;&gt;"",ISNUMBER(A1828)),VLOOKUP(A1828,Studies!A:BR,2,FALSE),"")</f>
        <v>Mouton 2006</v>
      </c>
      <c r="C1828" s="232" t="str">
        <f>IF(AND(A1828&lt;&gt;"",ISNUMBER(A1828)),VLOOKUP(A1828,Studies!A:BR,3,FALSE),"")</f>
        <v>https://www.ncbi.nlm.nih.gov/pubmed/16982783</v>
      </c>
      <c r="D1828" s="232" t="str">
        <f>IF(AND(A1828&lt;&gt;"",ISNUMBER(A1828)),VLOOKUP(A1828,Studies!A:BR,4,FALSE),"")</f>
        <v>MAD_m_C 300 mg</v>
      </c>
      <c r="E1828" s="206" t="str">
        <f>IF(AND(A1828&lt;&gt;"",ISNUMBER(A1828)),VLOOKUP(A1828,Studies!A:BR,5,FALSE),"")</f>
        <v>Itraconazole</v>
      </c>
      <c r="F1828" s="207" t="str">
        <f>IF(AND(A1828&lt;&gt;"",ISNUMBER(A1828)),VLOOKUP(A1828,Studies!A:BR,6,FALSE),"")</f>
        <v>Plasma</v>
      </c>
      <c r="G1828" s="194">
        <v>160</v>
      </c>
      <c r="H1828" s="194" t="s">
        <v>60</v>
      </c>
      <c r="I1828" s="187">
        <v>1274.324951171875</v>
      </c>
      <c r="J1828" s="187" t="s">
        <v>1026</v>
      </c>
      <c r="K1828" s="187" t="s">
        <v>116</v>
      </c>
      <c r="L1828" s="195"/>
      <c r="M1828" s="195"/>
      <c r="N1828" s="195"/>
      <c r="O1828" s="199"/>
      <c r="P1828" s="188"/>
      <c r="Q1828" s="174">
        <f>IF(ISNUMBER(VLOOKUP(A1828,NotghiID!A:A,1,FALSE)),1,0)</f>
        <v>0</v>
      </c>
    </row>
    <row r="1829" spans="1:17" ht="14.25" x14ac:dyDescent="0.2">
      <c r="A1829" s="183">
        <v>526</v>
      </c>
      <c r="B1829" s="232" t="str">
        <f>IF(AND(A1829&lt;&gt;"",ISNUMBER(A1829)),VLOOKUP(A1829,Studies!A:BR,2,FALSE),"")</f>
        <v>Mouton 2006</v>
      </c>
      <c r="C1829" s="232" t="str">
        <f>IF(AND(A1829&lt;&gt;"",ISNUMBER(A1829)),VLOOKUP(A1829,Studies!A:BR,3,FALSE),"")</f>
        <v>https://www.ncbi.nlm.nih.gov/pubmed/16982783</v>
      </c>
      <c r="D1829" s="232" t="str">
        <f>IF(AND(A1829&lt;&gt;"",ISNUMBER(A1829)),VLOOKUP(A1829,Studies!A:BR,4,FALSE),"")</f>
        <v>MAD_m_C 300 mg</v>
      </c>
      <c r="E1829" s="206" t="str">
        <f>IF(AND(A1829&lt;&gt;"",ISNUMBER(A1829)),VLOOKUP(A1829,Studies!A:BR,5,FALSE),"")</f>
        <v>Itraconazole</v>
      </c>
      <c r="F1829" s="207" t="str">
        <f>IF(AND(A1829&lt;&gt;"",ISNUMBER(A1829)),VLOOKUP(A1829,Studies!A:BR,6,FALSE),"")</f>
        <v>Plasma</v>
      </c>
      <c r="G1829" s="194">
        <v>168</v>
      </c>
      <c r="H1829" s="194" t="s">
        <v>60</v>
      </c>
      <c r="I1829" s="187">
        <v>1594.9720458984375</v>
      </c>
      <c r="J1829" s="187" t="s">
        <v>1026</v>
      </c>
      <c r="K1829" s="187" t="s">
        <v>116</v>
      </c>
      <c r="L1829" s="195"/>
      <c r="M1829" s="195"/>
      <c r="N1829" s="195"/>
      <c r="O1829" s="199"/>
      <c r="P1829" s="188"/>
      <c r="Q1829" s="174">
        <f>IF(ISNUMBER(VLOOKUP(A1829,NotghiID!A:A,1,FALSE)),1,0)</f>
        <v>0</v>
      </c>
    </row>
    <row r="1830" spans="1:17" ht="14.25" x14ac:dyDescent="0.2">
      <c r="A1830" s="183">
        <v>526</v>
      </c>
      <c r="B1830" s="232" t="str">
        <f>IF(AND(A1830&lt;&gt;"",ISNUMBER(A1830)),VLOOKUP(A1830,Studies!A:BR,2,FALSE),"")</f>
        <v>Mouton 2006</v>
      </c>
      <c r="C1830" s="232" t="str">
        <f>IF(AND(A1830&lt;&gt;"",ISNUMBER(A1830)),VLOOKUP(A1830,Studies!A:BR,3,FALSE),"")</f>
        <v>https://www.ncbi.nlm.nih.gov/pubmed/16982783</v>
      </c>
      <c r="D1830" s="232" t="str">
        <f>IF(AND(A1830&lt;&gt;"",ISNUMBER(A1830)),VLOOKUP(A1830,Studies!A:BR,4,FALSE),"")</f>
        <v>MAD_m_C 300 mg</v>
      </c>
      <c r="E1830" s="206" t="str">
        <f>IF(AND(A1830&lt;&gt;"",ISNUMBER(A1830)),VLOOKUP(A1830,Studies!A:BR,5,FALSE),"")</f>
        <v>Itraconazole</v>
      </c>
      <c r="F1830" s="207" t="str">
        <f>IF(AND(A1830&lt;&gt;"",ISNUMBER(A1830)),VLOOKUP(A1830,Studies!A:BR,6,FALSE),"")</f>
        <v>Plasma</v>
      </c>
      <c r="G1830" s="194">
        <v>176</v>
      </c>
      <c r="H1830" s="194" t="s">
        <v>60</v>
      </c>
      <c r="I1830" s="187">
        <v>1504.81201171875</v>
      </c>
      <c r="J1830" s="187" t="s">
        <v>1026</v>
      </c>
      <c r="K1830" s="187" t="s">
        <v>116</v>
      </c>
      <c r="L1830" s="195"/>
      <c r="M1830" s="195"/>
      <c r="N1830" s="195"/>
      <c r="O1830" s="199"/>
      <c r="P1830" s="188"/>
      <c r="Q1830" s="174">
        <f>IF(ISNUMBER(VLOOKUP(A1830,NotghiID!A:A,1,FALSE)),1,0)</f>
        <v>0</v>
      </c>
    </row>
    <row r="1831" spans="1:17" ht="14.25" x14ac:dyDescent="0.2">
      <c r="A1831" s="183">
        <v>526</v>
      </c>
      <c r="B1831" s="232" t="str">
        <f>IF(AND(A1831&lt;&gt;"",ISNUMBER(A1831)),VLOOKUP(A1831,Studies!A:BR,2,FALSE),"")</f>
        <v>Mouton 2006</v>
      </c>
      <c r="C1831" s="232" t="str">
        <f>IF(AND(A1831&lt;&gt;"",ISNUMBER(A1831)),VLOOKUP(A1831,Studies!A:BR,3,FALSE),"")</f>
        <v>https://www.ncbi.nlm.nih.gov/pubmed/16982783</v>
      </c>
      <c r="D1831" s="232" t="str">
        <f>IF(AND(A1831&lt;&gt;"",ISNUMBER(A1831)),VLOOKUP(A1831,Studies!A:BR,4,FALSE),"")</f>
        <v>MAD_m_C 300 mg</v>
      </c>
      <c r="E1831" s="206" t="str">
        <f>IF(AND(A1831&lt;&gt;"",ISNUMBER(A1831)),VLOOKUP(A1831,Studies!A:BR,5,FALSE),"")</f>
        <v>Itraconazole</v>
      </c>
      <c r="F1831" s="207" t="str">
        <f>IF(AND(A1831&lt;&gt;"",ISNUMBER(A1831)),VLOOKUP(A1831,Studies!A:BR,6,FALSE),"")</f>
        <v>Plasma</v>
      </c>
      <c r="G1831" s="194">
        <v>192</v>
      </c>
      <c r="H1831" s="194" t="s">
        <v>60</v>
      </c>
      <c r="I1831" s="187">
        <v>1407.9959716796875</v>
      </c>
      <c r="J1831" s="187" t="s">
        <v>1026</v>
      </c>
      <c r="K1831" s="187" t="s">
        <v>116</v>
      </c>
      <c r="L1831" s="195"/>
      <c r="M1831" s="195"/>
      <c r="N1831" s="195"/>
      <c r="O1831" s="199"/>
      <c r="P1831" s="188"/>
      <c r="Q1831" s="174">
        <f>IF(ISNUMBER(VLOOKUP(A1831,NotghiID!A:A,1,FALSE)),1,0)</f>
        <v>0</v>
      </c>
    </row>
    <row r="1832" spans="1:17" ht="14.25" x14ac:dyDescent="0.2">
      <c r="A1832" s="183">
        <v>526</v>
      </c>
      <c r="B1832" s="232" t="str">
        <f>IF(AND(A1832&lt;&gt;"",ISNUMBER(A1832)),VLOOKUP(A1832,Studies!A:BR,2,FALSE),"")</f>
        <v>Mouton 2006</v>
      </c>
      <c r="C1832" s="232" t="str">
        <f>IF(AND(A1832&lt;&gt;"",ISNUMBER(A1832)),VLOOKUP(A1832,Studies!A:BR,3,FALSE),"")</f>
        <v>https://www.ncbi.nlm.nih.gov/pubmed/16982783</v>
      </c>
      <c r="D1832" s="232" t="str">
        <f>IF(AND(A1832&lt;&gt;"",ISNUMBER(A1832)),VLOOKUP(A1832,Studies!A:BR,4,FALSE),"")</f>
        <v>MAD_m_C 300 mg</v>
      </c>
      <c r="E1832" s="206" t="str">
        <f>IF(AND(A1832&lt;&gt;"",ISNUMBER(A1832)),VLOOKUP(A1832,Studies!A:BR,5,FALSE),"")</f>
        <v>Itraconazole</v>
      </c>
      <c r="F1832" s="207" t="str">
        <f>IF(AND(A1832&lt;&gt;"",ISNUMBER(A1832)),VLOOKUP(A1832,Studies!A:BR,6,FALSE),"")</f>
        <v>Plasma</v>
      </c>
      <c r="G1832" s="194">
        <v>216</v>
      </c>
      <c r="H1832" s="194" t="s">
        <v>60</v>
      </c>
      <c r="I1832" s="187">
        <v>1373.3179931640625</v>
      </c>
      <c r="J1832" s="187" t="s">
        <v>1026</v>
      </c>
      <c r="K1832" s="187" t="s">
        <v>116</v>
      </c>
      <c r="L1832" s="195"/>
      <c r="M1832" s="195"/>
      <c r="N1832" s="195"/>
      <c r="O1832" s="199"/>
      <c r="P1832" s="188"/>
      <c r="Q1832" s="174">
        <f>IF(ISNUMBER(VLOOKUP(A1832,NotghiID!A:A,1,FALSE)),1,0)</f>
        <v>0</v>
      </c>
    </row>
    <row r="1833" spans="1:17" ht="14.25" x14ac:dyDescent="0.2">
      <c r="A1833" s="183">
        <v>526</v>
      </c>
      <c r="B1833" s="232" t="str">
        <f>IF(AND(A1833&lt;&gt;"",ISNUMBER(A1833)),VLOOKUP(A1833,Studies!A:BR,2,FALSE),"")</f>
        <v>Mouton 2006</v>
      </c>
      <c r="C1833" s="232" t="str">
        <f>IF(AND(A1833&lt;&gt;"",ISNUMBER(A1833)),VLOOKUP(A1833,Studies!A:BR,3,FALSE),"")</f>
        <v>https://www.ncbi.nlm.nih.gov/pubmed/16982783</v>
      </c>
      <c r="D1833" s="232" t="str">
        <f>IF(AND(A1833&lt;&gt;"",ISNUMBER(A1833)),VLOOKUP(A1833,Studies!A:BR,4,FALSE),"")</f>
        <v>MAD_m_C 300 mg</v>
      </c>
      <c r="E1833" s="206" t="str">
        <f>IF(AND(A1833&lt;&gt;"",ISNUMBER(A1833)),VLOOKUP(A1833,Studies!A:BR,5,FALSE),"")</f>
        <v>Itraconazole</v>
      </c>
      <c r="F1833" s="207" t="str">
        <f>IF(AND(A1833&lt;&gt;"",ISNUMBER(A1833)),VLOOKUP(A1833,Studies!A:BR,6,FALSE),"")</f>
        <v>Plasma</v>
      </c>
      <c r="G1833" s="194">
        <v>240</v>
      </c>
      <c r="H1833" s="194" t="s">
        <v>60</v>
      </c>
      <c r="I1833" s="187">
        <v>1317.408935546875</v>
      </c>
      <c r="J1833" s="187" t="s">
        <v>1026</v>
      </c>
      <c r="K1833" s="187" t="s">
        <v>116</v>
      </c>
      <c r="L1833" s="195"/>
      <c r="M1833" s="195"/>
      <c r="N1833" s="195"/>
      <c r="O1833" s="199"/>
      <c r="P1833" s="188"/>
      <c r="Q1833" s="174">
        <f>IF(ISNUMBER(VLOOKUP(A1833,NotghiID!A:A,1,FALSE)),1,0)</f>
        <v>0</v>
      </c>
    </row>
    <row r="1834" spans="1:17" ht="14.25" x14ac:dyDescent="0.2">
      <c r="A1834" s="183">
        <v>526</v>
      </c>
      <c r="B1834" s="232" t="str">
        <f>IF(AND(A1834&lt;&gt;"",ISNUMBER(A1834)),VLOOKUP(A1834,Studies!A:BR,2,FALSE),"")</f>
        <v>Mouton 2006</v>
      </c>
      <c r="C1834" s="232" t="str">
        <f>IF(AND(A1834&lt;&gt;"",ISNUMBER(A1834)),VLOOKUP(A1834,Studies!A:BR,3,FALSE),"")</f>
        <v>https://www.ncbi.nlm.nih.gov/pubmed/16982783</v>
      </c>
      <c r="D1834" s="232" t="str">
        <f>IF(AND(A1834&lt;&gt;"",ISNUMBER(A1834)),VLOOKUP(A1834,Studies!A:BR,4,FALSE),"")</f>
        <v>MAD_m_C 300 mg</v>
      </c>
      <c r="E1834" s="206" t="str">
        <f>IF(AND(A1834&lt;&gt;"",ISNUMBER(A1834)),VLOOKUP(A1834,Studies!A:BR,5,FALSE),"")</f>
        <v>Itraconazole</v>
      </c>
      <c r="F1834" s="207" t="str">
        <f>IF(AND(A1834&lt;&gt;"",ISNUMBER(A1834)),VLOOKUP(A1834,Studies!A:BR,6,FALSE),"")</f>
        <v>Plasma</v>
      </c>
      <c r="G1834" s="194">
        <v>312</v>
      </c>
      <c r="H1834" s="194" t="s">
        <v>60</v>
      </c>
      <c r="I1834" s="187">
        <v>993.06304931640625</v>
      </c>
      <c r="J1834" s="187" t="s">
        <v>1026</v>
      </c>
      <c r="K1834" s="187" t="s">
        <v>116</v>
      </c>
      <c r="L1834" s="195"/>
      <c r="M1834" s="195"/>
      <c r="N1834" s="195"/>
      <c r="O1834" s="199"/>
      <c r="P1834" s="188"/>
      <c r="Q1834" s="174">
        <f>IF(ISNUMBER(VLOOKUP(A1834,NotghiID!A:A,1,FALSE)),1,0)</f>
        <v>0</v>
      </c>
    </row>
    <row r="1835" spans="1:17" ht="14.25" x14ac:dyDescent="0.2">
      <c r="A1835" s="183">
        <v>532</v>
      </c>
      <c r="B1835" s="232" t="str">
        <f>IF(AND(A1835&lt;&gt;"",ISNUMBER(A1835)),VLOOKUP(A1835,Studies!A:BR,2,FALSE),"")</f>
        <v>Mouton 2006</v>
      </c>
      <c r="C1835" s="232" t="str">
        <f>IF(AND(A1835&lt;&gt;"",ISNUMBER(A1835)),VLOOKUP(A1835,Studies!A:BR,3,FALSE),"")</f>
        <v>https://www.ncbi.nlm.nih.gov/pubmed/16982783</v>
      </c>
      <c r="D1835" s="232" t="str">
        <f>IF(AND(A1835&lt;&gt;"",ISNUMBER(A1835)),VLOOKUP(A1835,Studies!A:BR,4,FALSE),"")</f>
        <v>MAD_m_A 100 mg</v>
      </c>
      <c r="E1835" s="206" t="str">
        <f>IF(AND(A1835&lt;&gt;"",ISNUMBER(A1835)),VLOOKUP(A1835,Studies!A:BR,5,FALSE),"")</f>
        <v>Hydroxy-Itraconazole</v>
      </c>
      <c r="F1835" s="207" t="str">
        <f>IF(AND(A1835&lt;&gt;"",ISNUMBER(A1835)),VLOOKUP(A1835,Studies!A:BR,6,FALSE),"")</f>
        <v>Plasma</v>
      </c>
      <c r="G1835" s="194">
        <v>1</v>
      </c>
      <c r="H1835" s="194" t="s">
        <v>60</v>
      </c>
      <c r="I1835" s="187">
        <v>148.0000913143158</v>
      </c>
      <c r="J1835" s="187" t="s">
        <v>1026</v>
      </c>
      <c r="K1835" s="187" t="s">
        <v>116</v>
      </c>
      <c r="L1835" s="195"/>
      <c r="M1835" s="195"/>
      <c r="N1835" s="195"/>
      <c r="O1835" s="199"/>
      <c r="P1835" s="188"/>
      <c r="Q1835" s="174">
        <f>IF(ISNUMBER(VLOOKUP(A1835,NotghiID!A:A,1,FALSE)),1,0)</f>
        <v>0</v>
      </c>
    </row>
    <row r="1836" spans="1:17" ht="14.25" x14ac:dyDescent="0.2">
      <c r="A1836" s="183">
        <v>532</v>
      </c>
      <c r="B1836" s="232" t="str">
        <f>IF(AND(A1836&lt;&gt;"",ISNUMBER(A1836)),VLOOKUP(A1836,Studies!A:BR,2,FALSE),"")</f>
        <v>Mouton 2006</v>
      </c>
      <c r="C1836" s="232" t="str">
        <f>IF(AND(A1836&lt;&gt;"",ISNUMBER(A1836)),VLOOKUP(A1836,Studies!A:BR,3,FALSE),"")</f>
        <v>https://www.ncbi.nlm.nih.gov/pubmed/16982783</v>
      </c>
      <c r="D1836" s="232" t="str">
        <f>IF(AND(A1836&lt;&gt;"",ISNUMBER(A1836)),VLOOKUP(A1836,Studies!A:BR,4,FALSE),"")</f>
        <v>MAD_m_A 100 mg</v>
      </c>
      <c r="E1836" s="206" t="str">
        <f>IF(AND(A1836&lt;&gt;"",ISNUMBER(A1836)),VLOOKUP(A1836,Studies!A:BR,5,FALSE),"")</f>
        <v>Hydroxy-Itraconazole</v>
      </c>
      <c r="F1836" s="207" t="str">
        <f>IF(AND(A1836&lt;&gt;"",ISNUMBER(A1836)),VLOOKUP(A1836,Studies!A:BR,6,FALSE),"")</f>
        <v>Plasma</v>
      </c>
      <c r="G1836" s="194">
        <v>8</v>
      </c>
      <c r="H1836" s="194" t="s">
        <v>60</v>
      </c>
      <c r="I1836" s="187">
        <v>213.35700154304504</v>
      </c>
      <c r="J1836" s="187" t="s">
        <v>1026</v>
      </c>
      <c r="K1836" s="187" t="s">
        <v>116</v>
      </c>
      <c r="L1836" s="195"/>
      <c r="M1836" s="195"/>
      <c r="N1836" s="195"/>
      <c r="O1836" s="199"/>
      <c r="P1836" s="188"/>
      <c r="Q1836" s="174">
        <f>IF(ISNUMBER(VLOOKUP(A1836,NotghiID!A:A,1,FALSE)),1,0)</f>
        <v>0</v>
      </c>
    </row>
    <row r="1837" spans="1:17" ht="14.25" x14ac:dyDescent="0.2">
      <c r="A1837" s="183">
        <v>532</v>
      </c>
      <c r="B1837" s="232" t="str">
        <f>IF(AND(A1837&lt;&gt;"",ISNUMBER(A1837)),VLOOKUP(A1837,Studies!A:BR,2,FALSE),"")</f>
        <v>Mouton 2006</v>
      </c>
      <c r="C1837" s="232" t="str">
        <f>IF(AND(A1837&lt;&gt;"",ISNUMBER(A1837)),VLOOKUP(A1837,Studies!A:BR,3,FALSE),"")</f>
        <v>https://www.ncbi.nlm.nih.gov/pubmed/16982783</v>
      </c>
      <c r="D1837" s="232" t="str">
        <f>IF(AND(A1837&lt;&gt;"",ISNUMBER(A1837)),VLOOKUP(A1837,Studies!A:BR,4,FALSE),"")</f>
        <v>MAD_m_A 100 mg</v>
      </c>
      <c r="E1837" s="206" t="str">
        <f>IF(AND(A1837&lt;&gt;"",ISNUMBER(A1837)),VLOOKUP(A1837,Studies!A:BR,5,FALSE),"")</f>
        <v>Hydroxy-Itraconazole</v>
      </c>
      <c r="F1837" s="207" t="str">
        <f>IF(AND(A1837&lt;&gt;"",ISNUMBER(A1837)),VLOOKUP(A1837,Studies!A:BR,6,FALSE),"")</f>
        <v>Plasma</v>
      </c>
      <c r="G1837" s="194">
        <v>9</v>
      </c>
      <c r="H1837" s="194" t="s">
        <v>60</v>
      </c>
      <c r="I1837" s="187">
        <v>312.73159384727478</v>
      </c>
      <c r="J1837" s="187" t="s">
        <v>1026</v>
      </c>
      <c r="K1837" s="187" t="s">
        <v>116</v>
      </c>
      <c r="L1837" s="195"/>
      <c r="M1837" s="195"/>
      <c r="N1837" s="195"/>
      <c r="O1837" s="199"/>
      <c r="P1837" s="188"/>
      <c r="Q1837" s="174">
        <f>IF(ISNUMBER(VLOOKUP(A1837,NotghiID!A:A,1,FALSE)),1,0)</f>
        <v>0</v>
      </c>
    </row>
    <row r="1838" spans="1:17" ht="14.25" x14ac:dyDescent="0.2">
      <c r="A1838" s="183">
        <v>532</v>
      </c>
      <c r="B1838" s="232" t="str">
        <f>IF(AND(A1838&lt;&gt;"",ISNUMBER(A1838)),VLOOKUP(A1838,Studies!A:BR,2,FALSE),"")</f>
        <v>Mouton 2006</v>
      </c>
      <c r="C1838" s="232" t="str">
        <f>IF(AND(A1838&lt;&gt;"",ISNUMBER(A1838)),VLOOKUP(A1838,Studies!A:BR,3,FALSE),"")</f>
        <v>https://www.ncbi.nlm.nih.gov/pubmed/16982783</v>
      </c>
      <c r="D1838" s="232" t="str">
        <f>IF(AND(A1838&lt;&gt;"",ISNUMBER(A1838)),VLOOKUP(A1838,Studies!A:BR,4,FALSE),"")</f>
        <v>MAD_m_A 100 mg</v>
      </c>
      <c r="E1838" s="206" t="str">
        <f>IF(AND(A1838&lt;&gt;"",ISNUMBER(A1838)),VLOOKUP(A1838,Studies!A:BR,5,FALSE),"")</f>
        <v>Hydroxy-Itraconazole</v>
      </c>
      <c r="F1838" s="207" t="str">
        <f>IF(AND(A1838&lt;&gt;"",ISNUMBER(A1838)),VLOOKUP(A1838,Studies!A:BR,6,FALSE),"")</f>
        <v>Plasma</v>
      </c>
      <c r="G1838" s="194">
        <v>24</v>
      </c>
      <c r="H1838" s="194" t="s">
        <v>60</v>
      </c>
      <c r="I1838" s="187">
        <v>326.00361108779907</v>
      </c>
      <c r="J1838" s="187" t="s">
        <v>1026</v>
      </c>
      <c r="K1838" s="187" t="s">
        <v>116</v>
      </c>
      <c r="L1838" s="195"/>
      <c r="M1838" s="195"/>
      <c r="N1838" s="195"/>
      <c r="O1838" s="199"/>
      <c r="P1838" s="188"/>
      <c r="Q1838" s="174">
        <f>IF(ISNUMBER(VLOOKUP(A1838,NotghiID!A:A,1,FALSE)),1,0)</f>
        <v>0</v>
      </c>
    </row>
    <row r="1839" spans="1:17" ht="14.25" x14ac:dyDescent="0.2">
      <c r="A1839" s="183">
        <v>532</v>
      </c>
      <c r="B1839" s="232" t="str">
        <f>IF(AND(A1839&lt;&gt;"",ISNUMBER(A1839)),VLOOKUP(A1839,Studies!A:BR,2,FALSE),"")</f>
        <v>Mouton 2006</v>
      </c>
      <c r="C1839" s="232" t="str">
        <f>IF(AND(A1839&lt;&gt;"",ISNUMBER(A1839)),VLOOKUP(A1839,Studies!A:BR,3,FALSE),"")</f>
        <v>https://www.ncbi.nlm.nih.gov/pubmed/16982783</v>
      </c>
      <c r="D1839" s="232" t="str">
        <f>IF(AND(A1839&lt;&gt;"",ISNUMBER(A1839)),VLOOKUP(A1839,Studies!A:BR,4,FALSE),"")</f>
        <v>MAD_m_A 100 mg</v>
      </c>
      <c r="E1839" s="206" t="str">
        <f>IF(AND(A1839&lt;&gt;"",ISNUMBER(A1839)),VLOOKUP(A1839,Studies!A:BR,5,FALSE),"")</f>
        <v>Hydroxy-Itraconazole</v>
      </c>
      <c r="F1839" s="207" t="str">
        <f>IF(AND(A1839&lt;&gt;"",ISNUMBER(A1839)),VLOOKUP(A1839,Studies!A:BR,6,FALSE),"")</f>
        <v>Plasma</v>
      </c>
      <c r="G1839" s="194">
        <v>25</v>
      </c>
      <c r="H1839" s="194" t="s">
        <v>60</v>
      </c>
      <c r="I1839" s="187">
        <v>391.42149686813354</v>
      </c>
      <c r="J1839" s="187" t="s">
        <v>1026</v>
      </c>
      <c r="K1839" s="187" t="s">
        <v>116</v>
      </c>
      <c r="L1839" s="195"/>
      <c r="M1839" s="195"/>
      <c r="N1839" s="195"/>
      <c r="O1839" s="199"/>
      <c r="P1839" s="188"/>
      <c r="Q1839" s="174">
        <f>IF(ISNUMBER(VLOOKUP(A1839,NotghiID!A:A,1,FALSE)),1,0)</f>
        <v>0</v>
      </c>
    </row>
    <row r="1840" spans="1:17" ht="14.25" x14ac:dyDescent="0.2">
      <c r="A1840" s="183">
        <v>532</v>
      </c>
      <c r="B1840" s="232" t="str">
        <f>IF(AND(A1840&lt;&gt;"",ISNUMBER(A1840)),VLOOKUP(A1840,Studies!A:BR,2,FALSE),"")</f>
        <v>Mouton 2006</v>
      </c>
      <c r="C1840" s="232" t="str">
        <f>IF(AND(A1840&lt;&gt;"",ISNUMBER(A1840)),VLOOKUP(A1840,Studies!A:BR,3,FALSE),"")</f>
        <v>https://www.ncbi.nlm.nih.gov/pubmed/16982783</v>
      </c>
      <c r="D1840" s="232" t="str">
        <f>IF(AND(A1840&lt;&gt;"",ISNUMBER(A1840)),VLOOKUP(A1840,Studies!A:BR,4,FALSE),"")</f>
        <v>MAD_m_A 100 mg</v>
      </c>
      <c r="E1840" s="206" t="str">
        <f>IF(AND(A1840&lt;&gt;"",ISNUMBER(A1840)),VLOOKUP(A1840,Studies!A:BR,5,FALSE),"")</f>
        <v>Hydroxy-Itraconazole</v>
      </c>
      <c r="F1840" s="207" t="str">
        <f>IF(AND(A1840&lt;&gt;"",ISNUMBER(A1840)),VLOOKUP(A1840,Studies!A:BR,6,FALSE),"")</f>
        <v>Plasma</v>
      </c>
      <c r="G1840" s="194">
        <v>32</v>
      </c>
      <c r="H1840" s="194" t="s">
        <v>60</v>
      </c>
      <c r="I1840" s="187">
        <v>559.60220098495483</v>
      </c>
      <c r="J1840" s="187" t="s">
        <v>1026</v>
      </c>
      <c r="K1840" s="187" t="s">
        <v>116</v>
      </c>
      <c r="L1840" s="195"/>
      <c r="M1840" s="195"/>
      <c r="N1840" s="195"/>
      <c r="O1840" s="199"/>
      <c r="P1840" s="188"/>
      <c r="Q1840" s="174">
        <f>IF(ISNUMBER(VLOOKUP(A1840,NotghiID!A:A,1,FALSE)),1,0)</f>
        <v>0</v>
      </c>
    </row>
    <row r="1841" spans="1:17" ht="14.25" x14ac:dyDescent="0.2">
      <c r="A1841" s="183">
        <v>532</v>
      </c>
      <c r="B1841" s="232" t="str">
        <f>IF(AND(A1841&lt;&gt;"",ISNUMBER(A1841)),VLOOKUP(A1841,Studies!A:BR,2,FALSE),"")</f>
        <v>Mouton 2006</v>
      </c>
      <c r="C1841" s="232" t="str">
        <f>IF(AND(A1841&lt;&gt;"",ISNUMBER(A1841)),VLOOKUP(A1841,Studies!A:BR,3,FALSE),"")</f>
        <v>https://www.ncbi.nlm.nih.gov/pubmed/16982783</v>
      </c>
      <c r="D1841" s="232" t="str">
        <f>IF(AND(A1841&lt;&gt;"",ISNUMBER(A1841)),VLOOKUP(A1841,Studies!A:BR,4,FALSE),"")</f>
        <v>MAD_m_A 100 mg</v>
      </c>
      <c r="E1841" s="206" t="str">
        <f>IF(AND(A1841&lt;&gt;"",ISNUMBER(A1841)),VLOOKUP(A1841,Studies!A:BR,5,FALSE),"")</f>
        <v>Hydroxy-Itraconazole</v>
      </c>
      <c r="F1841" s="207" t="str">
        <f>IF(AND(A1841&lt;&gt;"",ISNUMBER(A1841)),VLOOKUP(A1841,Studies!A:BR,6,FALSE),"")</f>
        <v>Plasma</v>
      </c>
      <c r="G1841" s="194">
        <v>48</v>
      </c>
      <c r="H1841" s="194" t="s">
        <v>60</v>
      </c>
      <c r="I1841" s="187">
        <v>644.54203844070435</v>
      </c>
      <c r="J1841" s="187" t="s">
        <v>1026</v>
      </c>
      <c r="K1841" s="187" t="s">
        <v>116</v>
      </c>
      <c r="L1841" s="195"/>
      <c r="M1841" s="195"/>
      <c r="N1841" s="195"/>
      <c r="O1841" s="199"/>
      <c r="P1841" s="188"/>
      <c r="Q1841" s="174">
        <f>IF(ISNUMBER(VLOOKUP(A1841,NotghiID!A:A,1,FALSE)),1,0)</f>
        <v>0</v>
      </c>
    </row>
    <row r="1842" spans="1:17" ht="14.25" x14ac:dyDescent="0.2">
      <c r="A1842" s="183">
        <v>532</v>
      </c>
      <c r="B1842" s="232" t="str">
        <f>IF(AND(A1842&lt;&gt;"",ISNUMBER(A1842)),VLOOKUP(A1842,Studies!A:BR,2,FALSE),"")</f>
        <v>Mouton 2006</v>
      </c>
      <c r="C1842" s="232" t="str">
        <f>IF(AND(A1842&lt;&gt;"",ISNUMBER(A1842)),VLOOKUP(A1842,Studies!A:BR,3,FALSE),"")</f>
        <v>https://www.ncbi.nlm.nih.gov/pubmed/16982783</v>
      </c>
      <c r="D1842" s="232" t="str">
        <f>IF(AND(A1842&lt;&gt;"",ISNUMBER(A1842)),VLOOKUP(A1842,Studies!A:BR,4,FALSE),"")</f>
        <v>MAD_m_A 100 mg</v>
      </c>
      <c r="E1842" s="206" t="str">
        <f>IF(AND(A1842&lt;&gt;"",ISNUMBER(A1842)),VLOOKUP(A1842,Studies!A:BR,5,FALSE),"")</f>
        <v>Hydroxy-Itraconazole</v>
      </c>
      <c r="F1842" s="207" t="str">
        <f>IF(AND(A1842&lt;&gt;"",ISNUMBER(A1842)),VLOOKUP(A1842,Studies!A:BR,6,FALSE),"")</f>
        <v>Plasma</v>
      </c>
      <c r="G1842" s="194">
        <v>49</v>
      </c>
      <c r="H1842" s="194" t="s">
        <v>60</v>
      </c>
      <c r="I1842" s="187">
        <v>694.61190700531006</v>
      </c>
      <c r="J1842" s="187" t="s">
        <v>1026</v>
      </c>
      <c r="K1842" s="187" t="s">
        <v>116</v>
      </c>
      <c r="L1842" s="195"/>
      <c r="M1842" s="195"/>
      <c r="N1842" s="195"/>
      <c r="O1842" s="199"/>
      <c r="P1842" s="188"/>
      <c r="Q1842" s="174">
        <f>IF(ISNUMBER(VLOOKUP(A1842,NotghiID!A:A,1,FALSE)),1,0)</f>
        <v>0</v>
      </c>
    </row>
    <row r="1843" spans="1:17" ht="14.25" x14ac:dyDescent="0.2">
      <c r="A1843" s="183">
        <v>532</v>
      </c>
      <c r="B1843" s="232" t="str">
        <f>IF(AND(A1843&lt;&gt;"",ISNUMBER(A1843)),VLOOKUP(A1843,Studies!A:BR,2,FALSE),"")</f>
        <v>Mouton 2006</v>
      </c>
      <c r="C1843" s="232" t="str">
        <f>IF(AND(A1843&lt;&gt;"",ISNUMBER(A1843)),VLOOKUP(A1843,Studies!A:BR,3,FALSE),"")</f>
        <v>https://www.ncbi.nlm.nih.gov/pubmed/16982783</v>
      </c>
      <c r="D1843" s="232" t="str">
        <f>IF(AND(A1843&lt;&gt;"",ISNUMBER(A1843)),VLOOKUP(A1843,Studies!A:BR,4,FALSE),"")</f>
        <v>MAD_m_A 100 mg</v>
      </c>
      <c r="E1843" s="206" t="str">
        <f>IF(AND(A1843&lt;&gt;"",ISNUMBER(A1843)),VLOOKUP(A1843,Studies!A:BR,5,FALSE),"")</f>
        <v>Hydroxy-Itraconazole</v>
      </c>
      <c r="F1843" s="207" t="str">
        <f>IF(AND(A1843&lt;&gt;"",ISNUMBER(A1843)),VLOOKUP(A1843,Studies!A:BR,6,FALSE),"")</f>
        <v>Plasma</v>
      </c>
      <c r="G1843" s="194">
        <v>72</v>
      </c>
      <c r="H1843" s="194" t="s">
        <v>60</v>
      </c>
      <c r="I1843" s="187">
        <v>649.92207288742065</v>
      </c>
      <c r="J1843" s="187" t="s">
        <v>1026</v>
      </c>
      <c r="K1843" s="187" t="s">
        <v>116</v>
      </c>
      <c r="L1843" s="195"/>
      <c r="M1843" s="195"/>
      <c r="N1843" s="195"/>
      <c r="O1843" s="199"/>
      <c r="P1843" s="188"/>
      <c r="Q1843" s="174">
        <f>IF(ISNUMBER(VLOOKUP(A1843,NotghiID!A:A,1,FALSE)),1,0)</f>
        <v>0</v>
      </c>
    </row>
    <row r="1844" spans="1:17" ht="14.25" x14ac:dyDescent="0.2">
      <c r="A1844" s="183">
        <v>532</v>
      </c>
      <c r="B1844" s="232" t="str">
        <f>IF(AND(A1844&lt;&gt;"",ISNUMBER(A1844)),VLOOKUP(A1844,Studies!A:BR,2,FALSE),"")</f>
        <v>Mouton 2006</v>
      </c>
      <c r="C1844" s="232" t="str">
        <f>IF(AND(A1844&lt;&gt;"",ISNUMBER(A1844)),VLOOKUP(A1844,Studies!A:BR,3,FALSE),"")</f>
        <v>https://www.ncbi.nlm.nih.gov/pubmed/16982783</v>
      </c>
      <c r="D1844" s="232" t="str">
        <f>IF(AND(A1844&lt;&gt;"",ISNUMBER(A1844)),VLOOKUP(A1844,Studies!A:BR,4,FALSE),"")</f>
        <v>MAD_m_A 100 mg</v>
      </c>
      <c r="E1844" s="206" t="str">
        <f>IF(AND(A1844&lt;&gt;"",ISNUMBER(A1844)),VLOOKUP(A1844,Studies!A:BR,5,FALSE),"")</f>
        <v>Hydroxy-Itraconazole</v>
      </c>
      <c r="F1844" s="207" t="str">
        <f>IF(AND(A1844&lt;&gt;"",ISNUMBER(A1844)),VLOOKUP(A1844,Studies!A:BR,6,FALSE),"")</f>
        <v>Plasma</v>
      </c>
      <c r="G1844" s="194">
        <v>73</v>
      </c>
      <c r="H1844" s="194" t="s">
        <v>60</v>
      </c>
      <c r="I1844" s="187">
        <v>688.86178731918335</v>
      </c>
      <c r="J1844" s="187" t="s">
        <v>1026</v>
      </c>
      <c r="K1844" s="187" t="s">
        <v>116</v>
      </c>
      <c r="L1844" s="195"/>
      <c r="M1844" s="195"/>
      <c r="N1844" s="195"/>
      <c r="O1844" s="199"/>
      <c r="P1844" s="188"/>
      <c r="Q1844" s="174">
        <f>IF(ISNUMBER(VLOOKUP(A1844,NotghiID!A:A,1,FALSE)),1,0)</f>
        <v>0</v>
      </c>
    </row>
    <row r="1845" spans="1:17" ht="14.25" x14ac:dyDescent="0.2">
      <c r="A1845" s="183">
        <v>532</v>
      </c>
      <c r="B1845" s="232" t="str">
        <f>IF(AND(A1845&lt;&gt;"",ISNUMBER(A1845)),VLOOKUP(A1845,Studies!A:BR,2,FALSE),"")</f>
        <v>Mouton 2006</v>
      </c>
      <c r="C1845" s="232" t="str">
        <f>IF(AND(A1845&lt;&gt;"",ISNUMBER(A1845)),VLOOKUP(A1845,Studies!A:BR,3,FALSE),"")</f>
        <v>https://www.ncbi.nlm.nih.gov/pubmed/16982783</v>
      </c>
      <c r="D1845" s="232" t="str">
        <f>IF(AND(A1845&lt;&gt;"",ISNUMBER(A1845)),VLOOKUP(A1845,Studies!A:BR,4,FALSE),"")</f>
        <v>MAD_m_A 100 mg</v>
      </c>
      <c r="E1845" s="206" t="str">
        <f>IF(AND(A1845&lt;&gt;"",ISNUMBER(A1845)),VLOOKUP(A1845,Studies!A:BR,5,FALSE),"")</f>
        <v>Hydroxy-Itraconazole</v>
      </c>
      <c r="F1845" s="207" t="str">
        <f>IF(AND(A1845&lt;&gt;"",ISNUMBER(A1845)),VLOOKUP(A1845,Studies!A:BR,6,FALSE),"")</f>
        <v>Plasma</v>
      </c>
      <c r="G1845" s="194">
        <v>96</v>
      </c>
      <c r="H1845" s="194" t="s">
        <v>60</v>
      </c>
      <c r="I1845" s="187">
        <v>628.66741418838501</v>
      </c>
      <c r="J1845" s="187" t="s">
        <v>1026</v>
      </c>
      <c r="K1845" s="187" t="s">
        <v>116</v>
      </c>
      <c r="L1845" s="195"/>
      <c r="M1845" s="195"/>
      <c r="N1845" s="195"/>
      <c r="O1845" s="199"/>
      <c r="P1845" s="188"/>
      <c r="Q1845" s="174">
        <f>IF(ISNUMBER(VLOOKUP(A1845,NotghiID!A:A,1,FALSE)),1,0)</f>
        <v>0</v>
      </c>
    </row>
    <row r="1846" spans="1:17" ht="14.25" x14ac:dyDescent="0.2">
      <c r="A1846" s="183">
        <v>532</v>
      </c>
      <c r="B1846" s="232" t="str">
        <f>IF(AND(A1846&lt;&gt;"",ISNUMBER(A1846)),VLOOKUP(A1846,Studies!A:BR,2,FALSE),"")</f>
        <v>Mouton 2006</v>
      </c>
      <c r="C1846" s="232" t="str">
        <f>IF(AND(A1846&lt;&gt;"",ISNUMBER(A1846)),VLOOKUP(A1846,Studies!A:BR,3,FALSE),"")</f>
        <v>https://www.ncbi.nlm.nih.gov/pubmed/16982783</v>
      </c>
      <c r="D1846" s="232" t="str">
        <f>IF(AND(A1846&lt;&gt;"",ISNUMBER(A1846)),VLOOKUP(A1846,Studies!A:BR,4,FALSE),"")</f>
        <v>MAD_m_A 100 mg</v>
      </c>
      <c r="E1846" s="206" t="str">
        <f>IF(AND(A1846&lt;&gt;"",ISNUMBER(A1846)),VLOOKUP(A1846,Studies!A:BR,5,FALSE),"")</f>
        <v>Hydroxy-Itraconazole</v>
      </c>
      <c r="F1846" s="207" t="str">
        <f>IF(AND(A1846&lt;&gt;"",ISNUMBER(A1846)),VLOOKUP(A1846,Studies!A:BR,6,FALSE),"")</f>
        <v>Plasma</v>
      </c>
      <c r="G1846" s="194">
        <v>97</v>
      </c>
      <c r="H1846" s="194" t="s">
        <v>60</v>
      </c>
      <c r="I1846" s="187">
        <v>694.61190700531006</v>
      </c>
      <c r="J1846" s="187" t="s">
        <v>1026</v>
      </c>
      <c r="K1846" s="187" t="s">
        <v>116</v>
      </c>
      <c r="L1846" s="195"/>
      <c r="M1846" s="195"/>
      <c r="N1846" s="195"/>
      <c r="O1846" s="199"/>
      <c r="P1846" s="188"/>
      <c r="Q1846" s="174">
        <f>IF(ISNUMBER(VLOOKUP(A1846,NotghiID!A:A,1,FALSE)),1,0)</f>
        <v>0</v>
      </c>
    </row>
    <row r="1847" spans="1:17" ht="14.25" x14ac:dyDescent="0.2">
      <c r="A1847" s="183">
        <v>532</v>
      </c>
      <c r="B1847" s="232" t="str">
        <f>IF(AND(A1847&lt;&gt;"",ISNUMBER(A1847)),VLOOKUP(A1847,Studies!A:BR,2,FALSE),"")</f>
        <v>Mouton 2006</v>
      </c>
      <c r="C1847" s="232" t="str">
        <f>IF(AND(A1847&lt;&gt;"",ISNUMBER(A1847)),VLOOKUP(A1847,Studies!A:BR,3,FALSE),"")</f>
        <v>https://www.ncbi.nlm.nih.gov/pubmed/16982783</v>
      </c>
      <c r="D1847" s="232" t="str">
        <f>IF(AND(A1847&lt;&gt;"",ISNUMBER(A1847)),VLOOKUP(A1847,Studies!A:BR,4,FALSE),"")</f>
        <v>MAD_m_A 100 mg</v>
      </c>
      <c r="E1847" s="206" t="str">
        <f>IF(AND(A1847&lt;&gt;"",ISNUMBER(A1847)),VLOOKUP(A1847,Studies!A:BR,5,FALSE),"")</f>
        <v>Hydroxy-Itraconazole</v>
      </c>
      <c r="F1847" s="207" t="str">
        <f>IF(AND(A1847&lt;&gt;"",ISNUMBER(A1847)),VLOOKUP(A1847,Studies!A:BR,6,FALSE),"")</f>
        <v>Plasma</v>
      </c>
      <c r="G1847" s="194">
        <v>120</v>
      </c>
      <c r="H1847" s="194" t="s">
        <v>60</v>
      </c>
      <c r="I1847" s="187">
        <v>677.50400304794312</v>
      </c>
      <c r="J1847" s="187" t="s">
        <v>1026</v>
      </c>
      <c r="K1847" s="187" t="s">
        <v>116</v>
      </c>
      <c r="L1847" s="195"/>
      <c r="M1847" s="195"/>
      <c r="N1847" s="195"/>
      <c r="O1847" s="199"/>
      <c r="P1847" s="188"/>
      <c r="Q1847" s="174">
        <f>IF(ISNUMBER(VLOOKUP(A1847,NotghiID!A:A,1,FALSE)),1,0)</f>
        <v>0</v>
      </c>
    </row>
    <row r="1848" spans="1:17" ht="14.25" x14ac:dyDescent="0.2">
      <c r="A1848" s="183">
        <v>532</v>
      </c>
      <c r="B1848" s="232" t="str">
        <f>IF(AND(A1848&lt;&gt;"",ISNUMBER(A1848)),VLOOKUP(A1848,Studies!A:BR,2,FALSE),"")</f>
        <v>Mouton 2006</v>
      </c>
      <c r="C1848" s="232" t="str">
        <f>IF(AND(A1848&lt;&gt;"",ISNUMBER(A1848)),VLOOKUP(A1848,Studies!A:BR,3,FALSE),"")</f>
        <v>https://www.ncbi.nlm.nih.gov/pubmed/16982783</v>
      </c>
      <c r="D1848" s="232" t="str">
        <f>IF(AND(A1848&lt;&gt;"",ISNUMBER(A1848)),VLOOKUP(A1848,Studies!A:BR,4,FALSE),"")</f>
        <v>MAD_m_A 100 mg</v>
      </c>
      <c r="E1848" s="206" t="str">
        <f>IF(AND(A1848&lt;&gt;"",ISNUMBER(A1848)),VLOOKUP(A1848,Studies!A:BR,5,FALSE),"")</f>
        <v>Hydroxy-Itraconazole</v>
      </c>
      <c r="F1848" s="207" t="str">
        <f>IF(AND(A1848&lt;&gt;"",ISNUMBER(A1848)),VLOOKUP(A1848,Studies!A:BR,6,FALSE),"")</f>
        <v>Plasma</v>
      </c>
      <c r="G1848" s="194">
        <v>121</v>
      </c>
      <c r="H1848" s="194" t="s">
        <v>60</v>
      </c>
      <c r="I1848" s="187">
        <v>724.09027814865112</v>
      </c>
      <c r="J1848" s="187" t="s">
        <v>1026</v>
      </c>
      <c r="K1848" s="187" t="s">
        <v>116</v>
      </c>
      <c r="L1848" s="195"/>
      <c r="M1848" s="195"/>
      <c r="N1848" s="195"/>
      <c r="O1848" s="199"/>
      <c r="P1848" s="188"/>
      <c r="Q1848" s="174">
        <f>IF(ISNUMBER(VLOOKUP(A1848,NotghiID!A:A,1,FALSE)),1,0)</f>
        <v>0</v>
      </c>
    </row>
    <row r="1849" spans="1:17" ht="14.25" x14ac:dyDescent="0.2">
      <c r="A1849" s="183">
        <v>532</v>
      </c>
      <c r="B1849" s="232" t="str">
        <f>IF(AND(A1849&lt;&gt;"",ISNUMBER(A1849)),VLOOKUP(A1849,Studies!A:BR,2,FALSE),"")</f>
        <v>Mouton 2006</v>
      </c>
      <c r="C1849" s="232" t="str">
        <f>IF(AND(A1849&lt;&gt;"",ISNUMBER(A1849)),VLOOKUP(A1849,Studies!A:BR,3,FALSE),"")</f>
        <v>https://www.ncbi.nlm.nih.gov/pubmed/16982783</v>
      </c>
      <c r="D1849" s="232" t="str">
        <f>IF(AND(A1849&lt;&gt;"",ISNUMBER(A1849)),VLOOKUP(A1849,Studies!A:BR,4,FALSE),"")</f>
        <v>MAD_m_A 100 mg</v>
      </c>
      <c r="E1849" s="206" t="str">
        <f>IF(AND(A1849&lt;&gt;"",ISNUMBER(A1849)),VLOOKUP(A1849,Studies!A:BR,5,FALSE),"")</f>
        <v>Hydroxy-Itraconazole</v>
      </c>
      <c r="F1849" s="207" t="str">
        <f>IF(AND(A1849&lt;&gt;"",ISNUMBER(A1849)),VLOOKUP(A1849,Studies!A:BR,6,FALSE),"")</f>
        <v>Plasma</v>
      </c>
      <c r="G1849" s="194">
        <v>144</v>
      </c>
      <c r="H1849" s="194" t="s">
        <v>60</v>
      </c>
      <c r="I1849" s="187">
        <v>706.25638961791992</v>
      </c>
      <c r="J1849" s="187" t="s">
        <v>1026</v>
      </c>
      <c r="K1849" s="187" t="s">
        <v>116</v>
      </c>
      <c r="L1849" s="195"/>
      <c r="M1849" s="195"/>
      <c r="N1849" s="195"/>
      <c r="O1849" s="199"/>
      <c r="P1849" s="188"/>
      <c r="Q1849" s="174">
        <f>IF(ISNUMBER(VLOOKUP(A1849,NotghiID!A:A,1,FALSE)),1,0)</f>
        <v>0</v>
      </c>
    </row>
    <row r="1850" spans="1:17" ht="14.25" x14ac:dyDescent="0.2">
      <c r="A1850" s="183">
        <v>532</v>
      </c>
      <c r="B1850" s="232" t="str">
        <f>IF(AND(A1850&lt;&gt;"",ISNUMBER(A1850)),VLOOKUP(A1850,Studies!A:BR,2,FALSE),"")</f>
        <v>Mouton 2006</v>
      </c>
      <c r="C1850" s="232" t="str">
        <f>IF(AND(A1850&lt;&gt;"",ISNUMBER(A1850)),VLOOKUP(A1850,Studies!A:BR,3,FALSE),"")</f>
        <v>https://www.ncbi.nlm.nih.gov/pubmed/16982783</v>
      </c>
      <c r="D1850" s="232" t="str">
        <f>IF(AND(A1850&lt;&gt;"",ISNUMBER(A1850)),VLOOKUP(A1850,Studies!A:BR,4,FALSE),"")</f>
        <v>MAD_m_A 100 mg</v>
      </c>
      <c r="E1850" s="206" t="str">
        <f>IF(AND(A1850&lt;&gt;"",ISNUMBER(A1850)),VLOOKUP(A1850,Studies!A:BR,5,FALSE),"")</f>
        <v>Hydroxy-Itraconazole</v>
      </c>
      <c r="F1850" s="207" t="str">
        <f>IF(AND(A1850&lt;&gt;"",ISNUMBER(A1850)),VLOOKUP(A1850,Studies!A:BR,6,FALSE),"")</f>
        <v>Plasma</v>
      </c>
      <c r="G1850" s="194">
        <v>144.5</v>
      </c>
      <c r="H1850" s="194" t="s">
        <v>60</v>
      </c>
      <c r="I1850" s="187">
        <v>847.97841310501099</v>
      </c>
      <c r="J1850" s="187" t="s">
        <v>1026</v>
      </c>
      <c r="K1850" s="187" t="s">
        <v>116</v>
      </c>
      <c r="L1850" s="195"/>
      <c r="M1850" s="195"/>
      <c r="N1850" s="195"/>
      <c r="O1850" s="199"/>
      <c r="P1850" s="188"/>
      <c r="Q1850" s="174">
        <f>IF(ISNUMBER(VLOOKUP(A1850,NotghiID!A:A,1,FALSE)),1,0)</f>
        <v>0</v>
      </c>
    </row>
    <row r="1851" spans="1:17" ht="14.25" x14ac:dyDescent="0.2">
      <c r="A1851" s="183">
        <v>532</v>
      </c>
      <c r="B1851" s="232" t="str">
        <f>IF(AND(A1851&lt;&gt;"",ISNUMBER(A1851)),VLOOKUP(A1851,Studies!A:BR,2,FALSE),"")</f>
        <v>Mouton 2006</v>
      </c>
      <c r="C1851" s="232" t="str">
        <f>IF(AND(A1851&lt;&gt;"",ISNUMBER(A1851)),VLOOKUP(A1851,Studies!A:BR,3,FALSE),"")</f>
        <v>https://www.ncbi.nlm.nih.gov/pubmed/16982783</v>
      </c>
      <c r="D1851" s="232" t="str">
        <f>IF(AND(A1851&lt;&gt;"",ISNUMBER(A1851)),VLOOKUP(A1851,Studies!A:BR,4,FALSE),"")</f>
        <v>MAD_m_A 100 mg</v>
      </c>
      <c r="E1851" s="206" t="str">
        <f>IF(AND(A1851&lt;&gt;"",ISNUMBER(A1851)),VLOOKUP(A1851,Studies!A:BR,5,FALSE),"")</f>
        <v>Hydroxy-Itraconazole</v>
      </c>
      <c r="F1851" s="207" t="str">
        <f>IF(AND(A1851&lt;&gt;"",ISNUMBER(A1851)),VLOOKUP(A1851,Studies!A:BR,6,FALSE),"")</f>
        <v>Plasma</v>
      </c>
      <c r="G1851" s="194">
        <v>153</v>
      </c>
      <c r="H1851" s="194" t="s">
        <v>60</v>
      </c>
      <c r="I1851" s="187">
        <v>847.97841310501099</v>
      </c>
      <c r="J1851" s="187" t="s">
        <v>1026</v>
      </c>
      <c r="K1851" s="187" t="s">
        <v>116</v>
      </c>
      <c r="L1851" s="195"/>
      <c r="M1851" s="195"/>
      <c r="N1851" s="195"/>
      <c r="O1851" s="199"/>
      <c r="P1851" s="188"/>
      <c r="Q1851" s="174">
        <f>IF(ISNUMBER(VLOOKUP(A1851,NotghiID!A:A,1,FALSE)),1,0)</f>
        <v>0</v>
      </c>
    </row>
    <row r="1852" spans="1:17" ht="14.25" x14ac:dyDescent="0.2">
      <c r="A1852" s="183">
        <v>532</v>
      </c>
      <c r="B1852" s="232" t="str">
        <f>IF(AND(A1852&lt;&gt;"",ISNUMBER(A1852)),VLOOKUP(A1852,Studies!A:BR,2,FALSE),"")</f>
        <v>Mouton 2006</v>
      </c>
      <c r="C1852" s="232" t="str">
        <f>IF(AND(A1852&lt;&gt;"",ISNUMBER(A1852)),VLOOKUP(A1852,Studies!A:BR,3,FALSE),"")</f>
        <v>https://www.ncbi.nlm.nih.gov/pubmed/16982783</v>
      </c>
      <c r="D1852" s="232" t="str">
        <f>IF(AND(A1852&lt;&gt;"",ISNUMBER(A1852)),VLOOKUP(A1852,Studies!A:BR,4,FALSE),"")</f>
        <v>MAD_m_A 100 mg</v>
      </c>
      <c r="E1852" s="206" t="str">
        <f>IF(AND(A1852&lt;&gt;"",ISNUMBER(A1852)),VLOOKUP(A1852,Studies!A:BR,5,FALSE),"")</f>
        <v>Hydroxy-Itraconazole</v>
      </c>
      <c r="F1852" s="207" t="str">
        <f>IF(AND(A1852&lt;&gt;"",ISNUMBER(A1852)),VLOOKUP(A1852,Studies!A:BR,6,FALSE),"")</f>
        <v>Plasma</v>
      </c>
      <c r="G1852" s="194">
        <v>160</v>
      </c>
      <c r="H1852" s="194" t="s">
        <v>60</v>
      </c>
      <c r="I1852" s="187">
        <v>712.15170621871948</v>
      </c>
      <c r="J1852" s="187" t="s">
        <v>1026</v>
      </c>
      <c r="K1852" s="187" t="s">
        <v>116</v>
      </c>
      <c r="L1852" s="195"/>
      <c r="M1852" s="195"/>
      <c r="N1852" s="195"/>
      <c r="O1852" s="199"/>
      <c r="P1852" s="188"/>
      <c r="Q1852" s="174">
        <f>IF(ISNUMBER(VLOOKUP(A1852,NotghiID!A:A,1,FALSE)),1,0)</f>
        <v>0</v>
      </c>
    </row>
    <row r="1853" spans="1:17" ht="14.25" x14ac:dyDescent="0.2">
      <c r="A1853" s="183">
        <v>532</v>
      </c>
      <c r="B1853" s="232" t="str">
        <f>IF(AND(A1853&lt;&gt;"",ISNUMBER(A1853)),VLOOKUP(A1853,Studies!A:BR,2,FALSE),"")</f>
        <v>Mouton 2006</v>
      </c>
      <c r="C1853" s="232" t="str">
        <f>IF(AND(A1853&lt;&gt;"",ISNUMBER(A1853)),VLOOKUP(A1853,Studies!A:BR,3,FALSE),"")</f>
        <v>https://www.ncbi.nlm.nih.gov/pubmed/16982783</v>
      </c>
      <c r="D1853" s="232" t="str">
        <f>IF(AND(A1853&lt;&gt;"",ISNUMBER(A1853)),VLOOKUP(A1853,Studies!A:BR,4,FALSE),"")</f>
        <v>MAD_m_A 100 mg</v>
      </c>
      <c r="E1853" s="206" t="str">
        <f>IF(AND(A1853&lt;&gt;"",ISNUMBER(A1853)),VLOOKUP(A1853,Studies!A:BR,5,FALSE),"")</f>
        <v>Hydroxy-Itraconazole</v>
      </c>
      <c r="F1853" s="207" t="str">
        <f>IF(AND(A1853&lt;&gt;"",ISNUMBER(A1853)),VLOOKUP(A1853,Studies!A:BR,6,FALSE),"")</f>
        <v>Plasma</v>
      </c>
      <c r="G1853" s="194">
        <v>168</v>
      </c>
      <c r="H1853" s="194" t="s">
        <v>60</v>
      </c>
      <c r="I1853" s="187">
        <v>712.15170621871948</v>
      </c>
      <c r="J1853" s="187" t="s">
        <v>1026</v>
      </c>
      <c r="K1853" s="187" t="s">
        <v>116</v>
      </c>
      <c r="L1853" s="195"/>
      <c r="M1853" s="195"/>
      <c r="N1853" s="195"/>
      <c r="O1853" s="199"/>
      <c r="P1853" s="188"/>
      <c r="Q1853" s="174">
        <f>IF(ISNUMBER(VLOOKUP(A1853,NotghiID!A:A,1,FALSE)),1,0)</f>
        <v>0</v>
      </c>
    </row>
    <row r="1854" spans="1:17" ht="14.25" x14ac:dyDescent="0.2">
      <c r="A1854" s="183">
        <v>532</v>
      </c>
      <c r="B1854" s="232" t="str">
        <f>IF(AND(A1854&lt;&gt;"",ISNUMBER(A1854)),VLOOKUP(A1854,Studies!A:BR,2,FALSE),"")</f>
        <v>Mouton 2006</v>
      </c>
      <c r="C1854" s="232" t="str">
        <f>IF(AND(A1854&lt;&gt;"",ISNUMBER(A1854)),VLOOKUP(A1854,Studies!A:BR,3,FALSE),"")</f>
        <v>https://www.ncbi.nlm.nih.gov/pubmed/16982783</v>
      </c>
      <c r="D1854" s="232" t="str">
        <f>IF(AND(A1854&lt;&gt;"",ISNUMBER(A1854)),VLOOKUP(A1854,Studies!A:BR,4,FALSE),"")</f>
        <v>MAD_m_A 100 mg</v>
      </c>
      <c r="E1854" s="206" t="str">
        <f>IF(AND(A1854&lt;&gt;"",ISNUMBER(A1854)),VLOOKUP(A1854,Studies!A:BR,5,FALSE),"")</f>
        <v>Hydroxy-Itraconazole</v>
      </c>
      <c r="F1854" s="207" t="str">
        <f>IF(AND(A1854&lt;&gt;"",ISNUMBER(A1854)),VLOOKUP(A1854,Studies!A:BR,6,FALSE),"")</f>
        <v>Plasma</v>
      </c>
      <c r="G1854" s="194">
        <v>176</v>
      </c>
      <c r="H1854" s="194" t="s">
        <v>60</v>
      </c>
      <c r="I1854" s="187">
        <v>623.46309423446655</v>
      </c>
      <c r="J1854" s="187" t="s">
        <v>1026</v>
      </c>
      <c r="K1854" s="187" t="s">
        <v>116</v>
      </c>
      <c r="L1854" s="195"/>
      <c r="M1854" s="195"/>
      <c r="N1854" s="195"/>
      <c r="O1854" s="199"/>
      <c r="P1854" s="188"/>
      <c r="Q1854" s="174">
        <f>IF(ISNUMBER(VLOOKUP(A1854,NotghiID!A:A,1,FALSE)),1,0)</f>
        <v>0</v>
      </c>
    </row>
    <row r="1855" spans="1:17" ht="14.25" x14ac:dyDescent="0.2">
      <c r="A1855" s="183">
        <v>532</v>
      </c>
      <c r="B1855" s="232" t="str">
        <f>IF(AND(A1855&lt;&gt;"",ISNUMBER(A1855)),VLOOKUP(A1855,Studies!A:BR,2,FALSE),"")</f>
        <v>Mouton 2006</v>
      </c>
      <c r="C1855" s="232" t="str">
        <f>IF(AND(A1855&lt;&gt;"",ISNUMBER(A1855)),VLOOKUP(A1855,Studies!A:BR,3,FALSE),"")</f>
        <v>https://www.ncbi.nlm.nih.gov/pubmed/16982783</v>
      </c>
      <c r="D1855" s="232" t="str">
        <f>IF(AND(A1855&lt;&gt;"",ISNUMBER(A1855)),VLOOKUP(A1855,Studies!A:BR,4,FALSE),"")</f>
        <v>MAD_m_A 100 mg</v>
      </c>
      <c r="E1855" s="206" t="str">
        <f>IF(AND(A1855&lt;&gt;"",ISNUMBER(A1855)),VLOOKUP(A1855,Studies!A:BR,5,FALSE),"")</f>
        <v>Hydroxy-Itraconazole</v>
      </c>
      <c r="F1855" s="207" t="str">
        <f>IF(AND(A1855&lt;&gt;"",ISNUMBER(A1855)),VLOOKUP(A1855,Studies!A:BR,6,FALSE),"")</f>
        <v>Plasma</v>
      </c>
      <c r="G1855" s="194">
        <v>192</v>
      </c>
      <c r="H1855" s="194" t="s">
        <v>60</v>
      </c>
      <c r="I1855" s="187">
        <v>428.89991402626038</v>
      </c>
      <c r="J1855" s="187" t="s">
        <v>1026</v>
      </c>
      <c r="K1855" s="187" t="s">
        <v>116</v>
      </c>
      <c r="L1855" s="195"/>
      <c r="M1855" s="195"/>
      <c r="N1855" s="195"/>
      <c r="O1855" s="199"/>
      <c r="P1855" s="188"/>
      <c r="Q1855" s="174">
        <f>IF(ISNUMBER(VLOOKUP(A1855,NotghiID!A:A,1,FALSE)),1,0)</f>
        <v>0</v>
      </c>
    </row>
    <row r="1856" spans="1:17" ht="14.25" x14ac:dyDescent="0.2">
      <c r="A1856" s="183">
        <v>532</v>
      </c>
      <c r="B1856" s="232" t="str">
        <f>IF(AND(A1856&lt;&gt;"",ISNUMBER(A1856)),VLOOKUP(A1856,Studies!A:BR,2,FALSE),"")</f>
        <v>Mouton 2006</v>
      </c>
      <c r="C1856" s="232" t="str">
        <f>IF(AND(A1856&lt;&gt;"",ISNUMBER(A1856)),VLOOKUP(A1856,Studies!A:BR,3,FALSE),"")</f>
        <v>https://www.ncbi.nlm.nih.gov/pubmed/16982783</v>
      </c>
      <c r="D1856" s="232" t="str">
        <f>IF(AND(A1856&lt;&gt;"",ISNUMBER(A1856)),VLOOKUP(A1856,Studies!A:BR,4,FALSE),"")</f>
        <v>MAD_m_A 100 mg</v>
      </c>
      <c r="E1856" s="206" t="str">
        <f>IF(AND(A1856&lt;&gt;"",ISNUMBER(A1856)),VLOOKUP(A1856,Studies!A:BR,5,FALSE),"")</f>
        <v>Hydroxy-Itraconazole</v>
      </c>
      <c r="F1856" s="207" t="str">
        <f>IF(AND(A1856&lt;&gt;"",ISNUMBER(A1856)),VLOOKUP(A1856,Studies!A:BR,6,FALSE),"")</f>
        <v>Plasma</v>
      </c>
      <c r="G1856" s="194">
        <v>216</v>
      </c>
      <c r="H1856" s="194" t="s">
        <v>60</v>
      </c>
      <c r="I1856" s="187">
        <v>271.51879668235779</v>
      </c>
      <c r="J1856" s="187" t="s">
        <v>1026</v>
      </c>
      <c r="K1856" s="187" t="s">
        <v>116</v>
      </c>
      <c r="L1856" s="195"/>
      <c r="M1856" s="195"/>
      <c r="N1856" s="195"/>
      <c r="O1856" s="199"/>
      <c r="P1856" s="188"/>
      <c r="Q1856" s="174">
        <f>IF(ISNUMBER(VLOOKUP(A1856,NotghiID!A:A,1,FALSE)),1,0)</f>
        <v>0</v>
      </c>
    </row>
    <row r="1857" spans="1:17" ht="14.25" x14ac:dyDescent="0.2">
      <c r="A1857" s="183">
        <v>532</v>
      </c>
      <c r="B1857" s="232" t="str">
        <f>IF(AND(A1857&lt;&gt;"",ISNUMBER(A1857)),VLOOKUP(A1857,Studies!A:BR,2,FALSE),"")</f>
        <v>Mouton 2006</v>
      </c>
      <c r="C1857" s="232" t="str">
        <f>IF(AND(A1857&lt;&gt;"",ISNUMBER(A1857)),VLOOKUP(A1857,Studies!A:BR,3,FALSE),"")</f>
        <v>https://www.ncbi.nlm.nih.gov/pubmed/16982783</v>
      </c>
      <c r="D1857" s="232" t="str">
        <f>IF(AND(A1857&lt;&gt;"",ISNUMBER(A1857)),VLOOKUP(A1857,Studies!A:BR,4,FALSE),"")</f>
        <v>MAD_m_A 100 mg</v>
      </c>
      <c r="E1857" s="206" t="str">
        <f>IF(AND(A1857&lt;&gt;"",ISNUMBER(A1857)),VLOOKUP(A1857,Studies!A:BR,5,FALSE),"")</f>
        <v>Hydroxy-Itraconazole</v>
      </c>
      <c r="F1857" s="207" t="str">
        <f>IF(AND(A1857&lt;&gt;"",ISNUMBER(A1857)),VLOOKUP(A1857,Studies!A:BR,6,FALSE),"")</f>
        <v>Plasma</v>
      </c>
      <c r="G1857" s="194">
        <v>240</v>
      </c>
      <c r="H1857" s="194" t="s">
        <v>60</v>
      </c>
      <c r="I1857" s="187">
        <v>139.63399827480316</v>
      </c>
      <c r="J1857" s="187" t="s">
        <v>1026</v>
      </c>
      <c r="K1857" s="187" t="s">
        <v>116</v>
      </c>
      <c r="L1857" s="195"/>
      <c r="M1857" s="195"/>
      <c r="N1857" s="195"/>
      <c r="O1857" s="199"/>
      <c r="P1857" s="188"/>
      <c r="Q1857" s="174">
        <f>IF(ISNUMBER(VLOOKUP(A1857,NotghiID!A:A,1,FALSE)),1,0)</f>
        <v>0</v>
      </c>
    </row>
    <row r="1858" spans="1:17" ht="14.25" x14ac:dyDescent="0.2">
      <c r="A1858" s="183">
        <v>532</v>
      </c>
      <c r="B1858" s="232" t="str">
        <f>IF(AND(A1858&lt;&gt;"",ISNUMBER(A1858)),VLOOKUP(A1858,Studies!A:BR,2,FALSE),"")</f>
        <v>Mouton 2006</v>
      </c>
      <c r="C1858" s="232" t="str">
        <f>IF(AND(A1858&lt;&gt;"",ISNUMBER(A1858)),VLOOKUP(A1858,Studies!A:BR,3,FALSE),"")</f>
        <v>https://www.ncbi.nlm.nih.gov/pubmed/16982783</v>
      </c>
      <c r="D1858" s="232" t="str">
        <f>IF(AND(A1858&lt;&gt;"",ISNUMBER(A1858)),VLOOKUP(A1858,Studies!A:BR,4,FALSE),"")</f>
        <v>MAD_m_A 100 mg</v>
      </c>
      <c r="E1858" s="206" t="str">
        <f>IF(AND(A1858&lt;&gt;"",ISNUMBER(A1858)),VLOOKUP(A1858,Studies!A:BR,5,FALSE),"")</f>
        <v>Hydroxy-Itraconazole</v>
      </c>
      <c r="F1858" s="207" t="str">
        <f>IF(AND(A1858&lt;&gt;"",ISNUMBER(A1858)),VLOOKUP(A1858,Studies!A:BR,6,FALSE),"")</f>
        <v>Plasma</v>
      </c>
      <c r="G1858" s="194">
        <v>312</v>
      </c>
      <c r="H1858" s="194" t="s">
        <v>60</v>
      </c>
      <c r="I1858" s="187">
        <v>34.553591161966324</v>
      </c>
      <c r="J1858" s="187" t="s">
        <v>1026</v>
      </c>
      <c r="K1858" s="187" t="s">
        <v>116</v>
      </c>
      <c r="L1858" s="195"/>
      <c r="M1858" s="195"/>
      <c r="N1858" s="195"/>
      <c r="O1858" s="199"/>
      <c r="P1858" s="188"/>
      <c r="Q1858" s="174">
        <f>IF(ISNUMBER(VLOOKUP(A1858,NotghiID!A:A,1,FALSE)),1,0)</f>
        <v>0</v>
      </c>
    </row>
    <row r="1859" spans="1:17" ht="14.25" x14ac:dyDescent="0.2">
      <c r="A1859" s="183">
        <v>534</v>
      </c>
      <c r="B1859" s="232" t="str">
        <f>IF(AND(A1859&lt;&gt;"",ISNUMBER(A1859)),VLOOKUP(A1859,Studies!A:BR,2,FALSE),"")</f>
        <v>Mouton 2006</v>
      </c>
      <c r="C1859" s="232" t="str">
        <f>IF(AND(A1859&lt;&gt;"",ISNUMBER(A1859)),VLOOKUP(A1859,Studies!A:BR,3,FALSE),"")</f>
        <v>https://www.ncbi.nlm.nih.gov/pubmed/16982783</v>
      </c>
      <c r="D1859" s="232" t="str">
        <f>IF(AND(A1859&lt;&gt;"",ISNUMBER(A1859)),VLOOKUP(A1859,Studies!A:BR,4,FALSE),"")</f>
        <v>MAD_m_C 300 mg</v>
      </c>
      <c r="E1859" s="206" t="str">
        <f>IF(AND(A1859&lt;&gt;"",ISNUMBER(A1859)),VLOOKUP(A1859,Studies!A:BR,5,FALSE),"")</f>
        <v>Hydroxy-Itraconazole</v>
      </c>
      <c r="F1859" s="207" t="str">
        <f>IF(AND(A1859&lt;&gt;"",ISNUMBER(A1859)),VLOOKUP(A1859,Studies!A:BR,6,FALSE),"")</f>
        <v>Plasma</v>
      </c>
      <c r="G1859" s="194">
        <v>3</v>
      </c>
      <c r="H1859" s="194" t="s">
        <v>60</v>
      </c>
      <c r="I1859" s="187">
        <v>523.59857177734375</v>
      </c>
      <c r="J1859" s="187" t="s">
        <v>1026</v>
      </c>
      <c r="K1859" s="187" t="s">
        <v>116</v>
      </c>
      <c r="L1859" s="195"/>
      <c r="M1859" s="195"/>
      <c r="N1859" s="195"/>
      <c r="O1859" s="199"/>
      <c r="P1859" s="188"/>
      <c r="Q1859" s="174">
        <f>IF(ISNUMBER(VLOOKUP(A1859,NotghiID!A:A,1,FALSE)),1,0)</f>
        <v>0</v>
      </c>
    </row>
    <row r="1860" spans="1:17" ht="14.25" x14ac:dyDescent="0.2">
      <c r="A1860" s="183">
        <v>534</v>
      </c>
      <c r="B1860" s="232" t="str">
        <f>IF(AND(A1860&lt;&gt;"",ISNUMBER(A1860)),VLOOKUP(A1860,Studies!A:BR,2,FALSE),"")</f>
        <v>Mouton 2006</v>
      </c>
      <c r="C1860" s="232" t="str">
        <f>IF(AND(A1860&lt;&gt;"",ISNUMBER(A1860)),VLOOKUP(A1860,Studies!A:BR,3,FALSE),"")</f>
        <v>https://www.ncbi.nlm.nih.gov/pubmed/16982783</v>
      </c>
      <c r="D1860" s="232" t="str">
        <f>IF(AND(A1860&lt;&gt;"",ISNUMBER(A1860)),VLOOKUP(A1860,Studies!A:BR,4,FALSE),"")</f>
        <v>MAD_m_C 300 mg</v>
      </c>
      <c r="E1860" s="206" t="str">
        <f>IF(AND(A1860&lt;&gt;"",ISNUMBER(A1860)),VLOOKUP(A1860,Studies!A:BR,5,FALSE),"")</f>
        <v>Hydroxy-Itraconazole</v>
      </c>
      <c r="F1860" s="207" t="str">
        <f>IF(AND(A1860&lt;&gt;"",ISNUMBER(A1860)),VLOOKUP(A1860,Studies!A:BR,6,FALSE),"")</f>
        <v>Plasma</v>
      </c>
      <c r="G1860" s="194">
        <v>8</v>
      </c>
      <c r="H1860" s="194" t="s">
        <v>60</v>
      </c>
      <c r="I1860" s="187">
        <v>761.12042236328125</v>
      </c>
      <c r="J1860" s="187" t="s">
        <v>1026</v>
      </c>
      <c r="K1860" s="187" t="s">
        <v>116</v>
      </c>
      <c r="L1860" s="195"/>
      <c r="M1860" s="195"/>
      <c r="N1860" s="195"/>
      <c r="O1860" s="199"/>
      <c r="P1860" s="188"/>
      <c r="Q1860" s="174">
        <f>IF(ISNUMBER(VLOOKUP(A1860,NotghiID!A:A,1,FALSE)),1,0)</f>
        <v>0</v>
      </c>
    </row>
    <row r="1861" spans="1:17" ht="14.25" x14ac:dyDescent="0.2">
      <c r="A1861" s="183">
        <v>534</v>
      </c>
      <c r="B1861" s="232" t="str">
        <f>IF(AND(A1861&lt;&gt;"",ISNUMBER(A1861)),VLOOKUP(A1861,Studies!A:BR,2,FALSE),"")</f>
        <v>Mouton 2006</v>
      </c>
      <c r="C1861" s="232" t="str">
        <f>IF(AND(A1861&lt;&gt;"",ISNUMBER(A1861)),VLOOKUP(A1861,Studies!A:BR,3,FALSE),"")</f>
        <v>https://www.ncbi.nlm.nih.gov/pubmed/16982783</v>
      </c>
      <c r="D1861" s="232" t="str">
        <f>IF(AND(A1861&lt;&gt;"",ISNUMBER(A1861)),VLOOKUP(A1861,Studies!A:BR,4,FALSE),"")</f>
        <v>MAD_m_C 300 mg</v>
      </c>
      <c r="E1861" s="206" t="str">
        <f>IF(AND(A1861&lt;&gt;"",ISNUMBER(A1861)),VLOOKUP(A1861,Studies!A:BR,5,FALSE),"")</f>
        <v>Hydroxy-Itraconazole</v>
      </c>
      <c r="F1861" s="207" t="str">
        <f>IF(AND(A1861&lt;&gt;"",ISNUMBER(A1861)),VLOOKUP(A1861,Studies!A:BR,6,FALSE),"")</f>
        <v>Plasma</v>
      </c>
      <c r="G1861" s="194">
        <v>11</v>
      </c>
      <c r="H1861" s="194" t="s">
        <v>60</v>
      </c>
      <c r="I1861" s="187">
        <v>1043.8489990234375</v>
      </c>
      <c r="J1861" s="187" t="s">
        <v>1026</v>
      </c>
      <c r="K1861" s="187" t="s">
        <v>116</v>
      </c>
      <c r="L1861" s="195"/>
      <c r="M1861" s="195"/>
      <c r="N1861" s="195"/>
      <c r="O1861" s="199"/>
      <c r="P1861" s="188"/>
      <c r="Q1861" s="174">
        <f>IF(ISNUMBER(VLOOKUP(A1861,NotghiID!A:A,1,FALSE)),1,0)</f>
        <v>0</v>
      </c>
    </row>
    <row r="1862" spans="1:17" ht="14.25" x14ac:dyDescent="0.2">
      <c r="A1862" s="183">
        <v>534</v>
      </c>
      <c r="B1862" s="232" t="str">
        <f>IF(AND(A1862&lt;&gt;"",ISNUMBER(A1862)),VLOOKUP(A1862,Studies!A:BR,2,FALSE),"")</f>
        <v>Mouton 2006</v>
      </c>
      <c r="C1862" s="232" t="str">
        <f>IF(AND(A1862&lt;&gt;"",ISNUMBER(A1862)),VLOOKUP(A1862,Studies!A:BR,3,FALSE),"")</f>
        <v>https://www.ncbi.nlm.nih.gov/pubmed/16982783</v>
      </c>
      <c r="D1862" s="232" t="str">
        <f>IF(AND(A1862&lt;&gt;"",ISNUMBER(A1862)),VLOOKUP(A1862,Studies!A:BR,4,FALSE),"")</f>
        <v>MAD_m_C 300 mg</v>
      </c>
      <c r="E1862" s="206" t="str">
        <f>IF(AND(A1862&lt;&gt;"",ISNUMBER(A1862)),VLOOKUP(A1862,Studies!A:BR,5,FALSE),"")</f>
        <v>Hydroxy-Itraconazole</v>
      </c>
      <c r="F1862" s="207" t="str">
        <f>IF(AND(A1862&lt;&gt;"",ISNUMBER(A1862)),VLOOKUP(A1862,Studies!A:BR,6,FALSE),"")</f>
        <v>Plasma</v>
      </c>
      <c r="G1862" s="194">
        <v>24</v>
      </c>
      <c r="H1862" s="194" t="s">
        <v>60</v>
      </c>
      <c r="I1862" s="187">
        <v>1328.405029296875</v>
      </c>
      <c r="J1862" s="187" t="s">
        <v>1026</v>
      </c>
      <c r="K1862" s="187" t="s">
        <v>116</v>
      </c>
      <c r="L1862" s="195"/>
      <c r="M1862" s="195"/>
      <c r="N1862" s="195"/>
      <c r="O1862" s="199"/>
      <c r="P1862" s="188"/>
      <c r="Q1862" s="174">
        <f>IF(ISNUMBER(VLOOKUP(A1862,NotghiID!A:A,1,FALSE)),1,0)</f>
        <v>0</v>
      </c>
    </row>
    <row r="1863" spans="1:17" ht="14.25" x14ac:dyDescent="0.2">
      <c r="A1863" s="183">
        <v>534</v>
      </c>
      <c r="B1863" s="232" t="str">
        <f>IF(AND(A1863&lt;&gt;"",ISNUMBER(A1863)),VLOOKUP(A1863,Studies!A:BR,2,FALSE),"")</f>
        <v>Mouton 2006</v>
      </c>
      <c r="C1863" s="232" t="str">
        <f>IF(AND(A1863&lt;&gt;"",ISNUMBER(A1863)),VLOOKUP(A1863,Studies!A:BR,3,FALSE),"")</f>
        <v>https://www.ncbi.nlm.nih.gov/pubmed/16982783</v>
      </c>
      <c r="D1863" s="232" t="str">
        <f>IF(AND(A1863&lt;&gt;"",ISNUMBER(A1863)),VLOOKUP(A1863,Studies!A:BR,4,FALSE),"")</f>
        <v>MAD_m_C 300 mg</v>
      </c>
      <c r="E1863" s="206" t="str">
        <f>IF(AND(A1863&lt;&gt;"",ISNUMBER(A1863)),VLOOKUP(A1863,Studies!A:BR,5,FALSE),"")</f>
        <v>Hydroxy-Itraconazole</v>
      </c>
      <c r="F1863" s="207" t="str">
        <f>IF(AND(A1863&lt;&gt;"",ISNUMBER(A1863)),VLOOKUP(A1863,Studies!A:BR,6,FALSE),"")</f>
        <v>Plasma</v>
      </c>
      <c r="G1863" s="194">
        <v>27</v>
      </c>
      <c r="H1863" s="194" t="s">
        <v>60</v>
      </c>
      <c r="I1863" s="187">
        <v>1530.0389404296875</v>
      </c>
      <c r="J1863" s="187" t="s">
        <v>1026</v>
      </c>
      <c r="K1863" s="187" t="s">
        <v>116</v>
      </c>
      <c r="L1863" s="195"/>
      <c r="M1863" s="195"/>
      <c r="N1863" s="195"/>
      <c r="O1863" s="199"/>
      <c r="P1863" s="188"/>
      <c r="Q1863" s="174">
        <f>IF(ISNUMBER(VLOOKUP(A1863,NotghiID!A:A,1,FALSE)),1,0)</f>
        <v>0</v>
      </c>
    </row>
    <row r="1864" spans="1:17" ht="14.25" x14ac:dyDescent="0.2">
      <c r="A1864" s="183">
        <v>534</v>
      </c>
      <c r="B1864" s="232" t="str">
        <f>IF(AND(A1864&lt;&gt;"",ISNUMBER(A1864)),VLOOKUP(A1864,Studies!A:BR,2,FALSE),"")</f>
        <v>Mouton 2006</v>
      </c>
      <c r="C1864" s="232" t="str">
        <f>IF(AND(A1864&lt;&gt;"",ISNUMBER(A1864)),VLOOKUP(A1864,Studies!A:BR,3,FALSE),"")</f>
        <v>https://www.ncbi.nlm.nih.gov/pubmed/16982783</v>
      </c>
      <c r="D1864" s="232" t="str">
        <f>IF(AND(A1864&lt;&gt;"",ISNUMBER(A1864)),VLOOKUP(A1864,Studies!A:BR,4,FALSE),"")</f>
        <v>MAD_m_C 300 mg</v>
      </c>
      <c r="E1864" s="206" t="str">
        <f>IF(AND(A1864&lt;&gt;"",ISNUMBER(A1864)),VLOOKUP(A1864,Studies!A:BR,5,FALSE),"")</f>
        <v>Hydroxy-Itraconazole</v>
      </c>
      <c r="F1864" s="207" t="str">
        <f>IF(AND(A1864&lt;&gt;"",ISNUMBER(A1864)),VLOOKUP(A1864,Studies!A:BR,6,FALSE),"")</f>
        <v>Plasma</v>
      </c>
      <c r="G1864" s="194">
        <v>32</v>
      </c>
      <c r="H1864" s="194" t="s">
        <v>60</v>
      </c>
      <c r="I1864" s="187">
        <v>1555.68896484375</v>
      </c>
      <c r="J1864" s="187" t="s">
        <v>1026</v>
      </c>
      <c r="K1864" s="187" t="s">
        <v>116</v>
      </c>
      <c r="L1864" s="195"/>
      <c r="M1864" s="195"/>
      <c r="N1864" s="195"/>
      <c r="O1864" s="199"/>
      <c r="P1864" s="188"/>
      <c r="Q1864" s="174">
        <f>IF(ISNUMBER(VLOOKUP(A1864,NotghiID!A:A,1,FALSE)),1,0)</f>
        <v>0</v>
      </c>
    </row>
    <row r="1865" spans="1:17" ht="14.25" x14ac:dyDescent="0.2">
      <c r="A1865" s="183">
        <v>534</v>
      </c>
      <c r="B1865" s="232" t="str">
        <f>IF(AND(A1865&lt;&gt;"",ISNUMBER(A1865)),VLOOKUP(A1865,Studies!A:BR,2,FALSE),"")</f>
        <v>Mouton 2006</v>
      </c>
      <c r="C1865" s="232" t="str">
        <f>IF(AND(A1865&lt;&gt;"",ISNUMBER(A1865)),VLOOKUP(A1865,Studies!A:BR,3,FALSE),"")</f>
        <v>https://www.ncbi.nlm.nih.gov/pubmed/16982783</v>
      </c>
      <c r="D1865" s="232" t="str">
        <f>IF(AND(A1865&lt;&gt;"",ISNUMBER(A1865)),VLOOKUP(A1865,Studies!A:BR,4,FALSE),"")</f>
        <v>MAD_m_C 300 mg</v>
      </c>
      <c r="E1865" s="206" t="str">
        <f>IF(AND(A1865&lt;&gt;"",ISNUMBER(A1865)),VLOOKUP(A1865,Studies!A:BR,5,FALSE),"")</f>
        <v>Hydroxy-Itraconazole</v>
      </c>
      <c r="F1865" s="207" t="str">
        <f>IF(AND(A1865&lt;&gt;"",ISNUMBER(A1865)),VLOOKUP(A1865,Studies!A:BR,6,FALSE),"")</f>
        <v>Plasma</v>
      </c>
      <c r="G1865" s="194">
        <v>35</v>
      </c>
      <c r="H1865" s="194" t="s">
        <v>60</v>
      </c>
      <c r="I1865" s="187">
        <v>1821.8590087890625</v>
      </c>
      <c r="J1865" s="187" t="s">
        <v>1026</v>
      </c>
      <c r="K1865" s="187" t="s">
        <v>116</v>
      </c>
      <c r="L1865" s="195"/>
      <c r="M1865" s="195"/>
      <c r="N1865" s="195"/>
      <c r="O1865" s="199"/>
      <c r="P1865" s="188"/>
      <c r="Q1865" s="174">
        <f>IF(ISNUMBER(VLOOKUP(A1865,NotghiID!A:A,1,FALSE)),1,0)</f>
        <v>0</v>
      </c>
    </row>
    <row r="1866" spans="1:17" ht="14.25" x14ac:dyDescent="0.2">
      <c r="A1866" s="183">
        <v>534</v>
      </c>
      <c r="B1866" s="232" t="str">
        <f>IF(AND(A1866&lt;&gt;"",ISNUMBER(A1866)),VLOOKUP(A1866,Studies!A:BR,2,FALSE),"")</f>
        <v>Mouton 2006</v>
      </c>
      <c r="C1866" s="232" t="str">
        <f>IF(AND(A1866&lt;&gt;"",ISNUMBER(A1866)),VLOOKUP(A1866,Studies!A:BR,3,FALSE),"")</f>
        <v>https://www.ncbi.nlm.nih.gov/pubmed/16982783</v>
      </c>
      <c r="D1866" s="232" t="str">
        <f>IF(AND(A1866&lt;&gt;"",ISNUMBER(A1866)),VLOOKUP(A1866,Studies!A:BR,4,FALSE),"")</f>
        <v>MAD_m_C 300 mg</v>
      </c>
      <c r="E1866" s="206" t="str">
        <f>IF(AND(A1866&lt;&gt;"",ISNUMBER(A1866)),VLOOKUP(A1866,Studies!A:BR,5,FALSE),"")</f>
        <v>Hydroxy-Itraconazole</v>
      </c>
      <c r="F1866" s="207" t="str">
        <f>IF(AND(A1866&lt;&gt;"",ISNUMBER(A1866)),VLOOKUP(A1866,Studies!A:BR,6,FALSE),"")</f>
        <v>Plasma</v>
      </c>
      <c r="G1866" s="194">
        <v>48</v>
      </c>
      <c r="H1866" s="194" t="s">
        <v>60</v>
      </c>
      <c r="I1866" s="187">
        <v>2012.9639892578125</v>
      </c>
      <c r="J1866" s="187" t="s">
        <v>1026</v>
      </c>
      <c r="K1866" s="187" t="s">
        <v>116</v>
      </c>
      <c r="L1866" s="195"/>
      <c r="M1866" s="195"/>
      <c r="N1866" s="195"/>
      <c r="O1866" s="199"/>
      <c r="P1866" s="188"/>
      <c r="Q1866" s="174">
        <f>IF(ISNUMBER(VLOOKUP(A1866,NotghiID!A:A,1,FALSE)),1,0)</f>
        <v>0</v>
      </c>
    </row>
    <row r="1867" spans="1:17" ht="14.25" x14ac:dyDescent="0.2">
      <c r="A1867" s="183">
        <v>534</v>
      </c>
      <c r="B1867" s="232" t="str">
        <f>IF(AND(A1867&lt;&gt;"",ISNUMBER(A1867)),VLOOKUP(A1867,Studies!A:BR,2,FALSE),"")</f>
        <v>Mouton 2006</v>
      </c>
      <c r="C1867" s="232" t="str">
        <f>IF(AND(A1867&lt;&gt;"",ISNUMBER(A1867)),VLOOKUP(A1867,Studies!A:BR,3,FALSE),"")</f>
        <v>https://www.ncbi.nlm.nih.gov/pubmed/16982783</v>
      </c>
      <c r="D1867" s="232" t="str">
        <f>IF(AND(A1867&lt;&gt;"",ISNUMBER(A1867)),VLOOKUP(A1867,Studies!A:BR,4,FALSE),"")</f>
        <v>MAD_m_C 300 mg</v>
      </c>
      <c r="E1867" s="206" t="str">
        <f>IF(AND(A1867&lt;&gt;"",ISNUMBER(A1867)),VLOOKUP(A1867,Studies!A:BR,5,FALSE),"")</f>
        <v>Hydroxy-Itraconazole</v>
      </c>
      <c r="F1867" s="207" t="str">
        <f>IF(AND(A1867&lt;&gt;"",ISNUMBER(A1867)),VLOOKUP(A1867,Studies!A:BR,6,FALSE),"")</f>
        <v>Plasma</v>
      </c>
      <c r="G1867" s="194">
        <v>51</v>
      </c>
      <c r="H1867" s="194" t="s">
        <v>60</v>
      </c>
      <c r="I1867" s="187">
        <v>2242.680908203125</v>
      </c>
      <c r="J1867" s="187" t="s">
        <v>1026</v>
      </c>
      <c r="K1867" s="187" t="s">
        <v>116</v>
      </c>
      <c r="L1867" s="195"/>
      <c r="M1867" s="195"/>
      <c r="N1867" s="195"/>
      <c r="O1867" s="199"/>
      <c r="P1867" s="188"/>
      <c r="Q1867" s="174">
        <f>IF(ISNUMBER(VLOOKUP(A1867,NotghiID!A:A,1,FALSE)),1,0)</f>
        <v>0</v>
      </c>
    </row>
    <row r="1868" spans="1:17" ht="14.25" x14ac:dyDescent="0.2">
      <c r="A1868" s="183">
        <v>534</v>
      </c>
      <c r="B1868" s="232" t="str">
        <f>IF(AND(A1868&lt;&gt;"",ISNUMBER(A1868)),VLOOKUP(A1868,Studies!A:BR,2,FALSE),"")</f>
        <v>Mouton 2006</v>
      </c>
      <c r="C1868" s="232" t="str">
        <f>IF(AND(A1868&lt;&gt;"",ISNUMBER(A1868)),VLOOKUP(A1868,Studies!A:BR,3,FALSE),"")</f>
        <v>https://www.ncbi.nlm.nih.gov/pubmed/16982783</v>
      </c>
      <c r="D1868" s="232" t="str">
        <f>IF(AND(A1868&lt;&gt;"",ISNUMBER(A1868)),VLOOKUP(A1868,Studies!A:BR,4,FALSE),"")</f>
        <v>MAD_m_C 300 mg</v>
      </c>
      <c r="E1868" s="206" t="str">
        <f>IF(AND(A1868&lt;&gt;"",ISNUMBER(A1868)),VLOOKUP(A1868,Studies!A:BR,5,FALSE),"")</f>
        <v>Hydroxy-Itraconazole</v>
      </c>
      <c r="F1868" s="207" t="str">
        <f>IF(AND(A1868&lt;&gt;"",ISNUMBER(A1868)),VLOOKUP(A1868,Studies!A:BR,6,FALSE),"")</f>
        <v>Plasma</v>
      </c>
      <c r="G1868" s="194">
        <v>72</v>
      </c>
      <c r="H1868" s="194" t="s">
        <v>60</v>
      </c>
      <c r="I1868" s="187">
        <v>2318.50390625</v>
      </c>
      <c r="J1868" s="187" t="s">
        <v>1026</v>
      </c>
      <c r="K1868" s="187" t="s">
        <v>116</v>
      </c>
      <c r="L1868" s="195"/>
      <c r="M1868" s="195"/>
      <c r="N1868" s="195"/>
      <c r="O1868" s="199"/>
      <c r="P1868" s="188"/>
      <c r="Q1868" s="174">
        <f>IF(ISNUMBER(VLOOKUP(A1868,NotghiID!A:A,1,FALSE)),1,0)</f>
        <v>0</v>
      </c>
    </row>
    <row r="1869" spans="1:17" ht="14.25" x14ac:dyDescent="0.2">
      <c r="A1869" s="183">
        <v>534</v>
      </c>
      <c r="B1869" s="232" t="str">
        <f>IF(AND(A1869&lt;&gt;"",ISNUMBER(A1869)),VLOOKUP(A1869,Studies!A:BR,2,FALSE),"")</f>
        <v>Mouton 2006</v>
      </c>
      <c r="C1869" s="232" t="str">
        <f>IF(AND(A1869&lt;&gt;"",ISNUMBER(A1869)),VLOOKUP(A1869,Studies!A:BR,3,FALSE),"")</f>
        <v>https://www.ncbi.nlm.nih.gov/pubmed/16982783</v>
      </c>
      <c r="D1869" s="232" t="str">
        <f>IF(AND(A1869&lt;&gt;"",ISNUMBER(A1869)),VLOOKUP(A1869,Studies!A:BR,4,FALSE),"")</f>
        <v>MAD_m_C 300 mg</v>
      </c>
      <c r="E1869" s="206" t="str">
        <f>IF(AND(A1869&lt;&gt;"",ISNUMBER(A1869)),VLOOKUP(A1869,Studies!A:BR,5,FALSE),"")</f>
        <v>Hydroxy-Itraconazole</v>
      </c>
      <c r="F1869" s="207" t="str">
        <f>IF(AND(A1869&lt;&gt;"",ISNUMBER(A1869)),VLOOKUP(A1869,Studies!A:BR,6,FALSE),"")</f>
        <v>Plasma</v>
      </c>
      <c r="G1869" s="194">
        <v>75</v>
      </c>
      <c r="H1869" s="194" t="s">
        <v>60</v>
      </c>
      <c r="I1869" s="187">
        <v>2477.927978515625</v>
      </c>
      <c r="J1869" s="187" t="s">
        <v>1026</v>
      </c>
      <c r="K1869" s="187" t="s">
        <v>116</v>
      </c>
      <c r="L1869" s="195"/>
      <c r="M1869" s="195"/>
      <c r="N1869" s="195"/>
      <c r="O1869" s="199"/>
      <c r="P1869" s="188"/>
      <c r="Q1869" s="174">
        <f>IF(ISNUMBER(VLOOKUP(A1869,NotghiID!A:A,1,FALSE)),1,0)</f>
        <v>0</v>
      </c>
    </row>
    <row r="1870" spans="1:17" ht="14.25" x14ac:dyDescent="0.2">
      <c r="A1870" s="183">
        <v>534</v>
      </c>
      <c r="B1870" s="232" t="str">
        <f>IF(AND(A1870&lt;&gt;"",ISNUMBER(A1870)),VLOOKUP(A1870,Studies!A:BR,2,FALSE),"")</f>
        <v>Mouton 2006</v>
      </c>
      <c r="C1870" s="232" t="str">
        <f>IF(AND(A1870&lt;&gt;"",ISNUMBER(A1870)),VLOOKUP(A1870,Studies!A:BR,3,FALSE),"")</f>
        <v>https://www.ncbi.nlm.nih.gov/pubmed/16982783</v>
      </c>
      <c r="D1870" s="232" t="str">
        <f>IF(AND(A1870&lt;&gt;"",ISNUMBER(A1870)),VLOOKUP(A1870,Studies!A:BR,4,FALSE),"")</f>
        <v>MAD_m_C 300 mg</v>
      </c>
      <c r="E1870" s="206" t="str">
        <f>IF(AND(A1870&lt;&gt;"",ISNUMBER(A1870)),VLOOKUP(A1870,Studies!A:BR,5,FALSE),"")</f>
        <v>Hydroxy-Itraconazole</v>
      </c>
      <c r="F1870" s="207" t="str">
        <f>IF(AND(A1870&lt;&gt;"",ISNUMBER(A1870)),VLOOKUP(A1870,Studies!A:BR,6,FALSE),"")</f>
        <v>Plasma</v>
      </c>
      <c r="G1870" s="194">
        <v>96</v>
      </c>
      <c r="H1870" s="194" t="s">
        <v>60</v>
      </c>
      <c r="I1870" s="187">
        <v>2477.927978515625</v>
      </c>
      <c r="J1870" s="187" t="s">
        <v>1026</v>
      </c>
      <c r="K1870" s="187" t="s">
        <v>116</v>
      </c>
      <c r="L1870" s="195"/>
      <c r="M1870" s="195"/>
      <c r="N1870" s="195"/>
      <c r="O1870" s="199"/>
      <c r="P1870" s="188"/>
      <c r="Q1870" s="174">
        <f>IF(ISNUMBER(VLOOKUP(A1870,NotghiID!A:A,1,FALSE)),1,0)</f>
        <v>0</v>
      </c>
    </row>
    <row r="1871" spans="1:17" ht="14.25" x14ac:dyDescent="0.2">
      <c r="A1871" s="183">
        <v>534</v>
      </c>
      <c r="B1871" s="232" t="str">
        <f>IF(AND(A1871&lt;&gt;"",ISNUMBER(A1871)),VLOOKUP(A1871,Studies!A:BR,2,FALSE),"")</f>
        <v>Mouton 2006</v>
      </c>
      <c r="C1871" s="232" t="str">
        <f>IF(AND(A1871&lt;&gt;"",ISNUMBER(A1871)),VLOOKUP(A1871,Studies!A:BR,3,FALSE),"")</f>
        <v>https://www.ncbi.nlm.nih.gov/pubmed/16982783</v>
      </c>
      <c r="D1871" s="232" t="str">
        <f>IF(AND(A1871&lt;&gt;"",ISNUMBER(A1871)),VLOOKUP(A1871,Studies!A:BR,4,FALSE),"")</f>
        <v>MAD_m_C 300 mg</v>
      </c>
      <c r="E1871" s="206" t="str">
        <f>IF(AND(A1871&lt;&gt;"",ISNUMBER(A1871)),VLOOKUP(A1871,Studies!A:BR,5,FALSE),"")</f>
        <v>Hydroxy-Itraconazole</v>
      </c>
      <c r="F1871" s="207" t="str">
        <f>IF(AND(A1871&lt;&gt;"",ISNUMBER(A1871)),VLOOKUP(A1871,Studies!A:BR,6,FALSE),"")</f>
        <v>Plasma</v>
      </c>
      <c r="G1871" s="194">
        <v>99</v>
      </c>
      <c r="H1871" s="194" t="s">
        <v>60</v>
      </c>
      <c r="I1871" s="187">
        <v>2783.75</v>
      </c>
      <c r="J1871" s="187" t="s">
        <v>1026</v>
      </c>
      <c r="K1871" s="187" t="s">
        <v>116</v>
      </c>
      <c r="L1871" s="195"/>
      <c r="M1871" s="195"/>
      <c r="N1871" s="195"/>
      <c r="O1871" s="199"/>
      <c r="P1871" s="188"/>
      <c r="Q1871" s="174">
        <f>IF(ISNUMBER(VLOOKUP(A1871,NotghiID!A:A,1,FALSE)),1,0)</f>
        <v>0</v>
      </c>
    </row>
    <row r="1872" spans="1:17" ht="14.25" x14ac:dyDescent="0.2">
      <c r="A1872" s="183">
        <v>534</v>
      </c>
      <c r="B1872" s="232" t="str">
        <f>IF(AND(A1872&lt;&gt;"",ISNUMBER(A1872)),VLOOKUP(A1872,Studies!A:BR,2,FALSE),"")</f>
        <v>Mouton 2006</v>
      </c>
      <c r="C1872" s="232" t="str">
        <f>IF(AND(A1872&lt;&gt;"",ISNUMBER(A1872)),VLOOKUP(A1872,Studies!A:BR,3,FALSE),"")</f>
        <v>https://www.ncbi.nlm.nih.gov/pubmed/16982783</v>
      </c>
      <c r="D1872" s="232" t="str">
        <f>IF(AND(A1872&lt;&gt;"",ISNUMBER(A1872)),VLOOKUP(A1872,Studies!A:BR,4,FALSE),"")</f>
        <v>MAD_m_C 300 mg</v>
      </c>
      <c r="E1872" s="206" t="str">
        <f>IF(AND(A1872&lt;&gt;"",ISNUMBER(A1872)),VLOOKUP(A1872,Studies!A:BR,5,FALSE),"")</f>
        <v>Hydroxy-Itraconazole</v>
      </c>
      <c r="F1872" s="207" t="str">
        <f>IF(AND(A1872&lt;&gt;"",ISNUMBER(A1872)),VLOOKUP(A1872,Studies!A:BR,6,FALSE),"")</f>
        <v>Plasma</v>
      </c>
      <c r="G1872" s="194">
        <v>120</v>
      </c>
      <c r="H1872" s="194" t="s">
        <v>60</v>
      </c>
      <c r="I1872" s="187">
        <v>2950.537109375</v>
      </c>
      <c r="J1872" s="187" t="s">
        <v>1026</v>
      </c>
      <c r="K1872" s="187" t="s">
        <v>116</v>
      </c>
      <c r="L1872" s="195"/>
      <c r="M1872" s="195"/>
      <c r="N1872" s="195"/>
      <c r="O1872" s="199"/>
      <c r="P1872" s="188"/>
      <c r="Q1872" s="174">
        <f>IF(ISNUMBER(VLOOKUP(A1872,NotghiID!A:A,1,FALSE)),1,0)</f>
        <v>0</v>
      </c>
    </row>
    <row r="1873" spans="1:17" ht="14.25" x14ac:dyDescent="0.2">
      <c r="A1873" s="183">
        <v>534</v>
      </c>
      <c r="B1873" s="232" t="str">
        <f>IF(AND(A1873&lt;&gt;"",ISNUMBER(A1873)),VLOOKUP(A1873,Studies!A:BR,2,FALSE),"")</f>
        <v>Mouton 2006</v>
      </c>
      <c r="C1873" s="232" t="str">
        <f>IF(AND(A1873&lt;&gt;"",ISNUMBER(A1873)),VLOOKUP(A1873,Studies!A:BR,3,FALSE),"")</f>
        <v>https://www.ncbi.nlm.nih.gov/pubmed/16982783</v>
      </c>
      <c r="D1873" s="232" t="str">
        <f>IF(AND(A1873&lt;&gt;"",ISNUMBER(A1873)),VLOOKUP(A1873,Studies!A:BR,4,FALSE),"")</f>
        <v>MAD_m_C 300 mg</v>
      </c>
      <c r="E1873" s="206" t="str">
        <f>IF(AND(A1873&lt;&gt;"",ISNUMBER(A1873)),VLOOKUP(A1873,Studies!A:BR,5,FALSE),"")</f>
        <v>Hydroxy-Itraconazole</v>
      </c>
      <c r="F1873" s="207" t="str">
        <f>IF(AND(A1873&lt;&gt;"",ISNUMBER(A1873)),VLOOKUP(A1873,Studies!A:BR,6,FALSE),"")</f>
        <v>Plasma</v>
      </c>
      <c r="G1873" s="194">
        <v>123</v>
      </c>
      <c r="H1873" s="194" t="s">
        <v>60</v>
      </c>
      <c r="I1873" s="187">
        <v>2760.705810546875</v>
      </c>
      <c r="J1873" s="187" t="s">
        <v>1026</v>
      </c>
      <c r="K1873" s="187" t="s">
        <v>116</v>
      </c>
      <c r="L1873" s="195"/>
      <c r="M1873" s="195"/>
      <c r="N1873" s="195"/>
      <c r="O1873" s="199"/>
      <c r="P1873" s="188"/>
      <c r="Q1873" s="174">
        <f>IF(ISNUMBER(VLOOKUP(A1873,NotghiID!A:A,1,FALSE)),1,0)</f>
        <v>0</v>
      </c>
    </row>
    <row r="1874" spans="1:17" ht="14.25" x14ac:dyDescent="0.2">
      <c r="A1874" s="183">
        <v>534</v>
      </c>
      <c r="B1874" s="232" t="str">
        <f>IF(AND(A1874&lt;&gt;"",ISNUMBER(A1874)),VLOOKUP(A1874,Studies!A:BR,2,FALSE),"")</f>
        <v>Mouton 2006</v>
      </c>
      <c r="C1874" s="232" t="str">
        <f>IF(AND(A1874&lt;&gt;"",ISNUMBER(A1874)),VLOOKUP(A1874,Studies!A:BR,3,FALSE),"")</f>
        <v>https://www.ncbi.nlm.nih.gov/pubmed/16982783</v>
      </c>
      <c r="D1874" s="232" t="str">
        <f>IF(AND(A1874&lt;&gt;"",ISNUMBER(A1874)),VLOOKUP(A1874,Studies!A:BR,4,FALSE),"")</f>
        <v>MAD_m_C 300 mg</v>
      </c>
      <c r="E1874" s="206" t="str">
        <f>IF(AND(A1874&lt;&gt;"",ISNUMBER(A1874)),VLOOKUP(A1874,Studies!A:BR,5,FALSE),"")</f>
        <v>Hydroxy-Itraconazole</v>
      </c>
      <c r="F1874" s="207" t="str">
        <f>IF(AND(A1874&lt;&gt;"",ISNUMBER(A1874)),VLOOKUP(A1874,Studies!A:BR,6,FALSE),"")</f>
        <v>Plasma</v>
      </c>
      <c r="G1874" s="194">
        <v>144</v>
      </c>
      <c r="H1874" s="194" t="s">
        <v>60</v>
      </c>
      <c r="I1874" s="187">
        <v>2715.18798828125</v>
      </c>
      <c r="J1874" s="187" t="s">
        <v>1026</v>
      </c>
      <c r="K1874" s="187" t="s">
        <v>116</v>
      </c>
      <c r="L1874" s="195"/>
      <c r="M1874" s="195"/>
      <c r="N1874" s="195"/>
      <c r="O1874" s="199"/>
      <c r="P1874" s="188"/>
      <c r="Q1874" s="174">
        <f>IF(ISNUMBER(VLOOKUP(A1874,NotghiID!A:A,1,FALSE)),1,0)</f>
        <v>0</v>
      </c>
    </row>
    <row r="1875" spans="1:17" ht="14.25" x14ac:dyDescent="0.2">
      <c r="A1875" s="183">
        <v>534</v>
      </c>
      <c r="B1875" s="232" t="str">
        <f>IF(AND(A1875&lt;&gt;"",ISNUMBER(A1875)),VLOOKUP(A1875,Studies!A:BR,2,FALSE),"")</f>
        <v>Mouton 2006</v>
      </c>
      <c r="C1875" s="232" t="str">
        <f>IF(AND(A1875&lt;&gt;"",ISNUMBER(A1875)),VLOOKUP(A1875,Studies!A:BR,3,FALSE),"")</f>
        <v>https://www.ncbi.nlm.nih.gov/pubmed/16982783</v>
      </c>
      <c r="D1875" s="232" t="str">
        <f>IF(AND(A1875&lt;&gt;"",ISNUMBER(A1875)),VLOOKUP(A1875,Studies!A:BR,4,FALSE),"")</f>
        <v>MAD_m_C 300 mg</v>
      </c>
      <c r="E1875" s="206" t="str">
        <f>IF(AND(A1875&lt;&gt;"",ISNUMBER(A1875)),VLOOKUP(A1875,Studies!A:BR,5,FALSE),"")</f>
        <v>Hydroxy-Itraconazole</v>
      </c>
      <c r="F1875" s="207" t="str">
        <f>IF(AND(A1875&lt;&gt;"",ISNUMBER(A1875)),VLOOKUP(A1875,Studies!A:BR,6,FALSE),"")</f>
        <v>Plasma</v>
      </c>
      <c r="G1875" s="194">
        <v>146</v>
      </c>
      <c r="H1875" s="194" t="s">
        <v>60</v>
      </c>
      <c r="I1875" s="187">
        <v>2783.75</v>
      </c>
      <c r="J1875" s="187" t="s">
        <v>1026</v>
      </c>
      <c r="K1875" s="187" t="s">
        <v>116</v>
      </c>
      <c r="L1875" s="195"/>
      <c r="M1875" s="195"/>
      <c r="N1875" s="195"/>
      <c r="O1875" s="199"/>
      <c r="P1875" s="188"/>
      <c r="Q1875" s="174">
        <f>IF(ISNUMBER(VLOOKUP(A1875,NotghiID!A:A,1,FALSE)),1,0)</f>
        <v>0</v>
      </c>
    </row>
    <row r="1876" spans="1:17" ht="14.25" x14ac:dyDescent="0.2">
      <c r="A1876" s="183">
        <v>534</v>
      </c>
      <c r="B1876" s="232" t="str">
        <f>IF(AND(A1876&lt;&gt;"",ISNUMBER(A1876)),VLOOKUP(A1876,Studies!A:BR,2,FALSE),"")</f>
        <v>Mouton 2006</v>
      </c>
      <c r="C1876" s="232" t="str">
        <f>IF(AND(A1876&lt;&gt;"",ISNUMBER(A1876)),VLOOKUP(A1876,Studies!A:BR,3,FALSE),"")</f>
        <v>https://www.ncbi.nlm.nih.gov/pubmed/16982783</v>
      </c>
      <c r="D1876" s="232" t="str">
        <f>IF(AND(A1876&lt;&gt;"",ISNUMBER(A1876)),VLOOKUP(A1876,Studies!A:BR,4,FALSE),"")</f>
        <v>MAD_m_C 300 mg</v>
      </c>
      <c r="E1876" s="206" t="str">
        <f>IF(AND(A1876&lt;&gt;"",ISNUMBER(A1876)),VLOOKUP(A1876,Studies!A:BR,5,FALSE),"")</f>
        <v>Hydroxy-Itraconazole</v>
      </c>
      <c r="F1876" s="207" t="str">
        <f>IF(AND(A1876&lt;&gt;"",ISNUMBER(A1876)),VLOOKUP(A1876,Studies!A:BR,6,FALSE),"")</f>
        <v>Plasma</v>
      </c>
      <c r="G1876" s="194">
        <v>153</v>
      </c>
      <c r="H1876" s="194" t="s">
        <v>60</v>
      </c>
      <c r="I1876" s="187">
        <v>2975.166015625</v>
      </c>
      <c r="J1876" s="187" t="s">
        <v>1026</v>
      </c>
      <c r="K1876" s="187" t="s">
        <v>116</v>
      </c>
      <c r="L1876" s="195"/>
      <c r="M1876" s="195"/>
      <c r="N1876" s="195"/>
      <c r="O1876" s="199"/>
      <c r="P1876" s="188"/>
      <c r="Q1876" s="174">
        <f>IF(ISNUMBER(VLOOKUP(A1876,NotghiID!A:A,1,FALSE)),1,0)</f>
        <v>0</v>
      </c>
    </row>
    <row r="1877" spans="1:17" ht="14.25" x14ac:dyDescent="0.2">
      <c r="A1877" s="183">
        <v>534</v>
      </c>
      <c r="B1877" s="232" t="str">
        <f>IF(AND(A1877&lt;&gt;"",ISNUMBER(A1877)),VLOOKUP(A1877,Studies!A:BR,2,FALSE),"")</f>
        <v>Mouton 2006</v>
      </c>
      <c r="C1877" s="232" t="str">
        <f>IF(AND(A1877&lt;&gt;"",ISNUMBER(A1877)),VLOOKUP(A1877,Studies!A:BR,3,FALSE),"")</f>
        <v>https://www.ncbi.nlm.nih.gov/pubmed/16982783</v>
      </c>
      <c r="D1877" s="232" t="str">
        <f>IF(AND(A1877&lt;&gt;"",ISNUMBER(A1877)),VLOOKUP(A1877,Studies!A:BR,4,FALSE),"")</f>
        <v>MAD_m_C 300 mg</v>
      </c>
      <c r="E1877" s="206" t="str">
        <f>IF(AND(A1877&lt;&gt;"",ISNUMBER(A1877)),VLOOKUP(A1877,Studies!A:BR,5,FALSE),"")</f>
        <v>Hydroxy-Itraconazole</v>
      </c>
      <c r="F1877" s="207" t="str">
        <f>IF(AND(A1877&lt;&gt;"",ISNUMBER(A1877)),VLOOKUP(A1877,Studies!A:BR,6,FALSE),"")</f>
        <v>Plasma</v>
      </c>
      <c r="G1877" s="194">
        <v>155</v>
      </c>
      <c r="H1877" s="194" t="s">
        <v>60</v>
      </c>
      <c r="I1877" s="187">
        <v>2806.98681640625</v>
      </c>
      <c r="J1877" s="187" t="s">
        <v>1026</v>
      </c>
      <c r="K1877" s="187" t="s">
        <v>116</v>
      </c>
      <c r="L1877" s="195"/>
      <c r="M1877" s="195"/>
      <c r="N1877" s="195"/>
      <c r="O1877" s="199"/>
      <c r="P1877" s="188"/>
      <c r="Q1877" s="174">
        <f>IF(ISNUMBER(VLOOKUP(A1877,NotghiID!A:A,1,FALSE)),1,0)</f>
        <v>0</v>
      </c>
    </row>
    <row r="1878" spans="1:17" ht="14.25" x14ac:dyDescent="0.2">
      <c r="A1878" s="183">
        <v>534</v>
      </c>
      <c r="B1878" s="232" t="str">
        <f>IF(AND(A1878&lt;&gt;"",ISNUMBER(A1878)),VLOOKUP(A1878,Studies!A:BR,2,FALSE),"")</f>
        <v>Mouton 2006</v>
      </c>
      <c r="C1878" s="232" t="str">
        <f>IF(AND(A1878&lt;&gt;"",ISNUMBER(A1878)),VLOOKUP(A1878,Studies!A:BR,3,FALSE),"")</f>
        <v>https://www.ncbi.nlm.nih.gov/pubmed/16982783</v>
      </c>
      <c r="D1878" s="232" t="str">
        <f>IF(AND(A1878&lt;&gt;"",ISNUMBER(A1878)),VLOOKUP(A1878,Studies!A:BR,4,FALSE),"")</f>
        <v>MAD_m_C 300 mg</v>
      </c>
      <c r="E1878" s="206" t="str">
        <f>IF(AND(A1878&lt;&gt;"",ISNUMBER(A1878)),VLOOKUP(A1878,Studies!A:BR,5,FALSE),"")</f>
        <v>Hydroxy-Itraconazole</v>
      </c>
      <c r="F1878" s="207" t="str">
        <f>IF(AND(A1878&lt;&gt;"",ISNUMBER(A1878)),VLOOKUP(A1878,Studies!A:BR,6,FALSE),"")</f>
        <v>Plasma</v>
      </c>
      <c r="G1878" s="194">
        <v>160</v>
      </c>
      <c r="H1878" s="194" t="s">
        <v>60</v>
      </c>
      <c r="I1878" s="187">
        <v>2561.7060546875</v>
      </c>
      <c r="J1878" s="187" t="s">
        <v>1026</v>
      </c>
      <c r="K1878" s="187" t="s">
        <v>116</v>
      </c>
      <c r="L1878" s="195"/>
      <c r="M1878" s="195"/>
      <c r="N1878" s="195"/>
      <c r="O1878" s="199"/>
      <c r="P1878" s="188"/>
      <c r="Q1878" s="174">
        <f>IF(ISNUMBER(VLOOKUP(A1878,NotghiID!A:A,1,FALSE)),1,0)</f>
        <v>0</v>
      </c>
    </row>
    <row r="1879" spans="1:17" ht="14.25" x14ac:dyDescent="0.2">
      <c r="A1879" s="183">
        <v>534</v>
      </c>
      <c r="B1879" s="232" t="str">
        <f>IF(AND(A1879&lt;&gt;"",ISNUMBER(A1879)),VLOOKUP(A1879,Studies!A:BR,2,FALSE),"")</f>
        <v>Mouton 2006</v>
      </c>
      <c r="C1879" s="232" t="str">
        <f>IF(AND(A1879&lt;&gt;"",ISNUMBER(A1879)),VLOOKUP(A1879,Studies!A:BR,3,FALSE),"")</f>
        <v>https://www.ncbi.nlm.nih.gov/pubmed/16982783</v>
      </c>
      <c r="D1879" s="232" t="str">
        <f>IF(AND(A1879&lt;&gt;"",ISNUMBER(A1879)),VLOOKUP(A1879,Studies!A:BR,4,FALSE),"")</f>
        <v>MAD_m_C 300 mg</v>
      </c>
      <c r="E1879" s="206" t="str">
        <f>IF(AND(A1879&lt;&gt;"",ISNUMBER(A1879)),VLOOKUP(A1879,Studies!A:BR,5,FALSE),"")</f>
        <v>Hydroxy-Itraconazole</v>
      </c>
      <c r="F1879" s="207" t="str">
        <f>IF(AND(A1879&lt;&gt;"",ISNUMBER(A1879)),VLOOKUP(A1879,Studies!A:BR,6,FALSE),"")</f>
        <v>Plasma</v>
      </c>
      <c r="G1879" s="194">
        <v>168</v>
      </c>
      <c r="H1879" s="194" t="s">
        <v>60</v>
      </c>
      <c r="I1879" s="187">
        <v>3025.0419921875</v>
      </c>
      <c r="J1879" s="187" t="s">
        <v>1026</v>
      </c>
      <c r="K1879" s="187" t="s">
        <v>116</v>
      </c>
      <c r="L1879" s="195"/>
      <c r="M1879" s="195"/>
      <c r="N1879" s="195"/>
      <c r="O1879" s="199"/>
      <c r="P1879" s="188"/>
      <c r="Q1879" s="174">
        <f>IF(ISNUMBER(VLOOKUP(A1879,NotghiID!A:A,1,FALSE)),1,0)</f>
        <v>0</v>
      </c>
    </row>
    <row r="1880" spans="1:17" ht="14.25" x14ac:dyDescent="0.2">
      <c r="A1880" s="183">
        <v>534</v>
      </c>
      <c r="B1880" s="232" t="str">
        <f>IF(AND(A1880&lt;&gt;"",ISNUMBER(A1880)),VLOOKUP(A1880,Studies!A:BR,2,FALSE),"")</f>
        <v>Mouton 2006</v>
      </c>
      <c r="C1880" s="232" t="str">
        <f>IF(AND(A1880&lt;&gt;"",ISNUMBER(A1880)),VLOOKUP(A1880,Studies!A:BR,3,FALSE),"")</f>
        <v>https://www.ncbi.nlm.nih.gov/pubmed/16982783</v>
      </c>
      <c r="D1880" s="232" t="str">
        <f>IF(AND(A1880&lt;&gt;"",ISNUMBER(A1880)),VLOOKUP(A1880,Studies!A:BR,4,FALSE),"")</f>
        <v>MAD_m_C 300 mg</v>
      </c>
      <c r="E1880" s="206" t="str">
        <f>IF(AND(A1880&lt;&gt;"",ISNUMBER(A1880)),VLOOKUP(A1880,Studies!A:BR,5,FALSE),"")</f>
        <v>Hydroxy-Itraconazole</v>
      </c>
      <c r="F1880" s="207" t="str">
        <f>IF(AND(A1880&lt;&gt;"",ISNUMBER(A1880)),VLOOKUP(A1880,Studies!A:BR,6,FALSE),"")</f>
        <v>Plasma</v>
      </c>
      <c r="G1880" s="194">
        <v>176</v>
      </c>
      <c r="H1880" s="194" t="s">
        <v>60</v>
      </c>
      <c r="I1880" s="187">
        <v>3075.75390625</v>
      </c>
      <c r="J1880" s="187" t="s">
        <v>1026</v>
      </c>
      <c r="K1880" s="187" t="s">
        <v>116</v>
      </c>
      <c r="L1880" s="195"/>
      <c r="M1880" s="195"/>
      <c r="N1880" s="195"/>
      <c r="O1880" s="199"/>
      <c r="P1880" s="188"/>
      <c r="Q1880" s="174">
        <f>IF(ISNUMBER(VLOOKUP(A1880,NotghiID!A:A,1,FALSE)),1,0)</f>
        <v>0</v>
      </c>
    </row>
    <row r="1881" spans="1:17" ht="14.25" x14ac:dyDescent="0.2">
      <c r="A1881" s="183">
        <v>534</v>
      </c>
      <c r="B1881" s="232" t="str">
        <f>IF(AND(A1881&lt;&gt;"",ISNUMBER(A1881)),VLOOKUP(A1881,Studies!A:BR,2,FALSE),"")</f>
        <v>Mouton 2006</v>
      </c>
      <c r="C1881" s="232" t="str">
        <f>IF(AND(A1881&lt;&gt;"",ISNUMBER(A1881)),VLOOKUP(A1881,Studies!A:BR,3,FALSE),"")</f>
        <v>https://www.ncbi.nlm.nih.gov/pubmed/16982783</v>
      </c>
      <c r="D1881" s="232" t="str">
        <f>IF(AND(A1881&lt;&gt;"",ISNUMBER(A1881)),VLOOKUP(A1881,Studies!A:BR,4,FALSE),"")</f>
        <v>MAD_m_C 300 mg</v>
      </c>
      <c r="E1881" s="206" t="str">
        <f>IF(AND(A1881&lt;&gt;"",ISNUMBER(A1881)),VLOOKUP(A1881,Studies!A:BR,5,FALSE),"")</f>
        <v>Hydroxy-Itraconazole</v>
      </c>
      <c r="F1881" s="207" t="str">
        <f>IF(AND(A1881&lt;&gt;"",ISNUMBER(A1881)),VLOOKUP(A1881,Studies!A:BR,6,FALSE),"")</f>
        <v>Plasma</v>
      </c>
      <c r="G1881" s="194">
        <v>192</v>
      </c>
      <c r="H1881" s="194" t="s">
        <v>60</v>
      </c>
      <c r="I1881" s="187">
        <v>2926.112060546875</v>
      </c>
      <c r="J1881" s="187" t="s">
        <v>1026</v>
      </c>
      <c r="K1881" s="187" t="s">
        <v>116</v>
      </c>
      <c r="L1881" s="195"/>
      <c r="M1881" s="195"/>
      <c r="N1881" s="195"/>
      <c r="O1881" s="199"/>
      <c r="P1881" s="188"/>
      <c r="Q1881" s="174">
        <f>IF(ISNUMBER(VLOOKUP(A1881,NotghiID!A:A,1,FALSE)),1,0)</f>
        <v>0</v>
      </c>
    </row>
    <row r="1882" spans="1:17" ht="14.25" x14ac:dyDescent="0.2">
      <c r="A1882" s="183">
        <v>534</v>
      </c>
      <c r="B1882" s="232" t="str">
        <f>IF(AND(A1882&lt;&gt;"",ISNUMBER(A1882)),VLOOKUP(A1882,Studies!A:BR,2,FALSE),"")</f>
        <v>Mouton 2006</v>
      </c>
      <c r="C1882" s="232" t="str">
        <f>IF(AND(A1882&lt;&gt;"",ISNUMBER(A1882)),VLOOKUP(A1882,Studies!A:BR,3,FALSE),"")</f>
        <v>https://www.ncbi.nlm.nih.gov/pubmed/16982783</v>
      </c>
      <c r="D1882" s="232" t="str">
        <f>IF(AND(A1882&lt;&gt;"",ISNUMBER(A1882)),VLOOKUP(A1882,Studies!A:BR,4,FALSE),"")</f>
        <v>MAD_m_C 300 mg</v>
      </c>
      <c r="E1882" s="206" t="str">
        <f>IF(AND(A1882&lt;&gt;"",ISNUMBER(A1882)),VLOOKUP(A1882,Studies!A:BR,5,FALSE),"")</f>
        <v>Hydroxy-Itraconazole</v>
      </c>
      <c r="F1882" s="207" t="str">
        <f>IF(AND(A1882&lt;&gt;"",ISNUMBER(A1882)),VLOOKUP(A1882,Studies!A:BR,6,FALSE),"")</f>
        <v>Plasma</v>
      </c>
      <c r="G1882" s="194">
        <v>216</v>
      </c>
      <c r="H1882" s="194" t="s">
        <v>60</v>
      </c>
      <c r="I1882" s="187">
        <v>2830.4169921875</v>
      </c>
      <c r="J1882" s="187" t="s">
        <v>1026</v>
      </c>
      <c r="K1882" s="187" t="s">
        <v>116</v>
      </c>
      <c r="L1882" s="195"/>
      <c r="M1882" s="195"/>
      <c r="N1882" s="195"/>
      <c r="O1882" s="199"/>
      <c r="P1882" s="188"/>
      <c r="Q1882" s="174">
        <f>IF(ISNUMBER(VLOOKUP(A1882,NotghiID!A:A,1,FALSE)),1,0)</f>
        <v>0</v>
      </c>
    </row>
    <row r="1883" spans="1:17" ht="14.25" x14ac:dyDescent="0.2">
      <c r="A1883" s="183">
        <v>534</v>
      </c>
      <c r="B1883" s="232" t="str">
        <f>IF(AND(A1883&lt;&gt;"",ISNUMBER(A1883)),VLOOKUP(A1883,Studies!A:BR,2,FALSE),"")</f>
        <v>Mouton 2006</v>
      </c>
      <c r="C1883" s="232" t="str">
        <f>IF(AND(A1883&lt;&gt;"",ISNUMBER(A1883)),VLOOKUP(A1883,Studies!A:BR,3,FALSE),"")</f>
        <v>https://www.ncbi.nlm.nih.gov/pubmed/16982783</v>
      </c>
      <c r="D1883" s="232" t="str">
        <f>IF(AND(A1883&lt;&gt;"",ISNUMBER(A1883)),VLOOKUP(A1883,Studies!A:BR,4,FALSE),"")</f>
        <v>MAD_m_C 300 mg</v>
      </c>
      <c r="E1883" s="206" t="str">
        <f>IF(AND(A1883&lt;&gt;"",ISNUMBER(A1883)),VLOOKUP(A1883,Studies!A:BR,5,FALSE),"")</f>
        <v>Hydroxy-Itraconazole</v>
      </c>
      <c r="F1883" s="207" t="str">
        <f>IF(AND(A1883&lt;&gt;"",ISNUMBER(A1883)),VLOOKUP(A1883,Studies!A:BR,6,FALSE),"")</f>
        <v>Plasma</v>
      </c>
      <c r="G1883" s="194">
        <v>240</v>
      </c>
      <c r="H1883" s="194" t="s">
        <v>60</v>
      </c>
      <c r="I1883" s="187">
        <v>2670.421142578125</v>
      </c>
      <c r="J1883" s="187" t="s">
        <v>1026</v>
      </c>
      <c r="K1883" s="187" t="s">
        <v>116</v>
      </c>
      <c r="L1883" s="195"/>
      <c r="M1883" s="195"/>
      <c r="N1883" s="195"/>
      <c r="O1883" s="199"/>
      <c r="P1883" s="188"/>
      <c r="Q1883" s="174">
        <f>IF(ISNUMBER(VLOOKUP(A1883,NotghiID!A:A,1,FALSE)),1,0)</f>
        <v>0</v>
      </c>
    </row>
    <row r="1884" spans="1:17" ht="14.25" x14ac:dyDescent="0.2">
      <c r="A1884" s="183">
        <v>534</v>
      </c>
      <c r="B1884" s="232" t="str">
        <f>IF(AND(A1884&lt;&gt;"",ISNUMBER(A1884)),VLOOKUP(A1884,Studies!A:BR,2,FALSE),"")</f>
        <v>Mouton 2006</v>
      </c>
      <c r="C1884" s="232" t="str">
        <f>IF(AND(A1884&lt;&gt;"",ISNUMBER(A1884)),VLOOKUP(A1884,Studies!A:BR,3,FALSE),"")</f>
        <v>https://www.ncbi.nlm.nih.gov/pubmed/16982783</v>
      </c>
      <c r="D1884" s="232" t="str">
        <f>IF(AND(A1884&lt;&gt;"",ISNUMBER(A1884)),VLOOKUP(A1884,Studies!A:BR,4,FALSE),"")</f>
        <v>MAD_m_C 300 mg</v>
      </c>
      <c r="E1884" s="206" t="str">
        <f>IF(AND(A1884&lt;&gt;"",ISNUMBER(A1884)),VLOOKUP(A1884,Studies!A:BR,5,FALSE),"")</f>
        <v>Hydroxy-Itraconazole</v>
      </c>
      <c r="F1884" s="207" t="str">
        <f>IF(AND(A1884&lt;&gt;"",ISNUMBER(A1884)),VLOOKUP(A1884,Studies!A:BR,6,FALSE),"")</f>
        <v>Plasma</v>
      </c>
      <c r="G1884" s="194">
        <v>312</v>
      </c>
      <c r="H1884" s="194" t="s">
        <v>60</v>
      </c>
      <c r="I1884" s="187">
        <v>1852.4010009765625</v>
      </c>
      <c r="J1884" s="187" t="s">
        <v>1026</v>
      </c>
      <c r="K1884" s="187" t="s">
        <v>116</v>
      </c>
      <c r="L1884" s="195"/>
      <c r="M1884" s="195"/>
      <c r="N1884" s="195"/>
      <c r="O1884" s="199"/>
      <c r="P1884" s="188"/>
      <c r="Q1884" s="174">
        <f>IF(ISNUMBER(VLOOKUP(A1884,NotghiID!A:A,1,FALSE)),1,0)</f>
        <v>0</v>
      </c>
    </row>
    <row r="1885" spans="1:17" ht="14.25" x14ac:dyDescent="0.2">
      <c r="A1885" s="183">
        <v>525</v>
      </c>
      <c r="B1885" s="232" t="str">
        <f>IF(AND(A1885&lt;&gt;"",ISNUMBER(A1885)),VLOOKUP(A1885,Studies!A:BR,2,FALSE),"")</f>
        <v>Mouton 2006</v>
      </c>
      <c r="C1885" s="232" t="str">
        <f>IF(AND(A1885&lt;&gt;"",ISNUMBER(A1885)),VLOOKUP(A1885,Studies!A:BR,3,FALSE),"")</f>
        <v>https://www.ncbi.nlm.nih.gov/pubmed/16982783</v>
      </c>
      <c r="D1885" s="232" t="str">
        <f>IF(AND(A1885&lt;&gt;"",ISNUMBER(A1885)),VLOOKUP(A1885,Studies!A:BR,4,FALSE),"")</f>
        <v>MAD_m_B 200 mg</v>
      </c>
      <c r="E1885" s="206" t="str">
        <f>IF(AND(A1885&lt;&gt;"",ISNUMBER(A1885)),VLOOKUP(A1885,Studies!A:BR,5,FALSE),"")</f>
        <v>Itraconazole</v>
      </c>
      <c r="F1885" s="207" t="str">
        <f>IF(AND(A1885&lt;&gt;"",ISNUMBER(A1885)),VLOOKUP(A1885,Studies!A:BR,6,FALSE),"")</f>
        <v>Plasma</v>
      </c>
      <c r="G1885" s="194">
        <v>2</v>
      </c>
      <c r="H1885" s="194" t="s">
        <v>60</v>
      </c>
      <c r="I1885" s="187">
        <v>2688.86399269104</v>
      </c>
      <c r="J1885" s="187" t="s">
        <v>1026</v>
      </c>
      <c r="K1885" s="187" t="s">
        <v>116</v>
      </c>
      <c r="L1885" s="195"/>
      <c r="M1885" s="195"/>
      <c r="N1885" s="195"/>
      <c r="O1885" s="199"/>
      <c r="P1885" s="188"/>
      <c r="Q1885" s="174">
        <f>IF(ISNUMBER(VLOOKUP(A1885,NotghiID!A:A,1,FALSE)),1,0)</f>
        <v>0</v>
      </c>
    </row>
    <row r="1886" spans="1:17" ht="14.25" x14ac:dyDescent="0.2">
      <c r="A1886" s="183">
        <v>525</v>
      </c>
      <c r="B1886" s="232" t="str">
        <f>IF(AND(A1886&lt;&gt;"",ISNUMBER(A1886)),VLOOKUP(A1886,Studies!A:BR,2,FALSE),"")</f>
        <v>Mouton 2006</v>
      </c>
      <c r="C1886" s="232" t="str">
        <f>IF(AND(A1886&lt;&gt;"",ISNUMBER(A1886)),VLOOKUP(A1886,Studies!A:BR,3,FALSE),"")</f>
        <v>https://www.ncbi.nlm.nih.gov/pubmed/16982783</v>
      </c>
      <c r="D1886" s="232" t="str">
        <f>IF(AND(A1886&lt;&gt;"",ISNUMBER(A1886)),VLOOKUP(A1886,Studies!A:BR,4,FALSE),"")</f>
        <v>MAD_m_B 200 mg</v>
      </c>
      <c r="E1886" s="206" t="str">
        <f>IF(AND(A1886&lt;&gt;"",ISNUMBER(A1886)),VLOOKUP(A1886,Studies!A:BR,5,FALSE),"")</f>
        <v>Itraconazole</v>
      </c>
      <c r="F1886" s="207" t="str">
        <f>IF(AND(A1886&lt;&gt;"",ISNUMBER(A1886)),VLOOKUP(A1886,Studies!A:BR,6,FALSE),"")</f>
        <v>Plasma</v>
      </c>
      <c r="G1886" s="194">
        <v>8</v>
      </c>
      <c r="H1886" s="194" t="s">
        <v>60</v>
      </c>
      <c r="I1886" s="187">
        <v>353.5493016242981</v>
      </c>
      <c r="J1886" s="187" t="s">
        <v>1026</v>
      </c>
      <c r="K1886" s="187" t="s">
        <v>116</v>
      </c>
      <c r="L1886" s="195"/>
      <c r="M1886" s="195"/>
      <c r="N1886" s="195"/>
      <c r="O1886" s="199"/>
      <c r="P1886" s="188"/>
      <c r="Q1886" s="174">
        <f>IF(ISNUMBER(VLOOKUP(A1886,NotghiID!A:A,1,FALSE)),1,0)</f>
        <v>0</v>
      </c>
    </row>
    <row r="1887" spans="1:17" ht="14.25" x14ac:dyDescent="0.2">
      <c r="A1887" s="183">
        <v>525</v>
      </c>
      <c r="B1887" s="232" t="str">
        <f>IF(AND(A1887&lt;&gt;"",ISNUMBER(A1887)),VLOOKUP(A1887,Studies!A:BR,2,FALSE),"")</f>
        <v>Mouton 2006</v>
      </c>
      <c r="C1887" s="232" t="str">
        <f>IF(AND(A1887&lt;&gt;"",ISNUMBER(A1887)),VLOOKUP(A1887,Studies!A:BR,3,FALSE),"")</f>
        <v>https://www.ncbi.nlm.nih.gov/pubmed/16982783</v>
      </c>
      <c r="D1887" s="232" t="str">
        <f>IF(AND(A1887&lt;&gt;"",ISNUMBER(A1887)),VLOOKUP(A1887,Studies!A:BR,4,FALSE),"")</f>
        <v>MAD_m_B 200 mg</v>
      </c>
      <c r="E1887" s="206" t="str">
        <f>IF(AND(A1887&lt;&gt;"",ISNUMBER(A1887)),VLOOKUP(A1887,Studies!A:BR,5,FALSE),"")</f>
        <v>Itraconazole</v>
      </c>
      <c r="F1887" s="207" t="str">
        <f>IF(AND(A1887&lt;&gt;"",ISNUMBER(A1887)),VLOOKUP(A1887,Studies!A:BR,6,FALSE),"")</f>
        <v>Plasma</v>
      </c>
      <c r="G1887" s="194">
        <v>10</v>
      </c>
      <c r="H1887" s="194" t="s">
        <v>60</v>
      </c>
      <c r="I1887" s="187">
        <v>3304.2991161346436</v>
      </c>
      <c r="J1887" s="187" t="s">
        <v>1026</v>
      </c>
      <c r="K1887" s="187" t="s">
        <v>116</v>
      </c>
      <c r="L1887" s="195"/>
      <c r="M1887" s="195"/>
      <c r="N1887" s="195"/>
      <c r="O1887" s="199"/>
      <c r="P1887" s="188"/>
      <c r="Q1887" s="174">
        <f>IF(ISNUMBER(VLOOKUP(A1887,NotghiID!A:A,1,FALSE)),1,0)</f>
        <v>0</v>
      </c>
    </row>
    <row r="1888" spans="1:17" ht="14.25" x14ac:dyDescent="0.2">
      <c r="A1888" s="183">
        <v>525</v>
      </c>
      <c r="B1888" s="232" t="str">
        <f>IF(AND(A1888&lt;&gt;"",ISNUMBER(A1888)),VLOOKUP(A1888,Studies!A:BR,2,FALSE),"")</f>
        <v>Mouton 2006</v>
      </c>
      <c r="C1888" s="232" t="str">
        <f>IF(AND(A1888&lt;&gt;"",ISNUMBER(A1888)),VLOOKUP(A1888,Studies!A:BR,3,FALSE),"")</f>
        <v>https://www.ncbi.nlm.nih.gov/pubmed/16982783</v>
      </c>
      <c r="D1888" s="232" t="str">
        <f>IF(AND(A1888&lt;&gt;"",ISNUMBER(A1888)),VLOOKUP(A1888,Studies!A:BR,4,FALSE),"")</f>
        <v>MAD_m_B 200 mg</v>
      </c>
      <c r="E1888" s="206" t="str">
        <f>IF(AND(A1888&lt;&gt;"",ISNUMBER(A1888)),VLOOKUP(A1888,Studies!A:BR,5,FALSE),"")</f>
        <v>Itraconazole</v>
      </c>
      <c r="F1888" s="207" t="str">
        <f>IF(AND(A1888&lt;&gt;"",ISNUMBER(A1888)),VLOOKUP(A1888,Studies!A:BR,6,FALSE),"")</f>
        <v>Plasma</v>
      </c>
      <c r="G1888" s="194">
        <v>24</v>
      </c>
      <c r="H1888" s="194" t="s">
        <v>60</v>
      </c>
      <c r="I1888" s="187">
        <v>478.54018211364746</v>
      </c>
      <c r="J1888" s="187" t="s">
        <v>1026</v>
      </c>
      <c r="K1888" s="187" t="s">
        <v>116</v>
      </c>
      <c r="L1888" s="195"/>
      <c r="M1888" s="195"/>
      <c r="N1888" s="195"/>
      <c r="O1888" s="199"/>
      <c r="P1888" s="188"/>
      <c r="Q1888" s="174">
        <f>IF(ISNUMBER(VLOOKUP(A1888,NotghiID!A:A,1,FALSE)),1,0)</f>
        <v>0</v>
      </c>
    </row>
    <row r="1889" spans="1:17" ht="14.25" x14ac:dyDescent="0.2">
      <c r="A1889" s="183">
        <v>525</v>
      </c>
      <c r="B1889" s="232" t="str">
        <f>IF(AND(A1889&lt;&gt;"",ISNUMBER(A1889)),VLOOKUP(A1889,Studies!A:BR,2,FALSE),"")</f>
        <v>Mouton 2006</v>
      </c>
      <c r="C1889" s="232" t="str">
        <f>IF(AND(A1889&lt;&gt;"",ISNUMBER(A1889)),VLOOKUP(A1889,Studies!A:BR,3,FALSE),"")</f>
        <v>https://www.ncbi.nlm.nih.gov/pubmed/16982783</v>
      </c>
      <c r="D1889" s="232" t="str">
        <f>IF(AND(A1889&lt;&gt;"",ISNUMBER(A1889)),VLOOKUP(A1889,Studies!A:BR,4,FALSE),"")</f>
        <v>MAD_m_B 200 mg</v>
      </c>
      <c r="E1889" s="206" t="str">
        <f>IF(AND(A1889&lt;&gt;"",ISNUMBER(A1889)),VLOOKUP(A1889,Studies!A:BR,5,FALSE),"")</f>
        <v>Itraconazole</v>
      </c>
      <c r="F1889" s="207" t="str">
        <f>IF(AND(A1889&lt;&gt;"",ISNUMBER(A1889)),VLOOKUP(A1889,Studies!A:BR,6,FALSE),"")</f>
        <v>Plasma</v>
      </c>
      <c r="G1889" s="194">
        <v>26</v>
      </c>
      <c r="H1889" s="194" t="s">
        <v>60</v>
      </c>
      <c r="I1889" s="187">
        <v>3434.4921112060547</v>
      </c>
      <c r="J1889" s="187" t="s">
        <v>1026</v>
      </c>
      <c r="K1889" s="187" t="s">
        <v>116</v>
      </c>
      <c r="L1889" s="195"/>
      <c r="M1889" s="195"/>
      <c r="N1889" s="195"/>
      <c r="O1889" s="199"/>
      <c r="P1889" s="188"/>
      <c r="Q1889" s="174">
        <f>IF(ISNUMBER(VLOOKUP(A1889,NotghiID!A:A,1,FALSE)),1,0)</f>
        <v>0</v>
      </c>
    </row>
    <row r="1890" spans="1:17" ht="14.25" x14ac:dyDescent="0.2">
      <c r="A1890" s="183">
        <v>525</v>
      </c>
      <c r="B1890" s="232" t="str">
        <f>IF(AND(A1890&lt;&gt;"",ISNUMBER(A1890)),VLOOKUP(A1890,Studies!A:BR,2,FALSE),"")</f>
        <v>Mouton 2006</v>
      </c>
      <c r="C1890" s="232" t="str">
        <f>IF(AND(A1890&lt;&gt;"",ISNUMBER(A1890)),VLOOKUP(A1890,Studies!A:BR,3,FALSE),"")</f>
        <v>https://www.ncbi.nlm.nih.gov/pubmed/16982783</v>
      </c>
      <c r="D1890" s="232" t="str">
        <f>IF(AND(A1890&lt;&gt;"",ISNUMBER(A1890)),VLOOKUP(A1890,Studies!A:BR,4,FALSE),"")</f>
        <v>MAD_m_B 200 mg</v>
      </c>
      <c r="E1890" s="206" t="str">
        <f>IF(AND(A1890&lt;&gt;"",ISNUMBER(A1890)),VLOOKUP(A1890,Studies!A:BR,5,FALSE),"")</f>
        <v>Itraconazole</v>
      </c>
      <c r="F1890" s="207" t="str">
        <f>IF(AND(A1890&lt;&gt;"",ISNUMBER(A1890)),VLOOKUP(A1890,Studies!A:BR,6,FALSE),"")</f>
        <v>Plasma</v>
      </c>
      <c r="G1890" s="194">
        <v>32</v>
      </c>
      <c r="H1890" s="194" t="s">
        <v>60</v>
      </c>
      <c r="I1890" s="187">
        <v>929.03125286102295</v>
      </c>
      <c r="J1890" s="187" t="s">
        <v>1026</v>
      </c>
      <c r="K1890" s="187" t="s">
        <v>116</v>
      </c>
      <c r="L1890" s="195"/>
      <c r="M1890" s="195"/>
      <c r="N1890" s="195"/>
      <c r="O1890" s="199"/>
      <c r="P1890" s="188"/>
      <c r="Q1890" s="174">
        <f>IF(ISNUMBER(VLOOKUP(A1890,NotghiID!A:A,1,FALSE)),1,0)</f>
        <v>0</v>
      </c>
    </row>
    <row r="1891" spans="1:17" ht="14.25" x14ac:dyDescent="0.2">
      <c r="A1891" s="183">
        <v>525</v>
      </c>
      <c r="B1891" s="232" t="str">
        <f>IF(AND(A1891&lt;&gt;"",ISNUMBER(A1891)),VLOOKUP(A1891,Studies!A:BR,2,FALSE),"")</f>
        <v>Mouton 2006</v>
      </c>
      <c r="C1891" s="232" t="str">
        <f>IF(AND(A1891&lt;&gt;"",ISNUMBER(A1891)),VLOOKUP(A1891,Studies!A:BR,3,FALSE),"")</f>
        <v>https://www.ncbi.nlm.nih.gov/pubmed/16982783</v>
      </c>
      <c r="D1891" s="232" t="str">
        <f>IF(AND(A1891&lt;&gt;"",ISNUMBER(A1891)),VLOOKUP(A1891,Studies!A:BR,4,FALSE),"")</f>
        <v>MAD_m_B 200 mg</v>
      </c>
      <c r="E1891" s="206" t="str">
        <f>IF(AND(A1891&lt;&gt;"",ISNUMBER(A1891)),VLOOKUP(A1891,Studies!A:BR,5,FALSE),"")</f>
        <v>Itraconazole</v>
      </c>
      <c r="F1891" s="207" t="str">
        <f>IF(AND(A1891&lt;&gt;"",ISNUMBER(A1891)),VLOOKUP(A1891,Studies!A:BR,6,FALSE),"")</f>
        <v>Plasma</v>
      </c>
      <c r="G1891" s="194">
        <v>48</v>
      </c>
      <c r="H1891" s="194" t="s">
        <v>60</v>
      </c>
      <c r="I1891" s="187">
        <v>984.47608947753906</v>
      </c>
      <c r="J1891" s="187" t="s">
        <v>1026</v>
      </c>
      <c r="K1891" s="187" t="s">
        <v>116</v>
      </c>
      <c r="L1891" s="195"/>
      <c r="M1891" s="195"/>
      <c r="N1891" s="195"/>
      <c r="O1891" s="199"/>
      <c r="P1891" s="188"/>
      <c r="Q1891" s="174">
        <f>IF(ISNUMBER(VLOOKUP(A1891,NotghiID!A:A,1,FALSE)),1,0)</f>
        <v>0</v>
      </c>
    </row>
    <row r="1892" spans="1:17" ht="14.25" x14ac:dyDescent="0.2">
      <c r="A1892" s="183">
        <v>525</v>
      </c>
      <c r="B1892" s="232" t="str">
        <f>IF(AND(A1892&lt;&gt;"",ISNUMBER(A1892)),VLOOKUP(A1892,Studies!A:BR,2,FALSE),"")</f>
        <v>Mouton 2006</v>
      </c>
      <c r="C1892" s="232" t="str">
        <f>IF(AND(A1892&lt;&gt;"",ISNUMBER(A1892)),VLOOKUP(A1892,Studies!A:BR,3,FALSE),"")</f>
        <v>https://www.ncbi.nlm.nih.gov/pubmed/16982783</v>
      </c>
      <c r="D1892" s="232" t="str">
        <f>IF(AND(A1892&lt;&gt;"",ISNUMBER(A1892)),VLOOKUP(A1892,Studies!A:BR,4,FALSE),"")</f>
        <v>MAD_m_B 200 mg</v>
      </c>
      <c r="E1892" s="206" t="str">
        <f>IF(AND(A1892&lt;&gt;"",ISNUMBER(A1892)),VLOOKUP(A1892,Studies!A:BR,5,FALSE),"")</f>
        <v>Itraconazole</v>
      </c>
      <c r="F1892" s="207" t="str">
        <f>IF(AND(A1892&lt;&gt;"",ISNUMBER(A1892)),VLOOKUP(A1892,Studies!A:BR,6,FALSE),"")</f>
        <v>Plasma</v>
      </c>
      <c r="G1892" s="194">
        <v>50</v>
      </c>
      <c r="H1892" s="194" t="s">
        <v>60</v>
      </c>
      <c r="I1892" s="187">
        <v>3616.0969734191895</v>
      </c>
      <c r="J1892" s="187" t="s">
        <v>1026</v>
      </c>
      <c r="K1892" s="187" t="s">
        <v>116</v>
      </c>
      <c r="L1892" s="195"/>
      <c r="M1892" s="195"/>
      <c r="N1892" s="195"/>
      <c r="O1892" s="199"/>
      <c r="P1892" s="188"/>
      <c r="Q1892" s="174">
        <f>IF(ISNUMBER(VLOOKUP(A1892,NotghiID!A:A,1,FALSE)),1,0)</f>
        <v>0</v>
      </c>
    </row>
    <row r="1893" spans="1:17" ht="14.25" x14ac:dyDescent="0.2">
      <c r="A1893" s="183">
        <v>525</v>
      </c>
      <c r="B1893" s="232" t="str">
        <f>IF(AND(A1893&lt;&gt;"",ISNUMBER(A1893)),VLOOKUP(A1893,Studies!A:BR,2,FALSE),"")</f>
        <v>Mouton 2006</v>
      </c>
      <c r="C1893" s="232" t="str">
        <f>IF(AND(A1893&lt;&gt;"",ISNUMBER(A1893)),VLOOKUP(A1893,Studies!A:BR,3,FALSE),"")</f>
        <v>https://www.ncbi.nlm.nih.gov/pubmed/16982783</v>
      </c>
      <c r="D1893" s="232" t="str">
        <f>IF(AND(A1893&lt;&gt;"",ISNUMBER(A1893)),VLOOKUP(A1893,Studies!A:BR,4,FALSE),"")</f>
        <v>MAD_m_B 200 mg</v>
      </c>
      <c r="E1893" s="206" t="str">
        <f>IF(AND(A1893&lt;&gt;"",ISNUMBER(A1893)),VLOOKUP(A1893,Studies!A:BR,5,FALSE),"")</f>
        <v>Itraconazole</v>
      </c>
      <c r="F1893" s="207" t="str">
        <f>IF(AND(A1893&lt;&gt;"",ISNUMBER(A1893)),VLOOKUP(A1893,Studies!A:BR,6,FALSE),"")</f>
        <v>Plasma</v>
      </c>
      <c r="G1893" s="194">
        <v>72</v>
      </c>
      <c r="H1893" s="194" t="s">
        <v>60</v>
      </c>
      <c r="I1893" s="187">
        <v>888.07559013366699</v>
      </c>
      <c r="J1893" s="187" t="s">
        <v>1026</v>
      </c>
      <c r="K1893" s="187" t="s">
        <v>116</v>
      </c>
      <c r="L1893" s="195"/>
      <c r="M1893" s="195"/>
      <c r="N1893" s="195"/>
      <c r="O1893" s="199"/>
      <c r="P1893" s="188"/>
      <c r="Q1893" s="174">
        <f>IF(ISNUMBER(VLOOKUP(A1893,NotghiID!A:A,1,FALSE)),1,0)</f>
        <v>0</v>
      </c>
    </row>
    <row r="1894" spans="1:17" ht="14.25" x14ac:dyDescent="0.2">
      <c r="A1894" s="183">
        <v>525</v>
      </c>
      <c r="B1894" s="232" t="str">
        <f>IF(AND(A1894&lt;&gt;"",ISNUMBER(A1894)),VLOOKUP(A1894,Studies!A:BR,2,FALSE),"")</f>
        <v>Mouton 2006</v>
      </c>
      <c r="C1894" s="232" t="str">
        <f>IF(AND(A1894&lt;&gt;"",ISNUMBER(A1894)),VLOOKUP(A1894,Studies!A:BR,3,FALSE),"")</f>
        <v>https://www.ncbi.nlm.nih.gov/pubmed/16982783</v>
      </c>
      <c r="D1894" s="232" t="str">
        <f>IF(AND(A1894&lt;&gt;"",ISNUMBER(A1894)),VLOOKUP(A1894,Studies!A:BR,4,FALSE),"")</f>
        <v>MAD_m_B 200 mg</v>
      </c>
      <c r="E1894" s="206" t="str">
        <f>IF(AND(A1894&lt;&gt;"",ISNUMBER(A1894)),VLOOKUP(A1894,Studies!A:BR,5,FALSE),"")</f>
        <v>Itraconazole</v>
      </c>
      <c r="F1894" s="207" t="str">
        <f>IF(AND(A1894&lt;&gt;"",ISNUMBER(A1894)),VLOOKUP(A1894,Studies!A:BR,6,FALSE),"")</f>
        <v>Plasma</v>
      </c>
      <c r="G1894" s="194">
        <v>74</v>
      </c>
      <c r="H1894" s="194" t="s">
        <v>60</v>
      </c>
      <c r="I1894" s="187">
        <v>3807.3060512542725</v>
      </c>
      <c r="J1894" s="187" t="s">
        <v>1026</v>
      </c>
      <c r="K1894" s="187" t="s">
        <v>116</v>
      </c>
      <c r="L1894" s="195"/>
      <c r="M1894" s="195"/>
      <c r="N1894" s="195"/>
      <c r="O1894" s="199"/>
      <c r="P1894" s="188"/>
      <c r="Q1894" s="174">
        <f>IF(ISNUMBER(VLOOKUP(A1894,NotghiID!A:A,1,FALSE)),1,0)</f>
        <v>0</v>
      </c>
    </row>
    <row r="1895" spans="1:17" ht="14.25" x14ac:dyDescent="0.2">
      <c r="A1895" s="183">
        <v>525</v>
      </c>
      <c r="B1895" s="232" t="str">
        <f>IF(AND(A1895&lt;&gt;"",ISNUMBER(A1895)),VLOOKUP(A1895,Studies!A:BR,2,FALSE),"")</f>
        <v>Mouton 2006</v>
      </c>
      <c r="C1895" s="232" t="str">
        <f>IF(AND(A1895&lt;&gt;"",ISNUMBER(A1895)),VLOOKUP(A1895,Studies!A:BR,3,FALSE),"")</f>
        <v>https://www.ncbi.nlm.nih.gov/pubmed/16982783</v>
      </c>
      <c r="D1895" s="232" t="str">
        <f>IF(AND(A1895&lt;&gt;"",ISNUMBER(A1895)),VLOOKUP(A1895,Studies!A:BR,4,FALSE),"")</f>
        <v>MAD_m_B 200 mg</v>
      </c>
      <c r="E1895" s="206" t="str">
        <f>IF(AND(A1895&lt;&gt;"",ISNUMBER(A1895)),VLOOKUP(A1895,Studies!A:BR,5,FALSE),"")</f>
        <v>Itraconazole</v>
      </c>
      <c r="F1895" s="207" t="str">
        <f>IF(AND(A1895&lt;&gt;"",ISNUMBER(A1895)),VLOOKUP(A1895,Studies!A:BR,6,FALSE),"")</f>
        <v>Plasma</v>
      </c>
      <c r="G1895" s="194">
        <v>96</v>
      </c>
      <c r="H1895" s="194" t="s">
        <v>60</v>
      </c>
      <c r="I1895" s="187">
        <v>953.2771110534668</v>
      </c>
      <c r="J1895" s="187" t="s">
        <v>1026</v>
      </c>
      <c r="K1895" s="187" t="s">
        <v>116</v>
      </c>
      <c r="L1895" s="195"/>
      <c r="M1895" s="195"/>
      <c r="N1895" s="195"/>
      <c r="O1895" s="199"/>
      <c r="P1895" s="188"/>
      <c r="Q1895" s="174">
        <f>IF(ISNUMBER(VLOOKUP(A1895,NotghiID!A:A,1,FALSE)),1,0)</f>
        <v>0</v>
      </c>
    </row>
    <row r="1896" spans="1:17" ht="14.25" x14ac:dyDescent="0.2">
      <c r="A1896" s="183">
        <v>525</v>
      </c>
      <c r="B1896" s="232" t="str">
        <f>IF(AND(A1896&lt;&gt;"",ISNUMBER(A1896)),VLOOKUP(A1896,Studies!A:BR,2,FALSE),"")</f>
        <v>Mouton 2006</v>
      </c>
      <c r="C1896" s="232" t="str">
        <f>IF(AND(A1896&lt;&gt;"",ISNUMBER(A1896)),VLOOKUP(A1896,Studies!A:BR,3,FALSE),"")</f>
        <v>https://www.ncbi.nlm.nih.gov/pubmed/16982783</v>
      </c>
      <c r="D1896" s="232" t="str">
        <f>IF(AND(A1896&lt;&gt;"",ISNUMBER(A1896)),VLOOKUP(A1896,Studies!A:BR,4,FALSE),"")</f>
        <v>MAD_m_B 200 mg</v>
      </c>
      <c r="E1896" s="206" t="str">
        <f>IF(AND(A1896&lt;&gt;"",ISNUMBER(A1896)),VLOOKUP(A1896,Studies!A:BR,5,FALSE),"")</f>
        <v>Itraconazole</v>
      </c>
      <c r="F1896" s="207" t="str">
        <f>IF(AND(A1896&lt;&gt;"",ISNUMBER(A1896)),VLOOKUP(A1896,Studies!A:BR,6,FALSE),"")</f>
        <v>Plasma</v>
      </c>
      <c r="G1896" s="194">
        <v>98</v>
      </c>
      <c r="H1896" s="194" t="s">
        <v>60</v>
      </c>
      <c r="I1896" s="187">
        <v>4247.8599548339844</v>
      </c>
      <c r="J1896" s="187" t="s">
        <v>1026</v>
      </c>
      <c r="K1896" s="187" t="s">
        <v>116</v>
      </c>
      <c r="L1896" s="195"/>
      <c r="M1896" s="195"/>
      <c r="N1896" s="195"/>
      <c r="O1896" s="199"/>
      <c r="P1896" s="188"/>
      <c r="Q1896" s="174">
        <f>IF(ISNUMBER(VLOOKUP(A1896,NotghiID!A:A,1,FALSE)),1,0)</f>
        <v>0</v>
      </c>
    </row>
    <row r="1897" spans="1:17" ht="14.25" x14ac:dyDescent="0.2">
      <c r="A1897" s="183">
        <v>525</v>
      </c>
      <c r="B1897" s="232" t="str">
        <f>IF(AND(A1897&lt;&gt;"",ISNUMBER(A1897)),VLOOKUP(A1897,Studies!A:BR,2,FALSE),"")</f>
        <v>Mouton 2006</v>
      </c>
      <c r="C1897" s="232" t="str">
        <f>IF(AND(A1897&lt;&gt;"",ISNUMBER(A1897)),VLOOKUP(A1897,Studies!A:BR,3,FALSE),"")</f>
        <v>https://www.ncbi.nlm.nih.gov/pubmed/16982783</v>
      </c>
      <c r="D1897" s="232" t="str">
        <f>IF(AND(A1897&lt;&gt;"",ISNUMBER(A1897)),VLOOKUP(A1897,Studies!A:BR,4,FALSE),"")</f>
        <v>MAD_m_B 200 mg</v>
      </c>
      <c r="E1897" s="206" t="str">
        <f>IF(AND(A1897&lt;&gt;"",ISNUMBER(A1897)),VLOOKUP(A1897,Studies!A:BR,5,FALSE),"")</f>
        <v>Itraconazole</v>
      </c>
      <c r="F1897" s="207" t="str">
        <f>IF(AND(A1897&lt;&gt;"",ISNUMBER(A1897)),VLOOKUP(A1897,Studies!A:BR,6,FALSE),"")</f>
        <v>Plasma</v>
      </c>
      <c r="G1897" s="194">
        <v>120</v>
      </c>
      <c r="H1897" s="194" t="s">
        <v>60</v>
      </c>
      <c r="I1897" s="187">
        <v>1056.7549467086792</v>
      </c>
      <c r="J1897" s="187" t="s">
        <v>1026</v>
      </c>
      <c r="K1897" s="187" t="s">
        <v>116</v>
      </c>
      <c r="L1897" s="195"/>
      <c r="M1897" s="195"/>
      <c r="N1897" s="195"/>
      <c r="O1897" s="199"/>
      <c r="P1897" s="188"/>
      <c r="Q1897" s="174">
        <f>IF(ISNUMBER(VLOOKUP(A1897,NotghiID!A:A,1,FALSE)),1,0)</f>
        <v>0</v>
      </c>
    </row>
    <row r="1898" spans="1:17" ht="14.25" x14ac:dyDescent="0.2">
      <c r="A1898" s="183">
        <v>525</v>
      </c>
      <c r="B1898" s="232" t="str">
        <f>IF(AND(A1898&lt;&gt;"",ISNUMBER(A1898)),VLOOKUP(A1898,Studies!A:BR,2,FALSE),"")</f>
        <v>Mouton 2006</v>
      </c>
      <c r="C1898" s="232" t="str">
        <f>IF(AND(A1898&lt;&gt;"",ISNUMBER(A1898)),VLOOKUP(A1898,Studies!A:BR,3,FALSE),"")</f>
        <v>https://www.ncbi.nlm.nih.gov/pubmed/16982783</v>
      </c>
      <c r="D1898" s="232" t="str">
        <f>IF(AND(A1898&lt;&gt;"",ISNUMBER(A1898)),VLOOKUP(A1898,Studies!A:BR,4,FALSE),"")</f>
        <v>MAD_m_B 200 mg</v>
      </c>
      <c r="E1898" s="206" t="str">
        <f>IF(AND(A1898&lt;&gt;"",ISNUMBER(A1898)),VLOOKUP(A1898,Studies!A:BR,5,FALSE),"")</f>
        <v>Itraconazole</v>
      </c>
      <c r="F1898" s="207" t="str">
        <f>IF(AND(A1898&lt;&gt;"",ISNUMBER(A1898)),VLOOKUP(A1898,Studies!A:BR,6,FALSE),"")</f>
        <v>Plasma</v>
      </c>
      <c r="G1898" s="194">
        <v>122</v>
      </c>
      <c r="H1898" s="194" t="s">
        <v>60</v>
      </c>
      <c r="I1898" s="187">
        <v>4008.6250305175781</v>
      </c>
      <c r="J1898" s="187" t="s">
        <v>1026</v>
      </c>
      <c r="K1898" s="187" t="s">
        <v>116</v>
      </c>
      <c r="L1898" s="195"/>
      <c r="M1898" s="195"/>
      <c r="N1898" s="195"/>
      <c r="O1898" s="199"/>
      <c r="P1898" s="188"/>
      <c r="Q1898" s="174">
        <f>IF(ISNUMBER(VLOOKUP(A1898,NotghiID!A:A,1,FALSE)),1,0)</f>
        <v>0</v>
      </c>
    </row>
    <row r="1899" spans="1:17" ht="14.25" x14ac:dyDescent="0.2">
      <c r="A1899" s="183">
        <v>525</v>
      </c>
      <c r="B1899" s="232" t="str">
        <f>IF(AND(A1899&lt;&gt;"",ISNUMBER(A1899)),VLOOKUP(A1899,Studies!A:BR,2,FALSE),"")</f>
        <v>Mouton 2006</v>
      </c>
      <c r="C1899" s="232" t="str">
        <f>IF(AND(A1899&lt;&gt;"",ISNUMBER(A1899)),VLOOKUP(A1899,Studies!A:BR,3,FALSE),"")</f>
        <v>https://www.ncbi.nlm.nih.gov/pubmed/16982783</v>
      </c>
      <c r="D1899" s="232" t="str">
        <f>IF(AND(A1899&lt;&gt;"",ISNUMBER(A1899)),VLOOKUP(A1899,Studies!A:BR,4,FALSE),"")</f>
        <v>MAD_m_B 200 mg</v>
      </c>
      <c r="E1899" s="206" t="str">
        <f>IF(AND(A1899&lt;&gt;"",ISNUMBER(A1899)),VLOOKUP(A1899,Studies!A:BR,5,FALSE),"")</f>
        <v>Itraconazole</v>
      </c>
      <c r="F1899" s="207" t="str">
        <f>IF(AND(A1899&lt;&gt;"",ISNUMBER(A1899)),VLOOKUP(A1899,Studies!A:BR,6,FALSE),"")</f>
        <v>Plasma</v>
      </c>
      <c r="G1899" s="194">
        <v>144</v>
      </c>
      <c r="H1899" s="194" t="s">
        <v>60</v>
      </c>
      <c r="I1899" s="187">
        <v>1282.0069789886475</v>
      </c>
      <c r="J1899" s="187" t="s">
        <v>1026</v>
      </c>
      <c r="K1899" s="187" t="s">
        <v>116</v>
      </c>
      <c r="L1899" s="195"/>
      <c r="M1899" s="195"/>
      <c r="N1899" s="195"/>
      <c r="O1899" s="199"/>
      <c r="P1899" s="188"/>
      <c r="Q1899" s="174">
        <f>IF(ISNUMBER(VLOOKUP(A1899,NotghiID!A:A,1,FALSE)),1,0)</f>
        <v>0</v>
      </c>
    </row>
    <row r="1900" spans="1:17" ht="14.25" x14ac:dyDescent="0.2">
      <c r="A1900" s="183">
        <v>525</v>
      </c>
      <c r="B1900" s="232" t="str">
        <f>IF(AND(A1900&lt;&gt;"",ISNUMBER(A1900)),VLOOKUP(A1900,Studies!A:BR,2,FALSE),"")</f>
        <v>Mouton 2006</v>
      </c>
      <c r="C1900" s="232" t="str">
        <f>IF(AND(A1900&lt;&gt;"",ISNUMBER(A1900)),VLOOKUP(A1900,Studies!A:BR,3,FALSE),"")</f>
        <v>https://www.ncbi.nlm.nih.gov/pubmed/16982783</v>
      </c>
      <c r="D1900" s="232" t="str">
        <f>IF(AND(A1900&lt;&gt;"",ISNUMBER(A1900)),VLOOKUP(A1900,Studies!A:BR,4,FALSE),"")</f>
        <v>MAD_m_B 200 mg</v>
      </c>
      <c r="E1900" s="206" t="str">
        <f>IF(AND(A1900&lt;&gt;"",ISNUMBER(A1900)),VLOOKUP(A1900,Studies!A:BR,5,FALSE),"")</f>
        <v>Itraconazole</v>
      </c>
      <c r="F1900" s="207" t="str">
        <f>IF(AND(A1900&lt;&gt;"",ISNUMBER(A1900)),VLOOKUP(A1900,Studies!A:BR,6,FALSE),"")</f>
        <v>Plasma</v>
      </c>
      <c r="G1900" s="194">
        <v>144.5</v>
      </c>
      <c r="H1900" s="194" t="s">
        <v>60</v>
      </c>
      <c r="I1900" s="187">
        <v>3303.8530349731445</v>
      </c>
      <c r="J1900" s="187" t="s">
        <v>1026</v>
      </c>
      <c r="K1900" s="187" t="s">
        <v>116</v>
      </c>
      <c r="L1900" s="195"/>
      <c r="M1900" s="195"/>
      <c r="N1900" s="195"/>
      <c r="O1900" s="199"/>
      <c r="P1900" s="188"/>
      <c r="Q1900" s="174">
        <f>IF(ISNUMBER(VLOOKUP(A1900,NotghiID!A:A,1,FALSE)),1,0)</f>
        <v>0</v>
      </c>
    </row>
    <row r="1901" spans="1:17" ht="14.25" x14ac:dyDescent="0.2">
      <c r="A1901" s="183">
        <v>525</v>
      </c>
      <c r="B1901" s="232" t="str">
        <f>IF(AND(A1901&lt;&gt;"",ISNUMBER(A1901)),VLOOKUP(A1901,Studies!A:BR,2,FALSE),"")</f>
        <v>Mouton 2006</v>
      </c>
      <c r="C1901" s="232" t="str">
        <f>IF(AND(A1901&lt;&gt;"",ISNUMBER(A1901)),VLOOKUP(A1901,Studies!A:BR,3,FALSE),"")</f>
        <v>https://www.ncbi.nlm.nih.gov/pubmed/16982783</v>
      </c>
      <c r="D1901" s="232" t="str">
        <f>IF(AND(A1901&lt;&gt;"",ISNUMBER(A1901)),VLOOKUP(A1901,Studies!A:BR,4,FALSE),"")</f>
        <v>MAD_m_B 200 mg</v>
      </c>
      <c r="E1901" s="206" t="str">
        <f>IF(AND(A1901&lt;&gt;"",ISNUMBER(A1901)),VLOOKUP(A1901,Studies!A:BR,5,FALSE),"")</f>
        <v>Itraconazole</v>
      </c>
      <c r="F1901" s="207" t="str">
        <f>IF(AND(A1901&lt;&gt;"",ISNUMBER(A1901)),VLOOKUP(A1901,Studies!A:BR,6,FALSE),"")</f>
        <v>Plasma</v>
      </c>
      <c r="G1901" s="194">
        <v>145</v>
      </c>
      <c r="H1901" s="194" t="s">
        <v>60</v>
      </c>
      <c r="I1901" s="187">
        <v>4032.8569412231445</v>
      </c>
      <c r="J1901" s="187" t="s">
        <v>1026</v>
      </c>
      <c r="K1901" s="187" t="s">
        <v>116</v>
      </c>
      <c r="L1901" s="195"/>
      <c r="M1901" s="195"/>
      <c r="N1901" s="195"/>
      <c r="O1901" s="199"/>
      <c r="P1901" s="188"/>
      <c r="Q1901" s="174">
        <f>IF(ISNUMBER(VLOOKUP(A1901,NotghiID!A:A,1,FALSE)),1,0)</f>
        <v>0</v>
      </c>
    </row>
    <row r="1902" spans="1:17" ht="14.25" x14ac:dyDescent="0.2">
      <c r="A1902" s="183">
        <v>525</v>
      </c>
      <c r="B1902" s="232" t="str">
        <f>IF(AND(A1902&lt;&gt;"",ISNUMBER(A1902)),VLOOKUP(A1902,Studies!A:BR,2,FALSE),"")</f>
        <v>Mouton 2006</v>
      </c>
      <c r="C1902" s="232" t="str">
        <f>IF(AND(A1902&lt;&gt;"",ISNUMBER(A1902)),VLOOKUP(A1902,Studies!A:BR,3,FALSE),"")</f>
        <v>https://www.ncbi.nlm.nih.gov/pubmed/16982783</v>
      </c>
      <c r="D1902" s="232" t="str">
        <f>IF(AND(A1902&lt;&gt;"",ISNUMBER(A1902)),VLOOKUP(A1902,Studies!A:BR,4,FALSE),"")</f>
        <v>MAD_m_B 200 mg</v>
      </c>
      <c r="E1902" s="206" t="str">
        <f>IF(AND(A1902&lt;&gt;"",ISNUMBER(A1902)),VLOOKUP(A1902,Studies!A:BR,5,FALSE),"")</f>
        <v>Itraconazole</v>
      </c>
      <c r="F1902" s="207" t="str">
        <f>IF(AND(A1902&lt;&gt;"",ISNUMBER(A1902)),VLOOKUP(A1902,Studies!A:BR,6,FALSE),"")</f>
        <v>Plasma</v>
      </c>
      <c r="G1902" s="194">
        <v>146</v>
      </c>
      <c r="H1902" s="194" t="s">
        <v>60</v>
      </c>
      <c r="I1902" s="187">
        <v>3757.3928833007812</v>
      </c>
      <c r="J1902" s="187" t="s">
        <v>1026</v>
      </c>
      <c r="K1902" s="187" t="s">
        <v>116</v>
      </c>
      <c r="L1902" s="195"/>
      <c r="M1902" s="195"/>
      <c r="N1902" s="195"/>
      <c r="O1902" s="199"/>
      <c r="P1902" s="188"/>
      <c r="Q1902" s="174">
        <f>IF(ISNUMBER(VLOOKUP(A1902,NotghiID!A:A,1,FALSE)),1,0)</f>
        <v>0</v>
      </c>
    </row>
    <row r="1903" spans="1:17" ht="14.25" x14ac:dyDescent="0.2">
      <c r="A1903" s="183">
        <v>525</v>
      </c>
      <c r="B1903" s="232" t="str">
        <f>IF(AND(A1903&lt;&gt;"",ISNUMBER(A1903)),VLOOKUP(A1903,Studies!A:BR,2,FALSE),"")</f>
        <v>Mouton 2006</v>
      </c>
      <c r="C1903" s="232" t="str">
        <f>IF(AND(A1903&lt;&gt;"",ISNUMBER(A1903)),VLOOKUP(A1903,Studies!A:BR,3,FALSE),"")</f>
        <v>https://www.ncbi.nlm.nih.gov/pubmed/16982783</v>
      </c>
      <c r="D1903" s="232" t="str">
        <f>IF(AND(A1903&lt;&gt;"",ISNUMBER(A1903)),VLOOKUP(A1903,Studies!A:BR,4,FALSE),"")</f>
        <v>MAD_m_B 200 mg</v>
      </c>
      <c r="E1903" s="206" t="str">
        <f>IF(AND(A1903&lt;&gt;"",ISNUMBER(A1903)),VLOOKUP(A1903,Studies!A:BR,5,FALSE),"")</f>
        <v>Itraconazole</v>
      </c>
      <c r="F1903" s="207" t="str">
        <f>IF(AND(A1903&lt;&gt;"",ISNUMBER(A1903)),VLOOKUP(A1903,Studies!A:BR,6,FALSE),"")</f>
        <v>Plasma</v>
      </c>
      <c r="G1903" s="194">
        <v>146.08000000000001</v>
      </c>
      <c r="H1903" s="194" t="s">
        <v>60</v>
      </c>
      <c r="I1903" s="187">
        <v>2777.1649360656738</v>
      </c>
      <c r="J1903" s="187" t="s">
        <v>1026</v>
      </c>
      <c r="K1903" s="187" t="s">
        <v>116</v>
      </c>
      <c r="L1903" s="195"/>
      <c r="M1903" s="195"/>
      <c r="N1903" s="195"/>
      <c r="O1903" s="199"/>
      <c r="P1903" s="188"/>
      <c r="Q1903" s="174">
        <f>IF(ISNUMBER(VLOOKUP(A1903,NotghiID!A:A,1,FALSE)),1,0)</f>
        <v>0</v>
      </c>
    </row>
    <row r="1904" spans="1:17" ht="14.25" x14ac:dyDescent="0.2">
      <c r="A1904" s="183">
        <v>525</v>
      </c>
      <c r="B1904" s="232" t="str">
        <f>IF(AND(A1904&lt;&gt;"",ISNUMBER(A1904)),VLOOKUP(A1904,Studies!A:BR,2,FALSE),"")</f>
        <v>Mouton 2006</v>
      </c>
      <c r="C1904" s="232" t="str">
        <f>IF(AND(A1904&lt;&gt;"",ISNUMBER(A1904)),VLOOKUP(A1904,Studies!A:BR,3,FALSE),"")</f>
        <v>https://www.ncbi.nlm.nih.gov/pubmed/16982783</v>
      </c>
      <c r="D1904" s="232" t="str">
        <f>IF(AND(A1904&lt;&gt;"",ISNUMBER(A1904)),VLOOKUP(A1904,Studies!A:BR,4,FALSE),"")</f>
        <v>MAD_m_B 200 mg</v>
      </c>
      <c r="E1904" s="206" t="str">
        <f>IF(AND(A1904&lt;&gt;"",ISNUMBER(A1904)),VLOOKUP(A1904,Studies!A:BR,5,FALSE),"")</f>
        <v>Itraconazole</v>
      </c>
      <c r="F1904" s="207" t="str">
        <f>IF(AND(A1904&lt;&gt;"",ISNUMBER(A1904)),VLOOKUP(A1904,Studies!A:BR,6,FALSE),"")</f>
        <v>Plasma</v>
      </c>
      <c r="G1904" s="194">
        <v>146.5</v>
      </c>
      <c r="H1904" s="194" t="s">
        <v>60</v>
      </c>
      <c r="I1904" s="187">
        <v>3757.3928833007812</v>
      </c>
      <c r="J1904" s="187" t="s">
        <v>1026</v>
      </c>
      <c r="K1904" s="187" t="s">
        <v>116</v>
      </c>
      <c r="L1904" s="195"/>
      <c r="M1904" s="195"/>
      <c r="N1904" s="195"/>
      <c r="O1904" s="199"/>
      <c r="P1904" s="188"/>
      <c r="Q1904" s="174">
        <f>IF(ISNUMBER(VLOOKUP(A1904,NotghiID!A:A,1,FALSE)),1,0)</f>
        <v>0</v>
      </c>
    </row>
    <row r="1905" spans="1:17" ht="14.25" x14ac:dyDescent="0.2">
      <c r="A1905" s="183">
        <v>525</v>
      </c>
      <c r="B1905" s="232" t="str">
        <f>IF(AND(A1905&lt;&gt;"",ISNUMBER(A1905)),VLOOKUP(A1905,Studies!A:BR,2,FALSE),"")</f>
        <v>Mouton 2006</v>
      </c>
      <c r="C1905" s="232" t="str">
        <f>IF(AND(A1905&lt;&gt;"",ISNUMBER(A1905)),VLOOKUP(A1905,Studies!A:BR,3,FALSE),"")</f>
        <v>https://www.ncbi.nlm.nih.gov/pubmed/16982783</v>
      </c>
      <c r="D1905" s="232" t="str">
        <f>IF(AND(A1905&lt;&gt;"",ISNUMBER(A1905)),VLOOKUP(A1905,Studies!A:BR,4,FALSE),"")</f>
        <v>MAD_m_B 200 mg</v>
      </c>
      <c r="E1905" s="206" t="str">
        <f>IF(AND(A1905&lt;&gt;"",ISNUMBER(A1905)),VLOOKUP(A1905,Studies!A:BR,5,FALSE),"")</f>
        <v>Itraconazole</v>
      </c>
      <c r="F1905" s="207" t="str">
        <f>IF(AND(A1905&lt;&gt;"",ISNUMBER(A1905)),VLOOKUP(A1905,Studies!A:BR,6,FALSE),"")</f>
        <v>Plasma</v>
      </c>
      <c r="G1905" s="194">
        <v>146.75</v>
      </c>
      <c r="H1905" s="194" t="s">
        <v>60</v>
      </c>
      <c r="I1905" s="187">
        <v>2065.9041404724121</v>
      </c>
      <c r="J1905" s="187" t="s">
        <v>1026</v>
      </c>
      <c r="K1905" s="187" t="s">
        <v>116</v>
      </c>
      <c r="L1905" s="195"/>
      <c r="M1905" s="195"/>
      <c r="N1905" s="195"/>
      <c r="O1905" s="199"/>
      <c r="P1905" s="188"/>
      <c r="Q1905" s="174">
        <f>IF(ISNUMBER(VLOOKUP(A1905,NotghiID!A:A,1,FALSE)),1,0)</f>
        <v>0</v>
      </c>
    </row>
    <row r="1906" spans="1:17" ht="14.25" x14ac:dyDescent="0.2">
      <c r="A1906" s="183">
        <v>525</v>
      </c>
      <c r="B1906" s="232" t="str">
        <f>IF(AND(A1906&lt;&gt;"",ISNUMBER(A1906)),VLOOKUP(A1906,Studies!A:BR,2,FALSE),"")</f>
        <v>Mouton 2006</v>
      </c>
      <c r="C1906" s="232" t="str">
        <f>IF(AND(A1906&lt;&gt;"",ISNUMBER(A1906)),VLOOKUP(A1906,Studies!A:BR,3,FALSE),"")</f>
        <v>https://www.ncbi.nlm.nih.gov/pubmed/16982783</v>
      </c>
      <c r="D1906" s="232" t="str">
        <f>IF(AND(A1906&lt;&gt;"",ISNUMBER(A1906)),VLOOKUP(A1906,Studies!A:BR,4,FALSE),"")</f>
        <v>MAD_m_B 200 mg</v>
      </c>
      <c r="E1906" s="206" t="str">
        <f>IF(AND(A1906&lt;&gt;"",ISNUMBER(A1906)),VLOOKUP(A1906,Studies!A:BR,5,FALSE),"")</f>
        <v>Itraconazole</v>
      </c>
      <c r="F1906" s="207" t="str">
        <f>IF(AND(A1906&lt;&gt;"",ISNUMBER(A1906)),VLOOKUP(A1906,Studies!A:BR,6,FALSE),"")</f>
        <v>Plasma</v>
      </c>
      <c r="G1906" s="194">
        <v>147</v>
      </c>
      <c r="H1906" s="194" t="s">
        <v>60</v>
      </c>
      <c r="I1906" s="187">
        <v>1770.3979015350342</v>
      </c>
      <c r="J1906" s="187" t="s">
        <v>1026</v>
      </c>
      <c r="K1906" s="187" t="s">
        <v>116</v>
      </c>
      <c r="L1906" s="195"/>
      <c r="M1906" s="195"/>
      <c r="N1906" s="195"/>
      <c r="O1906" s="199"/>
      <c r="P1906" s="188"/>
      <c r="Q1906" s="174">
        <f>IF(ISNUMBER(VLOOKUP(A1906,NotghiID!A:A,1,FALSE)),1,0)</f>
        <v>0</v>
      </c>
    </row>
    <row r="1907" spans="1:17" ht="14.25" x14ac:dyDescent="0.2">
      <c r="A1907" s="183">
        <v>525</v>
      </c>
      <c r="B1907" s="232" t="str">
        <f>IF(AND(A1907&lt;&gt;"",ISNUMBER(A1907)),VLOOKUP(A1907,Studies!A:BR,2,FALSE),"")</f>
        <v>Mouton 2006</v>
      </c>
      <c r="C1907" s="232" t="str">
        <f>IF(AND(A1907&lt;&gt;"",ISNUMBER(A1907)),VLOOKUP(A1907,Studies!A:BR,3,FALSE),"")</f>
        <v>https://www.ncbi.nlm.nih.gov/pubmed/16982783</v>
      </c>
      <c r="D1907" s="232" t="str">
        <f>IF(AND(A1907&lt;&gt;"",ISNUMBER(A1907)),VLOOKUP(A1907,Studies!A:BR,4,FALSE),"")</f>
        <v>MAD_m_B 200 mg</v>
      </c>
      <c r="E1907" s="206" t="str">
        <f>IF(AND(A1907&lt;&gt;"",ISNUMBER(A1907)),VLOOKUP(A1907,Studies!A:BR,5,FALSE),"")</f>
        <v>Itraconazole</v>
      </c>
      <c r="F1907" s="207" t="str">
        <f>IF(AND(A1907&lt;&gt;"",ISNUMBER(A1907)),VLOOKUP(A1907,Studies!A:BR,6,FALSE),"")</f>
        <v>Plasma</v>
      </c>
      <c r="G1907" s="194">
        <v>147.5</v>
      </c>
      <c r="H1907" s="194" t="s">
        <v>60</v>
      </c>
      <c r="I1907" s="187">
        <v>1851.9279956817627</v>
      </c>
      <c r="J1907" s="187" t="s">
        <v>1026</v>
      </c>
      <c r="K1907" s="187" t="s">
        <v>116</v>
      </c>
      <c r="L1907" s="195"/>
      <c r="M1907" s="195"/>
      <c r="N1907" s="195"/>
      <c r="O1907" s="199"/>
      <c r="P1907" s="188"/>
      <c r="Q1907" s="174">
        <f>IF(ISNUMBER(VLOOKUP(A1907,NotghiID!A:A,1,FALSE)),1,0)</f>
        <v>0</v>
      </c>
    </row>
    <row r="1908" spans="1:17" ht="14.25" x14ac:dyDescent="0.2">
      <c r="A1908" s="183">
        <v>525</v>
      </c>
      <c r="B1908" s="232" t="str">
        <f>IF(AND(A1908&lt;&gt;"",ISNUMBER(A1908)),VLOOKUP(A1908,Studies!A:BR,2,FALSE),"")</f>
        <v>Mouton 2006</v>
      </c>
      <c r="C1908" s="232" t="str">
        <f>IF(AND(A1908&lt;&gt;"",ISNUMBER(A1908)),VLOOKUP(A1908,Studies!A:BR,3,FALSE),"")</f>
        <v>https://www.ncbi.nlm.nih.gov/pubmed/16982783</v>
      </c>
      <c r="D1908" s="232" t="str">
        <f>IF(AND(A1908&lt;&gt;"",ISNUMBER(A1908)),VLOOKUP(A1908,Studies!A:BR,4,FALSE),"")</f>
        <v>MAD_m_B 200 mg</v>
      </c>
      <c r="E1908" s="206" t="str">
        <f>IF(AND(A1908&lt;&gt;"",ISNUMBER(A1908)),VLOOKUP(A1908,Studies!A:BR,5,FALSE),"")</f>
        <v>Itraconazole</v>
      </c>
      <c r="F1908" s="207" t="str">
        <f>IF(AND(A1908&lt;&gt;"",ISNUMBER(A1908)),VLOOKUP(A1908,Studies!A:BR,6,FALSE),"")</f>
        <v>Plasma</v>
      </c>
      <c r="G1908" s="194">
        <v>148</v>
      </c>
      <c r="H1908" s="194" t="s">
        <v>60</v>
      </c>
      <c r="I1908" s="187">
        <v>1526.9509553909302</v>
      </c>
      <c r="J1908" s="187" t="s">
        <v>1026</v>
      </c>
      <c r="K1908" s="187" t="s">
        <v>116</v>
      </c>
      <c r="L1908" s="195"/>
      <c r="M1908" s="195"/>
      <c r="N1908" s="195"/>
      <c r="O1908" s="199"/>
      <c r="P1908" s="188"/>
      <c r="Q1908" s="174">
        <f>IF(ISNUMBER(VLOOKUP(A1908,NotghiID!A:A,1,FALSE)),1,0)</f>
        <v>0</v>
      </c>
    </row>
    <row r="1909" spans="1:17" ht="14.25" x14ac:dyDescent="0.2">
      <c r="A1909" s="183">
        <v>525</v>
      </c>
      <c r="B1909" s="232" t="str">
        <f>IF(AND(A1909&lt;&gt;"",ISNUMBER(A1909)),VLOOKUP(A1909,Studies!A:BR,2,FALSE),"")</f>
        <v>Mouton 2006</v>
      </c>
      <c r="C1909" s="232" t="str">
        <f>IF(AND(A1909&lt;&gt;"",ISNUMBER(A1909)),VLOOKUP(A1909,Studies!A:BR,3,FALSE),"")</f>
        <v>https://www.ncbi.nlm.nih.gov/pubmed/16982783</v>
      </c>
      <c r="D1909" s="232" t="str">
        <f>IF(AND(A1909&lt;&gt;"",ISNUMBER(A1909)),VLOOKUP(A1909,Studies!A:BR,4,FALSE),"")</f>
        <v>MAD_m_B 200 mg</v>
      </c>
      <c r="E1909" s="206" t="str">
        <f>IF(AND(A1909&lt;&gt;"",ISNUMBER(A1909)),VLOOKUP(A1909,Studies!A:BR,5,FALSE),"")</f>
        <v>Itraconazole</v>
      </c>
      <c r="F1909" s="207" t="str">
        <f>IF(AND(A1909&lt;&gt;"",ISNUMBER(A1909)),VLOOKUP(A1909,Studies!A:BR,6,FALSE),"")</f>
        <v>Plasma</v>
      </c>
      <c r="G1909" s="194">
        <v>150</v>
      </c>
      <c r="H1909" s="194" t="s">
        <v>60</v>
      </c>
      <c r="I1909" s="187">
        <v>1507.4349641799927</v>
      </c>
      <c r="J1909" s="187" t="s">
        <v>1026</v>
      </c>
      <c r="K1909" s="187" t="s">
        <v>116</v>
      </c>
      <c r="L1909" s="195"/>
      <c r="M1909" s="195"/>
      <c r="N1909" s="195"/>
      <c r="O1909" s="199"/>
      <c r="P1909" s="188"/>
      <c r="Q1909" s="174">
        <f>IF(ISNUMBER(VLOOKUP(A1909,NotghiID!A:A,1,FALSE)),1,0)</f>
        <v>0</v>
      </c>
    </row>
    <row r="1910" spans="1:17" ht="14.25" x14ac:dyDescent="0.2">
      <c r="A1910" s="183">
        <v>525</v>
      </c>
      <c r="B1910" s="232" t="str">
        <f>IF(AND(A1910&lt;&gt;"",ISNUMBER(A1910)),VLOOKUP(A1910,Studies!A:BR,2,FALSE),"")</f>
        <v>Mouton 2006</v>
      </c>
      <c r="C1910" s="232" t="str">
        <f>IF(AND(A1910&lt;&gt;"",ISNUMBER(A1910)),VLOOKUP(A1910,Studies!A:BR,3,FALSE),"")</f>
        <v>https://www.ncbi.nlm.nih.gov/pubmed/16982783</v>
      </c>
      <c r="D1910" s="232" t="str">
        <f>IF(AND(A1910&lt;&gt;"",ISNUMBER(A1910)),VLOOKUP(A1910,Studies!A:BR,4,FALSE),"")</f>
        <v>MAD_m_B 200 mg</v>
      </c>
      <c r="E1910" s="206" t="str">
        <f>IF(AND(A1910&lt;&gt;"",ISNUMBER(A1910)),VLOOKUP(A1910,Studies!A:BR,5,FALSE),"")</f>
        <v>Itraconazole</v>
      </c>
      <c r="F1910" s="207" t="str">
        <f>IF(AND(A1910&lt;&gt;"",ISNUMBER(A1910)),VLOOKUP(A1910,Studies!A:BR,6,FALSE),"")</f>
        <v>Plasma</v>
      </c>
      <c r="G1910" s="194">
        <v>152</v>
      </c>
      <c r="H1910" s="194" t="s">
        <v>60</v>
      </c>
      <c r="I1910" s="187">
        <v>1526.9509553909302</v>
      </c>
      <c r="J1910" s="187" t="s">
        <v>1026</v>
      </c>
      <c r="K1910" s="187" t="s">
        <v>116</v>
      </c>
      <c r="L1910" s="195"/>
      <c r="M1910" s="195"/>
      <c r="N1910" s="195"/>
      <c r="O1910" s="199"/>
      <c r="P1910" s="188"/>
      <c r="Q1910" s="174">
        <f>IF(ISNUMBER(VLOOKUP(A1910,NotghiID!A:A,1,FALSE)),1,0)</f>
        <v>0</v>
      </c>
    </row>
    <row r="1911" spans="1:17" ht="14.25" x14ac:dyDescent="0.2">
      <c r="A1911" s="183">
        <v>525</v>
      </c>
      <c r="B1911" s="232" t="str">
        <f>IF(AND(A1911&lt;&gt;"",ISNUMBER(A1911)),VLOOKUP(A1911,Studies!A:BR,2,FALSE),"")</f>
        <v>Mouton 2006</v>
      </c>
      <c r="C1911" s="232" t="str">
        <f>IF(AND(A1911&lt;&gt;"",ISNUMBER(A1911)),VLOOKUP(A1911,Studies!A:BR,3,FALSE),"")</f>
        <v>https://www.ncbi.nlm.nih.gov/pubmed/16982783</v>
      </c>
      <c r="D1911" s="232" t="str">
        <f>IF(AND(A1911&lt;&gt;"",ISNUMBER(A1911)),VLOOKUP(A1911,Studies!A:BR,4,FALSE),"")</f>
        <v>MAD_m_B 200 mg</v>
      </c>
      <c r="E1911" s="206" t="str">
        <f>IF(AND(A1911&lt;&gt;"",ISNUMBER(A1911)),VLOOKUP(A1911,Studies!A:BR,5,FALSE),"")</f>
        <v>Itraconazole</v>
      </c>
      <c r="F1911" s="207" t="str">
        <f>IF(AND(A1911&lt;&gt;"",ISNUMBER(A1911)),VLOOKUP(A1911,Studies!A:BR,6,FALSE),"")</f>
        <v>Plasma</v>
      </c>
      <c r="G1911" s="194">
        <v>154</v>
      </c>
      <c r="H1911" s="194" t="s">
        <v>60</v>
      </c>
      <c r="I1911" s="187">
        <v>1566.7450428009033</v>
      </c>
      <c r="J1911" s="187" t="s">
        <v>1026</v>
      </c>
      <c r="K1911" s="187" t="s">
        <v>116</v>
      </c>
      <c r="L1911" s="195"/>
      <c r="M1911" s="195"/>
      <c r="N1911" s="195"/>
      <c r="O1911" s="199"/>
      <c r="P1911" s="188"/>
      <c r="Q1911" s="174">
        <f>IF(ISNUMBER(VLOOKUP(A1911,NotghiID!A:A,1,FALSE)),1,0)</f>
        <v>0</v>
      </c>
    </row>
    <row r="1912" spans="1:17" ht="14.25" x14ac:dyDescent="0.2">
      <c r="A1912" s="183">
        <v>525</v>
      </c>
      <c r="B1912" s="232" t="str">
        <f>IF(AND(A1912&lt;&gt;"",ISNUMBER(A1912)),VLOOKUP(A1912,Studies!A:BR,2,FALSE),"")</f>
        <v>Mouton 2006</v>
      </c>
      <c r="C1912" s="232" t="str">
        <f>IF(AND(A1912&lt;&gt;"",ISNUMBER(A1912)),VLOOKUP(A1912,Studies!A:BR,3,FALSE),"")</f>
        <v>https://www.ncbi.nlm.nih.gov/pubmed/16982783</v>
      </c>
      <c r="D1912" s="232" t="str">
        <f>IF(AND(A1912&lt;&gt;"",ISNUMBER(A1912)),VLOOKUP(A1912,Studies!A:BR,4,FALSE),"")</f>
        <v>MAD_m_B 200 mg</v>
      </c>
      <c r="E1912" s="206" t="str">
        <f>IF(AND(A1912&lt;&gt;"",ISNUMBER(A1912)),VLOOKUP(A1912,Studies!A:BR,5,FALSE),"")</f>
        <v>Itraconazole</v>
      </c>
      <c r="F1912" s="207" t="str">
        <f>IF(AND(A1912&lt;&gt;"",ISNUMBER(A1912)),VLOOKUP(A1912,Studies!A:BR,6,FALSE),"")</f>
        <v>Plasma</v>
      </c>
      <c r="G1912" s="194">
        <v>160</v>
      </c>
      <c r="H1912" s="194" t="s">
        <v>60</v>
      </c>
      <c r="I1912" s="187">
        <v>1325.4780769348145</v>
      </c>
      <c r="J1912" s="187" t="s">
        <v>1026</v>
      </c>
      <c r="K1912" s="187" t="s">
        <v>116</v>
      </c>
      <c r="L1912" s="195"/>
      <c r="M1912" s="195"/>
      <c r="N1912" s="195"/>
      <c r="O1912" s="199"/>
      <c r="P1912" s="188"/>
      <c r="Q1912" s="174">
        <f>IF(ISNUMBER(VLOOKUP(A1912,NotghiID!A:A,1,FALSE)),1,0)</f>
        <v>0</v>
      </c>
    </row>
    <row r="1913" spans="1:17" ht="14.25" x14ac:dyDescent="0.2">
      <c r="A1913" s="183">
        <v>525</v>
      </c>
      <c r="B1913" s="232" t="str">
        <f>IF(AND(A1913&lt;&gt;"",ISNUMBER(A1913)),VLOOKUP(A1913,Studies!A:BR,2,FALSE),"")</f>
        <v>Mouton 2006</v>
      </c>
      <c r="C1913" s="232" t="str">
        <f>IF(AND(A1913&lt;&gt;"",ISNUMBER(A1913)),VLOOKUP(A1913,Studies!A:BR,3,FALSE),"")</f>
        <v>https://www.ncbi.nlm.nih.gov/pubmed/16982783</v>
      </c>
      <c r="D1913" s="232" t="str">
        <f>IF(AND(A1913&lt;&gt;"",ISNUMBER(A1913)),VLOOKUP(A1913,Studies!A:BR,4,FALSE),"")</f>
        <v>MAD_m_B 200 mg</v>
      </c>
      <c r="E1913" s="206" t="str">
        <f>IF(AND(A1913&lt;&gt;"",ISNUMBER(A1913)),VLOOKUP(A1913,Studies!A:BR,5,FALSE),"")</f>
        <v>Itraconazole</v>
      </c>
      <c r="F1913" s="207" t="str">
        <f>IF(AND(A1913&lt;&gt;"",ISNUMBER(A1913)),VLOOKUP(A1913,Studies!A:BR,6,FALSE),"")</f>
        <v>Plasma</v>
      </c>
      <c r="G1913" s="194">
        <v>168</v>
      </c>
      <c r="H1913" s="194" t="s">
        <v>60</v>
      </c>
      <c r="I1913" s="187">
        <v>1351.3020277023315</v>
      </c>
      <c r="J1913" s="187" t="s">
        <v>1026</v>
      </c>
      <c r="K1913" s="187" t="s">
        <v>116</v>
      </c>
      <c r="L1913" s="195"/>
      <c r="M1913" s="195"/>
      <c r="N1913" s="195"/>
      <c r="O1913" s="199"/>
      <c r="P1913" s="188"/>
      <c r="Q1913" s="174">
        <f>IF(ISNUMBER(VLOOKUP(A1913,NotghiID!A:A,1,FALSE)),1,0)</f>
        <v>0</v>
      </c>
    </row>
    <row r="1914" spans="1:17" ht="14.25" x14ac:dyDescent="0.2">
      <c r="A1914" s="183">
        <v>525</v>
      </c>
      <c r="B1914" s="232" t="str">
        <f>IF(AND(A1914&lt;&gt;"",ISNUMBER(A1914)),VLOOKUP(A1914,Studies!A:BR,2,FALSE),"")</f>
        <v>Mouton 2006</v>
      </c>
      <c r="C1914" s="232" t="str">
        <f>IF(AND(A1914&lt;&gt;"",ISNUMBER(A1914)),VLOOKUP(A1914,Studies!A:BR,3,FALSE),"")</f>
        <v>https://www.ncbi.nlm.nih.gov/pubmed/16982783</v>
      </c>
      <c r="D1914" s="232" t="str">
        <f>IF(AND(A1914&lt;&gt;"",ISNUMBER(A1914)),VLOOKUP(A1914,Studies!A:BR,4,FALSE),"")</f>
        <v>MAD_m_B 200 mg</v>
      </c>
      <c r="E1914" s="206" t="str">
        <f>IF(AND(A1914&lt;&gt;"",ISNUMBER(A1914)),VLOOKUP(A1914,Studies!A:BR,5,FALSE),"")</f>
        <v>Itraconazole</v>
      </c>
      <c r="F1914" s="207" t="str">
        <f>IF(AND(A1914&lt;&gt;"",ISNUMBER(A1914)),VLOOKUP(A1914,Studies!A:BR,6,FALSE),"")</f>
        <v>Plasma</v>
      </c>
      <c r="G1914" s="194">
        <v>176</v>
      </c>
      <c r="H1914" s="194" t="s">
        <v>60</v>
      </c>
      <c r="I1914" s="187">
        <v>1158.0129861831665</v>
      </c>
      <c r="J1914" s="187" t="s">
        <v>1026</v>
      </c>
      <c r="K1914" s="187" t="s">
        <v>116</v>
      </c>
      <c r="L1914" s="195"/>
      <c r="M1914" s="195"/>
      <c r="N1914" s="195"/>
      <c r="O1914" s="199"/>
      <c r="P1914" s="188"/>
      <c r="Q1914" s="174">
        <f>IF(ISNUMBER(VLOOKUP(A1914,NotghiID!A:A,1,FALSE)),1,0)</f>
        <v>0</v>
      </c>
    </row>
    <row r="1915" spans="1:17" ht="14.25" x14ac:dyDescent="0.2">
      <c r="A1915" s="183">
        <v>525</v>
      </c>
      <c r="B1915" s="232" t="str">
        <f>IF(AND(A1915&lt;&gt;"",ISNUMBER(A1915)),VLOOKUP(A1915,Studies!A:BR,2,FALSE),"")</f>
        <v>Mouton 2006</v>
      </c>
      <c r="C1915" s="232" t="str">
        <f>IF(AND(A1915&lt;&gt;"",ISNUMBER(A1915)),VLOOKUP(A1915,Studies!A:BR,3,FALSE),"")</f>
        <v>https://www.ncbi.nlm.nih.gov/pubmed/16982783</v>
      </c>
      <c r="D1915" s="232" t="str">
        <f>IF(AND(A1915&lt;&gt;"",ISNUMBER(A1915)),VLOOKUP(A1915,Studies!A:BR,4,FALSE),"")</f>
        <v>MAD_m_B 200 mg</v>
      </c>
      <c r="E1915" s="206" t="str">
        <f>IF(AND(A1915&lt;&gt;"",ISNUMBER(A1915)),VLOOKUP(A1915,Studies!A:BR,5,FALSE),"")</f>
        <v>Itraconazole</v>
      </c>
      <c r="F1915" s="207" t="str">
        <f>IF(AND(A1915&lt;&gt;"",ISNUMBER(A1915)),VLOOKUP(A1915,Studies!A:BR,6,FALSE),"")</f>
        <v>Plasma</v>
      </c>
      <c r="G1915" s="194">
        <v>192</v>
      </c>
      <c r="H1915" s="194" t="s">
        <v>60</v>
      </c>
      <c r="I1915" s="187">
        <v>1092.8831100463867</v>
      </c>
      <c r="J1915" s="187" t="s">
        <v>1026</v>
      </c>
      <c r="K1915" s="187" t="s">
        <v>116</v>
      </c>
      <c r="L1915" s="195"/>
      <c r="M1915" s="195"/>
      <c r="N1915" s="195"/>
      <c r="O1915" s="199"/>
      <c r="P1915" s="188"/>
      <c r="Q1915" s="174">
        <f>IF(ISNUMBER(VLOOKUP(A1915,NotghiID!A:A,1,FALSE)),1,0)</f>
        <v>0</v>
      </c>
    </row>
    <row r="1916" spans="1:17" ht="14.25" x14ac:dyDescent="0.2">
      <c r="A1916" s="183">
        <v>525</v>
      </c>
      <c r="B1916" s="232" t="str">
        <f>IF(AND(A1916&lt;&gt;"",ISNUMBER(A1916)),VLOOKUP(A1916,Studies!A:BR,2,FALSE),"")</f>
        <v>Mouton 2006</v>
      </c>
      <c r="C1916" s="232" t="str">
        <f>IF(AND(A1916&lt;&gt;"",ISNUMBER(A1916)),VLOOKUP(A1916,Studies!A:BR,3,FALSE),"")</f>
        <v>https://www.ncbi.nlm.nih.gov/pubmed/16982783</v>
      </c>
      <c r="D1916" s="232" t="str">
        <f>IF(AND(A1916&lt;&gt;"",ISNUMBER(A1916)),VLOOKUP(A1916,Studies!A:BR,4,FALSE),"")</f>
        <v>MAD_m_B 200 mg</v>
      </c>
      <c r="E1916" s="206" t="str">
        <f>IF(AND(A1916&lt;&gt;"",ISNUMBER(A1916)),VLOOKUP(A1916,Studies!A:BR,5,FALSE),"")</f>
        <v>Itraconazole</v>
      </c>
      <c r="F1916" s="207" t="str">
        <f>IF(AND(A1916&lt;&gt;"",ISNUMBER(A1916)),VLOOKUP(A1916,Studies!A:BR,6,FALSE),"")</f>
        <v>Plasma</v>
      </c>
      <c r="G1916" s="194">
        <v>216</v>
      </c>
      <c r="H1916" s="194" t="s">
        <v>60</v>
      </c>
      <c r="I1916" s="187">
        <v>954.80471849441528</v>
      </c>
      <c r="J1916" s="187" t="s">
        <v>1026</v>
      </c>
      <c r="K1916" s="187" t="s">
        <v>116</v>
      </c>
      <c r="L1916" s="195"/>
      <c r="M1916" s="195"/>
      <c r="N1916" s="195"/>
      <c r="O1916" s="199"/>
      <c r="P1916" s="188"/>
      <c r="Q1916" s="174">
        <f>IF(ISNUMBER(VLOOKUP(A1916,NotghiID!A:A,1,FALSE)),1,0)</f>
        <v>0</v>
      </c>
    </row>
    <row r="1917" spans="1:17" ht="14.25" x14ac:dyDescent="0.2">
      <c r="A1917" s="183">
        <v>525</v>
      </c>
      <c r="B1917" s="232" t="str">
        <f>IF(AND(A1917&lt;&gt;"",ISNUMBER(A1917)),VLOOKUP(A1917,Studies!A:BR,2,FALSE),"")</f>
        <v>Mouton 2006</v>
      </c>
      <c r="C1917" s="232" t="str">
        <f>IF(AND(A1917&lt;&gt;"",ISNUMBER(A1917)),VLOOKUP(A1917,Studies!A:BR,3,FALSE),"")</f>
        <v>https://www.ncbi.nlm.nih.gov/pubmed/16982783</v>
      </c>
      <c r="D1917" s="232" t="str">
        <f>IF(AND(A1917&lt;&gt;"",ISNUMBER(A1917)),VLOOKUP(A1917,Studies!A:BR,4,FALSE),"")</f>
        <v>MAD_m_B 200 mg</v>
      </c>
      <c r="E1917" s="206" t="str">
        <f>IF(AND(A1917&lt;&gt;"",ISNUMBER(A1917)),VLOOKUP(A1917,Studies!A:BR,5,FALSE),"")</f>
        <v>Itraconazole</v>
      </c>
      <c r="F1917" s="207" t="str">
        <f>IF(AND(A1917&lt;&gt;"",ISNUMBER(A1917)),VLOOKUP(A1917,Studies!A:BR,6,FALSE),"")</f>
        <v>Plasma</v>
      </c>
      <c r="G1917" s="194">
        <v>240</v>
      </c>
      <c r="H1917" s="194" t="s">
        <v>60</v>
      </c>
      <c r="I1917" s="187">
        <v>812.98428773880005</v>
      </c>
      <c r="J1917" s="187" t="s">
        <v>1026</v>
      </c>
      <c r="K1917" s="187" t="s">
        <v>116</v>
      </c>
      <c r="L1917" s="195"/>
      <c r="M1917" s="195"/>
      <c r="N1917" s="195"/>
      <c r="O1917" s="199"/>
      <c r="P1917" s="188"/>
      <c r="Q1917" s="174">
        <f>IF(ISNUMBER(VLOOKUP(A1917,NotghiID!A:A,1,FALSE)),1,0)</f>
        <v>0</v>
      </c>
    </row>
    <row r="1918" spans="1:17" ht="14.25" x14ac:dyDescent="0.2">
      <c r="A1918" s="183">
        <v>525</v>
      </c>
      <c r="B1918" s="232" t="str">
        <f>IF(AND(A1918&lt;&gt;"",ISNUMBER(A1918)),VLOOKUP(A1918,Studies!A:BR,2,FALSE),"")</f>
        <v>Mouton 2006</v>
      </c>
      <c r="C1918" s="232" t="str">
        <f>IF(AND(A1918&lt;&gt;"",ISNUMBER(A1918)),VLOOKUP(A1918,Studies!A:BR,3,FALSE),"")</f>
        <v>https://www.ncbi.nlm.nih.gov/pubmed/16982783</v>
      </c>
      <c r="D1918" s="232" t="str">
        <f>IF(AND(A1918&lt;&gt;"",ISNUMBER(A1918)),VLOOKUP(A1918,Studies!A:BR,4,FALSE),"")</f>
        <v>MAD_m_B 200 mg</v>
      </c>
      <c r="E1918" s="206" t="str">
        <f>IF(AND(A1918&lt;&gt;"",ISNUMBER(A1918)),VLOOKUP(A1918,Studies!A:BR,5,FALSE),"")</f>
        <v>Itraconazole</v>
      </c>
      <c r="F1918" s="207" t="str">
        <f>IF(AND(A1918&lt;&gt;"",ISNUMBER(A1918)),VLOOKUP(A1918,Studies!A:BR,6,FALSE),"")</f>
        <v>Plasma</v>
      </c>
      <c r="G1918" s="194">
        <v>312</v>
      </c>
      <c r="H1918" s="194" t="s">
        <v>60</v>
      </c>
      <c r="I1918" s="187">
        <v>435.64468622207642</v>
      </c>
      <c r="J1918" s="187" t="s">
        <v>1026</v>
      </c>
      <c r="K1918" s="187" t="s">
        <v>116</v>
      </c>
      <c r="L1918" s="195"/>
      <c r="M1918" s="195"/>
      <c r="N1918" s="195"/>
      <c r="O1918" s="199"/>
      <c r="P1918" s="188"/>
      <c r="Q1918" s="174">
        <f>IF(ISNUMBER(VLOOKUP(A1918,NotghiID!A:A,1,FALSE)),1,0)</f>
        <v>0</v>
      </c>
    </row>
    <row r="1919" spans="1:17" ht="14.25" x14ac:dyDescent="0.2">
      <c r="A1919" s="183">
        <v>527</v>
      </c>
      <c r="B1919" s="232" t="str">
        <f>IF(AND(A1919&lt;&gt;"",ISNUMBER(A1919)),VLOOKUP(A1919,Studies!A:BR,2,FALSE),"")</f>
        <v>Mouton 2006</v>
      </c>
      <c r="C1919" s="232" t="str">
        <f>IF(AND(A1919&lt;&gt;"",ISNUMBER(A1919)),VLOOKUP(A1919,Studies!A:BR,3,FALSE),"")</f>
        <v>https://www.ncbi.nlm.nih.gov/pubmed/16982783</v>
      </c>
      <c r="D1919" s="232" t="str">
        <f>IF(AND(A1919&lt;&gt;"",ISNUMBER(A1919)),VLOOKUP(A1919,Studies!A:BR,4,FALSE),"")</f>
        <v>MAD_m_D 200 mg (HPBCD)</v>
      </c>
      <c r="E1919" s="206" t="str">
        <f>IF(AND(A1919&lt;&gt;"",ISNUMBER(A1919)),VLOOKUP(A1919,Studies!A:BR,5,FALSE),"")</f>
        <v>Itraconazole</v>
      </c>
      <c r="F1919" s="207" t="str">
        <f>IF(AND(A1919&lt;&gt;"",ISNUMBER(A1919)),VLOOKUP(A1919,Studies!A:BR,6,FALSE),"")</f>
        <v>Plasma</v>
      </c>
      <c r="G1919" s="194">
        <v>2</v>
      </c>
      <c r="H1919" s="194" t="s">
        <v>60</v>
      </c>
      <c r="I1919" s="187">
        <v>2776.8650054931641</v>
      </c>
      <c r="J1919" s="187" t="s">
        <v>1026</v>
      </c>
      <c r="K1919" s="187" t="s">
        <v>116</v>
      </c>
      <c r="L1919" s="195"/>
      <c r="M1919" s="195"/>
      <c r="N1919" s="195"/>
      <c r="O1919" s="199"/>
      <c r="P1919" s="188"/>
      <c r="Q1919" s="174">
        <f>IF(ISNUMBER(VLOOKUP(A1919,NotghiID!A:A,1,FALSE)),1,0)</f>
        <v>0</v>
      </c>
    </row>
    <row r="1920" spans="1:17" ht="14.25" x14ac:dyDescent="0.2">
      <c r="A1920" s="183">
        <v>527</v>
      </c>
      <c r="B1920" s="232" t="str">
        <f>IF(AND(A1920&lt;&gt;"",ISNUMBER(A1920)),VLOOKUP(A1920,Studies!A:BR,2,FALSE),"")</f>
        <v>Mouton 2006</v>
      </c>
      <c r="C1920" s="232" t="str">
        <f>IF(AND(A1920&lt;&gt;"",ISNUMBER(A1920)),VLOOKUP(A1920,Studies!A:BR,3,FALSE),"")</f>
        <v>https://www.ncbi.nlm.nih.gov/pubmed/16982783</v>
      </c>
      <c r="D1920" s="232" t="str">
        <f>IF(AND(A1920&lt;&gt;"",ISNUMBER(A1920)),VLOOKUP(A1920,Studies!A:BR,4,FALSE),"")</f>
        <v>MAD_m_D 200 mg (HPBCD)</v>
      </c>
      <c r="E1920" s="206" t="str">
        <f>IF(AND(A1920&lt;&gt;"",ISNUMBER(A1920)),VLOOKUP(A1920,Studies!A:BR,5,FALSE),"")</f>
        <v>Itraconazole</v>
      </c>
      <c r="F1920" s="207" t="str">
        <f>IF(AND(A1920&lt;&gt;"",ISNUMBER(A1920)),VLOOKUP(A1920,Studies!A:BR,6,FALSE),"")</f>
        <v>Plasma</v>
      </c>
      <c r="G1920" s="194">
        <v>8</v>
      </c>
      <c r="H1920" s="194" t="s">
        <v>60</v>
      </c>
      <c r="I1920" s="187">
        <v>244.91161108016968</v>
      </c>
      <c r="J1920" s="187" t="s">
        <v>1026</v>
      </c>
      <c r="K1920" s="187" t="s">
        <v>116</v>
      </c>
      <c r="L1920" s="195"/>
      <c r="M1920" s="195"/>
      <c r="N1920" s="195"/>
      <c r="O1920" s="199"/>
      <c r="P1920" s="188"/>
      <c r="Q1920" s="174">
        <f>IF(ISNUMBER(VLOOKUP(A1920,NotghiID!A:A,1,FALSE)),1,0)</f>
        <v>0</v>
      </c>
    </row>
    <row r="1921" spans="1:17" ht="14.25" x14ac:dyDescent="0.2">
      <c r="A1921" s="183">
        <v>527</v>
      </c>
      <c r="B1921" s="232" t="str">
        <f>IF(AND(A1921&lt;&gt;"",ISNUMBER(A1921)),VLOOKUP(A1921,Studies!A:BR,2,FALSE),"")</f>
        <v>Mouton 2006</v>
      </c>
      <c r="C1921" s="232" t="str">
        <f>IF(AND(A1921&lt;&gt;"",ISNUMBER(A1921)),VLOOKUP(A1921,Studies!A:BR,3,FALSE),"")</f>
        <v>https://www.ncbi.nlm.nih.gov/pubmed/16982783</v>
      </c>
      <c r="D1921" s="232" t="str">
        <f>IF(AND(A1921&lt;&gt;"",ISNUMBER(A1921)),VLOOKUP(A1921,Studies!A:BR,4,FALSE),"")</f>
        <v>MAD_m_D 200 mg (HPBCD)</v>
      </c>
      <c r="E1921" s="206" t="str">
        <f>IF(AND(A1921&lt;&gt;"",ISNUMBER(A1921)),VLOOKUP(A1921,Studies!A:BR,5,FALSE),"")</f>
        <v>Itraconazole</v>
      </c>
      <c r="F1921" s="207" t="str">
        <f>IF(AND(A1921&lt;&gt;"",ISNUMBER(A1921)),VLOOKUP(A1921,Studies!A:BR,6,FALSE),"")</f>
        <v>Plasma</v>
      </c>
      <c r="G1921" s="194">
        <v>24</v>
      </c>
      <c r="H1921" s="194" t="s">
        <v>60</v>
      </c>
      <c r="I1921" s="187">
        <v>369.85400319099426</v>
      </c>
      <c r="J1921" s="187" t="s">
        <v>1026</v>
      </c>
      <c r="K1921" s="187" t="s">
        <v>116</v>
      </c>
      <c r="L1921" s="195"/>
      <c r="M1921" s="195"/>
      <c r="N1921" s="195"/>
      <c r="O1921" s="199"/>
      <c r="P1921" s="188"/>
      <c r="Q1921" s="174">
        <f>IF(ISNUMBER(VLOOKUP(A1921,NotghiID!A:A,1,FALSE)),1,0)</f>
        <v>0</v>
      </c>
    </row>
    <row r="1922" spans="1:17" ht="14.25" x14ac:dyDescent="0.2">
      <c r="A1922" s="183">
        <v>527</v>
      </c>
      <c r="B1922" s="232" t="str">
        <f>IF(AND(A1922&lt;&gt;"",ISNUMBER(A1922)),VLOOKUP(A1922,Studies!A:BR,2,FALSE),"")</f>
        <v>Mouton 2006</v>
      </c>
      <c r="C1922" s="232" t="str">
        <f>IF(AND(A1922&lt;&gt;"",ISNUMBER(A1922)),VLOOKUP(A1922,Studies!A:BR,3,FALSE),"")</f>
        <v>https://www.ncbi.nlm.nih.gov/pubmed/16982783</v>
      </c>
      <c r="D1922" s="232" t="str">
        <f>IF(AND(A1922&lt;&gt;"",ISNUMBER(A1922)),VLOOKUP(A1922,Studies!A:BR,4,FALSE),"")</f>
        <v>MAD_m_D 200 mg (HPBCD)</v>
      </c>
      <c r="E1922" s="206" t="str">
        <f>IF(AND(A1922&lt;&gt;"",ISNUMBER(A1922)),VLOOKUP(A1922,Studies!A:BR,5,FALSE),"")</f>
        <v>Itraconazole</v>
      </c>
      <c r="F1922" s="207" t="str">
        <f>IF(AND(A1922&lt;&gt;"",ISNUMBER(A1922)),VLOOKUP(A1922,Studies!A:BR,6,FALSE),"")</f>
        <v>Plasma</v>
      </c>
      <c r="G1922" s="194">
        <v>32</v>
      </c>
      <c r="H1922" s="194" t="s">
        <v>60</v>
      </c>
      <c r="I1922" s="187">
        <v>822.02214002609253</v>
      </c>
      <c r="J1922" s="187" t="s">
        <v>1026</v>
      </c>
      <c r="K1922" s="187" t="s">
        <v>116</v>
      </c>
      <c r="L1922" s="195"/>
      <c r="M1922" s="195"/>
      <c r="N1922" s="195"/>
      <c r="O1922" s="199"/>
      <c r="P1922" s="188"/>
      <c r="Q1922" s="174">
        <f>IF(ISNUMBER(VLOOKUP(A1922,NotghiID!A:A,1,FALSE)),1,0)</f>
        <v>0</v>
      </c>
    </row>
    <row r="1923" spans="1:17" ht="14.25" x14ac:dyDescent="0.2">
      <c r="A1923" s="183">
        <v>527</v>
      </c>
      <c r="B1923" s="232" t="str">
        <f>IF(AND(A1923&lt;&gt;"",ISNUMBER(A1923)),VLOOKUP(A1923,Studies!A:BR,2,FALSE),"")</f>
        <v>Mouton 2006</v>
      </c>
      <c r="C1923" s="232" t="str">
        <f>IF(AND(A1923&lt;&gt;"",ISNUMBER(A1923)),VLOOKUP(A1923,Studies!A:BR,3,FALSE),"")</f>
        <v>https://www.ncbi.nlm.nih.gov/pubmed/16982783</v>
      </c>
      <c r="D1923" s="232" t="str">
        <f>IF(AND(A1923&lt;&gt;"",ISNUMBER(A1923)),VLOOKUP(A1923,Studies!A:BR,4,FALSE),"")</f>
        <v>MAD_m_D 200 mg (HPBCD)</v>
      </c>
      <c r="E1923" s="206" t="str">
        <f>IF(AND(A1923&lt;&gt;"",ISNUMBER(A1923)),VLOOKUP(A1923,Studies!A:BR,5,FALSE),"")</f>
        <v>Itraconazole</v>
      </c>
      <c r="F1923" s="207" t="str">
        <f>IF(AND(A1923&lt;&gt;"",ISNUMBER(A1923)),VLOOKUP(A1923,Studies!A:BR,6,FALSE),"")</f>
        <v>Plasma</v>
      </c>
      <c r="G1923" s="194">
        <v>34</v>
      </c>
      <c r="H1923" s="194" t="s">
        <v>60</v>
      </c>
      <c r="I1923" s="187">
        <v>4034.5273017883301</v>
      </c>
      <c r="J1923" s="187" t="s">
        <v>1026</v>
      </c>
      <c r="K1923" s="187" t="s">
        <v>116</v>
      </c>
      <c r="L1923" s="195"/>
      <c r="M1923" s="195"/>
      <c r="N1923" s="195"/>
      <c r="O1923" s="199"/>
      <c r="P1923" s="188"/>
      <c r="Q1923" s="174">
        <f>IF(ISNUMBER(VLOOKUP(A1923,NotghiID!A:A,1,FALSE)),1,0)</f>
        <v>0</v>
      </c>
    </row>
    <row r="1924" spans="1:17" ht="14.25" x14ac:dyDescent="0.2">
      <c r="A1924" s="183">
        <v>527</v>
      </c>
      <c r="B1924" s="232" t="str">
        <f>IF(AND(A1924&lt;&gt;"",ISNUMBER(A1924)),VLOOKUP(A1924,Studies!A:BR,2,FALSE),"")</f>
        <v>Mouton 2006</v>
      </c>
      <c r="C1924" s="232" t="str">
        <f>IF(AND(A1924&lt;&gt;"",ISNUMBER(A1924)),VLOOKUP(A1924,Studies!A:BR,3,FALSE),"")</f>
        <v>https://www.ncbi.nlm.nih.gov/pubmed/16982783</v>
      </c>
      <c r="D1924" s="232" t="str">
        <f>IF(AND(A1924&lt;&gt;"",ISNUMBER(A1924)),VLOOKUP(A1924,Studies!A:BR,4,FALSE),"")</f>
        <v>MAD_m_D 200 mg (HPBCD)</v>
      </c>
      <c r="E1924" s="206" t="str">
        <f>IF(AND(A1924&lt;&gt;"",ISNUMBER(A1924)),VLOOKUP(A1924,Studies!A:BR,5,FALSE),"")</f>
        <v>Itraconazole</v>
      </c>
      <c r="F1924" s="207" t="str">
        <f>IF(AND(A1924&lt;&gt;"",ISNUMBER(A1924)),VLOOKUP(A1924,Studies!A:BR,6,FALSE),"")</f>
        <v>Plasma</v>
      </c>
      <c r="G1924" s="194">
        <v>48</v>
      </c>
      <c r="H1924" s="194" t="s">
        <v>60</v>
      </c>
      <c r="I1924" s="187">
        <v>1376.1309385299683</v>
      </c>
      <c r="J1924" s="187" t="s">
        <v>1026</v>
      </c>
      <c r="K1924" s="187" t="s">
        <v>116</v>
      </c>
      <c r="L1924" s="195"/>
      <c r="M1924" s="195"/>
      <c r="N1924" s="195"/>
      <c r="O1924" s="199"/>
      <c r="P1924" s="188"/>
      <c r="Q1924" s="174">
        <f>IF(ISNUMBER(VLOOKUP(A1924,NotghiID!A:A,1,FALSE)),1,0)</f>
        <v>0</v>
      </c>
    </row>
    <row r="1925" spans="1:17" ht="14.25" x14ac:dyDescent="0.2">
      <c r="A1925" s="183">
        <v>527</v>
      </c>
      <c r="B1925" s="232" t="str">
        <f>IF(AND(A1925&lt;&gt;"",ISNUMBER(A1925)),VLOOKUP(A1925,Studies!A:BR,2,FALSE),"")</f>
        <v>Mouton 2006</v>
      </c>
      <c r="C1925" s="232" t="str">
        <f>IF(AND(A1925&lt;&gt;"",ISNUMBER(A1925)),VLOOKUP(A1925,Studies!A:BR,3,FALSE),"")</f>
        <v>https://www.ncbi.nlm.nih.gov/pubmed/16982783</v>
      </c>
      <c r="D1925" s="232" t="str">
        <f>IF(AND(A1925&lt;&gt;"",ISNUMBER(A1925)),VLOOKUP(A1925,Studies!A:BR,4,FALSE),"")</f>
        <v>MAD_m_D 200 mg (HPBCD)</v>
      </c>
      <c r="E1925" s="206" t="str">
        <f>IF(AND(A1925&lt;&gt;"",ISNUMBER(A1925)),VLOOKUP(A1925,Studies!A:BR,5,FALSE),"")</f>
        <v>Itraconazole</v>
      </c>
      <c r="F1925" s="207" t="str">
        <f>IF(AND(A1925&lt;&gt;"",ISNUMBER(A1925)),VLOOKUP(A1925,Studies!A:BR,6,FALSE),"")</f>
        <v>Plasma</v>
      </c>
      <c r="G1925" s="194">
        <v>50</v>
      </c>
      <c r="H1925" s="194" t="s">
        <v>60</v>
      </c>
      <c r="I1925" s="187">
        <v>3434.4921112060547</v>
      </c>
      <c r="J1925" s="187" t="s">
        <v>1026</v>
      </c>
      <c r="K1925" s="187" t="s">
        <v>116</v>
      </c>
      <c r="L1925" s="195"/>
      <c r="M1925" s="195"/>
      <c r="N1925" s="195"/>
      <c r="O1925" s="199"/>
      <c r="P1925" s="188"/>
      <c r="Q1925" s="174">
        <f>IF(ISNUMBER(VLOOKUP(A1925,NotghiID!A:A,1,FALSE)),1,0)</f>
        <v>0</v>
      </c>
    </row>
    <row r="1926" spans="1:17" ht="14.25" x14ac:dyDescent="0.2">
      <c r="A1926" s="183">
        <v>527</v>
      </c>
      <c r="B1926" s="232" t="str">
        <f>IF(AND(A1926&lt;&gt;"",ISNUMBER(A1926)),VLOOKUP(A1926,Studies!A:BR,2,FALSE),"")</f>
        <v>Mouton 2006</v>
      </c>
      <c r="C1926" s="232" t="str">
        <f>IF(AND(A1926&lt;&gt;"",ISNUMBER(A1926)),VLOOKUP(A1926,Studies!A:BR,3,FALSE),"")</f>
        <v>https://www.ncbi.nlm.nih.gov/pubmed/16982783</v>
      </c>
      <c r="D1926" s="232" t="str">
        <f>IF(AND(A1926&lt;&gt;"",ISNUMBER(A1926)),VLOOKUP(A1926,Studies!A:BR,4,FALSE),"")</f>
        <v>MAD_m_D 200 mg (HPBCD)</v>
      </c>
      <c r="E1926" s="206" t="str">
        <f>IF(AND(A1926&lt;&gt;"",ISNUMBER(A1926)),VLOOKUP(A1926,Studies!A:BR,5,FALSE),"")</f>
        <v>Itraconazole</v>
      </c>
      <c r="F1926" s="207" t="str">
        <f>IF(AND(A1926&lt;&gt;"",ISNUMBER(A1926)),VLOOKUP(A1926,Studies!A:BR,6,FALSE),"")</f>
        <v>Plasma</v>
      </c>
      <c r="G1926" s="194">
        <v>72</v>
      </c>
      <c r="H1926" s="194" t="s">
        <v>60</v>
      </c>
      <c r="I1926" s="187">
        <v>722.66894578933716</v>
      </c>
      <c r="J1926" s="187" t="s">
        <v>1026</v>
      </c>
      <c r="K1926" s="187" t="s">
        <v>116</v>
      </c>
      <c r="L1926" s="195"/>
      <c r="M1926" s="195"/>
      <c r="N1926" s="195"/>
      <c r="O1926" s="199"/>
      <c r="P1926" s="188"/>
      <c r="Q1926" s="174">
        <f>IF(ISNUMBER(VLOOKUP(A1926,NotghiID!A:A,1,FALSE)),1,0)</f>
        <v>0</v>
      </c>
    </row>
    <row r="1927" spans="1:17" ht="14.25" x14ac:dyDescent="0.2">
      <c r="A1927" s="183">
        <v>527</v>
      </c>
      <c r="B1927" s="232" t="str">
        <f>IF(AND(A1927&lt;&gt;"",ISNUMBER(A1927)),VLOOKUP(A1927,Studies!A:BR,2,FALSE),"")</f>
        <v>Mouton 2006</v>
      </c>
      <c r="C1927" s="232" t="str">
        <f>IF(AND(A1927&lt;&gt;"",ISNUMBER(A1927)),VLOOKUP(A1927,Studies!A:BR,3,FALSE),"")</f>
        <v>https://www.ncbi.nlm.nih.gov/pubmed/16982783</v>
      </c>
      <c r="D1927" s="232" t="str">
        <f>IF(AND(A1927&lt;&gt;"",ISNUMBER(A1927)),VLOOKUP(A1927,Studies!A:BR,4,FALSE),"")</f>
        <v>MAD_m_D 200 mg (HPBCD)</v>
      </c>
      <c r="E1927" s="206" t="str">
        <f>IF(AND(A1927&lt;&gt;"",ISNUMBER(A1927)),VLOOKUP(A1927,Studies!A:BR,5,FALSE),"")</f>
        <v>Itraconazole</v>
      </c>
      <c r="F1927" s="207" t="str">
        <f>IF(AND(A1927&lt;&gt;"",ISNUMBER(A1927)),VLOOKUP(A1927,Studies!A:BR,6,FALSE),"")</f>
        <v>Plasma</v>
      </c>
      <c r="G1927" s="194">
        <v>74</v>
      </c>
      <c r="H1927" s="194" t="s">
        <v>60</v>
      </c>
      <c r="I1927" s="187">
        <v>3262.0069980621338</v>
      </c>
      <c r="J1927" s="187" t="s">
        <v>1026</v>
      </c>
      <c r="K1927" s="187" t="s">
        <v>116</v>
      </c>
      <c r="L1927" s="195"/>
      <c r="M1927" s="195"/>
      <c r="N1927" s="195"/>
      <c r="O1927" s="199"/>
      <c r="P1927" s="188"/>
      <c r="Q1927" s="174">
        <f>IF(ISNUMBER(VLOOKUP(A1927,NotghiID!A:A,1,FALSE)),1,0)</f>
        <v>0</v>
      </c>
    </row>
    <row r="1928" spans="1:17" ht="14.25" x14ac:dyDescent="0.2">
      <c r="A1928" s="183">
        <v>527</v>
      </c>
      <c r="B1928" s="232" t="str">
        <f>IF(AND(A1928&lt;&gt;"",ISNUMBER(A1928)),VLOOKUP(A1928,Studies!A:BR,2,FALSE),"")</f>
        <v>Mouton 2006</v>
      </c>
      <c r="C1928" s="232" t="str">
        <f>IF(AND(A1928&lt;&gt;"",ISNUMBER(A1928)),VLOOKUP(A1928,Studies!A:BR,3,FALSE),"")</f>
        <v>https://www.ncbi.nlm.nih.gov/pubmed/16982783</v>
      </c>
      <c r="D1928" s="232" t="str">
        <f>IF(AND(A1928&lt;&gt;"",ISNUMBER(A1928)),VLOOKUP(A1928,Studies!A:BR,4,FALSE),"")</f>
        <v>MAD_m_D 200 mg (HPBCD)</v>
      </c>
      <c r="E1928" s="206" t="str">
        <f>IF(AND(A1928&lt;&gt;"",ISNUMBER(A1928)),VLOOKUP(A1928,Studies!A:BR,5,FALSE),"")</f>
        <v>Itraconazole</v>
      </c>
      <c r="F1928" s="207" t="str">
        <f>IF(AND(A1928&lt;&gt;"",ISNUMBER(A1928)),VLOOKUP(A1928,Studies!A:BR,6,FALSE),"")</f>
        <v>Plasma</v>
      </c>
      <c r="G1928" s="194">
        <v>96</v>
      </c>
      <c r="H1928" s="194" t="s">
        <v>60</v>
      </c>
      <c r="I1928" s="187">
        <v>741.52922630310059</v>
      </c>
      <c r="J1928" s="187" t="s">
        <v>1026</v>
      </c>
      <c r="K1928" s="187" t="s">
        <v>116</v>
      </c>
      <c r="L1928" s="195"/>
      <c r="M1928" s="195"/>
      <c r="N1928" s="195"/>
      <c r="O1928" s="199"/>
      <c r="P1928" s="188"/>
      <c r="Q1928" s="174">
        <f>IF(ISNUMBER(VLOOKUP(A1928,NotghiID!A:A,1,FALSE)),1,0)</f>
        <v>0</v>
      </c>
    </row>
    <row r="1929" spans="1:17" ht="14.25" x14ac:dyDescent="0.2">
      <c r="A1929" s="183">
        <v>527</v>
      </c>
      <c r="B1929" s="232" t="str">
        <f>IF(AND(A1929&lt;&gt;"",ISNUMBER(A1929)),VLOOKUP(A1929,Studies!A:BR,2,FALSE),"")</f>
        <v>Mouton 2006</v>
      </c>
      <c r="C1929" s="232" t="str">
        <f>IF(AND(A1929&lt;&gt;"",ISNUMBER(A1929)),VLOOKUP(A1929,Studies!A:BR,3,FALSE),"")</f>
        <v>https://www.ncbi.nlm.nih.gov/pubmed/16982783</v>
      </c>
      <c r="D1929" s="232" t="str">
        <f>IF(AND(A1929&lt;&gt;"",ISNUMBER(A1929)),VLOOKUP(A1929,Studies!A:BR,4,FALSE),"")</f>
        <v>MAD_m_D 200 mg (HPBCD)</v>
      </c>
      <c r="E1929" s="206" t="str">
        <f>IF(AND(A1929&lt;&gt;"",ISNUMBER(A1929)),VLOOKUP(A1929,Studies!A:BR,5,FALSE),"")</f>
        <v>Itraconazole</v>
      </c>
      <c r="F1929" s="207" t="str">
        <f>IF(AND(A1929&lt;&gt;"",ISNUMBER(A1929)),VLOOKUP(A1929,Studies!A:BR,6,FALSE),"")</f>
        <v>Plasma</v>
      </c>
      <c r="G1929" s="194">
        <v>98</v>
      </c>
      <c r="H1929" s="194" t="s">
        <v>60</v>
      </c>
      <c r="I1929" s="187">
        <v>3138.3519172668457</v>
      </c>
      <c r="J1929" s="187" t="s">
        <v>1026</v>
      </c>
      <c r="K1929" s="187" t="s">
        <v>116</v>
      </c>
      <c r="L1929" s="195"/>
      <c r="M1929" s="195"/>
      <c r="N1929" s="195"/>
      <c r="O1929" s="199"/>
      <c r="P1929" s="188"/>
      <c r="Q1929" s="174">
        <f>IF(ISNUMBER(VLOOKUP(A1929,NotghiID!A:A,1,FALSE)),1,0)</f>
        <v>0</v>
      </c>
    </row>
    <row r="1930" spans="1:17" ht="14.25" x14ac:dyDescent="0.2">
      <c r="A1930" s="183">
        <v>527</v>
      </c>
      <c r="B1930" s="232" t="str">
        <f>IF(AND(A1930&lt;&gt;"",ISNUMBER(A1930)),VLOOKUP(A1930,Studies!A:BR,2,FALSE),"")</f>
        <v>Mouton 2006</v>
      </c>
      <c r="C1930" s="232" t="str">
        <f>IF(AND(A1930&lt;&gt;"",ISNUMBER(A1930)),VLOOKUP(A1930,Studies!A:BR,3,FALSE),"")</f>
        <v>https://www.ncbi.nlm.nih.gov/pubmed/16982783</v>
      </c>
      <c r="D1930" s="232" t="str">
        <f>IF(AND(A1930&lt;&gt;"",ISNUMBER(A1930)),VLOOKUP(A1930,Studies!A:BR,4,FALSE),"")</f>
        <v>MAD_m_D 200 mg (HPBCD)</v>
      </c>
      <c r="E1930" s="206" t="str">
        <f>IF(AND(A1930&lt;&gt;"",ISNUMBER(A1930)),VLOOKUP(A1930,Studies!A:BR,5,FALSE),"")</f>
        <v>Itraconazole</v>
      </c>
      <c r="F1930" s="207" t="str">
        <f>IF(AND(A1930&lt;&gt;"",ISNUMBER(A1930)),VLOOKUP(A1930,Studies!A:BR,6,FALSE),"")</f>
        <v>Plasma</v>
      </c>
      <c r="G1930" s="194">
        <v>120</v>
      </c>
      <c r="H1930" s="194" t="s">
        <v>60</v>
      </c>
      <c r="I1930" s="187">
        <v>780.73900938034058</v>
      </c>
      <c r="J1930" s="187" t="s">
        <v>1026</v>
      </c>
      <c r="K1930" s="187" t="s">
        <v>116</v>
      </c>
      <c r="L1930" s="195"/>
      <c r="M1930" s="195"/>
      <c r="N1930" s="195"/>
      <c r="O1930" s="199"/>
      <c r="P1930" s="188"/>
      <c r="Q1930" s="174">
        <f>IF(ISNUMBER(VLOOKUP(A1930,NotghiID!A:A,1,FALSE)),1,0)</f>
        <v>0</v>
      </c>
    </row>
    <row r="1931" spans="1:17" ht="14.25" x14ac:dyDescent="0.2">
      <c r="A1931" s="183">
        <v>527</v>
      </c>
      <c r="B1931" s="232" t="str">
        <f>IF(AND(A1931&lt;&gt;"",ISNUMBER(A1931)),VLOOKUP(A1931,Studies!A:BR,2,FALSE),"")</f>
        <v>Mouton 2006</v>
      </c>
      <c r="C1931" s="232" t="str">
        <f>IF(AND(A1931&lt;&gt;"",ISNUMBER(A1931)),VLOOKUP(A1931,Studies!A:BR,3,FALSE),"")</f>
        <v>https://www.ncbi.nlm.nih.gov/pubmed/16982783</v>
      </c>
      <c r="D1931" s="232" t="str">
        <f>IF(AND(A1931&lt;&gt;"",ISNUMBER(A1931)),VLOOKUP(A1931,Studies!A:BR,4,FALSE),"")</f>
        <v>MAD_m_D 200 mg (HPBCD)</v>
      </c>
      <c r="E1931" s="206" t="str">
        <f>IF(AND(A1931&lt;&gt;"",ISNUMBER(A1931)),VLOOKUP(A1931,Studies!A:BR,5,FALSE),"")</f>
        <v>Itraconazole</v>
      </c>
      <c r="F1931" s="207" t="str">
        <f>IF(AND(A1931&lt;&gt;"",ISNUMBER(A1931)),VLOOKUP(A1931,Studies!A:BR,6,FALSE),"")</f>
        <v>Plasma</v>
      </c>
      <c r="G1931" s="194">
        <v>122</v>
      </c>
      <c r="H1931" s="194" t="s">
        <v>60</v>
      </c>
      <c r="I1931" s="187">
        <v>3220.257043838501</v>
      </c>
      <c r="J1931" s="187" t="s">
        <v>1026</v>
      </c>
      <c r="K1931" s="187" t="s">
        <v>116</v>
      </c>
      <c r="L1931" s="195"/>
      <c r="M1931" s="195"/>
      <c r="N1931" s="195"/>
      <c r="O1931" s="199"/>
      <c r="P1931" s="188"/>
      <c r="Q1931" s="174">
        <f>IF(ISNUMBER(VLOOKUP(A1931,NotghiID!A:A,1,FALSE)),1,0)</f>
        <v>0</v>
      </c>
    </row>
    <row r="1932" spans="1:17" ht="14.25" x14ac:dyDescent="0.2">
      <c r="A1932" s="183">
        <v>527</v>
      </c>
      <c r="B1932" s="232" t="str">
        <f>IF(AND(A1932&lt;&gt;"",ISNUMBER(A1932)),VLOOKUP(A1932,Studies!A:BR,2,FALSE),"")</f>
        <v>Mouton 2006</v>
      </c>
      <c r="C1932" s="232" t="str">
        <f>IF(AND(A1932&lt;&gt;"",ISNUMBER(A1932)),VLOOKUP(A1932,Studies!A:BR,3,FALSE),"")</f>
        <v>https://www.ncbi.nlm.nih.gov/pubmed/16982783</v>
      </c>
      <c r="D1932" s="232" t="str">
        <f>IF(AND(A1932&lt;&gt;"",ISNUMBER(A1932)),VLOOKUP(A1932,Studies!A:BR,4,FALSE),"")</f>
        <v>MAD_m_D 200 mg (HPBCD)</v>
      </c>
      <c r="E1932" s="206" t="str">
        <f>IF(AND(A1932&lt;&gt;"",ISNUMBER(A1932)),VLOOKUP(A1932,Studies!A:BR,5,FALSE),"")</f>
        <v>Itraconazole</v>
      </c>
      <c r="F1932" s="207" t="str">
        <f>IF(AND(A1932&lt;&gt;"",ISNUMBER(A1932)),VLOOKUP(A1932,Studies!A:BR,6,FALSE),"")</f>
        <v>Plasma</v>
      </c>
      <c r="G1932" s="194">
        <v>144</v>
      </c>
      <c r="H1932" s="194" t="s">
        <v>60</v>
      </c>
      <c r="I1932" s="187">
        <v>1016.6960954666138</v>
      </c>
      <c r="J1932" s="187" t="s">
        <v>1026</v>
      </c>
      <c r="K1932" s="187" t="s">
        <v>116</v>
      </c>
      <c r="L1932" s="195"/>
      <c r="M1932" s="195"/>
      <c r="N1932" s="195"/>
      <c r="O1932" s="199"/>
      <c r="P1932" s="188"/>
      <c r="Q1932" s="174">
        <f>IF(ISNUMBER(VLOOKUP(A1932,NotghiID!A:A,1,FALSE)),1,0)</f>
        <v>0</v>
      </c>
    </row>
    <row r="1933" spans="1:17" ht="14.25" x14ac:dyDescent="0.2">
      <c r="A1933" s="183">
        <v>527</v>
      </c>
      <c r="B1933" s="232" t="str">
        <f>IF(AND(A1933&lt;&gt;"",ISNUMBER(A1933)),VLOOKUP(A1933,Studies!A:BR,2,FALSE),"")</f>
        <v>Mouton 2006</v>
      </c>
      <c r="C1933" s="232" t="str">
        <f>IF(AND(A1933&lt;&gt;"",ISNUMBER(A1933)),VLOOKUP(A1933,Studies!A:BR,3,FALSE),"")</f>
        <v>https://www.ncbi.nlm.nih.gov/pubmed/16982783</v>
      </c>
      <c r="D1933" s="232" t="str">
        <f>IF(AND(A1933&lt;&gt;"",ISNUMBER(A1933)),VLOOKUP(A1933,Studies!A:BR,4,FALSE),"")</f>
        <v>MAD_m_D 200 mg (HPBCD)</v>
      </c>
      <c r="E1933" s="206" t="str">
        <f>IF(AND(A1933&lt;&gt;"",ISNUMBER(A1933)),VLOOKUP(A1933,Studies!A:BR,5,FALSE),"")</f>
        <v>Itraconazole</v>
      </c>
      <c r="F1933" s="207" t="str">
        <f>IF(AND(A1933&lt;&gt;"",ISNUMBER(A1933)),VLOOKUP(A1933,Studies!A:BR,6,FALSE),"")</f>
        <v>Plasma</v>
      </c>
      <c r="G1933" s="194">
        <v>144.5</v>
      </c>
      <c r="H1933" s="194" t="s">
        <v>60</v>
      </c>
      <c r="I1933" s="187">
        <v>2849.5409488677979</v>
      </c>
      <c r="J1933" s="187" t="s">
        <v>1026</v>
      </c>
      <c r="K1933" s="187" t="s">
        <v>116</v>
      </c>
      <c r="L1933" s="195"/>
      <c r="M1933" s="195"/>
      <c r="N1933" s="195"/>
      <c r="O1933" s="199"/>
      <c r="P1933" s="188"/>
      <c r="Q1933" s="174">
        <f>IF(ISNUMBER(VLOOKUP(A1933,NotghiID!A:A,1,FALSE)),1,0)</f>
        <v>0</v>
      </c>
    </row>
    <row r="1934" spans="1:17" ht="14.25" x14ac:dyDescent="0.2">
      <c r="A1934" s="183">
        <v>527</v>
      </c>
      <c r="B1934" s="232" t="str">
        <f>IF(AND(A1934&lt;&gt;"",ISNUMBER(A1934)),VLOOKUP(A1934,Studies!A:BR,2,FALSE),"")</f>
        <v>Mouton 2006</v>
      </c>
      <c r="C1934" s="232" t="str">
        <f>IF(AND(A1934&lt;&gt;"",ISNUMBER(A1934)),VLOOKUP(A1934,Studies!A:BR,3,FALSE),"")</f>
        <v>https://www.ncbi.nlm.nih.gov/pubmed/16982783</v>
      </c>
      <c r="D1934" s="232" t="str">
        <f>IF(AND(A1934&lt;&gt;"",ISNUMBER(A1934)),VLOOKUP(A1934,Studies!A:BR,4,FALSE),"")</f>
        <v>MAD_m_D 200 mg (HPBCD)</v>
      </c>
      <c r="E1934" s="206" t="str">
        <f>IF(AND(A1934&lt;&gt;"",ISNUMBER(A1934)),VLOOKUP(A1934,Studies!A:BR,5,FALSE),"")</f>
        <v>Itraconazole</v>
      </c>
      <c r="F1934" s="207" t="str">
        <f>IF(AND(A1934&lt;&gt;"",ISNUMBER(A1934)),VLOOKUP(A1934,Studies!A:BR,6,FALSE),"")</f>
        <v>Plasma</v>
      </c>
      <c r="G1934" s="194">
        <v>145</v>
      </c>
      <c r="H1934" s="194" t="s">
        <v>60</v>
      </c>
      <c r="I1934" s="187">
        <v>3346.6269969940186</v>
      </c>
      <c r="J1934" s="187" t="s">
        <v>1026</v>
      </c>
      <c r="K1934" s="187" t="s">
        <v>116</v>
      </c>
      <c r="L1934" s="195"/>
      <c r="M1934" s="195"/>
      <c r="N1934" s="195"/>
      <c r="O1934" s="199"/>
      <c r="P1934" s="188"/>
      <c r="Q1934" s="174">
        <f>IF(ISNUMBER(VLOOKUP(A1934,NotghiID!A:A,1,FALSE)),1,0)</f>
        <v>0</v>
      </c>
    </row>
    <row r="1935" spans="1:17" ht="14.25" x14ac:dyDescent="0.2">
      <c r="A1935" s="183">
        <v>527</v>
      </c>
      <c r="B1935" s="232" t="str">
        <f>IF(AND(A1935&lt;&gt;"",ISNUMBER(A1935)),VLOOKUP(A1935,Studies!A:BR,2,FALSE),"")</f>
        <v>Mouton 2006</v>
      </c>
      <c r="C1935" s="232" t="str">
        <f>IF(AND(A1935&lt;&gt;"",ISNUMBER(A1935)),VLOOKUP(A1935,Studies!A:BR,3,FALSE),"")</f>
        <v>https://www.ncbi.nlm.nih.gov/pubmed/16982783</v>
      </c>
      <c r="D1935" s="232" t="str">
        <f>IF(AND(A1935&lt;&gt;"",ISNUMBER(A1935)),VLOOKUP(A1935,Studies!A:BR,4,FALSE),"")</f>
        <v>MAD_m_D 200 mg (HPBCD)</v>
      </c>
      <c r="E1935" s="206" t="str">
        <f>IF(AND(A1935&lt;&gt;"",ISNUMBER(A1935)),VLOOKUP(A1935,Studies!A:BR,5,FALSE),"")</f>
        <v>Itraconazole</v>
      </c>
      <c r="F1935" s="207" t="str">
        <f>IF(AND(A1935&lt;&gt;"",ISNUMBER(A1935)),VLOOKUP(A1935,Studies!A:BR,6,FALSE),"")</f>
        <v>Plasma</v>
      </c>
      <c r="G1935" s="194">
        <v>146</v>
      </c>
      <c r="H1935" s="194" t="s">
        <v>60</v>
      </c>
      <c r="I1935" s="187">
        <v>2942.6689147949219</v>
      </c>
      <c r="J1935" s="187" t="s">
        <v>1026</v>
      </c>
      <c r="K1935" s="187" t="s">
        <v>116</v>
      </c>
      <c r="L1935" s="195"/>
      <c r="M1935" s="195"/>
      <c r="N1935" s="195"/>
      <c r="O1935" s="199"/>
      <c r="P1935" s="188"/>
      <c r="Q1935" s="174">
        <f>IF(ISNUMBER(VLOOKUP(A1935,NotghiID!A:A,1,FALSE)),1,0)</f>
        <v>0</v>
      </c>
    </row>
    <row r="1936" spans="1:17" ht="14.25" x14ac:dyDescent="0.2">
      <c r="A1936" s="183">
        <v>527</v>
      </c>
      <c r="B1936" s="232" t="str">
        <f>IF(AND(A1936&lt;&gt;"",ISNUMBER(A1936)),VLOOKUP(A1936,Studies!A:BR,2,FALSE),"")</f>
        <v>Mouton 2006</v>
      </c>
      <c r="C1936" s="232" t="str">
        <f>IF(AND(A1936&lt;&gt;"",ISNUMBER(A1936)),VLOOKUP(A1936,Studies!A:BR,3,FALSE),"")</f>
        <v>https://www.ncbi.nlm.nih.gov/pubmed/16982783</v>
      </c>
      <c r="D1936" s="232" t="str">
        <f>IF(AND(A1936&lt;&gt;"",ISNUMBER(A1936)),VLOOKUP(A1936,Studies!A:BR,4,FALSE),"")</f>
        <v>MAD_m_D 200 mg (HPBCD)</v>
      </c>
      <c r="E1936" s="206" t="str">
        <f>IF(AND(A1936&lt;&gt;"",ISNUMBER(A1936)),VLOOKUP(A1936,Studies!A:BR,5,FALSE),"")</f>
        <v>Itraconazole</v>
      </c>
      <c r="F1936" s="207" t="str">
        <f>IF(AND(A1936&lt;&gt;"",ISNUMBER(A1936)),VLOOKUP(A1936,Studies!A:BR,6,FALSE),"")</f>
        <v>Plasma</v>
      </c>
      <c r="G1936" s="194">
        <v>146.08000000000001</v>
      </c>
      <c r="H1936" s="194" t="s">
        <v>60</v>
      </c>
      <c r="I1936" s="187">
        <v>2724.0920066833496</v>
      </c>
      <c r="J1936" s="187" t="s">
        <v>1026</v>
      </c>
      <c r="K1936" s="187" t="s">
        <v>116</v>
      </c>
      <c r="L1936" s="195"/>
      <c r="M1936" s="195"/>
      <c r="N1936" s="195"/>
      <c r="O1936" s="199"/>
      <c r="P1936" s="188"/>
      <c r="Q1936" s="174">
        <f>IF(ISNUMBER(VLOOKUP(A1936,NotghiID!A:A,1,FALSE)),1,0)</f>
        <v>0</v>
      </c>
    </row>
    <row r="1937" spans="1:17" ht="14.25" x14ac:dyDescent="0.2">
      <c r="A1937" s="183">
        <v>527</v>
      </c>
      <c r="B1937" s="232" t="str">
        <f>IF(AND(A1937&lt;&gt;"",ISNUMBER(A1937)),VLOOKUP(A1937,Studies!A:BR,2,FALSE),"")</f>
        <v>Mouton 2006</v>
      </c>
      <c r="C1937" s="232" t="str">
        <f>IF(AND(A1937&lt;&gt;"",ISNUMBER(A1937)),VLOOKUP(A1937,Studies!A:BR,3,FALSE),"")</f>
        <v>https://www.ncbi.nlm.nih.gov/pubmed/16982783</v>
      </c>
      <c r="D1937" s="232" t="str">
        <f>IF(AND(A1937&lt;&gt;"",ISNUMBER(A1937)),VLOOKUP(A1937,Studies!A:BR,4,FALSE),"")</f>
        <v>MAD_m_D 200 mg (HPBCD)</v>
      </c>
      <c r="E1937" s="206" t="str">
        <f>IF(AND(A1937&lt;&gt;"",ISNUMBER(A1937)),VLOOKUP(A1937,Studies!A:BR,5,FALSE),"")</f>
        <v>Itraconazole</v>
      </c>
      <c r="F1937" s="207" t="str">
        <f>IF(AND(A1937&lt;&gt;"",ISNUMBER(A1937)),VLOOKUP(A1937,Studies!A:BR,6,FALSE),"")</f>
        <v>Plasma</v>
      </c>
      <c r="G1937" s="194">
        <v>146.25</v>
      </c>
      <c r="H1937" s="194" t="s">
        <v>60</v>
      </c>
      <c r="I1937" s="187">
        <v>2570.8820819854736</v>
      </c>
      <c r="J1937" s="187" t="s">
        <v>1026</v>
      </c>
      <c r="K1937" s="187" t="s">
        <v>116</v>
      </c>
      <c r="L1937" s="195"/>
      <c r="M1937" s="195"/>
      <c r="N1937" s="195"/>
      <c r="O1937" s="199"/>
      <c r="P1937" s="188"/>
      <c r="Q1937" s="174">
        <f>IF(ISNUMBER(VLOOKUP(A1937,NotghiID!A:A,1,FALSE)),1,0)</f>
        <v>0</v>
      </c>
    </row>
    <row r="1938" spans="1:17" ht="14.25" x14ac:dyDescent="0.2">
      <c r="A1938" s="183">
        <v>527</v>
      </c>
      <c r="B1938" s="232" t="str">
        <f>IF(AND(A1938&lt;&gt;"",ISNUMBER(A1938)),VLOOKUP(A1938,Studies!A:BR,2,FALSE),"")</f>
        <v>Mouton 2006</v>
      </c>
      <c r="C1938" s="232" t="str">
        <f>IF(AND(A1938&lt;&gt;"",ISNUMBER(A1938)),VLOOKUP(A1938,Studies!A:BR,3,FALSE),"")</f>
        <v>https://www.ncbi.nlm.nih.gov/pubmed/16982783</v>
      </c>
      <c r="D1938" s="232" t="str">
        <f>IF(AND(A1938&lt;&gt;"",ISNUMBER(A1938)),VLOOKUP(A1938,Studies!A:BR,4,FALSE),"")</f>
        <v>MAD_m_D 200 mg (HPBCD)</v>
      </c>
      <c r="E1938" s="206" t="str">
        <f>IF(AND(A1938&lt;&gt;"",ISNUMBER(A1938)),VLOOKUP(A1938,Studies!A:BR,5,FALSE),"")</f>
        <v>Itraconazole</v>
      </c>
      <c r="F1938" s="207" t="str">
        <f>IF(AND(A1938&lt;&gt;"",ISNUMBER(A1938)),VLOOKUP(A1938,Studies!A:BR,6,FALSE),"")</f>
        <v>Plasma</v>
      </c>
      <c r="G1938" s="194">
        <v>146.5</v>
      </c>
      <c r="H1938" s="194" t="s">
        <v>60</v>
      </c>
      <c r="I1938" s="187">
        <v>2364.6631240844727</v>
      </c>
      <c r="J1938" s="187" t="s">
        <v>1026</v>
      </c>
      <c r="K1938" s="187" t="s">
        <v>116</v>
      </c>
      <c r="L1938" s="195"/>
      <c r="M1938" s="195"/>
      <c r="N1938" s="195"/>
      <c r="O1938" s="199"/>
      <c r="P1938" s="188"/>
      <c r="Q1938" s="174">
        <f>IF(ISNUMBER(VLOOKUP(A1938,NotghiID!A:A,1,FALSE)),1,0)</f>
        <v>0</v>
      </c>
    </row>
    <row r="1939" spans="1:17" ht="14.25" x14ac:dyDescent="0.2">
      <c r="A1939" s="183">
        <v>527</v>
      </c>
      <c r="B1939" s="232" t="str">
        <f>IF(AND(A1939&lt;&gt;"",ISNUMBER(A1939)),VLOOKUP(A1939,Studies!A:BR,2,FALSE),"")</f>
        <v>Mouton 2006</v>
      </c>
      <c r="C1939" s="232" t="str">
        <f>IF(AND(A1939&lt;&gt;"",ISNUMBER(A1939)),VLOOKUP(A1939,Studies!A:BR,3,FALSE),"")</f>
        <v>https://www.ncbi.nlm.nih.gov/pubmed/16982783</v>
      </c>
      <c r="D1939" s="232" t="str">
        <f>IF(AND(A1939&lt;&gt;"",ISNUMBER(A1939)),VLOOKUP(A1939,Studies!A:BR,4,FALSE),"")</f>
        <v>MAD_m_D 200 mg (HPBCD)</v>
      </c>
      <c r="E1939" s="206" t="str">
        <f>IF(AND(A1939&lt;&gt;"",ISNUMBER(A1939)),VLOOKUP(A1939,Studies!A:BR,5,FALSE),"")</f>
        <v>Itraconazole</v>
      </c>
      <c r="F1939" s="207" t="str">
        <f>IF(AND(A1939&lt;&gt;"",ISNUMBER(A1939)),VLOOKUP(A1939,Studies!A:BR,6,FALSE),"")</f>
        <v>Plasma</v>
      </c>
      <c r="G1939" s="194">
        <v>146.75</v>
      </c>
      <c r="H1939" s="194" t="s">
        <v>60</v>
      </c>
      <c r="I1939" s="187">
        <v>2364.6631240844727</v>
      </c>
      <c r="J1939" s="187" t="s">
        <v>1026</v>
      </c>
      <c r="K1939" s="187" t="s">
        <v>116</v>
      </c>
      <c r="L1939" s="195"/>
      <c r="M1939" s="195"/>
      <c r="N1939" s="195"/>
      <c r="O1939" s="199"/>
      <c r="P1939" s="188"/>
      <c r="Q1939" s="174">
        <f>IF(ISNUMBER(VLOOKUP(A1939,NotghiID!A:A,1,FALSE)),1,0)</f>
        <v>0</v>
      </c>
    </row>
    <row r="1940" spans="1:17" ht="14.25" x14ac:dyDescent="0.2">
      <c r="A1940" s="183">
        <v>527</v>
      </c>
      <c r="B1940" s="232" t="str">
        <f>IF(AND(A1940&lt;&gt;"",ISNUMBER(A1940)),VLOOKUP(A1940,Studies!A:BR,2,FALSE),"")</f>
        <v>Mouton 2006</v>
      </c>
      <c r="C1940" s="232" t="str">
        <f>IF(AND(A1940&lt;&gt;"",ISNUMBER(A1940)),VLOOKUP(A1940,Studies!A:BR,3,FALSE),"")</f>
        <v>https://www.ncbi.nlm.nih.gov/pubmed/16982783</v>
      </c>
      <c r="D1940" s="232" t="str">
        <f>IF(AND(A1940&lt;&gt;"",ISNUMBER(A1940)),VLOOKUP(A1940,Studies!A:BR,4,FALSE),"")</f>
        <v>MAD_m_D 200 mg (HPBCD)</v>
      </c>
      <c r="E1940" s="206" t="str">
        <f>IF(AND(A1940&lt;&gt;"",ISNUMBER(A1940)),VLOOKUP(A1940,Studies!A:BR,5,FALSE),"")</f>
        <v>Itraconazole</v>
      </c>
      <c r="F1940" s="207" t="str">
        <f>IF(AND(A1940&lt;&gt;"",ISNUMBER(A1940)),VLOOKUP(A1940,Studies!A:BR,6,FALSE),"")</f>
        <v>Plasma</v>
      </c>
      <c r="G1940" s="194">
        <v>148</v>
      </c>
      <c r="H1940" s="194" t="s">
        <v>60</v>
      </c>
      <c r="I1940" s="187">
        <v>1526.9509553909302</v>
      </c>
      <c r="J1940" s="187" t="s">
        <v>1026</v>
      </c>
      <c r="K1940" s="187" t="s">
        <v>116</v>
      </c>
      <c r="L1940" s="195"/>
      <c r="M1940" s="195"/>
      <c r="N1940" s="195"/>
      <c r="O1940" s="199"/>
      <c r="P1940" s="188"/>
      <c r="Q1940" s="174">
        <f>IF(ISNUMBER(VLOOKUP(A1940,NotghiID!A:A,1,FALSE)),1,0)</f>
        <v>0</v>
      </c>
    </row>
    <row r="1941" spans="1:17" ht="14.25" x14ac:dyDescent="0.2">
      <c r="A1941" s="183">
        <v>527</v>
      </c>
      <c r="B1941" s="232" t="str">
        <f>IF(AND(A1941&lt;&gt;"",ISNUMBER(A1941)),VLOOKUP(A1941,Studies!A:BR,2,FALSE),"")</f>
        <v>Mouton 2006</v>
      </c>
      <c r="C1941" s="232" t="str">
        <f>IF(AND(A1941&lt;&gt;"",ISNUMBER(A1941)),VLOOKUP(A1941,Studies!A:BR,3,FALSE),"")</f>
        <v>https://www.ncbi.nlm.nih.gov/pubmed/16982783</v>
      </c>
      <c r="D1941" s="232" t="str">
        <f>IF(AND(A1941&lt;&gt;"",ISNUMBER(A1941)),VLOOKUP(A1941,Studies!A:BR,4,FALSE),"")</f>
        <v>MAD_m_D 200 mg (HPBCD)</v>
      </c>
      <c r="E1941" s="206" t="str">
        <f>IF(AND(A1941&lt;&gt;"",ISNUMBER(A1941)),VLOOKUP(A1941,Studies!A:BR,5,FALSE),"")</f>
        <v>Itraconazole</v>
      </c>
      <c r="F1941" s="207" t="str">
        <f>IF(AND(A1941&lt;&gt;"",ISNUMBER(A1941)),VLOOKUP(A1941,Studies!A:BR,6,FALSE),"")</f>
        <v>Plasma</v>
      </c>
      <c r="G1941" s="194">
        <v>150</v>
      </c>
      <c r="H1941" s="194" t="s">
        <v>60</v>
      </c>
      <c r="I1941" s="187">
        <v>1360.0219488143921</v>
      </c>
      <c r="J1941" s="187" t="s">
        <v>1026</v>
      </c>
      <c r="K1941" s="187" t="s">
        <v>116</v>
      </c>
      <c r="L1941" s="195"/>
      <c r="M1941" s="195"/>
      <c r="N1941" s="195"/>
      <c r="O1941" s="199"/>
      <c r="P1941" s="188"/>
      <c r="Q1941" s="174">
        <f>IF(ISNUMBER(VLOOKUP(A1941,NotghiID!A:A,1,FALSE)),1,0)</f>
        <v>0</v>
      </c>
    </row>
    <row r="1942" spans="1:17" ht="14.25" x14ac:dyDescent="0.2">
      <c r="A1942" s="183">
        <v>527</v>
      </c>
      <c r="B1942" s="232" t="str">
        <f>IF(AND(A1942&lt;&gt;"",ISNUMBER(A1942)),VLOOKUP(A1942,Studies!A:BR,2,FALSE),"")</f>
        <v>Mouton 2006</v>
      </c>
      <c r="C1942" s="232" t="str">
        <f>IF(AND(A1942&lt;&gt;"",ISNUMBER(A1942)),VLOOKUP(A1942,Studies!A:BR,3,FALSE),"")</f>
        <v>https://www.ncbi.nlm.nih.gov/pubmed/16982783</v>
      </c>
      <c r="D1942" s="232" t="str">
        <f>IF(AND(A1942&lt;&gt;"",ISNUMBER(A1942)),VLOOKUP(A1942,Studies!A:BR,4,FALSE),"")</f>
        <v>MAD_m_D 200 mg (HPBCD)</v>
      </c>
      <c r="E1942" s="206" t="str">
        <f>IF(AND(A1942&lt;&gt;"",ISNUMBER(A1942)),VLOOKUP(A1942,Studies!A:BR,5,FALSE),"")</f>
        <v>Itraconazole</v>
      </c>
      <c r="F1942" s="207" t="str">
        <f>IF(AND(A1942&lt;&gt;"",ISNUMBER(A1942)),VLOOKUP(A1942,Studies!A:BR,6,FALSE),"")</f>
        <v>Plasma</v>
      </c>
      <c r="G1942" s="194">
        <v>152</v>
      </c>
      <c r="H1942" s="194" t="s">
        <v>60</v>
      </c>
      <c r="I1942" s="187">
        <v>1275.3020524978638</v>
      </c>
      <c r="J1942" s="187" t="s">
        <v>1026</v>
      </c>
      <c r="K1942" s="187" t="s">
        <v>116</v>
      </c>
      <c r="L1942" s="195"/>
      <c r="M1942" s="195"/>
      <c r="N1942" s="195"/>
      <c r="O1942" s="199"/>
      <c r="P1942" s="188"/>
      <c r="Q1942" s="174">
        <f>IF(ISNUMBER(VLOOKUP(A1942,NotghiID!A:A,1,FALSE)),1,0)</f>
        <v>0</v>
      </c>
    </row>
    <row r="1943" spans="1:17" ht="14.25" x14ac:dyDescent="0.2">
      <c r="A1943" s="183">
        <v>527</v>
      </c>
      <c r="B1943" s="232" t="str">
        <f>IF(AND(A1943&lt;&gt;"",ISNUMBER(A1943)),VLOOKUP(A1943,Studies!A:BR,2,FALSE),"")</f>
        <v>Mouton 2006</v>
      </c>
      <c r="C1943" s="232" t="str">
        <f>IF(AND(A1943&lt;&gt;"",ISNUMBER(A1943)),VLOOKUP(A1943,Studies!A:BR,3,FALSE),"")</f>
        <v>https://www.ncbi.nlm.nih.gov/pubmed/16982783</v>
      </c>
      <c r="D1943" s="232" t="str">
        <f>IF(AND(A1943&lt;&gt;"",ISNUMBER(A1943)),VLOOKUP(A1943,Studies!A:BR,4,FALSE),"")</f>
        <v>MAD_m_D 200 mg (HPBCD)</v>
      </c>
      <c r="E1943" s="206" t="str">
        <f>IF(AND(A1943&lt;&gt;"",ISNUMBER(A1943)),VLOOKUP(A1943,Studies!A:BR,5,FALSE),"")</f>
        <v>Itraconazole</v>
      </c>
      <c r="F1943" s="207" t="str">
        <f>IF(AND(A1943&lt;&gt;"",ISNUMBER(A1943)),VLOOKUP(A1943,Studies!A:BR,6,FALSE),"")</f>
        <v>Plasma</v>
      </c>
      <c r="G1943" s="194">
        <v>154</v>
      </c>
      <c r="H1943" s="194" t="s">
        <v>60</v>
      </c>
      <c r="I1943" s="187">
        <v>1342.6390886306763</v>
      </c>
      <c r="J1943" s="187" t="s">
        <v>1026</v>
      </c>
      <c r="K1943" s="187" t="s">
        <v>116</v>
      </c>
      <c r="L1943" s="195"/>
      <c r="M1943" s="195"/>
      <c r="N1943" s="195"/>
      <c r="O1943" s="199"/>
      <c r="P1943" s="188"/>
      <c r="Q1943" s="174">
        <f>IF(ISNUMBER(VLOOKUP(A1943,NotghiID!A:A,1,FALSE)),1,0)</f>
        <v>0</v>
      </c>
    </row>
    <row r="1944" spans="1:17" ht="14.25" x14ac:dyDescent="0.2">
      <c r="A1944" s="183">
        <v>527</v>
      </c>
      <c r="B1944" s="232" t="str">
        <f>IF(AND(A1944&lt;&gt;"",ISNUMBER(A1944)),VLOOKUP(A1944,Studies!A:BR,2,FALSE),"")</f>
        <v>Mouton 2006</v>
      </c>
      <c r="C1944" s="232" t="str">
        <f>IF(AND(A1944&lt;&gt;"",ISNUMBER(A1944)),VLOOKUP(A1944,Studies!A:BR,3,FALSE),"")</f>
        <v>https://www.ncbi.nlm.nih.gov/pubmed/16982783</v>
      </c>
      <c r="D1944" s="232" t="str">
        <f>IF(AND(A1944&lt;&gt;"",ISNUMBER(A1944)),VLOOKUP(A1944,Studies!A:BR,4,FALSE),"")</f>
        <v>MAD_m_D 200 mg (HPBCD)</v>
      </c>
      <c r="E1944" s="206" t="str">
        <f>IF(AND(A1944&lt;&gt;"",ISNUMBER(A1944)),VLOOKUP(A1944,Studies!A:BR,5,FALSE),"")</f>
        <v>Itraconazole</v>
      </c>
      <c r="F1944" s="207" t="str">
        <f>IF(AND(A1944&lt;&gt;"",ISNUMBER(A1944)),VLOOKUP(A1944,Studies!A:BR,6,FALSE),"")</f>
        <v>Plasma</v>
      </c>
      <c r="G1944" s="194">
        <v>160</v>
      </c>
      <c r="H1944" s="194" t="s">
        <v>60</v>
      </c>
      <c r="I1944" s="187">
        <v>918.65992546081543</v>
      </c>
      <c r="J1944" s="187" t="s">
        <v>1026</v>
      </c>
      <c r="K1944" s="187" t="s">
        <v>116</v>
      </c>
      <c r="L1944" s="195"/>
      <c r="M1944" s="195"/>
      <c r="N1944" s="195"/>
      <c r="O1944" s="199"/>
      <c r="P1944" s="188"/>
      <c r="Q1944" s="174">
        <f>IF(ISNUMBER(VLOOKUP(A1944,NotghiID!A:A,1,FALSE)),1,0)</f>
        <v>0</v>
      </c>
    </row>
    <row r="1945" spans="1:17" ht="14.25" x14ac:dyDescent="0.2">
      <c r="A1945" s="183">
        <v>527</v>
      </c>
      <c r="B1945" s="232" t="str">
        <f>IF(AND(A1945&lt;&gt;"",ISNUMBER(A1945)),VLOOKUP(A1945,Studies!A:BR,2,FALSE),"")</f>
        <v>Mouton 2006</v>
      </c>
      <c r="C1945" s="232" t="str">
        <f>IF(AND(A1945&lt;&gt;"",ISNUMBER(A1945)),VLOOKUP(A1945,Studies!A:BR,3,FALSE),"")</f>
        <v>https://www.ncbi.nlm.nih.gov/pubmed/16982783</v>
      </c>
      <c r="D1945" s="232" t="str">
        <f>IF(AND(A1945&lt;&gt;"",ISNUMBER(A1945)),VLOOKUP(A1945,Studies!A:BR,4,FALSE),"")</f>
        <v>MAD_m_D 200 mg (HPBCD)</v>
      </c>
      <c r="E1945" s="206" t="str">
        <f>IF(AND(A1945&lt;&gt;"",ISNUMBER(A1945)),VLOOKUP(A1945,Studies!A:BR,5,FALSE),"")</f>
        <v>Itraconazole</v>
      </c>
      <c r="F1945" s="207" t="str">
        <f>IF(AND(A1945&lt;&gt;"",ISNUMBER(A1945)),VLOOKUP(A1945,Studies!A:BR,6,FALSE),"")</f>
        <v>Plasma</v>
      </c>
      <c r="G1945" s="194">
        <v>168</v>
      </c>
      <c r="H1945" s="194" t="s">
        <v>60</v>
      </c>
      <c r="I1945" s="187">
        <v>1051.5110492706299</v>
      </c>
      <c r="J1945" s="187" t="s">
        <v>1026</v>
      </c>
      <c r="K1945" s="187" t="s">
        <v>116</v>
      </c>
      <c r="L1945" s="195"/>
      <c r="M1945" s="195"/>
      <c r="N1945" s="195"/>
      <c r="O1945" s="199"/>
      <c r="P1945" s="188"/>
      <c r="Q1945" s="174">
        <f>IF(ISNUMBER(VLOOKUP(A1945,NotghiID!A:A,1,FALSE)),1,0)</f>
        <v>0</v>
      </c>
    </row>
    <row r="1946" spans="1:17" ht="14.25" x14ac:dyDescent="0.2">
      <c r="A1946" s="183">
        <v>527</v>
      </c>
      <c r="B1946" s="232" t="str">
        <f>IF(AND(A1946&lt;&gt;"",ISNUMBER(A1946)),VLOOKUP(A1946,Studies!A:BR,2,FALSE),"")</f>
        <v>Mouton 2006</v>
      </c>
      <c r="C1946" s="232" t="str">
        <f>IF(AND(A1946&lt;&gt;"",ISNUMBER(A1946)),VLOOKUP(A1946,Studies!A:BR,3,FALSE),"")</f>
        <v>https://www.ncbi.nlm.nih.gov/pubmed/16982783</v>
      </c>
      <c r="D1946" s="232" t="str">
        <f>IF(AND(A1946&lt;&gt;"",ISNUMBER(A1946)),VLOOKUP(A1946,Studies!A:BR,4,FALSE),"")</f>
        <v>MAD_m_D 200 mg (HPBCD)</v>
      </c>
      <c r="E1946" s="206" t="str">
        <f>IF(AND(A1946&lt;&gt;"",ISNUMBER(A1946)),VLOOKUP(A1946,Studies!A:BR,5,FALSE),"")</f>
        <v>Itraconazole</v>
      </c>
      <c r="F1946" s="207" t="str">
        <f>IF(AND(A1946&lt;&gt;"",ISNUMBER(A1946)),VLOOKUP(A1946,Studies!A:BR,6,FALSE),"")</f>
        <v>Plasma</v>
      </c>
      <c r="G1946" s="194">
        <v>176</v>
      </c>
      <c r="H1946" s="194" t="s">
        <v>60</v>
      </c>
      <c r="I1946" s="187">
        <v>973.40697050094604</v>
      </c>
      <c r="J1946" s="187" t="s">
        <v>1026</v>
      </c>
      <c r="K1946" s="187" t="s">
        <v>116</v>
      </c>
      <c r="L1946" s="195"/>
      <c r="M1946" s="195"/>
      <c r="N1946" s="195"/>
      <c r="O1946" s="199"/>
      <c r="P1946" s="188"/>
      <c r="Q1946" s="174">
        <f>IF(ISNUMBER(VLOOKUP(A1946,NotghiID!A:A,1,FALSE)),1,0)</f>
        <v>0</v>
      </c>
    </row>
    <row r="1947" spans="1:17" ht="14.25" x14ac:dyDescent="0.2">
      <c r="A1947" s="183">
        <v>527</v>
      </c>
      <c r="B1947" s="232" t="str">
        <f>IF(AND(A1947&lt;&gt;"",ISNUMBER(A1947)),VLOOKUP(A1947,Studies!A:BR,2,FALSE),"")</f>
        <v>Mouton 2006</v>
      </c>
      <c r="C1947" s="232" t="str">
        <f>IF(AND(A1947&lt;&gt;"",ISNUMBER(A1947)),VLOOKUP(A1947,Studies!A:BR,3,FALSE),"")</f>
        <v>https://www.ncbi.nlm.nih.gov/pubmed/16982783</v>
      </c>
      <c r="D1947" s="232" t="str">
        <f>IF(AND(A1947&lt;&gt;"",ISNUMBER(A1947)),VLOOKUP(A1947,Studies!A:BR,4,FALSE),"")</f>
        <v>MAD_m_D 200 mg (HPBCD)</v>
      </c>
      <c r="E1947" s="206" t="str">
        <f>IF(AND(A1947&lt;&gt;"",ISNUMBER(A1947)),VLOOKUP(A1947,Studies!A:BR,5,FALSE),"")</f>
        <v>Itraconazole</v>
      </c>
      <c r="F1947" s="207" t="str">
        <f>IF(AND(A1947&lt;&gt;"",ISNUMBER(A1947)),VLOOKUP(A1947,Studies!A:BR,6,FALSE),"")</f>
        <v>Plasma</v>
      </c>
      <c r="G1947" s="194">
        <v>192</v>
      </c>
      <c r="H1947" s="194" t="s">
        <v>60</v>
      </c>
      <c r="I1947" s="187">
        <v>930.55349588394165</v>
      </c>
      <c r="J1947" s="187" t="s">
        <v>1026</v>
      </c>
      <c r="K1947" s="187" t="s">
        <v>116</v>
      </c>
      <c r="L1947" s="195"/>
      <c r="M1947" s="195"/>
      <c r="N1947" s="195"/>
      <c r="O1947" s="199"/>
      <c r="P1947" s="188"/>
      <c r="Q1947" s="174">
        <f>IF(ISNUMBER(VLOOKUP(A1947,NotghiID!A:A,1,FALSE)),1,0)</f>
        <v>0</v>
      </c>
    </row>
    <row r="1948" spans="1:17" ht="14.25" x14ac:dyDescent="0.2">
      <c r="A1948" s="183">
        <v>527</v>
      </c>
      <c r="B1948" s="232" t="str">
        <f>IF(AND(A1948&lt;&gt;"",ISNUMBER(A1948)),VLOOKUP(A1948,Studies!A:BR,2,FALSE),"")</f>
        <v>Mouton 2006</v>
      </c>
      <c r="C1948" s="232" t="str">
        <f>IF(AND(A1948&lt;&gt;"",ISNUMBER(A1948)),VLOOKUP(A1948,Studies!A:BR,3,FALSE),"")</f>
        <v>https://www.ncbi.nlm.nih.gov/pubmed/16982783</v>
      </c>
      <c r="D1948" s="232" t="str">
        <f>IF(AND(A1948&lt;&gt;"",ISNUMBER(A1948)),VLOOKUP(A1948,Studies!A:BR,4,FALSE),"")</f>
        <v>MAD_m_D 200 mg (HPBCD)</v>
      </c>
      <c r="E1948" s="206" t="str">
        <f>IF(AND(A1948&lt;&gt;"",ISNUMBER(A1948)),VLOOKUP(A1948,Studies!A:BR,5,FALSE),"")</f>
        <v>Itraconazole</v>
      </c>
      <c r="F1948" s="207" t="str">
        <f>IF(AND(A1948&lt;&gt;"",ISNUMBER(A1948)),VLOOKUP(A1948,Studies!A:BR,6,FALSE),"")</f>
        <v>Plasma</v>
      </c>
      <c r="G1948" s="194">
        <v>216</v>
      </c>
      <c r="H1948" s="194" t="s">
        <v>60</v>
      </c>
      <c r="I1948" s="187">
        <v>632.62099027633667</v>
      </c>
      <c r="J1948" s="187" t="s">
        <v>1026</v>
      </c>
      <c r="K1948" s="187" t="s">
        <v>116</v>
      </c>
      <c r="L1948" s="195"/>
      <c r="M1948" s="195"/>
      <c r="N1948" s="195"/>
      <c r="O1948" s="199"/>
      <c r="P1948" s="188"/>
      <c r="Q1948" s="174">
        <f>IF(ISNUMBER(VLOOKUP(A1948,NotghiID!A:A,1,FALSE)),1,0)</f>
        <v>0</v>
      </c>
    </row>
    <row r="1949" spans="1:17" ht="14.25" x14ac:dyDescent="0.2">
      <c r="A1949" s="183">
        <v>527</v>
      </c>
      <c r="B1949" s="232" t="str">
        <f>IF(AND(A1949&lt;&gt;"",ISNUMBER(A1949)),VLOOKUP(A1949,Studies!A:BR,2,FALSE),"")</f>
        <v>Mouton 2006</v>
      </c>
      <c r="C1949" s="232" t="str">
        <f>IF(AND(A1949&lt;&gt;"",ISNUMBER(A1949)),VLOOKUP(A1949,Studies!A:BR,3,FALSE),"")</f>
        <v>https://www.ncbi.nlm.nih.gov/pubmed/16982783</v>
      </c>
      <c r="D1949" s="232" t="str">
        <f>IF(AND(A1949&lt;&gt;"",ISNUMBER(A1949)),VLOOKUP(A1949,Studies!A:BR,4,FALSE),"")</f>
        <v>MAD_m_D 200 mg (HPBCD)</v>
      </c>
      <c r="E1949" s="206" t="str">
        <f>IF(AND(A1949&lt;&gt;"",ISNUMBER(A1949)),VLOOKUP(A1949,Studies!A:BR,5,FALSE),"")</f>
        <v>Itraconazole</v>
      </c>
      <c r="F1949" s="207" t="str">
        <f>IF(AND(A1949&lt;&gt;"",ISNUMBER(A1949)),VLOOKUP(A1949,Studies!A:BR,6,FALSE),"")</f>
        <v>Plasma</v>
      </c>
      <c r="G1949" s="194">
        <v>240</v>
      </c>
      <c r="H1949" s="194" t="s">
        <v>60</v>
      </c>
      <c r="I1949" s="187">
        <v>501.86270475387573</v>
      </c>
      <c r="J1949" s="187" t="s">
        <v>1026</v>
      </c>
      <c r="K1949" s="187" t="s">
        <v>116</v>
      </c>
      <c r="L1949" s="195"/>
      <c r="M1949" s="195"/>
      <c r="N1949" s="195"/>
      <c r="O1949" s="199"/>
      <c r="P1949" s="188"/>
      <c r="Q1949" s="174">
        <f>IF(ISNUMBER(VLOOKUP(A1949,NotghiID!A:A,1,FALSE)),1,0)</f>
        <v>0</v>
      </c>
    </row>
    <row r="1950" spans="1:17" ht="14.25" x14ac:dyDescent="0.2">
      <c r="A1950" s="183">
        <v>527</v>
      </c>
      <c r="B1950" s="232" t="str">
        <f>IF(AND(A1950&lt;&gt;"",ISNUMBER(A1950)),VLOOKUP(A1950,Studies!A:BR,2,FALSE),"")</f>
        <v>Mouton 2006</v>
      </c>
      <c r="C1950" s="232" t="str">
        <f>IF(AND(A1950&lt;&gt;"",ISNUMBER(A1950)),VLOOKUP(A1950,Studies!A:BR,3,FALSE),"")</f>
        <v>https://www.ncbi.nlm.nih.gov/pubmed/16982783</v>
      </c>
      <c r="D1950" s="232" t="str">
        <f>IF(AND(A1950&lt;&gt;"",ISNUMBER(A1950)),VLOOKUP(A1950,Studies!A:BR,4,FALSE),"")</f>
        <v>MAD_m_D 200 mg (HPBCD)</v>
      </c>
      <c r="E1950" s="206" t="str">
        <f>IF(AND(A1950&lt;&gt;"",ISNUMBER(A1950)),VLOOKUP(A1950,Studies!A:BR,5,FALSE),"")</f>
        <v>Itraconazole</v>
      </c>
      <c r="F1950" s="207" t="str">
        <f>IF(AND(A1950&lt;&gt;"",ISNUMBER(A1950)),VLOOKUP(A1950,Studies!A:BR,6,FALSE),"")</f>
        <v>Plasma</v>
      </c>
      <c r="G1950" s="194">
        <v>312</v>
      </c>
      <c r="H1950" s="194" t="s">
        <v>60</v>
      </c>
      <c r="I1950" s="187">
        <v>205.26590943336487</v>
      </c>
      <c r="J1950" s="187" t="s">
        <v>1026</v>
      </c>
      <c r="K1950" s="187" t="s">
        <v>116</v>
      </c>
      <c r="L1950" s="195"/>
      <c r="M1950" s="195"/>
      <c r="N1950" s="195"/>
      <c r="O1950" s="199"/>
      <c r="P1950" s="188"/>
      <c r="Q1950" s="174">
        <f>IF(ISNUMBER(VLOOKUP(A1950,NotghiID!A:A,1,FALSE)),1,0)</f>
        <v>0</v>
      </c>
    </row>
    <row r="1951" spans="1:17" ht="14.25" x14ac:dyDescent="0.2">
      <c r="A1951" s="183">
        <v>533</v>
      </c>
      <c r="B1951" s="232" t="str">
        <f>IF(AND(A1951&lt;&gt;"",ISNUMBER(A1951)),VLOOKUP(A1951,Studies!A:BR,2,FALSE),"")</f>
        <v>Mouton 2006</v>
      </c>
      <c r="C1951" s="232" t="str">
        <f>IF(AND(A1951&lt;&gt;"",ISNUMBER(A1951)),VLOOKUP(A1951,Studies!A:BR,3,FALSE),"")</f>
        <v>https://www.ncbi.nlm.nih.gov/pubmed/16982783</v>
      </c>
      <c r="D1951" s="232" t="str">
        <f>IF(AND(A1951&lt;&gt;"",ISNUMBER(A1951)),VLOOKUP(A1951,Studies!A:BR,4,FALSE),"")</f>
        <v>MAD_m_B 200 mg</v>
      </c>
      <c r="E1951" s="206" t="str">
        <f>IF(AND(A1951&lt;&gt;"",ISNUMBER(A1951)),VLOOKUP(A1951,Studies!A:BR,5,FALSE),"")</f>
        <v>Hydroxy-Itraconazole</v>
      </c>
      <c r="F1951" s="207" t="str">
        <f>IF(AND(A1951&lt;&gt;"",ISNUMBER(A1951)),VLOOKUP(A1951,Studies!A:BR,6,FALSE),"")</f>
        <v>Plasma</v>
      </c>
      <c r="G1951" s="194">
        <v>2</v>
      </c>
      <c r="H1951" s="194" t="s">
        <v>60</v>
      </c>
      <c r="I1951" s="187">
        <v>309.80449914932251</v>
      </c>
      <c r="J1951" s="187" t="s">
        <v>1026</v>
      </c>
      <c r="K1951" s="187" t="s">
        <v>116</v>
      </c>
      <c r="L1951" s="195"/>
      <c r="M1951" s="195"/>
      <c r="N1951" s="195"/>
      <c r="O1951" s="199"/>
      <c r="P1951" s="188"/>
      <c r="Q1951" s="174">
        <f>IF(ISNUMBER(VLOOKUP(A1951,NotghiID!A:A,1,FALSE)),1,0)</f>
        <v>0</v>
      </c>
    </row>
    <row r="1952" spans="1:17" ht="14.25" x14ac:dyDescent="0.2">
      <c r="A1952" s="183">
        <v>533</v>
      </c>
      <c r="B1952" s="232" t="str">
        <f>IF(AND(A1952&lt;&gt;"",ISNUMBER(A1952)),VLOOKUP(A1952,Studies!A:BR,2,FALSE),"")</f>
        <v>Mouton 2006</v>
      </c>
      <c r="C1952" s="232" t="str">
        <f>IF(AND(A1952&lt;&gt;"",ISNUMBER(A1952)),VLOOKUP(A1952,Studies!A:BR,3,FALSE),"")</f>
        <v>https://www.ncbi.nlm.nih.gov/pubmed/16982783</v>
      </c>
      <c r="D1952" s="232" t="str">
        <f>IF(AND(A1952&lt;&gt;"",ISNUMBER(A1952)),VLOOKUP(A1952,Studies!A:BR,4,FALSE),"")</f>
        <v>MAD_m_B 200 mg</v>
      </c>
      <c r="E1952" s="206" t="str">
        <f>IF(AND(A1952&lt;&gt;"",ISNUMBER(A1952)),VLOOKUP(A1952,Studies!A:BR,5,FALSE),"")</f>
        <v>Hydroxy-Itraconazole</v>
      </c>
      <c r="F1952" s="207" t="str">
        <f>IF(AND(A1952&lt;&gt;"",ISNUMBER(A1952)),VLOOKUP(A1952,Studies!A:BR,6,FALSE),"")</f>
        <v>Plasma</v>
      </c>
      <c r="G1952" s="194">
        <v>8</v>
      </c>
      <c r="H1952" s="194" t="s">
        <v>60</v>
      </c>
      <c r="I1952" s="187">
        <v>505.10102510452271</v>
      </c>
      <c r="J1952" s="187" t="s">
        <v>1026</v>
      </c>
      <c r="K1952" s="187" t="s">
        <v>116</v>
      </c>
      <c r="L1952" s="195"/>
      <c r="M1952" s="195"/>
      <c r="N1952" s="195"/>
      <c r="O1952" s="199"/>
      <c r="P1952" s="188"/>
      <c r="Q1952" s="174">
        <f>IF(ISNUMBER(VLOOKUP(A1952,NotghiID!A:A,1,FALSE)),1,0)</f>
        <v>0</v>
      </c>
    </row>
    <row r="1953" spans="1:17" ht="14.25" x14ac:dyDescent="0.2">
      <c r="A1953" s="183">
        <v>533</v>
      </c>
      <c r="B1953" s="232" t="str">
        <f>IF(AND(A1953&lt;&gt;"",ISNUMBER(A1953)),VLOOKUP(A1953,Studies!A:BR,2,FALSE),"")</f>
        <v>Mouton 2006</v>
      </c>
      <c r="C1953" s="232" t="str">
        <f>IF(AND(A1953&lt;&gt;"",ISNUMBER(A1953)),VLOOKUP(A1953,Studies!A:BR,3,FALSE),"")</f>
        <v>https://www.ncbi.nlm.nih.gov/pubmed/16982783</v>
      </c>
      <c r="D1953" s="232" t="str">
        <f>IF(AND(A1953&lt;&gt;"",ISNUMBER(A1953)),VLOOKUP(A1953,Studies!A:BR,4,FALSE),"")</f>
        <v>MAD_m_B 200 mg</v>
      </c>
      <c r="E1953" s="206" t="str">
        <f>IF(AND(A1953&lt;&gt;"",ISNUMBER(A1953)),VLOOKUP(A1953,Studies!A:BR,5,FALSE),"")</f>
        <v>Hydroxy-Itraconazole</v>
      </c>
      <c r="F1953" s="207" t="str">
        <f>IF(AND(A1953&lt;&gt;"",ISNUMBER(A1953)),VLOOKUP(A1953,Studies!A:BR,6,FALSE),"")</f>
        <v>Plasma</v>
      </c>
      <c r="G1953" s="194">
        <v>10</v>
      </c>
      <c r="H1953" s="194" t="s">
        <v>60</v>
      </c>
      <c r="I1953" s="187">
        <v>733.48188400268555</v>
      </c>
      <c r="J1953" s="187" t="s">
        <v>1026</v>
      </c>
      <c r="K1953" s="187" t="s">
        <v>116</v>
      </c>
      <c r="L1953" s="195"/>
      <c r="M1953" s="195"/>
      <c r="N1953" s="195"/>
      <c r="O1953" s="199"/>
      <c r="P1953" s="188"/>
      <c r="Q1953" s="174">
        <f>IF(ISNUMBER(VLOOKUP(A1953,NotghiID!A:A,1,FALSE)),1,0)</f>
        <v>0</v>
      </c>
    </row>
    <row r="1954" spans="1:17" ht="14.25" x14ac:dyDescent="0.2">
      <c r="A1954" s="183">
        <v>533</v>
      </c>
      <c r="B1954" s="232" t="str">
        <f>IF(AND(A1954&lt;&gt;"",ISNUMBER(A1954)),VLOOKUP(A1954,Studies!A:BR,2,FALSE),"")</f>
        <v>Mouton 2006</v>
      </c>
      <c r="C1954" s="232" t="str">
        <f>IF(AND(A1954&lt;&gt;"",ISNUMBER(A1954)),VLOOKUP(A1954,Studies!A:BR,3,FALSE),"")</f>
        <v>https://www.ncbi.nlm.nih.gov/pubmed/16982783</v>
      </c>
      <c r="D1954" s="232" t="str">
        <f>IF(AND(A1954&lt;&gt;"",ISNUMBER(A1954)),VLOOKUP(A1954,Studies!A:BR,4,FALSE),"")</f>
        <v>MAD_m_B 200 mg</v>
      </c>
      <c r="E1954" s="206" t="str">
        <f>IF(AND(A1954&lt;&gt;"",ISNUMBER(A1954)),VLOOKUP(A1954,Studies!A:BR,5,FALSE),"")</f>
        <v>Hydroxy-Itraconazole</v>
      </c>
      <c r="F1954" s="207" t="str">
        <f>IF(AND(A1954&lt;&gt;"",ISNUMBER(A1954)),VLOOKUP(A1954,Studies!A:BR,6,FALSE),"")</f>
        <v>Plasma</v>
      </c>
      <c r="G1954" s="194">
        <v>24</v>
      </c>
      <c r="H1954" s="194" t="s">
        <v>60</v>
      </c>
      <c r="I1954" s="187">
        <v>866.99205636978149</v>
      </c>
      <c r="J1954" s="187" t="s">
        <v>1026</v>
      </c>
      <c r="K1954" s="187" t="s">
        <v>116</v>
      </c>
      <c r="L1954" s="195"/>
      <c r="M1954" s="195"/>
      <c r="N1954" s="195"/>
      <c r="O1954" s="199"/>
      <c r="P1954" s="188"/>
      <c r="Q1954" s="174">
        <f>IF(ISNUMBER(VLOOKUP(A1954,NotghiID!A:A,1,FALSE)),1,0)</f>
        <v>0</v>
      </c>
    </row>
    <row r="1955" spans="1:17" ht="14.25" x14ac:dyDescent="0.2">
      <c r="A1955" s="183">
        <v>533</v>
      </c>
      <c r="B1955" s="232" t="str">
        <f>IF(AND(A1955&lt;&gt;"",ISNUMBER(A1955)),VLOOKUP(A1955,Studies!A:BR,2,FALSE),"")</f>
        <v>Mouton 2006</v>
      </c>
      <c r="C1955" s="232" t="str">
        <f>IF(AND(A1955&lt;&gt;"",ISNUMBER(A1955)),VLOOKUP(A1955,Studies!A:BR,3,FALSE),"")</f>
        <v>https://www.ncbi.nlm.nih.gov/pubmed/16982783</v>
      </c>
      <c r="D1955" s="232" t="str">
        <f>IF(AND(A1955&lt;&gt;"",ISNUMBER(A1955)),VLOOKUP(A1955,Studies!A:BR,4,FALSE),"")</f>
        <v>MAD_m_B 200 mg</v>
      </c>
      <c r="E1955" s="206" t="str">
        <f>IF(AND(A1955&lt;&gt;"",ISNUMBER(A1955)),VLOOKUP(A1955,Studies!A:BR,5,FALSE),"")</f>
        <v>Hydroxy-Itraconazole</v>
      </c>
      <c r="F1955" s="207" t="str">
        <f>IF(AND(A1955&lt;&gt;"",ISNUMBER(A1955)),VLOOKUP(A1955,Studies!A:BR,6,FALSE),"")</f>
        <v>Plasma</v>
      </c>
      <c r="G1955" s="194">
        <v>26</v>
      </c>
      <c r="H1955" s="194" t="s">
        <v>60</v>
      </c>
      <c r="I1955" s="187">
        <v>967.16630458831787</v>
      </c>
      <c r="J1955" s="187" t="s">
        <v>1026</v>
      </c>
      <c r="K1955" s="187" t="s">
        <v>116</v>
      </c>
      <c r="L1955" s="195"/>
      <c r="M1955" s="195"/>
      <c r="N1955" s="195"/>
      <c r="O1955" s="199"/>
      <c r="P1955" s="188"/>
      <c r="Q1955" s="174">
        <f>IF(ISNUMBER(VLOOKUP(A1955,NotghiID!A:A,1,FALSE)),1,0)</f>
        <v>0</v>
      </c>
    </row>
    <row r="1956" spans="1:17" ht="14.25" x14ac:dyDescent="0.2">
      <c r="A1956" s="183">
        <v>533</v>
      </c>
      <c r="B1956" s="232" t="str">
        <f>IF(AND(A1956&lt;&gt;"",ISNUMBER(A1956)),VLOOKUP(A1956,Studies!A:BR,2,FALSE),"")</f>
        <v>Mouton 2006</v>
      </c>
      <c r="C1956" s="232" t="str">
        <f>IF(AND(A1956&lt;&gt;"",ISNUMBER(A1956)),VLOOKUP(A1956,Studies!A:BR,3,FALSE),"")</f>
        <v>https://www.ncbi.nlm.nih.gov/pubmed/16982783</v>
      </c>
      <c r="D1956" s="232" t="str">
        <f>IF(AND(A1956&lt;&gt;"",ISNUMBER(A1956)),VLOOKUP(A1956,Studies!A:BR,4,FALSE),"")</f>
        <v>MAD_m_B 200 mg</v>
      </c>
      <c r="E1956" s="206" t="str">
        <f>IF(AND(A1956&lt;&gt;"",ISNUMBER(A1956)),VLOOKUP(A1956,Studies!A:BR,5,FALSE),"")</f>
        <v>Hydroxy-Itraconazole</v>
      </c>
      <c r="F1956" s="207" t="str">
        <f>IF(AND(A1956&lt;&gt;"",ISNUMBER(A1956)),VLOOKUP(A1956,Studies!A:BR,6,FALSE),"")</f>
        <v>Plasma</v>
      </c>
      <c r="G1956" s="194">
        <v>32</v>
      </c>
      <c r="H1956" s="194" t="s">
        <v>60</v>
      </c>
      <c r="I1956" s="187">
        <v>1114.1760349273682</v>
      </c>
      <c r="J1956" s="187" t="s">
        <v>1026</v>
      </c>
      <c r="K1956" s="187" t="s">
        <v>116</v>
      </c>
      <c r="L1956" s="195"/>
      <c r="M1956" s="195"/>
      <c r="N1956" s="195"/>
      <c r="O1956" s="199"/>
      <c r="P1956" s="188"/>
      <c r="Q1956" s="174">
        <f>IF(ISNUMBER(VLOOKUP(A1956,NotghiID!A:A,1,FALSE)),1,0)</f>
        <v>0</v>
      </c>
    </row>
    <row r="1957" spans="1:17" ht="14.25" x14ac:dyDescent="0.2">
      <c r="A1957" s="183">
        <v>533</v>
      </c>
      <c r="B1957" s="232" t="str">
        <f>IF(AND(A1957&lt;&gt;"",ISNUMBER(A1957)),VLOOKUP(A1957,Studies!A:BR,2,FALSE),"")</f>
        <v>Mouton 2006</v>
      </c>
      <c r="C1957" s="232" t="str">
        <f>IF(AND(A1957&lt;&gt;"",ISNUMBER(A1957)),VLOOKUP(A1957,Studies!A:BR,3,FALSE),"")</f>
        <v>https://www.ncbi.nlm.nih.gov/pubmed/16982783</v>
      </c>
      <c r="D1957" s="232" t="str">
        <f>IF(AND(A1957&lt;&gt;"",ISNUMBER(A1957)),VLOOKUP(A1957,Studies!A:BR,4,FALSE),"")</f>
        <v>MAD_m_B 200 mg</v>
      </c>
      <c r="E1957" s="206" t="str">
        <f>IF(AND(A1957&lt;&gt;"",ISNUMBER(A1957)),VLOOKUP(A1957,Studies!A:BR,5,FALSE),"")</f>
        <v>Hydroxy-Itraconazole</v>
      </c>
      <c r="F1957" s="207" t="str">
        <f>IF(AND(A1957&lt;&gt;"",ISNUMBER(A1957)),VLOOKUP(A1957,Studies!A:BR,6,FALSE),"")</f>
        <v>Plasma</v>
      </c>
      <c r="G1957" s="194">
        <v>34</v>
      </c>
      <c r="H1957" s="194" t="s">
        <v>60</v>
      </c>
      <c r="I1957" s="187">
        <v>1250.9300708770752</v>
      </c>
      <c r="J1957" s="187" t="s">
        <v>1026</v>
      </c>
      <c r="K1957" s="187" t="s">
        <v>116</v>
      </c>
      <c r="L1957" s="195"/>
      <c r="M1957" s="195"/>
      <c r="N1957" s="195"/>
      <c r="O1957" s="199"/>
      <c r="P1957" s="188"/>
      <c r="Q1957" s="174">
        <f>IF(ISNUMBER(VLOOKUP(A1957,NotghiID!A:A,1,FALSE)),1,0)</f>
        <v>0</v>
      </c>
    </row>
    <row r="1958" spans="1:17" ht="14.25" x14ac:dyDescent="0.2">
      <c r="A1958" s="183">
        <v>533</v>
      </c>
      <c r="B1958" s="232" t="str">
        <f>IF(AND(A1958&lt;&gt;"",ISNUMBER(A1958)),VLOOKUP(A1958,Studies!A:BR,2,FALSE),"")</f>
        <v>Mouton 2006</v>
      </c>
      <c r="C1958" s="232" t="str">
        <f>IF(AND(A1958&lt;&gt;"",ISNUMBER(A1958)),VLOOKUP(A1958,Studies!A:BR,3,FALSE),"")</f>
        <v>https://www.ncbi.nlm.nih.gov/pubmed/16982783</v>
      </c>
      <c r="D1958" s="232" t="str">
        <f>IF(AND(A1958&lt;&gt;"",ISNUMBER(A1958)),VLOOKUP(A1958,Studies!A:BR,4,FALSE),"")</f>
        <v>MAD_m_B 200 mg</v>
      </c>
      <c r="E1958" s="206" t="str">
        <f>IF(AND(A1958&lt;&gt;"",ISNUMBER(A1958)),VLOOKUP(A1958,Studies!A:BR,5,FALSE),"")</f>
        <v>Hydroxy-Itraconazole</v>
      </c>
      <c r="F1958" s="207" t="str">
        <f>IF(AND(A1958&lt;&gt;"",ISNUMBER(A1958)),VLOOKUP(A1958,Studies!A:BR,6,FALSE),"")</f>
        <v>Plasma</v>
      </c>
      <c r="G1958" s="194">
        <v>48</v>
      </c>
      <c r="H1958" s="194" t="s">
        <v>60</v>
      </c>
      <c r="I1958" s="187">
        <v>1450.3699541091919</v>
      </c>
      <c r="J1958" s="187" t="s">
        <v>1026</v>
      </c>
      <c r="K1958" s="187" t="s">
        <v>116</v>
      </c>
      <c r="L1958" s="195"/>
      <c r="M1958" s="195"/>
      <c r="N1958" s="195"/>
      <c r="O1958" s="199"/>
      <c r="P1958" s="188"/>
      <c r="Q1958" s="174">
        <f>IF(ISNUMBER(VLOOKUP(A1958,NotghiID!A:A,1,FALSE)),1,0)</f>
        <v>0</v>
      </c>
    </row>
    <row r="1959" spans="1:17" ht="14.25" x14ac:dyDescent="0.2">
      <c r="A1959" s="183">
        <v>533</v>
      </c>
      <c r="B1959" s="232" t="str">
        <f>IF(AND(A1959&lt;&gt;"",ISNUMBER(A1959)),VLOOKUP(A1959,Studies!A:BR,2,FALSE),"")</f>
        <v>Mouton 2006</v>
      </c>
      <c r="C1959" s="232" t="str">
        <f>IF(AND(A1959&lt;&gt;"",ISNUMBER(A1959)),VLOOKUP(A1959,Studies!A:BR,3,FALSE),"")</f>
        <v>https://www.ncbi.nlm.nih.gov/pubmed/16982783</v>
      </c>
      <c r="D1959" s="232" t="str">
        <f>IF(AND(A1959&lt;&gt;"",ISNUMBER(A1959)),VLOOKUP(A1959,Studies!A:BR,4,FALSE),"")</f>
        <v>MAD_m_B 200 mg</v>
      </c>
      <c r="E1959" s="206" t="str">
        <f>IF(AND(A1959&lt;&gt;"",ISNUMBER(A1959)),VLOOKUP(A1959,Studies!A:BR,5,FALSE),"")</f>
        <v>Hydroxy-Itraconazole</v>
      </c>
      <c r="F1959" s="207" t="str">
        <f>IF(AND(A1959&lt;&gt;"",ISNUMBER(A1959)),VLOOKUP(A1959,Studies!A:BR,6,FALSE),"")</f>
        <v>Plasma</v>
      </c>
      <c r="G1959" s="194">
        <v>50</v>
      </c>
      <c r="H1959" s="194" t="s">
        <v>60</v>
      </c>
      <c r="I1959" s="187">
        <v>1517.1619653701782</v>
      </c>
      <c r="J1959" s="187" t="s">
        <v>1026</v>
      </c>
      <c r="K1959" s="187" t="s">
        <v>116</v>
      </c>
      <c r="L1959" s="195"/>
      <c r="M1959" s="195"/>
      <c r="N1959" s="195"/>
      <c r="O1959" s="199"/>
      <c r="P1959" s="188"/>
      <c r="Q1959" s="174">
        <f>IF(ISNUMBER(VLOOKUP(A1959,NotghiID!A:A,1,FALSE)),1,0)</f>
        <v>0</v>
      </c>
    </row>
    <row r="1960" spans="1:17" ht="14.25" x14ac:dyDescent="0.2">
      <c r="A1960" s="183">
        <v>533</v>
      </c>
      <c r="B1960" s="232" t="str">
        <f>IF(AND(A1960&lt;&gt;"",ISNUMBER(A1960)),VLOOKUP(A1960,Studies!A:BR,2,FALSE),"")</f>
        <v>Mouton 2006</v>
      </c>
      <c r="C1960" s="232" t="str">
        <f>IF(AND(A1960&lt;&gt;"",ISNUMBER(A1960)),VLOOKUP(A1960,Studies!A:BR,3,FALSE),"")</f>
        <v>https://www.ncbi.nlm.nih.gov/pubmed/16982783</v>
      </c>
      <c r="D1960" s="232" t="str">
        <f>IF(AND(A1960&lt;&gt;"",ISNUMBER(A1960)),VLOOKUP(A1960,Studies!A:BR,4,FALSE),"")</f>
        <v>MAD_m_B 200 mg</v>
      </c>
      <c r="E1960" s="206" t="str">
        <f>IF(AND(A1960&lt;&gt;"",ISNUMBER(A1960)),VLOOKUP(A1960,Studies!A:BR,5,FALSE),"")</f>
        <v>Hydroxy-Itraconazole</v>
      </c>
      <c r="F1960" s="207" t="str">
        <f>IF(AND(A1960&lt;&gt;"",ISNUMBER(A1960)),VLOOKUP(A1960,Studies!A:BR,6,FALSE),"")</f>
        <v>Plasma</v>
      </c>
      <c r="G1960" s="194">
        <v>72</v>
      </c>
      <c r="H1960" s="194" t="s">
        <v>60</v>
      </c>
      <c r="I1960" s="187">
        <v>1576.854944229126</v>
      </c>
      <c r="J1960" s="187" t="s">
        <v>1026</v>
      </c>
      <c r="K1960" s="187" t="s">
        <v>116</v>
      </c>
      <c r="L1960" s="195"/>
      <c r="M1960" s="195"/>
      <c r="N1960" s="195"/>
      <c r="O1960" s="199"/>
      <c r="P1960" s="188"/>
      <c r="Q1960" s="174">
        <f>IF(ISNUMBER(VLOOKUP(A1960,NotghiID!A:A,1,FALSE)),1,0)</f>
        <v>0</v>
      </c>
    </row>
    <row r="1961" spans="1:17" ht="14.25" x14ac:dyDescent="0.2">
      <c r="A1961" s="183">
        <v>533</v>
      </c>
      <c r="B1961" s="232" t="str">
        <f>IF(AND(A1961&lt;&gt;"",ISNUMBER(A1961)),VLOOKUP(A1961,Studies!A:BR,2,FALSE),"")</f>
        <v>Mouton 2006</v>
      </c>
      <c r="C1961" s="232" t="str">
        <f>IF(AND(A1961&lt;&gt;"",ISNUMBER(A1961)),VLOOKUP(A1961,Studies!A:BR,3,FALSE),"")</f>
        <v>https://www.ncbi.nlm.nih.gov/pubmed/16982783</v>
      </c>
      <c r="D1961" s="232" t="str">
        <f>IF(AND(A1961&lt;&gt;"",ISNUMBER(A1961)),VLOOKUP(A1961,Studies!A:BR,4,FALSE),"")</f>
        <v>MAD_m_B 200 mg</v>
      </c>
      <c r="E1961" s="206" t="str">
        <f>IF(AND(A1961&lt;&gt;"",ISNUMBER(A1961)),VLOOKUP(A1961,Studies!A:BR,5,FALSE),"")</f>
        <v>Hydroxy-Itraconazole</v>
      </c>
      <c r="F1961" s="207" t="str">
        <f>IF(AND(A1961&lt;&gt;"",ISNUMBER(A1961)),VLOOKUP(A1961,Studies!A:BR,6,FALSE),"")</f>
        <v>Plasma</v>
      </c>
      <c r="G1961" s="194">
        <v>74</v>
      </c>
      <c r="H1961" s="194" t="s">
        <v>60</v>
      </c>
      <c r="I1961" s="187">
        <v>1660.1139307022095</v>
      </c>
      <c r="J1961" s="187" t="s">
        <v>1026</v>
      </c>
      <c r="K1961" s="187" t="s">
        <v>116</v>
      </c>
      <c r="L1961" s="195"/>
      <c r="M1961" s="195"/>
      <c r="N1961" s="195"/>
      <c r="O1961" s="199"/>
      <c r="P1961" s="188"/>
      <c r="Q1961" s="174">
        <f>IF(ISNUMBER(VLOOKUP(A1961,NotghiID!A:A,1,FALSE)),1,0)</f>
        <v>0</v>
      </c>
    </row>
    <row r="1962" spans="1:17" ht="14.25" x14ac:dyDescent="0.2">
      <c r="A1962" s="183">
        <v>533</v>
      </c>
      <c r="B1962" s="232" t="str">
        <f>IF(AND(A1962&lt;&gt;"",ISNUMBER(A1962)),VLOOKUP(A1962,Studies!A:BR,2,FALSE),"")</f>
        <v>Mouton 2006</v>
      </c>
      <c r="C1962" s="232" t="str">
        <f>IF(AND(A1962&lt;&gt;"",ISNUMBER(A1962)),VLOOKUP(A1962,Studies!A:BR,3,FALSE),"")</f>
        <v>https://www.ncbi.nlm.nih.gov/pubmed/16982783</v>
      </c>
      <c r="D1962" s="232" t="str">
        <f>IF(AND(A1962&lt;&gt;"",ISNUMBER(A1962)),VLOOKUP(A1962,Studies!A:BR,4,FALSE),"")</f>
        <v>MAD_m_B 200 mg</v>
      </c>
      <c r="E1962" s="206" t="str">
        <f>IF(AND(A1962&lt;&gt;"",ISNUMBER(A1962)),VLOOKUP(A1962,Studies!A:BR,5,FALSE),"")</f>
        <v>Hydroxy-Itraconazole</v>
      </c>
      <c r="F1962" s="207" t="str">
        <f>IF(AND(A1962&lt;&gt;"",ISNUMBER(A1962)),VLOOKUP(A1962,Studies!A:BR,6,FALSE),"")</f>
        <v>Plasma</v>
      </c>
      <c r="G1962" s="194">
        <v>96</v>
      </c>
      <c r="H1962" s="194" t="s">
        <v>60</v>
      </c>
      <c r="I1962" s="187">
        <v>1714.3700122833252</v>
      </c>
      <c r="J1962" s="187" t="s">
        <v>1026</v>
      </c>
      <c r="K1962" s="187" t="s">
        <v>116</v>
      </c>
      <c r="L1962" s="195"/>
      <c r="M1962" s="195"/>
      <c r="N1962" s="195"/>
      <c r="O1962" s="199"/>
      <c r="P1962" s="188"/>
      <c r="Q1962" s="174">
        <f>IF(ISNUMBER(VLOOKUP(A1962,NotghiID!A:A,1,FALSE)),1,0)</f>
        <v>0</v>
      </c>
    </row>
    <row r="1963" spans="1:17" ht="14.25" x14ac:dyDescent="0.2">
      <c r="A1963" s="183">
        <v>533</v>
      </c>
      <c r="B1963" s="232" t="str">
        <f>IF(AND(A1963&lt;&gt;"",ISNUMBER(A1963)),VLOOKUP(A1963,Studies!A:BR,2,FALSE),"")</f>
        <v>Mouton 2006</v>
      </c>
      <c r="C1963" s="232" t="str">
        <f>IF(AND(A1963&lt;&gt;"",ISNUMBER(A1963)),VLOOKUP(A1963,Studies!A:BR,3,FALSE),"")</f>
        <v>https://www.ncbi.nlm.nih.gov/pubmed/16982783</v>
      </c>
      <c r="D1963" s="232" t="str">
        <f>IF(AND(A1963&lt;&gt;"",ISNUMBER(A1963)),VLOOKUP(A1963,Studies!A:BR,4,FALSE),"")</f>
        <v>MAD_m_B 200 mg</v>
      </c>
      <c r="E1963" s="206" t="str">
        <f>IF(AND(A1963&lt;&gt;"",ISNUMBER(A1963)),VLOOKUP(A1963,Studies!A:BR,5,FALSE),"")</f>
        <v>Hydroxy-Itraconazole</v>
      </c>
      <c r="F1963" s="207" t="str">
        <f>IF(AND(A1963&lt;&gt;"",ISNUMBER(A1963)),VLOOKUP(A1963,Studies!A:BR,6,FALSE),"")</f>
        <v>Plasma</v>
      </c>
      <c r="G1963" s="194">
        <v>98</v>
      </c>
      <c r="H1963" s="194" t="s">
        <v>60</v>
      </c>
      <c r="I1963" s="187">
        <v>1962.2918367385864</v>
      </c>
      <c r="J1963" s="187" t="s">
        <v>1026</v>
      </c>
      <c r="K1963" s="187" t="s">
        <v>116</v>
      </c>
      <c r="L1963" s="195"/>
      <c r="M1963" s="195"/>
      <c r="N1963" s="195"/>
      <c r="O1963" s="199"/>
      <c r="P1963" s="188"/>
      <c r="Q1963" s="174">
        <f>IF(ISNUMBER(VLOOKUP(A1963,NotghiID!A:A,1,FALSE)),1,0)</f>
        <v>0</v>
      </c>
    </row>
    <row r="1964" spans="1:17" ht="14.25" x14ac:dyDescent="0.2">
      <c r="A1964" s="183">
        <v>533</v>
      </c>
      <c r="B1964" s="232" t="str">
        <f>IF(AND(A1964&lt;&gt;"",ISNUMBER(A1964)),VLOOKUP(A1964,Studies!A:BR,2,FALSE),"")</f>
        <v>Mouton 2006</v>
      </c>
      <c r="C1964" s="232" t="str">
        <f>IF(AND(A1964&lt;&gt;"",ISNUMBER(A1964)),VLOOKUP(A1964,Studies!A:BR,3,FALSE),"")</f>
        <v>https://www.ncbi.nlm.nih.gov/pubmed/16982783</v>
      </c>
      <c r="D1964" s="232" t="str">
        <f>IF(AND(A1964&lt;&gt;"",ISNUMBER(A1964)),VLOOKUP(A1964,Studies!A:BR,4,FALSE),"")</f>
        <v>MAD_m_B 200 mg</v>
      </c>
      <c r="E1964" s="206" t="str">
        <f>IF(AND(A1964&lt;&gt;"",ISNUMBER(A1964)),VLOOKUP(A1964,Studies!A:BR,5,FALSE),"")</f>
        <v>Hydroxy-Itraconazole</v>
      </c>
      <c r="F1964" s="207" t="str">
        <f>IF(AND(A1964&lt;&gt;"",ISNUMBER(A1964)),VLOOKUP(A1964,Studies!A:BR,6,FALSE),"")</f>
        <v>Plasma</v>
      </c>
      <c r="G1964" s="194">
        <v>120</v>
      </c>
      <c r="H1964" s="194" t="s">
        <v>60</v>
      </c>
      <c r="I1964" s="187">
        <v>1816.5369033813477</v>
      </c>
      <c r="J1964" s="187" t="s">
        <v>1026</v>
      </c>
      <c r="K1964" s="187" t="s">
        <v>116</v>
      </c>
      <c r="L1964" s="195"/>
      <c r="M1964" s="195"/>
      <c r="N1964" s="195"/>
      <c r="O1964" s="199"/>
      <c r="P1964" s="188"/>
      <c r="Q1964" s="174">
        <f>IF(ISNUMBER(VLOOKUP(A1964,NotghiID!A:A,1,FALSE)),1,0)</f>
        <v>0</v>
      </c>
    </row>
    <row r="1965" spans="1:17" ht="14.25" x14ac:dyDescent="0.2">
      <c r="A1965" s="183">
        <v>533</v>
      </c>
      <c r="B1965" s="232" t="str">
        <f>IF(AND(A1965&lt;&gt;"",ISNUMBER(A1965)),VLOOKUP(A1965,Studies!A:BR,2,FALSE),"")</f>
        <v>Mouton 2006</v>
      </c>
      <c r="C1965" s="232" t="str">
        <f>IF(AND(A1965&lt;&gt;"",ISNUMBER(A1965)),VLOOKUP(A1965,Studies!A:BR,3,FALSE),"")</f>
        <v>https://www.ncbi.nlm.nih.gov/pubmed/16982783</v>
      </c>
      <c r="D1965" s="232" t="str">
        <f>IF(AND(A1965&lt;&gt;"",ISNUMBER(A1965)),VLOOKUP(A1965,Studies!A:BR,4,FALSE),"")</f>
        <v>MAD_m_B 200 mg</v>
      </c>
      <c r="E1965" s="206" t="str">
        <f>IF(AND(A1965&lt;&gt;"",ISNUMBER(A1965)),VLOOKUP(A1965,Studies!A:BR,5,FALSE),"")</f>
        <v>Hydroxy-Itraconazole</v>
      </c>
      <c r="F1965" s="207" t="str">
        <f>IF(AND(A1965&lt;&gt;"",ISNUMBER(A1965)),VLOOKUP(A1965,Studies!A:BR,6,FALSE),"")</f>
        <v>Plasma</v>
      </c>
      <c r="G1965" s="194">
        <v>122</v>
      </c>
      <c r="H1965" s="194" t="s">
        <v>60</v>
      </c>
      <c r="I1965" s="187">
        <v>1949.7120380401611</v>
      </c>
      <c r="J1965" s="187" t="s">
        <v>1026</v>
      </c>
      <c r="K1965" s="187" t="s">
        <v>116</v>
      </c>
      <c r="L1965" s="195"/>
      <c r="M1965" s="195"/>
      <c r="N1965" s="195"/>
      <c r="O1965" s="199"/>
      <c r="P1965" s="188"/>
      <c r="Q1965" s="174">
        <f>IF(ISNUMBER(VLOOKUP(A1965,NotghiID!A:A,1,FALSE)),1,0)</f>
        <v>0</v>
      </c>
    </row>
    <row r="1966" spans="1:17" ht="14.25" x14ac:dyDescent="0.2">
      <c r="A1966" s="183">
        <v>533</v>
      </c>
      <c r="B1966" s="232" t="str">
        <f>IF(AND(A1966&lt;&gt;"",ISNUMBER(A1966)),VLOOKUP(A1966,Studies!A:BR,2,FALSE),"")</f>
        <v>Mouton 2006</v>
      </c>
      <c r="C1966" s="232" t="str">
        <f>IF(AND(A1966&lt;&gt;"",ISNUMBER(A1966)),VLOOKUP(A1966,Studies!A:BR,3,FALSE),"")</f>
        <v>https://www.ncbi.nlm.nih.gov/pubmed/16982783</v>
      </c>
      <c r="D1966" s="232" t="str">
        <f>IF(AND(A1966&lt;&gt;"",ISNUMBER(A1966)),VLOOKUP(A1966,Studies!A:BR,4,FALSE),"")</f>
        <v>MAD_m_B 200 mg</v>
      </c>
      <c r="E1966" s="206" t="str">
        <f>IF(AND(A1966&lt;&gt;"",ISNUMBER(A1966)),VLOOKUP(A1966,Studies!A:BR,5,FALSE),"")</f>
        <v>Hydroxy-Itraconazole</v>
      </c>
      <c r="F1966" s="207" t="str">
        <f>IF(AND(A1966&lt;&gt;"",ISNUMBER(A1966)),VLOOKUP(A1966,Studies!A:BR,6,FALSE),"")</f>
        <v>Plasma</v>
      </c>
      <c r="G1966" s="194">
        <v>144</v>
      </c>
      <c r="H1966" s="194" t="s">
        <v>60</v>
      </c>
      <c r="I1966" s="187">
        <v>2092.6499366760254</v>
      </c>
      <c r="J1966" s="187" t="s">
        <v>1026</v>
      </c>
      <c r="K1966" s="187" t="s">
        <v>116</v>
      </c>
      <c r="L1966" s="195"/>
      <c r="M1966" s="195"/>
      <c r="N1966" s="195"/>
      <c r="O1966" s="199"/>
      <c r="P1966" s="188"/>
      <c r="Q1966" s="174">
        <f>IF(ISNUMBER(VLOOKUP(A1966,NotghiID!A:A,1,FALSE)),1,0)</f>
        <v>0</v>
      </c>
    </row>
    <row r="1967" spans="1:17" ht="14.25" x14ac:dyDescent="0.2">
      <c r="A1967" s="183">
        <v>533</v>
      </c>
      <c r="B1967" s="232" t="str">
        <f>IF(AND(A1967&lt;&gt;"",ISNUMBER(A1967)),VLOOKUP(A1967,Studies!A:BR,2,FALSE),"")</f>
        <v>Mouton 2006</v>
      </c>
      <c r="C1967" s="232" t="str">
        <f>IF(AND(A1967&lt;&gt;"",ISNUMBER(A1967)),VLOOKUP(A1967,Studies!A:BR,3,FALSE),"")</f>
        <v>https://www.ncbi.nlm.nih.gov/pubmed/16982783</v>
      </c>
      <c r="D1967" s="232" t="str">
        <f>IF(AND(A1967&lt;&gt;"",ISNUMBER(A1967)),VLOOKUP(A1967,Studies!A:BR,4,FALSE),"")</f>
        <v>MAD_m_B 200 mg</v>
      </c>
      <c r="E1967" s="206" t="str">
        <f>IF(AND(A1967&lt;&gt;"",ISNUMBER(A1967)),VLOOKUP(A1967,Studies!A:BR,5,FALSE),"")</f>
        <v>Hydroxy-Itraconazole</v>
      </c>
      <c r="F1967" s="207" t="str">
        <f>IF(AND(A1967&lt;&gt;"",ISNUMBER(A1967)),VLOOKUP(A1967,Studies!A:BR,6,FALSE),"")</f>
        <v>Plasma</v>
      </c>
      <c r="G1967" s="194">
        <v>144.5</v>
      </c>
      <c r="H1967" s="194" t="s">
        <v>60</v>
      </c>
      <c r="I1967" s="187">
        <v>1986.5540266036987</v>
      </c>
      <c r="J1967" s="187" t="s">
        <v>1026</v>
      </c>
      <c r="K1967" s="187" t="s">
        <v>116</v>
      </c>
      <c r="L1967" s="195"/>
      <c r="M1967" s="195"/>
      <c r="N1967" s="195"/>
      <c r="O1967" s="199"/>
      <c r="P1967" s="188"/>
      <c r="Q1967" s="174">
        <f>IF(ISNUMBER(VLOOKUP(A1967,NotghiID!A:A,1,FALSE)),1,0)</f>
        <v>0</v>
      </c>
    </row>
    <row r="1968" spans="1:17" ht="14.25" x14ac:dyDescent="0.2">
      <c r="A1968" s="183">
        <v>533</v>
      </c>
      <c r="B1968" s="232" t="str">
        <f>IF(AND(A1968&lt;&gt;"",ISNUMBER(A1968)),VLOOKUP(A1968,Studies!A:BR,2,FALSE),"")</f>
        <v>Mouton 2006</v>
      </c>
      <c r="C1968" s="232" t="str">
        <f>IF(AND(A1968&lt;&gt;"",ISNUMBER(A1968)),VLOOKUP(A1968,Studies!A:BR,3,FALSE),"")</f>
        <v>https://www.ncbi.nlm.nih.gov/pubmed/16982783</v>
      </c>
      <c r="D1968" s="232" t="str">
        <f>IF(AND(A1968&lt;&gt;"",ISNUMBER(A1968)),VLOOKUP(A1968,Studies!A:BR,4,FALSE),"")</f>
        <v>MAD_m_B 200 mg</v>
      </c>
      <c r="E1968" s="206" t="str">
        <f>IF(AND(A1968&lt;&gt;"",ISNUMBER(A1968)),VLOOKUP(A1968,Studies!A:BR,5,FALSE),"")</f>
        <v>Hydroxy-Itraconazole</v>
      </c>
      <c r="F1968" s="207" t="str">
        <f>IF(AND(A1968&lt;&gt;"",ISNUMBER(A1968)),VLOOKUP(A1968,Studies!A:BR,6,FALSE),"")</f>
        <v>Plasma</v>
      </c>
      <c r="G1968" s="194">
        <v>145</v>
      </c>
      <c r="H1968" s="194" t="s">
        <v>60</v>
      </c>
      <c r="I1968" s="187">
        <v>2160.0511074066162</v>
      </c>
      <c r="J1968" s="187" t="s">
        <v>1026</v>
      </c>
      <c r="K1968" s="187" t="s">
        <v>116</v>
      </c>
      <c r="L1968" s="195"/>
      <c r="M1968" s="195"/>
      <c r="N1968" s="195"/>
      <c r="O1968" s="199"/>
      <c r="P1968" s="188"/>
      <c r="Q1968" s="174">
        <f>IF(ISNUMBER(VLOOKUP(A1968,NotghiID!A:A,1,FALSE)),1,0)</f>
        <v>0</v>
      </c>
    </row>
    <row r="1969" spans="1:17" ht="14.25" x14ac:dyDescent="0.2">
      <c r="A1969" s="183">
        <v>533</v>
      </c>
      <c r="B1969" s="232" t="str">
        <f>IF(AND(A1969&lt;&gt;"",ISNUMBER(A1969)),VLOOKUP(A1969,Studies!A:BR,2,FALSE),"")</f>
        <v>Mouton 2006</v>
      </c>
      <c r="C1969" s="232" t="str">
        <f>IF(AND(A1969&lt;&gt;"",ISNUMBER(A1969)),VLOOKUP(A1969,Studies!A:BR,3,FALSE),"")</f>
        <v>https://www.ncbi.nlm.nih.gov/pubmed/16982783</v>
      </c>
      <c r="D1969" s="232" t="str">
        <f>IF(AND(A1969&lt;&gt;"",ISNUMBER(A1969)),VLOOKUP(A1969,Studies!A:BR,4,FALSE),"")</f>
        <v>MAD_m_B 200 mg</v>
      </c>
      <c r="E1969" s="206" t="str">
        <f>IF(AND(A1969&lt;&gt;"",ISNUMBER(A1969)),VLOOKUP(A1969,Studies!A:BR,5,FALSE),"")</f>
        <v>Hydroxy-Itraconazole</v>
      </c>
      <c r="F1969" s="207" t="str">
        <f>IF(AND(A1969&lt;&gt;"",ISNUMBER(A1969)),VLOOKUP(A1969,Studies!A:BR,6,FALSE),"")</f>
        <v>Plasma</v>
      </c>
      <c r="G1969" s="194">
        <v>146</v>
      </c>
      <c r="H1969" s="194" t="s">
        <v>60</v>
      </c>
      <c r="I1969" s="187">
        <v>1936.0270500183105</v>
      </c>
      <c r="J1969" s="187" t="s">
        <v>1026</v>
      </c>
      <c r="K1969" s="187" t="s">
        <v>116</v>
      </c>
      <c r="L1969" s="195"/>
      <c r="M1969" s="195"/>
      <c r="N1969" s="195"/>
      <c r="O1969" s="199"/>
      <c r="P1969" s="188"/>
      <c r="Q1969" s="174">
        <f>IF(ISNUMBER(VLOOKUP(A1969,NotghiID!A:A,1,FALSE)),1,0)</f>
        <v>0</v>
      </c>
    </row>
    <row r="1970" spans="1:17" ht="14.25" x14ac:dyDescent="0.2">
      <c r="A1970" s="183">
        <v>533</v>
      </c>
      <c r="B1970" s="232" t="str">
        <f>IF(AND(A1970&lt;&gt;"",ISNUMBER(A1970)),VLOOKUP(A1970,Studies!A:BR,2,FALSE),"")</f>
        <v>Mouton 2006</v>
      </c>
      <c r="C1970" s="232" t="str">
        <f>IF(AND(A1970&lt;&gt;"",ISNUMBER(A1970)),VLOOKUP(A1970,Studies!A:BR,3,FALSE),"")</f>
        <v>https://www.ncbi.nlm.nih.gov/pubmed/16982783</v>
      </c>
      <c r="D1970" s="232" t="str">
        <f>IF(AND(A1970&lt;&gt;"",ISNUMBER(A1970)),VLOOKUP(A1970,Studies!A:BR,4,FALSE),"")</f>
        <v>MAD_m_B 200 mg</v>
      </c>
      <c r="E1970" s="206" t="str">
        <f>IF(AND(A1970&lt;&gt;"",ISNUMBER(A1970)),VLOOKUP(A1970,Studies!A:BR,5,FALSE),"")</f>
        <v>Hydroxy-Itraconazole</v>
      </c>
      <c r="F1970" s="207" t="str">
        <f>IF(AND(A1970&lt;&gt;"",ISNUMBER(A1970)),VLOOKUP(A1970,Studies!A:BR,6,FALSE),"")</f>
        <v>Plasma</v>
      </c>
      <c r="G1970" s="194">
        <v>146.08000000000001</v>
      </c>
      <c r="H1970" s="194" t="s">
        <v>60</v>
      </c>
      <c r="I1970" s="187">
        <v>1948.5368728637695</v>
      </c>
      <c r="J1970" s="187" t="s">
        <v>1026</v>
      </c>
      <c r="K1970" s="187" t="s">
        <v>116</v>
      </c>
      <c r="L1970" s="195"/>
      <c r="M1970" s="195"/>
      <c r="N1970" s="195"/>
      <c r="O1970" s="199"/>
      <c r="P1970" s="188"/>
      <c r="Q1970" s="174">
        <f>IF(ISNUMBER(VLOOKUP(A1970,NotghiID!A:A,1,FALSE)),1,0)</f>
        <v>0</v>
      </c>
    </row>
    <row r="1971" spans="1:17" ht="14.25" x14ac:dyDescent="0.2">
      <c r="A1971" s="183">
        <v>533</v>
      </c>
      <c r="B1971" s="232" t="str">
        <f>IF(AND(A1971&lt;&gt;"",ISNUMBER(A1971)),VLOOKUP(A1971,Studies!A:BR,2,FALSE),"")</f>
        <v>Mouton 2006</v>
      </c>
      <c r="C1971" s="232" t="str">
        <f>IF(AND(A1971&lt;&gt;"",ISNUMBER(A1971)),VLOOKUP(A1971,Studies!A:BR,3,FALSE),"")</f>
        <v>https://www.ncbi.nlm.nih.gov/pubmed/16982783</v>
      </c>
      <c r="D1971" s="232" t="str">
        <f>IF(AND(A1971&lt;&gt;"",ISNUMBER(A1971)),VLOOKUP(A1971,Studies!A:BR,4,FALSE),"")</f>
        <v>MAD_m_B 200 mg</v>
      </c>
      <c r="E1971" s="206" t="str">
        <f>IF(AND(A1971&lt;&gt;"",ISNUMBER(A1971)),VLOOKUP(A1971,Studies!A:BR,5,FALSE),"")</f>
        <v>Hydroxy-Itraconazole</v>
      </c>
      <c r="F1971" s="207" t="str">
        <f>IF(AND(A1971&lt;&gt;"",ISNUMBER(A1971)),VLOOKUP(A1971,Studies!A:BR,6,FALSE),"")</f>
        <v>Plasma</v>
      </c>
      <c r="G1971" s="194">
        <v>146.25</v>
      </c>
      <c r="H1971" s="194" t="s">
        <v>60</v>
      </c>
      <c r="I1971" s="187">
        <v>1911.2480878829956</v>
      </c>
      <c r="J1971" s="187" t="s">
        <v>1026</v>
      </c>
      <c r="K1971" s="187" t="s">
        <v>116</v>
      </c>
      <c r="L1971" s="195"/>
      <c r="M1971" s="195"/>
      <c r="N1971" s="195"/>
      <c r="O1971" s="199"/>
      <c r="P1971" s="188"/>
      <c r="Q1971" s="174">
        <f>IF(ISNUMBER(VLOOKUP(A1971,NotghiID!A:A,1,FALSE)),1,0)</f>
        <v>0</v>
      </c>
    </row>
    <row r="1972" spans="1:17" ht="14.25" x14ac:dyDescent="0.2">
      <c r="A1972" s="183">
        <v>533</v>
      </c>
      <c r="B1972" s="232" t="str">
        <f>IF(AND(A1972&lt;&gt;"",ISNUMBER(A1972)),VLOOKUP(A1972,Studies!A:BR,2,FALSE),"")</f>
        <v>Mouton 2006</v>
      </c>
      <c r="C1972" s="232" t="str">
        <f>IF(AND(A1972&lt;&gt;"",ISNUMBER(A1972)),VLOOKUP(A1972,Studies!A:BR,3,FALSE),"")</f>
        <v>https://www.ncbi.nlm.nih.gov/pubmed/16982783</v>
      </c>
      <c r="D1972" s="232" t="str">
        <f>IF(AND(A1972&lt;&gt;"",ISNUMBER(A1972)),VLOOKUP(A1972,Studies!A:BR,4,FALSE),"")</f>
        <v>MAD_m_B 200 mg</v>
      </c>
      <c r="E1972" s="206" t="str">
        <f>IF(AND(A1972&lt;&gt;"",ISNUMBER(A1972)),VLOOKUP(A1972,Studies!A:BR,5,FALSE),"")</f>
        <v>Hydroxy-Itraconazole</v>
      </c>
      <c r="F1972" s="207" t="str">
        <f>IF(AND(A1972&lt;&gt;"",ISNUMBER(A1972)),VLOOKUP(A1972,Studies!A:BR,6,FALSE),"")</f>
        <v>Plasma</v>
      </c>
      <c r="G1972" s="194">
        <v>146.5</v>
      </c>
      <c r="H1972" s="194" t="s">
        <v>60</v>
      </c>
      <c r="I1972" s="187">
        <v>2051.569938659668</v>
      </c>
      <c r="J1972" s="187" t="s">
        <v>1026</v>
      </c>
      <c r="K1972" s="187" t="s">
        <v>116</v>
      </c>
      <c r="L1972" s="195"/>
      <c r="M1972" s="195"/>
      <c r="N1972" s="195"/>
      <c r="O1972" s="199"/>
      <c r="P1972" s="188"/>
      <c r="Q1972" s="174">
        <f>IF(ISNUMBER(VLOOKUP(A1972,NotghiID!A:A,1,FALSE)),1,0)</f>
        <v>0</v>
      </c>
    </row>
    <row r="1973" spans="1:17" ht="14.25" x14ac:dyDescent="0.2">
      <c r="A1973" s="183">
        <v>533</v>
      </c>
      <c r="B1973" s="232" t="str">
        <f>IF(AND(A1973&lt;&gt;"",ISNUMBER(A1973)),VLOOKUP(A1973,Studies!A:BR,2,FALSE),"")</f>
        <v>Mouton 2006</v>
      </c>
      <c r="C1973" s="232" t="str">
        <f>IF(AND(A1973&lt;&gt;"",ISNUMBER(A1973)),VLOOKUP(A1973,Studies!A:BR,3,FALSE),"")</f>
        <v>https://www.ncbi.nlm.nih.gov/pubmed/16982783</v>
      </c>
      <c r="D1973" s="232" t="str">
        <f>IF(AND(A1973&lt;&gt;"",ISNUMBER(A1973)),VLOOKUP(A1973,Studies!A:BR,4,FALSE),"")</f>
        <v>MAD_m_B 200 mg</v>
      </c>
      <c r="E1973" s="206" t="str">
        <f>IF(AND(A1973&lt;&gt;"",ISNUMBER(A1973)),VLOOKUP(A1973,Studies!A:BR,5,FALSE),"")</f>
        <v>Hydroxy-Itraconazole</v>
      </c>
      <c r="F1973" s="207" t="str">
        <f>IF(AND(A1973&lt;&gt;"",ISNUMBER(A1973)),VLOOKUP(A1973,Studies!A:BR,6,FALSE),"")</f>
        <v>Plasma</v>
      </c>
      <c r="G1973" s="194">
        <v>146.75</v>
      </c>
      <c r="H1973" s="194" t="s">
        <v>60</v>
      </c>
      <c r="I1973" s="187">
        <v>1874.6730089187622</v>
      </c>
      <c r="J1973" s="187" t="s">
        <v>1026</v>
      </c>
      <c r="K1973" s="187" t="s">
        <v>116</v>
      </c>
      <c r="L1973" s="195"/>
      <c r="M1973" s="195"/>
      <c r="N1973" s="195"/>
      <c r="O1973" s="199"/>
      <c r="P1973" s="188"/>
      <c r="Q1973" s="174">
        <f>IF(ISNUMBER(VLOOKUP(A1973,NotghiID!A:A,1,FALSE)),1,0)</f>
        <v>0</v>
      </c>
    </row>
    <row r="1974" spans="1:17" ht="14.25" x14ac:dyDescent="0.2">
      <c r="A1974" s="183">
        <v>533</v>
      </c>
      <c r="B1974" s="232" t="str">
        <f>IF(AND(A1974&lt;&gt;"",ISNUMBER(A1974)),VLOOKUP(A1974,Studies!A:BR,2,FALSE),"")</f>
        <v>Mouton 2006</v>
      </c>
      <c r="C1974" s="232" t="str">
        <f>IF(AND(A1974&lt;&gt;"",ISNUMBER(A1974)),VLOOKUP(A1974,Studies!A:BR,3,FALSE),"")</f>
        <v>https://www.ncbi.nlm.nih.gov/pubmed/16982783</v>
      </c>
      <c r="D1974" s="232" t="str">
        <f>IF(AND(A1974&lt;&gt;"",ISNUMBER(A1974)),VLOOKUP(A1974,Studies!A:BR,4,FALSE),"")</f>
        <v>MAD_m_B 200 mg</v>
      </c>
      <c r="E1974" s="206" t="str">
        <f>IF(AND(A1974&lt;&gt;"",ISNUMBER(A1974)),VLOOKUP(A1974,Studies!A:BR,5,FALSE),"")</f>
        <v>Hydroxy-Itraconazole</v>
      </c>
      <c r="F1974" s="207" t="str">
        <f>IF(AND(A1974&lt;&gt;"",ISNUMBER(A1974)),VLOOKUP(A1974,Studies!A:BR,6,FALSE),"")</f>
        <v>Plasma</v>
      </c>
      <c r="G1974" s="194">
        <v>147</v>
      </c>
      <c r="H1974" s="194" t="s">
        <v>60</v>
      </c>
      <c r="I1974" s="187">
        <v>2038.3980274200439</v>
      </c>
      <c r="J1974" s="187" t="s">
        <v>1026</v>
      </c>
      <c r="K1974" s="187" t="s">
        <v>116</v>
      </c>
      <c r="L1974" s="195"/>
      <c r="M1974" s="195"/>
      <c r="N1974" s="195"/>
      <c r="O1974" s="199"/>
      <c r="P1974" s="188"/>
      <c r="Q1974" s="174">
        <f>IF(ISNUMBER(VLOOKUP(A1974,NotghiID!A:A,1,FALSE)),1,0)</f>
        <v>0</v>
      </c>
    </row>
    <row r="1975" spans="1:17" ht="14.25" x14ac:dyDescent="0.2">
      <c r="A1975" s="183">
        <v>533</v>
      </c>
      <c r="B1975" s="232" t="str">
        <f>IF(AND(A1975&lt;&gt;"",ISNUMBER(A1975)),VLOOKUP(A1975,Studies!A:BR,2,FALSE),"")</f>
        <v>Mouton 2006</v>
      </c>
      <c r="C1975" s="232" t="str">
        <f>IF(AND(A1975&lt;&gt;"",ISNUMBER(A1975)),VLOOKUP(A1975,Studies!A:BR,3,FALSE),"")</f>
        <v>https://www.ncbi.nlm.nih.gov/pubmed/16982783</v>
      </c>
      <c r="D1975" s="232" t="str">
        <f>IF(AND(A1975&lt;&gt;"",ISNUMBER(A1975)),VLOOKUP(A1975,Studies!A:BR,4,FALSE),"")</f>
        <v>MAD_m_B 200 mg</v>
      </c>
      <c r="E1975" s="206" t="str">
        <f>IF(AND(A1975&lt;&gt;"",ISNUMBER(A1975)),VLOOKUP(A1975,Studies!A:BR,5,FALSE),"")</f>
        <v>Hydroxy-Itraconazole</v>
      </c>
      <c r="F1975" s="207" t="str">
        <f>IF(AND(A1975&lt;&gt;"",ISNUMBER(A1975)),VLOOKUP(A1975,Studies!A:BR,6,FALSE),"")</f>
        <v>Plasma</v>
      </c>
      <c r="G1975" s="194">
        <v>147.5</v>
      </c>
      <c r="H1975" s="194" t="s">
        <v>60</v>
      </c>
      <c r="I1975" s="187">
        <v>1986.5540266036987</v>
      </c>
      <c r="J1975" s="187" t="s">
        <v>1026</v>
      </c>
      <c r="K1975" s="187" t="s">
        <v>116</v>
      </c>
      <c r="L1975" s="195"/>
      <c r="M1975" s="195"/>
      <c r="N1975" s="195"/>
      <c r="O1975" s="199"/>
      <c r="P1975" s="188"/>
      <c r="Q1975" s="174">
        <f>IF(ISNUMBER(VLOOKUP(A1975,NotghiID!A:A,1,FALSE)),1,0)</f>
        <v>0</v>
      </c>
    </row>
    <row r="1976" spans="1:17" ht="14.25" x14ac:dyDescent="0.2">
      <c r="A1976" s="183">
        <v>533</v>
      </c>
      <c r="B1976" s="232" t="str">
        <f>IF(AND(A1976&lt;&gt;"",ISNUMBER(A1976)),VLOOKUP(A1976,Studies!A:BR,2,FALSE),"")</f>
        <v>Mouton 2006</v>
      </c>
      <c r="C1976" s="232" t="str">
        <f>IF(AND(A1976&lt;&gt;"",ISNUMBER(A1976)),VLOOKUP(A1976,Studies!A:BR,3,FALSE),"")</f>
        <v>https://www.ncbi.nlm.nih.gov/pubmed/16982783</v>
      </c>
      <c r="D1976" s="232" t="str">
        <f>IF(AND(A1976&lt;&gt;"",ISNUMBER(A1976)),VLOOKUP(A1976,Studies!A:BR,4,FALSE),"")</f>
        <v>MAD_m_B 200 mg</v>
      </c>
      <c r="E1976" s="206" t="str">
        <f>IF(AND(A1976&lt;&gt;"",ISNUMBER(A1976)),VLOOKUP(A1976,Studies!A:BR,5,FALSE),"")</f>
        <v>Hydroxy-Itraconazole</v>
      </c>
      <c r="F1976" s="207" t="str">
        <f>IF(AND(A1976&lt;&gt;"",ISNUMBER(A1976)),VLOOKUP(A1976,Studies!A:BR,6,FALSE),"")</f>
        <v>Plasma</v>
      </c>
      <c r="G1976" s="194">
        <v>148</v>
      </c>
      <c r="H1976" s="194" t="s">
        <v>60</v>
      </c>
      <c r="I1976" s="187">
        <v>2118.7140941619873</v>
      </c>
      <c r="J1976" s="187" t="s">
        <v>1026</v>
      </c>
      <c r="K1976" s="187" t="s">
        <v>116</v>
      </c>
      <c r="L1976" s="195"/>
      <c r="M1976" s="195"/>
      <c r="N1976" s="195"/>
      <c r="O1976" s="199"/>
      <c r="P1976" s="188"/>
      <c r="Q1976" s="174">
        <f>IF(ISNUMBER(VLOOKUP(A1976,NotghiID!A:A,1,FALSE)),1,0)</f>
        <v>0</v>
      </c>
    </row>
    <row r="1977" spans="1:17" ht="14.25" x14ac:dyDescent="0.2">
      <c r="A1977" s="183">
        <v>533</v>
      </c>
      <c r="B1977" s="232" t="str">
        <f>IF(AND(A1977&lt;&gt;"",ISNUMBER(A1977)),VLOOKUP(A1977,Studies!A:BR,2,FALSE),"")</f>
        <v>Mouton 2006</v>
      </c>
      <c r="C1977" s="232" t="str">
        <f>IF(AND(A1977&lt;&gt;"",ISNUMBER(A1977)),VLOOKUP(A1977,Studies!A:BR,3,FALSE),"")</f>
        <v>https://www.ncbi.nlm.nih.gov/pubmed/16982783</v>
      </c>
      <c r="D1977" s="232" t="str">
        <f>IF(AND(A1977&lt;&gt;"",ISNUMBER(A1977)),VLOOKUP(A1977,Studies!A:BR,4,FALSE),"")</f>
        <v>MAD_m_B 200 mg</v>
      </c>
      <c r="E1977" s="206" t="str">
        <f>IF(AND(A1977&lt;&gt;"",ISNUMBER(A1977)),VLOOKUP(A1977,Studies!A:BR,5,FALSE),"")</f>
        <v>Hydroxy-Itraconazole</v>
      </c>
      <c r="F1977" s="207" t="str">
        <f>IF(AND(A1977&lt;&gt;"",ISNUMBER(A1977)),VLOOKUP(A1977,Studies!A:BR,6,FALSE),"")</f>
        <v>Plasma</v>
      </c>
      <c r="G1977" s="194">
        <v>150</v>
      </c>
      <c r="H1977" s="194" t="s">
        <v>60</v>
      </c>
      <c r="I1977" s="187">
        <v>2078.1681537628174</v>
      </c>
      <c r="J1977" s="187" t="s">
        <v>1026</v>
      </c>
      <c r="K1977" s="187" t="s">
        <v>116</v>
      </c>
      <c r="L1977" s="195"/>
      <c r="M1977" s="195"/>
      <c r="N1977" s="195"/>
      <c r="O1977" s="199"/>
      <c r="P1977" s="188"/>
      <c r="Q1977" s="174">
        <f>IF(ISNUMBER(VLOOKUP(A1977,NotghiID!A:A,1,FALSE)),1,0)</f>
        <v>0</v>
      </c>
    </row>
    <row r="1978" spans="1:17" ht="14.25" x14ac:dyDescent="0.2">
      <c r="A1978" s="183">
        <v>533</v>
      </c>
      <c r="B1978" s="232" t="str">
        <f>IF(AND(A1978&lt;&gt;"",ISNUMBER(A1978)),VLOOKUP(A1978,Studies!A:BR,2,FALSE),"")</f>
        <v>Mouton 2006</v>
      </c>
      <c r="C1978" s="232" t="str">
        <f>IF(AND(A1978&lt;&gt;"",ISNUMBER(A1978)),VLOOKUP(A1978,Studies!A:BR,3,FALSE),"")</f>
        <v>https://www.ncbi.nlm.nih.gov/pubmed/16982783</v>
      </c>
      <c r="D1978" s="232" t="str">
        <f>IF(AND(A1978&lt;&gt;"",ISNUMBER(A1978)),VLOOKUP(A1978,Studies!A:BR,4,FALSE),"")</f>
        <v>MAD_m_B 200 mg</v>
      </c>
      <c r="E1978" s="206" t="str">
        <f>IF(AND(A1978&lt;&gt;"",ISNUMBER(A1978)),VLOOKUP(A1978,Studies!A:BR,5,FALSE),"")</f>
        <v>Hydroxy-Itraconazole</v>
      </c>
      <c r="F1978" s="207" t="str">
        <f>IF(AND(A1978&lt;&gt;"",ISNUMBER(A1978)),VLOOKUP(A1978,Studies!A:BR,6,FALSE),"")</f>
        <v>Plasma</v>
      </c>
      <c r="G1978" s="194">
        <v>152</v>
      </c>
      <c r="H1978" s="194" t="s">
        <v>60</v>
      </c>
      <c r="I1978" s="187">
        <v>2160.0511074066162</v>
      </c>
      <c r="J1978" s="187" t="s">
        <v>1026</v>
      </c>
      <c r="K1978" s="187" t="s">
        <v>116</v>
      </c>
      <c r="L1978" s="195"/>
      <c r="M1978" s="195"/>
      <c r="N1978" s="195"/>
      <c r="O1978" s="199"/>
      <c r="P1978" s="188"/>
      <c r="Q1978" s="174">
        <f>IF(ISNUMBER(VLOOKUP(A1978,NotghiID!A:A,1,FALSE)),1,0)</f>
        <v>0</v>
      </c>
    </row>
    <row r="1979" spans="1:17" ht="14.25" x14ac:dyDescent="0.2">
      <c r="A1979" s="183">
        <v>533</v>
      </c>
      <c r="B1979" s="232" t="str">
        <f>IF(AND(A1979&lt;&gt;"",ISNUMBER(A1979)),VLOOKUP(A1979,Studies!A:BR,2,FALSE),"")</f>
        <v>Mouton 2006</v>
      </c>
      <c r="C1979" s="232" t="str">
        <f>IF(AND(A1979&lt;&gt;"",ISNUMBER(A1979)),VLOOKUP(A1979,Studies!A:BR,3,FALSE),"")</f>
        <v>https://www.ncbi.nlm.nih.gov/pubmed/16982783</v>
      </c>
      <c r="D1979" s="232" t="str">
        <f>IF(AND(A1979&lt;&gt;"",ISNUMBER(A1979)),VLOOKUP(A1979,Studies!A:BR,4,FALSE),"")</f>
        <v>MAD_m_B 200 mg</v>
      </c>
      <c r="E1979" s="206" t="str">
        <f>IF(AND(A1979&lt;&gt;"",ISNUMBER(A1979)),VLOOKUP(A1979,Studies!A:BR,5,FALSE),"")</f>
        <v>Hydroxy-Itraconazole</v>
      </c>
      <c r="F1979" s="207" t="str">
        <f>IF(AND(A1979&lt;&gt;"",ISNUMBER(A1979)),VLOOKUP(A1979,Studies!A:BR,6,FALSE),"")</f>
        <v>Plasma</v>
      </c>
      <c r="G1979" s="194">
        <v>154</v>
      </c>
      <c r="H1979" s="194" t="s">
        <v>60</v>
      </c>
      <c r="I1979" s="187">
        <v>2259.6671581268311</v>
      </c>
      <c r="J1979" s="187" t="s">
        <v>1026</v>
      </c>
      <c r="K1979" s="187" t="s">
        <v>116</v>
      </c>
      <c r="L1979" s="195"/>
      <c r="M1979" s="195"/>
      <c r="N1979" s="195"/>
      <c r="O1979" s="199"/>
      <c r="P1979" s="188"/>
      <c r="Q1979" s="174">
        <f>IF(ISNUMBER(VLOOKUP(A1979,NotghiID!A:A,1,FALSE)),1,0)</f>
        <v>0</v>
      </c>
    </row>
    <row r="1980" spans="1:17" ht="14.25" x14ac:dyDescent="0.2">
      <c r="A1980" s="183">
        <v>533</v>
      </c>
      <c r="B1980" s="232" t="str">
        <f>IF(AND(A1980&lt;&gt;"",ISNUMBER(A1980)),VLOOKUP(A1980,Studies!A:BR,2,FALSE),"")</f>
        <v>Mouton 2006</v>
      </c>
      <c r="C1980" s="232" t="str">
        <f>IF(AND(A1980&lt;&gt;"",ISNUMBER(A1980)),VLOOKUP(A1980,Studies!A:BR,3,FALSE),"")</f>
        <v>https://www.ncbi.nlm.nih.gov/pubmed/16982783</v>
      </c>
      <c r="D1980" s="232" t="str">
        <f>IF(AND(A1980&lt;&gt;"",ISNUMBER(A1980)),VLOOKUP(A1980,Studies!A:BR,4,FALSE),"")</f>
        <v>MAD_m_B 200 mg</v>
      </c>
      <c r="E1980" s="206" t="str">
        <f>IF(AND(A1980&lt;&gt;"",ISNUMBER(A1980)),VLOOKUP(A1980,Studies!A:BR,5,FALSE),"")</f>
        <v>Hydroxy-Itraconazole</v>
      </c>
      <c r="F1980" s="207" t="str">
        <f>IF(AND(A1980&lt;&gt;"",ISNUMBER(A1980)),VLOOKUP(A1980,Studies!A:BR,6,FALSE),"")</f>
        <v>Plasma</v>
      </c>
      <c r="G1980" s="194">
        <v>160</v>
      </c>
      <c r="H1980" s="194" t="s">
        <v>60</v>
      </c>
      <c r="I1980" s="187">
        <v>2050.4779815673828</v>
      </c>
      <c r="J1980" s="187" t="s">
        <v>1026</v>
      </c>
      <c r="K1980" s="187" t="s">
        <v>116</v>
      </c>
      <c r="L1980" s="195"/>
      <c r="M1980" s="195"/>
      <c r="N1980" s="195"/>
      <c r="O1980" s="199"/>
      <c r="P1980" s="188"/>
      <c r="Q1980" s="174">
        <f>IF(ISNUMBER(VLOOKUP(A1980,NotghiID!A:A,1,FALSE)),1,0)</f>
        <v>0</v>
      </c>
    </row>
    <row r="1981" spans="1:17" ht="14.25" x14ac:dyDescent="0.2">
      <c r="A1981" s="183">
        <v>533</v>
      </c>
      <c r="B1981" s="232" t="str">
        <f>IF(AND(A1981&lt;&gt;"",ISNUMBER(A1981)),VLOOKUP(A1981,Studies!A:BR,2,FALSE),"")</f>
        <v>Mouton 2006</v>
      </c>
      <c r="C1981" s="232" t="str">
        <f>IF(AND(A1981&lt;&gt;"",ISNUMBER(A1981)),VLOOKUP(A1981,Studies!A:BR,3,FALSE),"")</f>
        <v>https://www.ncbi.nlm.nih.gov/pubmed/16982783</v>
      </c>
      <c r="D1981" s="232" t="str">
        <f>IF(AND(A1981&lt;&gt;"",ISNUMBER(A1981)),VLOOKUP(A1981,Studies!A:BR,4,FALSE),"")</f>
        <v>MAD_m_B 200 mg</v>
      </c>
      <c r="E1981" s="206" t="str">
        <f>IF(AND(A1981&lt;&gt;"",ISNUMBER(A1981)),VLOOKUP(A1981,Studies!A:BR,5,FALSE),"")</f>
        <v>Hydroxy-Itraconazole</v>
      </c>
      <c r="F1981" s="207" t="str">
        <f>IF(AND(A1981&lt;&gt;"",ISNUMBER(A1981)),VLOOKUP(A1981,Studies!A:BR,6,FALSE),"")</f>
        <v>Plasma</v>
      </c>
      <c r="G1981" s="194">
        <v>168</v>
      </c>
      <c r="H1981" s="194" t="s">
        <v>60</v>
      </c>
      <c r="I1981" s="187">
        <v>2187.0880126953125</v>
      </c>
      <c r="J1981" s="187" t="s">
        <v>1026</v>
      </c>
      <c r="K1981" s="187" t="s">
        <v>116</v>
      </c>
      <c r="L1981" s="195"/>
      <c r="M1981" s="195"/>
      <c r="N1981" s="195"/>
      <c r="O1981" s="199"/>
      <c r="P1981" s="188"/>
      <c r="Q1981" s="174">
        <f>IF(ISNUMBER(VLOOKUP(A1981,NotghiID!A:A,1,FALSE)),1,0)</f>
        <v>0</v>
      </c>
    </row>
    <row r="1982" spans="1:17" ht="14.25" x14ac:dyDescent="0.2">
      <c r="A1982" s="183">
        <v>533</v>
      </c>
      <c r="B1982" s="232" t="str">
        <f>IF(AND(A1982&lt;&gt;"",ISNUMBER(A1982)),VLOOKUP(A1982,Studies!A:BR,2,FALSE),"")</f>
        <v>Mouton 2006</v>
      </c>
      <c r="C1982" s="232" t="str">
        <f>IF(AND(A1982&lt;&gt;"",ISNUMBER(A1982)),VLOOKUP(A1982,Studies!A:BR,3,FALSE),"")</f>
        <v>https://www.ncbi.nlm.nih.gov/pubmed/16982783</v>
      </c>
      <c r="D1982" s="232" t="str">
        <f>IF(AND(A1982&lt;&gt;"",ISNUMBER(A1982)),VLOOKUP(A1982,Studies!A:BR,4,FALSE),"")</f>
        <v>MAD_m_B 200 mg</v>
      </c>
      <c r="E1982" s="206" t="str">
        <f>IF(AND(A1982&lt;&gt;"",ISNUMBER(A1982)),VLOOKUP(A1982,Studies!A:BR,5,FALSE),"")</f>
        <v>Hydroxy-Itraconazole</v>
      </c>
      <c r="F1982" s="207" t="str">
        <f>IF(AND(A1982&lt;&gt;"",ISNUMBER(A1982)),VLOOKUP(A1982,Studies!A:BR,6,FALSE),"")</f>
        <v>Plasma</v>
      </c>
      <c r="G1982" s="194">
        <v>176</v>
      </c>
      <c r="H1982" s="194" t="s">
        <v>60</v>
      </c>
      <c r="I1982" s="187">
        <v>2131.3848495483398</v>
      </c>
      <c r="J1982" s="187" t="s">
        <v>1026</v>
      </c>
      <c r="K1982" s="187" t="s">
        <v>116</v>
      </c>
      <c r="L1982" s="195"/>
      <c r="M1982" s="195"/>
      <c r="N1982" s="195"/>
      <c r="O1982" s="199"/>
      <c r="P1982" s="188"/>
      <c r="Q1982" s="174">
        <f>IF(ISNUMBER(VLOOKUP(A1982,NotghiID!A:A,1,FALSE)),1,0)</f>
        <v>0</v>
      </c>
    </row>
    <row r="1983" spans="1:17" ht="14.25" x14ac:dyDescent="0.2">
      <c r="A1983" s="183">
        <v>533</v>
      </c>
      <c r="B1983" s="232" t="str">
        <f>IF(AND(A1983&lt;&gt;"",ISNUMBER(A1983)),VLOOKUP(A1983,Studies!A:BR,2,FALSE),"")</f>
        <v>Mouton 2006</v>
      </c>
      <c r="C1983" s="232" t="str">
        <f>IF(AND(A1983&lt;&gt;"",ISNUMBER(A1983)),VLOOKUP(A1983,Studies!A:BR,3,FALSE),"")</f>
        <v>https://www.ncbi.nlm.nih.gov/pubmed/16982783</v>
      </c>
      <c r="D1983" s="232" t="str">
        <f>IF(AND(A1983&lt;&gt;"",ISNUMBER(A1983)),VLOOKUP(A1983,Studies!A:BR,4,FALSE),"")</f>
        <v>MAD_m_B 200 mg</v>
      </c>
      <c r="E1983" s="206" t="str">
        <f>IF(AND(A1983&lt;&gt;"",ISNUMBER(A1983)),VLOOKUP(A1983,Studies!A:BR,5,FALSE),"")</f>
        <v>Hydroxy-Itraconazole</v>
      </c>
      <c r="F1983" s="207" t="str">
        <f>IF(AND(A1983&lt;&gt;"",ISNUMBER(A1983)),VLOOKUP(A1983,Studies!A:BR,6,FALSE),"")</f>
        <v>Plasma</v>
      </c>
      <c r="G1983" s="194">
        <v>192</v>
      </c>
      <c r="H1983" s="194" t="s">
        <v>60</v>
      </c>
      <c r="I1983" s="187">
        <v>2024.198055267334</v>
      </c>
      <c r="J1983" s="187" t="s">
        <v>1026</v>
      </c>
      <c r="K1983" s="187" t="s">
        <v>116</v>
      </c>
      <c r="L1983" s="195"/>
      <c r="M1983" s="195"/>
      <c r="N1983" s="195"/>
      <c r="O1983" s="199"/>
      <c r="P1983" s="188"/>
      <c r="Q1983" s="174">
        <f>IF(ISNUMBER(VLOOKUP(A1983,NotghiID!A:A,1,FALSE)),1,0)</f>
        <v>0</v>
      </c>
    </row>
    <row r="1984" spans="1:17" ht="14.25" x14ac:dyDescent="0.2">
      <c r="A1984" s="183">
        <v>533</v>
      </c>
      <c r="B1984" s="232" t="str">
        <f>IF(AND(A1984&lt;&gt;"",ISNUMBER(A1984)),VLOOKUP(A1984,Studies!A:BR,2,FALSE),"")</f>
        <v>Mouton 2006</v>
      </c>
      <c r="C1984" s="232" t="str">
        <f>IF(AND(A1984&lt;&gt;"",ISNUMBER(A1984)),VLOOKUP(A1984,Studies!A:BR,3,FALSE),"")</f>
        <v>https://www.ncbi.nlm.nih.gov/pubmed/16982783</v>
      </c>
      <c r="D1984" s="232" t="str">
        <f>IF(AND(A1984&lt;&gt;"",ISNUMBER(A1984)),VLOOKUP(A1984,Studies!A:BR,4,FALSE),"")</f>
        <v>MAD_m_B 200 mg</v>
      </c>
      <c r="E1984" s="206" t="str">
        <f>IF(AND(A1984&lt;&gt;"",ISNUMBER(A1984)),VLOOKUP(A1984,Studies!A:BR,5,FALSE),"")</f>
        <v>Hydroxy-Itraconazole</v>
      </c>
      <c r="F1984" s="207" t="str">
        <f>IF(AND(A1984&lt;&gt;"",ISNUMBER(A1984)),VLOOKUP(A1984,Studies!A:BR,6,FALSE),"")</f>
        <v>Plasma</v>
      </c>
      <c r="G1984" s="194">
        <v>216</v>
      </c>
      <c r="H1984" s="194" t="s">
        <v>60</v>
      </c>
      <c r="I1984" s="187">
        <v>1745.1269626617432</v>
      </c>
      <c r="J1984" s="187" t="s">
        <v>1026</v>
      </c>
      <c r="K1984" s="187" t="s">
        <v>116</v>
      </c>
      <c r="L1984" s="195"/>
      <c r="M1984" s="195"/>
      <c r="N1984" s="195"/>
      <c r="O1984" s="199"/>
      <c r="P1984" s="188"/>
      <c r="Q1984" s="174">
        <f>IF(ISNUMBER(VLOOKUP(A1984,NotghiID!A:A,1,FALSE)),1,0)</f>
        <v>0</v>
      </c>
    </row>
    <row r="1985" spans="1:17" ht="14.25" x14ac:dyDescent="0.2">
      <c r="A1985" s="183">
        <v>533</v>
      </c>
      <c r="B1985" s="232" t="str">
        <f>IF(AND(A1985&lt;&gt;"",ISNUMBER(A1985)),VLOOKUP(A1985,Studies!A:BR,2,FALSE),"")</f>
        <v>Mouton 2006</v>
      </c>
      <c r="C1985" s="232" t="str">
        <f>IF(AND(A1985&lt;&gt;"",ISNUMBER(A1985)),VLOOKUP(A1985,Studies!A:BR,3,FALSE),"")</f>
        <v>https://www.ncbi.nlm.nih.gov/pubmed/16982783</v>
      </c>
      <c r="D1985" s="232" t="str">
        <f>IF(AND(A1985&lt;&gt;"",ISNUMBER(A1985)),VLOOKUP(A1985,Studies!A:BR,4,FALSE),"")</f>
        <v>MAD_m_B 200 mg</v>
      </c>
      <c r="E1985" s="206" t="str">
        <f>IF(AND(A1985&lt;&gt;"",ISNUMBER(A1985)),VLOOKUP(A1985,Studies!A:BR,5,FALSE),"")</f>
        <v>Hydroxy-Itraconazole</v>
      </c>
      <c r="F1985" s="207" t="str">
        <f>IF(AND(A1985&lt;&gt;"",ISNUMBER(A1985)),VLOOKUP(A1985,Studies!A:BR,6,FALSE),"")</f>
        <v>Plasma</v>
      </c>
      <c r="G1985" s="194">
        <v>240</v>
      </c>
      <c r="H1985" s="194" t="s">
        <v>60</v>
      </c>
      <c r="I1985" s="187">
        <v>1401.4869928359985</v>
      </c>
      <c r="J1985" s="187" t="s">
        <v>1026</v>
      </c>
      <c r="K1985" s="187" t="s">
        <v>116</v>
      </c>
      <c r="L1985" s="195"/>
      <c r="M1985" s="195"/>
      <c r="N1985" s="195"/>
      <c r="O1985" s="199"/>
      <c r="P1985" s="188"/>
      <c r="Q1985" s="174">
        <f>IF(ISNUMBER(VLOOKUP(A1985,NotghiID!A:A,1,FALSE)),1,0)</f>
        <v>0</v>
      </c>
    </row>
    <row r="1986" spans="1:17" ht="14.25" x14ac:dyDescent="0.2">
      <c r="A1986" s="183">
        <v>533</v>
      </c>
      <c r="B1986" s="232" t="str">
        <f>IF(AND(A1986&lt;&gt;"",ISNUMBER(A1986)),VLOOKUP(A1986,Studies!A:BR,2,FALSE),"")</f>
        <v>Mouton 2006</v>
      </c>
      <c r="C1986" s="232" t="str">
        <f>IF(AND(A1986&lt;&gt;"",ISNUMBER(A1986)),VLOOKUP(A1986,Studies!A:BR,3,FALSE),"")</f>
        <v>https://www.ncbi.nlm.nih.gov/pubmed/16982783</v>
      </c>
      <c r="D1986" s="232" t="str">
        <f>IF(AND(A1986&lt;&gt;"",ISNUMBER(A1986)),VLOOKUP(A1986,Studies!A:BR,4,FALSE),"")</f>
        <v>MAD_m_B 200 mg</v>
      </c>
      <c r="E1986" s="206" t="str">
        <f>IF(AND(A1986&lt;&gt;"",ISNUMBER(A1986)),VLOOKUP(A1986,Studies!A:BR,5,FALSE),"")</f>
        <v>Hydroxy-Itraconazole</v>
      </c>
      <c r="F1986" s="207" t="str">
        <f>IF(AND(A1986&lt;&gt;"",ISNUMBER(A1986)),VLOOKUP(A1986,Studies!A:BR,6,FALSE),"")</f>
        <v>Plasma</v>
      </c>
      <c r="G1986" s="194">
        <v>312</v>
      </c>
      <c r="H1986" s="194" t="s">
        <v>60</v>
      </c>
      <c r="I1986" s="187">
        <v>730.59362173080444</v>
      </c>
      <c r="J1986" s="187" t="s">
        <v>1026</v>
      </c>
      <c r="K1986" s="187" t="s">
        <v>116</v>
      </c>
      <c r="L1986" s="195"/>
      <c r="M1986" s="195"/>
      <c r="N1986" s="195"/>
      <c r="O1986" s="199"/>
      <c r="P1986" s="188"/>
      <c r="Q1986" s="174">
        <f>IF(ISNUMBER(VLOOKUP(A1986,NotghiID!A:A,1,FALSE)),1,0)</f>
        <v>0</v>
      </c>
    </row>
    <row r="1987" spans="1:17" ht="14.25" x14ac:dyDescent="0.2">
      <c r="A1987" s="183">
        <v>535</v>
      </c>
      <c r="B1987" s="232" t="str">
        <f>IF(AND(A1987&lt;&gt;"",ISNUMBER(A1987)),VLOOKUP(A1987,Studies!A:BR,2,FALSE),"")</f>
        <v>Mouton 2006</v>
      </c>
      <c r="C1987" s="232" t="str">
        <f>IF(AND(A1987&lt;&gt;"",ISNUMBER(A1987)),VLOOKUP(A1987,Studies!A:BR,3,FALSE),"")</f>
        <v>https://www.ncbi.nlm.nih.gov/pubmed/16982783</v>
      </c>
      <c r="D1987" s="232" t="str">
        <f>IF(AND(A1987&lt;&gt;"",ISNUMBER(A1987)),VLOOKUP(A1987,Studies!A:BR,4,FALSE),"")</f>
        <v>MAD_m_D 200 mg (HPBCD)</v>
      </c>
      <c r="E1987" s="206" t="str">
        <f>IF(AND(A1987&lt;&gt;"",ISNUMBER(A1987)),VLOOKUP(A1987,Studies!A:BR,5,FALSE),"")</f>
        <v>Hydroxy-Itraconazole</v>
      </c>
      <c r="F1987" s="207" t="str">
        <f>IF(AND(A1987&lt;&gt;"",ISNUMBER(A1987)),VLOOKUP(A1987,Studies!A:BR,6,FALSE),"")</f>
        <v>Plasma</v>
      </c>
      <c r="G1987" s="194">
        <v>2</v>
      </c>
      <c r="H1987" s="194" t="s">
        <v>60</v>
      </c>
      <c r="I1987" s="187">
        <v>492.27190017700195</v>
      </c>
      <c r="J1987" s="187" t="s">
        <v>1026</v>
      </c>
      <c r="K1987" s="187" t="s">
        <v>116</v>
      </c>
      <c r="L1987" s="195"/>
      <c r="M1987" s="195"/>
      <c r="N1987" s="195"/>
      <c r="O1987" s="199"/>
      <c r="P1987" s="188"/>
      <c r="Q1987" s="174">
        <f>IF(ISNUMBER(VLOOKUP(A1987,NotghiID!A:A,1,FALSE)),1,0)</f>
        <v>0</v>
      </c>
    </row>
    <row r="1988" spans="1:17" ht="14.25" x14ac:dyDescent="0.2">
      <c r="A1988" s="183">
        <v>535</v>
      </c>
      <c r="B1988" s="232" t="str">
        <f>IF(AND(A1988&lt;&gt;"",ISNUMBER(A1988)),VLOOKUP(A1988,Studies!A:BR,2,FALSE),"")</f>
        <v>Mouton 2006</v>
      </c>
      <c r="C1988" s="232" t="str">
        <f>IF(AND(A1988&lt;&gt;"",ISNUMBER(A1988)),VLOOKUP(A1988,Studies!A:BR,3,FALSE),"")</f>
        <v>https://www.ncbi.nlm.nih.gov/pubmed/16982783</v>
      </c>
      <c r="D1988" s="232" t="str">
        <f>IF(AND(A1988&lt;&gt;"",ISNUMBER(A1988)),VLOOKUP(A1988,Studies!A:BR,4,FALSE),"")</f>
        <v>MAD_m_D 200 mg (HPBCD)</v>
      </c>
      <c r="E1988" s="206" t="str">
        <f>IF(AND(A1988&lt;&gt;"",ISNUMBER(A1988)),VLOOKUP(A1988,Studies!A:BR,5,FALSE),"")</f>
        <v>Hydroxy-Itraconazole</v>
      </c>
      <c r="F1988" s="207" t="str">
        <f>IF(AND(A1988&lt;&gt;"",ISNUMBER(A1988)),VLOOKUP(A1988,Studies!A:BR,6,FALSE),"")</f>
        <v>Plasma</v>
      </c>
      <c r="G1988" s="194">
        <v>8</v>
      </c>
      <c r="H1988" s="194" t="s">
        <v>60</v>
      </c>
      <c r="I1988" s="187">
        <v>464.58521485328674</v>
      </c>
      <c r="J1988" s="187" t="s">
        <v>1026</v>
      </c>
      <c r="K1988" s="187" t="s">
        <v>116</v>
      </c>
      <c r="L1988" s="195"/>
      <c r="M1988" s="195"/>
      <c r="N1988" s="195"/>
      <c r="O1988" s="199"/>
      <c r="P1988" s="188"/>
      <c r="Q1988" s="174">
        <f>IF(ISNUMBER(VLOOKUP(A1988,NotghiID!A:A,1,FALSE)),1,0)</f>
        <v>0</v>
      </c>
    </row>
    <row r="1989" spans="1:17" ht="14.25" x14ac:dyDescent="0.2">
      <c r="A1989" s="183">
        <v>535</v>
      </c>
      <c r="B1989" s="232" t="str">
        <f>IF(AND(A1989&lt;&gt;"",ISNUMBER(A1989)),VLOOKUP(A1989,Studies!A:BR,2,FALSE),"")</f>
        <v>Mouton 2006</v>
      </c>
      <c r="C1989" s="232" t="str">
        <f>IF(AND(A1989&lt;&gt;"",ISNUMBER(A1989)),VLOOKUP(A1989,Studies!A:BR,3,FALSE),"")</f>
        <v>https://www.ncbi.nlm.nih.gov/pubmed/16982783</v>
      </c>
      <c r="D1989" s="232" t="str">
        <f>IF(AND(A1989&lt;&gt;"",ISNUMBER(A1989)),VLOOKUP(A1989,Studies!A:BR,4,FALSE),"")</f>
        <v>MAD_m_D 200 mg (HPBCD)</v>
      </c>
      <c r="E1989" s="206" t="str">
        <f>IF(AND(A1989&lt;&gt;"",ISNUMBER(A1989)),VLOOKUP(A1989,Studies!A:BR,5,FALSE),"")</f>
        <v>Hydroxy-Itraconazole</v>
      </c>
      <c r="F1989" s="207" t="str">
        <f>IF(AND(A1989&lt;&gt;"",ISNUMBER(A1989)),VLOOKUP(A1989,Studies!A:BR,6,FALSE),"")</f>
        <v>Plasma</v>
      </c>
      <c r="G1989" s="194">
        <v>10</v>
      </c>
      <c r="H1989" s="194" t="s">
        <v>60</v>
      </c>
      <c r="I1989" s="187">
        <v>747.772216796875</v>
      </c>
      <c r="J1989" s="187" t="s">
        <v>1026</v>
      </c>
      <c r="K1989" s="187" t="s">
        <v>116</v>
      </c>
      <c r="L1989" s="195"/>
      <c r="M1989" s="195"/>
      <c r="N1989" s="195"/>
      <c r="O1989" s="199"/>
      <c r="P1989" s="188"/>
      <c r="Q1989" s="174">
        <f>IF(ISNUMBER(VLOOKUP(A1989,NotghiID!A:A,1,FALSE)),1,0)</f>
        <v>0</v>
      </c>
    </row>
    <row r="1990" spans="1:17" ht="14.25" x14ac:dyDescent="0.2">
      <c r="A1990" s="183">
        <v>535</v>
      </c>
      <c r="B1990" s="232" t="str">
        <f>IF(AND(A1990&lt;&gt;"",ISNUMBER(A1990)),VLOOKUP(A1990,Studies!A:BR,2,FALSE),"")</f>
        <v>Mouton 2006</v>
      </c>
      <c r="C1990" s="232" t="str">
        <f>IF(AND(A1990&lt;&gt;"",ISNUMBER(A1990)),VLOOKUP(A1990,Studies!A:BR,3,FALSE),"")</f>
        <v>https://www.ncbi.nlm.nih.gov/pubmed/16982783</v>
      </c>
      <c r="D1990" s="232" t="str">
        <f>IF(AND(A1990&lt;&gt;"",ISNUMBER(A1990)),VLOOKUP(A1990,Studies!A:BR,4,FALSE),"")</f>
        <v>MAD_m_D 200 mg (HPBCD)</v>
      </c>
      <c r="E1990" s="206" t="str">
        <f>IF(AND(A1990&lt;&gt;"",ISNUMBER(A1990)),VLOOKUP(A1990,Studies!A:BR,5,FALSE),"")</f>
        <v>Hydroxy-Itraconazole</v>
      </c>
      <c r="F1990" s="207" t="str">
        <f>IF(AND(A1990&lt;&gt;"",ISNUMBER(A1990)),VLOOKUP(A1990,Studies!A:BR,6,FALSE),"")</f>
        <v>Plasma</v>
      </c>
      <c r="G1990" s="194">
        <v>24</v>
      </c>
      <c r="H1990" s="194" t="s">
        <v>60</v>
      </c>
      <c r="I1990" s="187">
        <v>844.97129917144775</v>
      </c>
      <c r="J1990" s="187" t="s">
        <v>1026</v>
      </c>
      <c r="K1990" s="187" t="s">
        <v>116</v>
      </c>
      <c r="L1990" s="195"/>
      <c r="M1990" s="195"/>
      <c r="N1990" s="195"/>
      <c r="O1990" s="199"/>
      <c r="P1990" s="188"/>
      <c r="Q1990" s="174">
        <f>IF(ISNUMBER(VLOOKUP(A1990,NotghiID!A:A,1,FALSE)),1,0)</f>
        <v>0</v>
      </c>
    </row>
    <row r="1991" spans="1:17" ht="14.25" x14ac:dyDescent="0.2">
      <c r="A1991" s="183">
        <v>535</v>
      </c>
      <c r="B1991" s="232" t="str">
        <f>IF(AND(A1991&lt;&gt;"",ISNUMBER(A1991)),VLOOKUP(A1991,Studies!A:BR,2,FALSE),"")</f>
        <v>Mouton 2006</v>
      </c>
      <c r="C1991" s="232" t="str">
        <f>IF(AND(A1991&lt;&gt;"",ISNUMBER(A1991)),VLOOKUP(A1991,Studies!A:BR,3,FALSE),"")</f>
        <v>https://www.ncbi.nlm.nih.gov/pubmed/16982783</v>
      </c>
      <c r="D1991" s="232" t="str">
        <f>IF(AND(A1991&lt;&gt;"",ISNUMBER(A1991)),VLOOKUP(A1991,Studies!A:BR,4,FALSE),"")</f>
        <v>MAD_m_D 200 mg (HPBCD)</v>
      </c>
      <c r="E1991" s="206" t="str">
        <f>IF(AND(A1991&lt;&gt;"",ISNUMBER(A1991)),VLOOKUP(A1991,Studies!A:BR,5,FALSE),"")</f>
        <v>Hydroxy-Itraconazole</v>
      </c>
      <c r="F1991" s="207" t="str">
        <f>IF(AND(A1991&lt;&gt;"",ISNUMBER(A1991)),VLOOKUP(A1991,Studies!A:BR,6,FALSE),"")</f>
        <v>Plasma</v>
      </c>
      <c r="G1991" s="194">
        <v>26</v>
      </c>
      <c r="H1991" s="194" t="s">
        <v>60</v>
      </c>
      <c r="I1991" s="187">
        <v>1031.4170122146606</v>
      </c>
      <c r="J1991" s="187" t="s">
        <v>1026</v>
      </c>
      <c r="K1991" s="187" t="s">
        <v>116</v>
      </c>
      <c r="L1991" s="195"/>
      <c r="M1991" s="195"/>
      <c r="N1991" s="195"/>
      <c r="O1991" s="199"/>
      <c r="P1991" s="188"/>
      <c r="Q1991" s="174">
        <f>IF(ISNUMBER(VLOOKUP(A1991,NotghiID!A:A,1,FALSE)),1,0)</f>
        <v>0</v>
      </c>
    </row>
    <row r="1992" spans="1:17" ht="14.25" x14ac:dyDescent="0.2">
      <c r="A1992" s="183">
        <v>535</v>
      </c>
      <c r="B1992" s="232" t="str">
        <f>IF(AND(A1992&lt;&gt;"",ISNUMBER(A1992)),VLOOKUP(A1992,Studies!A:BR,2,FALSE),"")</f>
        <v>Mouton 2006</v>
      </c>
      <c r="C1992" s="232" t="str">
        <f>IF(AND(A1992&lt;&gt;"",ISNUMBER(A1992)),VLOOKUP(A1992,Studies!A:BR,3,FALSE),"")</f>
        <v>https://www.ncbi.nlm.nih.gov/pubmed/16982783</v>
      </c>
      <c r="D1992" s="232" t="str">
        <f>IF(AND(A1992&lt;&gt;"",ISNUMBER(A1992)),VLOOKUP(A1992,Studies!A:BR,4,FALSE),"")</f>
        <v>MAD_m_D 200 mg (HPBCD)</v>
      </c>
      <c r="E1992" s="206" t="str">
        <f>IF(AND(A1992&lt;&gt;"",ISNUMBER(A1992)),VLOOKUP(A1992,Studies!A:BR,5,FALSE),"")</f>
        <v>Hydroxy-Itraconazole</v>
      </c>
      <c r="F1992" s="207" t="str">
        <f>IF(AND(A1992&lt;&gt;"",ISNUMBER(A1992)),VLOOKUP(A1992,Studies!A:BR,6,FALSE),"")</f>
        <v>Plasma</v>
      </c>
      <c r="G1992" s="194">
        <v>32</v>
      </c>
      <c r="H1992" s="194" t="s">
        <v>60</v>
      </c>
      <c r="I1992" s="187">
        <v>1203.5750150680542</v>
      </c>
      <c r="J1992" s="187" t="s">
        <v>1026</v>
      </c>
      <c r="K1992" s="187" t="s">
        <v>116</v>
      </c>
      <c r="L1992" s="195"/>
      <c r="M1992" s="195"/>
      <c r="N1992" s="195"/>
      <c r="O1992" s="199"/>
      <c r="P1992" s="188"/>
      <c r="Q1992" s="174">
        <f>IF(ISNUMBER(VLOOKUP(A1992,NotghiID!A:A,1,FALSE)),1,0)</f>
        <v>0</v>
      </c>
    </row>
    <row r="1993" spans="1:17" ht="14.25" x14ac:dyDescent="0.2">
      <c r="A1993" s="183">
        <v>535</v>
      </c>
      <c r="B1993" s="232" t="str">
        <f>IF(AND(A1993&lt;&gt;"",ISNUMBER(A1993)),VLOOKUP(A1993,Studies!A:BR,2,FALSE),"")</f>
        <v>Mouton 2006</v>
      </c>
      <c r="C1993" s="232" t="str">
        <f>IF(AND(A1993&lt;&gt;"",ISNUMBER(A1993)),VLOOKUP(A1993,Studies!A:BR,3,FALSE),"")</f>
        <v>https://www.ncbi.nlm.nih.gov/pubmed/16982783</v>
      </c>
      <c r="D1993" s="232" t="str">
        <f>IF(AND(A1993&lt;&gt;"",ISNUMBER(A1993)),VLOOKUP(A1993,Studies!A:BR,4,FALSE),"")</f>
        <v>MAD_m_D 200 mg (HPBCD)</v>
      </c>
      <c r="E1993" s="206" t="str">
        <f>IF(AND(A1993&lt;&gt;"",ISNUMBER(A1993)),VLOOKUP(A1993,Studies!A:BR,5,FALSE),"")</f>
        <v>Hydroxy-Itraconazole</v>
      </c>
      <c r="F1993" s="207" t="str">
        <f>IF(AND(A1993&lt;&gt;"",ISNUMBER(A1993)),VLOOKUP(A1993,Studies!A:BR,6,FALSE),"")</f>
        <v>Plasma</v>
      </c>
      <c r="G1993" s="194">
        <v>34</v>
      </c>
      <c r="H1993" s="194" t="s">
        <v>60</v>
      </c>
      <c r="I1993" s="187">
        <v>1386.5189552307129</v>
      </c>
      <c r="J1993" s="187" t="s">
        <v>1026</v>
      </c>
      <c r="K1993" s="187" t="s">
        <v>116</v>
      </c>
      <c r="L1993" s="195"/>
      <c r="M1993" s="195"/>
      <c r="N1993" s="195"/>
      <c r="O1993" s="199"/>
      <c r="P1993" s="188"/>
      <c r="Q1993" s="174">
        <f>IF(ISNUMBER(VLOOKUP(A1993,NotghiID!A:A,1,FALSE)),1,0)</f>
        <v>0</v>
      </c>
    </row>
    <row r="1994" spans="1:17" ht="14.25" x14ac:dyDescent="0.2">
      <c r="A1994" s="183">
        <v>535</v>
      </c>
      <c r="B1994" s="232" t="str">
        <f>IF(AND(A1994&lt;&gt;"",ISNUMBER(A1994)),VLOOKUP(A1994,Studies!A:BR,2,FALSE),"")</f>
        <v>Mouton 2006</v>
      </c>
      <c r="C1994" s="232" t="str">
        <f>IF(AND(A1994&lt;&gt;"",ISNUMBER(A1994)),VLOOKUP(A1994,Studies!A:BR,3,FALSE),"")</f>
        <v>https://www.ncbi.nlm.nih.gov/pubmed/16982783</v>
      </c>
      <c r="D1994" s="232" t="str">
        <f>IF(AND(A1994&lt;&gt;"",ISNUMBER(A1994)),VLOOKUP(A1994,Studies!A:BR,4,FALSE),"")</f>
        <v>MAD_m_D 200 mg (HPBCD)</v>
      </c>
      <c r="E1994" s="206" t="str">
        <f>IF(AND(A1994&lt;&gt;"",ISNUMBER(A1994)),VLOOKUP(A1994,Studies!A:BR,5,FALSE),"")</f>
        <v>Hydroxy-Itraconazole</v>
      </c>
      <c r="F1994" s="207" t="str">
        <f>IF(AND(A1994&lt;&gt;"",ISNUMBER(A1994)),VLOOKUP(A1994,Studies!A:BR,6,FALSE),"")</f>
        <v>Plasma</v>
      </c>
      <c r="G1994" s="194">
        <v>48</v>
      </c>
      <c r="H1994" s="194" t="s">
        <v>60</v>
      </c>
      <c r="I1994" s="187">
        <v>1413.532018661499</v>
      </c>
      <c r="J1994" s="187" t="s">
        <v>1026</v>
      </c>
      <c r="K1994" s="187" t="s">
        <v>116</v>
      </c>
      <c r="L1994" s="195"/>
      <c r="M1994" s="195"/>
      <c r="N1994" s="195"/>
      <c r="O1994" s="199"/>
      <c r="P1994" s="188"/>
      <c r="Q1994" s="174">
        <f>IF(ISNUMBER(VLOOKUP(A1994,NotghiID!A:A,1,FALSE)),1,0)</f>
        <v>0</v>
      </c>
    </row>
    <row r="1995" spans="1:17" ht="14.25" x14ac:dyDescent="0.2">
      <c r="A1995" s="183">
        <v>535</v>
      </c>
      <c r="B1995" s="232" t="str">
        <f>IF(AND(A1995&lt;&gt;"",ISNUMBER(A1995)),VLOOKUP(A1995,Studies!A:BR,2,FALSE),"")</f>
        <v>Mouton 2006</v>
      </c>
      <c r="C1995" s="232" t="str">
        <f>IF(AND(A1995&lt;&gt;"",ISNUMBER(A1995)),VLOOKUP(A1995,Studies!A:BR,3,FALSE),"")</f>
        <v>https://www.ncbi.nlm.nih.gov/pubmed/16982783</v>
      </c>
      <c r="D1995" s="232" t="str">
        <f>IF(AND(A1995&lt;&gt;"",ISNUMBER(A1995)),VLOOKUP(A1995,Studies!A:BR,4,FALSE),"")</f>
        <v>MAD_m_D 200 mg (HPBCD)</v>
      </c>
      <c r="E1995" s="206" t="str">
        <f>IF(AND(A1995&lt;&gt;"",ISNUMBER(A1995)),VLOOKUP(A1995,Studies!A:BR,5,FALSE),"")</f>
        <v>Hydroxy-Itraconazole</v>
      </c>
      <c r="F1995" s="207" t="str">
        <f>IF(AND(A1995&lt;&gt;"",ISNUMBER(A1995)),VLOOKUP(A1995,Studies!A:BR,6,FALSE),"")</f>
        <v>Plasma</v>
      </c>
      <c r="G1995" s="194">
        <v>50</v>
      </c>
      <c r="H1995" s="194" t="s">
        <v>60</v>
      </c>
      <c r="I1995" s="187">
        <v>1576.854944229126</v>
      </c>
      <c r="J1995" s="187" t="s">
        <v>1026</v>
      </c>
      <c r="K1995" s="187" t="s">
        <v>116</v>
      </c>
      <c r="L1995" s="195"/>
      <c r="M1995" s="195"/>
      <c r="N1995" s="195"/>
      <c r="O1995" s="199"/>
      <c r="P1995" s="188"/>
      <c r="Q1995" s="174">
        <f>IF(ISNUMBER(VLOOKUP(A1995,NotghiID!A:A,1,FALSE)),1,0)</f>
        <v>0</v>
      </c>
    </row>
    <row r="1996" spans="1:17" ht="14.25" x14ac:dyDescent="0.2">
      <c r="A1996" s="183">
        <v>535</v>
      </c>
      <c r="B1996" s="232" t="str">
        <f>IF(AND(A1996&lt;&gt;"",ISNUMBER(A1996)),VLOOKUP(A1996,Studies!A:BR,2,FALSE),"")</f>
        <v>Mouton 2006</v>
      </c>
      <c r="C1996" s="232" t="str">
        <f>IF(AND(A1996&lt;&gt;"",ISNUMBER(A1996)),VLOOKUP(A1996,Studies!A:BR,3,FALSE),"")</f>
        <v>https://www.ncbi.nlm.nih.gov/pubmed/16982783</v>
      </c>
      <c r="D1996" s="232" t="str">
        <f>IF(AND(A1996&lt;&gt;"",ISNUMBER(A1996)),VLOOKUP(A1996,Studies!A:BR,4,FALSE),"")</f>
        <v>MAD_m_D 200 mg (HPBCD)</v>
      </c>
      <c r="E1996" s="206" t="str">
        <f>IF(AND(A1996&lt;&gt;"",ISNUMBER(A1996)),VLOOKUP(A1996,Studies!A:BR,5,FALSE),"")</f>
        <v>Hydroxy-Itraconazole</v>
      </c>
      <c r="F1996" s="207" t="str">
        <f>IF(AND(A1996&lt;&gt;"",ISNUMBER(A1996)),VLOOKUP(A1996,Studies!A:BR,6,FALSE),"")</f>
        <v>Plasma</v>
      </c>
      <c r="G1996" s="194">
        <v>72</v>
      </c>
      <c r="H1996" s="194" t="s">
        <v>60</v>
      </c>
      <c r="I1996" s="187">
        <v>1556.6999912261963</v>
      </c>
      <c r="J1996" s="187" t="s">
        <v>1026</v>
      </c>
      <c r="K1996" s="187" t="s">
        <v>116</v>
      </c>
      <c r="L1996" s="195"/>
      <c r="M1996" s="195"/>
      <c r="N1996" s="195"/>
      <c r="O1996" s="199"/>
      <c r="P1996" s="188"/>
      <c r="Q1996" s="174">
        <f>IF(ISNUMBER(VLOOKUP(A1996,NotghiID!A:A,1,FALSE)),1,0)</f>
        <v>0</v>
      </c>
    </row>
    <row r="1997" spans="1:17" ht="14.25" x14ac:dyDescent="0.2">
      <c r="A1997" s="183">
        <v>535</v>
      </c>
      <c r="B1997" s="232" t="str">
        <f>IF(AND(A1997&lt;&gt;"",ISNUMBER(A1997)),VLOOKUP(A1997,Studies!A:BR,2,FALSE),"")</f>
        <v>Mouton 2006</v>
      </c>
      <c r="C1997" s="232" t="str">
        <f>IF(AND(A1997&lt;&gt;"",ISNUMBER(A1997)),VLOOKUP(A1997,Studies!A:BR,3,FALSE),"")</f>
        <v>https://www.ncbi.nlm.nih.gov/pubmed/16982783</v>
      </c>
      <c r="D1997" s="232" t="str">
        <f>IF(AND(A1997&lt;&gt;"",ISNUMBER(A1997)),VLOOKUP(A1997,Studies!A:BR,4,FALSE),"")</f>
        <v>MAD_m_D 200 mg (HPBCD)</v>
      </c>
      <c r="E1997" s="206" t="str">
        <f>IF(AND(A1997&lt;&gt;"",ISNUMBER(A1997)),VLOOKUP(A1997,Studies!A:BR,5,FALSE),"")</f>
        <v>Hydroxy-Itraconazole</v>
      </c>
      <c r="F1997" s="207" t="str">
        <f>IF(AND(A1997&lt;&gt;"",ISNUMBER(A1997)),VLOOKUP(A1997,Studies!A:BR,6,FALSE),"")</f>
        <v>Plasma</v>
      </c>
      <c r="G1997" s="194">
        <v>74</v>
      </c>
      <c r="H1997" s="194" t="s">
        <v>60</v>
      </c>
      <c r="I1997" s="187">
        <v>1770.3979015350342</v>
      </c>
      <c r="J1997" s="187" t="s">
        <v>1026</v>
      </c>
      <c r="K1997" s="187" t="s">
        <v>116</v>
      </c>
      <c r="L1997" s="195"/>
      <c r="M1997" s="195"/>
      <c r="N1997" s="195"/>
      <c r="O1997" s="199"/>
      <c r="P1997" s="188"/>
      <c r="Q1997" s="174">
        <f>IF(ISNUMBER(VLOOKUP(A1997,NotghiID!A:A,1,FALSE)),1,0)</f>
        <v>0</v>
      </c>
    </row>
    <row r="1998" spans="1:17" ht="14.25" x14ac:dyDescent="0.2">
      <c r="A1998" s="183">
        <v>535</v>
      </c>
      <c r="B1998" s="232" t="str">
        <f>IF(AND(A1998&lt;&gt;"",ISNUMBER(A1998)),VLOOKUP(A1998,Studies!A:BR,2,FALSE),"")</f>
        <v>Mouton 2006</v>
      </c>
      <c r="C1998" s="232" t="str">
        <f>IF(AND(A1998&lt;&gt;"",ISNUMBER(A1998)),VLOOKUP(A1998,Studies!A:BR,3,FALSE),"")</f>
        <v>https://www.ncbi.nlm.nih.gov/pubmed/16982783</v>
      </c>
      <c r="D1998" s="232" t="str">
        <f>IF(AND(A1998&lt;&gt;"",ISNUMBER(A1998)),VLOOKUP(A1998,Studies!A:BR,4,FALSE),"")</f>
        <v>MAD_m_D 200 mg (HPBCD)</v>
      </c>
      <c r="E1998" s="206" t="str">
        <f>IF(AND(A1998&lt;&gt;"",ISNUMBER(A1998)),VLOOKUP(A1998,Studies!A:BR,5,FALSE),"")</f>
        <v>Hydroxy-Itraconazole</v>
      </c>
      <c r="F1998" s="207" t="str">
        <f>IF(AND(A1998&lt;&gt;"",ISNUMBER(A1998)),VLOOKUP(A1998,Studies!A:BR,6,FALSE),"")</f>
        <v>Plasma</v>
      </c>
      <c r="G1998" s="194">
        <v>96</v>
      </c>
      <c r="H1998" s="194" t="s">
        <v>60</v>
      </c>
      <c r="I1998" s="187">
        <v>1638.8959884643555</v>
      </c>
      <c r="J1998" s="187" t="s">
        <v>1026</v>
      </c>
      <c r="K1998" s="187" t="s">
        <v>116</v>
      </c>
      <c r="L1998" s="195"/>
      <c r="M1998" s="195"/>
      <c r="N1998" s="195"/>
      <c r="O1998" s="199"/>
      <c r="P1998" s="188"/>
      <c r="Q1998" s="174">
        <f>IF(ISNUMBER(VLOOKUP(A1998,NotghiID!A:A,1,FALSE)),1,0)</f>
        <v>0</v>
      </c>
    </row>
    <row r="1999" spans="1:17" ht="14.25" x14ac:dyDescent="0.2">
      <c r="A1999" s="183">
        <v>535</v>
      </c>
      <c r="B1999" s="232" t="str">
        <f>IF(AND(A1999&lt;&gt;"",ISNUMBER(A1999)),VLOOKUP(A1999,Studies!A:BR,2,FALSE),"")</f>
        <v>Mouton 2006</v>
      </c>
      <c r="C1999" s="232" t="str">
        <f>IF(AND(A1999&lt;&gt;"",ISNUMBER(A1999)),VLOOKUP(A1999,Studies!A:BR,3,FALSE),"")</f>
        <v>https://www.ncbi.nlm.nih.gov/pubmed/16982783</v>
      </c>
      <c r="D1999" s="232" t="str">
        <f>IF(AND(A1999&lt;&gt;"",ISNUMBER(A1999)),VLOOKUP(A1999,Studies!A:BR,4,FALSE),"")</f>
        <v>MAD_m_D 200 mg (HPBCD)</v>
      </c>
      <c r="E1999" s="206" t="str">
        <f>IF(AND(A1999&lt;&gt;"",ISNUMBER(A1999)),VLOOKUP(A1999,Studies!A:BR,5,FALSE),"")</f>
        <v>Hydroxy-Itraconazole</v>
      </c>
      <c r="F1999" s="207" t="str">
        <f>IF(AND(A1999&lt;&gt;"",ISNUMBER(A1999)),VLOOKUP(A1999,Studies!A:BR,6,FALSE),"")</f>
        <v>Plasma</v>
      </c>
      <c r="G1999" s="194">
        <v>98</v>
      </c>
      <c r="H1999" s="194" t="s">
        <v>60</v>
      </c>
      <c r="I1999" s="187">
        <v>1949.7120380401611</v>
      </c>
      <c r="J1999" s="187" t="s">
        <v>1026</v>
      </c>
      <c r="K1999" s="187" t="s">
        <v>116</v>
      </c>
      <c r="L1999" s="195"/>
      <c r="M1999" s="195"/>
      <c r="N1999" s="195"/>
      <c r="O1999" s="199"/>
      <c r="P1999" s="188"/>
      <c r="Q1999" s="174">
        <f>IF(ISNUMBER(VLOOKUP(A1999,NotghiID!A:A,1,FALSE)),1,0)</f>
        <v>0</v>
      </c>
    </row>
    <row r="2000" spans="1:17" ht="14.25" x14ac:dyDescent="0.2">
      <c r="A2000" s="183">
        <v>535</v>
      </c>
      <c r="B2000" s="232" t="str">
        <f>IF(AND(A2000&lt;&gt;"",ISNUMBER(A2000)),VLOOKUP(A2000,Studies!A:BR,2,FALSE),"")</f>
        <v>Mouton 2006</v>
      </c>
      <c r="C2000" s="232" t="str">
        <f>IF(AND(A2000&lt;&gt;"",ISNUMBER(A2000)),VLOOKUP(A2000,Studies!A:BR,3,FALSE),"")</f>
        <v>https://www.ncbi.nlm.nih.gov/pubmed/16982783</v>
      </c>
      <c r="D2000" s="232" t="str">
        <f>IF(AND(A2000&lt;&gt;"",ISNUMBER(A2000)),VLOOKUP(A2000,Studies!A:BR,4,FALSE),"")</f>
        <v>MAD_m_D 200 mg (HPBCD)</v>
      </c>
      <c r="E2000" s="206" t="str">
        <f>IF(AND(A2000&lt;&gt;"",ISNUMBER(A2000)),VLOOKUP(A2000,Studies!A:BR,5,FALSE),"")</f>
        <v>Hydroxy-Itraconazole</v>
      </c>
      <c r="F2000" s="207" t="str">
        <f>IF(AND(A2000&lt;&gt;"",ISNUMBER(A2000)),VLOOKUP(A2000,Studies!A:BR,6,FALSE),"")</f>
        <v>Plasma</v>
      </c>
      <c r="G2000" s="194">
        <v>120</v>
      </c>
      <c r="H2000" s="194" t="s">
        <v>60</v>
      </c>
      <c r="I2000" s="187">
        <v>1770.3979015350342</v>
      </c>
      <c r="J2000" s="187" t="s">
        <v>1026</v>
      </c>
      <c r="K2000" s="187" t="s">
        <v>116</v>
      </c>
      <c r="L2000" s="195"/>
      <c r="M2000" s="195"/>
      <c r="N2000" s="195"/>
      <c r="O2000" s="199"/>
      <c r="P2000" s="188"/>
      <c r="Q2000" s="174">
        <f>IF(ISNUMBER(VLOOKUP(A2000,NotghiID!A:A,1,FALSE)),1,0)</f>
        <v>0</v>
      </c>
    </row>
    <row r="2001" spans="1:17" ht="14.25" x14ac:dyDescent="0.2">
      <c r="A2001" s="183">
        <v>535</v>
      </c>
      <c r="B2001" s="232" t="str">
        <f>IF(AND(A2001&lt;&gt;"",ISNUMBER(A2001)),VLOOKUP(A2001,Studies!A:BR,2,FALSE),"")</f>
        <v>Mouton 2006</v>
      </c>
      <c r="C2001" s="232" t="str">
        <f>IF(AND(A2001&lt;&gt;"",ISNUMBER(A2001)),VLOOKUP(A2001,Studies!A:BR,3,FALSE),"")</f>
        <v>https://www.ncbi.nlm.nih.gov/pubmed/16982783</v>
      </c>
      <c r="D2001" s="232" t="str">
        <f>IF(AND(A2001&lt;&gt;"",ISNUMBER(A2001)),VLOOKUP(A2001,Studies!A:BR,4,FALSE),"")</f>
        <v>MAD_m_D 200 mg (HPBCD)</v>
      </c>
      <c r="E2001" s="206" t="str">
        <f>IF(AND(A2001&lt;&gt;"",ISNUMBER(A2001)),VLOOKUP(A2001,Studies!A:BR,5,FALSE),"")</f>
        <v>Hydroxy-Itraconazole</v>
      </c>
      <c r="F2001" s="207" t="str">
        <f>IF(AND(A2001&lt;&gt;"",ISNUMBER(A2001)),VLOOKUP(A2001,Studies!A:BR,6,FALSE),"")</f>
        <v>Plasma</v>
      </c>
      <c r="G2001" s="194">
        <v>122</v>
      </c>
      <c r="H2001" s="194" t="s">
        <v>60</v>
      </c>
      <c r="I2001" s="187">
        <v>1987.697958946228</v>
      </c>
      <c r="J2001" s="187" t="s">
        <v>1026</v>
      </c>
      <c r="K2001" s="187" t="s">
        <v>116</v>
      </c>
      <c r="L2001" s="195"/>
      <c r="M2001" s="195"/>
      <c r="N2001" s="195"/>
      <c r="O2001" s="199"/>
      <c r="P2001" s="188"/>
      <c r="Q2001" s="174">
        <f>IF(ISNUMBER(VLOOKUP(A2001,NotghiID!A:A,1,FALSE)),1,0)</f>
        <v>0</v>
      </c>
    </row>
    <row r="2002" spans="1:17" ht="14.25" x14ac:dyDescent="0.2">
      <c r="A2002" s="183">
        <v>535</v>
      </c>
      <c r="B2002" s="232" t="str">
        <f>IF(AND(A2002&lt;&gt;"",ISNUMBER(A2002)),VLOOKUP(A2002,Studies!A:BR,2,FALSE),"")</f>
        <v>Mouton 2006</v>
      </c>
      <c r="C2002" s="232" t="str">
        <f>IF(AND(A2002&lt;&gt;"",ISNUMBER(A2002)),VLOOKUP(A2002,Studies!A:BR,3,FALSE),"")</f>
        <v>https://www.ncbi.nlm.nih.gov/pubmed/16982783</v>
      </c>
      <c r="D2002" s="232" t="str">
        <f>IF(AND(A2002&lt;&gt;"",ISNUMBER(A2002)),VLOOKUP(A2002,Studies!A:BR,4,FALSE),"")</f>
        <v>MAD_m_D 200 mg (HPBCD)</v>
      </c>
      <c r="E2002" s="206" t="str">
        <f>IF(AND(A2002&lt;&gt;"",ISNUMBER(A2002)),VLOOKUP(A2002,Studies!A:BR,5,FALSE),"")</f>
        <v>Hydroxy-Itraconazole</v>
      </c>
      <c r="F2002" s="207" t="str">
        <f>IF(AND(A2002&lt;&gt;"",ISNUMBER(A2002)),VLOOKUP(A2002,Studies!A:BR,6,FALSE),"")</f>
        <v>Plasma</v>
      </c>
      <c r="G2002" s="194">
        <v>144</v>
      </c>
      <c r="H2002" s="194" t="s">
        <v>60</v>
      </c>
      <c r="I2002" s="187">
        <v>2079.2341232299805</v>
      </c>
      <c r="J2002" s="187" t="s">
        <v>1026</v>
      </c>
      <c r="K2002" s="187" t="s">
        <v>116</v>
      </c>
      <c r="L2002" s="195"/>
      <c r="M2002" s="195"/>
      <c r="N2002" s="195"/>
      <c r="O2002" s="199"/>
      <c r="P2002" s="188"/>
      <c r="Q2002" s="174">
        <f>IF(ISNUMBER(VLOOKUP(A2002,NotghiID!A:A,1,FALSE)),1,0)</f>
        <v>0</v>
      </c>
    </row>
    <row r="2003" spans="1:17" ht="14.25" x14ac:dyDescent="0.2">
      <c r="A2003" s="183">
        <v>535</v>
      </c>
      <c r="B2003" s="232" t="str">
        <f>IF(AND(A2003&lt;&gt;"",ISNUMBER(A2003)),VLOOKUP(A2003,Studies!A:BR,2,FALSE),"")</f>
        <v>Mouton 2006</v>
      </c>
      <c r="C2003" s="232" t="str">
        <f>IF(AND(A2003&lt;&gt;"",ISNUMBER(A2003)),VLOOKUP(A2003,Studies!A:BR,3,FALSE),"")</f>
        <v>https://www.ncbi.nlm.nih.gov/pubmed/16982783</v>
      </c>
      <c r="D2003" s="232" t="str">
        <f>IF(AND(A2003&lt;&gt;"",ISNUMBER(A2003)),VLOOKUP(A2003,Studies!A:BR,4,FALSE),"")</f>
        <v>MAD_m_D 200 mg (HPBCD)</v>
      </c>
      <c r="E2003" s="206" t="str">
        <f>IF(AND(A2003&lt;&gt;"",ISNUMBER(A2003)),VLOOKUP(A2003,Studies!A:BR,5,FALSE),"")</f>
        <v>Hydroxy-Itraconazole</v>
      </c>
      <c r="F2003" s="207" t="str">
        <f>IF(AND(A2003&lt;&gt;"",ISNUMBER(A2003)),VLOOKUP(A2003,Studies!A:BR,6,FALSE),"")</f>
        <v>Plasma</v>
      </c>
      <c r="G2003" s="194">
        <v>144.5</v>
      </c>
      <c r="H2003" s="194" t="s">
        <v>60</v>
      </c>
      <c r="I2003" s="187">
        <v>1923.5979318618774</v>
      </c>
      <c r="J2003" s="187" t="s">
        <v>1026</v>
      </c>
      <c r="K2003" s="187" t="s">
        <v>116</v>
      </c>
      <c r="L2003" s="195"/>
      <c r="M2003" s="195"/>
      <c r="N2003" s="195"/>
      <c r="O2003" s="199"/>
      <c r="P2003" s="188"/>
      <c r="Q2003" s="174">
        <f>IF(ISNUMBER(VLOOKUP(A2003,NotghiID!A:A,1,FALSE)),1,0)</f>
        <v>0</v>
      </c>
    </row>
    <row r="2004" spans="1:17" ht="14.25" x14ac:dyDescent="0.2">
      <c r="A2004" s="183">
        <v>535</v>
      </c>
      <c r="B2004" s="232" t="str">
        <f>IF(AND(A2004&lt;&gt;"",ISNUMBER(A2004)),VLOOKUP(A2004,Studies!A:BR,2,FALSE),"")</f>
        <v>Mouton 2006</v>
      </c>
      <c r="C2004" s="232" t="str">
        <f>IF(AND(A2004&lt;&gt;"",ISNUMBER(A2004)),VLOOKUP(A2004,Studies!A:BR,3,FALSE),"")</f>
        <v>https://www.ncbi.nlm.nih.gov/pubmed/16982783</v>
      </c>
      <c r="D2004" s="232" t="str">
        <f>IF(AND(A2004&lt;&gt;"",ISNUMBER(A2004)),VLOOKUP(A2004,Studies!A:BR,4,FALSE),"")</f>
        <v>MAD_m_D 200 mg (HPBCD)</v>
      </c>
      <c r="E2004" s="206" t="str">
        <f>IF(AND(A2004&lt;&gt;"",ISNUMBER(A2004)),VLOOKUP(A2004,Studies!A:BR,5,FALSE),"")</f>
        <v>Hydroxy-Itraconazole</v>
      </c>
      <c r="F2004" s="207" t="str">
        <f>IF(AND(A2004&lt;&gt;"",ISNUMBER(A2004)),VLOOKUP(A2004,Studies!A:BR,6,FALSE),"")</f>
        <v>Plasma</v>
      </c>
      <c r="G2004" s="194">
        <v>145</v>
      </c>
      <c r="H2004" s="194" t="s">
        <v>60</v>
      </c>
      <c r="I2004" s="187">
        <v>2132.404088973999</v>
      </c>
      <c r="J2004" s="187" t="s">
        <v>1026</v>
      </c>
      <c r="K2004" s="187" t="s">
        <v>116</v>
      </c>
      <c r="L2004" s="195"/>
      <c r="M2004" s="195"/>
      <c r="N2004" s="195"/>
      <c r="O2004" s="199"/>
      <c r="P2004" s="188"/>
      <c r="Q2004" s="174">
        <f>IF(ISNUMBER(VLOOKUP(A2004,NotghiID!A:A,1,FALSE)),1,0)</f>
        <v>0</v>
      </c>
    </row>
    <row r="2005" spans="1:17" ht="14.25" x14ac:dyDescent="0.2">
      <c r="A2005" s="183">
        <v>535</v>
      </c>
      <c r="B2005" s="232" t="str">
        <f>IF(AND(A2005&lt;&gt;"",ISNUMBER(A2005)),VLOOKUP(A2005,Studies!A:BR,2,FALSE),"")</f>
        <v>Mouton 2006</v>
      </c>
      <c r="C2005" s="232" t="str">
        <f>IF(AND(A2005&lt;&gt;"",ISNUMBER(A2005)),VLOOKUP(A2005,Studies!A:BR,3,FALSE),"")</f>
        <v>https://www.ncbi.nlm.nih.gov/pubmed/16982783</v>
      </c>
      <c r="D2005" s="232" t="str">
        <f>IF(AND(A2005&lt;&gt;"",ISNUMBER(A2005)),VLOOKUP(A2005,Studies!A:BR,4,FALSE),"")</f>
        <v>MAD_m_D 200 mg (HPBCD)</v>
      </c>
      <c r="E2005" s="206" t="str">
        <f>IF(AND(A2005&lt;&gt;"",ISNUMBER(A2005)),VLOOKUP(A2005,Studies!A:BR,5,FALSE),"")</f>
        <v>Hydroxy-Itraconazole</v>
      </c>
      <c r="F2005" s="207" t="str">
        <f>IF(AND(A2005&lt;&gt;"",ISNUMBER(A2005)),VLOOKUP(A2005,Studies!A:BR,6,FALSE),"")</f>
        <v>Plasma</v>
      </c>
      <c r="G2005" s="194">
        <v>146</v>
      </c>
      <c r="H2005" s="194" t="s">
        <v>60</v>
      </c>
      <c r="I2005" s="187">
        <v>2064.8260116577148</v>
      </c>
      <c r="J2005" s="187" t="s">
        <v>1026</v>
      </c>
      <c r="K2005" s="187" t="s">
        <v>116</v>
      </c>
      <c r="L2005" s="195"/>
      <c r="M2005" s="195"/>
      <c r="N2005" s="195"/>
      <c r="O2005" s="199"/>
      <c r="P2005" s="188"/>
      <c r="Q2005" s="174">
        <f>IF(ISNUMBER(VLOOKUP(A2005,NotghiID!A:A,1,FALSE)),1,0)</f>
        <v>0</v>
      </c>
    </row>
    <row r="2006" spans="1:17" ht="14.25" x14ac:dyDescent="0.2">
      <c r="A2006" s="183">
        <v>535</v>
      </c>
      <c r="B2006" s="232" t="str">
        <f>IF(AND(A2006&lt;&gt;"",ISNUMBER(A2006)),VLOOKUP(A2006,Studies!A:BR,2,FALSE),"")</f>
        <v>Mouton 2006</v>
      </c>
      <c r="C2006" s="232" t="str">
        <f>IF(AND(A2006&lt;&gt;"",ISNUMBER(A2006)),VLOOKUP(A2006,Studies!A:BR,3,FALSE),"")</f>
        <v>https://www.ncbi.nlm.nih.gov/pubmed/16982783</v>
      </c>
      <c r="D2006" s="232" t="str">
        <f>IF(AND(A2006&lt;&gt;"",ISNUMBER(A2006)),VLOOKUP(A2006,Studies!A:BR,4,FALSE),"")</f>
        <v>MAD_m_D 200 mg (HPBCD)</v>
      </c>
      <c r="E2006" s="206" t="str">
        <f>IF(AND(A2006&lt;&gt;"",ISNUMBER(A2006)),VLOOKUP(A2006,Studies!A:BR,5,FALSE),"")</f>
        <v>Hydroxy-Itraconazole</v>
      </c>
      <c r="F2006" s="207" t="str">
        <f>IF(AND(A2006&lt;&gt;"",ISNUMBER(A2006)),VLOOKUP(A2006,Studies!A:BR,6,FALSE),"")</f>
        <v>Plasma</v>
      </c>
      <c r="G2006" s="194">
        <v>146.25</v>
      </c>
      <c r="H2006" s="194" t="s">
        <v>60</v>
      </c>
      <c r="I2006" s="187">
        <v>2051.569938659668</v>
      </c>
      <c r="J2006" s="187" t="s">
        <v>1026</v>
      </c>
      <c r="K2006" s="187" t="s">
        <v>116</v>
      </c>
      <c r="L2006" s="195"/>
      <c r="M2006" s="195"/>
      <c r="N2006" s="195"/>
      <c r="O2006" s="199"/>
      <c r="P2006" s="188"/>
      <c r="Q2006" s="174">
        <f>IF(ISNUMBER(VLOOKUP(A2006,NotghiID!A:A,1,FALSE)),1,0)</f>
        <v>0</v>
      </c>
    </row>
    <row r="2007" spans="1:17" ht="14.25" x14ac:dyDescent="0.2">
      <c r="A2007" s="183">
        <v>535</v>
      </c>
      <c r="B2007" s="232" t="str">
        <f>IF(AND(A2007&lt;&gt;"",ISNUMBER(A2007)),VLOOKUP(A2007,Studies!A:BR,2,FALSE),"")</f>
        <v>Mouton 2006</v>
      </c>
      <c r="C2007" s="232" t="str">
        <f>IF(AND(A2007&lt;&gt;"",ISNUMBER(A2007)),VLOOKUP(A2007,Studies!A:BR,3,FALSE),"")</f>
        <v>https://www.ncbi.nlm.nih.gov/pubmed/16982783</v>
      </c>
      <c r="D2007" s="232" t="str">
        <f>IF(AND(A2007&lt;&gt;"",ISNUMBER(A2007)),VLOOKUP(A2007,Studies!A:BR,4,FALSE),"")</f>
        <v>MAD_m_D 200 mg (HPBCD)</v>
      </c>
      <c r="E2007" s="206" t="str">
        <f>IF(AND(A2007&lt;&gt;"",ISNUMBER(A2007)),VLOOKUP(A2007,Studies!A:BR,5,FALSE),"")</f>
        <v>Hydroxy-Itraconazole</v>
      </c>
      <c r="F2007" s="207" t="str">
        <f>IF(AND(A2007&lt;&gt;"",ISNUMBER(A2007)),VLOOKUP(A2007,Studies!A:BR,6,FALSE),"")</f>
        <v>Plasma</v>
      </c>
      <c r="G2007" s="194">
        <v>146.5</v>
      </c>
      <c r="H2007" s="194" t="s">
        <v>60</v>
      </c>
      <c r="I2007" s="187">
        <v>2064.8260116577148</v>
      </c>
      <c r="J2007" s="187" t="s">
        <v>1026</v>
      </c>
      <c r="K2007" s="187" t="s">
        <v>116</v>
      </c>
      <c r="L2007" s="195"/>
      <c r="M2007" s="195"/>
      <c r="N2007" s="195"/>
      <c r="O2007" s="199"/>
      <c r="P2007" s="188"/>
      <c r="Q2007" s="174">
        <f>IF(ISNUMBER(VLOOKUP(A2007,NotghiID!A:A,1,FALSE)),1,0)</f>
        <v>0</v>
      </c>
    </row>
    <row r="2008" spans="1:17" ht="14.25" x14ac:dyDescent="0.2">
      <c r="A2008" s="183">
        <v>535</v>
      </c>
      <c r="B2008" s="232" t="str">
        <f>IF(AND(A2008&lt;&gt;"",ISNUMBER(A2008)),VLOOKUP(A2008,Studies!A:BR,2,FALSE),"")</f>
        <v>Mouton 2006</v>
      </c>
      <c r="C2008" s="232" t="str">
        <f>IF(AND(A2008&lt;&gt;"",ISNUMBER(A2008)),VLOOKUP(A2008,Studies!A:BR,3,FALSE),"")</f>
        <v>https://www.ncbi.nlm.nih.gov/pubmed/16982783</v>
      </c>
      <c r="D2008" s="232" t="str">
        <f>IF(AND(A2008&lt;&gt;"",ISNUMBER(A2008)),VLOOKUP(A2008,Studies!A:BR,4,FALSE),"")</f>
        <v>MAD_m_D 200 mg (HPBCD)</v>
      </c>
      <c r="E2008" s="206" t="str">
        <f>IF(AND(A2008&lt;&gt;"",ISNUMBER(A2008)),VLOOKUP(A2008,Studies!A:BR,5,FALSE),"")</f>
        <v>Hydroxy-Itraconazole</v>
      </c>
      <c r="F2008" s="207" t="str">
        <f>IF(AND(A2008&lt;&gt;"",ISNUMBER(A2008)),VLOOKUP(A2008,Studies!A:BR,6,FALSE),"")</f>
        <v>Plasma</v>
      </c>
      <c r="G2008" s="194">
        <v>146.75</v>
      </c>
      <c r="H2008" s="194" t="s">
        <v>60</v>
      </c>
      <c r="I2008" s="187">
        <v>2091.5958881378174</v>
      </c>
      <c r="J2008" s="187" t="s">
        <v>1026</v>
      </c>
      <c r="K2008" s="187" t="s">
        <v>116</v>
      </c>
      <c r="L2008" s="195"/>
      <c r="M2008" s="195"/>
      <c r="N2008" s="195"/>
      <c r="O2008" s="199"/>
      <c r="P2008" s="188"/>
      <c r="Q2008" s="174">
        <f>IF(ISNUMBER(VLOOKUP(A2008,NotghiID!A:A,1,FALSE)),1,0)</f>
        <v>0</v>
      </c>
    </row>
    <row r="2009" spans="1:17" ht="14.25" x14ac:dyDescent="0.2">
      <c r="A2009" s="183">
        <v>535</v>
      </c>
      <c r="B2009" s="232" t="str">
        <f>IF(AND(A2009&lt;&gt;"",ISNUMBER(A2009)),VLOOKUP(A2009,Studies!A:BR,2,FALSE),"")</f>
        <v>Mouton 2006</v>
      </c>
      <c r="C2009" s="232" t="str">
        <f>IF(AND(A2009&lt;&gt;"",ISNUMBER(A2009)),VLOOKUP(A2009,Studies!A:BR,3,FALSE),"")</f>
        <v>https://www.ncbi.nlm.nih.gov/pubmed/16982783</v>
      </c>
      <c r="D2009" s="232" t="str">
        <f>IF(AND(A2009&lt;&gt;"",ISNUMBER(A2009)),VLOOKUP(A2009,Studies!A:BR,4,FALSE),"")</f>
        <v>MAD_m_D 200 mg (HPBCD)</v>
      </c>
      <c r="E2009" s="206" t="str">
        <f>IF(AND(A2009&lt;&gt;"",ISNUMBER(A2009)),VLOOKUP(A2009,Studies!A:BR,5,FALSE),"")</f>
        <v>Hydroxy-Itraconazole</v>
      </c>
      <c r="F2009" s="207" t="str">
        <f>IF(AND(A2009&lt;&gt;"",ISNUMBER(A2009)),VLOOKUP(A2009,Studies!A:BR,6,FALSE),"")</f>
        <v>Plasma</v>
      </c>
      <c r="G2009" s="194">
        <v>147</v>
      </c>
      <c r="H2009" s="194" t="s">
        <v>60</v>
      </c>
      <c r="I2009" s="187">
        <v>2174.0078926086426</v>
      </c>
      <c r="J2009" s="187" t="s">
        <v>1026</v>
      </c>
      <c r="K2009" s="187" t="s">
        <v>116</v>
      </c>
      <c r="L2009" s="195"/>
      <c r="M2009" s="195"/>
      <c r="N2009" s="195"/>
      <c r="O2009" s="199"/>
      <c r="P2009" s="188"/>
      <c r="Q2009" s="174">
        <f>IF(ISNUMBER(VLOOKUP(A2009,NotghiID!A:A,1,FALSE)),1,0)</f>
        <v>0</v>
      </c>
    </row>
    <row r="2010" spans="1:17" ht="14.25" x14ac:dyDescent="0.2">
      <c r="A2010" s="183">
        <v>535</v>
      </c>
      <c r="B2010" s="232" t="str">
        <f>IF(AND(A2010&lt;&gt;"",ISNUMBER(A2010)),VLOOKUP(A2010,Studies!A:BR,2,FALSE),"")</f>
        <v>Mouton 2006</v>
      </c>
      <c r="C2010" s="232" t="str">
        <f>IF(AND(A2010&lt;&gt;"",ISNUMBER(A2010)),VLOOKUP(A2010,Studies!A:BR,3,FALSE),"")</f>
        <v>https://www.ncbi.nlm.nih.gov/pubmed/16982783</v>
      </c>
      <c r="D2010" s="232" t="str">
        <f>IF(AND(A2010&lt;&gt;"",ISNUMBER(A2010)),VLOOKUP(A2010,Studies!A:BR,4,FALSE),"")</f>
        <v>MAD_m_D 200 mg (HPBCD)</v>
      </c>
      <c r="E2010" s="206" t="str">
        <f>IF(AND(A2010&lt;&gt;"",ISNUMBER(A2010)),VLOOKUP(A2010,Studies!A:BR,5,FALSE),"")</f>
        <v>Hydroxy-Itraconazole</v>
      </c>
      <c r="F2010" s="207" t="str">
        <f>IF(AND(A2010&lt;&gt;"",ISNUMBER(A2010)),VLOOKUP(A2010,Studies!A:BR,6,FALSE),"")</f>
        <v>Plasma</v>
      </c>
      <c r="G2010" s="194">
        <v>147.5</v>
      </c>
      <c r="H2010" s="194" t="s">
        <v>60</v>
      </c>
      <c r="I2010" s="187">
        <v>2146.1830139160156</v>
      </c>
      <c r="J2010" s="187" t="s">
        <v>1026</v>
      </c>
      <c r="K2010" s="187" t="s">
        <v>116</v>
      </c>
      <c r="L2010" s="195"/>
      <c r="M2010" s="195"/>
      <c r="N2010" s="195"/>
      <c r="O2010" s="199"/>
      <c r="P2010" s="188"/>
      <c r="Q2010" s="174">
        <f>IF(ISNUMBER(VLOOKUP(A2010,NotghiID!A:A,1,FALSE)),1,0)</f>
        <v>0</v>
      </c>
    </row>
    <row r="2011" spans="1:17" ht="14.25" x14ac:dyDescent="0.2">
      <c r="A2011" s="183">
        <v>535</v>
      </c>
      <c r="B2011" s="232" t="str">
        <f>IF(AND(A2011&lt;&gt;"",ISNUMBER(A2011)),VLOOKUP(A2011,Studies!A:BR,2,FALSE),"")</f>
        <v>Mouton 2006</v>
      </c>
      <c r="C2011" s="232" t="str">
        <f>IF(AND(A2011&lt;&gt;"",ISNUMBER(A2011)),VLOOKUP(A2011,Studies!A:BR,3,FALSE),"")</f>
        <v>https://www.ncbi.nlm.nih.gov/pubmed/16982783</v>
      </c>
      <c r="D2011" s="232" t="str">
        <f>IF(AND(A2011&lt;&gt;"",ISNUMBER(A2011)),VLOOKUP(A2011,Studies!A:BR,4,FALSE),"")</f>
        <v>MAD_m_D 200 mg (HPBCD)</v>
      </c>
      <c r="E2011" s="206" t="str">
        <f>IF(AND(A2011&lt;&gt;"",ISNUMBER(A2011)),VLOOKUP(A2011,Studies!A:BR,5,FALSE),"")</f>
        <v>Hydroxy-Itraconazole</v>
      </c>
      <c r="F2011" s="207" t="str">
        <f>IF(AND(A2011&lt;&gt;"",ISNUMBER(A2011)),VLOOKUP(A2011,Studies!A:BR,6,FALSE),"")</f>
        <v>Plasma</v>
      </c>
      <c r="G2011" s="194">
        <v>148</v>
      </c>
      <c r="H2011" s="194" t="s">
        <v>60</v>
      </c>
      <c r="I2011" s="187">
        <v>1986.5540266036987</v>
      </c>
      <c r="J2011" s="187" t="s">
        <v>1026</v>
      </c>
      <c r="K2011" s="187" t="s">
        <v>116</v>
      </c>
      <c r="L2011" s="195"/>
      <c r="M2011" s="195"/>
      <c r="N2011" s="195"/>
      <c r="O2011" s="199"/>
      <c r="P2011" s="188"/>
      <c r="Q2011" s="174">
        <f>IF(ISNUMBER(VLOOKUP(A2011,NotghiID!A:A,1,FALSE)),1,0)</f>
        <v>0</v>
      </c>
    </row>
    <row r="2012" spans="1:17" ht="14.25" x14ac:dyDescent="0.2">
      <c r="A2012" s="183">
        <v>535</v>
      </c>
      <c r="B2012" s="232" t="str">
        <f>IF(AND(A2012&lt;&gt;"",ISNUMBER(A2012)),VLOOKUP(A2012,Studies!A:BR,2,FALSE),"")</f>
        <v>Mouton 2006</v>
      </c>
      <c r="C2012" s="232" t="str">
        <f>IF(AND(A2012&lt;&gt;"",ISNUMBER(A2012)),VLOOKUP(A2012,Studies!A:BR,3,FALSE),"")</f>
        <v>https://www.ncbi.nlm.nih.gov/pubmed/16982783</v>
      </c>
      <c r="D2012" s="232" t="str">
        <f>IF(AND(A2012&lt;&gt;"",ISNUMBER(A2012)),VLOOKUP(A2012,Studies!A:BR,4,FALSE),"")</f>
        <v>MAD_m_D 200 mg (HPBCD)</v>
      </c>
      <c r="E2012" s="206" t="str">
        <f>IF(AND(A2012&lt;&gt;"",ISNUMBER(A2012)),VLOOKUP(A2012,Studies!A:BR,5,FALSE),"")</f>
        <v>Hydroxy-Itraconazole</v>
      </c>
      <c r="F2012" s="207" t="str">
        <f>IF(AND(A2012&lt;&gt;"",ISNUMBER(A2012)),VLOOKUP(A2012,Studies!A:BR,6,FALSE),"")</f>
        <v>Plasma</v>
      </c>
      <c r="G2012" s="194">
        <v>150</v>
      </c>
      <c r="H2012" s="194" t="s">
        <v>60</v>
      </c>
      <c r="I2012" s="187">
        <v>2012.3090744018555</v>
      </c>
      <c r="J2012" s="187" t="s">
        <v>1026</v>
      </c>
      <c r="K2012" s="187" t="s">
        <v>116</v>
      </c>
      <c r="L2012" s="195"/>
      <c r="M2012" s="195"/>
      <c r="N2012" s="195"/>
      <c r="O2012" s="199"/>
      <c r="P2012" s="188"/>
      <c r="Q2012" s="174">
        <f>IF(ISNUMBER(VLOOKUP(A2012,NotghiID!A:A,1,FALSE)),1,0)</f>
        <v>0</v>
      </c>
    </row>
    <row r="2013" spans="1:17" ht="14.25" x14ac:dyDescent="0.2">
      <c r="A2013" s="183">
        <v>535</v>
      </c>
      <c r="B2013" s="232" t="str">
        <f>IF(AND(A2013&lt;&gt;"",ISNUMBER(A2013)),VLOOKUP(A2013,Studies!A:BR,2,FALSE),"")</f>
        <v>Mouton 2006</v>
      </c>
      <c r="C2013" s="232" t="str">
        <f>IF(AND(A2013&lt;&gt;"",ISNUMBER(A2013)),VLOOKUP(A2013,Studies!A:BR,3,FALSE),"")</f>
        <v>https://www.ncbi.nlm.nih.gov/pubmed/16982783</v>
      </c>
      <c r="D2013" s="232" t="str">
        <f>IF(AND(A2013&lt;&gt;"",ISNUMBER(A2013)),VLOOKUP(A2013,Studies!A:BR,4,FALSE),"")</f>
        <v>MAD_m_D 200 mg (HPBCD)</v>
      </c>
      <c r="E2013" s="206" t="str">
        <f>IF(AND(A2013&lt;&gt;"",ISNUMBER(A2013)),VLOOKUP(A2013,Studies!A:BR,5,FALSE),"")</f>
        <v>Hydroxy-Itraconazole</v>
      </c>
      <c r="F2013" s="207" t="str">
        <f>IF(AND(A2013&lt;&gt;"",ISNUMBER(A2013)),VLOOKUP(A2013,Studies!A:BR,6,FALSE),"")</f>
        <v>Plasma</v>
      </c>
      <c r="G2013" s="194">
        <v>152</v>
      </c>
      <c r="H2013" s="194" t="s">
        <v>60</v>
      </c>
      <c r="I2013" s="187">
        <v>2064.8260116577148</v>
      </c>
      <c r="J2013" s="187" t="s">
        <v>1026</v>
      </c>
      <c r="K2013" s="187" t="s">
        <v>116</v>
      </c>
      <c r="L2013" s="195"/>
      <c r="M2013" s="195"/>
      <c r="N2013" s="195"/>
      <c r="O2013" s="199"/>
      <c r="P2013" s="188"/>
      <c r="Q2013" s="174">
        <f>IF(ISNUMBER(VLOOKUP(A2013,NotghiID!A:A,1,FALSE)),1,0)</f>
        <v>0</v>
      </c>
    </row>
    <row r="2014" spans="1:17" ht="14.25" x14ac:dyDescent="0.2">
      <c r="A2014" s="183">
        <v>535</v>
      </c>
      <c r="B2014" s="232" t="str">
        <f>IF(AND(A2014&lt;&gt;"",ISNUMBER(A2014)),VLOOKUP(A2014,Studies!A:BR,2,FALSE),"")</f>
        <v>Mouton 2006</v>
      </c>
      <c r="C2014" s="232" t="str">
        <f>IF(AND(A2014&lt;&gt;"",ISNUMBER(A2014)),VLOOKUP(A2014,Studies!A:BR,3,FALSE),"")</f>
        <v>https://www.ncbi.nlm.nih.gov/pubmed/16982783</v>
      </c>
      <c r="D2014" s="232" t="str">
        <f>IF(AND(A2014&lt;&gt;"",ISNUMBER(A2014)),VLOOKUP(A2014,Studies!A:BR,4,FALSE),"")</f>
        <v>MAD_m_D 200 mg (HPBCD)</v>
      </c>
      <c r="E2014" s="206" t="str">
        <f>IF(AND(A2014&lt;&gt;"",ISNUMBER(A2014)),VLOOKUP(A2014,Studies!A:BR,5,FALSE),"")</f>
        <v>Hydroxy-Itraconazole</v>
      </c>
      <c r="F2014" s="207" t="str">
        <f>IF(AND(A2014&lt;&gt;"",ISNUMBER(A2014)),VLOOKUP(A2014,Studies!A:BR,6,FALSE),"")</f>
        <v>Plasma</v>
      </c>
      <c r="G2014" s="194">
        <v>154</v>
      </c>
      <c r="H2014" s="194" t="s">
        <v>60</v>
      </c>
      <c r="I2014" s="187">
        <v>2132.404088973999</v>
      </c>
      <c r="J2014" s="187" t="s">
        <v>1026</v>
      </c>
      <c r="K2014" s="187" t="s">
        <v>116</v>
      </c>
      <c r="L2014" s="195"/>
      <c r="M2014" s="195"/>
      <c r="N2014" s="195"/>
      <c r="O2014" s="199"/>
      <c r="P2014" s="188"/>
      <c r="Q2014" s="174">
        <f>IF(ISNUMBER(VLOOKUP(A2014,NotghiID!A:A,1,FALSE)),1,0)</f>
        <v>0</v>
      </c>
    </row>
    <row r="2015" spans="1:17" ht="14.25" x14ac:dyDescent="0.2">
      <c r="A2015" s="183">
        <v>535</v>
      </c>
      <c r="B2015" s="232" t="str">
        <f>IF(AND(A2015&lt;&gt;"",ISNUMBER(A2015)),VLOOKUP(A2015,Studies!A:BR,2,FALSE),"")</f>
        <v>Mouton 2006</v>
      </c>
      <c r="C2015" s="232" t="str">
        <f>IF(AND(A2015&lt;&gt;"",ISNUMBER(A2015)),VLOOKUP(A2015,Studies!A:BR,3,FALSE),"")</f>
        <v>https://www.ncbi.nlm.nih.gov/pubmed/16982783</v>
      </c>
      <c r="D2015" s="232" t="str">
        <f>IF(AND(A2015&lt;&gt;"",ISNUMBER(A2015)),VLOOKUP(A2015,Studies!A:BR,4,FALSE),"")</f>
        <v>MAD_m_D 200 mg (HPBCD)</v>
      </c>
      <c r="E2015" s="206" t="str">
        <f>IF(AND(A2015&lt;&gt;"",ISNUMBER(A2015)),VLOOKUP(A2015,Studies!A:BR,5,FALSE),"")</f>
        <v>Hydroxy-Itraconazole</v>
      </c>
      <c r="F2015" s="207" t="str">
        <f>IF(AND(A2015&lt;&gt;"",ISNUMBER(A2015)),VLOOKUP(A2015,Studies!A:BR,6,FALSE),"")</f>
        <v>Plasma</v>
      </c>
      <c r="G2015" s="194">
        <v>160</v>
      </c>
      <c r="H2015" s="194" t="s">
        <v>60</v>
      </c>
      <c r="I2015" s="187">
        <v>1825.7229328155518</v>
      </c>
      <c r="J2015" s="187" t="s">
        <v>1026</v>
      </c>
      <c r="K2015" s="187" t="s">
        <v>116</v>
      </c>
      <c r="L2015" s="195"/>
      <c r="M2015" s="195"/>
      <c r="N2015" s="195"/>
      <c r="O2015" s="199"/>
      <c r="P2015" s="188"/>
      <c r="Q2015" s="174">
        <f>IF(ISNUMBER(VLOOKUP(A2015,NotghiID!A:A,1,FALSE)),1,0)</f>
        <v>0</v>
      </c>
    </row>
    <row r="2016" spans="1:17" ht="14.25" x14ac:dyDescent="0.2">
      <c r="A2016" s="183">
        <v>535</v>
      </c>
      <c r="B2016" s="232" t="str">
        <f>IF(AND(A2016&lt;&gt;"",ISNUMBER(A2016)),VLOOKUP(A2016,Studies!A:BR,2,FALSE),"")</f>
        <v>Mouton 2006</v>
      </c>
      <c r="C2016" s="232" t="str">
        <f>IF(AND(A2016&lt;&gt;"",ISNUMBER(A2016)),VLOOKUP(A2016,Studies!A:BR,3,FALSE),"")</f>
        <v>https://www.ncbi.nlm.nih.gov/pubmed/16982783</v>
      </c>
      <c r="D2016" s="232" t="str">
        <f>IF(AND(A2016&lt;&gt;"",ISNUMBER(A2016)),VLOOKUP(A2016,Studies!A:BR,4,FALSE),"")</f>
        <v>MAD_m_D 200 mg (HPBCD)</v>
      </c>
      <c r="E2016" s="206" t="str">
        <f>IF(AND(A2016&lt;&gt;"",ISNUMBER(A2016)),VLOOKUP(A2016,Studies!A:BR,5,FALSE),"")</f>
        <v>Hydroxy-Itraconazole</v>
      </c>
      <c r="F2016" s="207" t="str">
        <f>IF(AND(A2016&lt;&gt;"",ISNUMBER(A2016)),VLOOKUP(A2016,Studies!A:BR,6,FALSE),"")</f>
        <v>Plasma</v>
      </c>
      <c r="G2016" s="194">
        <v>168</v>
      </c>
      <c r="H2016" s="194" t="s">
        <v>60</v>
      </c>
      <c r="I2016" s="187">
        <v>2063.7459754943848</v>
      </c>
      <c r="J2016" s="187" t="s">
        <v>1026</v>
      </c>
      <c r="K2016" s="187" t="s">
        <v>116</v>
      </c>
      <c r="L2016" s="195"/>
      <c r="M2016" s="195"/>
      <c r="N2016" s="195"/>
      <c r="O2016" s="199"/>
      <c r="P2016" s="188"/>
      <c r="Q2016" s="174">
        <f>IF(ISNUMBER(VLOOKUP(A2016,NotghiID!A:A,1,FALSE)),1,0)</f>
        <v>0</v>
      </c>
    </row>
    <row r="2017" spans="1:17" ht="14.25" x14ac:dyDescent="0.2">
      <c r="A2017" s="183">
        <v>535</v>
      </c>
      <c r="B2017" s="232" t="str">
        <f>IF(AND(A2017&lt;&gt;"",ISNUMBER(A2017)),VLOOKUP(A2017,Studies!A:BR,2,FALSE),"")</f>
        <v>Mouton 2006</v>
      </c>
      <c r="C2017" s="232" t="str">
        <f>IF(AND(A2017&lt;&gt;"",ISNUMBER(A2017)),VLOOKUP(A2017,Studies!A:BR,3,FALSE),"")</f>
        <v>https://www.ncbi.nlm.nih.gov/pubmed/16982783</v>
      </c>
      <c r="D2017" s="232" t="str">
        <f>IF(AND(A2017&lt;&gt;"",ISNUMBER(A2017)),VLOOKUP(A2017,Studies!A:BR,4,FALSE),"")</f>
        <v>MAD_m_D 200 mg (HPBCD)</v>
      </c>
      <c r="E2017" s="206" t="str">
        <f>IF(AND(A2017&lt;&gt;"",ISNUMBER(A2017)),VLOOKUP(A2017,Studies!A:BR,5,FALSE),"")</f>
        <v>Hydroxy-Itraconazole</v>
      </c>
      <c r="F2017" s="207" t="str">
        <f>IF(AND(A2017&lt;&gt;"",ISNUMBER(A2017)),VLOOKUP(A2017,Studies!A:BR,6,FALSE),"")</f>
        <v>Plasma</v>
      </c>
      <c r="G2017" s="194">
        <v>176</v>
      </c>
      <c r="H2017" s="194" t="s">
        <v>60</v>
      </c>
      <c r="I2017" s="187">
        <v>2050.4779815673828</v>
      </c>
      <c r="J2017" s="187" t="s">
        <v>1026</v>
      </c>
      <c r="K2017" s="187" t="s">
        <v>116</v>
      </c>
      <c r="L2017" s="195"/>
      <c r="M2017" s="195"/>
      <c r="N2017" s="195"/>
      <c r="O2017" s="199"/>
      <c r="P2017" s="188"/>
      <c r="Q2017" s="174">
        <f>IF(ISNUMBER(VLOOKUP(A2017,NotghiID!A:A,1,FALSE)),1,0)</f>
        <v>0</v>
      </c>
    </row>
    <row r="2018" spans="1:17" ht="14.25" x14ac:dyDescent="0.2">
      <c r="A2018" s="183">
        <v>535</v>
      </c>
      <c r="B2018" s="232" t="str">
        <f>IF(AND(A2018&lt;&gt;"",ISNUMBER(A2018)),VLOOKUP(A2018,Studies!A:BR,2,FALSE),"")</f>
        <v>Mouton 2006</v>
      </c>
      <c r="C2018" s="232" t="str">
        <f>IF(AND(A2018&lt;&gt;"",ISNUMBER(A2018)),VLOOKUP(A2018,Studies!A:BR,3,FALSE),"")</f>
        <v>https://www.ncbi.nlm.nih.gov/pubmed/16982783</v>
      </c>
      <c r="D2018" s="232" t="str">
        <f>IF(AND(A2018&lt;&gt;"",ISNUMBER(A2018)),VLOOKUP(A2018,Studies!A:BR,4,FALSE),"")</f>
        <v>MAD_m_D 200 mg (HPBCD)</v>
      </c>
      <c r="E2018" s="206" t="str">
        <f>IF(AND(A2018&lt;&gt;"",ISNUMBER(A2018)),VLOOKUP(A2018,Studies!A:BR,5,FALSE),"")</f>
        <v>Hydroxy-Itraconazole</v>
      </c>
      <c r="F2018" s="207" t="str">
        <f>IF(AND(A2018&lt;&gt;"",ISNUMBER(A2018)),VLOOKUP(A2018,Studies!A:BR,6,FALSE),"")</f>
        <v>Plasma</v>
      </c>
      <c r="G2018" s="194">
        <v>192</v>
      </c>
      <c r="H2018" s="194" t="s">
        <v>60</v>
      </c>
      <c r="I2018" s="187">
        <v>1802.3229837417603</v>
      </c>
      <c r="J2018" s="187" t="s">
        <v>1026</v>
      </c>
      <c r="K2018" s="187" t="s">
        <v>116</v>
      </c>
      <c r="L2018" s="195"/>
      <c r="M2018" s="195"/>
      <c r="N2018" s="195"/>
      <c r="O2018" s="199"/>
      <c r="P2018" s="188"/>
      <c r="Q2018" s="174">
        <f>IF(ISNUMBER(VLOOKUP(A2018,NotghiID!A:A,1,FALSE)),1,0)</f>
        <v>0</v>
      </c>
    </row>
    <row r="2019" spans="1:17" ht="14.25" x14ac:dyDescent="0.2">
      <c r="A2019" s="183">
        <v>535</v>
      </c>
      <c r="B2019" s="232" t="str">
        <f>IF(AND(A2019&lt;&gt;"",ISNUMBER(A2019)),VLOOKUP(A2019,Studies!A:BR,2,FALSE),"")</f>
        <v>Mouton 2006</v>
      </c>
      <c r="C2019" s="232" t="str">
        <f>IF(AND(A2019&lt;&gt;"",ISNUMBER(A2019)),VLOOKUP(A2019,Studies!A:BR,3,FALSE),"")</f>
        <v>https://www.ncbi.nlm.nih.gov/pubmed/16982783</v>
      </c>
      <c r="D2019" s="232" t="str">
        <f>IF(AND(A2019&lt;&gt;"",ISNUMBER(A2019)),VLOOKUP(A2019,Studies!A:BR,4,FALSE),"")</f>
        <v>MAD_m_D 200 mg (HPBCD)</v>
      </c>
      <c r="E2019" s="206" t="str">
        <f>IF(AND(A2019&lt;&gt;"",ISNUMBER(A2019)),VLOOKUP(A2019,Studies!A:BR,5,FALSE),"")</f>
        <v>Hydroxy-Itraconazole</v>
      </c>
      <c r="F2019" s="207" t="str">
        <f>IF(AND(A2019&lt;&gt;"",ISNUMBER(A2019)),VLOOKUP(A2019,Studies!A:BR,6,FALSE),"")</f>
        <v>Plasma</v>
      </c>
      <c r="G2019" s="194">
        <v>216</v>
      </c>
      <c r="H2019" s="194" t="s">
        <v>60</v>
      </c>
      <c r="I2019" s="187">
        <v>1357.0109605789185</v>
      </c>
      <c r="J2019" s="187" t="s">
        <v>1026</v>
      </c>
      <c r="K2019" s="187" t="s">
        <v>116</v>
      </c>
      <c r="L2019" s="195"/>
      <c r="M2019" s="195"/>
      <c r="N2019" s="195"/>
      <c r="O2019" s="199"/>
      <c r="P2019" s="188"/>
      <c r="Q2019" s="174">
        <f>IF(ISNUMBER(VLOOKUP(A2019,NotghiID!A:A,1,FALSE)),1,0)</f>
        <v>0</v>
      </c>
    </row>
    <row r="2020" spans="1:17" ht="14.25" x14ac:dyDescent="0.2">
      <c r="A2020" s="183">
        <v>535</v>
      </c>
      <c r="B2020" s="232" t="str">
        <f>IF(AND(A2020&lt;&gt;"",ISNUMBER(A2020)),VLOOKUP(A2020,Studies!A:BR,2,FALSE),"")</f>
        <v>Mouton 2006</v>
      </c>
      <c r="C2020" s="232" t="str">
        <f>IF(AND(A2020&lt;&gt;"",ISNUMBER(A2020)),VLOOKUP(A2020,Studies!A:BR,3,FALSE),"")</f>
        <v>https://www.ncbi.nlm.nih.gov/pubmed/16982783</v>
      </c>
      <c r="D2020" s="232" t="str">
        <f>IF(AND(A2020&lt;&gt;"",ISNUMBER(A2020)),VLOOKUP(A2020,Studies!A:BR,4,FALSE),"")</f>
        <v>MAD_m_D 200 mg (HPBCD)</v>
      </c>
      <c r="E2020" s="206" t="str">
        <f>IF(AND(A2020&lt;&gt;"",ISNUMBER(A2020)),VLOOKUP(A2020,Studies!A:BR,5,FALSE),"")</f>
        <v>Hydroxy-Itraconazole</v>
      </c>
      <c r="F2020" s="207" t="str">
        <f>IF(AND(A2020&lt;&gt;"",ISNUMBER(A2020)),VLOOKUP(A2020,Studies!A:BR,6,FALSE),"")</f>
        <v>Plasma</v>
      </c>
      <c r="G2020" s="194">
        <v>240</v>
      </c>
      <c r="H2020" s="194" t="s">
        <v>60</v>
      </c>
      <c r="I2020" s="187">
        <v>970.34287452697754</v>
      </c>
      <c r="J2020" s="187" t="s">
        <v>1026</v>
      </c>
      <c r="K2020" s="187" t="s">
        <v>116</v>
      </c>
      <c r="L2020" s="195"/>
      <c r="M2020" s="195"/>
      <c r="N2020" s="195"/>
      <c r="O2020" s="199"/>
      <c r="P2020" s="188"/>
      <c r="Q2020" s="174">
        <f>IF(ISNUMBER(VLOOKUP(A2020,NotghiID!A:A,1,FALSE)),1,0)</f>
        <v>0</v>
      </c>
    </row>
    <row r="2021" spans="1:17" ht="14.25" x14ac:dyDescent="0.2">
      <c r="A2021" s="183">
        <v>535</v>
      </c>
      <c r="B2021" s="232" t="str">
        <f>IF(AND(A2021&lt;&gt;"",ISNUMBER(A2021)),VLOOKUP(A2021,Studies!A:BR,2,FALSE),"")</f>
        <v>Mouton 2006</v>
      </c>
      <c r="C2021" s="232" t="str">
        <f>IF(AND(A2021&lt;&gt;"",ISNUMBER(A2021)),VLOOKUP(A2021,Studies!A:BR,3,FALSE),"")</f>
        <v>https://www.ncbi.nlm.nih.gov/pubmed/16982783</v>
      </c>
      <c r="D2021" s="232" t="str">
        <f>IF(AND(A2021&lt;&gt;"",ISNUMBER(A2021)),VLOOKUP(A2021,Studies!A:BR,4,FALSE),"")</f>
        <v>MAD_m_D 200 mg (HPBCD)</v>
      </c>
      <c r="E2021" s="206" t="str">
        <f>IF(AND(A2021&lt;&gt;"",ISNUMBER(A2021)),VLOOKUP(A2021,Studies!A:BR,5,FALSE),"")</f>
        <v>Hydroxy-Itraconazole</v>
      </c>
      <c r="F2021" s="207" t="str">
        <f>IF(AND(A2021&lt;&gt;"",ISNUMBER(A2021)),VLOOKUP(A2021,Studies!A:BR,6,FALSE),"")</f>
        <v>Plasma</v>
      </c>
      <c r="G2021" s="194">
        <v>312</v>
      </c>
      <c r="H2021" s="194" t="s">
        <v>60</v>
      </c>
      <c r="I2021" s="187">
        <v>267.11669564247131</v>
      </c>
      <c r="J2021" s="187" t="s">
        <v>1026</v>
      </c>
      <c r="K2021" s="187" t="s">
        <v>116</v>
      </c>
      <c r="L2021" s="195"/>
      <c r="M2021" s="195"/>
      <c r="N2021" s="195"/>
      <c r="O2021" s="199"/>
      <c r="P2021" s="188"/>
      <c r="Q2021" s="174">
        <f>IF(ISNUMBER(VLOOKUP(A2021,NotghiID!A:A,1,FALSE)),1,0)</f>
        <v>0</v>
      </c>
    </row>
    <row r="2022" spans="1:17" ht="14.25" x14ac:dyDescent="0.2">
      <c r="A2022" s="183">
        <v>536</v>
      </c>
      <c r="B2022" s="232" t="str">
        <f>IF(AND(A2022&lt;&gt;"",ISNUMBER(A2022)),VLOOKUP(A2022,Studies!A:BR,2,FALSE),"")</f>
        <v>Mouton 2006</v>
      </c>
      <c r="C2022" s="232" t="str">
        <f>IF(AND(A2022&lt;&gt;"",ISNUMBER(A2022)),VLOOKUP(A2022,Studies!A:BR,3,FALSE),"")</f>
        <v>https://www.ncbi.nlm.nih.gov/pubmed/16982783</v>
      </c>
      <c r="D2022" s="232" t="str">
        <f>IF(AND(A2022&lt;&gt;"",ISNUMBER(A2022)),VLOOKUP(A2022,Studies!A:BR,4,FALSE),"")</f>
        <v>MAD_m_A 100 mg (terminal phase only)</v>
      </c>
      <c r="E2022" s="206" t="str">
        <f>IF(AND(A2022&lt;&gt;"",ISNUMBER(A2022)),VLOOKUP(A2022,Studies!A:BR,5,FALSE),"")</f>
        <v>Itraconazole</v>
      </c>
      <c r="F2022" s="207" t="str">
        <f>IF(AND(A2022&lt;&gt;"",ISNUMBER(A2022)),VLOOKUP(A2022,Studies!A:BR,6,FALSE),"")</f>
        <v>Plasma</v>
      </c>
      <c r="G2022" s="194">
        <v>168</v>
      </c>
      <c r="H2022" s="194" t="s">
        <v>60</v>
      </c>
      <c r="I2022" s="187">
        <v>332.26919555664062</v>
      </c>
      <c r="J2022" s="187" t="s">
        <v>1026</v>
      </c>
      <c r="K2022" s="187" t="s">
        <v>116</v>
      </c>
      <c r="L2022" s="195"/>
      <c r="M2022" s="195"/>
      <c r="N2022" s="195"/>
      <c r="O2022" s="199"/>
      <c r="P2022" s="188" t="s">
        <v>1124</v>
      </c>
      <c r="Q2022" s="174">
        <f>IF(ISNUMBER(VLOOKUP(A2022,NotghiID!A:A,1,FALSE)),1,0)</f>
        <v>0</v>
      </c>
    </row>
    <row r="2023" spans="1:17" ht="14.25" x14ac:dyDescent="0.2">
      <c r="A2023" s="183">
        <v>536</v>
      </c>
      <c r="B2023" s="232" t="str">
        <f>IF(AND(A2023&lt;&gt;"",ISNUMBER(A2023)),VLOOKUP(A2023,Studies!A:BR,2,FALSE),"")</f>
        <v>Mouton 2006</v>
      </c>
      <c r="C2023" s="232" t="str">
        <f>IF(AND(A2023&lt;&gt;"",ISNUMBER(A2023)),VLOOKUP(A2023,Studies!A:BR,3,FALSE),"")</f>
        <v>https://www.ncbi.nlm.nih.gov/pubmed/16982783</v>
      </c>
      <c r="D2023" s="232" t="str">
        <f>IF(AND(A2023&lt;&gt;"",ISNUMBER(A2023)),VLOOKUP(A2023,Studies!A:BR,4,FALSE),"")</f>
        <v>MAD_m_A 100 mg (terminal phase only)</v>
      </c>
      <c r="E2023" s="206" t="str">
        <f>IF(AND(A2023&lt;&gt;"",ISNUMBER(A2023)),VLOOKUP(A2023,Studies!A:BR,5,FALSE),"")</f>
        <v>Itraconazole</v>
      </c>
      <c r="F2023" s="207" t="str">
        <f>IF(AND(A2023&lt;&gt;"",ISNUMBER(A2023)),VLOOKUP(A2023,Studies!A:BR,6,FALSE),"")</f>
        <v>Plasma</v>
      </c>
      <c r="G2023" s="194">
        <v>176</v>
      </c>
      <c r="H2023" s="194" t="s">
        <v>60</v>
      </c>
      <c r="I2023" s="187">
        <v>248.55101013183594</v>
      </c>
      <c r="J2023" s="187" t="s">
        <v>1026</v>
      </c>
      <c r="K2023" s="187" t="s">
        <v>116</v>
      </c>
      <c r="L2023" s="195"/>
      <c r="M2023" s="195"/>
      <c r="N2023" s="195"/>
      <c r="O2023" s="199"/>
      <c r="P2023" s="188" t="s">
        <v>1124</v>
      </c>
      <c r="Q2023" s="174">
        <f>IF(ISNUMBER(VLOOKUP(A2023,NotghiID!A:A,1,FALSE)),1,0)</f>
        <v>0</v>
      </c>
    </row>
    <row r="2024" spans="1:17" ht="14.25" x14ac:dyDescent="0.2">
      <c r="A2024" s="183">
        <v>536</v>
      </c>
      <c r="B2024" s="232" t="str">
        <f>IF(AND(A2024&lt;&gt;"",ISNUMBER(A2024)),VLOOKUP(A2024,Studies!A:BR,2,FALSE),"")</f>
        <v>Mouton 2006</v>
      </c>
      <c r="C2024" s="232" t="str">
        <f>IF(AND(A2024&lt;&gt;"",ISNUMBER(A2024)),VLOOKUP(A2024,Studies!A:BR,3,FALSE),"")</f>
        <v>https://www.ncbi.nlm.nih.gov/pubmed/16982783</v>
      </c>
      <c r="D2024" s="232" t="str">
        <f>IF(AND(A2024&lt;&gt;"",ISNUMBER(A2024)),VLOOKUP(A2024,Studies!A:BR,4,FALSE),"")</f>
        <v>MAD_m_A 100 mg (terminal phase only)</v>
      </c>
      <c r="E2024" s="206" t="str">
        <f>IF(AND(A2024&lt;&gt;"",ISNUMBER(A2024)),VLOOKUP(A2024,Studies!A:BR,5,FALSE),"")</f>
        <v>Itraconazole</v>
      </c>
      <c r="F2024" s="207" t="str">
        <f>IF(AND(A2024&lt;&gt;"",ISNUMBER(A2024)),VLOOKUP(A2024,Studies!A:BR,6,FALSE),"")</f>
        <v>Plasma</v>
      </c>
      <c r="G2024" s="194">
        <v>192</v>
      </c>
      <c r="H2024" s="194" t="s">
        <v>60</v>
      </c>
      <c r="I2024" s="187">
        <v>181.0838623046875</v>
      </c>
      <c r="J2024" s="187" t="s">
        <v>1026</v>
      </c>
      <c r="K2024" s="187" t="s">
        <v>116</v>
      </c>
      <c r="L2024" s="195"/>
      <c r="M2024" s="195"/>
      <c r="N2024" s="195"/>
      <c r="O2024" s="199"/>
      <c r="P2024" s="188" t="s">
        <v>1124</v>
      </c>
      <c r="Q2024" s="174">
        <f>IF(ISNUMBER(VLOOKUP(A2024,NotghiID!A:A,1,FALSE)),1,0)</f>
        <v>0</v>
      </c>
    </row>
    <row r="2025" spans="1:17" ht="14.25" x14ac:dyDescent="0.2">
      <c r="A2025" s="183">
        <v>536</v>
      </c>
      <c r="B2025" s="232" t="str">
        <f>IF(AND(A2025&lt;&gt;"",ISNUMBER(A2025)),VLOOKUP(A2025,Studies!A:BR,2,FALSE),"")</f>
        <v>Mouton 2006</v>
      </c>
      <c r="C2025" s="232" t="str">
        <f>IF(AND(A2025&lt;&gt;"",ISNUMBER(A2025)),VLOOKUP(A2025,Studies!A:BR,3,FALSE),"")</f>
        <v>https://www.ncbi.nlm.nih.gov/pubmed/16982783</v>
      </c>
      <c r="D2025" s="232" t="str">
        <f>IF(AND(A2025&lt;&gt;"",ISNUMBER(A2025)),VLOOKUP(A2025,Studies!A:BR,4,FALSE),"")</f>
        <v>MAD_m_A 100 mg (terminal phase only)</v>
      </c>
      <c r="E2025" s="206" t="str">
        <f>IF(AND(A2025&lt;&gt;"",ISNUMBER(A2025)),VLOOKUP(A2025,Studies!A:BR,5,FALSE),"")</f>
        <v>Itraconazole</v>
      </c>
      <c r="F2025" s="207" t="str">
        <f>IF(AND(A2025&lt;&gt;"",ISNUMBER(A2025)),VLOOKUP(A2025,Studies!A:BR,6,FALSE),"")</f>
        <v>Plasma</v>
      </c>
      <c r="G2025" s="194">
        <v>216</v>
      </c>
      <c r="H2025" s="194" t="s">
        <v>60</v>
      </c>
      <c r="I2025" s="187">
        <v>146.61865234375</v>
      </c>
      <c r="J2025" s="187" t="s">
        <v>1026</v>
      </c>
      <c r="K2025" s="187" t="s">
        <v>116</v>
      </c>
      <c r="L2025" s="195"/>
      <c r="M2025" s="195"/>
      <c r="N2025" s="195"/>
      <c r="O2025" s="199"/>
      <c r="P2025" s="188" t="s">
        <v>1124</v>
      </c>
      <c r="Q2025" s="174">
        <f>IF(ISNUMBER(VLOOKUP(A2025,NotghiID!A:A,1,FALSE)),1,0)</f>
        <v>0</v>
      </c>
    </row>
    <row r="2026" spans="1:17" ht="14.25" x14ac:dyDescent="0.2">
      <c r="A2026" s="183">
        <v>536</v>
      </c>
      <c r="B2026" s="232" t="str">
        <f>IF(AND(A2026&lt;&gt;"",ISNUMBER(A2026)),VLOOKUP(A2026,Studies!A:BR,2,FALSE),"")</f>
        <v>Mouton 2006</v>
      </c>
      <c r="C2026" s="232" t="str">
        <f>IF(AND(A2026&lt;&gt;"",ISNUMBER(A2026)),VLOOKUP(A2026,Studies!A:BR,3,FALSE),"")</f>
        <v>https://www.ncbi.nlm.nih.gov/pubmed/16982783</v>
      </c>
      <c r="D2026" s="232" t="str">
        <f>IF(AND(A2026&lt;&gt;"",ISNUMBER(A2026)),VLOOKUP(A2026,Studies!A:BR,4,FALSE),"")</f>
        <v>MAD_m_A 100 mg (terminal phase only)</v>
      </c>
      <c r="E2026" s="206" t="str">
        <f>IF(AND(A2026&lt;&gt;"",ISNUMBER(A2026)),VLOOKUP(A2026,Studies!A:BR,5,FALSE),"")</f>
        <v>Itraconazole</v>
      </c>
      <c r="F2026" s="207" t="str">
        <f>IF(AND(A2026&lt;&gt;"",ISNUMBER(A2026)),VLOOKUP(A2026,Studies!A:BR,6,FALSE),"")</f>
        <v>Plasma</v>
      </c>
      <c r="G2026" s="194">
        <v>240</v>
      </c>
      <c r="H2026" s="194" t="s">
        <v>60</v>
      </c>
      <c r="I2026" s="187">
        <v>86.489395141601562</v>
      </c>
      <c r="J2026" s="187" t="s">
        <v>1026</v>
      </c>
      <c r="K2026" s="187" t="s">
        <v>116</v>
      </c>
      <c r="L2026" s="195"/>
      <c r="M2026" s="195"/>
      <c r="N2026" s="195"/>
      <c r="O2026" s="199"/>
      <c r="P2026" s="188" t="s">
        <v>1124</v>
      </c>
      <c r="Q2026" s="174">
        <f>IF(ISNUMBER(VLOOKUP(A2026,NotghiID!A:A,1,FALSE)),1,0)</f>
        <v>0</v>
      </c>
    </row>
    <row r="2027" spans="1:17" ht="14.25" x14ac:dyDescent="0.2">
      <c r="A2027" s="183">
        <v>536</v>
      </c>
      <c r="B2027" s="232" t="str">
        <f>IF(AND(A2027&lt;&gt;"",ISNUMBER(A2027)),VLOOKUP(A2027,Studies!A:BR,2,FALSE),"")</f>
        <v>Mouton 2006</v>
      </c>
      <c r="C2027" s="232" t="str">
        <f>IF(AND(A2027&lt;&gt;"",ISNUMBER(A2027)),VLOOKUP(A2027,Studies!A:BR,3,FALSE),"")</f>
        <v>https://www.ncbi.nlm.nih.gov/pubmed/16982783</v>
      </c>
      <c r="D2027" s="232" t="str">
        <f>IF(AND(A2027&lt;&gt;"",ISNUMBER(A2027)),VLOOKUP(A2027,Studies!A:BR,4,FALSE),"")</f>
        <v>MAD_m_A 100 mg (terminal phase only)</v>
      </c>
      <c r="E2027" s="206" t="str">
        <f>IF(AND(A2027&lt;&gt;"",ISNUMBER(A2027)),VLOOKUP(A2027,Studies!A:BR,5,FALSE),"")</f>
        <v>Itraconazole</v>
      </c>
      <c r="F2027" s="207" t="str">
        <f>IF(AND(A2027&lt;&gt;"",ISNUMBER(A2027)),VLOOKUP(A2027,Studies!A:BR,6,FALSE),"")</f>
        <v>Plasma</v>
      </c>
      <c r="G2027" s="194">
        <v>312</v>
      </c>
      <c r="H2027" s="194" t="s">
        <v>60</v>
      </c>
      <c r="I2027" s="187">
        <v>21.926746368408203</v>
      </c>
      <c r="J2027" s="187" t="s">
        <v>1026</v>
      </c>
      <c r="K2027" s="187" t="s">
        <v>116</v>
      </c>
      <c r="L2027" s="195"/>
      <c r="M2027" s="195"/>
      <c r="N2027" s="195"/>
      <c r="O2027" s="199"/>
      <c r="P2027" s="188" t="s">
        <v>1124</v>
      </c>
      <c r="Q2027" s="174">
        <f>IF(ISNUMBER(VLOOKUP(A2027,NotghiID!A:A,1,FALSE)),1,0)</f>
        <v>0</v>
      </c>
    </row>
    <row r="2028" spans="1:17" ht="14.25" x14ac:dyDescent="0.2">
      <c r="A2028" s="183">
        <f>A2022+1</f>
        <v>537</v>
      </c>
      <c r="B2028" s="232" t="str">
        <f>IF(AND(A2028&lt;&gt;"",ISNUMBER(A2028)),VLOOKUP(A2028,Studies!A:BR,2,FALSE),"")</f>
        <v>Mouton 2006</v>
      </c>
      <c r="C2028" s="232" t="str">
        <f>IF(AND(A2028&lt;&gt;"",ISNUMBER(A2028)),VLOOKUP(A2028,Studies!A:BR,3,FALSE),"")</f>
        <v>https://www.ncbi.nlm.nih.gov/pubmed/16982783</v>
      </c>
      <c r="D2028" s="232" t="str">
        <f>IF(AND(A2028&lt;&gt;"",ISNUMBER(A2028)),VLOOKUP(A2028,Studies!A:BR,4,FALSE),"")</f>
        <v>MAD_m_B 200 mg (terminal phase only)</v>
      </c>
      <c r="E2028" s="206" t="str">
        <f>IF(AND(A2028&lt;&gt;"",ISNUMBER(A2028)),VLOOKUP(A2028,Studies!A:BR,5,FALSE),"")</f>
        <v>Itraconazole</v>
      </c>
      <c r="F2028" s="207" t="str">
        <f>IF(AND(A2028&lt;&gt;"",ISNUMBER(A2028)),VLOOKUP(A2028,Studies!A:BR,6,FALSE),"")</f>
        <v>Plasma</v>
      </c>
      <c r="G2028" s="194">
        <v>168</v>
      </c>
      <c r="H2028" s="194" t="s">
        <v>60</v>
      </c>
      <c r="I2028" s="187">
        <v>1310.6255531311035</v>
      </c>
      <c r="J2028" s="187" t="s">
        <v>1026</v>
      </c>
      <c r="K2028" s="187" t="s">
        <v>116</v>
      </c>
      <c r="L2028" s="195"/>
      <c r="M2028" s="195"/>
      <c r="N2028" s="195"/>
      <c r="O2028" s="199"/>
      <c r="P2028" s="188" t="s">
        <v>1124</v>
      </c>
      <c r="Q2028" s="174">
        <f>IF(ISNUMBER(VLOOKUP(A2028,NotghiID!A:A,1,FALSE)),1,0)</f>
        <v>0</v>
      </c>
    </row>
    <row r="2029" spans="1:17" ht="14.25" x14ac:dyDescent="0.2">
      <c r="A2029" s="183">
        <f t="shared" ref="A2029:A2057" si="2">A2023+1</f>
        <v>537</v>
      </c>
      <c r="B2029" s="232" t="str">
        <f>IF(AND(A2029&lt;&gt;"",ISNUMBER(A2029)),VLOOKUP(A2029,Studies!A:BR,2,FALSE),"")</f>
        <v>Mouton 2006</v>
      </c>
      <c r="C2029" s="232" t="str">
        <f>IF(AND(A2029&lt;&gt;"",ISNUMBER(A2029)),VLOOKUP(A2029,Studies!A:BR,3,FALSE),"")</f>
        <v>https://www.ncbi.nlm.nih.gov/pubmed/16982783</v>
      </c>
      <c r="D2029" s="232" t="str">
        <f>IF(AND(A2029&lt;&gt;"",ISNUMBER(A2029)),VLOOKUP(A2029,Studies!A:BR,4,FALSE),"")</f>
        <v>MAD_m_B 200 mg (terminal phase only)</v>
      </c>
      <c r="E2029" s="206" t="str">
        <f>IF(AND(A2029&lt;&gt;"",ISNUMBER(A2029)),VLOOKUP(A2029,Studies!A:BR,5,FALSE),"")</f>
        <v>Itraconazole</v>
      </c>
      <c r="F2029" s="207" t="str">
        <f>IF(AND(A2029&lt;&gt;"",ISNUMBER(A2029)),VLOOKUP(A2029,Studies!A:BR,6,FALSE),"")</f>
        <v>Plasma</v>
      </c>
      <c r="G2029" s="194">
        <v>176</v>
      </c>
      <c r="H2029" s="194" t="s">
        <v>60</v>
      </c>
      <c r="I2029" s="187">
        <v>1118.6926364898682</v>
      </c>
      <c r="J2029" s="187" t="s">
        <v>1026</v>
      </c>
      <c r="K2029" s="187" t="s">
        <v>116</v>
      </c>
      <c r="L2029" s="195"/>
      <c r="M2029" s="195"/>
      <c r="N2029" s="195"/>
      <c r="O2029" s="199"/>
      <c r="P2029" s="188" t="s">
        <v>1124</v>
      </c>
      <c r="Q2029" s="174">
        <f>IF(ISNUMBER(VLOOKUP(A2029,NotghiID!A:A,1,FALSE)),1,0)</f>
        <v>0</v>
      </c>
    </row>
    <row r="2030" spans="1:17" ht="14.25" x14ac:dyDescent="0.2">
      <c r="A2030" s="183">
        <f t="shared" si="2"/>
        <v>537</v>
      </c>
      <c r="B2030" s="232" t="str">
        <f>IF(AND(A2030&lt;&gt;"",ISNUMBER(A2030)),VLOOKUP(A2030,Studies!A:BR,2,FALSE),"")</f>
        <v>Mouton 2006</v>
      </c>
      <c r="C2030" s="232" t="str">
        <f>IF(AND(A2030&lt;&gt;"",ISNUMBER(A2030)),VLOOKUP(A2030,Studies!A:BR,3,FALSE),"")</f>
        <v>https://www.ncbi.nlm.nih.gov/pubmed/16982783</v>
      </c>
      <c r="D2030" s="232" t="str">
        <f>IF(AND(A2030&lt;&gt;"",ISNUMBER(A2030)),VLOOKUP(A2030,Studies!A:BR,4,FALSE),"")</f>
        <v>MAD_m_B 200 mg (terminal phase only)</v>
      </c>
      <c r="E2030" s="206" t="str">
        <f>IF(AND(A2030&lt;&gt;"",ISNUMBER(A2030)),VLOOKUP(A2030,Studies!A:BR,5,FALSE),"")</f>
        <v>Itraconazole</v>
      </c>
      <c r="F2030" s="207" t="str">
        <f>IF(AND(A2030&lt;&gt;"",ISNUMBER(A2030)),VLOOKUP(A2030,Studies!A:BR,6,FALSE),"")</f>
        <v>Plasma</v>
      </c>
      <c r="G2030" s="194">
        <v>192</v>
      </c>
      <c r="H2030" s="194" t="s">
        <v>60</v>
      </c>
      <c r="I2030" s="187">
        <v>1033.538818359375</v>
      </c>
      <c r="J2030" s="187" t="s">
        <v>1026</v>
      </c>
      <c r="K2030" s="187" t="s">
        <v>116</v>
      </c>
      <c r="L2030" s="195"/>
      <c r="M2030" s="195"/>
      <c r="N2030" s="195"/>
      <c r="O2030" s="199"/>
      <c r="P2030" s="188" t="s">
        <v>1124</v>
      </c>
      <c r="Q2030" s="174">
        <f>IF(ISNUMBER(VLOOKUP(A2030,NotghiID!A:A,1,FALSE)),1,0)</f>
        <v>0</v>
      </c>
    </row>
    <row r="2031" spans="1:17" ht="14.25" x14ac:dyDescent="0.2">
      <c r="A2031" s="183">
        <f t="shared" si="2"/>
        <v>537</v>
      </c>
      <c r="B2031" s="232" t="str">
        <f>IF(AND(A2031&lt;&gt;"",ISNUMBER(A2031)),VLOOKUP(A2031,Studies!A:BR,2,FALSE),"")</f>
        <v>Mouton 2006</v>
      </c>
      <c r="C2031" s="232" t="str">
        <f>IF(AND(A2031&lt;&gt;"",ISNUMBER(A2031)),VLOOKUP(A2031,Studies!A:BR,3,FALSE),"")</f>
        <v>https://www.ncbi.nlm.nih.gov/pubmed/16982783</v>
      </c>
      <c r="D2031" s="232" t="str">
        <f>IF(AND(A2031&lt;&gt;"",ISNUMBER(A2031)),VLOOKUP(A2031,Studies!A:BR,4,FALSE),"")</f>
        <v>MAD_m_B 200 mg (terminal phase only)</v>
      </c>
      <c r="E2031" s="206" t="str">
        <f>IF(AND(A2031&lt;&gt;"",ISNUMBER(A2031)),VLOOKUP(A2031,Studies!A:BR,5,FALSE),"")</f>
        <v>Itraconazole</v>
      </c>
      <c r="F2031" s="207" t="str">
        <f>IF(AND(A2031&lt;&gt;"",ISNUMBER(A2031)),VLOOKUP(A2031,Studies!A:BR,6,FALSE),"")</f>
        <v>Plasma</v>
      </c>
      <c r="G2031" s="194">
        <v>216</v>
      </c>
      <c r="H2031" s="194" t="s">
        <v>60</v>
      </c>
      <c r="I2031" s="187">
        <v>905.77495098114014</v>
      </c>
      <c r="J2031" s="187" t="s">
        <v>1026</v>
      </c>
      <c r="K2031" s="187" t="s">
        <v>116</v>
      </c>
      <c r="L2031" s="195"/>
      <c r="M2031" s="195"/>
      <c r="N2031" s="195"/>
      <c r="O2031" s="199"/>
      <c r="P2031" s="188" t="s">
        <v>1124</v>
      </c>
      <c r="Q2031" s="174">
        <f>IF(ISNUMBER(VLOOKUP(A2031,NotghiID!A:A,1,FALSE)),1,0)</f>
        <v>0</v>
      </c>
    </row>
    <row r="2032" spans="1:17" ht="14.25" x14ac:dyDescent="0.2">
      <c r="A2032" s="183">
        <f t="shared" si="2"/>
        <v>537</v>
      </c>
      <c r="B2032" s="232" t="str">
        <f>IF(AND(A2032&lt;&gt;"",ISNUMBER(A2032)),VLOOKUP(A2032,Studies!A:BR,2,FALSE),"")</f>
        <v>Mouton 2006</v>
      </c>
      <c r="C2032" s="232" t="str">
        <f>IF(AND(A2032&lt;&gt;"",ISNUMBER(A2032)),VLOOKUP(A2032,Studies!A:BR,3,FALSE),"")</f>
        <v>https://www.ncbi.nlm.nih.gov/pubmed/16982783</v>
      </c>
      <c r="D2032" s="232" t="str">
        <f>IF(AND(A2032&lt;&gt;"",ISNUMBER(A2032)),VLOOKUP(A2032,Studies!A:BR,4,FALSE),"")</f>
        <v>MAD_m_B 200 mg (terminal phase only)</v>
      </c>
      <c r="E2032" s="206" t="str">
        <f>IF(AND(A2032&lt;&gt;"",ISNUMBER(A2032)),VLOOKUP(A2032,Studies!A:BR,5,FALSE),"")</f>
        <v>Itraconazole</v>
      </c>
      <c r="F2032" s="207" t="str">
        <f>IF(AND(A2032&lt;&gt;"",ISNUMBER(A2032)),VLOOKUP(A2032,Studies!A:BR,6,FALSE),"")</f>
        <v>Plasma</v>
      </c>
      <c r="G2032" s="194">
        <v>240</v>
      </c>
      <c r="H2032" s="194" t="s">
        <v>60</v>
      </c>
      <c r="I2032" s="187">
        <v>714.2796516418457</v>
      </c>
      <c r="J2032" s="187" t="s">
        <v>1026</v>
      </c>
      <c r="K2032" s="187" t="s">
        <v>116</v>
      </c>
      <c r="L2032" s="195"/>
      <c r="M2032" s="195"/>
      <c r="N2032" s="195"/>
      <c r="O2032" s="199"/>
      <c r="P2032" s="188" t="s">
        <v>1124</v>
      </c>
      <c r="Q2032" s="174">
        <f>IF(ISNUMBER(VLOOKUP(A2032,NotghiID!A:A,1,FALSE)),1,0)</f>
        <v>0</v>
      </c>
    </row>
    <row r="2033" spans="1:17" ht="14.25" x14ac:dyDescent="0.2">
      <c r="A2033" s="183">
        <f t="shared" si="2"/>
        <v>537</v>
      </c>
      <c r="B2033" s="232" t="str">
        <f>IF(AND(A2033&lt;&gt;"",ISNUMBER(A2033)),VLOOKUP(A2033,Studies!A:BR,2,FALSE),"")</f>
        <v>Mouton 2006</v>
      </c>
      <c r="C2033" s="232" t="str">
        <f>IF(AND(A2033&lt;&gt;"",ISNUMBER(A2033)),VLOOKUP(A2033,Studies!A:BR,3,FALSE),"")</f>
        <v>https://www.ncbi.nlm.nih.gov/pubmed/16982783</v>
      </c>
      <c r="D2033" s="232" t="str">
        <f>IF(AND(A2033&lt;&gt;"",ISNUMBER(A2033)),VLOOKUP(A2033,Studies!A:BR,4,FALSE),"")</f>
        <v>MAD_m_B 200 mg (terminal phase only)</v>
      </c>
      <c r="E2033" s="206" t="str">
        <f>IF(AND(A2033&lt;&gt;"",ISNUMBER(A2033)),VLOOKUP(A2033,Studies!A:BR,5,FALSE),"")</f>
        <v>Itraconazole</v>
      </c>
      <c r="F2033" s="207" t="str">
        <f>IF(AND(A2033&lt;&gt;"",ISNUMBER(A2033)),VLOOKUP(A2033,Studies!A:BR,6,FALSE),"")</f>
        <v>Plasma</v>
      </c>
      <c r="G2033" s="194">
        <v>312</v>
      </c>
      <c r="H2033" s="194" t="s">
        <v>60</v>
      </c>
      <c r="I2033" s="187">
        <v>235.77243089675903</v>
      </c>
      <c r="J2033" s="187" t="s">
        <v>1026</v>
      </c>
      <c r="K2033" s="187" t="s">
        <v>116</v>
      </c>
      <c r="L2033" s="195"/>
      <c r="M2033" s="195"/>
      <c r="N2033" s="195"/>
      <c r="O2033" s="199"/>
      <c r="P2033" s="188" t="s">
        <v>1124</v>
      </c>
      <c r="Q2033" s="174">
        <f>IF(ISNUMBER(VLOOKUP(A2033,NotghiID!A:A,1,FALSE)),1,0)</f>
        <v>0</v>
      </c>
    </row>
    <row r="2034" spans="1:17" ht="14.25" x14ac:dyDescent="0.2">
      <c r="A2034" s="183">
        <f t="shared" si="2"/>
        <v>538</v>
      </c>
      <c r="B2034" s="232" t="str">
        <f>IF(AND(A2034&lt;&gt;"",ISNUMBER(A2034)),VLOOKUP(A2034,Studies!A:BR,2,FALSE),"")</f>
        <v>Mouton 2006</v>
      </c>
      <c r="C2034" s="232" t="str">
        <f>IF(AND(A2034&lt;&gt;"",ISNUMBER(A2034)),VLOOKUP(A2034,Studies!A:BR,3,FALSE),"")</f>
        <v>https://www.ncbi.nlm.nih.gov/pubmed/16982783</v>
      </c>
      <c r="D2034" s="232" t="str">
        <f>IF(AND(A2034&lt;&gt;"",ISNUMBER(A2034)),VLOOKUP(A2034,Studies!A:BR,4,FALSE),"")</f>
        <v>MAD_m_C 300 mg (terminal phase only)</v>
      </c>
      <c r="E2034" s="206" t="str">
        <f>IF(AND(A2034&lt;&gt;"",ISNUMBER(A2034)),VLOOKUP(A2034,Studies!A:BR,5,FALSE),"")</f>
        <v>Itraconazole</v>
      </c>
      <c r="F2034" s="207" t="str">
        <f>IF(AND(A2034&lt;&gt;"",ISNUMBER(A2034)),VLOOKUP(A2034,Studies!A:BR,6,FALSE),"")</f>
        <v>Plasma</v>
      </c>
      <c r="G2034" s="194">
        <v>168</v>
      </c>
      <c r="H2034" s="194" t="s">
        <v>60</v>
      </c>
      <c r="I2034" s="187">
        <v>1576.550537109375</v>
      </c>
      <c r="J2034" s="187" t="s">
        <v>1026</v>
      </c>
      <c r="K2034" s="187" t="s">
        <v>116</v>
      </c>
      <c r="L2034" s="195"/>
      <c r="M2034" s="195"/>
      <c r="N2034" s="195"/>
      <c r="O2034" s="199"/>
      <c r="P2034" s="188" t="s">
        <v>1124</v>
      </c>
      <c r="Q2034" s="174">
        <f>IF(ISNUMBER(VLOOKUP(A2034,NotghiID!A:A,1,FALSE)),1,0)</f>
        <v>0</v>
      </c>
    </row>
    <row r="2035" spans="1:17" ht="14.25" x14ac:dyDescent="0.2">
      <c r="A2035" s="183">
        <f t="shared" si="2"/>
        <v>538</v>
      </c>
      <c r="B2035" s="232" t="str">
        <f>IF(AND(A2035&lt;&gt;"",ISNUMBER(A2035)),VLOOKUP(A2035,Studies!A:BR,2,FALSE),"")</f>
        <v>Mouton 2006</v>
      </c>
      <c r="C2035" s="232" t="str">
        <f>IF(AND(A2035&lt;&gt;"",ISNUMBER(A2035)),VLOOKUP(A2035,Studies!A:BR,3,FALSE),"")</f>
        <v>https://www.ncbi.nlm.nih.gov/pubmed/16982783</v>
      </c>
      <c r="D2035" s="232" t="str">
        <f>IF(AND(A2035&lt;&gt;"",ISNUMBER(A2035)),VLOOKUP(A2035,Studies!A:BR,4,FALSE),"")</f>
        <v>MAD_m_C 300 mg (terminal phase only)</v>
      </c>
      <c r="E2035" s="206" t="str">
        <f>IF(AND(A2035&lt;&gt;"",ISNUMBER(A2035)),VLOOKUP(A2035,Studies!A:BR,5,FALSE),"")</f>
        <v>Itraconazole</v>
      </c>
      <c r="F2035" s="207" t="str">
        <f>IF(AND(A2035&lt;&gt;"",ISNUMBER(A2035)),VLOOKUP(A2035,Studies!A:BR,6,FALSE),"")</f>
        <v>Plasma</v>
      </c>
      <c r="G2035" s="194">
        <v>176</v>
      </c>
      <c r="H2035" s="194" t="s">
        <v>60</v>
      </c>
      <c r="I2035" s="187">
        <v>1535.48876953125</v>
      </c>
      <c r="J2035" s="187" t="s">
        <v>1026</v>
      </c>
      <c r="K2035" s="187" t="s">
        <v>116</v>
      </c>
      <c r="L2035" s="195"/>
      <c r="M2035" s="195"/>
      <c r="N2035" s="195"/>
      <c r="O2035" s="199"/>
      <c r="P2035" s="188" t="s">
        <v>1124</v>
      </c>
      <c r="Q2035" s="174">
        <f>IF(ISNUMBER(VLOOKUP(A2035,NotghiID!A:A,1,FALSE)),1,0)</f>
        <v>0</v>
      </c>
    </row>
    <row r="2036" spans="1:17" ht="14.25" x14ac:dyDescent="0.2">
      <c r="A2036" s="183">
        <f t="shared" si="2"/>
        <v>538</v>
      </c>
      <c r="B2036" s="232" t="str">
        <f>IF(AND(A2036&lt;&gt;"",ISNUMBER(A2036)),VLOOKUP(A2036,Studies!A:BR,2,FALSE),"")</f>
        <v>Mouton 2006</v>
      </c>
      <c r="C2036" s="232" t="str">
        <f>IF(AND(A2036&lt;&gt;"",ISNUMBER(A2036)),VLOOKUP(A2036,Studies!A:BR,3,FALSE),"")</f>
        <v>https://www.ncbi.nlm.nih.gov/pubmed/16982783</v>
      </c>
      <c r="D2036" s="232" t="str">
        <f>IF(AND(A2036&lt;&gt;"",ISNUMBER(A2036)),VLOOKUP(A2036,Studies!A:BR,4,FALSE),"")</f>
        <v>MAD_m_C 300 mg (terminal phase only)</v>
      </c>
      <c r="E2036" s="206" t="str">
        <f>IF(AND(A2036&lt;&gt;"",ISNUMBER(A2036)),VLOOKUP(A2036,Studies!A:BR,5,FALSE),"")</f>
        <v>Itraconazole</v>
      </c>
      <c r="F2036" s="207" t="str">
        <f>IF(AND(A2036&lt;&gt;"",ISNUMBER(A2036)),VLOOKUP(A2036,Studies!A:BR,6,FALSE),"")</f>
        <v>Plasma</v>
      </c>
      <c r="G2036" s="194">
        <v>192</v>
      </c>
      <c r="H2036" s="194" t="s">
        <v>60</v>
      </c>
      <c r="I2036" s="187">
        <v>1381.6605224609375</v>
      </c>
      <c r="J2036" s="187" t="s">
        <v>1026</v>
      </c>
      <c r="K2036" s="187" t="s">
        <v>116</v>
      </c>
      <c r="L2036" s="195"/>
      <c r="M2036" s="195"/>
      <c r="N2036" s="195"/>
      <c r="O2036" s="199"/>
      <c r="P2036" s="188" t="s">
        <v>1124</v>
      </c>
      <c r="Q2036" s="174">
        <f>IF(ISNUMBER(VLOOKUP(A2036,NotghiID!A:A,1,FALSE)),1,0)</f>
        <v>0</v>
      </c>
    </row>
    <row r="2037" spans="1:17" ht="14.25" x14ac:dyDescent="0.2">
      <c r="A2037" s="183">
        <f t="shared" si="2"/>
        <v>538</v>
      </c>
      <c r="B2037" s="232" t="str">
        <f>IF(AND(A2037&lt;&gt;"",ISNUMBER(A2037)),VLOOKUP(A2037,Studies!A:BR,2,FALSE),"")</f>
        <v>Mouton 2006</v>
      </c>
      <c r="C2037" s="232" t="str">
        <f>IF(AND(A2037&lt;&gt;"",ISNUMBER(A2037)),VLOOKUP(A2037,Studies!A:BR,3,FALSE),"")</f>
        <v>https://www.ncbi.nlm.nih.gov/pubmed/16982783</v>
      </c>
      <c r="D2037" s="232" t="str">
        <f>IF(AND(A2037&lt;&gt;"",ISNUMBER(A2037)),VLOOKUP(A2037,Studies!A:BR,4,FALSE),"")</f>
        <v>MAD_m_C 300 mg (terminal phase only)</v>
      </c>
      <c r="E2037" s="206" t="str">
        <f>IF(AND(A2037&lt;&gt;"",ISNUMBER(A2037)),VLOOKUP(A2037,Studies!A:BR,5,FALSE),"")</f>
        <v>Itraconazole</v>
      </c>
      <c r="F2037" s="207" t="str">
        <f>IF(AND(A2037&lt;&gt;"",ISNUMBER(A2037)),VLOOKUP(A2037,Studies!A:BR,6,FALSE),"")</f>
        <v>Plasma</v>
      </c>
      <c r="G2037" s="194">
        <v>216</v>
      </c>
      <c r="H2037" s="194" t="s">
        <v>60</v>
      </c>
      <c r="I2037" s="187">
        <v>1381.6605224609375</v>
      </c>
      <c r="J2037" s="187" t="s">
        <v>1026</v>
      </c>
      <c r="K2037" s="187" t="s">
        <v>116</v>
      </c>
      <c r="L2037" s="195"/>
      <c r="M2037" s="195"/>
      <c r="N2037" s="195"/>
      <c r="O2037" s="199"/>
      <c r="P2037" s="188" t="s">
        <v>1124</v>
      </c>
      <c r="Q2037" s="174">
        <f>IF(ISNUMBER(VLOOKUP(A2037,NotghiID!A:A,1,FALSE)),1,0)</f>
        <v>0</v>
      </c>
    </row>
    <row r="2038" spans="1:17" ht="14.25" x14ac:dyDescent="0.2">
      <c r="A2038" s="183">
        <f t="shared" si="2"/>
        <v>538</v>
      </c>
      <c r="B2038" s="232" t="str">
        <f>IF(AND(A2038&lt;&gt;"",ISNUMBER(A2038)),VLOOKUP(A2038,Studies!A:BR,2,FALSE),"")</f>
        <v>Mouton 2006</v>
      </c>
      <c r="C2038" s="232" t="str">
        <f>IF(AND(A2038&lt;&gt;"",ISNUMBER(A2038)),VLOOKUP(A2038,Studies!A:BR,3,FALSE),"")</f>
        <v>https://www.ncbi.nlm.nih.gov/pubmed/16982783</v>
      </c>
      <c r="D2038" s="232" t="str">
        <f>IF(AND(A2038&lt;&gt;"",ISNUMBER(A2038)),VLOOKUP(A2038,Studies!A:BR,4,FALSE),"")</f>
        <v>MAD_m_C 300 mg (terminal phase only)</v>
      </c>
      <c r="E2038" s="206" t="str">
        <f>IF(AND(A2038&lt;&gt;"",ISNUMBER(A2038)),VLOOKUP(A2038,Studies!A:BR,5,FALSE),"")</f>
        <v>Itraconazole</v>
      </c>
      <c r="F2038" s="207" t="str">
        <f>IF(AND(A2038&lt;&gt;"",ISNUMBER(A2038)),VLOOKUP(A2038,Studies!A:BR,6,FALSE),"")</f>
        <v>Plasma</v>
      </c>
      <c r="G2038" s="194">
        <v>240</v>
      </c>
      <c r="H2038" s="194" t="s">
        <v>60</v>
      </c>
      <c r="I2038" s="187">
        <v>1310.62548828125</v>
      </c>
      <c r="J2038" s="187" t="s">
        <v>1026</v>
      </c>
      <c r="K2038" s="187" t="s">
        <v>116</v>
      </c>
      <c r="L2038" s="195"/>
      <c r="M2038" s="195"/>
      <c r="N2038" s="195"/>
      <c r="O2038" s="199"/>
      <c r="P2038" s="188" t="s">
        <v>1124</v>
      </c>
      <c r="Q2038" s="174">
        <f>IF(ISNUMBER(VLOOKUP(A2038,NotghiID!A:A,1,FALSE)),1,0)</f>
        <v>0</v>
      </c>
    </row>
    <row r="2039" spans="1:17" ht="14.25" x14ac:dyDescent="0.2">
      <c r="A2039" s="183">
        <f t="shared" si="2"/>
        <v>538</v>
      </c>
      <c r="B2039" s="232" t="str">
        <f>IF(AND(A2039&lt;&gt;"",ISNUMBER(A2039)),VLOOKUP(A2039,Studies!A:BR,2,FALSE),"")</f>
        <v>Mouton 2006</v>
      </c>
      <c r="C2039" s="232" t="str">
        <f>IF(AND(A2039&lt;&gt;"",ISNUMBER(A2039)),VLOOKUP(A2039,Studies!A:BR,3,FALSE),"")</f>
        <v>https://www.ncbi.nlm.nih.gov/pubmed/16982783</v>
      </c>
      <c r="D2039" s="232" t="str">
        <f>IF(AND(A2039&lt;&gt;"",ISNUMBER(A2039)),VLOOKUP(A2039,Studies!A:BR,4,FALSE),"")</f>
        <v>MAD_m_C 300 mg (terminal phase only)</v>
      </c>
      <c r="E2039" s="206" t="str">
        <f>IF(AND(A2039&lt;&gt;"",ISNUMBER(A2039)),VLOOKUP(A2039,Studies!A:BR,5,FALSE),"")</f>
        <v>Itraconazole</v>
      </c>
      <c r="F2039" s="207" t="str">
        <f>IF(AND(A2039&lt;&gt;"",ISNUMBER(A2039)),VLOOKUP(A2039,Studies!A:BR,6,FALSE),"")</f>
        <v>Plasma</v>
      </c>
      <c r="G2039" s="194">
        <v>312</v>
      </c>
      <c r="H2039" s="194" t="s">
        <v>60</v>
      </c>
      <c r="I2039" s="187">
        <v>954.86676025390625</v>
      </c>
      <c r="J2039" s="187" t="s">
        <v>1026</v>
      </c>
      <c r="K2039" s="187" t="s">
        <v>116</v>
      </c>
      <c r="L2039" s="195"/>
      <c r="M2039" s="195"/>
      <c r="N2039" s="195"/>
      <c r="O2039" s="199"/>
      <c r="P2039" s="188" t="s">
        <v>1124</v>
      </c>
      <c r="Q2039" s="174">
        <f>IF(ISNUMBER(VLOOKUP(A2039,NotghiID!A:A,1,FALSE)),1,0)</f>
        <v>0</v>
      </c>
    </row>
    <row r="2040" spans="1:17" ht="14.25" x14ac:dyDescent="0.2">
      <c r="A2040" s="183">
        <f t="shared" si="2"/>
        <v>539</v>
      </c>
      <c r="B2040" s="232" t="str">
        <f>IF(AND(A2040&lt;&gt;"",ISNUMBER(A2040)),VLOOKUP(A2040,Studies!A:BR,2,FALSE),"")</f>
        <v>Mouton 2006</v>
      </c>
      <c r="C2040" s="232" t="str">
        <f>IF(AND(A2040&lt;&gt;"",ISNUMBER(A2040)),VLOOKUP(A2040,Studies!A:BR,3,FALSE),"")</f>
        <v>https://www.ncbi.nlm.nih.gov/pubmed/16982783</v>
      </c>
      <c r="D2040" s="232" t="str">
        <f>IF(AND(A2040&lt;&gt;"",ISNUMBER(A2040)),VLOOKUP(A2040,Studies!A:BR,4,FALSE),"")</f>
        <v>MAD_m_A 100 mg (terminal phase only)</v>
      </c>
      <c r="E2040" s="206" t="str">
        <f>IF(AND(A2040&lt;&gt;"",ISNUMBER(A2040)),VLOOKUP(A2040,Studies!A:BR,5,FALSE),"")</f>
        <v>Hydroxy-Itraconazole</v>
      </c>
      <c r="F2040" s="207" t="str">
        <f>IF(AND(A2040&lt;&gt;"",ISNUMBER(A2040)),VLOOKUP(A2040,Studies!A:BR,6,FALSE),"")</f>
        <v>Plasma</v>
      </c>
      <c r="G2040" s="194">
        <v>168</v>
      </c>
      <c r="H2040" s="194" t="s">
        <v>60</v>
      </c>
      <c r="I2040" s="187">
        <v>700.2259521484375</v>
      </c>
      <c r="J2040" s="187" t="s">
        <v>1026</v>
      </c>
      <c r="K2040" s="187" t="s">
        <v>116</v>
      </c>
      <c r="L2040" s="195"/>
      <c r="M2040" s="195"/>
      <c r="N2040" s="195"/>
      <c r="O2040" s="199"/>
      <c r="P2040" s="188" t="s">
        <v>1124</v>
      </c>
      <c r="Q2040" s="174">
        <f>IF(ISNUMBER(VLOOKUP(A2040,NotghiID!A:A,1,FALSE)),1,0)</f>
        <v>0</v>
      </c>
    </row>
    <row r="2041" spans="1:17" ht="14.25" x14ac:dyDescent="0.2">
      <c r="A2041" s="183">
        <f t="shared" si="2"/>
        <v>539</v>
      </c>
      <c r="B2041" s="232" t="str">
        <f>IF(AND(A2041&lt;&gt;"",ISNUMBER(A2041)),VLOOKUP(A2041,Studies!A:BR,2,FALSE),"")</f>
        <v>Mouton 2006</v>
      </c>
      <c r="C2041" s="232" t="str">
        <f>IF(AND(A2041&lt;&gt;"",ISNUMBER(A2041)),VLOOKUP(A2041,Studies!A:BR,3,FALSE),"")</f>
        <v>https://www.ncbi.nlm.nih.gov/pubmed/16982783</v>
      </c>
      <c r="D2041" s="232" t="str">
        <f>IF(AND(A2041&lt;&gt;"",ISNUMBER(A2041)),VLOOKUP(A2041,Studies!A:BR,4,FALSE),"")</f>
        <v>MAD_m_A 100 mg (terminal phase only)</v>
      </c>
      <c r="E2041" s="206" t="str">
        <f>IF(AND(A2041&lt;&gt;"",ISNUMBER(A2041)),VLOOKUP(A2041,Studies!A:BR,5,FALSE),"")</f>
        <v>Hydroxy-Itraconazole</v>
      </c>
      <c r="F2041" s="207" t="str">
        <f>IF(AND(A2041&lt;&gt;"",ISNUMBER(A2041)),VLOOKUP(A2041,Studies!A:BR,6,FALSE),"")</f>
        <v>Plasma</v>
      </c>
      <c r="G2041" s="194">
        <v>176</v>
      </c>
      <c r="H2041" s="194" t="s">
        <v>60</v>
      </c>
      <c r="I2041" s="187">
        <v>627.50775146484375</v>
      </c>
      <c r="J2041" s="187" t="s">
        <v>1026</v>
      </c>
      <c r="K2041" s="187" t="s">
        <v>116</v>
      </c>
      <c r="L2041" s="195"/>
      <c r="M2041" s="195"/>
      <c r="N2041" s="195"/>
      <c r="O2041" s="199"/>
      <c r="P2041" s="188" t="s">
        <v>1124</v>
      </c>
      <c r="Q2041" s="174">
        <f>IF(ISNUMBER(VLOOKUP(A2041,NotghiID!A:A,1,FALSE)),1,0)</f>
        <v>0</v>
      </c>
    </row>
    <row r="2042" spans="1:17" ht="14.25" x14ac:dyDescent="0.2">
      <c r="A2042" s="183">
        <f t="shared" si="2"/>
        <v>539</v>
      </c>
      <c r="B2042" s="232" t="str">
        <f>IF(AND(A2042&lt;&gt;"",ISNUMBER(A2042)),VLOOKUP(A2042,Studies!A:BR,2,FALSE),"")</f>
        <v>Mouton 2006</v>
      </c>
      <c r="C2042" s="232" t="str">
        <f>IF(AND(A2042&lt;&gt;"",ISNUMBER(A2042)),VLOOKUP(A2042,Studies!A:BR,3,FALSE),"")</f>
        <v>https://www.ncbi.nlm.nih.gov/pubmed/16982783</v>
      </c>
      <c r="D2042" s="232" t="str">
        <f>IF(AND(A2042&lt;&gt;"",ISNUMBER(A2042)),VLOOKUP(A2042,Studies!A:BR,4,FALSE),"")</f>
        <v>MAD_m_A 100 mg (terminal phase only)</v>
      </c>
      <c r="E2042" s="206" t="str">
        <f>IF(AND(A2042&lt;&gt;"",ISNUMBER(A2042)),VLOOKUP(A2042,Studies!A:BR,5,FALSE),"")</f>
        <v>Hydroxy-Itraconazole</v>
      </c>
      <c r="F2042" s="207" t="str">
        <f>IF(AND(A2042&lt;&gt;"",ISNUMBER(A2042)),VLOOKUP(A2042,Studies!A:BR,6,FALSE),"")</f>
        <v>Plasma</v>
      </c>
      <c r="G2042" s="194">
        <v>192</v>
      </c>
      <c r="H2042" s="194" t="s">
        <v>60</v>
      </c>
      <c r="I2042" s="187">
        <v>415.95623779296875</v>
      </c>
      <c r="J2042" s="187" t="s">
        <v>1026</v>
      </c>
      <c r="K2042" s="187" t="s">
        <v>116</v>
      </c>
      <c r="L2042" s="195"/>
      <c r="M2042" s="195"/>
      <c r="N2042" s="195"/>
      <c r="O2042" s="199"/>
      <c r="P2042" s="188" t="s">
        <v>1124</v>
      </c>
      <c r="Q2042" s="174">
        <f>IF(ISNUMBER(VLOOKUP(A2042,NotghiID!A:A,1,FALSE)),1,0)</f>
        <v>0</v>
      </c>
    </row>
    <row r="2043" spans="1:17" ht="14.25" x14ac:dyDescent="0.2">
      <c r="A2043" s="183">
        <f t="shared" si="2"/>
        <v>539</v>
      </c>
      <c r="B2043" s="232" t="str">
        <f>IF(AND(A2043&lt;&gt;"",ISNUMBER(A2043)),VLOOKUP(A2043,Studies!A:BR,2,FALSE),"")</f>
        <v>Mouton 2006</v>
      </c>
      <c r="C2043" s="232" t="str">
        <f>IF(AND(A2043&lt;&gt;"",ISNUMBER(A2043)),VLOOKUP(A2043,Studies!A:BR,3,FALSE),"")</f>
        <v>https://www.ncbi.nlm.nih.gov/pubmed/16982783</v>
      </c>
      <c r="D2043" s="232" t="str">
        <f>IF(AND(A2043&lt;&gt;"",ISNUMBER(A2043)),VLOOKUP(A2043,Studies!A:BR,4,FALSE),"")</f>
        <v>MAD_m_A 100 mg (terminal phase only)</v>
      </c>
      <c r="E2043" s="206" t="str">
        <f>IF(AND(A2043&lt;&gt;"",ISNUMBER(A2043)),VLOOKUP(A2043,Studies!A:BR,5,FALSE),"")</f>
        <v>Hydroxy-Itraconazole</v>
      </c>
      <c r="F2043" s="207" t="str">
        <f>IF(AND(A2043&lt;&gt;"",ISNUMBER(A2043)),VLOOKUP(A2043,Studies!A:BR,6,FALSE),"")</f>
        <v>Plasma</v>
      </c>
      <c r="G2043" s="194">
        <v>216</v>
      </c>
      <c r="H2043" s="194" t="s">
        <v>60</v>
      </c>
      <c r="I2043" s="187">
        <v>227.58462524414062</v>
      </c>
      <c r="J2043" s="187" t="s">
        <v>1026</v>
      </c>
      <c r="K2043" s="187" t="s">
        <v>116</v>
      </c>
      <c r="L2043" s="195"/>
      <c r="M2043" s="195"/>
      <c r="N2043" s="195"/>
      <c r="O2043" s="199"/>
      <c r="P2043" s="188" t="s">
        <v>1124</v>
      </c>
      <c r="Q2043" s="174">
        <f>IF(ISNUMBER(VLOOKUP(A2043,NotghiID!A:A,1,FALSE)),1,0)</f>
        <v>0</v>
      </c>
    </row>
    <row r="2044" spans="1:17" ht="14.25" x14ac:dyDescent="0.2">
      <c r="A2044" s="183">
        <f t="shared" si="2"/>
        <v>539</v>
      </c>
      <c r="B2044" s="232" t="str">
        <f>IF(AND(A2044&lt;&gt;"",ISNUMBER(A2044)),VLOOKUP(A2044,Studies!A:BR,2,FALSE),"")</f>
        <v>Mouton 2006</v>
      </c>
      <c r="C2044" s="232" t="str">
        <f>IF(AND(A2044&lt;&gt;"",ISNUMBER(A2044)),VLOOKUP(A2044,Studies!A:BR,3,FALSE),"")</f>
        <v>https://www.ncbi.nlm.nih.gov/pubmed/16982783</v>
      </c>
      <c r="D2044" s="232" t="str">
        <f>IF(AND(A2044&lt;&gt;"",ISNUMBER(A2044)),VLOOKUP(A2044,Studies!A:BR,4,FALSE),"")</f>
        <v>MAD_m_A 100 mg (terminal phase only)</v>
      </c>
      <c r="E2044" s="206" t="str">
        <f>IF(AND(A2044&lt;&gt;"",ISNUMBER(A2044)),VLOOKUP(A2044,Studies!A:BR,5,FALSE),"")</f>
        <v>Hydroxy-Itraconazole</v>
      </c>
      <c r="F2044" s="207" t="str">
        <f>IF(AND(A2044&lt;&gt;"",ISNUMBER(A2044)),VLOOKUP(A2044,Studies!A:BR,6,FALSE),"")</f>
        <v>Plasma</v>
      </c>
      <c r="G2044" s="194">
        <v>240</v>
      </c>
      <c r="H2044" s="194" t="s">
        <v>60</v>
      </c>
      <c r="I2044" s="187">
        <v>94.665245056152344</v>
      </c>
      <c r="J2044" s="187" t="s">
        <v>1026</v>
      </c>
      <c r="K2044" s="187" t="s">
        <v>116</v>
      </c>
      <c r="L2044" s="195"/>
      <c r="M2044" s="195"/>
      <c r="N2044" s="195"/>
      <c r="O2044" s="199"/>
      <c r="P2044" s="188" t="s">
        <v>1124</v>
      </c>
      <c r="Q2044" s="174">
        <f>IF(ISNUMBER(VLOOKUP(A2044,NotghiID!A:A,1,FALSE)),1,0)</f>
        <v>0</v>
      </c>
    </row>
    <row r="2045" spans="1:17" ht="14.25" x14ac:dyDescent="0.2">
      <c r="A2045" s="183">
        <f t="shared" si="2"/>
        <v>539</v>
      </c>
      <c r="B2045" s="232" t="str">
        <f>IF(AND(A2045&lt;&gt;"",ISNUMBER(A2045)),VLOOKUP(A2045,Studies!A:BR,2,FALSE),"")</f>
        <v>Mouton 2006</v>
      </c>
      <c r="C2045" s="232" t="str">
        <f>IF(AND(A2045&lt;&gt;"",ISNUMBER(A2045)),VLOOKUP(A2045,Studies!A:BR,3,FALSE),"")</f>
        <v>https://www.ncbi.nlm.nih.gov/pubmed/16982783</v>
      </c>
      <c r="D2045" s="232" t="str">
        <f>IF(AND(A2045&lt;&gt;"",ISNUMBER(A2045)),VLOOKUP(A2045,Studies!A:BR,4,FALSE),"")</f>
        <v>MAD_m_A 100 mg (terminal phase only)</v>
      </c>
      <c r="E2045" s="206" t="str">
        <f>IF(AND(A2045&lt;&gt;"",ISNUMBER(A2045)),VLOOKUP(A2045,Studies!A:BR,5,FALSE),"")</f>
        <v>Hydroxy-Itraconazole</v>
      </c>
      <c r="F2045" s="207" t="str">
        <f>IF(AND(A2045&lt;&gt;"",ISNUMBER(A2045)),VLOOKUP(A2045,Studies!A:BR,6,FALSE),"")</f>
        <v>Plasma</v>
      </c>
      <c r="G2045" s="194">
        <v>312</v>
      </c>
      <c r="H2045" s="194" t="s">
        <v>60</v>
      </c>
      <c r="I2045" s="187">
        <v>31.622776031494141</v>
      </c>
      <c r="J2045" s="187" t="s">
        <v>1026</v>
      </c>
      <c r="K2045" s="187" t="s">
        <v>116</v>
      </c>
      <c r="L2045" s="195"/>
      <c r="M2045" s="195"/>
      <c r="N2045" s="195"/>
      <c r="O2045" s="199"/>
      <c r="P2045" s="188" t="s">
        <v>1124</v>
      </c>
      <c r="Q2045" s="174">
        <f>IF(ISNUMBER(VLOOKUP(A2045,NotghiID!A:A,1,FALSE)),1,0)</f>
        <v>0</v>
      </c>
    </row>
    <row r="2046" spans="1:17" ht="14.25" x14ac:dyDescent="0.2">
      <c r="A2046" s="183">
        <f t="shared" si="2"/>
        <v>540</v>
      </c>
      <c r="B2046" s="232" t="str">
        <f>IF(AND(A2046&lt;&gt;"",ISNUMBER(A2046)),VLOOKUP(A2046,Studies!A:BR,2,FALSE),"")</f>
        <v>Mouton 2006</v>
      </c>
      <c r="C2046" s="232" t="str">
        <f>IF(AND(A2046&lt;&gt;"",ISNUMBER(A2046)),VLOOKUP(A2046,Studies!A:BR,3,FALSE),"")</f>
        <v>https://www.ncbi.nlm.nih.gov/pubmed/16982783</v>
      </c>
      <c r="D2046" s="232" t="str">
        <f>IF(AND(A2046&lt;&gt;"",ISNUMBER(A2046)),VLOOKUP(A2046,Studies!A:BR,4,FALSE),"")</f>
        <v>MAD_m_B 200 mg (terminal phase only)</v>
      </c>
      <c r="E2046" s="206" t="str">
        <f>IF(AND(A2046&lt;&gt;"",ISNUMBER(A2046)),VLOOKUP(A2046,Studies!A:BR,5,FALSE),"")</f>
        <v>Hydroxy-Itraconazole</v>
      </c>
      <c r="F2046" s="207" t="str">
        <f>IF(AND(A2046&lt;&gt;"",ISNUMBER(A2046)),VLOOKUP(A2046,Studies!A:BR,6,FALSE),"")</f>
        <v>Plasma</v>
      </c>
      <c r="G2046" s="194">
        <v>168</v>
      </c>
      <c r="H2046" s="194" t="s">
        <v>60</v>
      </c>
      <c r="I2046" s="187">
        <v>2096.179723739624</v>
      </c>
      <c r="J2046" s="187" t="s">
        <v>1026</v>
      </c>
      <c r="K2046" s="187" t="s">
        <v>116</v>
      </c>
      <c r="L2046" s="195"/>
      <c r="M2046" s="195"/>
      <c r="N2046" s="195"/>
      <c r="O2046" s="199"/>
      <c r="P2046" s="188" t="s">
        <v>1124</v>
      </c>
      <c r="Q2046" s="174">
        <f>IF(ISNUMBER(VLOOKUP(A2046,NotghiID!A:A,1,FALSE)),1,0)</f>
        <v>0</v>
      </c>
    </row>
    <row r="2047" spans="1:17" ht="14.25" x14ac:dyDescent="0.2">
      <c r="A2047" s="183">
        <f t="shared" si="2"/>
        <v>540</v>
      </c>
      <c r="B2047" s="232" t="str">
        <f>IF(AND(A2047&lt;&gt;"",ISNUMBER(A2047)),VLOOKUP(A2047,Studies!A:BR,2,FALSE),"")</f>
        <v>Mouton 2006</v>
      </c>
      <c r="C2047" s="232" t="str">
        <f>IF(AND(A2047&lt;&gt;"",ISNUMBER(A2047)),VLOOKUP(A2047,Studies!A:BR,3,FALSE),"")</f>
        <v>https://www.ncbi.nlm.nih.gov/pubmed/16982783</v>
      </c>
      <c r="D2047" s="232" t="str">
        <f>IF(AND(A2047&lt;&gt;"",ISNUMBER(A2047)),VLOOKUP(A2047,Studies!A:BR,4,FALSE),"")</f>
        <v>MAD_m_B 200 mg (terminal phase only)</v>
      </c>
      <c r="E2047" s="206" t="str">
        <f>IF(AND(A2047&lt;&gt;"",ISNUMBER(A2047)),VLOOKUP(A2047,Studies!A:BR,5,FALSE),"")</f>
        <v>Hydroxy-Itraconazole</v>
      </c>
      <c r="F2047" s="207" t="str">
        <f>IF(AND(A2047&lt;&gt;"",ISNUMBER(A2047)),VLOOKUP(A2047,Studies!A:BR,6,FALSE),"")</f>
        <v>Plasma</v>
      </c>
      <c r="G2047" s="194">
        <v>176</v>
      </c>
      <c r="H2047" s="194" t="s">
        <v>60</v>
      </c>
      <c r="I2047" s="187">
        <v>2096.179723739624</v>
      </c>
      <c r="J2047" s="187" t="s">
        <v>1026</v>
      </c>
      <c r="K2047" s="187" t="s">
        <v>116</v>
      </c>
      <c r="L2047" s="195"/>
      <c r="M2047" s="195"/>
      <c r="N2047" s="195"/>
      <c r="O2047" s="199"/>
      <c r="P2047" s="188" t="s">
        <v>1124</v>
      </c>
      <c r="Q2047" s="174">
        <f>IF(ISNUMBER(VLOOKUP(A2047,NotghiID!A:A,1,FALSE)),1,0)</f>
        <v>0</v>
      </c>
    </row>
    <row r="2048" spans="1:17" ht="14.25" x14ac:dyDescent="0.2">
      <c r="A2048" s="183">
        <f t="shared" si="2"/>
        <v>540</v>
      </c>
      <c r="B2048" s="232" t="str">
        <f>IF(AND(A2048&lt;&gt;"",ISNUMBER(A2048)),VLOOKUP(A2048,Studies!A:BR,2,FALSE),"")</f>
        <v>Mouton 2006</v>
      </c>
      <c r="C2048" s="232" t="str">
        <f>IF(AND(A2048&lt;&gt;"",ISNUMBER(A2048)),VLOOKUP(A2048,Studies!A:BR,3,FALSE),"")</f>
        <v>https://www.ncbi.nlm.nih.gov/pubmed/16982783</v>
      </c>
      <c r="D2048" s="232" t="str">
        <f>IF(AND(A2048&lt;&gt;"",ISNUMBER(A2048)),VLOOKUP(A2048,Studies!A:BR,4,FALSE),"")</f>
        <v>MAD_m_B 200 mg (terminal phase only)</v>
      </c>
      <c r="E2048" s="206" t="str">
        <f>IF(AND(A2048&lt;&gt;"",ISNUMBER(A2048)),VLOOKUP(A2048,Studies!A:BR,5,FALSE),"")</f>
        <v>Hydroxy-Itraconazole</v>
      </c>
      <c r="F2048" s="207" t="str">
        <f>IF(AND(A2048&lt;&gt;"",ISNUMBER(A2048)),VLOOKUP(A2048,Studies!A:BR,6,FALSE),"")</f>
        <v>Plasma</v>
      </c>
      <c r="G2048" s="194">
        <v>192</v>
      </c>
      <c r="H2048" s="194" t="s">
        <v>60</v>
      </c>
      <c r="I2048" s="187">
        <v>2039.5004749298096</v>
      </c>
      <c r="J2048" s="187" t="s">
        <v>1026</v>
      </c>
      <c r="K2048" s="187" t="s">
        <v>116</v>
      </c>
      <c r="L2048" s="195"/>
      <c r="M2048" s="195"/>
      <c r="N2048" s="195"/>
      <c r="O2048" s="199"/>
      <c r="P2048" s="188" t="s">
        <v>1124</v>
      </c>
      <c r="Q2048" s="174">
        <f>IF(ISNUMBER(VLOOKUP(A2048,NotghiID!A:A,1,FALSE)),1,0)</f>
        <v>0</v>
      </c>
    </row>
    <row r="2049" spans="1:17" ht="14.25" x14ac:dyDescent="0.2">
      <c r="A2049" s="183">
        <f t="shared" si="2"/>
        <v>540</v>
      </c>
      <c r="B2049" s="232" t="str">
        <f>IF(AND(A2049&lt;&gt;"",ISNUMBER(A2049)),VLOOKUP(A2049,Studies!A:BR,2,FALSE),"")</f>
        <v>Mouton 2006</v>
      </c>
      <c r="C2049" s="232" t="str">
        <f>IF(AND(A2049&lt;&gt;"",ISNUMBER(A2049)),VLOOKUP(A2049,Studies!A:BR,3,FALSE),"")</f>
        <v>https://www.ncbi.nlm.nih.gov/pubmed/16982783</v>
      </c>
      <c r="D2049" s="232" t="str">
        <f>IF(AND(A2049&lt;&gt;"",ISNUMBER(A2049)),VLOOKUP(A2049,Studies!A:BR,4,FALSE),"")</f>
        <v>MAD_m_B 200 mg (terminal phase only)</v>
      </c>
      <c r="E2049" s="206" t="str">
        <f>IF(AND(A2049&lt;&gt;"",ISNUMBER(A2049)),VLOOKUP(A2049,Studies!A:BR,5,FALSE),"")</f>
        <v>Hydroxy-Itraconazole</v>
      </c>
      <c r="F2049" s="207" t="str">
        <f>IF(AND(A2049&lt;&gt;"",ISNUMBER(A2049)),VLOOKUP(A2049,Studies!A:BR,6,FALSE),"")</f>
        <v>Plasma</v>
      </c>
      <c r="G2049" s="194">
        <v>216</v>
      </c>
      <c r="H2049" s="194" t="s">
        <v>60</v>
      </c>
      <c r="I2049" s="187">
        <v>1683.4126710891724</v>
      </c>
      <c r="J2049" s="187" t="s">
        <v>1026</v>
      </c>
      <c r="K2049" s="187" t="s">
        <v>116</v>
      </c>
      <c r="L2049" s="195"/>
      <c r="M2049" s="195"/>
      <c r="N2049" s="195"/>
      <c r="O2049" s="199"/>
      <c r="P2049" s="188" t="s">
        <v>1124</v>
      </c>
      <c r="Q2049" s="174">
        <f>IF(ISNUMBER(VLOOKUP(A2049,NotghiID!A:A,1,FALSE)),1,0)</f>
        <v>0</v>
      </c>
    </row>
    <row r="2050" spans="1:17" ht="14.25" x14ac:dyDescent="0.2">
      <c r="A2050" s="183">
        <f t="shared" si="2"/>
        <v>540</v>
      </c>
      <c r="B2050" s="232" t="str">
        <f>IF(AND(A2050&lt;&gt;"",ISNUMBER(A2050)),VLOOKUP(A2050,Studies!A:BR,2,FALSE),"")</f>
        <v>Mouton 2006</v>
      </c>
      <c r="C2050" s="232" t="str">
        <f>IF(AND(A2050&lt;&gt;"",ISNUMBER(A2050)),VLOOKUP(A2050,Studies!A:BR,3,FALSE),"")</f>
        <v>https://www.ncbi.nlm.nih.gov/pubmed/16982783</v>
      </c>
      <c r="D2050" s="232" t="str">
        <f>IF(AND(A2050&lt;&gt;"",ISNUMBER(A2050)),VLOOKUP(A2050,Studies!A:BR,4,FALSE),"")</f>
        <v>MAD_m_B 200 mg (terminal phase only)</v>
      </c>
      <c r="E2050" s="206" t="str">
        <f>IF(AND(A2050&lt;&gt;"",ISNUMBER(A2050)),VLOOKUP(A2050,Studies!A:BR,5,FALSE),"")</f>
        <v>Hydroxy-Itraconazole</v>
      </c>
      <c r="F2050" s="207" t="str">
        <f>IF(AND(A2050&lt;&gt;"",ISNUMBER(A2050)),VLOOKUP(A2050,Studies!A:BR,6,FALSE),"")</f>
        <v>Plasma</v>
      </c>
      <c r="G2050" s="194">
        <v>240</v>
      </c>
      <c r="H2050" s="194" t="s">
        <v>60</v>
      </c>
      <c r="I2050" s="187">
        <v>1211.5280628204346</v>
      </c>
      <c r="J2050" s="187" t="s">
        <v>1026</v>
      </c>
      <c r="K2050" s="187" t="s">
        <v>116</v>
      </c>
      <c r="L2050" s="195"/>
      <c r="M2050" s="195"/>
      <c r="N2050" s="195"/>
      <c r="O2050" s="199"/>
      <c r="P2050" s="188" t="s">
        <v>1124</v>
      </c>
      <c r="Q2050" s="174">
        <f>IF(ISNUMBER(VLOOKUP(A2050,NotghiID!A:A,1,FALSE)),1,0)</f>
        <v>0</v>
      </c>
    </row>
    <row r="2051" spans="1:17" ht="14.25" x14ac:dyDescent="0.2">
      <c r="A2051" s="183">
        <f t="shared" si="2"/>
        <v>540</v>
      </c>
      <c r="B2051" s="232" t="str">
        <f>IF(AND(A2051&lt;&gt;"",ISNUMBER(A2051)),VLOOKUP(A2051,Studies!A:BR,2,FALSE),"")</f>
        <v>Mouton 2006</v>
      </c>
      <c r="C2051" s="232" t="str">
        <f>IF(AND(A2051&lt;&gt;"",ISNUMBER(A2051)),VLOOKUP(A2051,Studies!A:BR,3,FALSE),"")</f>
        <v>https://www.ncbi.nlm.nih.gov/pubmed/16982783</v>
      </c>
      <c r="D2051" s="232" t="str">
        <f>IF(AND(A2051&lt;&gt;"",ISNUMBER(A2051)),VLOOKUP(A2051,Studies!A:BR,4,FALSE),"")</f>
        <v>MAD_m_B 200 mg (terminal phase only)</v>
      </c>
      <c r="E2051" s="206" t="str">
        <f>IF(AND(A2051&lt;&gt;"",ISNUMBER(A2051)),VLOOKUP(A2051,Studies!A:BR,5,FALSE),"")</f>
        <v>Hydroxy-Itraconazole</v>
      </c>
      <c r="F2051" s="207" t="str">
        <f>IF(AND(A2051&lt;&gt;"",ISNUMBER(A2051)),VLOOKUP(A2051,Studies!A:BR,6,FALSE),"")</f>
        <v>Plasma</v>
      </c>
      <c r="G2051" s="194">
        <v>312</v>
      </c>
      <c r="H2051" s="194" t="s">
        <v>60</v>
      </c>
      <c r="I2051" s="187">
        <v>415.95622897148132</v>
      </c>
      <c r="J2051" s="187" t="s">
        <v>1026</v>
      </c>
      <c r="K2051" s="187" t="s">
        <v>116</v>
      </c>
      <c r="L2051" s="195"/>
      <c r="M2051" s="195"/>
      <c r="N2051" s="195"/>
      <c r="O2051" s="199"/>
      <c r="P2051" s="188" t="s">
        <v>1124</v>
      </c>
      <c r="Q2051" s="174">
        <f>IF(ISNUMBER(VLOOKUP(A2051,NotghiID!A:A,1,FALSE)),1,0)</f>
        <v>0</v>
      </c>
    </row>
    <row r="2052" spans="1:17" ht="14.25" x14ac:dyDescent="0.2">
      <c r="A2052" s="183">
        <f t="shared" si="2"/>
        <v>541</v>
      </c>
      <c r="B2052" s="232" t="str">
        <f>IF(AND(A2052&lt;&gt;"",ISNUMBER(A2052)),VLOOKUP(A2052,Studies!A:BR,2,FALSE),"")</f>
        <v>Mouton 2006</v>
      </c>
      <c r="C2052" s="232" t="str">
        <f>IF(AND(A2052&lt;&gt;"",ISNUMBER(A2052)),VLOOKUP(A2052,Studies!A:BR,3,FALSE),"")</f>
        <v>https://www.ncbi.nlm.nih.gov/pubmed/16982783</v>
      </c>
      <c r="D2052" s="232" t="str">
        <f>IF(AND(A2052&lt;&gt;"",ISNUMBER(A2052)),VLOOKUP(A2052,Studies!A:BR,4,FALSE),"")</f>
        <v>MAD_m_C 300 mg (terminal phase only)</v>
      </c>
      <c r="E2052" s="206" t="str">
        <f>IF(AND(A2052&lt;&gt;"",ISNUMBER(A2052)),VLOOKUP(A2052,Studies!A:BR,5,FALSE),"")</f>
        <v>Hydroxy-Itraconazole</v>
      </c>
      <c r="F2052" s="207" t="str">
        <f>IF(AND(A2052&lt;&gt;"",ISNUMBER(A2052)),VLOOKUP(A2052,Studies!A:BR,6,FALSE),"")</f>
        <v>Plasma</v>
      </c>
      <c r="G2052" s="194">
        <v>168</v>
      </c>
      <c r="H2052" s="194" t="s">
        <v>60</v>
      </c>
      <c r="I2052" s="187">
        <v>3076.771728515625</v>
      </c>
      <c r="J2052" s="187" t="s">
        <v>1026</v>
      </c>
      <c r="K2052" s="187" t="s">
        <v>116</v>
      </c>
      <c r="L2052" s="195"/>
      <c r="M2052" s="195"/>
      <c r="N2052" s="195"/>
      <c r="O2052" s="199"/>
      <c r="P2052" s="188" t="s">
        <v>1124</v>
      </c>
      <c r="Q2052" s="174">
        <f>IF(ISNUMBER(VLOOKUP(A2052,NotghiID!A:A,1,FALSE)),1,0)</f>
        <v>0</v>
      </c>
    </row>
    <row r="2053" spans="1:17" ht="14.25" x14ac:dyDescent="0.2">
      <c r="A2053" s="183">
        <f t="shared" si="2"/>
        <v>541</v>
      </c>
      <c r="B2053" s="232" t="str">
        <f>IF(AND(A2053&lt;&gt;"",ISNUMBER(A2053)),VLOOKUP(A2053,Studies!A:BR,2,FALSE),"")</f>
        <v>Mouton 2006</v>
      </c>
      <c r="C2053" s="232" t="str">
        <f>IF(AND(A2053&lt;&gt;"",ISNUMBER(A2053)),VLOOKUP(A2053,Studies!A:BR,3,FALSE),"")</f>
        <v>https://www.ncbi.nlm.nih.gov/pubmed/16982783</v>
      </c>
      <c r="D2053" s="232" t="str">
        <f>IF(AND(A2053&lt;&gt;"",ISNUMBER(A2053)),VLOOKUP(A2053,Studies!A:BR,4,FALSE),"")</f>
        <v>MAD_m_C 300 mg (terminal phase only)</v>
      </c>
      <c r="E2053" s="206" t="str">
        <f>IF(AND(A2053&lt;&gt;"",ISNUMBER(A2053)),VLOOKUP(A2053,Studies!A:BR,5,FALSE),"")</f>
        <v>Hydroxy-Itraconazole</v>
      </c>
      <c r="F2053" s="207" t="str">
        <f>IF(AND(A2053&lt;&gt;"",ISNUMBER(A2053)),VLOOKUP(A2053,Studies!A:BR,6,FALSE),"")</f>
        <v>Plasma</v>
      </c>
      <c r="G2053" s="194">
        <v>176</v>
      </c>
      <c r="H2053" s="194" t="s">
        <v>60</v>
      </c>
      <c r="I2053" s="187">
        <v>3076.771728515625</v>
      </c>
      <c r="J2053" s="187" t="s">
        <v>1026</v>
      </c>
      <c r="K2053" s="187" t="s">
        <v>116</v>
      </c>
      <c r="L2053" s="195"/>
      <c r="M2053" s="195"/>
      <c r="N2053" s="195"/>
      <c r="O2053" s="199"/>
      <c r="P2053" s="188" t="s">
        <v>1124</v>
      </c>
      <c r="Q2053" s="174">
        <f>IF(ISNUMBER(VLOOKUP(A2053,NotghiID!A:A,1,FALSE)),1,0)</f>
        <v>0</v>
      </c>
    </row>
    <row r="2054" spans="1:17" ht="14.25" x14ac:dyDescent="0.2">
      <c r="A2054" s="183">
        <f t="shared" si="2"/>
        <v>541</v>
      </c>
      <c r="B2054" s="232" t="str">
        <f>IF(AND(A2054&lt;&gt;"",ISNUMBER(A2054)),VLOOKUP(A2054,Studies!A:BR,2,FALSE),"")</f>
        <v>Mouton 2006</v>
      </c>
      <c r="C2054" s="232" t="str">
        <f>IF(AND(A2054&lt;&gt;"",ISNUMBER(A2054)),VLOOKUP(A2054,Studies!A:BR,3,FALSE),"")</f>
        <v>https://www.ncbi.nlm.nih.gov/pubmed/16982783</v>
      </c>
      <c r="D2054" s="232" t="str">
        <f>IF(AND(A2054&lt;&gt;"",ISNUMBER(A2054)),VLOOKUP(A2054,Studies!A:BR,4,FALSE),"")</f>
        <v>MAD_m_C 300 mg (terminal phase only)</v>
      </c>
      <c r="E2054" s="206" t="str">
        <f>IF(AND(A2054&lt;&gt;"",ISNUMBER(A2054)),VLOOKUP(A2054,Studies!A:BR,5,FALSE),"")</f>
        <v>Hydroxy-Itraconazole</v>
      </c>
      <c r="F2054" s="207" t="str">
        <f>IF(AND(A2054&lt;&gt;"",ISNUMBER(A2054)),VLOOKUP(A2054,Studies!A:BR,6,FALSE),"")</f>
        <v>Plasma</v>
      </c>
      <c r="G2054" s="194">
        <v>192</v>
      </c>
      <c r="H2054" s="194" t="s">
        <v>60</v>
      </c>
      <c r="I2054" s="187">
        <v>2833.8779296875</v>
      </c>
      <c r="J2054" s="187" t="s">
        <v>1026</v>
      </c>
      <c r="K2054" s="187" t="s">
        <v>116</v>
      </c>
      <c r="L2054" s="195"/>
      <c r="M2054" s="195"/>
      <c r="N2054" s="195"/>
      <c r="O2054" s="199"/>
      <c r="P2054" s="188" t="s">
        <v>1124</v>
      </c>
      <c r="Q2054" s="174">
        <f>IF(ISNUMBER(VLOOKUP(A2054,NotghiID!A:A,1,FALSE)),1,0)</f>
        <v>0</v>
      </c>
    </row>
    <row r="2055" spans="1:17" ht="14.25" x14ac:dyDescent="0.2">
      <c r="A2055" s="183">
        <f t="shared" si="2"/>
        <v>541</v>
      </c>
      <c r="B2055" s="232" t="str">
        <f>IF(AND(A2055&lt;&gt;"",ISNUMBER(A2055)),VLOOKUP(A2055,Studies!A:BR,2,FALSE),"")</f>
        <v>Mouton 2006</v>
      </c>
      <c r="C2055" s="232" t="str">
        <f>IF(AND(A2055&lt;&gt;"",ISNUMBER(A2055)),VLOOKUP(A2055,Studies!A:BR,3,FALSE),"")</f>
        <v>https://www.ncbi.nlm.nih.gov/pubmed/16982783</v>
      </c>
      <c r="D2055" s="232" t="str">
        <f>IF(AND(A2055&lt;&gt;"",ISNUMBER(A2055)),VLOOKUP(A2055,Studies!A:BR,4,FALSE),"")</f>
        <v>MAD_m_C 300 mg (terminal phase only)</v>
      </c>
      <c r="E2055" s="206" t="str">
        <f>IF(AND(A2055&lt;&gt;"",ISNUMBER(A2055)),VLOOKUP(A2055,Studies!A:BR,5,FALSE),"")</f>
        <v>Hydroxy-Itraconazole</v>
      </c>
      <c r="F2055" s="207" t="str">
        <f>IF(AND(A2055&lt;&gt;"",ISNUMBER(A2055)),VLOOKUP(A2055,Studies!A:BR,6,FALSE),"")</f>
        <v>Plasma</v>
      </c>
      <c r="G2055" s="194">
        <v>216</v>
      </c>
      <c r="H2055" s="194" t="s">
        <v>60</v>
      </c>
      <c r="I2055" s="187">
        <v>2833.8779296875</v>
      </c>
      <c r="J2055" s="187" t="s">
        <v>1026</v>
      </c>
      <c r="K2055" s="187" t="s">
        <v>116</v>
      </c>
      <c r="L2055" s="195"/>
      <c r="M2055" s="195"/>
      <c r="N2055" s="195"/>
      <c r="O2055" s="199"/>
      <c r="P2055" s="188" t="s">
        <v>1124</v>
      </c>
      <c r="Q2055" s="174">
        <f>IF(ISNUMBER(VLOOKUP(A2055,NotghiID!A:A,1,FALSE)),1,0)</f>
        <v>0</v>
      </c>
    </row>
    <row r="2056" spans="1:17" ht="14.25" x14ac:dyDescent="0.2">
      <c r="A2056" s="183">
        <f t="shared" si="2"/>
        <v>541</v>
      </c>
      <c r="B2056" s="232" t="str">
        <f>IF(AND(A2056&lt;&gt;"",ISNUMBER(A2056)),VLOOKUP(A2056,Studies!A:BR,2,FALSE),"")</f>
        <v>Mouton 2006</v>
      </c>
      <c r="C2056" s="232" t="str">
        <f>IF(AND(A2056&lt;&gt;"",ISNUMBER(A2056)),VLOOKUP(A2056,Studies!A:BR,3,FALSE),"")</f>
        <v>https://www.ncbi.nlm.nih.gov/pubmed/16982783</v>
      </c>
      <c r="D2056" s="232" t="str">
        <f>IF(AND(A2056&lt;&gt;"",ISNUMBER(A2056)),VLOOKUP(A2056,Studies!A:BR,4,FALSE),"")</f>
        <v>MAD_m_C 300 mg (terminal phase only)</v>
      </c>
      <c r="E2056" s="206" t="str">
        <f>IF(AND(A2056&lt;&gt;"",ISNUMBER(A2056)),VLOOKUP(A2056,Studies!A:BR,5,FALSE),"")</f>
        <v>Hydroxy-Itraconazole</v>
      </c>
      <c r="F2056" s="207" t="str">
        <f>IF(AND(A2056&lt;&gt;"",ISNUMBER(A2056)),VLOOKUP(A2056,Studies!A:BR,6,FALSE),"")</f>
        <v>Plasma</v>
      </c>
      <c r="G2056" s="194">
        <v>240</v>
      </c>
      <c r="H2056" s="194" t="s">
        <v>60</v>
      </c>
      <c r="I2056" s="187">
        <v>2610.15771484375</v>
      </c>
      <c r="J2056" s="187" t="s">
        <v>1026</v>
      </c>
      <c r="K2056" s="187" t="s">
        <v>116</v>
      </c>
      <c r="L2056" s="195"/>
      <c r="M2056" s="195"/>
      <c r="N2056" s="195"/>
      <c r="O2056" s="199"/>
      <c r="P2056" s="188" t="s">
        <v>1124</v>
      </c>
      <c r="Q2056" s="174">
        <f>IF(ISNUMBER(VLOOKUP(A2056,NotghiID!A:A,1,FALSE)),1,0)</f>
        <v>0</v>
      </c>
    </row>
    <row r="2057" spans="1:17" ht="14.25" x14ac:dyDescent="0.2">
      <c r="A2057" s="183">
        <f t="shared" si="2"/>
        <v>541</v>
      </c>
      <c r="B2057" s="232" t="str">
        <f>IF(AND(A2057&lt;&gt;"",ISNUMBER(A2057)),VLOOKUP(A2057,Studies!A:BR,2,FALSE),"")</f>
        <v>Mouton 2006</v>
      </c>
      <c r="C2057" s="232" t="str">
        <f>IF(AND(A2057&lt;&gt;"",ISNUMBER(A2057)),VLOOKUP(A2057,Studies!A:BR,3,FALSE),"")</f>
        <v>https://www.ncbi.nlm.nih.gov/pubmed/16982783</v>
      </c>
      <c r="D2057" s="232" t="str">
        <f>IF(AND(A2057&lt;&gt;"",ISNUMBER(A2057)),VLOOKUP(A2057,Studies!A:BR,4,FALSE),"")</f>
        <v>MAD_m_C 300 mg (terminal phase only)</v>
      </c>
      <c r="E2057" s="206" t="str">
        <f>IF(AND(A2057&lt;&gt;"",ISNUMBER(A2057)),VLOOKUP(A2057,Studies!A:BR,5,FALSE),"")</f>
        <v>Hydroxy-Itraconazole</v>
      </c>
      <c r="F2057" s="207" t="str">
        <f>IF(AND(A2057&lt;&gt;"",ISNUMBER(A2057)),VLOOKUP(A2057,Studies!A:BR,6,FALSE),"")</f>
        <v>Plasma</v>
      </c>
      <c r="G2057" s="194">
        <v>312</v>
      </c>
      <c r="H2057" s="194" t="s">
        <v>60</v>
      </c>
      <c r="I2057" s="187">
        <v>1778.2794189453125</v>
      </c>
      <c r="J2057" s="187" t="s">
        <v>1026</v>
      </c>
      <c r="K2057" s="187" t="s">
        <v>116</v>
      </c>
      <c r="L2057" s="195"/>
      <c r="M2057" s="195"/>
      <c r="N2057" s="195"/>
      <c r="O2057" s="199"/>
      <c r="P2057" s="188" t="s">
        <v>1124</v>
      </c>
      <c r="Q2057" s="174">
        <f>IF(ISNUMBER(VLOOKUP(A2057,NotghiID!A:A,1,FALSE)),1,0)</f>
        <v>0</v>
      </c>
    </row>
    <row r="2058" spans="1:17" ht="14.25" x14ac:dyDescent="0.2">
      <c r="A2058" s="183">
        <v>545</v>
      </c>
      <c r="B2058" s="232" t="str">
        <f>IF(AND(A2058&lt;&gt;"",ISNUMBER(A2058)),VLOOKUP(A2058,Studies!A:BR,2,FALSE),"")</f>
        <v>Zhou 1998</v>
      </c>
      <c r="C2058" s="232" t="str">
        <f>IF(AND(A2058&lt;&gt;"",ISNUMBER(A2058)),VLOOKUP(A2058,Studies!A:BR,3,FALSE),"")</f>
        <v>https://www.ncbi.nlm.nih.gov/pubmed/9702843</v>
      </c>
      <c r="D2058" s="232" t="str">
        <f>IF(AND(A2058&lt;&gt;"",ISNUMBER(A2058)),VLOOKUP(A2058,Studies!A:BR,4,FALSE),"")</f>
        <v>IV 200 mg OD</v>
      </c>
      <c r="E2058" s="206" t="str">
        <f>IF(AND(A2058&lt;&gt;"",ISNUMBER(A2058)),VLOOKUP(A2058,Studies!A:BR,5,FALSE),"")</f>
        <v>Itraconazole</v>
      </c>
      <c r="F2058" s="207" t="str">
        <f>IF(AND(A2058&lt;&gt;"",ISNUMBER(A2058)),VLOOKUP(A2058,Studies!A:BR,6,FALSE),"")</f>
        <v>Plasma</v>
      </c>
      <c r="G2058" s="194">
        <v>1</v>
      </c>
      <c r="H2058" s="194" t="s">
        <v>60</v>
      </c>
      <c r="I2058" s="187">
        <v>1844.7870016098022</v>
      </c>
      <c r="J2058" s="187" t="s">
        <v>1026</v>
      </c>
      <c r="K2058" s="187" t="s">
        <v>116</v>
      </c>
      <c r="L2058" s="195"/>
      <c r="M2058" s="195"/>
      <c r="N2058" s="195"/>
      <c r="O2058" s="199"/>
      <c r="P2058" s="188"/>
      <c r="Q2058" s="174">
        <f>IF(ISNUMBER(VLOOKUP(A2058,NotghiID!A:A,1,FALSE)),1,0)</f>
        <v>0</v>
      </c>
    </row>
    <row r="2059" spans="1:17" ht="14.25" x14ac:dyDescent="0.2">
      <c r="A2059" s="183">
        <v>545</v>
      </c>
      <c r="B2059" s="232" t="str">
        <f>IF(AND(A2059&lt;&gt;"",ISNUMBER(A2059)),VLOOKUP(A2059,Studies!A:BR,2,FALSE),"")</f>
        <v>Zhou 1998</v>
      </c>
      <c r="C2059" s="232" t="str">
        <f>IF(AND(A2059&lt;&gt;"",ISNUMBER(A2059)),VLOOKUP(A2059,Studies!A:BR,3,FALSE),"")</f>
        <v>https://www.ncbi.nlm.nih.gov/pubmed/9702843</v>
      </c>
      <c r="D2059" s="232" t="str">
        <f>IF(AND(A2059&lt;&gt;"",ISNUMBER(A2059)),VLOOKUP(A2059,Studies!A:BR,4,FALSE),"")</f>
        <v>IV 200 mg OD</v>
      </c>
      <c r="E2059" s="206" t="str">
        <f>IF(AND(A2059&lt;&gt;"",ISNUMBER(A2059)),VLOOKUP(A2059,Studies!A:BR,5,FALSE),"")</f>
        <v>Itraconazole</v>
      </c>
      <c r="F2059" s="207" t="str">
        <f>IF(AND(A2059&lt;&gt;"",ISNUMBER(A2059)),VLOOKUP(A2059,Studies!A:BR,6,FALSE),"")</f>
        <v>Plasma</v>
      </c>
      <c r="G2059" s="194">
        <v>1.25</v>
      </c>
      <c r="H2059" s="194" t="s">
        <v>60</v>
      </c>
      <c r="I2059" s="187">
        <v>1478.672981262207</v>
      </c>
      <c r="J2059" s="187" t="s">
        <v>1026</v>
      </c>
      <c r="K2059" s="187" t="s">
        <v>116</v>
      </c>
      <c r="L2059" s="195"/>
      <c r="M2059" s="195"/>
      <c r="N2059" s="195"/>
      <c r="O2059" s="199"/>
      <c r="P2059" s="188"/>
      <c r="Q2059" s="174">
        <f>IF(ISNUMBER(VLOOKUP(A2059,NotghiID!A:A,1,FALSE)),1,0)</f>
        <v>0</v>
      </c>
    </row>
    <row r="2060" spans="1:17" ht="14.25" x14ac:dyDescent="0.2">
      <c r="A2060" s="183">
        <v>545</v>
      </c>
      <c r="B2060" s="232" t="str">
        <f>IF(AND(A2060&lt;&gt;"",ISNUMBER(A2060)),VLOOKUP(A2060,Studies!A:BR,2,FALSE),"")</f>
        <v>Zhou 1998</v>
      </c>
      <c r="C2060" s="232" t="str">
        <f>IF(AND(A2060&lt;&gt;"",ISNUMBER(A2060)),VLOOKUP(A2060,Studies!A:BR,3,FALSE),"")</f>
        <v>https://www.ncbi.nlm.nih.gov/pubmed/9702843</v>
      </c>
      <c r="D2060" s="232" t="str">
        <f>IF(AND(A2060&lt;&gt;"",ISNUMBER(A2060)),VLOOKUP(A2060,Studies!A:BR,4,FALSE),"")</f>
        <v>IV 200 mg OD</v>
      </c>
      <c r="E2060" s="206" t="str">
        <f>IF(AND(A2060&lt;&gt;"",ISNUMBER(A2060)),VLOOKUP(A2060,Studies!A:BR,5,FALSE),"")</f>
        <v>Itraconazole</v>
      </c>
      <c r="F2060" s="207" t="str">
        <f>IF(AND(A2060&lt;&gt;"",ISNUMBER(A2060)),VLOOKUP(A2060,Studies!A:BR,6,FALSE),"")</f>
        <v>Plasma</v>
      </c>
      <c r="G2060" s="194">
        <v>1.5</v>
      </c>
      <c r="H2060" s="194" t="s">
        <v>60</v>
      </c>
      <c r="I2060" s="187">
        <v>1176.5400171279907</v>
      </c>
      <c r="J2060" s="187" t="s">
        <v>1026</v>
      </c>
      <c r="K2060" s="187" t="s">
        <v>116</v>
      </c>
      <c r="L2060" s="195"/>
      <c r="M2060" s="195"/>
      <c r="N2060" s="195"/>
      <c r="O2060" s="199"/>
      <c r="P2060" s="188"/>
      <c r="Q2060" s="174">
        <f>IF(ISNUMBER(VLOOKUP(A2060,NotghiID!A:A,1,FALSE)),1,0)</f>
        <v>0</v>
      </c>
    </row>
    <row r="2061" spans="1:17" ht="14.25" x14ac:dyDescent="0.2">
      <c r="A2061" s="183">
        <v>545</v>
      </c>
      <c r="B2061" s="232" t="str">
        <f>IF(AND(A2061&lt;&gt;"",ISNUMBER(A2061)),VLOOKUP(A2061,Studies!A:BR,2,FALSE),"")</f>
        <v>Zhou 1998</v>
      </c>
      <c r="C2061" s="232" t="str">
        <f>IF(AND(A2061&lt;&gt;"",ISNUMBER(A2061)),VLOOKUP(A2061,Studies!A:BR,3,FALSE),"")</f>
        <v>https://www.ncbi.nlm.nih.gov/pubmed/9702843</v>
      </c>
      <c r="D2061" s="232" t="str">
        <f>IF(AND(A2061&lt;&gt;"",ISNUMBER(A2061)),VLOOKUP(A2061,Studies!A:BR,4,FALSE),"")</f>
        <v>IV 200 mg OD</v>
      </c>
      <c r="E2061" s="206" t="str">
        <f>IF(AND(A2061&lt;&gt;"",ISNUMBER(A2061)),VLOOKUP(A2061,Studies!A:BR,5,FALSE),"")</f>
        <v>Itraconazole</v>
      </c>
      <c r="F2061" s="207" t="str">
        <f>IF(AND(A2061&lt;&gt;"",ISNUMBER(A2061)),VLOOKUP(A2061,Studies!A:BR,6,FALSE),"")</f>
        <v>Plasma</v>
      </c>
      <c r="G2061" s="194">
        <v>2</v>
      </c>
      <c r="H2061" s="194" t="s">
        <v>60</v>
      </c>
      <c r="I2061" s="187">
        <v>941.94310903549194</v>
      </c>
      <c r="J2061" s="187" t="s">
        <v>1026</v>
      </c>
      <c r="K2061" s="187" t="s">
        <v>116</v>
      </c>
      <c r="L2061" s="195"/>
      <c r="M2061" s="195"/>
      <c r="N2061" s="195"/>
      <c r="O2061" s="199"/>
      <c r="P2061" s="188"/>
      <c r="Q2061" s="174">
        <f>IF(ISNUMBER(VLOOKUP(A2061,NotghiID!A:A,1,FALSE)),1,0)</f>
        <v>0</v>
      </c>
    </row>
    <row r="2062" spans="1:17" ht="14.25" x14ac:dyDescent="0.2">
      <c r="A2062" s="183">
        <v>545</v>
      </c>
      <c r="B2062" s="232" t="str">
        <f>IF(AND(A2062&lt;&gt;"",ISNUMBER(A2062)),VLOOKUP(A2062,Studies!A:BR,2,FALSE),"")</f>
        <v>Zhou 1998</v>
      </c>
      <c r="C2062" s="232" t="str">
        <f>IF(AND(A2062&lt;&gt;"",ISNUMBER(A2062)),VLOOKUP(A2062,Studies!A:BR,3,FALSE),"")</f>
        <v>https://www.ncbi.nlm.nih.gov/pubmed/9702843</v>
      </c>
      <c r="D2062" s="232" t="str">
        <f>IF(AND(A2062&lt;&gt;"",ISNUMBER(A2062)),VLOOKUP(A2062,Studies!A:BR,4,FALSE),"")</f>
        <v>IV 200 mg OD</v>
      </c>
      <c r="E2062" s="206" t="str">
        <f>IF(AND(A2062&lt;&gt;"",ISNUMBER(A2062)),VLOOKUP(A2062,Studies!A:BR,5,FALSE),"")</f>
        <v>Itraconazole</v>
      </c>
      <c r="F2062" s="207" t="str">
        <f>IF(AND(A2062&lt;&gt;"",ISNUMBER(A2062)),VLOOKUP(A2062,Studies!A:BR,6,FALSE),"")</f>
        <v>Plasma</v>
      </c>
      <c r="G2062" s="194">
        <v>3</v>
      </c>
      <c r="H2062" s="194" t="s">
        <v>60</v>
      </c>
      <c r="I2062" s="187">
        <v>771.32701873779297</v>
      </c>
      <c r="J2062" s="187" t="s">
        <v>1026</v>
      </c>
      <c r="K2062" s="187" t="s">
        <v>116</v>
      </c>
      <c r="L2062" s="195"/>
      <c r="M2062" s="195"/>
      <c r="N2062" s="195"/>
      <c r="O2062" s="199"/>
      <c r="P2062" s="188"/>
      <c r="Q2062" s="174">
        <f>IF(ISNUMBER(VLOOKUP(A2062,NotghiID!A:A,1,FALSE)),1,0)</f>
        <v>0</v>
      </c>
    </row>
    <row r="2063" spans="1:17" ht="14.25" x14ac:dyDescent="0.2">
      <c r="A2063" s="183">
        <v>545</v>
      </c>
      <c r="B2063" s="232" t="str">
        <f>IF(AND(A2063&lt;&gt;"",ISNUMBER(A2063)),VLOOKUP(A2063,Studies!A:BR,2,FALSE),"")</f>
        <v>Zhou 1998</v>
      </c>
      <c r="C2063" s="232" t="str">
        <f>IF(AND(A2063&lt;&gt;"",ISNUMBER(A2063)),VLOOKUP(A2063,Studies!A:BR,3,FALSE),"")</f>
        <v>https://www.ncbi.nlm.nih.gov/pubmed/9702843</v>
      </c>
      <c r="D2063" s="232" t="str">
        <f>IF(AND(A2063&lt;&gt;"",ISNUMBER(A2063)),VLOOKUP(A2063,Studies!A:BR,4,FALSE),"")</f>
        <v>IV 200 mg OD</v>
      </c>
      <c r="E2063" s="206" t="str">
        <f>IF(AND(A2063&lt;&gt;"",ISNUMBER(A2063)),VLOOKUP(A2063,Studies!A:BR,5,FALSE),"")</f>
        <v>Itraconazole</v>
      </c>
      <c r="F2063" s="207" t="str">
        <f>IF(AND(A2063&lt;&gt;"",ISNUMBER(A2063)),VLOOKUP(A2063,Studies!A:BR,6,FALSE),"")</f>
        <v>Plasma</v>
      </c>
      <c r="G2063" s="194">
        <v>5</v>
      </c>
      <c r="H2063" s="194" t="s">
        <v>60</v>
      </c>
      <c r="I2063" s="187">
        <v>430.09477853775024</v>
      </c>
      <c r="J2063" s="187" t="s">
        <v>1026</v>
      </c>
      <c r="K2063" s="187" t="s">
        <v>116</v>
      </c>
      <c r="L2063" s="195"/>
      <c r="M2063" s="195"/>
      <c r="N2063" s="195"/>
      <c r="O2063" s="199"/>
      <c r="P2063" s="188"/>
      <c r="Q2063" s="174">
        <f>IF(ISNUMBER(VLOOKUP(A2063,NotghiID!A:A,1,FALSE)),1,0)</f>
        <v>0</v>
      </c>
    </row>
    <row r="2064" spans="1:17" ht="14.25" x14ac:dyDescent="0.2">
      <c r="A2064" s="183">
        <v>545</v>
      </c>
      <c r="B2064" s="232" t="str">
        <f>IF(AND(A2064&lt;&gt;"",ISNUMBER(A2064)),VLOOKUP(A2064,Studies!A:BR,2,FALSE),"")</f>
        <v>Zhou 1998</v>
      </c>
      <c r="C2064" s="232" t="str">
        <f>IF(AND(A2064&lt;&gt;"",ISNUMBER(A2064)),VLOOKUP(A2064,Studies!A:BR,3,FALSE),"")</f>
        <v>https://www.ncbi.nlm.nih.gov/pubmed/9702843</v>
      </c>
      <c r="D2064" s="232" t="str">
        <f>IF(AND(A2064&lt;&gt;"",ISNUMBER(A2064)),VLOOKUP(A2064,Studies!A:BR,4,FALSE),"")</f>
        <v>IV 200 mg OD</v>
      </c>
      <c r="E2064" s="206" t="str">
        <f>IF(AND(A2064&lt;&gt;"",ISNUMBER(A2064)),VLOOKUP(A2064,Studies!A:BR,5,FALSE),"")</f>
        <v>Itraconazole</v>
      </c>
      <c r="F2064" s="207" t="str">
        <f>IF(AND(A2064&lt;&gt;"",ISNUMBER(A2064)),VLOOKUP(A2064,Studies!A:BR,6,FALSE),"")</f>
        <v>Plasma</v>
      </c>
      <c r="G2064" s="194">
        <v>7</v>
      </c>
      <c r="H2064" s="194" t="s">
        <v>60</v>
      </c>
      <c r="I2064" s="187">
        <v>334.12319421768188</v>
      </c>
      <c r="J2064" s="187" t="s">
        <v>1026</v>
      </c>
      <c r="K2064" s="187" t="s">
        <v>116</v>
      </c>
      <c r="L2064" s="195"/>
      <c r="M2064" s="195"/>
      <c r="N2064" s="195"/>
      <c r="O2064" s="199"/>
      <c r="P2064" s="188"/>
      <c r="Q2064" s="174">
        <f>IF(ISNUMBER(VLOOKUP(A2064,NotghiID!A:A,1,FALSE)),1,0)</f>
        <v>0</v>
      </c>
    </row>
    <row r="2065" spans="1:17" ht="14.25" x14ac:dyDescent="0.2">
      <c r="A2065" s="183">
        <v>545</v>
      </c>
      <c r="B2065" s="232" t="str">
        <f>IF(AND(A2065&lt;&gt;"",ISNUMBER(A2065)),VLOOKUP(A2065,Studies!A:BR,2,FALSE),"")</f>
        <v>Zhou 1998</v>
      </c>
      <c r="C2065" s="232" t="str">
        <f>IF(AND(A2065&lt;&gt;"",ISNUMBER(A2065)),VLOOKUP(A2065,Studies!A:BR,3,FALSE),"")</f>
        <v>https://www.ncbi.nlm.nih.gov/pubmed/9702843</v>
      </c>
      <c r="D2065" s="232" t="str">
        <f>IF(AND(A2065&lt;&gt;"",ISNUMBER(A2065)),VLOOKUP(A2065,Studies!A:BR,4,FALSE),"")</f>
        <v>IV 200 mg OD</v>
      </c>
      <c r="E2065" s="206" t="str">
        <f>IF(AND(A2065&lt;&gt;"",ISNUMBER(A2065)),VLOOKUP(A2065,Studies!A:BR,5,FALSE),"")</f>
        <v>Itraconazole</v>
      </c>
      <c r="F2065" s="207" t="str">
        <f>IF(AND(A2065&lt;&gt;"",ISNUMBER(A2065)),VLOOKUP(A2065,Studies!A:BR,6,FALSE),"")</f>
        <v>Plasma</v>
      </c>
      <c r="G2065" s="194">
        <v>12</v>
      </c>
      <c r="H2065" s="194" t="s">
        <v>60</v>
      </c>
      <c r="I2065" s="187">
        <v>270.14219760894775</v>
      </c>
      <c r="J2065" s="187" t="s">
        <v>1026</v>
      </c>
      <c r="K2065" s="187" t="s">
        <v>116</v>
      </c>
      <c r="L2065" s="195"/>
      <c r="M2065" s="195"/>
      <c r="N2065" s="195"/>
      <c r="O2065" s="199"/>
      <c r="P2065" s="188"/>
      <c r="Q2065" s="174">
        <f>IF(ISNUMBER(VLOOKUP(A2065,NotghiID!A:A,1,FALSE)),1,0)</f>
        <v>0</v>
      </c>
    </row>
    <row r="2066" spans="1:17" ht="14.25" x14ac:dyDescent="0.2">
      <c r="A2066" s="183">
        <v>545</v>
      </c>
      <c r="B2066" s="232" t="str">
        <f>IF(AND(A2066&lt;&gt;"",ISNUMBER(A2066)),VLOOKUP(A2066,Studies!A:BR,2,FALSE),"")</f>
        <v>Zhou 1998</v>
      </c>
      <c r="C2066" s="232" t="str">
        <f>IF(AND(A2066&lt;&gt;"",ISNUMBER(A2066)),VLOOKUP(A2066,Studies!A:BR,3,FALSE),"")</f>
        <v>https://www.ncbi.nlm.nih.gov/pubmed/9702843</v>
      </c>
      <c r="D2066" s="232" t="str">
        <f>IF(AND(A2066&lt;&gt;"",ISNUMBER(A2066)),VLOOKUP(A2066,Studies!A:BR,4,FALSE),"")</f>
        <v>IV 200 mg OD</v>
      </c>
      <c r="E2066" s="206" t="str">
        <f>IF(AND(A2066&lt;&gt;"",ISNUMBER(A2066)),VLOOKUP(A2066,Studies!A:BR,5,FALSE),"")</f>
        <v>Itraconazole</v>
      </c>
      <c r="F2066" s="207" t="str">
        <f>IF(AND(A2066&lt;&gt;"",ISNUMBER(A2066)),VLOOKUP(A2066,Studies!A:BR,6,FALSE),"")</f>
        <v>Plasma</v>
      </c>
      <c r="G2066" s="194">
        <v>24</v>
      </c>
      <c r="H2066" s="194" t="s">
        <v>60</v>
      </c>
      <c r="I2066" s="187">
        <v>412.3222827911377</v>
      </c>
      <c r="J2066" s="187" t="s">
        <v>1026</v>
      </c>
      <c r="K2066" s="187" t="s">
        <v>116</v>
      </c>
      <c r="L2066" s="195"/>
      <c r="M2066" s="195"/>
      <c r="N2066" s="195"/>
      <c r="O2066" s="199"/>
      <c r="P2066" s="188"/>
      <c r="Q2066" s="174">
        <f>IF(ISNUMBER(VLOOKUP(A2066,NotghiID!A:A,1,FALSE)),1,0)</f>
        <v>0</v>
      </c>
    </row>
    <row r="2067" spans="1:17" ht="14.25" x14ac:dyDescent="0.2">
      <c r="A2067" s="183">
        <v>545</v>
      </c>
      <c r="B2067" s="232" t="str">
        <f>IF(AND(A2067&lt;&gt;"",ISNUMBER(A2067)),VLOOKUP(A2067,Studies!A:BR,2,FALSE),"")</f>
        <v>Zhou 1998</v>
      </c>
      <c r="C2067" s="232" t="str">
        <f>IF(AND(A2067&lt;&gt;"",ISNUMBER(A2067)),VLOOKUP(A2067,Studies!A:BR,3,FALSE),"")</f>
        <v>https://www.ncbi.nlm.nih.gov/pubmed/9702843</v>
      </c>
      <c r="D2067" s="232" t="str">
        <f>IF(AND(A2067&lt;&gt;"",ISNUMBER(A2067)),VLOOKUP(A2067,Studies!A:BR,4,FALSE),"")</f>
        <v>IV 200 mg OD</v>
      </c>
      <c r="E2067" s="206" t="str">
        <f>IF(AND(A2067&lt;&gt;"",ISNUMBER(A2067)),VLOOKUP(A2067,Studies!A:BR,5,FALSE),"")</f>
        <v>Itraconazole</v>
      </c>
      <c r="F2067" s="207" t="str">
        <f>IF(AND(A2067&lt;&gt;"",ISNUMBER(A2067)),VLOOKUP(A2067,Studies!A:BR,6,FALSE),"")</f>
        <v>Plasma</v>
      </c>
      <c r="G2067" s="194">
        <v>36</v>
      </c>
      <c r="H2067" s="194" t="s">
        <v>60</v>
      </c>
      <c r="I2067" s="187">
        <v>451.42179727554321</v>
      </c>
      <c r="J2067" s="187" t="s">
        <v>1026</v>
      </c>
      <c r="K2067" s="187" t="s">
        <v>116</v>
      </c>
      <c r="L2067" s="195"/>
      <c r="M2067" s="195"/>
      <c r="N2067" s="195"/>
      <c r="O2067" s="199"/>
      <c r="P2067" s="188"/>
      <c r="Q2067" s="174">
        <f>IF(ISNUMBER(VLOOKUP(A2067,NotghiID!A:A,1,FALSE)),1,0)</f>
        <v>0</v>
      </c>
    </row>
    <row r="2068" spans="1:17" ht="14.25" x14ac:dyDescent="0.2">
      <c r="A2068" s="183">
        <v>545</v>
      </c>
      <c r="B2068" s="232" t="str">
        <f>IF(AND(A2068&lt;&gt;"",ISNUMBER(A2068)),VLOOKUP(A2068,Studies!A:BR,2,FALSE),"")</f>
        <v>Zhou 1998</v>
      </c>
      <c r="C2068" s="232" t="str">
        <f>IF(AND(A2068&lt;&gt;"",ISNUMBER(A2068)),VLOOKUP(A2068,Studies!A:BR,3,FALSE),"")</f>
        <v>https://www.ncbi.nlm.nih.gov/pubmed/9702843</v>
      </c>
      <c r="D2068" s="232" t="str">
        <f>IF(AND(A2068&lt;&gt;"",ISNUMBER(A2068)),VLOOKUP(A2068,Studies!A:BR,4,FALSE),"")</f>
        <v>IV 200 mg OD</v>
      </c>
      <c r="E2068" s="206" t="str">
        <f>IF(AND(A2068&lt;&gt;"",ISNUMBER(A2068)),VLOOKUP(A2068,Studies!A:BR,5,FALSE),"")</f>
        <v>Itraconazole</v>
      </c>
      <c r="F2068" s="207" t="str">
        <f>IF(AND(A2068&lt;&gt;"",ISNUMBER(A2068)),VLOOKUP(A2068,Studies!A:BR,6,FALSE),"")</f>
        <v>Plasma</v>
      </c>
      <c r="G2068" s="194">
        <v>48</v>
      </c>
      <c r="H2068" s="194" t="s">
        <v>60</v>
      </c>
      <c r="I2068" s="187">
        <v>817.53551959991455</v>
      </c>
      <c r="J2068" s="187" t="s">
        <v>1026</v>
      </c>
      <c r="K2068" s="187" t="s">
        <v>116</v>
      </c>
      <c r="L2068" s="195"/>
      <c r="M2068" s="195"/>
      <c r="N2068" s="195"/>
      <c r="O2068" s="199"/>
      <c r="P2068" s="188"/>
      <c r="Q2068" s="174">
        <f>IF(ISNUMBER(VLOOKUP(A2068,NotghiID!A:A,1,FALSE)),1,0)</f>
        <v>0</v>
      </c>
    </row>
    <row r="2069" spans="1:17" ht="14.25" x14ac:dyDescent="0.2">
      <c r="A2069" s="183">
        <v>545</v>
      </c>
      <c r="B2069" s="232" t="str">
        <f>IF(AND(A2069&lt;&gt;"",ISNUMBER(A2069)),VLOOKUP(A2069,Studies!A:BR,2,FALSE),"")</f>
        <v>Zhou 1998</v>
      </c>
      <c r="C2069" s="232" t="str">
        <f>IF(AND(A2069&lt;&gt;"",ISNUMBER(A2069)),VLOOKUP(A2069,Studies!A:BR,3,FALSE),"")</f>
        <v>https://www.ncbi.nlm.nih.gov/pubmed/9702843</v>
      </c>
      <c r="D2069" s="232" t="str">
        <f>IF(AND(A2069&lt;&gt;"",ISNUMBER(A2069)),VLOOKUP(A2069,Studies!A:BR,4,FALSE),"")</f>
        <v>IV 200 mg OD</v>
      </c>
      <c r="E2069" s="206" t="str">
        <f>IF(AND(A2069&lt;&gt;"",ISNUMBER(A2069)),VLOOKUP(A2069,Studies!A:BR,5,FALSE),"")</f>
        <v>Itraconazole</v>
      </c>
      <c r="F2069" s="207" t="str">
        <f>IF(AND(A2069&lt;&gt;"",ISNUMBER(A2069)),VLOOKUP(A2069,Studies!A:BR,6,FALSE),"")</f>
        <v>Plasma</v>
      </c>
      <c r="G2069" s="194">
        <v>72</v>
      </c>
      <c r="H2069" s="194" t="s">
        <v>60</v>
      </c>
      <c r="I2069" s="187">
        <v>771.32701873779297</v>
      </c>
      <c r="J2069" s="187" t="s">
        <v>1026</v>
      </c>
      <c r="K2069" s="187" t="s">
        <v>116</v>
      </c>
      <c r="L2069" s="195"/>
      <c r="M2069" s="195"/>
      <c r="N2069" s="195"/>
      <c r="O2069" s="199"/>
      <c r="P2069" s="188"/>
      <c r="Q2069" s="174">
        <f>IF(ISNUMBER(VLOOKUP(A2069,NotghiID!A:A,1,FALSE)),1,0)</f>
        <v>0</v>
      </c>
    </row>
    <row r="2070" spans="1:17" ht="14.25" x14ac:dyDescent="0.2">
      <c r="A2070" s="183">
        <v>545</v>
      </c>
      <c r="B2070" s="232" t="str">
        <f>IF(AND(A2070&lt;&gt;"",ISNUMBER(A2070)),VLOOKUP(A2070,Studies!A:BR,2,FALSE),"")</f>
        <v>Zhou 1998</v>
      </c>
      <c r="C2070" s="232" t="str">
        <f>IF(AND(A2070&lt;&gt;"",ISNUMBER(A2070)),VLOOKUP(A2070,Studies!A:BR,3,FALSE),"")</f>
        <v>https://www.ncbi.nlm.nih.gov/pubmed/9702843</v>
      </c>
      <c r="D2070" s="232" t="str">
        <f>IF(AND(A2070&lt;&gt;"",ISNUMBER(A2070)),VLOOKUP(A2070,Studies!A:BR,4,FALSE),"")</f>
        <v>IV 200 mg OD</v>
      </c>
      <c r="E2070" s="206" t="str">
        <f>IF(AND(A2070&lt;&gt;"",ISNUMBER(A2070)),VLOOKUP(A2070,Studies!A:BR,5,FALSE),"")</f>
        <v>Itraconazole</v>
      </c>
      <c r="F2070" s="207" t="str">
        <f>IF(AND(A2070&lt;&gt;"",ISNUMBER(A2070)),VLOOKUP(A2070,Studies!A:BR,6,FALSE),"")</f>
        <v>Plasma</v>
      </c>
      <c r="G2070" s="194">
        <v>96</v>
      </c>
      <c r="H2070" s="194" t="s">
        <v>60</v>
      </c>
      <c r="I2070" s="187">
        <v>927.72513628005981</v>
      </c>
      <c r="J2070" s="187" t="s">
        <v>1026</v>
      </c>
      <c r="K2070" s="187" t="s">
        <v>116</v>
      </c>
      <c r="L2070" s="195"/>
      <c r="M2070" s="195"/>
      <c r="N2070" s="195"/>
      <c r="O2070" s="199"/>
      <c r="P2070" s="188"/>
      <c r="Q2070" s="174">
        <f>IF(ISNUMBER(VLOOKUP(A2070,NotghiID!A:A,1,FALSE)),1,0)</f>
        <v>0</v>
      </c>
    </row>
    <row r="2071" spans="1:17" ht="14.25" x14ac:dyDescent="0.2">
      <c r="A2071" s="183">
        <v>545</v>
      </c>
      <c r="B2071" s="232" t="str">
        <f>IF(AND(A2071&lt;&gt;"",ISNUMBER(A2071)),VLOOKUP(A2071,Studies!A:BR,2,FALSE),"")</f>
        <v>Zhou 1998</v>
      </c>
      <c r="C2071" s="232" t="str">
        <f>IF(AND(A2071&lt;&gt;"",ISNUMBER(A2071)),VLOOKUP(A2071,Studies!A:BR,3,FALSE),"")</f>
        <v>https://www.ncbi.nlm.nih.gov/pubmed/9702843</v>
      </c>
      <c r="D2071" s="232" t="str">
        <f>IF(AND(A2071&lt;&gt;"",ISNUMBER(A2071)),VLOOKUP(A2071,Studies!A:BR,4,FALSE),"")</f>
        <v>IV 200 mg OD</v>
      </c>
      <c r="E2071" s="206" t="str">
        <f>IF(AND(A2071&lt;&gt;"",ISNUMBER(A2071)),VLOOKUP(A2071,Studies!A:BR,5,FALSE),"")</f>
        <v>Itraconazole</v>
      </c>
      <c r="F2071" s="207" t="str">
        <f>IF(AND(A2071&lt;&gt;"",ISNUMBER(A2071)),VLOOKUP(A2071,Studies!A:BR,6,FALSE),"")</f>
        <v>Plasma</v>
      </c>
      <c r="G2071" s="194">
        <v>120</v>
      </c>
      <c r="H2071" s="194" t="s">
        <v>60</v>
      </c>
      <c r="I2071" s="187">
        <v>899.28907155990601</v>
      </c>
      <c r="J2071" s="187" t="s">
        <v>1026</v>
      </c>
      <c r="K2071" s="187" t="s">
        <v>116</v>
      </c>
      <c r="L2071" s="195"/>
      <c r="M2071" s="195"/>
      <c r="N2071" s="195"/>
      <c r="O2071" s="199"/>
      <c r="P2071" s="188"/>
      <c r="Q2071" s="174">
        <f>IF(ISNUMBER(VLOOKUP(A2071,NotghiID!A:A,1,FALSE)),1,0)</f>
        <v>0</v>
      </c>
    </row>
    <row r="2072" spans="1:17" ht="14.25" x14ac:dyDescent="0.2">
      <c r="A2072" s="183">
        <v>545</v>
      </c>
      <c r="B2072" s="232" t="str">
        <f>IF(AND(A2072&lt;&gt;"",ISNUMBER(A2072)),VLOOKUP(A2072,Studies!A:BR,2,FALSE),"")</f>
        <v>Zhou 1998</v>
      </c>
      <c r="C2072" s="232" t="str">
        <f>IF(AND(A2072&lt;&gt;"",ISNUMBER(A2072)),VLOOKUP(A2072,Studies!A:BR,3,FALSE),"")</f>
        <v>https://www.ncbi.nlm.nih.gov/pubmed/9702843</v>
      </c>
      <c r="D2072" s="232" t="str">
        <f>IF(AND(A2072&lt;&gt;"",ISNUMBER(A2072)),VLOOKUP(A2072,Studies!A:BR,4,FALSE),"")</f>
        <v>IV 200 mg OD</v>
      </c>
      <c r="E2072" s="206" t="str">
        <f>IF(AND(A2072&lt;&gt;"",ISNUMBER(A2072)),VLOOKUP(A2072,Studies!A:BR,5,FALSE),"")</f>
        <v>Itraconazole</v>
      </c>
      <c r="F2072" s="207" t="str">
        <f>IF(AND(A2072&lt;&gt;"",ISNUMBER(A2072)),VLOOKUP(A2072,Studies!A:BR,6,FALSE),"")</f>
        <v>Plasma</v>
      </c>
      <c r="G2072" s="194">
        <v>144</v>
      </c>
      <c r="H2072" s="194" t="s">
        <v>60</v>
      </c>
      <c r="I2072" s="187">
        <v>856.63509368896484</v>
      </c>
      <c r="J2072" s="187" t="s">
        <v>1026</v>
      </c>
      <c r="K2072" s="187" t="s">
        <v>116</v>
      </c>
      <c r="L2072" s="195"/>
      <c r="M2072" s="195"/>
      <c r="N2072" s="195"/>
      <c r="O2072" s="199"/>
      <c r="P2072" s="188"/>
      <c r="Q2072" s="174">
        <f>IF(ISNUMBER(VLOOKUP(A2072,NotghiID!A:A,1,FALSE)),1,0)</f>
        <v>0</v>
      </c>
    </row>
    <row r="2073" spans="1:17" ht="14.25" x14ac:dyDescent="0.2">
      <c r="A2073" s="183">
        <v>545</v>
      </c>
      <c r="B2073" s="232" t="str">
        <f>IF(AND(A2073&lt;&gt;"",ISNUMBER(A2073)),VLOOKUP(A2073,Studies!A:BR,2,FALSE),"")</f>
        <v>Zhou 1998</v>
      </c>
      <c r="C2073" s="232" t="str">
        <f>IF(AND(A2073&lt;&gt;"",ISNUMBER(A2073)),VLOOKUP(A2073,Studies!A:BR,3,FALSE),"")</f>
        <v>https://www.ncbi.nlm.nih.gov/pubmed/9702843</v>
      </c>
      <c r="D2073" s="232" t="str">
        <f>IF(AND(A2073&lt;&gt;"",ISNUMBER(A2073)),VLOOKUP(A2073,Studies!A:BR,4,FALSE),"")</f>
        <v>IV 200 mg OD</v>
      </c>
      <c r="E2073" s="206" t="str">
        <f>IF(AND(A2073&lt;&gt;"",ISNUMBER(A2073)),VLOOKUP(A2073,Studies!A:BR,5,FALSE),"")</f>
        <v>Itraconazole</v>
      </c>
      <c r="F2073" s="207" t="str">
        <f>IF(AND(A2073&lt;&gt;"",ISNUMBER(A2073)),VLOOKUP(A2073,Studies!A:BR,6,FALSE),"")</f>
        <v>Plasma</v>
      </c>
      <c r="G2073" s="194">
        <v>145</v>
      </c>
      <c r="H2073" s="194" t="s">
        <v>60</v>
      </c>
      <c r="I2073" s="187">
        <v>2740.5209541320801</v>
      </c>
      <c r="J2073" s="187" t="s">
        <v>1026</v>
      </c>
      <c r="K2073" s="187" t="s">
        <v>116</v>
      </c>
      <c r="L2073" s="195"/>
      <c r="M2073" s="195"/>
      <c r="N2073" s="195"/>
      <c r="O2073" s="199"/>
      <c r="P2073" s="188"/>
      <c r="Q2073" s="174">
        <f>IF(ISNUMBER(VLOOKUP(A2073,NotghiID!A:A,1,FALSE)),1,0)</f>
        <v>0</v>
      </c>
    </row>
    <row r="2074" spans="1:17" ht="14.25" x14ac:dyDescent="0.2">
      <c r="A2074" s="183">
        <v>545</v>
      </c>
      <c r="B2074" s="232" t="str">
        <f>IF(AND(A2074&lt;&gt;"",ISNUMBER(A2074)),VLOOKUP(A2074,Studies!A:BR,2,FALSE),"")</f>
        <v>Zhou 1998</v>
      </c>
      <c r="C2074" s="232" t="str">
        <f>IF(AND(A2074&lt;&gt;"",ISNUMBER(A2074)),VLOOKUP(A2074,Studies!A:BR,3,FALSE),"")</f>
        <v>https://www.ncbi.nlm.nih.gov/pubmed/9702843</v>
      </c>
      <c r="D2074" s="232" t="str">
        <f>IF(AND(A2074&lt;&gt;"",ISNUMBER(A2074)),VLOOKUP(A2074,Studies!A:BR,4,FALSE),"")</f>
        <v>IV 200 mg OD</v>
      </c>
      <c r="E2074" s="206" t="str">
        <f>IF(AND(A2074&lt;&gt;"",ISNUMBER(A2074)),VLOOKUP(A2074,Studies!A:BR,5,FALSE),"")</f>
        <v>Itraconazole</v>
      </c>
      <c r="F2074" s="207" t="str">
        <f>IF(AND(A2074&lt;&gt;"",ISNUMBER(A2074)),VLOOKUP(A2074,Studies!A:BR,6,FALSE),"")</f>
        <v>Plasma</v>
      </c>
      <c r="G2074" s="194">
        <v>145.25</v>
      </c>
      <c r="H2074" s="194" t="s">
        <v>60</v>
      </c>
      <c r="I2074" s="187">
        <v>2370.8529472351074</v>
      </c>
      <c r="J2074" s="187" t="s">
        <v>1026</v>
      </c>
      <c r="K2074" s="187" t="s">
        <v>116</v>
      </c>
      <c r="L2074" s="195"/>
      <c r="M2074" s="195"/>
      <c r="N2074" s="195"/>
      <c r="O2074" s="199"/>
      <c r="P2074" s="188"/>
      <c r="Q2074" s="174">
        <f>IF(ISNUMBER(VLOOKUP(A2074,NotghiID!A:A,1,FALSE)),1,0)</f>
        <v>0</v>
      </c>
    </row>
    <row r="2075" spans="1:17" ht="14.25" x14ac:dyDescent="0.2">
      <c r="A2075" s="183">
        <v>545</v>
      </c>
      <c r="B2075" s="232" t="str">
        <f>IF(AND(A2075&lt;&gt;"",ISNUMBER(A2075)),VLOOKUP(A2075,Studies!A:BR,2,FALSE),"")</f>
        <v>Zhou 1998</v>
      </c>
      <c r="C2075" s="232" t="str">
        <f>IF(AND(A2075&lt;&gt;"",ISNUMBER(A2075)),VLOOKUP(A2075,Studies!A:BR,3,FALSE),"")</f>
        <v>https://www.ncbi.nlm.nih.gov/pubmed/9702843</v>
      </c>
      <c r="D2075" s="232" t="str">
        <f>IF(AND(A2075&lt;&gt;"",ISNUMBER(A2075)),VLOOKUP(A2075,Studies!A:BR,4,FALSE),"")</f>
        <v>IV 200 mg OD</v>
      </c>
      <c r="E2075" s="206" t="str">
        <f>IF(AND(A2075&lt;&gt;"",ISNUMBER(A2075)),VLOOKUP(A2075,Studies!A:BR,5,FALSE),"")</f>
        <v>Itraconazole</v>
      </c>
      <c r="F2075" s="207" t="str">
        <f>IF(AND(A2075&lt;&gt;"",ISNUMBER(A2075)),VLOOKUP(A2075,Studies!A:BR,6,FALSE),"")</f>
        <v>Plasma</v>
      </c>
      <c r="G2075" s="194">
        <v>145.5</v>
      </c>
      <c r="H2075" s="194" t="s">
        <v>60</v>
      </c>
      <c r="I2075" s="187">
        <v>2026.0660648345947</v>
      </c>
      <c r="J2075" s="187" t="s">
        <v>1026</v>
      </c>
      <c r="K2075" s="187" t="s">
        <v>116</v>
      </c>
      <c r="L2075" s="195"/>
      <c r="M2075" s="195"/>
      <c r="N2075" s="195"/>
      <c r="O2075" s="199"/>
      <c r="P2075" s="188"/>
      <c r="Q2075" s="174">
        <f>IF(ISNUMBER(VLOOKUP(A2075,NotghiID!A:A,1,FALSE)),1,0)</f>
        <v>0</v>
      </c>
    </row>
    <row r="2076" spans="1:17" ht="14.25" x14ac:dyDescent="0.2">
      <c r="A2076" s="183">
        <v>545</v>
      </c>
      <c r="B2076" s="232" t="str">
        <f>IF(AND(A2076&lt;&gt;"",ISNUMBER(A2076)),VLOOKUP(A2076,Studies!A:BR,2,FALSE),"")</f>
        <v>Zhou 1998</v>
      </c>
      <c r="C2076" s="232" t="str">
        <f>IF(AND(A2076&lt;&gt;"",ISNUMBER(A2076)),VLOOKUP(A2076,Studies!A:BR,3,FALSE),"")</f>
        <v>https://www.ncbi.nlm.nih.gov/pubmed/9702843</v>
      </c>
      <c r="D2076" s="232" t="str">
        <f>IF(AND(A2076&lt;&gt;"",ISNUMBER(A2076)),VLOOKUP(A2076,Studies!A:BR,4,FALSE),"")</f>
        <v>IV 200 mg OD</v>
      </c>
      <c r="E2076" s="206" t="str">
        <f>IF(AND(A2076&lt;&gt;"",ISNUMBER(A2076)),VLOOKUP(A2076,Studies!A:BR,5,FALSE),"")</f>
        <v>Itraconazole</v>
      </c>
      <c r="F2076" s="207" t="str">
        <f>IF(AND(A2076&lt;&gt;"",ISNUMBER(A2076)),VLOOKUP(A2076,Studies!A:BR,6,FALSE),"")</f>
        <v>Plasma</v>
      </c>
      <c r="G2076" s="194">
        <v>146</v>
      </c>
      <c r="H2076" s="194" t="s">
        <v>60</v>
      </c>
      <c r="I2076" s="187">
        <v>1890.9950256347656</v>
      </c>
      <c r="J2076" s="187" t="s">
        <v>1026</v>
      </c>
      <c r="K2076" s="187" t="s">
        <v>116</v>
      </c>
      <c r="L2076" s="195"/>
      <c r="M2076" s="195"/>
      <c r="N2076" s="195"/>
      <c r="O2076" s="199"/>
      <c r="P2076" s="188"/>
      <c r="Q2076" s="174">
        <f>IF(ISNUMBER(VLOOKUP(A2076,NotghiID!A:A,1,FALSE)),1,0)</f>
        <v>0</v>
      </c>
    </row>
    <row r="2077" spans="1:17" ht="14.25" x14ac:dyDescent="0.2">
      <c r="A2077" s="183">
        <v>545</v>
      </c>
      <c r="B2077" s="232" t="str">
        <f>IF(AND(A2077&lt;&gt;"",ISNUMBER(A2077)),VLOOKUP(A2077,Studies!A:BR,2,FALSE),"")</f>
        <v>Zhou 1998</v>
      </c>
      <c r="C2077" s="232" t="str">
        <f>IF(AND(A2077&lt;&gt;"",ISNUMBER(A2077)),VLOOKUP(A2077,Studies!A:BR,3,FALSE),"")</f>
        <v>https://www.ncbi.nlm.nih.gov/pubmed/9702843</v>
      </c>
      <c r="D2077" s="232" t="str">
        <f>IF(AND(A2077&lt;&gt;"",ISNUMBER(A2077)),VLOOKUP(A2077,Studies!A:BR,4,FALSE),"")</f>
        <v>IV 200 mg OD</v>
      </c>
      <c r="E2077" s="206" t="str">
        <f>IF(AND(A2077&lt;&gt;"",ISNUMBER(A2077)),VLOOKUP(A2077,Studies!A:BR,5,FALSE),"")</f>
        <v>Itraconazole</v>
      </c>
      <c r="F2077" s="207" t="str">
        <f>IF(AND(A2077&lt;&gt;"",ISNUMBER(A2077)),VLOOKUP(A2077,Studies!A:BR,6,FALSE),"")</f>
        <v>Plasma</v>
      </c>
      <c r="G2077" s="194">
        <v>147</v>
      </c>
      <c r="H2077" s="194" t="s">
        <v>60</v>
      </c>
      <c r="I2077" s="187">
        <v>1716.825008392334</v>
      </c>
      <c r="J2077" s="187" t="s">
        <v>1026</v>
      </c>
      <c r="K2077" s="187" t="s">
        <v>116</v>
      </c>
      <c r="L2077" s="195"/>
      <c r="M2077" s="195"/>
      <c r="N2077" s="195"/>
      <c r="O2077" s="199"/>
      <c r="P2077" s="188"/>
      <c r="Q2077" s="174">
        <f>IF(ISNUMBER(VLOOKUP(A2077,NotghiID!A:A,1,FALSE)),1,0)</f>
        <v>0</v>
      </c>
    </row>
    <row r="2078" spans="1:17" ht="14.25" x14ac:dyDescent="0.2">
      <c r="A2078" s="183">
        <v>545</v>
      </c>
      <c r="B2078" s="232" t="str">
        <f>IF(AND(A2078&lt;&gt;"",ISNUMBER(A2078)),VLOOKUP(A2078,Studies!A:BR,2,FALSE),"")</f>
        <v>Zhou 1998</v>
      </c>
      <c r="C2078" s="232" t="str">
        <f>IF(AND(A2078&lt;&gt;"",ISNUMBER(A2078)),VLOOKUP(A2078,Studies!A:BR,3,FALSE),"")</f>
        <v>https://www.ncbi.nlm.nih.gov/pubmed/9702843</v>
      </c>
      <c r="D2078" s="232" t="str">
        <f>IF(AND(A2078&lt;&gt;"",ISNUMBER(A2078)),VLOOKUP(A2078,Studies!A:BR,4,FALSE),"")</f>
        <v>IV 200 mg OD</v>
      </c>
      <c r="E2078" s="206" t="str">
        <f>IF(AND(A2078&lt;&gt;"",ISNUMBER(A2078)),VLOOKUP(A2078,Studies!A:BR,5,FALSE),"")</f>
        <v>Itraconazole</v>
      </c>
      <c r="F2078" s="207" t="str">
        <f>IF(AND(A2078&lt;&gt;"",ISNUMBER(A2078)),VLOOKUP(A2078,Studies!A:BR,6,FALSE),"")</f>
        <v>Plasma</v>
      </c>
      <c r="G2078" s="194">
        <v>149</v>
      </c>
      <c r="H2078" s="194" t="s">
        <v>60</v>
      </c>
      <c r="I2078" s="187">
        <v>1531.9900512695312</v>
      </c>
      <c r="J2078" s="187" t="s">
        <v>1026</v>
      </c>
      <c r="K2078" s="187" t="s">
        <v>116</v>
      </c>
      <c r="L2078" s="195"/>
      <c r="M2078" s="195"/>
      <c r="N2078" s="195"/>
      <c r="O2078" s="199"/>
      <c r="P2078" s="188"/>
      <c r="Q2078" s="174">
        <f>IF(ISNUMBER(VLOOKUP(A2078,NotghiID!A:A,1,FALSE)),1,0)</f>
        <v>0</v>
      </c>
    </row>
    <row r="2079" spans="1:17" ht="14.25" x14ac:dyDescent="0.2">
      <c r="A2079" s="183">
        <v>545</v>
      </c>
      <c r="B2079" s="232" t="str">
        <f>IF(AND(A2079&lt;&gt;"",ISNUMBER(A2079)),VLOOKUP(A2079,Studies!A:BR,2,FALSE),"")</f>
        <v>Zhou 1998</v>
      </c>
      <c r="C2079" s="232" t="str">
        <f>IF(AND(A2079&lt;&gt;"",ISNUMBER(A2079)),VLOOKUP(A2079,Studies!A:BR,3,FALSE),"")</f>
        <v>https://www.ncbi.nlm.nih.gov/pubmed/9702843</v>
      </c>
      <c r="D2079" s="232" t="str">
        <f>IF(AND(A2079&lt;&gt;"",ISNUMBER(A2079)),VLOOKUP(A2079,Studies!A:BR,4,FALSE),"")</f>
        <v>IV 200 mg OD</v>
      </c>
      <c r="E2079" s="206" t="str">
        <f>IF(AND(A2079&lt;&gt;"",ISNUMBER(A2079)),VLOOKUP(A2079,Studies!A:BR,5,FALSE),"")</f>
        <v>Itraconazole</v>
      </c>
      <c r="F2079" s="207" t="str">
        <f>IF(AND(A2079&lt;&gt;"",ISNUMBER(A2079)),VLOOKUP(A2079,Studies!A:BR,6,FALSE),"")</f>
        <v>Plasma</v>
      </c>
      <c r="G2079" s="194">
        <v>151</v>
      </c>
      <c r="H2079" s="194" t="s">
        <v>60</v>
      </c>
      <c r="I2079" s="187">
        <v>1354.2649745941162</v>
      </c>
      <c r="J2079" s="187" t="s">
        <v>1026</v>
      </c>
      <c r="K2079" s="187" t="s">
        <v>116</v>
      </c>
      <c r="L2079" s="195"/>
      <c r="M2079" s="195"/>
      <c r="N2079" s="195"/>
      <c r="O2079" s="199"/>
      <c r="P2079" s="188"/>
      <c r="Q2079" s="174">
        <f>IF(ISNUMBER(VLOOKUP(A2079,NotghiID!A:A,1,FALSE)),1,0)</f>
        <v>0</v>
      </c>
    </row>
    <row r="2080" spans="1:17" ht="14.25" x14ac:dyDescent="0.2">
      <c r="A2080" s="183">
        <v>545</v>
      </c>
      <c r="B2080" s="232" t="str">
        <f>IF(AND(A2080&lt;&gt;"",ISNUMBER(A2080)),VLOOKUP(A2080,Studies!A:BR,2,FALSE),"")</f>
        <v>Zhou 1998</v>
      </c>
      <c r="C2080" s="232" t="str">
        <f>IF(AND(A2080&lt;&gt;"",ISNUMBER(A2080)),VLOOKUP(A2080,Studies!A:BR,3,FALSE),"")</f>
        <v>https://www.ncbi.nlm.nih.gov/pubmed/9702843</v>
      </c>
      <c r="D2080" s="232" t="str">
        <f>IF(AND(A2080&lt;&gt;"",ISNUMBER(A2080)),VLOOKUP(A2080,Studies!A:BR,4,FALSE),"")</f>
        <v>IV 200 mg OD</v>
      </c>
      <c r="E2080" s="206" t="str">
        <f>IF(AND(A2080&lt;&gt;"",ISNUMBER(A2080)),VLOOKUP(A2080,Studies!A:BR,5,FALSE),"")</f>
        <v>Itraconazole</v>
      </c>
      <c r="F2080" s="207" t="str">
        <f>IF(AND(A2080&lt;&gt;"",ISNUMBER(A2080)),VLOOKUP(A2080,Studies!A:BR,6,FALSE),"")</f>
        <v>Plasma</v>
      </c>
      <c r="G2080" s="194">
        <v>153</v>
      </c>
      <c r="H2080" s="194" t="s">
        <v>60</v>
      </c>
      <c r="I2080" s="187">
        <v>1308.0569505691528</v>
      </c>
      <c r="J2080" s="187" t="s">
        <v>1026</v>
      </c>
      <c r="K2080" s="187" t="s">
        <v>116</v>
      </c>
      <c r="L2080" s="195"/>
      <c r="M2080" s="195"/>
      <c r="N2080" s="195"/>
      <c r="O2080" s="199"/>
      <c r="P2080" s="188"/>
      <c r="Q2080" s="174">
        <f>IF(ISNUMBER(VLOOKUP(A2080,NotghiID!A:A,1,FALSE)),1,0)</f>
        <v>0</v>
      </c>
    </row>
    <row r="2081" spans="1:17" ht="14.25" x14ac:dyDescent="0.2">
      <c r="A2081" s="183">
        <v>545</v>
      </c>
      <c r="B2081" s="232" t="str">
        <f>IF(AND(A2081&lt;&gt;"",ISNUMBER(A2081)),VLOOKUP(A2081,Studies!A:BR,2,FALSE),"")</f>
        <v>Zhou 1998</v>
      </c>
      <c r="C2081" s="232" t="str">
        <f>IF(AND(A2081&lt;&gt;"",ISNUMBER(A2081)),VLOOKUP(A2081,Studies!A:BR,3,FALSE),"")</f>
        <v>https://www.ncbi.nlm.nih.gov/pubmed/9702843</v>
      </c>
      <c r="D2081" s="232" t="str">
        <f>IF(AND(A2081&lt;&gt;"",ISNUMBER(A2081)),VLOOKUP(A2081,Studies!A:BR,4,FALSE),"")</f>
        <v>IV 200 mg OD</v>
      </c>
      <c r="E2081" s="206" t="str">
        <f>IF(AND(A2081&lt;&gt;"",ISNUMBER(A2081)),VLOOKUP(A2081,Studies!A:BR,5,FALSE),"")</f>
        <v>Itraconazole</v>
      </c>
      <c r="F2081" s="207" t="str">
        <f>IF(AND(A2081&lt;&gt;"",ISNUMBER(A2081)),VLOOKUP(A2081,Studies!A:BR,6,FALSE),"")</f>
        <v>Plasma</v>
      </c>
      <c r="G2081" s="194">
        <v>156</v>
      </c>
      <c r="H2081" s="194" t="s">
        <v>60</v>
      </c>
      <c r="I2081" s="187">
        <v>1144.5499658584595</v>
      </c>
      <c r="J2081" s="187" t="s">
        <v>1026</v>
      </c>
      <c r="K2081" s="187" t="s">
        <v>116</v>
      </c>
      <c r="L2081" s="195"/>
      <c r="M2081" s="195"/>
      <c r="N2081" s="195"/>
      <c r="O2081" s="199"/>
      <c r="P2081" s="188"/>
      <c r="Q2081" s="174">
        <f>IF(ISNUMBER(VLOOKUP(A2081,NotghiID!A:A,1,FALSE)),1,0)</f>
        <v>0</v>
      </c>
    </row>
    <row r="2082" spans="1:17" ht="14.25" x14ac:dyDescent="0.2">
      <c r="A2082" s="183">
        <v>545</v>
      </c>
      <c r="B2082" s="232" t="str">
        <f>IF(AND(A2082&lt;&gt;"",ISNUMBER(A2082)),VLOOKUP(A2082,Studies!A:BR,2,FALSE),"")</f>
        <v>Zhou 1998</v>
      </c>
      <c r="C2082" s="232" t="str">
        <f>IF(AND(A2082&lt;&gt;"",ISNUMBER(A2082)),VLOOKUP(A2082,Studies!A:BR,3,FALSE),"")</f>
        <v>https://www.ncbi.nlm.nih.gov/pubmed/9702843</v>
      </c>
      <c r="D2082" s="232" t="str">
        <f>IF(AND(A2082&lt;&gt;"",ISNUMBER(A2082)),VLOOKUP(A2082,Studies!A:BR,4,FALSE),"")</f>
        <v>IV 200 mg OD</v>
      </c>
      <c r="E2082" s="206" t="str">
        <f>IF(AND(A2082&lt;&gt;"",ISNUMBER(A2082)),VLOOKUP(A2082,Studies!A:BR,5,FALSE),"")</f>
        <v>Itraconazole</v>
      </c>
      <c r="F2082" s="207" t="str">
        <f>IF(AND(A2082&lt;&gt;"",ISNUMBER(A2082)),VLOOKUP(A2082,Studies!A:BR,6,FALSE),"")</f>
        <v>Plasma</v>
      </c>
      <c r="G2082" s="194">
        <v>168</v>
      </c>
      <c r="H2082" s="194" t="s">
        <v>60</v>
      </c>
      <c r="I2082" s="187">
        <v>917.06156730651855</v>
      </c>
      <c r="J2082" s="187" t="s">
        <v>1026</v>
      </c>
      <c r="K2082" s="187" t="s">
        <v>116</v>
      </c>
      <c r="L2082" s="195"/>
      <c r="M2082" s="195"/>
      <c r="N2082" s="195"/>
      <c r="O2082" s="199"/>
      <c r="P2082" s="188"/>
      <c r="Q2082" s="174">
        <f>IF(ISNUMBER(VLOOKUP(A2082,NotghiID!A:A,1,FALSE)),1,0)</f>
        <v>0</v>
      </c>
    </row>
    <row r="2083" spans="1:17" ht="14.25" x14ac:dyDescent="0.2">
      <c r="A2083" s="183">
        <v>546</v>
      </c>
      <c r="B2083" s="232" t="str">
        <f>IF(AND(A2083&lt;&gt;"",ISNUMBER(A2083)),VLOOKUP(A2083,Studies!A:BR,2,FALSE),"")</f>
        <v>Zhou 1998</v>
      </c>
      <c r="C2083" s="232" t="str">
        <f>IF(AND(A2083&lt;&gt;"",ISNUMBER(A2083)),VLOOKUP(A2083,Studies!A:BR,3,FALSE),"")</f>
        <v>https://www.ncbi.nlm.nih.gov/pubmed/9702843</v>
      </c>
      <c r="D2083" s="232" t="str">
        <f>IF(AND(A2083&lt;&gt;"",ISNUMBER(A2083)),VLOOKUP(A2083,Studies!A:BR,4,FALSE),"")</f>
        <v>IV 200 mg OD</v>
      </c>
      <c r="E2083" s="206" t="str">
        <f>IF(AND(A2083&lt;&gt;"",ISNUMBER(A2083)),VLOOKUP(A2083,Studies!A:BR,5,FALSE),"")</f>
        <v>Hydroxy-Itraconazole</v>
      </c>
      <c r="F2083" s="207" t="str">
        <f>IF(AND(A2083&lt;&gt;"",ISNUMBER(A2083)),VLOOKUP(A2083,Studies!A:BR,6,FALSE),"")</f>
        <v>Plasma</v>
      </c>
      <c r="G2083" s="194">
        <v>1</v>
      </c>
      <c r="H2083" s="194" t="s">
        <v>60</v>
      </c>
      <c r="I2083" s="187">
        <v>322.91668653488159</v>
      </c>
      <c r="J2083" s="187" t="s">
        <v>1026</v>
      </c>
      <c r="K2083" s="187" t="s">
        <v>116</v>
      </c>
      <c r="L2083" s="195"/>
      <c r="M2083" s="195"/>
      <c r="N2083" s="195"/>
      <c r="O2083" s="199"/>
      <c r="P2083" s="188"/>
      <c r="Q2083" s="174">
        <f>IF(ISNUMBER(VLOOKUP(A2083,NotghiID!A:A,1,FALSE)),1,0)</f>
        <v>0</v>
      </c>
    </row>
    <row r="2084" spans="1:17" ht="14.25" x14ac:dyDescent="0.2">
      <c r="A2084" s="183">
        <v>546</v>
      </c>
      <c r="B2084" s="232" t="str">
        <f>IF(AND(A2084&lt;&gt;"",ISNUMBER(A2084)),VLOOKUP(A2084,Studies!A:BR,2,FALSE),"")</f>
        <v>Zhou 1998</v>
      </c>
      <c r="C2084" s="232" t="str">
        <f>IF(AND(A2084&lt;&gt;"",ISNUMBER(A2084)),VLOOKUP(A2084,Studies!A:BR,3,FALSE),"")</f>
        <v>https://www.ncbi.nlm.nih.gov/pubmed/9702843</v>
      </c>
      <c r="D2084" s="232" t="str">
        <f>IF(AND(A2084&lt;&gt;"",ISNUMBER(A2084)),VLOOKUP(A2084,Studies!A:BR,4,FALSE),"")</f>
        <v>IV 200 mg OD</v>
      </c>
      <c r="E2084" s="206" t="str">
        <f>IF(AND(A2084&lt;&gt;"",ISNUMBER(A2084)),VLOOKUP(A2084,Studies!A:BR,5,FALSE),"")</f>
        <v>Hydroxy-Itraconazole</v>
      </c>
      <c r="F2084" s="207" t="str">
        <f>IF(AND(A2084&lt;&gt;"",ISNUMBER(A2084)),VLOOKUP(A2084,Studies!A:BR,6,FALSE),"")</f>
        <v>Plasma</v>
      </c>
      <c r="G2084" s="194">
        <v>12</v>
      </c>
      <c r="H2084" s="194" t="s">
        <v>60</v>
      </c>
      <c r="I2084" s="187">
        <v>354.16668653488159</v>
      </c>
      <c r="J2084" s="187" t="s">
        <v>1026</v>
      </c>
      <c r="K2084" s="187" t="s">
        <v>116</v>
      </c>
      <c r="L2084" s="195"/>
      <c r="M2084" s="195"/>
      <c r="N2084" s="195"/>
      <c r="O2084" s="199"/>
      <c r="P2084" s="188"/>
      <c r="Q2084" s="174">
        <f>IF(ISNUMBER(VLOOKUP(A2084,NotghiID!A:A,1,FALSE)),1,0)</f>
        <v>0</v>
      </c>
    </row>
    <row r="2085" spans="1:17" ht="14.25" x14ac:dyDescent="0.2">
      <c r="A2085" s="183">
        <v>546</v>
      </c>
      <c r="B2085" s="232" t="str">
        <f>IF(AND(A2085&lt;&gt;"",ISNUMBER(A2085)),VLOOKUP(A2085,Studies!A:BR,2,FALSE),"")</f>
        <v>Zhou 1998</v>
      </c>
      <c r="C2085" s="232" t="str">
        <f>IF(AND(A2085&lt;&gt;"",ISNUMBER(A2085)),VLOOKUP(A2085,Studies!A:BR,3,FALSE),"")</f>
        <v>https://www.ncbi.nlm.nih.gov/pubmed/9702843</v>
      </c>
      <c r="D2085" s="232" t="str">
        <f>IF(AND(A2085&lt;&gt;"",ISNUMBER(A2085)),VLOOKUP(A2085,Studies!A:BR,4,FALSE),"")</f>
        <v>IV 200 mg OD</v>
      </c>
      <c r="E2085" s="206" t="str">
        <f>IF(AND(A2085&lt;&gt;"",ISNUMBER(A2085)),VLOOKUP(A2085,Studies!A:BR,5,FALSE),"")</f>
        <v>Hydroxy-Itraconazole</v>
      </c>
      <c r="F2085" s="207" t="str">
        <f>IF(AND(A2085&lt;&gt;"",ISNUMBER(A2085)),VLOOKUP(A2085,Studies!A:BR,6,FALSE),"")</f>
        <v>Plasma</v>
      </c>
      <c r="G2085" s="194">
        <v>24</v>
      </c>
      <c r="H2085" s="194" t="s">
        <v>60</v>
      </c>
      <c r="I2085" s="187">
        <v>614.58331346511841</v>
      </c>
      <c r="J2085" s="187" t="s">
        <v>1026</v>
      </c>
      <c r="K2085" s="187" t="s">
        <v>116</v>
      </c>
      <c r="L2085" s="195"/>
      <c r="M2085" s="195"/>
      <c r="N2085" s="195"/>
      <c r="O2085" s="199"/>
      <c r="P2085" s="188"/>
      <c r="Q2085" s="174">
        <f>IF(ISNUMBER(VLOOKUP(A2085,NotghiID!A:A,1,FALSE)),1,0)</f>
        <v>0</v>
      </c>
    </row>
    <row r="2086" spans="1:17" ht="14.25" x14ac:dyDescent="0.2">
      <c r="A2086" s="183">
        <v>546</v>
      </c>
      <c r="B2086" s="232" t="str">
        <f>IF(AND(A2086&lt;&gt;"",ISNUMBER(A2086)),VLOOKUP(A2086,Studies!A:BR,2,FALSE),"")</f>
        <v>Zhou 1998</v>
      </c>
      <c r="C2086" s="232" t="str">
        <f>IF(AND(A2086&lt;&gt;"",ISNUMBER(A2086)),VLOOKUP(A2086,Studies!A:BR,3,FALSE),"")</f>
        <v>https://www.ncbi.nlm.nih.gov/pubmed/9702843</v>
      </c>
      <c r="D2086" s="232" t="str">
        <f>IF(AND(A2086&lt;&gt;"",ISNUMBER(A2086)),VLOOKUP(A2086,Studies!A:BR,4,FALSE),"")</f>
        <v>IV 200 mg OD</v>
      </c>
      <c r="E2086" s="206" t="str">
        <f>IF(AND(A2086&lt;&gt;"",ISNUMBER(A2086)),VLOOKUP(A2086,Studies!A:BR,5,FALSE),"")</f>
        <v>Hydroxy-Itraconazole</v>
      </c>
      <c r="F2086" s="207" t="str">
        <f>IF(AND(A2086&lt;&gt;"",ISNUMBER(A2086)),VLOOKUP(A2086,Studies!A:BR,6,FALSE),"")</f>
        <v>Plasma</v>
      </c>
      <c r="G2086" s="194">
        <v>36</v>
      </c>
      <c r="H2086" s="194" t="s">
        <v>60</v>
      </c>
      <c r="I2086" s="187">
        <v>711.80552244186401</v>
      </c>
      <c r="J2086" s="187" t="s">
        <v>1026</v>
      </c>
      <c r="K2086" s="187" t="s">
        <v>116</v>
      </c>
      <c r="L2086" s="195"/>
      <c r="M2086" s="195"/>
      <c r="N2086" s="195"/>
      <c r="O2086" s="199"/>
      <c r="P2086" s="188"/>
      <c r="Q2086" s="174">
        <f>IF(ISNUMBER(VLOOKUP(A2086,NotghiID!A:A,1,FALSE)),1,0)</f>
        <v>0</v>
      </c>
    </row>
    <row r="2087" spans="1:17" ht="14.25" x14ac:dyDescent="0.2">
      <c r="A2087" s="183">
        <v>546</v>
      </c>
      <c r="B2087" s="232" t="str">
        <f>IF(AND(A2087&lt;&gt;"",ISNUMBER(A2087)),VLOOKUP(A2087,Studies!A:BR,2,FALSE),"")</f>
        <v>Zhou 1998</v>
      </c>
      <c r="C2087" s="232" t="str">
        <f>IF(AND(A2087&lt;&gt;"",ISNUMBER(A2087)),VLOOKUP(A2087,Studies!A:BR,3,FALSE),"")</f>
        <v>https://www.ncbi.nlm.nih.gov/pubmed/9702843</v>
      </c>
      <c r="D2087" s="232" t="str">
        <f>IF(AND(A2087&lt;&gt;"",ISNUMBER(A2087)),VLOOKUP(A2087,Studies!A:BR,4,FALSE),"")</f>
        <v>IV 200 mg OD</v>
      </c>
      <c r="E2087" s="206" t="str">
        <f>IF(AND(A2087&lt;&gt;"",ISNUMBER(A2087)),VLOOKUP(A2087,Studies!A:BR,5,FALSE),"")</f>
        <v>Hydroxy-Itraconazole</v>
      </c>
      <c r="F2087" s="207" t="str">
        <f>IF(AND(A2087&lt;&gt;"",ISNUMBER(A2087)),VLOOKUP(A2087,Studies!A:BR,6,FALSE),"")</f>
        <v>Plasma</v>
      </c>
      <c r="G2087" s="194">
        <v>48</v>
      </c>
      <c r="H2087" s="194" t="s">
        <v>60</v>
      </c>
      <c r="I2087" s="187">
        <v>1083.3330154418945</v>
      </c>
      <c r="J2087" s="187" t="s">
        <v>1026</v>
      </c>
      <c r="K2087" s="187" t="s">
        <v>116</v>
      </c>
      <c r="L2087" s="195"/>
      <c r="M2087" s="195"/>
      <c r="N2087" s="195"/>
      <c r="O2087" s="199"/>
      <c r="P2087" s="188"/>
      <c r="Q2087" s="174">
        <f>IF(ISNUMBER(VLOOKUP(A2087,NotghiID!A:A,1,FALSE)),1,0)</f>
        <v>0</v>
      </c>
    </row>
    <row r="2088" spans="1:17" ht="14.25" x14ac:dyDescent="0.2">
      <c r="A2088" s="183">
        <v>546</v>
      </c>
      <c r="B2088" s="232" t="str">
        <f>IF(AND(A2088&lt;&gt;"",ISNUMBER(A2088)),VLOOKUP(A2088,Studies!A:BR,2,FALSE),"")</f>
        <v>Zhou 1998</v>
      </c>
      <c r="C2088" s="232" t="str">
        <f>IF(AND(A2088&lt;&gt;"",ISNUMBER(A2088)),VLOOKUP(A2088,Studies!A:BR,3,FALSE),"")</f>
        <v>https://www.ncbi.nlm.nih.gov/pubmed/9702843</v>
      </c>
      <c r="D2088" s="232" t="str">
        <f>IF(AND(A2088&lt;&gt;"",ISNUMBER(A2088)),VLOOKUP(A2088,Studies!A:BR,4,FALSE),"")</f>
        <v>IV 200 mg OD</v>
      </c>
      <c r="E2088" s="206" t="str">
        <f>IF(AND(A2088&lt;&gt;"",ISNUMBER(A2088)),VLOOKUP(A2088,Studies!A:BR,5,FALSE),"")</f>
        <v>Hydroxy-Itraconazole</v>
      </c>
      <c r="F2088" s="207" t="str">
        <f>IF(AND(A2088&lt;&gt;"",ISNUMBER(A2088)),VLOOKUP(A2088,Studies!A:BR,6,FALSE),"")</f>
        <v>Plasma</v>
      </c>
      <c r="G2088" s="194">
        <v>72</v>
      </c>
      <c r="H2088" s="194" t="s">
        <v>60</v>
      </c>
      <c r="I2088" s="187">
        <v>1385.4169845581055</v>
      </c>
      <c r="J2088" s="187" t="s">
        <v>1026</v>
      </c>
      <c r="K2088" s="187" t="s">
        <v>116</v>
      </c>
      <c r="L2088" s="195"/>
      <c r="M2088" s="195"/>
      <c r="N2088" s="195"/>
      <c r="O2088" s="199"/>
      <c r="P2088" s="188"/>
      <c r="Q2088" s="174">
        <f>IF(ISNUMBER(VLOOKUP(A2088,NotghiID!A:A,1,FALSE)),1,0)</f>
        <v>0</v>
      </c>
    </row>
    <row r="2089" spans="1:17" ht="14.25" x14ac:dyDescent="0.2">
      <c r="A2089" s="183">
        <v>546</v>
      </c>
      <c r="B2089" s="232" t="str">
        <f>IF(AND(A2089&lt;&gt;"",ISNUMBER(A2089)),VLOOKUP(A2089,Studies!A:BR,2,FALSE),"")</f>
        <v>Zhou 1998</v>
      </c>
      <c r="C2089" s="232" t="str">
        <f>IF(AND(A2089&lt;&gt;"",ISNUMBER(A2089)),VLOOKUP(A2089,Studies!A:BR,3,FALSE),"")</f>
        <v>https://www.ncbi.nlm.nih.gov/pubmed/9702843</v>
      </c>
      <c r="D2089" s="232" t="str">
        <f>IF(AND(A2089&lt;&gt;"",ISNUMBER(A2089)),VLOOKUP(A2089,Studies!A:BR,4,FALSE),"")</f>
        <v>IV 200 mg OD</v>
      </c>
      <c r="E2089" s="206" t="str">
        <f>IF(AND(A2089&lt;&gt;"",ISNUMBER(A2089)),VLOOKUP(A2089,Studies!A:BR,5,FALSE),"")</f>
        <v>Hydroxy-Itraconazole</v>
      </c>
      <c r="F2089" s="207" t="str">
        <f>IF(AND(A2089&lt;&gt;"",ISNUMBER(A2089)),VLOOKUP(A2089,Studies!A:BR,6,FALSE),"")</f>
        <v>Plasma</v>
      </c>
      <c r="G2089" s="194">
        <v>96</v>
      </c>
      <c r="H2089" s="194" t="s">
        <v>60</v>
      </c>
      <c r="I2089" s="187">
        <v>1579.8609256744385</v>
      </c>
      <c r="J2089" s="187" t="s">
        <v>1026</v>
      </c>
      <c r="K2089" s="187" t="s">
        <v>116</v>
      </c>
      <c r="L2089" s="195"/>
      <c r="M2089" s="195"/>
      <c r="N2089" s="195"/>
      <c r="O2089" s="199"/>
      <c r="P2089" s="188"/>
      <c r="Q2089" s="174">
        <f>IF(ISNUMBER(VLOOKUP(A2089,NotghiID!A:A,1,FALSE)),1,0)</f>
        <v>0</v>
      </c>
    </row>
    <row r="2090" spans="1:17" ht="14.25" x14ac:dyDescent="0.2">
      <c r="A2090" s="183">
        <v>546</v>
      </c>
      <c r="B2090" s="232" t="str">
        <f>IF(AND(A2090&lt;&gt;"",ISNUMBER(A2090)),VLOOKUP(A2090,Studies!A:BR,2,FALSE),"")</f>
        <v>Zhou 1998</v>
      </c>
      <c r="C2090" s="232" t="str">
        <f>IF(AND(A2090&lt;&gt;"",ISNUMBER(A2090)),VLOOKUP(A2090,Studies!A:BR,3,FALSE),"")</f>
        <v>https://www.ncbi.nlm.nih.gov/pubmed/9702843</v>
      </c>
      <c r="D2090" s="232" t="str">
        <f>IF(AND(A2090&lt;&gt;"",ISNUMBER(A2090)),VLOOKUP(A2090,Studies!A:BR,4,FALSE),"")</f>
        <v>IV 200 mg OD</v>
      </c>
      <c r="E2090" s="206" t="str">
        <f>IF(AND(A2090&lt;&gt;"",ISNUMBER(A2090)),VLOOKUP(A2090,Studies!A:BR,5,FALSE),"")</f>
        <v>Hydroxy-Itraconazole</v>
      </c>
      <c r="F2090" s="207" t="str">
        <f>IF(AND(A2090&lt;&gt;"",ISNUMBER(A2090)),VLOOKUP(A2090,Studies!A:BR,6,FALSE),"")</f>
        <v>Plasma</v>
      </c>
      <c r="G2090" s="194">
        <v>120</v>
      </c>
      <c r="H2090" s="194" t="s">
        <v>60</v>
      </c>
      <c r="I2090" s="187">
        <v>1652.7780294418335</v>
      </c>
      <c r="J2090" s="187" t="s">
        <v>1026</v>
      </c>
      <c r="K2090" s="187" t="s">
        <v>116</v>
      </c>
      <c r="L2090" s="195"/>
      <c r="M2090" s="195"/>
      <c r="N2090" s="195"/>
      <c r="O2090" s="199"/>
      <c r="P2090" s="188"/>
      <c r="Q2090" s="174">
        <f>IF(ISNUMBER(VLOOKUP(A2090,NotghiID!A:A,1,FALSE)),1,0)</f>
        <v>0</v>
      </c>
    </row>
    <row r="2091" spans="1:17" ht="14.25" x14ac:dyDescent="0.2">
      <c r="A2091" s="183">
        <v>546</v>
      </c>
      <c r="B2091" s="232" t="str">
        <f>IF(AND(A2091&lt;&gt;"",ISNUMBER(A2091)),VLOOKUP(A2091,Studies!A:BR,2,FALSE),"")</f>
        <v>Zhou 1998</v>
      </c>
      <c r="C2091" s="232" t="str">
        <f>IF(AND(A2091&lt;&gt;"",ISNUMBER(A2091)),VLOOKUP(A2091,Studies!A:BR,3,FALSE),"")</f>
        <v>https://www.ncbi.nlm.nih.gov/pubmed/9702843</v>
      </c>
      <c r="D2091" s="232" t="str">
        <f>IF(AND(A2091&lt;&gt;"",ISNUMBER(A2091)),VLOOKUP(A2091,Studies!A:BR,4,FALSE),"")</f>
        <v>IV 200 mg OD</v>
      </c>
      <c r="E2091" s="206" t="str">
        <f>IF(AND(A2091&lt;&gt;"",ISNUMBER(A2091)),VLOOKUP(A2091,Studies!A:BR,5,FALSE),"")</f>
        <v>Hydroxy-Itraconazole</v>
      </c>
      <c r="F2091" s="207" t="str">
        <f>IF(AND(A2091&lt;&gt;"",ISNUMBER(A2091)),VLOOKUP(A2091,Studies!A:BR,6,FALSE),"")</f>
        <v>Plasma</v>
      </c>
      <c r="G2091" s="194">
        <v>144</v>
      </c>
      <c r="H2091" s="194" t="s">
        <v>60</v>
      </c>
      <c r="I2091" s="187">
        <v>1576.388955116272</v>
      </c>
      <c r="J2091" s="187" t="s">
        <v>1026</v>
      </c>
      <c r="K2091" s="187" t="s">
        <v>116</v>
      </c>
      <c r="L2091" s="195"/>
      <c r="M2091" s="195"/>
      <c r="N2091" s="195"/>
      <c r="O2091" s="199"/>
      <c r="P2091" s="188"/>
      <c r="Q2091" s="174">
        <f>IF(ISNUMBER(VLOOKUP(A2091,NotghiID!A:A,1,FALSE)),1,0)</f>
        <v>0</v>
      </c>
    </row>
    <row r="2092" spans="1:17" ht="14.25" x14ac:dyDescent="0.2">
      <c r="A2092" s="183">
        <v>546</v>
      </c>
      <c r="B2092" s="232" t="str">
        <f>IF(AND(A2092&lt;&gt;"",ISNUMBER(A2092)),VLOOKUP(A2092,Studies!A:BR,2,FALSE),"")</f>
        <v>Zhou 1998</v>
      </c>
      <c r="C2092" s="232" t="str">
        <f>IF(AND(A2092&lt;&gt;"",ISNUMBER(A2092)),VLOOKUP(A2092,Studies!A:BR,3,FALSE),"")</f>
        <v>https://www.ncbi.nlm.nih.gov/pubmed/9702843</v>
      </c>
      <c r="D2092" s="232" t="str">
        <f>IF(AND(A2092&lt;&gt;"",ISNUMBER(A2092)),VLOOKUP(A2092,Studies!A:BR,4,FALSE),"")</f>
        <v>IV 200 mg OD</v>
      </c>
      <c r="E2092" s="206" t="str">
        <f>IF(AND(A2092&lt;&gt;"",ISNUMBER(A2092)),VLOOKUP(A2092,Studies!A:BR,5,FALSE),"")</f>
        <v>Hydroxy-Itraconazole</v>
      </c>
      <c r="F2092" s="207" t="str">
        <f>IF(AND(A2092&lt;&gt;"",ISNUMBER(A2092)),VLOOKUP(A2092,Studies!A:BR,6,FALSE),"")</f>
        <v>Plasma</v>
      </c>
      <c r="G2092" s="194">
        <v>168</v>
      </c>
      <c r="H2092" s="194" t="s">
        <v>60</v>
      </c>
      <c r="I2092" s="187">
        <v>1756.9440603256226</v>
      </c>
      <c r="J2092" s="187" t="s">
        <v>1026</v>
      </c>
      <c r="K2092" s="187" t="s">
        <v>116</v>
      </c>
      <c r="L2092" s="195"/>
      <c r="M2092" s="195"/>
      <c r="N2092" s="195"/>
      <c r="O2092" s="199"/>
      <c r="P2092" s="188"/>
      <c r="Q2092" s="174">
        <f>IF(ISNUMBER(VLOOKUP(A2092,NotghiID!A:A,1,FALSE)),1,0)</f>
        <v>0</v>
      </c>
    </row>
    <row r="2093" spans="1:17" ht="14.25" x14ac:dyDescent="0.2">
      <c r="A2093" s="183">
        <v>547</v>
      </c>
      <c r="B2093" s="232" t="str">
        <f>IF(AND(A2093&lt;&gt;"",ISNUMBER(A2093)),VLOOKUP(A2093,Studies!A:BR,2,FALSE),"")</f>
        <v>Rouini 2005</v>
      </c>
      <c r="C2093" s="232" t="str">
        <f>IF(AND(A2093&lt;&gt;"",ISNUMBER(A2093)),VLOOKUP(A2093,Studies!A:BR,3,FALSE),"")</f>
        <v>https://www.ncbi.nlm.nih.gov/pubmed/14698254</v>
      </c>
      <c r="D2093" s="232" t="str">
        <f>IF(AND(A2093&lt;&gt;"",ISNUMBER(A2093)),VLOOKUP(A2093,Studies!A:BR,4,FALSE),"")</f>
        <v>Reference</v>
      </c>
      <c r="E2093" s="206" t="str">
        <f>IF(AND(A2093&lt;&gt;"",ISNUMBER(A2093)),VLOOKUP(A2093,Studies!A:BR,5,FALSE),"")</f>
        <v>Mefenamic acid</v>
      </c>
      <c r="F2093" s="207" t="str">
        <f>IF(AND(A2093&lt;&gt;"",ISNUMBER(A2093)),VLOOKUP(A2093,Studies!A:BR,6,FALSE),"")</f>
        <v>Plasma</v>
      </c>
      <c r="G2093" s="194">
        <v>0.5</v>
      </c>
      <c r="H2093" s="194" t="s">
        <v>60</v>
      </c>
      <c r="I2093" s="187">
        <v>1754.4760000000001</v>
      </c>
      <c r="J2093" s="187" t="s">
        <v>1026</v>
      </c>
      <c r="K2093" s="187" t="s">
        <v>116</v>
      </c>
      <c r="L2093" s="195"/>
      <c r="M2093" s="195"/>
      <c r="N2093" s="195"/>
      <c r="O2093" s="199"/>
      <c r="P2093" s="188"/>
      <c r="Q2093" s="174">
        <f>IF(ISNUMBER(VLOOKUP(A2093,NotghiID!A:A,1,FALSE)),1,0)</f>
        <v>0</v>
      </c>
    </row>
    <row r="2094" spans="1:17" ht="14.25" x14ac:dyDescent="0.2">
      <c r="A2094" s="183">
        <v>547</v>
      </c>
      <c r="B2094" s="232" t="str">
        <f>IF(AND(A2094&lt;&gt;"",ISNUMBER(A2094)),VLOOKUP(A2094,Studies!A:BR,2,FALSE),"")</f>
        <v>Rouini 2005</v>
      </c>
      <c r="C2094" s="232" t="str">
        <f>IF(AND(A2094&lt;&gt;"",ISNUMBER(A2094)),VLOOKUP(A2094,Studies!A:BR,3,FALSE),"")</f>
        <v>https://www.ncbi.nlm.nih.gov/pubmed/14698254</v>
      </c>
      <c r="D2094" s="232" t="str">
        <f>IF(AND(A2094&lt;&gt;"",ISNUMBER(A2094)),VLOOKUP(A2094,Studies!A:BR,4,FALSE),"")</f>
        <v>Reference</v>
      </c>
      <c r="E2094" s="206" t="str">
        <f>IF(AND(A2094&lt;&gt;"",ISNUMBER(A2094)),VLOOKUP(A2094,Studies!A:BR,5,FALSE),"")</f>
        <v>Mefenamic acid</v>
      </c>
      <c r="F2094" s="207" t="str">
        <f>IF(AND(A2094&lt;&gt;"",ISNUMBER(A2094)),VLOOKUP(A2094,Studies!A:BR,6,FALSE),"")</f>
        <v>Plasma</v>
      </c>
      <c r="G2094" s="194">
        <v>1</v>
      </c>
      <c r="H2094" s="194" t="s">
        <v>60</v>
      </c>
      <c r="I2094" s="187">
        <v>2604.8589999999999</v>
      </c>
      <c r="J2094" s="187" t="s">
        <v>1026</v>
      </c>
      <c r="K2094" s="187" t="s">
        <v>116</v>
      </c>
      <c r="L2094" s="195"/>
      <c r="M2094" s="195"/>
      <c r="N2094" s="195"/>
      <c r="O2094" s="199"/>
      <c r="P2094" s="188"/>
      <c r="Q2094" s="174">
        <f>IF(ISNUMBER(VLOOKUP(A2094,NotghiID!A:A,1,FALSE)),1,0)</f>
        <v>0</v>
      </c>
    </row>
    <row r="2095" spans="1:17" ht="14.25" x14ac:dyDescent="0.2">
      <c r="A2095" s="183">
        <v>547</v>
      </c>
      <c r="B2095" s="232" t="str">
        <f>IF(AND(A2095&lt;&gt;"",ISNUMBER(A2095)),VLOOKUP(A2095,Studies!A:BR,2,FALSE),"")</f>
        <v>Rouini 2005</v>
      </c>
      <c r="C2095" s="232" t="str">
        <f>IF(AND(A2095&lt;&gt;"",ISNUMBER(A2095)),VLOOKUP(A2095,Studies!A:BR,3,FALSE),"")</f>
        <v>https://www.ncbi.nlm.nih.gov/pubmed/14698254</v>
      </c>
      <c r="D2095" s="232" t="str">
        <f>IF(AND(A2095&lt;&gt;"",ISNUMBER(A2095)),VLOOKUP(A2095,Studies!A:BR,4,FALSE),"")</f>
        <v>Reference</v>
      </c>
      <c r="E2095" s="206" t="str">
        <f>IF(AND(A2095&lt;&gt;"",ISNUMBER(A2095)),VLOOKUP(A2095,Studies!A:BR,5,FALSE),"")</f>
        <v>Mefenamic acid</v>
      </c>
      <c r="F2095" s="207" t="str">
        <f>IF(AND(A2095&lt;&gt;"",ISNUMBER(A2095)),VLOOKUP(A2095,Studies!A:BR,6,FALSE),"")</f>
        <v>Plasma</v>
      </c>
      <c r="G2095" s="194">
        <v>1.5</v>
      </c>
      <c r="H2095" s="194" t="s">
        <v>60</v>
      </c>
      <c r="I2095" s="187">
        <v>3079.2840000000001</v>
      </c>
      <c r="J2095" s="187" t="s">
        <v>1026</v>
      </c>
      <c r="K2095" s="187" t="s">
        <v>116</v>
      </c>
      <c r="L2095" s="195"/>
      <c r="M2095" s="195"/>
      <c r="N2095" s="195"/>
      <c r="O2095" s="199"/>
      <c r="P2095" s="188"/>
      <c r="Q2095" s="174">
        <f>IF(ISNUMBER(VLOOKUP(A2095,NotghiID!A:A,1,FALSE)),1,0)</f>
        <v>0</v>
      </c>
    </row>
    <row r="2096" spans="1:17" ht="14.25" x14ac:dyDescent="0.2">
      <c r="A2096" s="183">
        <v>547</v>
      </c>
      <c r="B2096" s="232" t="str">
        <f>IF(AND(A2096&lt;&gt;"",ISNUMBER(A2096)),VLOOKUP(A2096,Studies!A:BR,2,FALSE),"")</f>
        <v>Rouini 2005</v>
      </c>
      <c r="C2096" s="232" t="str">
        <f>IF(AND(A2096&lt;&gt;"",ISNUMBER(A2096)),VLOOKUP(A2096,Studies!A:BR,3,FALSE),"")</f>
        <v>https://www.ncbi.nlm.nih.gov/pubmed/14698254</v>
      </c>
      <c r="D2096" s="232" t="str">
        <f>IF(AND(A2096&lt;&gt;"",ISNUMBER(A2096)),VLOOKUP(A2096,Studies!A:BR,4,FALSE),"")</f>
        <v>Reference</v>
      </c>
      <c r="E2096" s="206" t="str">
        <f>IF(AND(A2096&lt;&gt;"",ISNUMBER(A2096)),VLOOKUP(A2096,Studies!A:BR,5,FALSE),"")</f>
        <v>Mefenamic acid</v>
      </c>
      <c r="F2096" s="207" t="str">
        <f>IF(AND(A2096&lt;&gt;"",ISNUMBER(A2096)),VLOOKUP(A2096,Studies!A:BR,6,FALSE),"")</f>
        <v>Plasma</v>
      </c>
      <c r="G2096" s="194">
        <v>2</v>
      </c>
      <c r="H2096" s="194" t="s">
        <v>60</v>
      </c>
      <c r="I2096" s="187">
        <v>2542.1990000000001</v>
      </c>
      <c r="J2096" s="187" t="s">
        <v>1026</v>
      </c>
      <c r="K2096" s="187" t="s">
        <v>116</v>
      </c>
      <c r="L2096" s="195"/>
      <c r="M2096" s="195"/>
      <c r="N2096" s="195"/>
      <c r="O2096" s="199"/>
      <c r="P2096" s="188"/>
      <c r="Q2096" s="174">
        <f>IF(ISNUMBER(VLOOKUP(A2096,NotghiID!A:A,1,FALSE)),1,0)</f>
        <v>0</v>
      </c>
    </row>
    <row r="2097" spans="1:17" ht="14.25" x14ac:dyDescent="0.2">
      <c r="A2097" s="183">
        <v>547</v>
      </c>
      <c r="B2097" s="232" t="str">
        <f>IF(AND(A2097&lt;&gt;"",ISNUMBER(A2097)),VLOOKUP(A2097,Studies!A:BR,2,FALSE),"")</f>
        <v>Rouini 2005</v>
      </c>
      <c r="C2097" s="232" t="str">
        <f>IF(AND(A2097&lt;&gt;"",ISNUMBER(A2097)),VLOOKUP(A2097,Studies!A:BR,3,FALSE),"")</f>
        <v>https://www.ncbi.nlm.nih.gov/pubmed/14698254</v>
      </c>
      <c r="D2097" s="232" t="str">
        <f>IF(AND(A2097&lt;&gt;"",ISNUMBER(A2097)),VLOOKUP(A2097,Studies!A:BR,4,FALSE),"")</f>
        <v>Reference</v>
      </c>
      <c r="E2097" s="206" t="str">
        <f>IF(AND(A2097&lt;&gt;"",ISNUMBER(A2097)),VLOOKUP(A2097,Studies!A:BR,5,FALSE),"")</f>
        <v>Mefenamic acid</v>
      </c>
      <c r="F2097" s="207" t="str">
        <f>IF(AND(A2097&lt;&gt;"",ISNUMBER(A2097)),VLOOKUP(A2097,Studies!A:BR,6,FALSE),"")</f>
        <v>Plasma</v>
      </c>
      <c r="G2097" s="194">
        <v>2.5</v>
      </c>
      <c r="H2097" s="194" t="s">
        <v>60</v>
      </c>
      <c r="I2097" s="187">
        <v>2345.2689999999998</v>
      </c>
      <c r="J2097" s="187" t="s">
        <v>1026</v>
      </c>
      <c r="K2097" s="187" t="s">
        <v>116</v>
      </c>
      <c r="L2097" s="195"/>
      <c r="M2097" s="195"/>
      <c r="N2097" s="195"/>
      <c r="O2097" s="199"/>
      <c r="P2097" s="188"/>
      <c r="Q2097" s="174">
        <f>IF(ISNUMBER(VLOOKUP(A2097,NotghiID!A:A,1,FALSE)),1,0)</f>
        <v>0</v>
      </c>
    </row>
    <row r="2098" spans="1:17" ht="14.25" x14ac:dyDescent="0.2">
      <c r="A2098" s="183">
        <v>547</v>
      </c>
      <c r="B2098" s="232" t="str">
        <f>IF(AND(A2098&lt;&gt;"",ISNUMBER(A2098)),VLOOKUP(A2098,Studies!A:BR,2,FALSE),"")</f>
        <v>Rouini 2005</v>
      </c>
      <c r="C2098" s="232" t="str">
        <f>IF(AND(A2098&lt;&gt;"",ISNUMBER(A2098)),VLOOKUP(A2098,Studies!A:BR,3,FALSE),"")</f>
        <v>https://www.ncbi.nlm.nih.gov/pubmed/14698254</v>
      </c>
      <c r="D2098" s="232" t="str">
        <f>IF(AND(A2098&lt;&gt;"",ISNUMBER(A2098)),VLOOKUP(A2098,Studies!A:BR,4,FALSE),"")</f>
        <v>Reference</v>
      </c>
      <c r="E2098" s="206" t="str">
        <f>IF(AND(A2098&lt;&gt;"",ISNUMBER(A2098)),VLOOKUP(A2098,Studies!A:BR,5,FALSE),"")</f>
        <v>Mefenamic acid</v>
      </c>
      <c r="F2098" s="207" t="str">
        <f>IF(AND(A2098&lt;&gt;"",ISNUMBER(A2098)),VLOOKUP(A2098,Studies!A:BR,6,FALSE),"")</f>
        <v>Plasma</v>
      </c>
      <c r="G2098" s="194">
        <v>3</v>
      </c>
      <c r="H2098" s="194" t="s">
        <v>60</v>
      </c>
      <c r="I2098" s="187">
        <v>2067.7750000000001</v>
      </c>
      <c r="J2098" s="187" t="s">
        <v>1026</v>
      </c>
      <c r="K2098" s="187" t="s">
        <v>116</v>
      </c>
      <c r="L2098" s="195"/>
      <c r="M2098" s="195"/>
      <c r="N2098" s="195"/>
      <c r="O2098" s="199"/>
      <c r="P2098" s="188"/>
      <c r="Q2098" s="174">
        <f>IF(ISNUMBER(VLOOKUP(A2098,NotghiID!A:A,1,FALSE)),1,0)</f>
        <v>0</v>
      </c>
    </row>
    <row r="2099" spans="1:17" ht="14.25" x14ac:dyDescent="0.2">
      <c r="A2099" s="183">
        <v>547</v>
      </c>
      <c r="B2099" s="232" t="str">
        <f>IF(AND(A2099&lt;&gt;"",ISNUMBER(A2099)),VLOOKUP(A2099,Studies!A:BR,2,FALSE),"")</f>
        <v>Rouini 2005</v>
      </c>
      <c r="C2099" s="232" t="str">
        <f>IF(AND(A2099&lt;&gt;"",ISNUMBER(A2099)),VLOOKUP(A2099,Studies!A:BR,3,FALSE),"")</f>
        <v>https://www.ncbi.nlm.nih.gov/pubmed/14698254</v>
      </c>
      <c r="D2099" s="232" t="str">
        <f>IF(AND(A2099&lt;&gt;"",ISNUMBER(A2099)),VLOOKUP(A2099,Studies!A:BR,4,FALSE),"")</f>
        <v>Reference</v>
      </c>
      <c r="E2099" s="206" t="str">
        <f>IF(AND(A2099&lt;&gt;"",ISNUMBER(A2099)),VLOOKUP(A2099,Studies!A:BR,5,FALSE),"")</f>
        <v>Mefenamic acid</v>
      </c>
      <c r="F2099" s="207" t="str">
        <f>IF(AND(A2099&lt;&gt;"",ISNUMBER(A2099)),VLOOKUP(A2099,Studies!A:BR,6,FALSE),"")</f>
        <v>Plasma</v>
      </c>
      <c r="G2099" s="194">
        <v>3.5</v>
      </c>
      <c r="H2099" s="194" t="s">
        <v>60</v>
      </c>
      <c r="I2099" s="187">
        <v>1566.4960000000001</v>
      </c>
      <c r="J2099" s="187" t="s">
        <v>1026</v>
      </c>
      <c r="K2099" s="187" t="s">
        <v>116</v>
      </c>
      <c r="L2099" s="195"/>
      <c r="M2099" s="195"/>
      <c r="N2099" s="195"/>
      <c r="O2099" s="199"/>
      <c r="P2099" s="188"/>
      <c r="Q2099" s="174">
        <f>IF(ISNUMBER(VLOOKUP(A2099,NotghiID!A:A,1,FALSE)),1,0)</f>
        <v>0</v>
      </c>
    </row>
    <row r="2100" spans="1:17" ht="14.25" x14ac:dyDescent="0.2">
      <c r="A2100" s="183">
        <v>547</v>
      </c>
      <c r="B2100" s="232" t="str">
        <f>IF(AND(A2100&lt;&gt;"",ISNUMBER(A2100)),VLOOKUP(A2100,Studies!A:BR,2,FALSE),"")</f>
        <v>Rouini 2005</v>
      </c>
      <c r="C2100" s="232" t="str">
        <f>IF(AND(A2100&lt;&gt;"",ISNUMBER(A2100)),VLOOKUP(A2100,Studies!A:BR,3,FALSE),"")</f>
        <v>https://www.ncbi.nlm.nih.gov/pubmed/14698254</v>
      </c>
      <c r="D2100" s="232" t="str">
        <f>IF(AND(A2100&lt;&gt;"",ISNUMBER(A2100)),VLOOKUP(A2100,Studies!A:BR,4,FALSE),"")</f>
        <v>Reference</v>
      </c>
      <c r="E2100" s="206" t="str">
        <f>IF(AND(A2100&lt;&gt;"",ISNUMBER(A2100)),VLOOKUP(A2100,Studies!A:BR,5,FALSE),"")</f>
        <v>Mefenamic acid</v>
      </c>
      <c r="F2100" s="207" t="str">
        <f>IF(AND(A2100&lt;&gt;"",ISNUMBER(A2100)),VLOOKUP(A2100,Studies!A:BR,6,FALSE),"")</f>
        <v>Plasma</v>
      </c>
      <c r="G2100" s="194">
        <v>4</v>
      </c>
      <c r="H2100" s="194" t="s">
        <v>60</v>
      </c>
      <c r="I2100" s="187">
        <v>1101.0229999999999</v>
      </c>
      <c r="J2100" s="187" t="s">
        <v>1026</v>
      </c>
      <c r="K2100" s="187" t="s">
        <v>116</v>
      </c>
      <c r="L2100" s="195"/>
      <c r="M2100" s="195"/>
      <c r="N2100" s="195"/>
      <c r="O2100" s="199"/>
      <c r="P2100" s="188"/>
      <c r="Q2100" s="174">
        <f>IF(ISNUMBER(VLOOKUP(A2100,NotghiID!A:A,1,FALSE)),1,0)</f>
        <v>0</v>
      </c>
    </row>
    <row r="2101" spans="1:17" ht="14.25" x14ac:dyDescent="0.2">
      <c r="A2101" s="183">
        <v>547</v>
      </c>
      <c r="B2101" s="232" t="str">
        <f>IF(AND(A2101&lt;&gt;"",ISNUMBER(A2101)),VLOOKUP(A2101,Studies!A:BR,2,FALSE),"")</f>
        <v>Rouini 2005</v>
      </c>
      <c r="C2101" s="232" t="str">
        <f>IF(AND(A2101&lt;&gt;"",ISNUMBER(A2101)),VLOOKUP(A2101,Studies!A:BR,3,FALSE),"")</f>
        <v>https://www.ncbi.nlm.nih.gov/pubmed/14698254</v>
      </c>
      <c r="D2101" s="232" t="str">
        <f>IF(AND(A2101&lt;&gt;"",ISNUMBER(A2101)),VLOOKUP(A2101,Studies!A:BR,4,FALSE),"")</f>
        <v>Reference</v>
      </c>
      <c r="E2101" s="206" t="str">
        <f>IF(AND(A2101&lt;&gt;"",ISNUMBER(A2101)),VLOOKUP(A2101,Studies!A:BR,5,FALSE),"")</f>
        <v>Mefenamic acid</v>
      </c>
      <c r="F2101" s="207" t="str">
        <f>IF(AND(A2101&lt;&gt;"",ISNUMBER(A2101)),VLOOKUP(A2101,Studies!A:BR,6,FALSE),"")</f>
        <v>Plasma</v>
      </c>
      <c r="G2101" s="194">
        <v>5</v>
      </c>
      <c r="H2101" s="194" t="s">
        <v>60</v>
      </c>
      <c r="I2101" s="187">
        <v>599.74429999999995</v>
      </c>
      <c r="J2101" s="187" t="s">
        <v>1026</v>
      </c>
      <c r="K2101" s="187" t="s">
        <v>116</v>
      </c>
      <c r="L2101" s="195"/>
      <c r="M2101" s="195"/>
      <c r="N2101" s="195"/>
      <c r="O2101" s="199"/>
      <c r="P2101" s="188"/>
      <c r="Q2101" s="174">
        <f>IF(ISNUMBER(VLOOKUP(A2101,NotghiID!A:A,1,FALSE)),1,0)</f>
        <v>0</v>
      </c>
    </row>
    <row r="2102" spans="1:17" ht="14.25" x14ac:dyDescent="0.2">
      <c r="A2102" s="183">
        <v>547</v>
      </c>
      <c r="B2102" s="232" t="str">
        <f>IF(AND(A2102&lt;&gt;"",ISNUMBER(A2102)),VLOOKUP(A2102,Studies!A:BR,2,FALSE),"")</f>
        <v>Rouini 2005</v>
      </c>
      <c r="C2102" s="232" t="str">
        <f>IF(AND(A2102&lt;&gt;"",ISNUMBER(A2102)),VLOOKUP(A2102,Studies!A:BR,3,FALSE),"")</f>
        <v>https://www.ncbi.nlm.nih.gov/pubmed/14698254</v>
      </c>
      <c r="D2102" s="232" t="str">
        <f>IF(AND(A2102&lt;&gt;"",ISNUMBER(A2102)),VLOOKUP(A2102,Studies!A:BR,4,FALSE),"")</f>
        <v>Reference</v>
      </c>
      <c r="E2102" s="206" t="str">
        <f>IF(AND(A2102&lt;&gt;"",ISNUMBER(A2102)),VLOOKUP(A2102,Studies!A:BR,5,FALSE),"")</f>
        <v>Mefenamic acid</v>
      </c>
      <c r="F2102" s="207" t="str">
        <f>IF(AND(A2102&lt;&gt;"",ISNUMBER(A2102)),VLOOKUP(A2102,Studies!A:BR,6,FALSE),"")</f>
        <v>Plasma</v>
      </c>
      <c r="G2102" s="194">
        <v>6</v>
      </c>
      <c r="H2102" s="194" t="s">
        <v>60</v>
      </c>
      <c r="I2102" s="187">
        <v>358.05630000000002</v>
      </c>
      <c r="J2102" s="187" t="s">
        <v>1026</v>
      </c>
      <c r="K2102" s="187" t="s">
        <v>116</v>
      </c>
      <c r="L2102" s="195"/>
      <c r="M2102" s="195"/>
      <c r="N2102" s="195"/>
      <c r="O2102" s="199"/>
      <c r="P2102" s="188"/>
      <c r="Q2102" s="174">
        <f>IF(ISNUMBER(VLOOKUP(A2102,NotghiID!A:A,1,FALSE)),1,0)</f>
        <v>0</v>
      </c>
    </row>
    <row r="2103" spans="1:17" ht="14.25" x14ac:dyDescent="0.2">
      <c r="A2103" s="183">
        <v>547</v>
      </c>
      <c r="B2103" s="232" t="str">
        <f>IF(AND(A2103&lt;&gt;"",ISNUMBER(A2103)),VLOOKUP(A2103,Studies!A:BR,2,FALSE),"")</f>
        <v>Rouini 2005</v>
      </c>
      <c r="C2103" s="232" t="str">
        <f>IF(AND(A2103&lt;&gt;"",ISNUMBER(A2103)),VLOOKUP(A2103,Studies!A:BR,3,FALSE),"")</f>
        <v>https://www.ncbi.nlm.nih.gov/pubmed/14698254</v>
      </c>
      <c r="D2103" s="232" t="str">
        <f>IF(AND(A2103&lt;&gt;"",ISNUMBER(A2103)),VLOOKUP(A2103,Studies!A:BR,4,FALSE),"")</f>
        <v>Reference</v>
      </c>
      <c r="E2103" s="206" t="str">
        <f>IF(AND(A2103&lt;&gt;"",ISNUMBER(A2103)),VLOOKUP(A2103,Studies!A:BR,5,FALSE),"")</f>
        <v>Mefenamic acid</v>
      </c>
      <c r="F2103" s="207" t="str">
        <f>IF(AND(A2103&lt;&gt;"",ISNUMBER(A2103)),VLOOKUP(A2103,Studies!A:BR,6,FALSE),"")</f>
        <v>Plasma</v>
      </c>
      <c r="G2103" s="194">
        <v>8</v>
      </c>
      <c r="H2103" s="194" t="s">
        <v>60</v>
      </c>
      <c r="I2103" s="187">
        <v>250.63939999999999</v>
      </c>
      <c r="J2103" s="187" t="s">
        <v>1026</v>
      </c>
      <c r="K2103" s="187" t="s">
        <v>116</v>
      </c>
      <c r="L2103" s="195"/>
      <c r="M2103" s="195"/>
      <c r="N2103" s="195"/>
      <c r="O2103" s="199"/>
      <c r="P2103" s="188"/>
      <c r="Q2103" s="174">
        <f>IF(ISNUMBER(VLOOKUP(A2103,NotghiID!A:A,1,FALSE)),1,0)</f>
        <v>0</v>
      </c>
    </row>
    <row r="2104" spans="1:17" ht="14.25" x14ac:dyDescent="0.2">
      <c r="A2104" s="183">
        <v>547</v>
      </c>
      <c r="B2104" s="232" t="str">
        <f>IF(AND(A2104&lt;&gt;"",ISNUMBER(A2104)),VLOOKUP(A2104,Studies!A:BR,2,FALSE),"")</f>
        <v>Rouini 2005</v>
      </c>
      <c r="C2104" s="232" t="str">
        <f>IF(AND(A2104&lt;&gt;"",ISNUMBER(A2104)),VLOOKUP(A2104,Studies!A:BR,3,FALSE),"")</f>
        <v>https://www.ncbi.nlm.nih.gov/pubmed/14698254</v>
      </c>
      <c r="D2104" s="232" t="str">
        <f>IF(AND(A2104&lt;&gt;"",ISNUMBER(A2104)),VLOOKUP(A2104,Studies!A:BR,4,FALSE),"")</f>
        <v>Reference</v>
      </c>
      <c r="E2104" s="206" t="str">
        <f>IF(AND(A2104&lt;&gt;"",ISNUMBER(A2104)),VLOOKUP(A2104,Studies!A:BR,5,FALSE),"")</f>
        <v>Mefenamic acid</v>
      </c>
      <c r="F2104" s="207" t="str">
        <f>IF(AND(A2104&lt;&gt;"",ISNUMBER(A2104)),VLOOKUP(A2104,Studies!A:BR,6,FALSE),"")</f>
        <v>Plasma</v>
      </c>
      <c r="G2104" s="194">
        <v>10</v>
      </c>
      <c r="H2104" s="194" t="s">
        <v>60</v>
      </c>
      <c r="I2104" s="187">
        <v>161.12530000000001</v>
      </c>
      <c r="J2104" s="187" t="s">
        <v>1026</v>
      </c>
      <c r="K2104" s="187" t="s">
        <v>116</v>
      </c>
      <c r="L2104" s="195"/>
      <c r="M2104" s="195"/>
      <c r="N2104" s="195"/>
      <c r="O2104" s="199"/>
      <c r="P2104" s="188"/>
      <c r="Q2104" s="174">
        <f>IF(ISNUMBER(VLOOKUP(A2104,NotghiID!A:A,1,FALSE)),1,0)</f>
        <v>0</v>
      </c>
    </row>
    <row r="2105" spans="1:17" ht="14.25" x14ac:dyDescent="0.2">
      <c r="A2105" s="183">
        <v>548</v>
      </c>
      <c r="B2105" s="232" t="str">
        <f>IF(AND(A2105&lt;&gt;"",ISNUMBER(A2105)),VLOOKUP(A2105,Studies!A:BR,2,FALSE),"")</f>
        <v>Mahadik 2012</v>
      </c>
      <c r="C2105" s="232" t="str">
        <f>IF(AND(A2105&lt;&gt;"",ISNUMBER(A2105)),VLOOKUP(A2105,Studies!A:BR,3,FALSE),"")</f>
        <v>https://www.ncbi.nlm.nih.gov/pubmed/22275128</v>
      </c>
      <c r="D2105" s="232" t="str">
        <f>IF(AND(A2105&lt;&gt;"",ISNUMBER(A2105)),VLOOKUP(A2105,Studies!A:BR,4,FALSE),"")</f>
        <v>Reference</v>
      </c>
      <c r="E2105" s="206" t="str">
        <f>IF(AND(A2105&lt;&gt;"",ISNUMBER(A2105)),VLOOKUP(A2105,Studies!A:BR,5,FALSE),"")</f>
        <v>Mefenamic acid</v>
      </c>
      <c r="F2105" s="207" t="str">
        <f>IF(AND(A2105&lt;&gt;"",ISNUMBER(A2105)),VLOOKUP(A2105,Studies!A:BR,6,FALSE),"")</f>
        <v>Plasma</v>
      </c>
      <c r="G2105" s="194">
        <v>0.5</v>
      </c>
      <c r="H2105" s="194" t="s">
        <v>60</v>
      </c>
      <c r="I2105" s="187">
        <v>71.25891</v>
      </c>
      <c r="J2105" s="187" t="s">
        <v>1026</v>
      </c>
      <c r="K2105" s="187" t="s">
        <v>116</v>
      </c>
      <c r="L2105" s="195"/>
      <c r="M2105" s="195"/>
      <c r="N2105" s="195"/>
      <c r="O2105" s="199"/>
      <c r="P2105" s="188"/>
      <c r="Q2105" s="174">
        <f>IF(ISNUMBER(VLOOKUP(A2105,NotghiID!A:A,1,FALSE)),1,0)</f>
        <v>0</v>
      </c>
    </row>
    <row r="2106" spans="1:17" ht="14.25" x14ac:dyDescent="0.2">
      <c r="A2106" s="183">
        <v>548</v>
      </c>
      <c r="B2106" s="232" t="str">
        <f>IF(AND(A2106&lt;&gt;"",ISNUMBER(A2106)),VLOOKUP(A2106,Studies!A:BR,2,FALSE),"")</f>
        <v>Mahadik 2012</v>
      </c>
      <c r="C2106" s="232" t="str">
        <f>IF(AND(A2106&lt;&gt;"",ISNUMBER(A2106)),VLOOKUP(A2106,Studies!A:BR,3,FALSE),"")</f>
        <v>https://www.ncbi.nlm.nih.gov/pubmed/22275128</v>
      </c>
      <c r="D2106" s="232" t="str">
        <f>IF(AND(A2106&lt;&gt;"",ISNUMBER(A2106)),VLOOKUP(A2106,Studies!A:BR,4,FALSE),"")</f>
        <v>Reference</v>
      </c>
      <c r="E2106" s="206" t="str">
        <f>IF(AND(A2106&lt;&gt;"",ISNUMBER(A2106)),VLOOKUP(A2106,Studies!A:BR,5,FALSE),"")</f>
        <v>Mefenamic acid</v>
      </c>
      <c r="F2106" s="207" t="str">
        <f>IF(AND(A2106&lt;&gt;"",ISNUMBER(A2106)),VLOOKUP(A2106,Studies!A:BR,6,FALSE),"")</f>
        <v>Plasma</v>
      </c>
      <c r="G2106" s="194">
        <v>1</v>
      </c>
      <c r="H2106" s="194" t="s">
        <v>60</v>
      </c>
      <c r="I2106" s="187">
        <v>1128.2660000000001</v>
      </c>
      <c r="J2106" s="187" t="s">
        <v>1026</v>
      </c>
      <c r="K2106" s="187" t="s">
        <v>116</v>
      </c>
      <c r="L2106" s="195"/>
      <c r="M2106" s="195"/>
      <c r="N2106" s="195"/>
      <c r="O2106" s="199"/>
      <c r="P2106" s="188"/>
      <c r="Q2106" s="174">
        <f>IF(ISNUMBER(VLOOKUP(A2106,NotghiID!A:A,1,FALSE)),1,0)</f>
        <v>0</v>
      </c>
    </row>
    <row r="2107" spans="1:17" ht="14.25" x14ac:dyDescent="0.2">
      <c r="A2107" s="183">
        <v>548</v>
      </c>
      <c r="B2107" s="232" t="str">
        <f>IF(AND(A2107&lt;&gt;"",ISNUMBER(A2107)),VLOOKUP(A2107,Studies!A:BR,2,FALSE),"")</f>
        <v>Mahadik 2012</v>
      </c>
      <c r="C2107" s="232" t="str">
        <f>IF(AND(A2107&lt;&gt;"",ISNUMBER(A2107)),VLOOKUP(A2107,Studies!A:BR,3,FALSE),"")</f>
        <v>https://www.ncbi.nlm.nih.gov/pubmed/22275128</v>
      </c>
      <c r="D2107" s="232" t="str">
        <f>IF(AND(A2107&lt;&gt;"",ISNUMBER(A2107)),VLOOKUP(A2107,Studies!A:BR,4,FALSE),"")</f>
        <v>Reference</v>
      </c>
      <c r="E2107" s="206" t="str">
        <f>IF(AND(A2107&lt;&gt;"",ISNUMBER(A2107)),VLOOKUP(A2107,Studies!A:BR,5,FALSE),"")</f>
        <v>Mefenamic acid</v>
      </c>
      <c r="F2107" s="207" t="str">
        <f>IF(AND(A2107&lt;&gt;"",ISNUMBER(A2107)),VLOOKUP(A2107,Studies!A:BR,6,FALSE),"")</f>
        <v>Plasma</v>
      </c>
      <c r="G2107" s="194">
        <v>1.5</v>
      </c>
      <c r="H2107" s="194" t="s">
        <v>60</v>
      </c>
      <c r="I2107" s="187">
        <v>1567.6959999999999</v>
      </c>
      <c r="J2107" s="187" t="s">
        <v>1026</v>
      </c>
      <c r="K2107" s="187" t="s">
        <v>116</v>
      </c>
      <c r="L2107" s="195"/>
      <c r="M2107" s="195"/>
      <c r="N2107" s="195"/>
      <c r="O2107" s="199"/>
      <c r="P2107" s="188"/>
      <c r="Q2107" s="174">
        <f>IF(ISNUMBER(VLOOKUP(A2107,NotghiID!A:A,1,FALSE)),1,0)</f>
        <v>0</v>
      </c>
    </row>
    <row r="2108" spans="1:17" ht="14.25" x14ac:dyDescent="0.2">
      <c r="A2108" s="183">
        <v>548</v>
      </c>
      <c r="B2108" s="232" t="str">
        <f>IF(AND(A2108&lt;&gt;"",ISNUMBER(A2108)),VLOOKUP(A2108,Studies!A:BR,2,FALSE),"")</f>
        <v>Mahadik 2012</v>
      </c>
      <c r="C2108" s="232" t="str">
        <f>IF(AND(A2108&lt;&gt;"",ISNUMBER(A2108)),VLOOKUP(A2108,Studies!A:BR,3,FALSE),"")</f>
        <v>https://www.ncbi.nlm.nih.gov/pubmed/22275128</v>
      </c>
      <c r="D2108" s="232" t="str">
        <f>IF(AND(A2108&lt;&gt;"",ISNUMBER(A2108)),VLOOKUP(A2108,Studies!A:BR,4,FALSE),"")</f>
        <v>Reference</v>
      </c>
      <c r="E2108" s="206" t="str">
        <f>IF(AND(A2108&lt;&gt;"",ISNUMBER(A2108)),VLOOKUP(A2108,Studies!A:BR,5,FALSE),"")</f>
        <v>Mefenamic acid</v>
      </c>
      <c r="F2108" s="207" t="str">
        <f>IF(AND(A2108&lt;&gt;"",ISNUMBER(A2108)),VLOOKUP(A2108,Studies!A:BR,6,FALSE),"")</f>
        <v>Plasma</v>
      </c>
      <c r="G2108" s="194">
        <v>2</v>
      </c>
      <c r="H2108" s="194" t="s">
        <v>60</v>
      </c>
      <c r="I2108" s="187">
        <v>1555.819</v>
      </c>
      <c r="J2108" s="187" t="s">
        <v>1026</v>
      </c>
      <c r="K2108" s="187" t="s">
        <v>116</v>
      </c>
      <c r="L2108" s="195"/>
      <c r="M2108" s="195"/>
      <c r="N2108" s="195"/>
      <c r="O2108" s="199"/>
      <c r="P2108" s="188"/>
      <c r="Q2108" s="174">
        <f>IF(ISNUMBER(VLOOKUP(A2108,NotghiID!A:A,1,FALSE)),1,0)</f>
        <v>0</v>
      </c>
    </row>
    <row r="2109" spans="1:17" ht="14.25" x14ac:dyDescent="0.2">
      <c r="A2109" s="183">
        <v>548</v>
      </c>
      <c r="B2109" s="232" t="str">
        <f>IF(AND(A2109&lt;&gt;"",ISNUMBER(A2109)),VLOOKUP(A2109,Studies!A:BR,2,FALSE),"")</f>
        <v>Mahadik 2012</v>
      </c>
      <c r="C2109" s="232" t="str">
        <f>IF(AND(A2109&lt;&gt;"",ISNUMBER(A2109)),VLOOKUP(A2109,Studies!A:BR,3,FALSE),"")</f>
        <v>https://www.ncbi.nlm.nih.gov/pubmed/22275128</v>
      </c>
      <c r="D2109" s="232" t="str">
        <f>IF(AND(A2109&lt;&gt;"",ISNUMBER(A2109)),VLOOKUP(A2109,Studies!A:BR,4,FALSE),"")</f>
        <v>Reference</v>
      </c>
      <c r="E2109" s="206" t="str">
        <f>IF(AND(A2109&lt;&gt;"",ISNUMBER(A2109)),VLOOKUP(A2109,Studies!A:BR,5,FALSE),"")</f>
        <v>Mefenamic acid</v>
      </c>
      <c r="F2109" s="207" t="str">
        <f>IF(AND(A2109&lt;&gt;"",ISNUMBER(A2109)),VLOOKUP(A2109,Studies!A:BR,6,FALSE),"")</f>
        <v>Plasma</v>
      </c>
      <c r="G2109" s="194">
        <v>2.5</v>
      </c>
      <c r="H2109" s="194" t="s">
        <v>60</v>
      </c>
      <c r="I2109" s="187">
        <v>1324.2280000000001</v>
      </c>
      <c r="J2109" s="187" t="s">
        <v>1026</v>
      </c>
      <c r="K2109" s="187" t="s">
        <v>116</v>
      </c>
      <c r="L2109" s="195"/>
      <c r="M2109" s="195"/>
      <c r="N2109" s="195"/>
      <c r="O2109" s="199"/>
      <c r="P2109" s="188"/>
      <c r="Q2109" s="174">
        <f>IF(ISNUMBER(VLOOKUP(A2109,NotghiID!A:A,1,FALSE)),1,0)</f>
        <v>0</v>
      </c>
    </row>
    <row r="2110" spans="1:17" ht="14.25" x14ac:dyDescent="0.2">
      <c r="A2110" s="183">
        <v>548</v>
      </c>
      <c r="B2110" s="232" t="str">
        <f>IF(AND(A2110&lt;&gt;"",ISNUMBER(A2110)),VLOOKUP(A2110,Studies!A:BR,2,FALSE),"")</f>
        <v>Mahadik 2012</v>
      </c>
      <c r="C2110" s="232" t="str">
        <f>IF(AND(A2110&lt;&gt;"",ISNUMBER(A2110)),VLOOKUP(A2110,Studies!A:BR,3,FALSE),"")</f>
        <v>https://www.ncbi.nlm.nih.gov/pubmed/22275128</v>
      </c>
      <c r="D2110" s="232" t="str">
        <f>IF(AND(A2110&lt;&gt;"",ISNUMBER(A2110)),VLOOKUP(A2110,Studies!A:BR,4,FALSE),"")</f>
        <v>Reference</v>
      </c>
      <c r="E2110" s="206" t="str">
        <f>IF(AND(A2110&lt;&gt;"",ISNUMBER(A2110)),VLOOKUP(A2110,Studies!A:BR,5,FALSE),"")</f>
        <v>Mefenamic acid</v>
      </c>
      <c r="F2110" s="207" t="str">
        <f>IF(AND(A2110&lt;&gt;"",ISNUMBER(A2110)),VLOOKUP(A2110,Studies!A:BR,6,FALSE),"")</f>
        <v>Plasma</v>
      </c>
      <c r="G2110" s="194">
        <v>3</v>
      </c>
      <c r="H2110" s="194" t="s">
        <v>60</v>
      </c>
      <c r="I2110" s="187">
        <v>1751.7809999999999</v>
      </c>
      <c r="J2110" s="187" t="s">
        <v>1026</v>
      </c>
      <c r="K2110" s="187" t="s">
        <v>116</v>
      </c>
      <c r="L2110" s="195"/>
      <c r="M2110" s="195"/>
      <c r="N2110" s="195"/>
      <c r="O2110" s="199"/>
      <c r="P2110" s="188"/>
      <c r="Q2110" s="174">
        <f>IF(ISNUMBER(VLOOKUP(A2110,NotghiID!A:A,1,FALSE)),1,0)</f>
        <v>0</v>
      </c>
    </row>
    <row r="2111" spans="1:17" ht="14.25" x14ac:dyDescent="0.2">
      <c r="A2111" s="183">
        <v>548</v>
      </c>
      <c r="B2111" s="232" t="str">
        <f>IF(AND(A2111&lt;&gt;"",ISNUMBER(A2111)),VLOOKUP(A2111,Studies!A:BR,2,FALSE),"")</f>
        <v>Mahadik 2012</v>
      </c>
      <c r="C2111" s="232" t="str">
        <f>IF(AND(A2111&lt;&gt;"",ISNUMBER(A2111)),VLOOKUP(A2111,Studies!A:BR,3,FALSE),"")</f>
        <v>https://www.ncbi.nlm.nih.gov/pubmed/22275128</v>
      </c>
      <c r="D2111" s="232" t="str">
        <f>IF(AND(A2111&lt;&gt;"",ISNUMBER(A2111)),VLOOKUP(A2111,Studies!A:BR,4,FALSE),"")</f>
        <v>Reference</v>
      </c>
      <c r="E2111" s="206" t="str">
        <f>IF(AND(A2111&lt;&gt;"",ISNUMBER(A2111)),VLOOKUP(A2111,Studies!A:BR,5,FALSE),"")</f>
        <v>Mefenamic acid</v>
      </c>
      <c r="F2111" s="207" t="str">
        <f>IF(AND(A2111&lt;&gt;"",ISNUMBER(A2111)),VLOOKUP(A2111,Studies!A:BR,6,FALSE),"")</f>
        <v>Plasma</v>
      </c>
      <c r="G2111" s="194">
        <v>3.5</v>
      </c>
      <c r="H2111" s="194" t="s">
        <v>60</v>
      </c>
      <c r="I2111" s="187">
        <v>1745.8430000000001</v>
      </c>
      <c r="J2111" s="187" t="s">
        <v>1026</v>
      </c>
      <c r="K2111" s="187" t="s">
        <v>116</v>
      </c>
      <c r="L2111" s="195"/>
      <c r="M2111" s="195"/>
      <c r="N2111" s="195"/>
      <c r="O2111" s="199"/>
      <c r="P2111" s="188"/>
      <c r="Q2111" s="174">
        <f>IF(ISNUMBER(VLOOKUP(A2111,NotghiID!A:A,1,FALSE)),1,0)</f>
        <v>0</v>
      </c>
    </row>
    <row r="2112" spans="1:17" ht="14.25" x14ac:dyDescent="0.2">
      <c r="A2112" s="183">
        <v>548</v>
      </c>
      <c r="B2112" s="232" t="str">
        <f>IF(AND(A2112&lt;&gt;"",ISNUMBER(A2112)),VLOOKUP(A2112,Studies!A:BR,2,FALSE),"")</f>
        <v>Mahadik 2012</v>
      </c>
      <c r="C2112" s="232" t="str">
        <f>IF(AND(A2112&lt;&gt;"",ISNUMBER(A2112)),VLOOKUP(A2112,Studies!A:BR,3,FALSE),"")</f>
        <v>https://www.ncbi.nlm.nih.gov/pubmed/22275128</v>
      </c>
      <c r="D2112" s="232" t="str">
        <f>IF(AND(A2112&lt;&gt;"",ISNUMBER(A2112)),VLOOKUP(A2112,Studies!A:BR,4,FALSE),"")</f>
        <v>Reference</v>
      </c>
      <c r="E2112" s="206" t="str">
        <f>IF(AND(A2112&lt;&gt;"",ISNUMBER(A2112)),VLOOKUP(A2112,Studies!A:BR,5,FALSE),"")</f>
        <v>Mefenamic acid</v>
      </c>
      <c r="F2112" s="207" t="str">
        <f>IF(AND(A2112&lt;&gt;"",ISNUMBER(A2112)),VLOOKUP(A2112,Studies!A:BR,6,FALSE),"")</f>
        <v>Plasma</v>
      </c>
      <c r="G2112" s="194">
        <v>4</v>
      </c>
      <c r="H2112" s="194" t="s">
        <v>60</v>
      </c>
      <c r="I2112" s="187">
        <v>1561.758</v>
      </c>
      <c r="J2112" s="187" t="s">
        <v>1026</v>
      </c>
      <c r="K2112" s="187" t="s">
        <v>116</v>
      </c>
      <c r="L2112" s="195"/>
      <c r="M2112" s="195"/>
      <c r="N2112" s="195"/>
      <c r="O2112" s="199"/>
      <c r="P2112" s="188"/>
      <c r="Q2112" s="174">
        <f>IF(ISNUMBER(VLOOKUP(A2112,NotghiID!A:A,1,FALSE)),1,0)</f>
        <v>0</v>
      </c>
    </row>
    <row r="2113" spans="1:17" ht="14.25" x14ac:dyDescent="0.2">
      <c r="A2113" s="183">
        <v>548</v>
      </c>
      <c r="B2113" s="232" t="str">
        <f>IF(AND(A2113&lt;&gt;"",ISNUMBER(A2113)),VLOOKUP(A2113,Studies!A:BR,2,FALSE),"")</f>
        <v>Mahadik 2012</v>
      </c>
      <c r="C2113" s="232" t="str">
        <f>IF(AND(A2113&lt;&gt;"",ISNUMBER(A2113)),VLOOKUP(A2113,Studies!A:BR,3,FALSE),"")</f>
        <v>https://www.ncbi.nlm.nih.gov/pubmed/22275128</v>
      </c>
      <c r="D2113" s="232" t="str">
        <f>IF(AND(A2113&lt;&gt;"",ISNUMBER(A2113)),VLOOKUP(A2113,Studies!A:BR,4,FALSE),"")</f>
        <v>Reference</v>
      </c>
      <c r="E2113" s="206" t="str">
        <f>IF(AND(A2113&lt;&gt;"",ISNUMBER(A2113)),VLOOKUP(A2113,Studies!A:BR,5,FALSE),"")</f>
        <v>Mefenamic acid</v>
      </c>
      <c r="F2113" s="207" t="str">
        <f>IF(AND(A2113&lt;&gt;"",ISNUMBER(A2113)),VLOOKUP(A2113,Studies!A:BR,6,FALSE),"")</f>
        <v>Plasma</v>
      </c>
      <c r="G2113" s="194">
        <v>4.5</v>
      </c>
      <c r="H2113" s="194" t="s">
        <v>60</v>
      </c>
      <c r="I2113" s="187">
        <v>2173.3969999999999</v>
      </c>
      <c r="J2113" s="187" t="s">
        <v>1026</v>
      </c>
      <c r="K2113" s="187" t="s">
        <v>116</v>
      </c>
      <c r="L2113" s="195"/>
      <c r="M2113" s="195"/>
      <c r="N2113" s="195"/>
      <c r="O2113" s="199"/>
      <c r="P2113" s="188"/>
      <c r="Q2113" s="174">
        <f>IF(ISNUMBER(VLOOKUP(A2113,NotghiID!A:A,1,FALSE)),1,0)</f>
        <v>0</v>
      </c>
    </row>
    <row r="2114" spans="1:17" ht="14.25" x14ac:dyDescent="0.2">
      <c r="A2114" s="183">
        <v>548</v>
      </c>
      <c r="B2114" s="232" t="str">
        <f>IF(AND(A2114&lt;&gt;"",ISNUMBER(A2114)),VLOOKUP(A2114,Studies!A:BR,2,FALSE),"")</f>
        <v>Mahadik 2012</v>
      </c>
      <c r="C2114" s="232" t="str">
        <f>IF(AND(A2114&lt;&gt;"",ISNUMBER(A2114)),VLOOKUP(A2114,Studies!A:BR,3,FALSE),"")</f>
        <v>https://www.ncbi.nlm.nih.gov/pubmed/22275128</v>
      </c>
      <c r="D2114" s="232" t="str">
        <f>IF(AND(A2114&lt;&gt;"",ISNUMBER(A2114)),VLOOKUP(A2114,Studies!A:BR,4,FALSE),"")</f>
        <v>Reference</v>
      </c>
      <c r="E2114" s="206" t="str">
        <f>IF(AND(A2114&lt;&gt;"",ISNUMBER(A2114)),VLOOKUP(A2114,Studies!A:BR,5,FALSE),"")</f>
        <v>Mefenamic acid</v>
      </c>
      <c r="F2114" s="207" t="str">
        <f>IF(AND(A2114&lt;&gt;"",ISNUMBER(A2114)),VLOOKUP(A2114,Studies!A:BR,6,FALSE),"")</f>
        <v>Plasma</v>
      </c>
      <c r="G2114" s="194">
        <v>5</v>
      </c>
      <c r="H2114" s="194" t="s">
        <v>60</v>
      </c>
      <c r="I2114" s="187">
        <v>1520.19</v>
      </c>
      <c r="J2114" s="187" t="s">
        <v>1026</v>
      </c>
      <c r="K2114" s="187" t="s">
        <v>116</v>
      </c>
      <c r="L2114" s="195"/>
      <c r="M2114" s="195"/>
      <c r="N2114" s="195"/>
      <c r="O2114" s="199"/>
      <c r="P2114" s="188"/>
      <c r="Q2114" s="174">
        <f>IF(ISNUMBER(VLOOKUP(A2114,NotghiID!A:A,1,FALSE)),1,0)</f>
        <v>0</v>
      </c>
    </row>
    <row r="2115" spans="1:17" ht="14.25" x14ac:dyDescent="0.2">
      <c r="A2115" s="183">
        <v>548</v>
      </c>
      <c r="B2115" s="232" t="str">
        <f>IF(AND(A2115&lt;&gt;"",ISNUMBER(A2115)),VLOOKUP(A2115,Studies!A:BR,2,FALSE),"")</f>
        <v>Mahadik 2012</v>
      </c>
      <c r="C2115" s="232" t="str">
        <f>IF(AND(A2115&lt;&gt;"",ISNUMBER(A2115)),VLOOKUP(A2115,Studies!A:BR,3,FALSE),"")</f>
        <v>https://www.ncbi.nlm.nih.gov/pubmed/22275128</v>
      </c>
      <c r="D2115" s="232" t="str">
        <f>IF(AND(A2115&lt;&gt;"",ISNUMBER(A2115)),VLOOKUP(A2115,Studies!A:BR,4,FALSE),"")</f>
        <v>Reference</v>
      </c>
      <c r="E2115" s="206" t="str">
        <f>IF(AND(A2115&lt;&gt;"",ISNUMBER(A2115)),VLOOKUP(A2115,Studies!A:BR,5,FALSE),"")</f>
        <v>Mefenamic acid</v>
      </c>
      <c r="F2115" s="207" t="str">
        <f>IF(AND(A2115&lt;&gt;"",ISNUMBER(A2115)),VLOOKUP(A2115,Studies!A:BR,6,FALSE),"")</f>
        <v>Plasma</v>
      </c>
      <c r="G2115" s="194">
        <v>5.5</v>
      </c>
      <c r="H2115" s="194" t="s">
        <v>60</v>
      </c>
      <c r="I2115" s="187">
        <v>1330.1659999999999</v>
      </c>
      <c r="J2115" s="187" t="s">
        <v>1026</v>
      </c>
      <c r="K2115" s="187" t="s">
        <v>116</v>
      </c>
      <c r="L2115" s="195"/>
      <c r="M2115" s="195"/>
      <c r="N2115" s="195"/>
      <c r="O2115" s="199"/>
      <c r="P2115" s="188"/>
      <c r="Q2115" s="174">
        <f>IF(ISNUMBER(VLOOKUP(A2115,NotghiID!A:A,1,FALSE)),1,0)</f>
        <v>0</v>
      </c>
    </row>
    <row r="2116" spans="1:17" ht="14.25" x14ac:dyDescent="0.2">
      <c r="A2116" s="183">
        <v>548</v>
      </c>
      <c r="B2116" s="232" t="str">
        <f>IF(AND(A2116&lt;&gt;"",ISNUMBER(A2116)),VLOOKUP(A2116,Studies!A:BR,2,FALSE),"")</f>
        <v>Mahadik 2012</v>
      </c>
      <c r="C2116" s="232" t="str">
        <f>IF(AND(A2116&lt;&gt;"",ISNUMBER(A2116)),VLOOKUP(A2116,Studies!A:BR,3,FALSE),"")</f>
        <v>https://www.ncbi.nlm.nih.gov/pubmed/22275128</v>
      </c>
      <c r="D2116" s="232" t="str">
        <f>IF(AND(A2116&lt;&gt;"",ISNUMBER(A2116)),VLOOKUP(A2116,Studies!A:BR,4,FALSE),"")</f>
        <v>Reference</v>
      </c>
      <c r="E2116" s="206" t="str">
        <f>IF(AND(A2116&lt;&gt;"",ISNUMBER(A2116)),VLOOKUP(A2116,Studies!A:BR,5,FALSE),"")</f>
        <v>Mefenamic acid</v>
      </c>
      <c r="F2116" s="207" t="str">
        <f>IF(AND(A2116&lt;&gt;"",ISNUMBER(A2116)),VLOOKUP(A2116,Studies!A:BR,6,FALSE),"")</f>
        <v>Plasma</v>
      </c>
      <c r="G2116" s="194">
        <v>6</v>
      </c>
      <c r="H2116" s="194" t="s">
        <v>60</v>
      </c>
      <c r="I2116" s="187">
        <v>1027.316</v>
      </c>
      <c r="J2116" s="187" t="s">
        <v>1026</v>
      </c>
      <c r="K2116" s="187" t="s">
        <v>116</v>
      </c>
      <c r="L2116" s="195"/>
      <c r="M2116" s="195"/>
      <c r="N2116" s="195"/>
      <c r="O2116" s="199"/>
      <c r="P2116" s="188"/>
      <c r="Q2116" s="174">
        <f>IF(ISNUMBER(VLOOKUP(A2116,NotghiID!A:A,1,FALSE)),1,0)</f>
        <v>0</v>
      </c>
    </row>
    <row r="2117" spans="1:17" ht="14.25" x14ac:dyDescent="0.2">
      <c r="A2117" s="183">
        <v>548</v>
      </c>
      <c r="B2117" s="232" t="str">
        <f>IF(AND(A2117&lt;&gt;"",ISNUMBER(A2117)),VLOOKUP(A2117,Studies!A:BR,2,FALSE),"")</f>
        <v>Mahadik 2012</v>
      </c>
      <c r="C2117" s="232" t="str">
        <f>IF(AND(A2117&lt;&gt;"",ISNUMBER(A2117)),VLOOKUP(A2117,Studies!A:BR,3,FALSE),"")</f>
        <v>https://www.ncbi.nlm.nih.gov/pubmed/22275128</v>
      </c>
      <c r="D2117" s="232" t="str">
        <f>IF(AND(A2117&lt;&gt;"",ISNUMBER(A2117)),VLOOKUP(A2117,Studies!A:BR,4,FALSE),"")</f>
        <v>Reference</v>
      </c>
      <c r="E2117" s="206" t="str">
        <f>IF(AND(A2117&lt;&gt;"",ISNUMBER(A2117)),VLOOKUP(A2117,Studies!A:BR,5,FALSE),"")</f>
        <v>Mefenamic acid</v>
      </c>
      <c r="F2117" s="207" t="str">
        <f>IF(AND(A2117&lt;&gt;"",ISNUMBER(A2117)),VLOOKUP(A2117,Studies!A:BR,6,FALSE),"")</f>
        <v>Plasma</v>
      </c>
      <c r="G2117" s="194">
        <v>7</v>
      </c>
      <c r="H2117" s="194" t="s">
        <v>60</v>
      </c>
      <c r="I2117" s="187">
        <v>587.88599999999997</v>
      </c>
      <c r="J2117" s="187" t="s">
        <v>1026</v>
      </c>
      <c r="K2117" s="187" t="s">
        <v>116</v>
      </c>
      <c r="L2117" s="195"/>
      <c r="M2117" s="195"/>
      <c r="N2117" s="195"/>
      <c r="O2117" s="199"/>
      <c r="P2117" s="188"/>
      <c r="Q2117" s="174">
        <f>IF(ISNUMBER(VLOOKUP(A2117,NotghiID!A:A,1,FALSE)),1,0)</f>
        <v>0</v>
      </c>
    </row>
    <row r="2118" spans="1:17" ht="14.25" x14ac:dyDescent="0.2">
      <c r="A2118" s="183">
        <v>548</v>
      </c>
      <c r="B2118" s="232" t="str">
        <f>IF(AND(A2118&lt;&gt;"",ISNUMBER(A2118)),VLOOKUP(A2118,Studies!A:BR,2,FALSE),"")</f>
        <v>Mahadik 2012</v>
      </c>
      <c r="C2118" s="232" t="str">
        <f>IF(AND(A2118&lt;&gt;"",ISNUMBER(A2118)),VLOOKUP(A2118,Studies!A:BR,3,FALSE),"")</f>
        <v>https://www.ncbi.nlm.nih.gov/pubmed/22275128</v>
      </c>
      <c r="D2118" s="232" t="str">
        <f>IF(AND(A2118&lt;&gt;"",ISNUMBER(A2118)),VLOOKUP(A2118,Studies!A:BR,4,FALSE),"")</f>
        <v>Reference</v>
      </c>
      <c r="E2118" s="206" t="str">
        <f>IF(AND(A2118&lt;&gt;"",ISNUMBER(A2118)),VLOOKUP(A2118,Studies!A:BR,5,FALSE),"")</f>
        <v>Mefenamic acid</v>
      </c>
      <c r="F2118" s="207" t="str">
        <f>IF(AND(A2118&lt;&gt;"",ISNUMBER(A2118)),VLOOKUP(A2118,Studies!A:BR,6,FALSE),"")</f>
        <v>Plasma</v>
      </c>
      <c r="G2118" s="194">
        <v>8</v>
      </c>
      <c r="H2118" s="194" t="s">
        <v>60</v>
      </c>
      <c r="I2118" s="187">
        <v>415.67700000000002</v>
      </c>
      <c r="J2118" s="187" t="s">
        <v>1026</v>
      </c>
      <c r="K2118" s="187" t="s">
        <v>116</v>
      </c>
      <c r="L2118" s="195"/>
      <c r="M2118" s="195"/>
      <c r="N2118" s="195"/>
      <c r="O2118" s="199"/>
      <c r="P2118" s="188"/>
      <c r="Q2118" s="174">
        <f>IF(ISNUMBER(VLOOKUP(A2118,NotghiID!A:A,1,FALSE)),1,0)</f>
        <v>0</v>
      </c>
    </row>
    <row r="2119" spans="1:17" ht="14.25" x14ac:dyDescent="0.2">
      <c r="A2119" s="183">
        <v>548</v>
      </c>
      <c r="B2119" s="232" t="str">
        <f>IF(AND(A2119&lt;&gt;"",ISNUMBER(A2119)),VLOOKUP(A2119,Studies!A:BR,2,FALSE),"")</f>
        <v>Mahadik 2012</v>
      </c>
      <c r="C2119" s="232" t="str">
        <f>IF(AND(A2119&lt;&gt;"",ISNUMBER(A2119)),VLOOKUP(A2119,Studies!A:BR,3,FALSE),"")</f>
        <v>https://www.ncbi.nlm.nih.gov/pubmed/22275128</v>
      </c>
      <c r="D2119" s="232" t="str">
        <f>IF(AND(A2119&lt;&gt;"",ISNUMBER(A2119)),VLOOKUP(A2119,Studies!A:BR,4,FALSE),"")</f>
        <v>Reference</v>
      </c>
      <c r="E2119" s="206" t="str">
        <f>IF(AND(A2119&lt;&gt;"",ISNUMBER(A2119)),VLOOKUP(A2119,Studies!A:BR,5,FALSE),"")</f>
        <v>Mefenamic acid</v>
      </c>
      <c r="F2119" s="207" t="str">
        <f>IF(AND(A2119&lt;&gt;"",ISNUMBER(A2119)),VLOOKUP(A2119,Studies!A:BR,6,FALSE),"")</f>
        <v>Plasma</v>
      </c>
      <c r="G2119" s="194">
        <v>10</v>
      </c>
      <c r="H2119" s="194" t="s">
        <v>60</v>
      </c>
      <c r="I2119" s="187">
        <v>326.60329999999999</v>
      </c>
      <c r="J2119" s="187" t="s">
        <v>1026</v>
      </c>
      <c r="K2119" s="187" t="s">
        <v>116</v>
      </c>
      <c r="L2119" s="195"/>
      <c r="M2119" s="195"/>
      <c r="N2119" s="195"/>
      <c r="O2119" s="199"/>
      <c r="P2119" s="188"/>
      <c r="Q2119" s="174">
        <f>IF(ISNUMBER(VLOOKUP(A2119,NotghiID!A:A,1,FALSE)),1,0)</f>
        <v>0</v>
      </c>
    </row>
    <row r="2120" spans="1:17" ht="14.25" x14ac:dyDescent="0.2">
      <c r="A2120" s="183">
        <v>548</v>
      </c>
      <c r="B2120" s="232" t="str">
        <f>IF(AND(A2120&lt;&gt;"",ISNUMBER(A2120)),VLOOKUP(A2120,Studies!A:BR,2,FALSE),"")</f>
        <v>Mahadik 2012</v>
      </c>
      <c r="C2120" s="232" t="str">
        <f>IF(AND(A2120&lt;&gt;"",ISNUMBER(A2120)),VLOOKUP(A2120,Studies!A:BR,3,FALSE),"")</f>
        <v>https://www.ncbi.nlm.nih.gov/pubmed/22275128</v>
      </c>
      <c r="D2120" s="232" t="str">
        <f>IF(AND(A2120&lt;&gt;"",ISNUMBER(A2120)),VLOOKUP(A2120,Studies!A:BR,4,FALSE),"")</f>
        <v>Reference</v>
      </c>
      <c r="E2120" s="206" t="str">
        <f>IF(AND(A2120&lt;&gt;"",ISNUMBER(A2120)),VLOOKUP(A2120,Studies!A:BR,5,FALSE),"")</f>
        <v>Mefenamic acid</v>
      </c>
      <c r="F2120" s="207" t="str">
        <f>IF(AND(A2120&lt;&gt;"",ISNUMBER(A2120)),VLOOKUP(A2120,Studies!A:BR,6,FALSE),"")</f>
        <v>Plasma</v>
      </c>
      <c r="G2120" s="194">
        <v>12</v>
      </c>
      <c r="H2120" s="194" t="s">
        <v>60</v>
      </c>
      <c r="I2120" s="187">
        <v>267.22089999999997</v>
      </c>
      <c r="J2120" s="187" t="s">
        <v>1026</v>
      </c>
      <c r="K2120" s="187" t="s">
        <v>116</v>
      </c>
      <c r="L2120" s="195"/>
      <c r="M2120" s="195"/>
      <c r="N2120" s="195"/>
      <c r="O2120" s="199"/>
      <c r="P2120" s="188"/>
      <c r="Q2120" s="174">
        <f>IF(ISNUMBER(VLOOKUP(A2120,NotghiID!A:A,1,FALSE)),1,0)</f>
        <v>0</v>
      </c>
    </row>
    <row r="2121" spans="1:17" ht="14.25" x14ac:dyDescent="0.2">
      <c r="A2121" s="183">
        <v>548</v>
      </c>
      <c r="B2121" s="232" t="str">
        <f>IF(AND(A2121&lt;&gt;"",ISNUMBER(A2121)),VLOOKUP(A2121,Studies!A:BR,2,FALSE),"")</f>
        <v>Mahadik 2012</v>
      </c>
      <c r="C2121" s="232" t="str">
        <f>IF(AND(A2121&lt;&gt;"",ISNUMBER(A2121)),VLOOKUP(A2121,Studies!A:BR,3,FALSE),"")</f>
        <v>https://www.ncbi.nlm.nih.gov/pubmed/22275128</v>
      </c>
      <c r="D2121" s="232" t="str">
        <f>IF(AND(A2121&lt;&gt;"",ISNUMBER(A2121)),VLOOKUP(A2121,Studies!A:BR,4,FALSE),"")</f>
        <v>Reference</v>
      </c>
      <c r="E2121" s="206" t="str">
        <f>IF(AND(A2121&lt;&gt;"",ISNUMBER(A2121)),VLOOKUP(A2121,Studies!A:BR,5,FALSE),"")</f>
        <v>Mefenamic acid</v>
      </c>
      <c r="F2121" s="207" t="str">
        <f>IF(AND(A2121&lt;&gt;"",ISNUMBER(A2121)),VLOOKUP(A2121,Studies!A:BR,6,FALSE),"")</f>
        <v>Plasma</v>
      </c>
      <c r="G2121" s="194">
        <v>16</v>
      </c>
      <c r="H2121" s="194" t="s">
        <v>60</v>
      </c>
      <c r="I2121" s="187">
        <v>106.8884</v>
      </c>
      <c r="J2121" s="187" t="s">
        <v>1026</v>
      </c>
      <c r="K2121" s="187" t="s">
        <v>116</v>
      </c>
      <c r="L2121" s="195"/>
      <c r="M2121" s="195"/>
      <c r="N2121" s="195"/>
      <c r="O2121" s="199"/>
      <c r="P2121" s="188"/>
      <c r="Q2121" s="174">
        <f>IF(ISNUMBER(VLOOKUP(A2121,NotghiID!A:A,1,FALSE)),1,0)</f>
        <v>0</v>
      </c>
    </row>
    <row r="2122" spans="1:17" ht="14.25" x14ac:dyDescent="0.2">
      <c r="A2122" s="183">
        <v>51</v>
      </c>
      <c r="B2122" s="232" t="str">
        <f>IF(AND(A2122&lt;&gt;"",ISNUMBER(A2122)),VLOOKUP(A2122,Studies!A:BR,2,FALSE),"")</f>
        <v>Allonen 1981</v>
      </c>
      <c r="C2122" s="232" t="str">
        <f>IF(AND(A2122&lt;&gt;"",ISNUMBER(A2122)),VLOOKUP(A2122,Studies!A:BR,3,FALSE),"")</f>
        <v>https://www.ncbi.nlm.nih.gov/pubmed/6117393</v>
      </c>
      <c r="D2122" s="232" t="str">
        <f>IF(AND(A2122&lt;&gt;"",ISNUMBER(A2122)),VLOOKUP(A2122,Studies!A:BR,4,FALSE),"")</f>
        <v>oral</v>
      </c>
      <c r="E2122" s="206" t="str">
        <f>IF(AND(A2122&lt;&gt;"",ISNUMBER(A2122)),VLOOKUP(A2122,Studies!A:BR,5,FALSE),"")</f>
        <v>Midazolam</v>
      </c>
      <c r="F2122" s="207" t="str">
        <f>IF(AND(A2122&lt;&gt;"",ISNUMBER(A2122)),VLOOKUP(A2122,Studies!A:BR,6,FALSE),"")</f>
        <v>Plasma</v>
      </c>
      <c r="G2122" s="194">
        <v>0.1666666716337204</v>
      </c>
      <c r="H2122" s="194" t="s">
        <v>60</v>
      </c>
      <c r="I2122" s="187">
        <v>10.339892469346523</v>
      </c>
      <c r="J2122" s="187" t="s">
        <v>1026</v>
      </c>
      <c r="K2122" s="187" t="s">
        <v>116</v>
      </c>
      <c r="L2122" s="195">
        <v>24.812165647745132</v>
      </c>
      <c r="M2122" s="195" t="s">
        <v>1026</v>
      </c>
      <c r="N2122" s="195" t="s">
        <v>117</v>
      </c>
      <c r="O2122" s="199"/>
      <c r="P2122" s="188"/>
      <c r="Q2122" s="174">
        <f>IF(ISNUMBER(VLOOKUP(A2122,NotghiID!A:A,1,FALSE)),1,0)</f>
        <v>0</v>
      </c>
    </row>
    <row r="2123" spans="1:17" ht="14.25" x14ac:dyDescent="0.2">
      <c r="A2123" s="183">
        <v>51</v>
      </c>
      <c r="B2123" s="232" t="str">
        <f>IF(AND(A2123&lt;&gt;"",ISNUMBER(A2123)),VLOOKUP(A2123,Studies!A:BR,2,FALSE),"")</f>
        <v>Allonen 1981</v>
      </c>
      <c r="C2123" s="232" t="str">
        <f>IF(AND(A2123&lt;&gt;"",ISNUMBER(A2123)),VLOOKUP(A2123,Studies!A:BR,3,FALSE),"")</f>
        <v>https://www.ncbi.nlm.nih.gov/pubmed/6117393</v>
      </c>
      <c r="D2123" s="232" t="str">
        <f>IF(AND(A2123&lt;&gt;"",ISNUMBER(A2123)),VLOOKUP(A2123,Studies!A:BR,4,FALSE),"")</f>
        <v>oral</v>
      </c>
      <c r="E2123" s="206" t="str">
        <f>IF(AND(A2123&lt;&gt;"",ISNUMBER(A2123)),VLOOKUP(A2123,Studies!A:BR,5,FALSE),"")</f>
        <v>Midazolam</v>
      </c>
      <c r="F2123" s="207" t="str">
        <f>IF(AND(A2123&lt;&gt;"",ISNUMBER(A2123)),VLOOKUP(A2123,Studies!A:BR,6,FALSE),"")</f>
        <v>Plasma</v>
      </c>
      <c r="G2123" s="194">
        <v>0.3333333432674408</v>
      </c>
      <c r="H2123" s="194" t="s">
        <v>60</v>
      </c>
      <c r="I2123" s="187">
        <v>173.14846813678741</v>
      </c>
      <c r="J2123" s="187" t="s">
        <v>1026</v>
      </c>
      <c r="K2123" s="187" t="s">
        <v>116</v>
      </c>
      <c r="L2123" s="195">
        <v>28.211090713739395</v>
      </c>
      <c r="M2123" s="195" t="s">
        <v>1026</v>
      </c>
      <c r="N2123" s="195" t="s">
        <v>117</v>
      </c>
      <c r="O2123" s="199"/>
      <c r="P2123" s="188"/>
      <c r="Q2123" s="174">
        <f>IF(ISNUMBER(VLOOKUP(A2123,NotghiID!A:A,1,FALSE)),1,0)</f>
        <v>0</v>
      </c>
    </row>
    <row r="2124" spans="1:17" ht="14.25" x14ac:dyDescent="0.2">
      <c r="A2124" s="183">
        <v>51</v>
      </c>
      <c r="B2124" s="232" t="str">
        <f>IF(AND(A2124&lt;&gt;"",ISNUMBER(A2124)),VLOOKUP(A2124,Studies!A:BR,2,FALSE),"")</f>
        <v>Allonen 1981</v>
      </c>
      <c r="C2124" s="232" t="str">
        <f>IF(AND(A2124&lt;&gt;"",ISNUMBER(A2124)),VLOOKUP(A2124,Studies!A:BR,3,FALSE),"")</f>
        <v>https://www.ncbi.nlm.nih.gov/pubmed/6117393</v>
      </c>
      <c r="D2124" s="232" t="str">
        <f>IF(AND(A2124&lt;&gt;"",ISNUMBER(A2124)),VLOOKUP(A2124,Studies!A:BR,4,FALSE),"")</f>
        <v>oral</v>
      </c>
      <c r="E2124" s="206" t="str">
        <f>IF(AND(A2124&lt;&gt;"",ISNUMBER(A2124)),VLOOKUP(A2124,Studies!A:BR,5,FALSE),"")</f>
        <v>Midazolam</v>
      </c>
      <c r="F2124" s="207" t="str">
        <f>IF(AND(A2124&lt;&gt;"",ISNUMBER(A2124)),VLOOKUP(A2124,Studies!A:BR,6,FALSE),"")</f>
        <v>Plasma</v>
      </c>
      <c r="G2124" s="194">
        <v>0.75</v>
      </c>
      <c r="H2124" s="194" t="s">
        <v>60</v>
      </c>
      <c r="I2124" s="187">
        <v>173.82827401161194</v>
      </c>
      <c r="J2124" s="187" t="s">
        <v>1026</v>
      </c>
      <c r="K2124" s="187" t="s">
        <v>116</v>
      </c>
      <c r="L2124" s="195">
        <v>13.255813159048557</v>
      </c>
      <c r="M2124" s="195" t="s">
        <v>1026</v>
      </c>
      <c r="N2124" s="195" t="s">
        <v>117</v>
      </c>
      <c r="O2124" s="199"/>
      <c r="P2124" s="188"/>
      <c r="Q2124" s="174">
        <f>IF(ISNUMBER(VLOOKUP(A2124,NotghiID!A:A,1,FALSE)),1,0)</f>
        <v>0</v>
      </c>
    </row>
    <row r="2125" spans="1:17" ht="14.25" x14ac:dyDescent="0.2">
      <c r="A2125" s="183">
        <v>51</v>
      </c>
      <c r="B2125" s="232" t="str">
        <f>IF(AND(A2125&lt;&gt;"",ISNUMBER(A2125)),VLOOKUP(A2125,Studies!A:BR,2,FALSE),"")</f>
        <v>Allonen 1981</v>
      </c>
      <c r="C2125" s="232" t="str">
        <f>IF(AND(A2125&lt;&gt;"",ISNUMBER(A2125)),VLOOKUP(A2125,Studies!A:BR,3,FALSE),"")</f>
        <v>https://www.ncbi.nlm.nih.gov/pubmed/6117393</v>
      </c>
      <c r="D2125" s="232" t="str">
        <f>IF(AND(A2125&lt;&gt;"",ISNUMBER(A2125)),VLOOKUP(A2125,Studies!A:BR,4,FALSE),"")</f>
        <v>oral</v>
      </c>
      <c r="E2125" s="206" t="str">
        <f>IF(AND(A2125&lt;&gt;"",ISNUMBER(A2125)),VLOOKUP(A2125,Studies!A:BR,5,FALSE),"")</f>
        <v>Midazolam</v>
      </c>
      <c r="F2125" s="207" t="str">
        <f>IF(AND(A2125&lt;&gt;"",ISNUMBER(A2125)),VLOOKUP(A2125,Studies!A:BR,6,FALSE),"")</f>
        <v>Plasma</v>
      </c>
      <c r="G2125" s="194">
        <v>1</v>
      </c>
      <c r="H2125" s="194" t="s">
        <v>60</v>
      </c>
      <c r="I2125" s="187">
        <v>153.77458930015564</v>
      </c>
      <c r="J2125" s="187" t="s">
        <v>1026</v>
      </c>
      <c r="K2125" s="187" t="s">
        <v>116</v>
      </c>
      <c r="L2125" s="195">
        <v>22.093016654253006</v>
      </c>
      <c r="M2125" s="195" t="s">
        <v>1026</v>
      </c>
      <c r="N2125" s="195" t="s">
        <v>117</v>
      </c>
      <c r="O2125" s="199"/>
      <c r="P2125" s="188"/>
      <c r="Q2125" s="174">
        <f>IF(ISNUMBER(VLOOKUP(A2125,NotghiID!A:A,1,FALSE)),1,0)</f>
        <v>0</v>
      </c>
    </row>
    <row r="2126" spans="1:17" ht="14.25" x14ac:dyDescent="0.2">
      <c r="A2126" s="183">
        <v>51</v>
      </c>
      <c r="B2126" s="232" t="str">
        <f>IF(AND(A2126&lt;&gt;"",ISNUMBER(A2126)),VLOOKUP(A2126,Studies!A:BR,2,FALSE),"")</f>
        <v>Allonen 1981</v>
      </c>
      <c r="C2126" s="232" t="str">
        <f>IF(AND(A2126&lt;&gt;"",ISNUMBER(A2126)),VLOOKUP(A2126,Studies!A:BR,3,FALSE),"")</f>
        <v>https://www.ncbi.nlm.nih.gov/pubmed/6117393</v>
      </c>
      <c r="D2126" s="232" t="str">
        <f>IF(AND(A2126&lt;&gt;"",ISNUMBER(A2126)),VLOOKUP(A2126,Studies!A:BR,4,FALSE),"")</f>
        <v>oral</v>
      </c>
      <c r="E2126" s="206" t="str">
        <f>IF(AND(A2126&lt;&gt;"",ISNUMBER(A2126)),VLOOKUP(A2126,Studies!A:BR,5,FALSE),"")</f>
        <v>Midazolam</v>
      </c>
      <c r="F2126" s="207" t="str">
        <f>IF(AND(A2126&lt;&gt;"",ISNUMBER(A2126)),VLOOKUP(A2126,Studies!A:BR,6,FALSE),"")</f>
        <v>Plasma</v>
      </c>
      <c r="G2126" s="194">
        <v>1.5</v>
      </c>
      <c r="H2126" s="194" t="s">
        <v>60</v>
      </c>
      <c r="I2126" s="187">
        <v>153.09479832649231</v>
      </c>
      <c r="J2126" s="187" t="s">
        <v>1026</v>
      </c>
      <c r="K2126" s="187" t="s">
        <v>116</v>
      </c>
      <c r="L2126" s="195">
        <v>27.191421017050743</v>
      </c>
      <c r="M2126" s="195" t="s">
        <v>1026</v>
      </c>
      <c r="N2126" s="195" t="s">
        <v>117</v>
      </c>
      <c r="O2126" s="199"/>
      <c r="P2126" s="188"/>
      <c r="Q2126" s="174">
        <f>IF(ISNUMBER(VLOOKUP(A2126,NotghiID!A:A,1,FALSE)),1,0)</f>
        <v>0</v>
      </c>
    </row>
    <row r="2127" spans="1:17" ht="14.25" x14ac:dyDescent="0.2">
      <c r="A2127" s="183">
        <v>51</v>
      </c>
      <c r="B2127" s="232" t="str">
        <f>IF(AND(A2127&lt;&gt;"",ISNUMBER(A2127)),VLOOKUP(A2127,Studies!A:BR,2,FALSE),"")</f>
        <v>Allonen 1981</v>
      </c>
      <c r="C2127" s="232" t="str">
        <f>IF(AND(A2127&lt;&gt;"",ISNUMBER(A2127)),VLOOKUP(A2127,Studies!A:BR,3,FALSE),"")</f>
        <v>https://www.ncbi.nlm.nih.gov/pubmed/6117393</v>
      </c>
      <c r="D2127" s="232" t="str">
        <f>IF(AND(A2127&lt;&gt;"",ISNUMBER(A2127)),VLOOKUP(A2127,Studies!A:BR,4,FALSE),"")</f>
        <v>oral</v>
      </c>
      <c r="E2127" s="206" t="str">
        <f>IF(AND(A2127&lt;&gt;"",ISNUMBER(A2127)),VLOOKUP(A2127,Studies!A:BR,5,FALSE),"")</f>
        <v>Midazolam</v>
      </c>
      <c r="F2127" s="207" t="str">
        <f>IF(AND(A2127&lt;&gt;"",ISNUMBER(A2127)),VLOOKUP(A2127,Studies!A:BR,6,FALSE),"")</f>
        <v>Plasma</v>
      </c>
      <c r="G2127" s="194">
        <v>2</v>
      </c>
      <c r="H2127" s="194" t="s">
        <v>60</v>
      </c>
      <c r="I2127" s="187">
        <v>130.66190481185913</v>
      </c>
      <c r="J2127" s="187" t="s">
        <v>1026</v>
      </c>
      <c r="K2127" s="187" t="s">
        <v>116</v>
      </c>
      <c r="L2127" s="195">
        <v>19.373871386051178</v>
      </c>
      <c r="M2127" s="195" t="s">
        <v>1026</v>
      </c>
      <c r="N2127" s="195" t="s">
        <v>117</v>
      </c>
      <c r="O2127" s="199"/>
      <c r="P2127" s="188"/>
      <c r="Q2127" s="174">
        <f>IF(ISNUMBER(VLOOKUP(A2127,NotghiID!A:A,1,FALSE)),1,0)</f>
        <v>0</v>
      </c>
    </row>
    <row r="2128" spans="1:17" ht="14.25" x14ac:dyDescent="0.2">
      <c r="A2128" s="183">
        <v>51</v>
      </c>
      <c r="B2128" s="232" t="str">
        <f>IF(AND(A2128&lt;&gt;"",ISNUMBER(A2128)),VLOOKUP(A2128,Studies!A:BR,2,FALSE),"")</f>
        <v>Allonen 1981</v>
      </c>
      <c r="C2128" s="232" t="str">
        <f>IF(AND(A2128&lt;&gt;"",ISNUMBER(A2128)),VLOOKUP(A2128,Studies!A:BR,3,FALSE),"")</f>
        <v>https://www.ncbi.nlm.nih.gov/pubmed/6117393</v>
      </c>
      <c r="D2128" s="232" t="str">
        <f>IF(AND(A2128&lt;&gt;"",ISNUMBER(A2128)),VLOOKUP(A2128,Studies!A:BR,4,FALSE),"")</f>
        <v>oral</v>
      </c>
      <c r="E2128" s="206" t="str">
        <f>IF(AND(A2128&lt;&gt;"",ISNUMBER(A2128)),VLOOKUP(A2128,Studies!A:BR,5,FALSE),"")</f>
        <v>Midazolam</v>
      </c>
      <c r="F2128" s="207" t="str">
        <f>IF(AND(A2128&lt;&gt;"",ISNUMBER(A2128)),VLOOKUP(A2128,Studies!A:BR,6,FALSE),"")</f>
        <v>Plasma</v>
      </c>
      <c r="G2128" s="194">
        <v>2.5</v>
      </c>
      <c r="H2128" s="194" t="s">
        <v>60</v>
      </c>
      <c r="I2128" s="187">
        <v>120.12521922588348</v>
      </c>
      <c r="J2128" s="187" t="s">
        <v>1026</v>
      </c>
      <c r="K2128" s="187" t="s">
        <v>116</v>
      </c>
      <c r="L2128" s="195">
        <v>11.216453276574612</v>
      </c>
      <c r="M2128" s="195" t="s">
        <v>1026</v>
      </c>
      <c r="N2128" s="195" t="s">
        <v>117</v>
      </c>
      <c r="O2128" s="199"/>
      <c r="P2128" s="188"/>
      <c r="Q2128" s="174">
        <f>IF(ISNUMBER(VLOOKUP(A2128,NotghiID!A:A,1,FALSE)),1,0)</f>
        <v>0</v>
      </c>
    </row>
    <row r="2129" spans="1:17" ht="14.25" x14ac:dyDescent="0.2">
      <c r="A2129" s="183">
        <v>51</v>
      </c>
      <c r="B2129" s="232" t="str">
        <f>IF(AND(A2129&lt;&gt;"",ISNUMBER(A2129)),VLOOKUP(A2129,Studies!A:BR,2,FALSE),"")</f>
        <v>Allonen 1981</v>
      </c>
      <c r="C2129" s="232" t="str">
        <f>IF(AND(A2129&lt;&gt;"",ISNUMBER(A2129)),VLOOKUP(A2129,Studies!A:BR,3,FALSE),"")</f>
        <v>https://www.ncbi.nlm.nih.gov/pubmed/6117393</v>
      </c>
      <c r="D2129" s="232" t="str">
        <f>IF(AND(A2129&lt;&gt;"",ISNUMBER(A2129)),VLOOKUP(A2129,Studies!A:BR,4,FALSE),"")</f>
        <v>oral</v>
      </c>
      <c r="E2129" s="206" t="str">
        <f>IF(AND(A2129&lt;&gt;"",ISNUMBER(A2129)),VLOOKUP(A2129,Studies!A:BR,5,FALSE),"")</f>
        <v>Midazolam</v>
      </c>
      <c r="F2129" s="207" t="str">
        <f>IF(AND(A2129&lt;&gt;"",ISNUMBER(A2129)),VLOOKUP(A2129,Studies!A:BR,6,FALSE),"")</f>
        <v>Plasma</v>
      </c>
      <c r="G2129" s="194">
        <v>3</v>
      </c>
      <c r="H2129" s="194" t="s">
        <v>60</v>
      </c>
      <c r="I2129" s="187">
        <v>105.16994446516037</v>
      </c>
      <c r="J2129" s="187" t="s">
        <v>1026</v>
      </c>
      <c r="K2129" s="187" t="s">
        <v>116</v>
      </c>
      <c r="L2129" s="195">
        <v>13.595703057944775</v>
      </c>
      <c r="M2129" s="195" t="s">
        <v>1026</v>
      </c>
      <c r="N2129" s="195" t="s">
        <v>117</v>
      </c>
      <c r="O2129" s="199"/>
      <c r="P2129" s="188"/>
      <c r="Q2129" s="174">
        <f>IF(ISNUMBER(VLOOKUP(A2129,NotghiID!A:A,1,FALSE)),1,0)</f>
        <v>0</v>
      </c>
    </row>
    <row r="2130" spans="1:17" ht="14.25" x14ac:dyDescent="0.2">
      <c r="A2130" s="183">
        <v>51</v>
      </c>
      <c r="B2130" s="232" t="str">
        <f>IF(AND(A2130&lt;&gt;"",ISNUMBER(A2130)),VLOOKUP(A2130,Studies!A:BR,2,FALSE),"")</f>
        <v>Allonen 1981</v>
      </c>
      <c r="C2130" s="232" t="str">
        <f>IF(AND(A2130&lt;&gt;"",ISNUMBER(A2130)),VLOOKUP(A2130,Studies!A:BR,3,FALSE),"")</f>
        <v>https://www.ncbi.nlm.nih.gov/pubmed/6117393</v>
      </c>
      <c r="D2130" s="232" t="str">
        <f>IF(AND(A2130&lt;&gt;"",ISNUMBER(A2130)),VLOOKUP(A2130,Studies!A:BR,4,FALSE),"")</f>
        <v>oral</v>
      </c>
      <c r="E2130" s="206" t="str">
        <f>IF(AND(A2130&lt;&gt;"",ISNUMBER(A2130)),VLOOKUP(A2130,Studies!A:BR,5,FALSE),"")</f>
        <v>Midazolam</v>
      </c>
      <c r="F2130" s="207" t="str">
        <f>IF(AND(A2130&lt;&gt;"",ISNUMBER(A2130)),VLOOKUP(A2130,Studies!A:BR,6,FALSE),"")</f>
        <v>Plasma</v>
      </c>
      <c r="G2130" s="194">
        <v>4</v>
      </c>
      <c r="H2130" s="194" t="s">
        <v>60</v>
      </c>
      <c r="I2130" s="187">
        <v>86.475841701030731</v>
      </c>
      <c r="J2130" s="187" t="s">
        <v>1026</v>
      </c>
      <c r="K2130" s="187" t="s">
        <v>116</v>
      </c>
      <c r="L2130" s="195">
        <v>17.67442375421524</v>
      </c>
      <c r="M2130" s="195" t="s">
        <v>1026</v>
      </c>
      <c r="N2130" s="195" t="s">
        <v>117</v>
      </c>
      <c r="O2130" s="199"/>
      <c r="P2130" s="188"/>
      <c r="Q2130" s="174">
        <f>IF(ISNUMBER(VLOOKUP(A2130,NotghiID!A:A,1,FALSE)),1,0)</f>
        <v>0</v>
      </c>
    </row>
    <row r="2131" spans="1:17" ht="14.25" x14ac:dyDescent="0.2">
      <c r="A2131" s="183">
        <v>51</v>
      </c>
      <c r="B2131" s="232" t="str">
        <f>IF(AND(A2131&lt;&gt;"",ISNUMBER(A2131)),VLOOKUP(A2131,Studies!A:BR,2,FALSE),"")</f>
        <v>Allonen 1981</v>
      </c>
      <c r="C2131" s="232" t="str">
        <f>IF(AND(A2131&lt;&gt;"",ISNUMBER(A2131)),VLOOKUP(A2131,Studies!A:BR,3,FALSE),"")</f>
        <v>https://www.ncbi.nlm.nih.gov/pubmed/6117393</v>
      </c>
      <c r="D2131" s="232" t="str">
        <f>IF(AND(A2131&lt;&gt;"",ISNUMBER(A2131)),VLOOKUP(A2131,Studies!A:BR,4,FALSE),"")</f>
        <v>oral</v>
      </c>
      <c r="E2131" s="206" t="str">
        <f>IF(AND(A2131&lt;&gt;"",ISNUMBER(A2131)),VLOOKUP(A2131,Studies!A:BR,5,FALSE),"")</f>
        <v>Midazolam</v>
      </c>
      <c r="F2131" s="207" t="str">
        <f>IF(AND(A2131&lt;&gt;"",ISNUMBER(A2131)),VLOOKUP(A2131,Studies!A:BR,6,FALSE),"")</f>
        <v>Plasma</v>
      </c>
      <c r="G2131" s="194">
        <v>5</v>
      </c>
      <c r="H2131" s="194" t="s">
        <v>60</v>
      </c>
      <c r="I2131" s="187">
        <v>61.663683503866196</v>
      </c>
      <c r="J2131" s="187" t="s">
        <v>1026</v>
      </c>
      <c r="K2131" s="187" t="s">
        <v>116</v>
      </c>
      <c r="L2131" s="195">
        <v>13.93559668213129</v>
      </c>
      <c r="M2131" s="195" t="s">
        <v>1026</v>
      </c>
      <c r="N2131" s="195" t="s">
        <v>117</v>
      </c>
      <c r="O2131" s="199"/>
      <c r="P2131" s="188"/>
      <c r="Q2131" s="174">
        <f>IF(ISNUMBER(VLOOKUP(A2131,NotghiID!A:A,1,FALSE)),1,0)</f>
        <v>0</v>
      </c>
    </row>
    <row r="2132" spans="1:17" ht="14.25" x14ac:dyDescent="0.2">
      <c r="A2132" s="183">
        <v>51</v>
      </c>
      <c r="B2132" s="232" t="str">
        <f>IF(AND(A2132&lt;&gt;"",ISNUMBER(A2132)),VLOOKUP(A2132,Studies!A:BR,2,FALSE),"")</f>
        <v>Allonen 1981</v>
      </c>
      <c r="C2132" s="232" t="str">
        <f>IF(AND(A2132&lt;&gt;"",ISNUMBER(A2132)),VLOOKUP(A2132,Studies!A:BR,3,FALSE),"")</f>
        <v>https://www.ncbi.nlm.nih.gov/pubmed/6117393</v>
      </c>
      <c r="D2132" s="232" t="str">
        <f>IF(AND(A2132&lt;&gt;"",ISNUMBER(A2132)),VLOOKUP(A2132,Studies!A:BR,4,FALSE),"")</f>
        <v>oral</v>
      </c>
      <c r="E2132" s="206" t="str">
        <f>IF(AND(A2132&lt;&gt;"",ISNUMBER(A2132)),VLOOKUP(A2132,Studies!A:BR,5,FALSE),"")</f>
        <v>Midazolam</v>
      </c>
      <c r="F2132" s="207" t="str">
        <f>IF(AND(A2132&lt;&gt;"",ISNUMBER(A2132)),VLOOKUP(A2132,Studies!A:BR,6,FALSE),"")</f>
        <v>Plasma</v>
      </c>
      <c r="G2132" s="194">
        <v>6</v>
      </c>
      <c r="H2132" s="194" t="s">
        <v>60</v>
      </c>
      <c r="I2132" s="187">
        <v>30.73345310986042</v>
      </c>
      <c r="J2132" s="187" t="s">
        <v>1026</v>
      </c>
      <c r="K2132" s="187" t="s">
        <v>116</v>
      </c>
      <c r="L2132" s="195">
        <v>14.275490306317806</v>
      </c>
      <c r="M2132" s="195" t="s">
        <v>1026</v>
      </c>
      <c r="N2132" s="195" t="s">
        <v>117</v>
      </c>
      <c r="O2132" s="199"/>
      <c r="P2132" s="188"/>
      <c r="Q2132" s="174">
        <f>IF(ISNUMBER(VLOOKUP(A2132,NotghiID!A:A,1,FALSE)),1,0)</f>
        <v>0</v>
      </c>
    </row>
    <row r="2133" spans="1:17" ht="14.25" x14ac:dyDescent="0.2">
      <c r="A2133" s="183">
        <v>51</v>
      </c>
      <c r="B2133" s="232" t="str">
        <f>IF(AND(A2133&lt;&gt;"",ISNUMBER(A2133)),VLOOKUP(A2133,Studies!A:BR,2,FALSE),"")</f>
        <v>Allonen 1981</v>
      </c>
      <c r="C2133" s="232" t="str">
        <f>IF(AND(A2133&lt;&gt;"",ISNUMBER(A2133)),VLOOKUP(A2133,Studies!A:BR,3,FALSE),"")</f>
        <v>https://www.ncbi.nlm.nih.gov/pubmed/6117393</v>
      </c>
      <c r="D2133" s="232" t="str">
        <f>IF(AND(A2133&lt;&gt;"",ISNUMBER(A2133)),VLOOKUP(A2133,Studies!A:BR,4,FALSE),"")</f>
        <v>oral</v>
      </c>
      <c r="E2133" s="206" t="str">
        <f>IF(AND(A2133&lt;&gt;"",ISNUMBER(A2133)),VLOOKUP(A2133,Studies!A:BR,5,FALSE),"")</f>
        <v>Midazolam</v>
      </c>
      <c r="F2133" s="207" t="str">
        <f>IF(AND(A2133&lt;&gt;"",ISNUMBER(A2133)),VLOOKUP(A2133,Studies!A:BR,6,FALSE),"")</f>
        <v>Plasma</v>
      </c>
      <c r="G2133" s="194">
        <v>7</v>
      </c>
      <c r="H2133" s="194" t="s">
        <v>60</v>
      </c>
      <c r="I2133" s="187">
        <v>15.0983901694417</v>
      </c>
      <c r="J2133" s="187" t="s">
        <v>1026</v>
      </c>
      <c r="K2133" s="187" t="s">
        <v>116</v>
      </c>
      <c r="L2133" s="195">
        <v>18.694095313549042</v>
      </c>
      <c r="M2133" s="195" t="s">
        <v>1026</v>
      </c>
      <c r="N2133" s="195" t="s">
        <v>117</v>
      </c>
      <c r="O2133" s="199"/>
      <c r="P2133" s="188"/>
      <c r="Q2133" s="174">
        <f>IF(ISNUMBER(VLOOKUP(A2133,NotghiID!A:A,1,FALSE)),1,0)</f>
        <v>0</v>
      </c>
    </row>
    <row r="2134" spans="1:17" ht="14.25" x14ac:dyDescent="0.2">
      <c r="A2134" s="183">
        <v>52</v>
      </c>
      <c r="B2134" s="232" t="str">
        <f>IF(AND(A2134&lt;&gt;"",ISNUMBER(A2134)),VLOOKUP(A2134,Studies!A:BR,2,FALSE),"")</f>
        <v>Allonen 1981</v>
      </c>
      <c r="C2134" s="232" t="str">
        <f>IF(AND(A2134&lt;&gt;"",ISNUMBER(A2134)),VLOOKUP(A2134,Studies!A:BR,3,FALSE),"")</f>
        <v>https://www.ncbi.nlm.nih.gov/pubmed/6117393</v>
      </c>
      <c r="D2134" s="232" t="str">
        <f>IF(AND(A2134&lt;&gt;"",ISNUMBER(A2134)),VLOOKUP(A2134,Studies!A:BR,4,FALSE),"")</f>
        <v>iv</v>
      </c>
      <c r="E2134" s="206" t="str">
        <f>IF(AND(A2134&lt;&gt;"",ISNUMBER(A2134)),VLOOKUP(A2134,Studies!A:BR,5,FALSE),"")</f>
        <v>Midazolam</v>
      </c>
      <c r="F2134" s="207" t="str">
        <f>IF(AND(A2134&lt;&gt;"",ISNUMBER(A2134)),VLOOKUP(A2134,Studies!A:BR,6,FALSE),"")</f>
        <v>Plasma</v>
      </c>
      <c r="G2134" s="194">
        <v>8.3333335816860199E-2</v>
      </c>
      <c r="H2134" s="194" t="s">
        <v>60</v>
      </c>
      <c r="I2134" s="187">
        <v>194.22180950641632</v>
      </c>
      <c r="J2134" s="187" t="s">
        <v>1026</v>
      </c>
      <c r="K2134" s="187" t="s">
        <v>116</v>
      </c>
      <c r="L2134" s="195">
        <v>7.8175347298383713</v>
      </c>
      <c r="M2134" s="195" t="s">
        <v>1026</v>
      </c>
      <c r="N2134" s="195" t="s">
        <v>117</v>
      </c>
      <c r="O2134" s="199"/>
      <c r="P2134" s="188"/>
      <c r="Q2134" s="174">
        <f>IF(ISNUMBER(VLOOKUP(A2134,NotghiID!A:A,1,FALSE)),1,0)</f>
        <v>0</v>
      </c>
    </row>
    <row r="2135" spans="1:17" ht="14.25" x14ac:dyDescent="0.2">
      <c r="A2135" s="183">
        <v>52</v>
      </c>
      <c r="B2135" s="232" t="str">
        <f>IF(AND(A2135&lt;&gt;"",ISNUMBER(A2135)),VLOOKUP(A2135,Studies!A:BR,2,FALSE),"")</f>
        <v>Allonen 1981</v>
      </c>
      <c r="C2135" s="232" t="str">
        <f>IF(AND(A2135&lt;&gt;"",ISNUMBER(A2135)),VLOOKUP(A2135,Studies!A:BR,3,FALSE),"")</f>
        <v>https://www.ncbi.nlm.nih.gov/pubmed/6117393</v>
      </c>
      <c r="D2135" s="232" t="str">
        <f>IF(AND(A2135&lt;&gt;"",ISNUMBER(A2135)),VLOOKUP(A2135,Studies!A:BR,4,FALSE),"")</f>
        <v>iv</v>
      </c>
      <c r="E2135" s="206" t="str">
        <f>IF(AND(A2135&lt;&gt;"",ISNUMBER(A2135)),VLOOKUP(A2135,Studies!A:BR,5,FALSE),"")</f>
        <v>Midazolam</v>
      </c>
      <c r="F2135" s="207" t="str">
        <f>IF(AND(A2135&lt;&gt;"",ISNUMBER(A2135)),VLOOKUP(A2135,Studies!A:BR,6,FALSE),"")</f>
        <v>Plasma</v>
      </c>
      <c r="G2135" s="194">
        <v>0.1666666716337204</v>
      </c>
      <c r="H2135" s="194" t="s">
        <v>60</v>
      </c>
      <c r="I2135" s="187">
        <v>178.58676612377167</v>
      </c>
      <c r="J2135" s="187" t="s">
        <v>1026</v>
      </c>
      <c r="K2135" s="187" t="s">
        <v>116</v>
      </c>
      <c r="L2135" s="195">
        <v>7.8175198286771774</v>
      </c>
      <c r="M2135" s="195" t="s">
        <v>1026</v>
      </c>
      <c r="N2135" s="195" t="s">
        <v>117</v>
      </c>
      <c r="O2135" s="199"/>
      <c r="P2135" s="188"/>
      <c r="Q2135" s="174">
        <f>IF(ISNUMBER(VLOOKUP(A2135,NotghiID!A:A,1,FALSE)),1,0)</f>
        <v>0</v>
      </c>
    </row>
    <row r="2136" spans="1:17" ht="14.25" x14ac:dyDescent="0.2">
      <c r="A2136" s="183">
        <v>52</v>
      </c>
      <c r="B2136" s="232" t="str">
        <f>IF(AND(A2136&lt;&gt;"",ISNUMBER(A2136)),VLOOKUP(A2136,Studies!A:BR,2,FALSE),"")</f>
        <v>Allonen 1981</v>
      </c>
      <c r="C2136" s="232" t="str">
        <f>IF(AND(A2136&lt;&gt;"",ISNUMBER(A2136)),VLOOKUP(A2136,Studies!A:BR,3,FALSE),"")</f>
        <v>https://www.ncbi.nlm.nih.gov/pubmed/6117393</v>
      </c>
      <c r="D2136" s="232" t="str">
        <f>IF(AND(A2136&lt;&gt;"",ISNUMBER(A2136)),VLOOKUP(A2136,Studies!A:BR,4,FALSE),"")</f>
        <v>iv</v>
      </c>
      <c r="E2136" s="206" t="str">
        <f>IF(AND(A2136&lt;&gt;"",ISNUMBER(A2136)),VLOOKUP(A2136,Studies!A:BR,5,FALSE),"")</f>
        <v>Midazolam</v>
      </c>
      <c r="F2136" s="207" t="str">
        <f>IF(AND(A2136&lt;&gt;"",ISNUMBER(A2136)),VLOOKUP(A2136,Studies!A:BR,6,FALSE),"")</f>
        <v>Plasma</v>
      </c>
      <c r="G2136" s="194">
        <v>0.3333333432674408</v>
      </c>
      <c r="H2136" s="194" t="s">
        <v>60</v>
      </c>
      <c r="I2136" s="187">
        <v>167.03040897846222</v>
      </c>
      <c r="J2136" s="187" t="s">
        <v>1026</v>
      </c>
      <c r="K2136" s="187" t="s">
        <v>116</v>
      </c>
      <c r="L2136" s="195">
        <v>11.556350626051426</v>
      </c>
      <c r="M2136" s="195" t="s">
        <v>1026</v>
      </c>
      <c r="N2136" s="195" t="s">
        <v>117</v>
      </c>
      <c r="O2136" s="199"/>
      <c r="P2136" s="188"/>
      <c r="Q2136" s="174">
        <f>IF(ISNUMBER(VLOOKUP(A2136,NotghiID!A:A,1,FALSE)),1,0)</f>
        <v>0</v>
      </c>
    </row>
    <row r="2137" spans="1:17" ht="14.25" x14ac:dyDescent="0.2">
      <c r="A2137" s="183">
        <v>52</v>
      </c>
      <c r="B2137" s="232" t="str">
        <f>IF(AND(A2137&lt;&gt;"",ISNUMBER(A2137)),VLOOKUP(A2137,Studies!A:BR,2,FALSE),"")</f>
        <v>Allonen 1981</v>
      </c>
      <c r="C2137" s="232" t="str">
        <f>IF(AND(A2137&lt;&gt;"",ISNUMBER(A2137)),VLOOKUP(A2137,Studies!A:BR,3,FALSE),"")</f>
        <v>https://www.ncbi.nlm.nih.gov/pubmed/6117393</v>
      </c>
      <c r="D2137" s="232" t="str">
        <f>IF(AND(A2137&lt;&gt;"",ISNUMBER(A2137)),VLOOKUP(A2137,Studies!A:BR,4,FALSE),"")</f>
        <v>iv</v>
      </c>
      <c r="E2137" s="206" t="str">
        <f>IF(AND(A2137&lt;&gt;"",ISNUMBER(A2137)),VLOOKUP(A2137,Studies!A:BR,5,FALSE),"")</f>
        <v>Midazolam</v>
      </c>
      <c r="F2137" s="207" t="str">
        <f>IF(AND(A2137&lt;&gt;"",ISNUMBER(A2137)),VLOOKUP(A2137,Studies!A:BR,6,FALSE),"")</f>
        <v>Plasma</v>
      </c>
      <c r="G2137" s="194">
        <v>0.5</v>
      </c>
      <c r="H2137" s="194" t="s">
        <v>60</v>
      </c>
      <c r="I2137" s="187">
        <v>158.87297689914703</v>
      </c>
      <c r="J2137" s="187" t="s">
        <v>1026</v>
      </c>
      <c r="K2137" s="187" t="s">
        <v>116</v>
      </c>
      <c r="L2137" s="195">
        <v>14.615386724472046</v>
      </c>
      <c r="M2137" s="195" t="s">
        <v>1026</v>
      </c>
      <c r="N2137" s="195" t="s">
        <v>117</v>
      </c>
      <c r="O2137" s="199"/>
      <c r="P2137" s="188"/>
      <c r="Q2137" s="174">
        <f>IF(ISNUMBER(VLOOKUP(A2137,NotghiID!A:A,1,FALSE)),1,0)</f>
        <v>0</v>
      </c>
    </row>
    <row r="2138" spans="1:17" ht="14.25" x14ac:dyDescent="0.2">
      <c r="A2138" s="183">
        <v>52</v>
      </c>
      <c r="B2138" s="232" t="str">
        <f>IF(AND(A2138&lt;&gt;"",ISNUMBER(A2138)),VLOOKUP(A2138,Studies!A:BR,2,FALSE),"")</f>
        <v>Allonen 1981</v>
      </c>
      <c r="C2138" s="232" t="str">
        <f>IF(AND(A2138&lt;&gt;"",ISNUMBER(A2138)),VLOOKUP(A2138,Studies!A:BR,3,FALSE),"")</f>
        <v>https://www.ncbi.nlm.nih.gov/pubmed/6117393</v>
      </c>
      <c r="D2138" s="232" t="str">
        <f>IF(AND(A2138&lt;&gt;"",ISNUMBER(A2138)),VLOOKUP(A2138,Studies!A:BR,4,FALSE),"")</f>
        <v>iv</v>
      </c>
      <c r="E2138" s="206" t="str">
        <f>IF(AND(A2138&lt;&gt;"",ISNUMBER(A2138)),VLOOKUP(A2138,Studies!A:BR,5,FALSE),"")</f>
        <v>Midazolam</v>
      </c>
      <c r="F2138" s="207" t="str">
        <f>IF(AND(A2138&lt;&gt;"",ISNUMBER(A2138)),VLOOKUP(A2138,Studies!A:BR,6,FALSE),"")</f>
        <v>Plasma</v>
      </c>
      <c r="G2138" s="194">
        <v>0.75</v>
      </c>
      <c r="H2138" s="194" t="s">
        <v>60</v>
      </c>
      <c r="I2138" s="187">
        <v>143.91770958900452</v>
      </c>
      <c r="J2138" s="187" t="s">
        <v>1026</v>
      </c>
      <c r="K2138" s="187" t="s">
        <v>116</v>
      </c>
      <c r="L2138" s="195">
        <v>7.8175347298383713</v>
      </c>
      <c r="M2138" s="195" t="s">
        <v>1026</v>
      </c>
      <c r="N2138" s="195" t="s">
        <v>117</v>
      </c>
      <c r="O2138" s="199"/>
      <c r="P2138" s="188"/>
      <c r="Q2138" s="174">
        <f>IF(ISNUMBER(VLOOKUP(A2138,NotghiID!A:A,1,FALSE)),1,0)</f>
        <v>0</v>
      </c>
    </row>
    <row r="2139" spans="1:17" ht="14.25" x14ac:dyDescent="0.2">
      <c r="A2139" s="183">
        <v>52</v>
      </c>
      <c r="B2139" s="232" t="str">
        <f>IF(AND(A2139&lt;&gt;"",ISNUMBER(A2139)),VLOOKUP(A2139,Studies!A:BR,2,FALSE),"")</f>
        <v>Allonen 1981</v>
      </c>
      <c r="C2139" s="232" t="str">
        <f>IF(AND(A2139&lt;&gt;"",ISNUMBER(A2139)),VLOOKUP(A2139,Studies!A:BR,3,FALSE),"")</f>
        <v>https://www.ncbi.nlm.nih.gov/pubmed/6117393</v>
      </c>
      <c r="D2139" s="232" t="str">
        <f>IF(AND(A2139&lt;&gt;"",ISNUMBER(A2139)),VLOOKUP(A2139,Studies!A:BR,4,FALSE),"")</f>
        <v>iv</v>
      </c>
      <c r="E2139" s="206" t="str">
        <f>IF(AND(A2139&lt;&gt;"",ISNUMBER(A2139)),VLOOKUP(A2139,Studies!A:BR,5,FALSE),"")</f>
        <v>Midazolam</v>
      </c>
      <c r="F2139" s="207" t="str">
        <f>IF(AND(A2139&lt;&gt;"",ISNUMBER(A2139)),VLOOKUP(A2139,Studies!A:BR,6,FALSE),"")</f>
        <v>Plasma</v>
      </c>
      <c r="G2139" s="194">
        <v>1</v>
      </c>
      <c r="H2139" s="194" t="s">
        <v>60</v>
      </c>
      <c r="I2139" s="187">
        <v>138.13953101634979</v>
      </c>
      <c r="J2139" s="187" t="s">
        <v>1026</v>
      </c>
      <c r="K2139" s="187" t="s">
        <v>116</v>
      </c>
      <c r="L2139" s="195">
        <v>18.354201689362526</v>
      </c>
      <c r="M2139" s="195" t="s">
        <v>1026</v>
      </c>
      <c r="N2139" s="195" t="s">
        <v>117</v>
      </c>
      <c r="O2139" s="199"/>
      <c r="P2139" s="188"/>
      <c r="Q2139" s="174">
        <f>IF(ISNUMBER(VLOOKUP(A2139,NotghiID!A:A,1,FALSE)),1,0)</f>
        <v>0</v>
      </c>
    </row>
    <row r="2140" spans="1:17" ht="14.25" x14ac:dyDescent="0.2">
      <c r="A2140" s="183">
        <v>52</v>
      </c>
      <c r="B2140" s="232" t="str">
        <f>IF(AND(A2140&lt;&gt;"",ISNUMBER(A2140)),VLOOKUP(A2140,Studies!A:BR,2,FALSE),"")</f>
        <v>Allonen 1981</v>
      </c>
      <c r="C2140" s="232" t="str">
        <f>IF(AND(A2140&lt;&gt;"",ISNUMBER(A2140)),VLOOKUP(A2140,Studies!A:BR,3,FALSE),"")</f>
        <v>https://www.ncbi.nlm.nih.gov/pubmed/6117393</v>
      </c>
      <c r="D2140" s="232" t="str">
        <f>IF(AND(A2140&lt;&gt;"",ISNUMBER(A2140)),VLOOKUP(A2140,Studies!A:BR,4,FALSE),"")</f>
        <v>iv</v>
      </c>
      <c r="E2140" s="206" t="str">
        <f>IF(AND(A2140&lt;&gt;"",ISNUMBER(A2140)),VLOOKUP(A2140,Studies!A:BR,5,FALSE),"")</f>
        <v>Midazolam</v>
      </c>
      <c r="F2140" s="207" t="str">
        <f>IF(AND(A2140&lt;&gt;"",ISNUMBER(A2140)),VLOOKUP(A2140,Studies!A:BR,6,FALSE),"")</f>
        <v>Plasma</v>
      </c>
      <c r="G2140" s="194">
        <v>1.5</v>
      </c>
      <c r="H2140" s="194" t="s">
        <v>60</v>
      </c>
      <c r="I2140" s="187">
        <v>120.80501019954681</v>
      </c>
      <c r="J2140" s="187" t="s">
        <v>1026</v>
      </c>
      <c r="K2140" s="187" t="s">
        <v>116</v>
      </c>
      <c r="L2140" s="195">
        <v>11.216461658477783</v>
      </c>
      <c r="M2140" s="195" t="s">
        <v>1026</v>
      </c>
      <c r="N2140" s="195" t="s">
        <v>117</v>
      </c>
      <c r="O2140" s="199"/>
      <c r="P2140" s="188"/>
      <c r="Q2140" s="174">
        <f>IF(ISNUMBER(VLOOKUP(A2140,NotghiID!A:A,1,FALSE)),1,0)</f>
        <v>0</v>
      </c>
    </row>
    <row r="2141" spans="1:17" ht="14.25" x14ac:dyDescent="0.2">
      <c r="A2141" s="183">
        <v>52</v>
      </c>
      <c r="B2141" s="232" t="str">
        <f>IF(AND(A2141&lt;&gt;"",ISNUMBER(A2141)),VLOOKUP(A2141,Studies!A:BR,2,FALSE),"")</f>
        <v>Allonen 1981</v>
      </c>
      <c r="C2141" s="232" t="str">
        <f>IF(AND(A2141&lt;&gt;"",ISNUMBER(A2141)),VLOOKUP(A2141,Studies!A:BR,3,FALSE),"")</f>
        <v>https://www.ncbi.nlm.nih.gov/pubmed/6117393</v>
      </c>
      <c r="D2141" s="232" t="str">
        <f>IF(AND(A2141&lt;&gt;"",ISNUMBER(A2141)),VLOOKUP(A2141,Studies!A:BR,4,FALSE),"")</f>
        <v>iv</v>
      </c>
      <c r="E2141" s="206" t="str">
        <f>IF(AND(A2141&lt;&gt;"",ISNUMBER(A2141)),VLOOKUP(A2141,Studies!A:BR,5,FALSE),"")</f>
        <v>Midazolam</v>
      </c>
      <c r="F2141" s="207" t="str">
        <f>IF(AND(A2141&lt;&gt;"",ISNUMBER(A2141)),VLOOKUP(A2141,Studies!A:BR,6,FALSE),"")</f>
        <v>Plasma</v>
      </c>
      <c r="G2141" s="194">
        <v>2</v>
      </c>
      <c r="H2141" s="194" t="s">
        <v>60</v>
      </c>
      <c r="I2141" s="187">
        <v>102.45080292224884</v>
      </c>
      <c r="J2141" s="187" t="s">
        <v>1026</v>
      </c>
      <c r="K2141" s="187" t="s">
        <v>116</v>
      </c>
      <c r="L2141" s="195">
        <v>22.093025967478752</v>
      </c>
      <c r="M2141" s="195" t="s">
        <v>1026</v>
      </c>
      <c r="N2141" s="195" t="s">
        <v>117</v>
      </c>
      <c r="O2141" s="199"/>
      <c r="P2141" s="188"/>
      <c r="Q2141" s="174">
        <f>IF(ISNUMBER(VLOOKUP(A2141,NotghiID!A:A,1,FALSE)),1,0)</f>
        <v>0</v>
      </c>
    </row>
    <row r="2142" spans="1:17" ht="14.25" x14ac:dyDescent="0.2">
      <c r="A2142" s="183">
        <v>52</v>
      </c>
      <c r="B2142" s="232" t="str">
        <f>IF(AND(A2142&lt;&gt;"",ISNUMBER(A2142)),VLOOKUP(A2142,Studies!A:BR,2,FALSE),"")</f>
        <v>Allonen 1981</v>
      </c>
      <c r="C2142" s="232" t="str">
        <f>IF(AND(A2142&lt;&gt;"",ISNUMBER(A2142)),VLOOKUP(A2142,Studies!A:BR,3,FALSE),"")</f>
        <v>https://www.ncbi.nlm.nih.gov/pubmed/6117393</v>
      </c>
      <c r="D2142" s="232" t="str">
        <f>IF(AND(A2142&lt;&gt;"",ISNUMBER(A2142)),VLOOKUP(A2142,Studies!A:BR,4,FALSE),"")</f>
        <v>iv</v>
      </c>
      <c r="E2142" s="206" t="str">
        <f>IF(AND(A2142&lt;&gt;"",ISNUMBER(A2142)),VLOOKUP(A2142,Studies!A:BR,5,FALSE),"")</f>
        <v>Midazolam</v>
      </c>
      <c r="F2142" s="207" t="str">
        <f>IF(AND(A2142&lt;&gt;"",ISNUMBER(A2142)),VLOOKUP(A2142,Studies!A:BR,6,FALSE),"")</f>
        <v>Plasma</v>
      </c>
      <c r="G2142" s="194">
        <v>3</v>
      </c>
      <c r="H2142" s="194" t="s">
        <v>60</v>
      </c>
      <c r="I2142" s="187">
        <v>80.697670578956604</v>
      </c>
      <c r="J2142" s="187" t="s">
        <v>1026</v>
      </c>
      <c r="K2142" s="187" t="s">
        <v>116</v>
      </c>
      <c r="L2142" s="195">
        <v>24.472268298268318</v>
      </c>
      <c r="M2142" s="195" t="s">
        <v>1026</v>
      </c>
      <c r="N2142" s="195" t="s">
        <v>117</v>
      </c>
      <c r="O2142" s="199"/>
      <c r="P2142" s="188"/>
      <c r="Q2142" s="174">
        <f>IF(ISNUMBER(VLOOKUP(A2142,NotghiID!A:A,1,FALSE)),1,0)</f>
        <v>0</v>
      </c>
    </row>
    <row r="2143" spans="1:17" ht="14.25" x14ac:dyDescent="0.2">
      <c r="A2143" s="183">
        <v>52</v>
      </c>
      <c r="B2143" s="232" t="str">
        <f>IF(AND(A2143&lt;&gt;"",ISNUMBER(A2143)),VLOOKUP(A2143,Studies!A:BR,2,FALSE),"")</f>
        <v>Allonen 1981</v>
      </c>
      <c r="C2143" s="232" t="str">
        <f>IF(AND(A2143&lt;&gt;"",ISNUMBER(A2143)),VLOOKUP(A2143,Studies!A:BR,3,FALSE),"")</f>
        <v>https://www.ncbi.nlm.nih.gov/pubmed/6117393</v>
      </c>
      <c r="D2143" s="232" t="str">
        <f>IF(AND(A2143&lt;&gt;"",ISNUMBER(A2143)),VLOOKUP(A2143,Studies!A:BR,4,FALSE),"")</f>
        <v>iv</v>
      </c>
      <c r="E2143" s="206" t="str">
        <f>IF(AND(A2143&lt;&gt;"",ISNUMBER(A2143)),VLOOKUP(A2143,Studies!A:BR,5,FALSE),"")</f>
        <v>Midazolam</v>
      </c>
      <c r="F2143" s="207" t="str">
        <f>IF(AND(A2143&lt;&gt;"",ISNUMBER(A2143)),VLOOKUP(A2143,Studies!A:BR,6,FALSE),"")</f>
        <v>Plasma</v>
      </c>
      <c r="G2143" s="194">
        <v>4</v>
      </c>
      <c r="H2143" s="194" t="s">
        <v>60</v>
      </c>
      <c r="I2143" s="187">
        <v>55.88550865650177</v>
      </c>
      <c r="J2143" s="187" t="s">
        <v>1026</v>
      </c>
      <c r="K2143" s="187" t="s">
        <v>116</v>
      </c>
      <c r="L2143" s="195">
        <v>25.152057409286499</v>
      </c>
      <c r="M2143" s="195" t="s">
        <v>1026</v>
      </c>
      <c r="N2143" s="195" t="s">
        <v>117</v>
      </c>
      <c r="O2143" s="199"/>
      <c r="P2143" s="188"/>
      <c r="Q2143" s="174">
        <f>IF(ISNUMBER(VLOOKUP(A2143,NotghiID!A:A,1,FALSE)),1,0)</f>
        <v>0</v>
      </c>
    </row>
    <row r="2144" spans="1:17" ht="14.25" x14ac:dyDescent="0.2">
      <c r="A2144" s="183">
        <v>52</v>
      </c>
      <c r="B2144" s="232" t="str">
        <f>IF(AND(A2144&lt;&gt;"",ISNUMBER(A2144)),VLOOKUP(A2144,Studies!A:BR,2,FALSE),"")</f>
        <v>Allonen 1981</v>
      </c>
      <c r="C2144" s="232" t="str">
        <f>IF(AND(A2144&lt;&gt;"",ISNUMBER(A2144)),VLOOKUP(A2144,Studies!A:BR,3,FALSE),"")</f>
        <v>https://www.ncbi.nlm.nih.gov/pubmed/6117393</v>
      </c>
      <c r="D2144" s="232" t="str">
        <f>IF(AND(A2144&lt;&gt;"",ISNUMBER(A2144)),VLOOKUP(A2144,Studies!A:BR,4,FALSE),"")</f>
        <v>iv</v>
      </c>
      <c r="E2144" s="206" t="str">
        <f>IF(AND(A2144&lt;&gt;"",ISNUMBER(A2144)),VLOOKUP(A2144,Studies!A:BR,5,FALSE),"")</f>
        <v>Midazolam</v>
      </c>
      <c r="F2144" s="207" t="str">
        <f>IF(AND(A2144&lt;&gt;"",ISNUMBER(A2144)),VLOOKUP(A2144,Studies!A:BR,6,FALSE),"")</f>
        <v>Plasma</v>
      </c>
      <c r="G2144" s="194">
        <v>5</v>
      </c>
      <c r="H2144" s="194" t="s">
        <v>60</v>
      </c>
      <c r="I2144" s="187">
        <v>41.949909180402756</v>
      </c>
      <c r="J2144" s="187" t="s">
        <v>1026</v>
      </c>
      <c r="K2144" s="187" t="s">
        <v>116</v>
      </c>
      <c r="L2144" s="195">
        <v>39.087656885385513</v>
      </c>
      <c r="M2144" s="195" t="s">
        <v>1026</v>
      </c>
      <c r="N2144" s="195" t="s">
        <v>117</v>
      </c>
      <c r="O2144" s="199"/>
      <c r="P2144" s="188"/>
      <c r="Q2144" s="174">
        <f>IF(ISNUMBER(VLOOKUP(A2144,NotghiID!A:A,1,FALSE)),1,0)</f>
        <v>0</v>
      </c>
    </row>
    <row r="2145" spans="1:17" ht="14.25" x14ac:dyDescent="0.2">
      <c r="A2145" s="183">
        <v>52</v>
      </c>
      <c r="B2145" s="232" t="str">
        <f>IF(AND(A2145&lt;&gt;"",ISNUMBER(A2145)),VLOOKUP(A2145,Studies!A:BR,2,FALSE),"")</f>
        <v>Allonen 1981</v>
      </c>
      <c r="C2145" s="232" t="str">
        <f>IF(AND(A2145&lt;&gt;"",ISNUMBER(A2145)),VLOOKUP(A2145,Studies!A:BR,3,FALSE),"")</f>
        <v>https://www.ncbi.nlm.nih.gov/pubmed/6117393</v>
      </c>
      <c r="D2145" s="232" t="str">
        <f>IF(AND(A2145&lt;&gt;"",ISNUMBER(A2145)),VLOOKUP(A2145,Studies!A:BR,4,FALSE),"")</f>
        <v>iv</v>
      </c>
      <c r="E2145" s="206" t="str">
        <f>IF(AND(A2145&lt;&gt;"",ISNUMBER(A2145)),VLOOKUP(A2145,Studies!A:BR,5,FALSE),"")</f>
        <v>Midazolam</v>
      </c>
      <c r="F2145" s="207" t="str">
        <f>IF(AND(A2145&lt;&gt;"",ISNUMBER(A2145)),VLOOKUP(A2145,Studies!A:BR,6,FALSE),"")</f>
        <v>Plasma</v>
      </c>
      <c r="G2145" s="194">
        <v>6</v>
      </c>
      <c r="H2145" s="194" t="s">
        <v>60</v>
      </c>
      <c r="I2145" s="187">
        <v>29.713774099946022</v>
      </c>
      <c r="J2145" s="187" t="s">
        <v>1026</v>
      </c>
      <c r="K2145" s="187" t="s">
        <v>116</v>
      </c>
      <c r="L2145" s="195">
        <v>34.669052809476852</v>
      </c>
      <c r="M2145" s="195" t="s">
        <v>1026</v>
      </c>
      <c r="N2145" s="195" t="s">
        <v>117</v>
      </c>
      <c r="O2145" s="199"/>
      <c r="P2145" s="188"/>
      <c r="Q2145" s="174">
        <f>IF(ISNUMBER(VLOOKUP(A2145,NotghiID!A:A,1,FALSE)),1,0)</f>
        <v>0</v>
      </c>
    </row>
    <row r="2146" spans="1:17" ht="14.25" x14ac:dyDescent="0.2">
      <c r="A2146" s="183">
        <v>52</v>
      </c>
      <c r="B2146" s="232" t="str">
        <f>IF(AND(A2146&lt;&gt;"",ISNUMBER(A2146)),VLOOKUP(A2146,Studies!A:BR,2,FALSE),"")</f>
        <v>Allonen 1981</v>
      </c>
      <c r="C2146" s="232" t="str">
        <f>IF(AND(A2146&lt;&gt;"",ISNUMBER(A2146)),VLOOKUP(A2146,Studies!A:BR,3,FALSE),"")</f>
        <v>https://www.ncbi.nlm.nih.gov/pubmed/6117393</v>
      </c>
      <c r="D2146" s="232" t="str">
        <f>IF(AND(A2146&lt;&gt;"",ISNUMBER(A2146)),VLOOKUP(A2146,Studies!A:BR,4,FALSE),"")</f>
        <v>iv</v>
      </c>
      <c r="E2146" s="206" t="str">
        <f>IF(AND(A2146&lt;&gt;"",ISNUMBER(A2146)),VLOOKUP(A2146,Studies!A:BR,5,FALSE),"")</f>
        <v>Midazolam</v>
      </c>
      <c r="F2146" s="207" t="str">
        <f>IF(AND(A2146&lt;&gt;"",ISNUMBER(A2146)),VLOOKUP(A2146,Studies!A:BR,6,FALSE),"")</f>
        <v>Plasma</v>
      </c>
      <c r="G2146" s="194">
        <v>7</v>
      </c>
      <c r="H2146" s="194" t="s">
        <v>60</v>
      </c>
      <c r="I2146" s="187">
        <v>11.359570547938347</v>
      </c>
      <c r="J2146" s="187" t="s">
        <v>1026</v>
      </c>
      <c r="K2146" s="187" t="s">
        <v>116</v>
      </c>
      <c r="L2146" s="195">
        <v>21.413238719105721</v>
      </c>
      <c r="M2146" s="195" t="s">
        <v>1026</v>
      </c>
      <c r="N2146" s="195" t="s">
        <v>117</v>
      </c>
      <c r="O2146" s="199"/>
      <c r="P2146" s="188"/>
      <c r="Q2146" s="174">
        <f>IF(ISNUMBER(VLOOKUP(A2146,NotghiID!A:A,1,FALSE)),1,0)</f>
        <v>0</v>
      </c>
    </row>
    <row r="2147" spans="1:17" ht="14.25" x14ac:dyDescent="0.2">
      <c r="A2147" s="183">
        <v>112</v>
      </c>
      <c r="B2147" s="232" t="str">
        <f>IF(AND(A2147&lt;&gt;"",ISNUMBER(A2147)),VLOOKUP(A2147,Studies!A:BR,2,FALSE),"")</f>
        <v>Chung 2006</v>
      </c>
      <c r="C2147" s="232" t="str">
        <f>IF(AND(A2147&lt;&gt;"",ISNUMBER(A2147)),VLOOKUP(A2147,Studies!A:BR,3,FALSE),"")</f>
        <v>https://www.ncbi.nlm.nih.gov/pubmed/16580903</v>
      </c>
      <c r="D2147" s="232" t="str">
        <f>IF(AND(A2147&lt;&gt;"",ISNUMBER(A2147)),VLOOKUP(A2147,Studies!A:BR,4,FALSE),"")</f>
        <v>Control (Perpetrator Placebo)</v>
      </c>
      <c r="E2147" s="206" t="str">
        <f>IF(AND(A2147&lt;&gt;"",ISNUMBER(A2147)),VLOOKUP(A2147,Studies!A:BR,5,FALSE),"")</f>
        <v>Midazolam</v>
      </c>
      <c r="F2147" s="207" t="str">
        <f>IF(AND(A2147&lt;&gt;"",ISNUMBER(A2147)),VLOOKUP(A2147,Studies!A:BR,6,FALSE),"")</f>
        <v>Plasma</v>
      </c>
      <c r="G2147" s="194">
        <v>0.5</v>
      </c>
      <c r="H2147" s="194" t="s">
        <v>60</v>
      </c>
      <c r="I2147" s="187">
        <v>22.358070000000001</v>
      </c>
      <c r="J2147" s="187" t="s">
        <v>1026</v>
      </c>
      <c r="K2147" s="187" t="s">
        <v>116</v>
      </c>
      <c r="L2147" s="195">
        <v>12.44534</v>
      </c>
      <c r="M2147" s="195" t="s">
        <v>1026</v>
      </c>
      <c r="N2147" s="195" t="s">
        <v>117</v>
      </c>
      <c r="O2147" s="199"/>
      <c r="P2147" s="188"/>
      <c r="Q2147" s="174">
        <f>IF(ISNUMBER(VLOOKUP(A2147,NotghiID!A:A,1,FALSE)),1,0)</f>
        <v>0</v>
      </c>
    </row>
    <row r="2148" spans="1:17" ht="14.25" x14ac:dyDescent="0.2">
      <c r="A2148" s="183">
        <v>112</v>
      </c>
      <c r="B2148" s="232" t="str">
        <f>IF(AND(A2148&lt;&gt;"",ISNUMBER(A2148)),VLOOKUP(A2148,Studies!A:BR,2,FALSE),"")</f>
        <v>Chung 2006</v>
      </c>
      <c r="C2148" s="232" t="str">
        <f>IF(AND(A2148&lt;&gt;"",ISNUMBER(A2148)),VLOOKUP(A2148,Studies!A:BR,3,FALSE),"")</f>
        <v>https://www.ncbi.nlm.nih.gov/pubmed/16580903</v>
      </c>
      <c r="D2148" s="232" t="str">
        <f>IF(AND(A2148&lt;&gt;"",ISNUMBER(A2148)),VLOOKUP(A2148,Studies!A:BR,4,FALSE),"")</f>
        <v>Control (Perpetrator Placebo)</v>
      </c>
      <c r="E2148" s="206" t="str">
        <f>IF(AND(A2148&lt;&gt;"",ISNUMBER(A2148)),VLOOKUP(A2148,Studies!A:BR,5,FALSE),"")</f>
        <v>Midazolam</v>
      </c>
      <c r="F2148" s="207" t="str">
        <f>IF(AND(A2148&lt;&gt;"",ISNUMBER(A2148)),VLOOKUP(A2148,Studies!A:BR,6,FALSE),"")</f>
        <v>Plasma</v>
      </c>
      <c r="G2148" s="194">
        <v>1</v>
      </c>
      <c r="H2148" s="194" t="s">
        <v>60</v>
      </c>
      <c r="I2148" s="187">
        <v>18.465579999999999</v>
      </c>
      <c r="J2148" s="187" t="s">
        <v>1026</v>
      </c>
      <c r="K2148" s="187" t="s">
        <v>116</v>
      </c>
      <c r="L2148" s="195">
        <v>5.1138940000000002</v>
      </c>
      <c r="M2148" s="195" t="s">
        <v>1026</v>
      </c>
      <c r="N2148" s="195" t="s">
        <v>117</v>
      </c>
      <c r="O2148" s="199"/>
      <c r="P2148" s="188"/>
      <c r="Q2148" s="174">
        <f>IF(ISNUMBER(VLOOKUP(A2148,NotghiID!A:A,1,FALSE)),1,0)</f>
        <v>0</v>
      </c>
    </row>
    <row r="2149" spans="1:17" ht="14.25" x14ac:dyDescent="0.2">
      <c r="A2149" s="183">
        <v>112</v>
      </c>
      <c r="B2149" s="232" t="str">
        <f>IF(AND(A2149&lt;&gt;"",ISNUMBER(A2149)),VLOOKUP(A2149,Studies!A:BR,2,FALSE),"")</f>
        <v>Chung 2006</v>
      </c>
      <c r="C2149" s="232" t="str">
        <f>IF(AND(A2149&lt;&gt;"",ISNUMBER(A2149)),VLOOKUP(A2149,Studies!A:BR,3,FALSE),"")</f>
        <v>https://www.ncbi.nlm.nih.gov/pubmed/16580903</v>
      </c>
      <c r="D2149" s="232" t="str">
        <f>IF(AND(A2149&lt;&gt;"",ISNUMBER(A2149)),VLOOKUP(A2149,Studies!A:BR,4,FALSE),"")</f>
        <v>Control (Perpetrator Placebo)</v>
      </c>
      <c r="E2149" s="206" t="str">
        <f>IF(AND(A2149&lt;&gt;"",ISNUMBER(A2149)),VLOOKUP(A2149,Studies!A:BR,5,FALSE),"")</f>
        <v>Midazolam</v>
      </c>
      <c r="F2149" s="207" t="str">
        <f>IF(AND(A2149&lt;&gt;"",ISNUMBER(A2149)),VLOOKUP(A2149,Studies!A:BR,6,FALSE),"")</f>
        <v>Plasma</v>
      </c>
      <c r="G2149" s="194">
        <v>1.5</v>
      </c>
      <c r="H2149" s="194" t="s">
        <v>60</v>
      </c>
      <c r="I2149" s="187">
        <v>14.573079999999999</v>
      </c>
      <c r="J2149" s="187" t="s">
        <v>1026</v>
      </c>
      <c r="K2149" s="187" t="s">
        <v>116</v>
      </c>
      <c r="L2149" s="195">
        <v>4.263865</v>
      </c>
      <c r="M2149" s="195" t="s">
        <v>1026</v>
      </c>
      <c r="N2149" s="195" t="s">
        <v>117</v>
      </c>
      <c r="O2149" s="199"/>
      <c r="P2149" s="188"/>
      <c r="Q2149" s="174">
        <f>IF(ISNUMBER(VLOOKUP(A2149,NotghiID!A:A,1,FALSE)),1,0)</f>
        <v>0</v>
      </c>
    </row>
    <row r="2150" spans="1:17" ht="14.25" x14ac:dyDescent="0.2">
      <c r="A2150" s="183">
        <v>112</v>
      </c>
      <c r="B2150" s="232" t="str">
        <f>IF(AND(A2150&lt;&gt;"",ISNUMBER(A2150)),VLOOKUP(A2150,Studies!A:BR,2,FALSE),"")</f>
        <v>Chung 2006</v>
      </c>
      <c r="C2150" s="232" t="str">
        <f>IF(AND(A2150&lt;&gt;"",ISNUMBER(A2150)),VLOOKUP(A2150,Studies!A:BR,3,FALSE),"")</f>
        <v>https://www.ncbi.nlm.nih.gov/pubmed/16580903</v>
      </c>
      <c r="D2150" s="232" t="str">
        <f>IF(AND(A2150&lt;&gt;"",ISNUMBER(A2150)),VLOOKUP(A2150,Studies!A:BR,4,FALSE),"")</f>
        <v>Control (Perpetrator Placebo)</v>
      </c>
      <c r="E2150" s="206" t="str">
        <f>IF(AND(A2150&lt;&gt;"",ISNUMBER(A2150)),VLOOKUP(A2150,Studies!A:BR,5,FALSE),"")</f>
        <v>Midazolam</v>
      </c>
      <c r="F2150" s="207" t="str">
        <f>IF(AND(A2150&lt;&gt;"",ISNUMBER(A2150)),VLOOKUP(A2150,Studies!A:BR,6,FALSE),"")</f>
        <v>Plasma</v>
      </c>
      <c r="G2150" s="194">
        <v>2</v>
      </c>
      <c r="H2150" s="194" t="s">
        <v>60</v>
      </c>
      <c r="I2150" s="187">
        <v>11.022270000000001</v>
      </c>
      <c r="J2150" s="187" t="s">
        <v>1026</v>
      </c>
      <c r="K2150" s="187" t="s">
        <v>116</v>
      </c>
      <c r="L2150" s="195">
        <v>5.1154190000000002</v>
      </c>
      <c r="M2150" s="195" t="s">
        <v>1026</v>
      </c>
      <c r="N2150" s="195" t="s">
        <v>117</v>
      </c>
      <c r="O2150" s="199"/>
      <c r="P2150" s="188"/>
      <c r="Q2150" s="174">
        <f>IF(ISNUMBER(VLOOKUP(A2150,NotghiID!A:A,1,FALSE)),1,0)</f>
        <v>0</v>
      </c>
    </row>
    <row r="2151" spans="1:17" ht="14.25" x14ac:dyDescent="0.2">
      <c r="A2151" s="183">
        <v>112</v>
      </c>
      <c r="B2151" s="232" t="str">
        <f>IF(AND(A2151&lt;&gt;"",ISNUMBER(A2151)),VLOOKUP(A2151,Studies!A:BR,2,FALSE),"")</f>
        <v>Chung 2006</v>
      </c>
      <c r="C2151" s="232" t="str">
        <f>IF(AND(A2151&lt;&gt;"",ISNUMBER(A2151)),VLOOKUP(A2151,Studies!A:BR,3,FALSE),"")</f>
        <v>https://www.ncbi.nlm.nih.gov/pubmed/16580903</v>
      </c>
      <c r="D2151" s="232" t="str">
        <f>IF(AND(A2151&lt;&gt;"",ISNUMBER(A2151)),VLOOKUP(A2151,Studies!A:BR,4,FALSE),"")</f>
        <v>Control (Perpetrator Placebo)</v>
      </c>
      <c r="E2151" s="206" t="str">
        <f>IF(AND(A2151&lt;&gt;"",ISNUMBER(A2151)),VLOOKUP(A2151,Studies!A:BR,5,FALSE),"")</f>
        <v>Midazolam</v>
      </c>
      <c r="F2151" s="207" t="str">
        <f>IF(AND(A2151&lt;&gt;"",ISNUMBER(A2151)),VLOOKUP(A2151,Studies!A:BR,6,FALSE),"")</f>
        <v>Plasma</v>
      </c>
      <c r="G2151" s="194">
        <v>3</v>
      </c>
      <c r="H2151" s="194" t="s">
        <v>60</v>
      </c>
      <c r="I2151" s="187">
        <v>6.1359139999999996</v>
      </c>
      <c r="J2151" s="187" t="s">
        <v>1026</v>
      </c>
      <c r="K2151" s="187" t="s">
        <v>116</v>
      </c>
      <c r="L2151" s="195">
        <v>3.2403230000000001</v>
      </c>
      <c r="M2151" s="195" t="s">
        <v>1026</v>
      </c>
      <c r="N2151" s="195" t="s">
        <v>117</v>
      </c>
      <c r="O2151" s="199"/>
      <c r="P2151" s="188"/>
      <c r="Q2151" s="174">
        <f>IF(ISNUMBER(VLOOKUP(A2151,NotghiID!A:A,1,FALSE)),1,0)</f>
        <v>0</v>
      </c>
    </row>
    <row r="2152" spans="1:17" ht="14.25" x14ac:dyDescent="0.2">
      <c r="A2152" s="183">
        <v>112</v>
      </c>
      <c r="B2152" s="232" t="str">
        <f>IF(AND(A2152&lt;&gt;"",ISNUMBER(A2152)),VLOOKUP(A2152,Studies!A:BR,2,FALSE),"")</f>
        <v>Chung 2006</v>
      </c>
      <c r="C2152" s="232" t="str">
        <f>IF(AND(A2152&lt;&gt;"",ISNUMBER(A2152)),VLOOKUP(A2152,Studies!A:BR,3,FALSE),"")</f>
        <v>https://www.ncbi.nlm.nih.gov/pubmed/16580903</v>
      </c>
      <c r="D2152" s="232" t="str">
        <f>IF(AND(A2152&lt;&gt;"",ISNUMBER(A2152)),VLOOKUP(A2152,Studies!A:BR,4,FALSE),"")</f>
        <v>Control (Perpetrator Placebo)</v>
      </c>
      <c r="E2152" s="206" t="str">
        <f>IF(AND(A2152&lt;&gt;"",ISNUMBER(A2152)),VLOOKUP(A2152,Studies!A:BR,5,FALSE),"")</f>
        <v>Midazolam</v>
      </c>
      <c r="F2152" s="207" t="str">
        <f>IF(AND(A2152&lt;&gt;"",ISNUMBER(A2152)),VLOOKUP(A2152,Studies!A:BR,6,FALSE),"")</f>
        <v>Plasma</v>
      </c>
      <c r="G2152" s="194">
        <v>4</v>
      </c>
      <c r="H2152" s="194" t="s">
        <v>60</v>
      </c>
      <c r="I2152" s="187">
        <v>3.9777279999999999</v>
      </c>
      <c r="J2152" s="187" t="s">
        <v>1026</v>
      </c>
      <c r="K2152" s="187" t="s">
        <v>116</v>
      </c>
      <c r="L2152" s="195">
        <v>2.0478420000000002</v>
      </c>
      <c r="M2152" s="195" t="s">
        <v>1026</v>
      </c>
      <c r="N2152" s="195" t="s">
        <v>117</v>
      </c>
      <c r="O2152" s="199"/>
      <c r="P2152" s="188"/>
      <c r="Q2152" s="174">
        <f>IF(ISNUMBER(VLOOKUP(A2152,NotghiID!A:A,1,FALSE)),1,0)</f>
        <v>0</v>
      </c>
    </row>
    <row r="2153" spans="1:17" ht="14.25" x14ac:dyDescent="0.2">
      <c r="A2153" s="183">
        <v>112</v>
      </c>
      <c r="B2153" s="232" t="str">
        <f>IF(AND(A2153&lt;&gt;"",ISNUMBER(A2153)),VLOOKUP(A2153,Studies!A:BR,2,FALSE),"")</f>
        <v>Chung 2006</v>
      </c>
      <c r="C2153" s="232" t="str">
        <f>IF(AND(A2153&lt;&gt;"",ISNUMBER(A2153)),VLOOKUP(A2153,Studies!A:BR,3,FALSE),"")</f>
        <v>https://www.ncbi.nlm.nih.gov/pubmed/16580903</v>
      </c>
      <c r="D2153" s="232" t="str">
        <f>IF(AND(A2153&lt;&gt;"",ISNUMBER(A2153)),VLOOKUP(A2153,Studies!A:BR,4,FALSE),"")</f>
        <v>Control (Perpetrator Placebo)</v>
      </c>
      <c r="E2153" s="206" t="str">
        <f>IF(AND(A2153&lt;&gt;"",ISNUMBER(A2153)),VLOOKUP(A2153,Studies!A:BR,5,FALSE),"")</f>
        <v>Midazolam</v>
      </c>
      <c r="F2153" s="207" t="str">
        <f>IF(AND(A2153&lt;&gt;"",ISNUMBER(A2153)),VLOOKUP(A2153,Studies!A:BR,6,FALSE),"")</f>
        <v>Plasma</v>
      </c>
      <c r="G2153" s="194">
        <v>6</v>
      </c>
      <c r="H2153" s="194" t="s">
        <v>60</v>
      </c>
      <c r="I2153" s="187">
        <v>2.044797</v>
      </c>
      <c r="J2153" s="187" t="s">
        <v>1026</v>
      </c>
      <c r="K2153" s="187" t="s">
        <v>116</v>
      </c>
      <c r="L2153" s="195">
        <v>1.0235399999999999</v>
      </c>
      <c r="M2153" s="195" t="s">
        <v>1026</v>
      </c>
      <c r="N2153" s="195" t="s">
        <v>117</v>
      </c>
      <c r="O2153" s="199"/>
      <c r="P2153" s="188"/>
      <c r="Q2153" s="174">
        <f>IF(ISNUMBER(VLOOKUP(A2153,NotghiID!A:A,1,FALSE)),1,0)</f>
        <v>0</v>
      </c>
    </row>
    <row r="2154" spans="1:17" ht="14.25" x14ac:dyDescent="0.2">
      <c r="A2154" s="183">
        <v>113</v>
      </c>
      <c r="B2154" s="232" t="str">
        <f>IF(AND(A2154&lt;&gt;"",ISNUMBER(A2154)),VLOOKUP(A2154,Studies!A:BR,2,FALSE),"")</f>
        <v>Chung 2006</v>
      </c>
      <c r="C2154" s="232" t="str">
        <f>IF(AND(A2154&lt;&gt;"",ISNUMBER(A2154)),VLOOKUP(A2154,Studies!A:BR,3,FALSE),"")</f>
        <v>https://www.ncbi.nlm.nih.gov/pubmed/16580903</v>
      </c>
      <c r="D2154" s="232" t="str">
        <f>IF(AND(A2154&lt;&gt;"",ISNUMBER(A2154)),VLOOKUP(A2154,Studies!A:BR,4,FALSE),"")</f>
        <v>with Perpetrator (Rifampicin)</v>
      </c>
      <c r="E2154" s="206" t="str">
        <f>IF(AND(A2154&lt;&gt;"",ISNUMBER(A2154)),VLOOKUP(A2154,Studies!A:BR,5,FALSE),"")</f>
        <v>Midazolam</v>
      </c>
      <c r="F2154" s="207" t="str">
        <f>IF(AND(A2154&lt;&gt;"",ISNUMBER(A2154)),VLOOKUP(A2154,Studies!A:BR,6,FALSE),"")</f>
        <v>Plasma</v>
      </c>
      <c r="G2154" s="194">
        <v>166.25</v>
      </c>
      <c r="H2154" s="194" t="s">
        <v>60</v>
      </c>
      <c r="I2154" s="187">
        <v>3.579545</v>
      </c>
      <c r="J2154" s="187" t="s">
        <v>1026</v>
      </c>
      <c r="K2154" s="187" t="s">
        <v>116</v>
      </c>
      <c r="L2154" s="195">
        <v>1.875</v>
      </c>
      <c r="M2154" s="195" t="s">
        <v>1026</v>
      </c>
      <c r="N2154" s="195" t="s">
        <v>117</v>
      </c>
      <c r="O2154" s="199"/>
      <c r="P2154" s="188"/>
      <c r="Q2154" s="174">
        <f>IF(ISNUMBER(VLOOKUP(A2154,NotghiID!A:A,1,FALSE)),1,0)</f>
        <v>0</v>
      </c>
    </row>
    <row r="2155" spans="1:17" ht="14.25" x14ac:dyDescent="0.2">
      <c r="A2155" s="183">
        <v>113</v>
      </c>
      <c r="B2155" s="232" t="str">
        <f>IF(AND(A2155&lt;&gt;"",ISNUMBER(A2155)),VLOOKUP(A2155,Studies!A:BR,2,FALSE),"")</f>
        <v>Chung 2006</v>
      </c>
      <c r="C2155" s="232" t="str">
        <f>IF(AND(A2155&lt;&gt;"",ISNUMBER(A2155)),VLOOKUP(A2155,Studies!A:BR,3,FALSE),"")</f>
        <v>https://www.ncbi.nlm.nih.gov/pubmed/16580903</v>
      </c>
      <c r="D2155" s="232" t="str">
        <f>IF(AND(A2155&lt;&gt;"",ISNUMBER(A2155)),VLOOKUP(A2155,Studies!A:BR,4,FALSE),"")</f>
        <v>with Perpetrator (Rifampicin)</v>
      </c>
      <c r="E2155" s="206" t="str">
        <f>IF(AND(A2155&lt;&gt;"",ISNUMBER(A2155)),VLOOKUP(A2155,Studies!A:BR,5,FALSE),"")</f>
        <v>Midazolam</v>
      </c>
      <c r="F2155" s="207" t="str">
        <f>IF(AND(A2155&lt;&gt;"",ISNUMBER(A2155)),VLOOKUP(A2155,Studies!A:BR,6,FALSE),"")</f>
        <v>Plasma</v>
      </c>
      <c r="G2155" s="194">
        <v>166.5</v>
      </c>
      <c r="H2155" s="194" t="s">
        <v>60</v>
      </c>
      <c r="I2155" s="187">
        <v>3.579545</v>
      </c>
      <c r="J2155" s="187" t="s">
        <v>1026</v>
      </c>
      <c r="K2155" s="187" t="s">
        <v>116</v>
      </c>
      <c r="L2155" s="195">
        <v>1.193182</v>
      </c>
      <c r="M2155" s="195" t="s">
        <v>1026</v>
      </c>
      <c r="N2155" s="195" t="s">
        <v>117</v>
      </c>
      <c r="O2155" s="199"/>
      <c r="P2155" s="188"/>
      <c r="Q2155" s="174">
        <f>IF(ISNUMBER(VLOOKUP(A2155,NotghiID!A:A,1,FALSE)),1,0)</f>
        <v>0</v>
      </c>
    </row>
    <row r="2156" spans="1:17" ht="14.25" x14ac:dyDescent="0.2">
      <c r="A2156" s="183">
        <v>113</v>
      </c>
      <c r="B2156" s="232" t="str">
        <f>IF(AND(A2156&lt;&gt;"",ISNUMBER(A2156)),VLOOKUP(A2156,Studies!A:BR,2,FALSE),"")</f>
        <v>Chung 2006</v>
      </c>
      <c r="C2156" s="232" t="str">
        <f>IF(AND(A2156&lt;&gt;"",ISNUMBER(A2156)),VLOOKUP(A2156,Studies!A:BR,3,FALSE),"")</f>
        <v>https://www.ncbi.nlm.nih.gov/pubmed/16580903</v>
      </c>
      <c r="D2156" s="232" t="str">
        <f>IF(AND(A2156&lt;&gt;"",ISNUMBER(A2156)),VLOOKUP(A2156,Studies!A:BR,4,FALSE),"")</f>
        <v>with Perpetrator (Rifampicin)</v>
      </c>
      <c r="E2156" s="206" t="str">
        <f>IF(AND(A2156&lt;&gt;"",ISNUMBER(A2156)),VLOOKUP(A2156,Studies!A:BR,5,FALSE),"")</f>
        <v>Midazolam</v>
      </c>
      <c r="F2156" s="207" t="str">
        <f>IF(AND(A2156&lt;&gt;"",ISNUMBER(A2156)),VLOOKUP(A2156,Studies!A:BR,6,FALSE),"")</f>
        <v>Plasma</v>
      </c>
      <c r="G2156" s="194">
        <v>167</v>
      </c>
      <c r="H2156" s="194" t="s">
        <v>60</v>
      </c>
      <c r="I2156" s="187">
        <v>2.5568179999999998</v>
      </c>
      <c r="J2156" s="187" t="s">
        <v>1026</v>
      </c>
      <c r="K2156" s="187" t="s">
        <v>116</v>
      </c>
      <c r="L2156" s="195">
        <v>0.68181820000000004</v>
      </c>
      <c r="M2156" s="195" t="s">
        <v>1026</v>
      </c>
      <c r="N2156" s="195" t="s">
        <v>117</v>
      </c>
      <c r="O2156" s="199"/>
      <c r="P2156" s="188"/>
      <c r="Q2156" s="174">
        <f>IF(ISNUMBER(VLOOKUP(A2156,NotghiID!A:A,1,FALSE)),1,0)</f>
        <v>0</v>
      </c>
    </row>
    <row r="2157" spans="1:17" ht="14.25" x14ac:dyDescent="0.2">
      <c r="A2157" s="183">
        <v>113</v>
      </c>
      <c r="B2157" s="232" t="str">
        <f>IF(AND(A2157&lt;&gt;"",ISNUMBER(A2157)),VLOOKUP(A2157,Studies!A:BR,2,FALSE),"")</f>
        <v>Chung 2006</v>
      </c>
      <c r="C2157" s="232" t="str">
        <f>IF(AND(A2157&lt;&gt;"",ISNUMBER(A2157)),VLOOKUP(A2157,Studies!A:BR,3,FALSE),"")</f>
        <v>https://www.ncbi.nlm.nih.gov/pubmed/16580903</v>
      </c>
      <c r="D2157" s="232" t="str">
        <f>IF(AND(A2157&lt;&gt;"",ISNUMBER(A2157)),VLOOKUP(A2157,Studies!A:BR,4,FALSE),"")</f>
        <v>with Perpetrator (Rifampicin)</v>
      </c>
      <c r="E2157" s="206" t="str">
        <f>IF(AND(A2157&lt;&gt;"",ISNUMBER(A2157)),VLOOKUP(A2157,Studies!A:BR,5,FALSE),"")</f>
        <v>Midazolam</v>
      </c>
      <c r="F2157" s="207" t="str">
        <f>IF(AND(A2157&lt;&gt;"",ISNUMBER(A2157)),VLOOKUP(A2157,Studies!A:BR,6,FALSE),"")</f>
        <v>Plasma</v>
      </c>
      <c r="G2157" s="194">
        <v>167.5</v>
      </c>
      <c r="H2157" s="194" t="s">
        <v>60</v>
      </c>
      <c r="I2157" s="187">
        <v>1.3636360000000001</v>
      </c>
      <c r="J2157" s="187" t="s">
        <v>1026</v>
      </c>
      <c r="K2157" s="187" t="s">
        <v>116</v>
      </c>
      <c r="L2157" s="195">
        <v>0.85227299999999995</v>
      </c>
      <c r="M2157" s="195" t="s">
        <v>1026</v>
      </c>
      <c r="N2157" s="195" t="s">
        <v>117</v>
      </c>
      <c r="O2157" s="199"/>
      <c r="P2157" s="188"/>
      <c r="Q2157" s="174">
        <f>IF(ISNUMBER(VLOOKUP(A2157,NotghiID!A:A,1,FALSE)),1,0)</f>
        <v>0</v>
      </c>
    </row>
    <row r="2158" spans="1:17" ht="14.25" x14ac:dyDescent="0.2">
      <c r="A2158" s="183">
        <v>113</v>
      </c>
      <c r="B2158" s="232" t="str">
        <f>IF(AND(A2158&lt;&gt;"",ISNUMBER(A2158)),VLOOKUP(A2158,Studies!A:BR,2,FALSE),"")</f>
        <v>Chung 2006</v>
      </c>
      <c r="C2158" s="232" t="str">
        <f>IF(AND(A2158&lt;&gt;"",ISNUMBER(A2158)),VLOOKUP(A2158,Studies!A:BR,3,FALSE),"")</f>
        <v>https://www.ncbi.nlm.nih.gov/pubmed/16580903</v>
      </c>
      <c r="D2158" s="232" t="str">
        <f>IF(AND(A2158&lt;&gt;"",ISNUMBER(A2158)),VLOOKUP(A2158,Studies!A:BR,4,FALSE),"")</f>
        <v>with Perpetrator (Rifampicin)</v>
      </c>
      <c r="E2158" s="206" t="str">
        <f>IF(AND(A2158&lt;&gt;"",ISNUMBER(A2158)),VLOOKUP(A2158,Studies!A:BR,5,FALSE),"")</f>
        <v>Midazolam</v>
      </c>
      <c r="F2158" s="207" t="str">
        <f>IF(AND(A2158&lt;&gt;"",ISNUMBER(A2158)),VLOOKUP(A2158,Studies!A:BR,6,FALSE),"")</f>
        <v>Plasma</v>
      </c>
      <c r="G2158" s="194">
        <v>168</v>
      </c>
      <c r="H2158" s="194" t="s">
        <v>60</v>
      </c>
      <c r="I2158" s="187">
        <v>1.0227269999999999</v>
      </c>
      <c r="J2158" s="187" t="s">
        <v>1026</v>
      </c>
      <c r="K2158" s="187" t="s">
        <v>116</v>
      </c>
      <c r="L2158" s="195">
        <v>0.34090939999999997</v>
      </c>
      <c r="M2158" s="195" t="s">
        <v>1026</v>
      </c>
      <c r="N2158" s="195" t="s">
        <v>117</v>
      </c>
      <c r="O2158" s="199"/>
      <c r="P2158" s="188"/>
      <c r="Q2158" s="174">
        <f>IF(ISNUMBER(VLOOKUP(A2158,NotghiID!A:A,1,FALSE)),1,0)</f>
        <v>0</v>
      </c>
    </row>
    <row r="2159" spans="1:17" ht="14.25" x14ac:dyDescent="0.2">
      <c r="A2159" s="183">
        <v>114</v>
      </c>
      <c r="B2159" s="232" t="str">
        <f>IF(AND(A2159&lt;&gt;"",ISNUMBER(A2159)),VLOOKUP(A2159,Studies!A:BR,2,FALSE),"")</f>
        <v>Chung 2006</v>
      </c>
      <c r="C2159" s="232" t="str">
        <f>IF(AND(A2159&lt;&gt;"",ISNUMBER(A2159)),VLOOKUP(A2159,Studies!A:BR,3,FALSE),"")</f>
        <v>https://www.ncbi.nlm.nih.gov/pubmed/16580903</v>
      </c>
      <c r="D2159" s="232" t="str">
        <f>IF(AND(A2159&lt;&gt;"",ISNUMBER(A2159)),VLOOKUP(A2159,Studies!A:BR,4,FALSE),"")</f>
        <v>with Perpetrator (Ketoconazole)</v>
      </c>
      <c r="E2159" s="206" t="str">
        <f>IF(AND(A2159&lt;&gt;"",ISNUMBER(A2159)),VLOOKUP(A2159,Studies!A:BR,5,FALSE),"")</f>
        <v>Midazolam</v>
      </c>
      <c r="F2159" s="207" t="str">
        <f>IF(AND(A2159&lt;&gt;"",ISNUMBER(A2159)),VLOOKUP(A2159,Studies!A:BR,6,FALSE),"")</f>
        <v>Plasma</v>
      </c>
      <c r="G2159" s="194">
        <v>118.5</v>
      </c>
      <c r="H2159" s="194" t="s">
        <v>60</v>
      </c>
      <c r="I2159" s="187">
        <v>53.336120000000001</v>
      </c>
      <c r="J2159" s="187" t="s">
        <v>1026</v>
      </c>
      <c r="K2159" s="187" t="s">
        <v>116</v>
      </c>
      <c r="L2159" s="195">
        <v>27.500060000000001</v>
      </c>
      <c r="M2159" s="195" t="s">
        <v>1026</v>
      </c>
      <c r="N2159" s="195" t="s">
        <v>117</v>
      </c>
      <c r="O2159" s="199"/>
      <c r="P2159" s="188"/>
      <c r="Q2159" s="174">
        <f>IF(ISNUMBER(VLOOKUP(A2159,NotghiID!A:A,1,FALSE)),1,0)</f>
        <v>0</v>
      </c>
    </row>
    <row r="2160" spans="1:17" ht="14.25" x14ac:dyDescent="0.2">
      <c r="A2160" s="183">
        <v>114</v>
      </c>
      <c r="B2160" s="232" t="str">
        <f>IF(AND(A2160&lt;&gt;"",ISNUMBER(A2160)),VLOOKUP(A2160,Studies!A:BR,2,FALSE),"")</f>
        <v>Chung 2006</v>
      </c>
      <c r="C2160" s="232" t="str">
        <f>IF(AND(A2160&lt;&gt;"",ISNUMBER(A2160)),VLOOKUP(A2160,Studies!A:BR,3,FALSE),"")</f>
        <v>https://www.ncbi.nlm.nih.gov/pubmed/16580903</v>
      </c>
      <c r="D2160" s="232" t="str">
        <f>IF(AND(A2160&lt;&gt;"",ISNUMBER(A2160)),VLOOKUP(A2160,Studies!A:BR,4,FALSE),"")</f>
        <v>with Perpetrator (Ketoconazole)</v>
      </c>
      <c r="E2160" s="206" t="str">
        <f>IF(AND(A2160&lt;&gt;"",ISNUMBER(A2160)),VLOOKUP(A2160,Studies!A:BR,5,FALSE),"")</f>
        <v>Midazolam</v>
      </c>
      <c r="F2160" s="207" t="str">
        <f>IF(AND(A2160&lt;&gt;"",ISNUMBER(A2160)),VLOOKUP(A2160,Studies!A:BR,6,FALSE),"")</f>
        <v>Plasma</v>
      </c>
      <c r="G2160" s="194">
        <v>119</v>
      </c>
      <c r="H2160" s="194" t="s">
        <v>60</v>
      </c>
      <c r="I2160" s="187">
        <v>48.172280000000001</v>
      </c>
      <c r="J2160" s="187" t="s">
        <v>1026</v>
      </c>
      <c r="K2160" s="187" t="s">
        <v>116</v>
      </c>
      <c r="L2160" s="195">
        <v>16.66724</v>
      </c>
      <c r="M2160" s="195" t="s">
        <v>1026</v>
      </c>
      <c r="N2160" s="195" t="s">
        <v>117</v>
      </c>
      <c r="O2160" s="199"/>
      <c r="P2160" s="188"/>
      <c r="Q2160" s="174">
        <f>IF(ISNUMBER(VLOOKUP(A2160,NotghiID!A:A,1,FALSE)),1,0)</f>
        <v>0</v>
      </c>
    </row>
    <row r="2161" spans="1:17" ht="14.25" x14ac:dyDescent="0.2">
      <c r="A2161" s="183">
        <v>114</v>
      </c>
      <c r="B2161" s="232" t="str">
        <f>IF(AND(A2161&lt;&gt;"",ISNUMBER(A2161)),VLOOKUP(A2161,Studies!A:BR,2,FALSE),"")</f>
        <v>Chung 2006</v>
      </c>
      <c r="C2161" s="232" t="str">
        <f>IF(AND(A2161&lt;&gt;"",ISNUMBER(A2161)),VLOOKUP(A2161,Studies!A:BR,3,FALSE),"")</f>
        <v>https://www.ncbi.nlm.nih.gov/pubmed/16580903</v>
      </c>
      <c r="D2161" s="232" t="str">
        <f>IF(AND(A2161&lt;&gt;"",ISNUMBER(A2161)),VLOOKUP(A2161,Studies!A:BR,4,FALSE),"")</f>
        <v>with Perpetrator (Ketoconazole)</v>
      </c>
      <c r="E2161" s="206" t="str">
        <f>IF(AND(A2161&lt;&gt;"",ISNUMBER(A2161)),VLOOKUP(A2161,Studies!A:BR,5,FALSE),"")</f>
        <v>Midazolam</v>
      </c>
      <c r="F2161" s="207" t="str">
        <f>IF(AND(A2161&lt;&gt;"",ISNUMBER(A2161)),VLOOKUP(A2161,Studies!A:BR,6,FALSE),"")</f>
        <v>Plasma</v>
      </c>
      <c r="G2161" s="194">
        <v>120</v>
      </c>
      <c r="H2161" s="194" t="s">
        <v>60</v>
      </c>
      <c r="I2161" s="187">
        <v>40.010930000000002</v>
      </c>
      <c r="J2161" s="187" t="s">
        <v>1026</v>
      </c>
      <c r="K2161" s="187" t="s">
        <v>116</v>
      </c>
      <c r="L2161" s="195">
        <v>12.33389</v>
      </c>
      <c r="M2161" s="195" t="s">
        <v>1026</v>
      </c>
      <c r="N2161" s="195" t="s">
        <v>117</v>
      </c>
      <c r="O2161" s="199"/>
      <c r="P2161" s="188"/>
      <c r="Q2161" s="174">
        <f>IF(ISNUMBER(VLOOKUP(A2161,NotghiID!A:A,1,FALSE)),1,0)</f>
        <v>0</v>
      </c>
    </row>
    <row r="2162" spans="1:17" ht="14.25" x14ac:dyDescent="0.2">
      <c r="A2162" s="183">
        <v>114</v>
      </c>
      <c r="B2162" s="232" t="str">
        <f>IF(AND(A2162&lt;&gt;"",ISNUMBER(A2162)),VLOOKUP(A2162,Studies!A:BR,2,FALSE),"")</f>
        <v>Chung 2006</v>
      </c>
      <c r="C2162" s="232" t="str">
        <f>IF(AND(A2162&lt;&gt;"",ISNUMBER(A2162)),VLOOKUP(A2162,Studies!A:BR,3,FALSE),"")</f>
        <v>https://www.ncbi.nlm.nih.gov/pubmed/16580903</v>
      </c>
      <c r="D2162" s="232" t="str">
        <f>IF(AND(A2162&lt;&gt;"",ISNUMBER(A2162)),VLOOKUP(A2162,Studies!A:BR,4,FALSE),"")</f>
        <v>with Perpetrator (Ketoconazole)</v>
      </c>
      <c r="E2162" s="206" t="str">
        <f>IF(AND(A2162&lt;&gt;"",ISNUMBER(A2162)),VLOOKUP(A2162,Studies!A:BR,5,FALSE),"")</f>
        <v>Midazolam</v>
      </c>
      <c r="F2162" s="207" t="str">
        <f>IF(AND(A2162&lt;&gt;"",ISNUMBER(A2162)),VLOOKUP(A2162,Studies!A:BR,6,FALSE),"")</f>
        <v>Plasma</v>
      </c>
      <c r="G2162" s="194">
        <v>122</v>
      </c>
      <c r="H2162" s="194" t="s">
        <v>60</v>
      </c>
      <c r="I2162" s="187">
        <v>29.355429999999998</v>
      </c>
      <c r="J2162" s="187" t="s">
        <v>1026</v>
      </c>
      <c r="K2162" s="187" t="s">
        <v>116</v>
      </c>
      <c r="L2162" s="195">
        <v>11.0002</v>
      </c>
      <c r="M2162" s="195" t="s">
        <v>1026</v>
      </c>
      <c r="N2162" s="195" t="s">
        <v>117</v>
      </c>
      <c r="O2162" s="199"/>
      <c r="P2162" s="188"/>
      <c r="Q2162" s="174">
        <f>IF(ISNUMBER(VLOOKUP(A2162,NotghiID!A:A,1,FALSE)),1,0)</f>
        <v>0</v>
      </c>
    </row>
    <row r="2163" spans="1:17" ht="14.25" x14ac:dyDescent="0.2">
      <c r="A2163" s="183">
        <v>114</v>
      </c>
      <c r="B2163" s="232" t="str">
        <f>IF(AND(A2163&lt;&gt;"",ISNUMBER(A2163)),VLOOKUP(A2163,Studies!A:BR,2,FALSE),"")</f>
        <v>Chung 2006</v>
      </c>
      <c r="C2163" s="232" t="str">
        <f>IF(AND(A2163&lt;&gt;"",ISNUMBER(A2163)),VLOOKUP(A2163,Studies!A:BR,3,FALSE),"")</f>
        <v>https://www.ncbi.nlm.nih.gov/pubmed/16580903</v>
      </c>
      <c r="D2163" s="232" t="str">
        <f>IF(AND(A2163&lt;&gt;"",ISNUMBER(A2163)),VLOOKUP(A2163,Studies!A:BR,4,FALSE),"")</f>
        <v>with Perpetrator (Ketoconazole)</v>
      </c>
      <c r="E2163" s="206" t="str">
        <f>IF(AND(A2163&lt;&gt;"",ISNUMBER(A2163)),VLOOKUP(A2163,Studies!A:BR,5,FALSE),"")</f>
        <v>Midazolam</v>
      </c>
      <c r="F2163" s="207" t="str">
        <f>IF(AND(A2163&lt;&gt;"",ISNUMBER(A2163)),VLOOKUP(A2163,Studies!A:BR,6,FALSE),"")</f>
        <v>Plasma</v>
      </c>
      <c r="G2163" s="194">
        <v>124</v>
      </c>
      <c r="H2163" s="194" t="s">
        <v>60</v>
      </c>
      <c r="I2163" s="187">
        <v>21.866959999999999</v>
      </c>
      <c r="J2163" s="187" t="s">
        <v>1026</v>
      </c>
      <c r="K2163" s="187" t="s">
        <v>116</v>
      </c>
      <c r="L2163" s="195">
        <v>7.5000210000000003</v>
      </c>
      <c r="M2163" s="195" t="s">
        <v>1026</v>
      </c>
      <c r="N2163" s="195" t="s">
        <v>117</v>
      </c>
      <c r="O2163" s="199"/>
      <c r="P2163" s="188"/>
      <c r="Q2163" s="174">
        <f>IF(ISNUMBER(VLOOKUP(A2163,NotghiID!A:A,1,FALSE)),1,0)</f>
        <v>0</v>
      </c>
    </row>
    <row r="2164" spans="1:17" ht="14.25" x14ac:dyDescent="0.2">
      <c r="A2164" s="183">
        <v>114</v>
      </c>
      <c r="B2164" s="232" t="str">
        <f>IF(AND(A2164&lt;&gt;"",ISNUMBER(A2164)),VLOOKUP(A2164,Studies!A:BR,2,FALSE),"")</f>
        <v>Chung 2006</v>
      </c>
      <c r="C2164" s="232" t="str">
        <f>IF(AND(A2164&lt;&gt;"",ISNUMBER(A2164)),VLOOKUP(A2164,Studies!A:BR,3,FALSE),"")</f>
        <v>https://www.ncbi.nlm.nih.gov/pubmed/16580903</v>
      </c>
      <c r="D2164" s="232" t="str">
        <f>IF(AND(A2164&lt;&gt;"",ISNUMBER(A2164)),VLOOKUP(A2164,Studies!A:BR,4,FALSE),"")</f>
        <v>with Perpetrator (Ketoconazole)</v>
      </c>
      <c r="E2164" s="206" t="str">
        <f>IF(AND(A2164&lt;&gt;"",ISNUMBER(A2164)),VLOOKUP(A2164,Studies!A:BR,5,FALSE),"")</f>
        <v>Midazolam</v>
      </c>
      <c r="F2164" s="207" t="str">
        <f>IF(AND(A2164&lt;&gt;"",ISNUMBER(A2164)),VLOOKUP(A2164,Studies!A:BR,6,FALSE),"")</f>
        <v>Plasma</v>
      </c>
      <c r="G2164" s="194">
        <v>126</v>
      </c>
      <c r="H2164" s="194" t="s">
        <v>60</v>
      </c>
      <c r="I2164" s="187">
        <v>17.044460000000001</v>
      </c>
      <c r="J2164" s="187" t="s">
        <v>1026</v>
      </c>
      <c r="K2164" s="187" t="s">
        <v>116</v>
      </c>
      <c r="L2164" s="195">
        <v>6.9998360000000002</v>
      </c>
      <c r="M2164" s="195" t="s">
        <v>1026</v>
      </c>
      <c r="N2164" s="195" t="s">
        <v>117</v>
      </c>
      <c r="O2164" s="199"/>
      <c r="P2164" s="188"/>
      <c r="Q2164" s="174">
        <f>IF(ISNUMBER(VLOOKUP(A2164,NotghiID!A:A,1,FALSE)),1,0)</f>
        <v>0</v>
      </c>
    </row>
    <row r="2165" spans="1:17" ht="14.25" x14ac:dyDescent="0.2">
      <c r="A2165" s="183">
        <v>114</v>
      </c>
      <c r="B2165" s="232" t="str">
        <f>IF(AND(A2165&lt;&gt;"",ISNUMBER(A2165)),VLOOKUP(A2165,Studies!A:BR,2,FALSE),"")</f>
        <v>Chung 2006</v>
      </c>
      <c r="C2165" s="232" t="str">
        <f>IF(AND(A2165&lt;&gt;"",ISNUMBER(A2165)),VLOOKUP(A2165,Studies!A:BR,3,FALSE),"")</f>
        <v>https://www.ncbi.nlm.nih.gov/pubmed/16580903</v>
      </c>
      <c r="D2165" s="232" t="str">
        <f>IF(AND(A2165&lt;&gt;"",ISNUMBER(A2165)),VLOOKUP(A2165,Studies!A:BR,4,FALSE),"")</f>
        <v>with Perpetrator (Ketoconazole)</v>
      </c>
      <c r="E2165" s="206" t="str">
        <f>IF(AND(A2165&lt;&gt;"",ISNUMBER(A2165)),VLOOKUP(A2165,Studies!A:BR,5,FALSE),"")</f>
        <v>Midazolam</v>
      </c>
      <c r="F2165" s="207" t="str">
        <f>IF(AND(A2165&lt;&gt;"",ISNUMBER(A2165)),VLOOKUP(A2165,Studies!A:BR,6,FALSE),"")</f>
        <v>Plasma</v>
      </c>
      <c r="G2165" s="194">
        <v>130</v>
      </c>
      <c r="H2165" s="194" t="s">
        <v>60</v>
      </c>
      <c r="I2165" s="187">
        <v>12.39981</v>
      </c>
      <c r="J2165" s="187" t="s">
        <v>1026</v>
      </c>
      <c r="K2165" s="187" t="s">
        <v>116</v>
      </c>
      <c r="L2165" s="195">
        <v>4.6665029999999996</v>
      </c>
      <c r="M2165" s="195" t="s">
        <v>1026</v>
      </c>
      <c r="N2165" s="195" t="s">
        <v>117</v>
      </c>
      <c r="O2165" s="199"/>
      <c r="P2165" s="188"/>
      <c r="Q2165" s="174">
        <f>IF(ISNUMBER(VLOOKUP(A2165,NotghiID!A:A,1,FALSE)),1,0)</f>
        <v>0</v>
      </c>
    </row>
    <row r="2166" spans="1:17" ht="14.25" x14ac:dyDescent="0.2">
      <c r="A2166" s="183">
        <v>114</v>
      </c>
      <c r="B2166" s="232" t="str">
        <f>IF(AND(A2166&lt;&gt;"",ISNUMBER(A2166)),VLOOKUP(A2166,Studies!A:BR,2,FALSE),"")</f>
        <v>Chung 2006</v>
      </c>
      <c r="C2166" s="232" t="str">
        <f>IF(AND(A2166&lt;&gt;"",ISNUMBER(A2166)),VLOOKUP(A2166,Studies!A:BR,3,FALSE),"")</f>
        <v>https://www.ncbi.nlm.nih.gov/pubmed/16580903</v>
      </c>
      <c r="D2166" s="232" t="str">
        <f>IF(AND(A2166&lt;&gt;"",ISNUMBER(A2166)),VLOOKUP(A2166,Studies!A:BR,4,FALSE),"")</f>
        <v>with Perpetrator (Ketoconazole)</v>
      </c>
      <c r="E2166" s="206" t="str">
        <f>IF(AND(A2166&lt;&gt;"",ISNUMBER(A2166)),VLOOKUP(A2166,Studies!A:BR,5,FALSE),"")</f>
        <v>Midazolam</v>
      </c>
      <c r="F2166" s="207" t="str">
        <f>IF(AND(A2166&lt;&gt;"",ISNUMBER(A2166)),VLOOKUP(A2166,Studies!A:BR,6,FALSE),"")</f>
        <v>Plasma</v>
      </c>
      <c r="G2166" s="194">
        <v>142</v>
      </c>
      <c r="H2166" s="194" t="s">
        <v>60</v>
      </c>
      <c r="I2166" s="187">
        <v>5.1332740000000001</v>
      </c>
      <c r="J2166" s="187" t="s">
        <v>1026</v>
      </c>
      <c r="K2166" s="187" t="s">
        <v>116</v>
      </c>
      <c r="L2166" s="195">
        <v>3.1673840000000002</v>
      </c>
      <c r="M2166" s="195" t="s">
        <v>1026</v>
      </c>
      <c r="N2166" s="195" t="s">
        <v>117</v>
      </c>
      <c r="O2166" s="199"/>
      <c r="P2166" s="188"/>
      <c r="Q2166" s="174">
        <f>IF(ISNUMBER(VLOOKUP(A2166,NotghiID!A:A,1,FALSE)),1,0)</f>
        <v>0</v>
      </c>
    </row>
    <row r="2167" spans="1:17" ht="14.25" x14ac:dyDescent="0.2">
      <c r="A2167" s="183">
        <v>114</v>
      </c>
      <c r="B2167" s="232" t="str">
        <f>IF(AND(A2167&lt;&gt;"",ISNUMBER(A2167)),VLOOKUP(A2167,Studies!A:BR,2,FALSE),"")</f>
        <v>Chung 2006</v>
      </c>
      <c r="C2167" s="232" t="str">
        <f>IF(AND(A2167&lt;&gt;"",ISNUMBER(A2167)),VLOOKUP(A2167,Studies!A:BR,3,FALSE),"")</f>
        <v>https://www.ncbi.nlm.nih.gov/pubmed/16580903</v>
      </c>
      <c r="D2167" s="232" t="str">
        <f>IF(AND(A2167&lt;&gt;"",ISNUMBER(A2167)),VLOOKUP(A2167,Studies!A:BR,4,FALSE),"")</f>
        <v>with Perpetrator (Ketoconazole)</v>
      </c>
      <c r="E2167" s="206" t="str">
        <f>IF(AND(A2167&lt;&gt;"",ISNUMBER(A2167)),VLOOKUP(A2167,Studies!A:BR,5,FALSE),"")</f>
        <v>Midazolam</v>
      </c>
      <c r="F2167" s="207" t="str">
        <f>IF(AND(A2167&lt;&gt;"",ISNUMBER(A2167)),VLOOKUP(A2167,Studies!A:BR,6,FALSE),"")</f>
        <v>Plasma</v>
      </c>
      <c r="G2167" s="194">
        <v>148</v>
      </c>
      <c r="H2167" s="194" t="s">
        <v>60</v>
      </c>
      <c r="I2167" s="187">
        <v>5.1670340000000001</v>
      </c>
      <c r="J2167" s="187" t="s">
        <v>1026</v>
      </c>
      <c r="K2167" s="187" t="s">
        <v>116</v>
      </c>
      <c r="L2167" s="195">
        <v>2.5001829999999998</v>
      </c>
      <c r="M2167" s="195" t="s">
        <v>1026</v>
      </c>
      <c r="N2167" s="195" t="s">
        <v>117</v>
      </c>
      <c r="O2167" s="199"/>
      <c r="P2167" s="188"/>
      <c r="Q2167" s="174">
        <f>IF(ISNUMBER(VLOOKUP(A2167,NotghiID!A:A,1,FALSE)),1,0)</f>
        <v>0</v>
      </c>
    </row>
    <row r="2168" spans="1:17" ht="14.25" x14ac:dyDescent="0.2">
      <c r="A2168" s="183">
        <v>115</v>
      </c>
      <c r="B2168" s="232" t="str">
        <f>IF(AND(A2168&lt;&gt;"",ISNUMBER(A2168)),VLOOKUP(A2168,Studies!A:BR,2,FALSE),"")</f>
        <v>Chung 2006</v>
      </c>
      <c r="C2168" s="232" t="str">
        <f>IF(AND(A2168&lt;&gt;"",ISNUMBER(A2168)),VLOOKUP(A2168,Studies!A:BR,3,FALSE),"")</f>
        <v>https://www.ncbi.nlm.nih.gov/pubmed/16580903</v>
      </c>
      <c r="D2168" s="232" t="str">
        <f>IF(AND(A2168&lt;&gt;"",ISNUMBER(A2168)),VLOOKUP(A2168,Studies!A:BR,4,FALSE),"")</f>
        <v>Control (Perpetrator Placebo)</v>
      </c>
      <c r="E2168" s="206" t="str">
        <f>IF(AND(A2168&lt;&gt;"",ISNUMBER(A2168)),VLOOKUP(A2168,Studies!A:BR,5,FALSE),"")</f>
        <v>Simvastatin</v>
      </c>
      <c r="F2168" s="207" t="str">
        <f>IF(AND(A2168&lt;&gt;"",ISNUMBER(A2168)),VLOOKUP(A2168,Studies!A:BR,6,FALSE),"")</f>
        <v>Plasma</v>
      </c>
      <c r="G2168" s="194">
        <v>0.25</v>
      </c>
      <c r="H2168" s="194" t="s">
        <v>60</v>
      </c>
      <c r="I2168" s="187">
        <v>0.2758621</v>
      </c>
      <c r="J2168" s="187" t="s">
        <v>1026</v>
      </c>
      <c r="K2168" s="187" t="s">
        <v>116</v>
      </c>
      <c r="L2168" s="195">
        <v>0.41379310000000002</v>
      </c>
      <c r="M2168" s="195" t="s">
        <v>1026</v>
      </c>
      <c r="N2168" s="195" t="s">
        <v>117</v>
      </c>
      <c r="O2168" s="199"/>
      <c r="P2168" s="188"/>
      <c r="Q2168" s="174">
        <f>IF(ISNUMBER(VLOOKUP(A2168,NotghiID!A:A,1,FALSE)),1,0)</f>
        <v>0</v>
      </c>
    </row>
    <row r="2169" spans="1:17" ht="14.25" x14ac:dyDescent="0.2">
      <c r="A2169" s="183">
        <v>115</v>
      </c>
      <c r="B2169" s="232" t="str">
        <f>IF(AND(A2169&lt;&gt;"",ISNUMBER(A2169)),VLOOKUP(A2169,Studies!A:BR,2,FALSE),"")</f>
        <v>Chung 2006</v>
      </c>
      <c r="C2169" s="232" t="str">
        <f>IF(AND(A2169&lt;&gt;"",ISNUMBER(A2169)),VLOOKUP(A2169,Studies!A:BR,3,FALSE),"")</f>
        <v>https://www.ncbi.nlm.nih.gov/pubmed/16580903</v>
      </c>
      <c r="D2169" s="232" t="str">
        <f>IF(AND(A2169&lt;&gt;"",ISNUMBER(A2169)),VLOOKUP(A2169,Studies!A:BR,4,FALSE),"")</f>
        <v>Control (Perpetrator Placebo)</v>
      </c>
      <c r="E2169" s="206" t="str">
        <f>IF(AND(A2169&lt;&gt;"",ISNUMBER(A2169)),VLOOKUP(A2169,Studies!A:BR,5,FALSE),"")</f>
        <v>Simvastatin</v>
      </c>
      <c r="F2169" s="207" t="str">
        <f>IF(AND(A2169&lt;&gt;"",ISNUMBER(A2169)),VLOOKUP(A2169,Studies!A:BR,6,FALSE),"")</f>
        <v>Plasma</v>
      </c>
      <c r="G2169" s="194">
        <v>0.5</v>
      </c>
      <c r="H2169" s="194" t="s">
        <v>60</v>
      </c>
      <c r="I2169" s="187">
        <v>3.4482759999999999</v>
      </c>
      <c r="J2169" s="187" t="s">
        <v>1026</v>
      </c>
      <c r="K2169" s="187" t="s">
        <v>116</v>
      </c>
      <c r="L2169" s="195">
        <v>2.7586210000000002</v>
      </c>
      <c r="M2169" s="195" t="s">
        <v>1026</v>
      </c>
      <c r="N2169" s="195" t="s">
        <v>117</v>
      </c>
      <c r="O2169" s="199"/>
      <c r="P2169" s="188"/>
      <c r="Q2169" s="174">
        <f>IF(ISNUMBER(VLOOKUP(A2169,NotghiID!A:A,1,FALSE)),1,0)</f>
        <v>0</v>
      </c>
    </row>
    <row r="2170" spans="1:17" ht="14.25" x14ac:dyDescent="0.2">
      <c r="A2170" s="183">
        <v>115</v>
      </c>
      <c r="B2170" s="232" t="str">
        <f>IF(AND(A2170&lt;&gt;"",ISNUMBER(A2170)),VLOOKUP(A2170,Studies!A:BR,2,FALSE),"")</f>
        <v>Chung 2006</v>
      </c>
      <c r="C2170" s="232" t="str">
        <f>IF(AND(A2170&lt;&gt;"",ISNUMBER(A2170)),VLOOKUP(A2170,Studies!A:BR,3,FALSE),"")</f>
        <v>https://www.ncbi.nlm.nih.gov/pubmed/16580903</v>
      </c>
      <c r="D2170" s="232" t="str">
        <f>IF(AND(A2170&lt;&gt;"",ISNUMBER(A2170)),VLOOKUP(A2170,Studies!A:BR,4,FALSE),"")</f>
        <v>Control (Perpetrator Placebo)</v>
      </c>
      <c r="E2170" s="206" t="str">
        <f>IF(AND(A2170&lt;&gt;"",ISNUMBER(A2170)),VLOOKUP(A2170,Studies!A:BR,5,FALSE),"")</f>
        <v>Simvastatin</v>
      </c>
      <c r="F2170" s="207" t="str">
        <f>IF(AND(A2170&lt;&gt;"",ISNUMBER(A2170)),VLOOKUP(A2170,Studies!A:BR,6,FALSE),"")</f>
        <v>Plasma</v>
      </c>
      <c r="G2170" s="194">
        <v>1</v>
      </c>
      <c r="H2170" s="194" t="s">
        <v>60</v>
      </c>
      <c r="I2170" s="187">
        <v>7.4482759999999999</v>
      </c>
      <c r="J2170" s="187" t="s">
        <v>1026</v>
      </c>
      <c r="K2170" s="187" t="s">
        <v>116</v>
      </c>
      <c r="L2170" s="195">
        <v>4.7586209999999998</v>
      </c>
      <c r="M2170" s="195" t="s">
        <v>1026</v>
      </c>
      <c r="N2170" s="195" t="s">
        <v>117</v>
      </c>
      <c r="O2170" s="199"/>
      <c r="P2170" s="188"/>
      <c r="Q2170" s="174">
        <f>IF(ISNUMBER(VLOOKUP(A2170,NotghiID!A:A,1,FALSE)),1,0)</f>
        <v>0</v>
      </c>
    </row>
    <row r="2171" spans="1:17" ht="14.25" x14ac:dyDescent="0.2">
      <c r="A2171" s="183">
        <v>115</v>
      </c>
      <c r="B2171" s="232" t="str">
        <f>IF(AND(A2171&lt;&gt;"",ISNUMBER(A2171)),VLOOKUP(A2171,Studies!A:BR,2,FALSE),"")</f>
        <v>Chung 2006</v>
      </c>
      <c r="C2171" s="232" t="str">
        <f>IF(AND(A2171&lt;&gt;"",ISNUMBER(A2171)),VLOOKUP(A2171,Studies!A:BR,3,FALSE),"")</f>
        <v>https://www.ncbi.nlm.nih.gov/pubmed/16580903</v>
      </c>
      <c r="D2171" s="232" t="str">
        <f>IF(AND(A2171&lt;&gt;"",ISNUMBER(A2171)),VLOOKUP(A2171,Studies!A:BR,4,FALSE),"")</f>
        <v>Control (Perpetrator Placebo)</v>
      </c>
      <c r="E2171" s="206" t="str">
        <f>IF(AND(A2171&lt;&gt;"",ISNUMBER(A2171)),VLOOKUP(A2171,Studies!A:BR,5,FALSE),"")</f>
        <v>Simvastatin</v>
      </c>
      <c r="F2171" s="207" t="str">
        <f>IF(AND(A2171&lt;&gt;"",ISNUMBER(A2171)),VLOOKUP(A2171,Studies!A:BR,6,FALSE),"")</f>
        <v>Plasma</v>
      </c>
      <c r="G2171" s="194">
        <v>1.5</v>
      </c>
      <c r="H2171" s="194" t="s">
        <v>60</v>
      </c>
      <c r="I2171" s="187">
        <v>5.9310349999999996</v>
      </c>
      <c r="J2171" s="187" t="s">
        <v>1026</v>
      </c>
      <c r="K2171" s="187" t="s">
        <v>116</v>
      </c>
      <c r="L2171" s="195">
        <v>3.9999989999999999</v>
      </c>
      <c r="M2171" s="195" t="s">
        <v>1026</v>
      </c>
      <c r="N2171" s="195" t="s">
        <v>117</v>
      </c>
      <c r="O2171" s="199"/>
      <c r="P2171" s="188"/>
      <c r="Q2171" s="174">
        <f>IF(ISNUMBER(VLOOKUP(A2171,NotghiID!A:A,1,FALSE)),1,0)</f>
        <v>0</v>
      </c>
    </row>
    <row r="2172" spans="1:17" ht="14.25" x14ac:dyDescent="0.2">
      <c r="A2172" s="183">
        <v>115</v>
      </c>
      <c r="B2172" s="232" t="str">
        <f>IF(AND(A2172&lt;&gt;"",ISNUMBER(A2172)),VLOOKUP(A2172,Studies!A:BR,2,FALSE),"")</f>
        <v>Chung 2006</v>
      </c>
      <c r="C2172" s="232" t="str">
        <f>IF(AND(A2172&lt;&gt;"",ISNUMBER(A2172)),VLOOKUP(A2172,Studies!A:BR,3,FALSE),"")</f>
        <v>https://www.ncbi.nlm.nih.gov/pubmed/16580903</v>
      </c>
      <c r="D2172" s="232" t="str">
        <f>IF(AND(A2172&lt;&gt;"",ISNUMBER(A2172)),VLOOKUP(A2172,Studies!A:BR,4,FALSE),"")</f>
        <v>Control (Perpetrator Placebo)</v>
      </c>
      <c r="E2172" s="206" t="str">
        <f>IF(AND(A2172&lt;&gt;"",ISNUMBER(A2172)),VLOOKUP(A2172,Studies!A:BR,5,FALSE),"")</f>
        <v>Simvastatin</v>
      </c>
      <c r="F2172" s="207" t="str">
        <f>IF(AND(A2172&lt;&gt;"",ISNUMBER(A2172)),VLOOKUP(A2172,Studies!A:BR,6,FALSE),"")</f>
        <v>Plasma</v>
      </c>
      <c r="G2172" s="194">
        <v>2</v>
      </c>
      <c r="H2172" s="194" t="s">
        <v>60</v>
      </c>
      <c r="I2172" s="187">
        <v>2.2758620000000001</v>
      </c>
      <c r="J2172" s="187" t="s">
        <v>1026</v>
      </c>
      <c r="K2172" s="187" t="s">
        <v>116</v>
      </c>
      <c r="L2172" s="195">
        <v>1.5172410000000001</v>
      </c>
      <c r="M2172" s="195" t="s">
        <v>1026</v>
      </c>
      <c r="N2172" s="195" t="s">
        <v>117</v>
      </c>
      <c r="O2172" s="199"/>
      <c r="P2172" s="188"/>
      <c r="Q2172" s="174">
        <f>IF(ISNUMBER(VLOOKUP(A2172,NotghiID!A:A,1,FALSE)),1,0)</f>
        <v>0</v>
      </c>
    </row>
    <row r="2173" spans="1:17" ht="14.25" x14ac:dyDescent="0.2">
      <c r="A2173" s="183">
        <v>115</v>
      </c>
      <c r="B2173" s="232" t="str">
        <f>IF(AND(A2173&lt;&gt;"",ISNUMBER(A2173)),VLOOKUP(A2173,Studies!A:BR,2,FALSE),"")</f>
        <v>Chung 2006</v>
      </c>
      <c r="C2173" s="232" t="str">
        <f>IF(AND(A2173&lt;&gt;"",ISNUMBER(A2173)),VLOOKUP(A2173,Studies!A:BR,3,FALSE),"")</f>
        <v>https://www.ncbi.nlm.nih.gov/pubmed/16580903</v>
      </c>
      <c r="D2173" s="232" t="str">
        <f>IF(AND(A2173&lt;&gt;"",ISNUMBER(A2173)),VLOOKUP(A2173,Studies!A:BR,4,FALSE),"")</f>
        <v>Control (Perpetrator Placebo)</v>
      </c>
      <c r="E2173" s="206" t="str">
        <f>IF(AND(A2173&lt;&gt;"",ISNUMBER(A2173)),VLOOKUP(A2173,Studies!A:BR,5,FALSE),"")</f>
        <v>Simvastatin</v>
      </c>
      <c r="F2173" s="207" t="str">
        <f>IF(AND(A2173&lt;&gt;"",ISNUMBER(A2173)),VLOOKUP(A2173,Studies!A:BR,6,FALSE),"")</f>
        <v>Plasma</v>
      </c>
      <c r="G2173" s="194">
        <v>3</v>
      </c>
      <c r="H2173" s="194" t="s">
        <v>60</v>
      </c>
      <c r="I2173" s="187">
        <v>2.137931</v>
      </c>
      <c r="J2173" s="187" t="s">
        <v>1026</v>
      </c>
      <c r="K2173" s="187" t="s">
        <v>116</v>
      </c>
      <c r="L2173" s="195">
        <v>2.137931</v>
      </c>
      <c r="M2173" s="195" t="s">
        <v>1026</v>
      </c>
      <c r="N2173" s="195" t="s">
        <v>117</v>
      </c>
      <c r="O2173" s="199"/>
      <c r="P2173" s="188"/>
      <c r="Q2173" s="174">
        <f>IF(ISNUMBER(VLOOKUP(A2173,NotghiID!A:A,1,FALSE)),1,0)</f>
        <v>0</v>
      </c>
    </row>
    <row r="2174" spans="1:17" ht="14.25" x14ac:dyDescent="0.2">
      <c r="A2174" s="183">
        <v>115</v>
      </c>
      <c r="B2174" s="232" t="str">
        <f>IF(AND(A2174&lt;&gt;"",ISNUMBER(A2174)),VLOOKUP(A2174,Studies!A:BR,2,FALSE),"")</f>
        <v>Chung 2006</v>
      </c>
      <c r="C2174" s="232" t="str">
        <f>IF(AND(A2174&lt;&gt;"",ISNUMBER(A2174)),VLOOKUP(A2174,Studies!A:BR,3,FALSE),"")</f>
        <v>https://www.ncbi.nlm.nih.gov/pubmed/16580903</v>
      </c>
      <c r="D2174" s="232" t="str">
        <f>IF(AND(A2174&lt;&gt;"",ISNUMBER(A2174)),VLOOKUP(A2174,Studies!A:BR,4,FALSE),"")</f>
        <v>Control (Perpetrator Placebo)</v>
      </c>
      <c r="E2174" s="206" t="str">
        <f>IF(AND(A2174&lt;&gt;"",ISNUMBER(A2174)),VLOOKUP(A2174,Studies!A:BR,5,FALSE),"")</f>
        <v>Simvastatin</v>
      </c>
      <c r="F2174" s="207" t="str">
        <f>IF(AND(A2174&lt;&gt;"",ISNUMBER(A2174)),VLOOKUP(A2174,Studies!A:BR,6,FALSE),"")</f>
        <v>Plasma</v>
      </c>
      <c r="G2174" s="194">
        <v>4</v>
      </c>
      <c r="H2174" s="194" t="s">
        <v>60</v>
      </c>
      <c r="I2174" s="187">
        <v>1.1724140000000001</v>
      </c>
      <c r="J2174" s="187" t="s">
        <v>1026</v>
      </c>
      <c r="K2174" s="187" t="s">
        <v>116</v>
      </c>
      <c r="L2174" s="195">
        <v>1.37931</v>
      </c>
      <c r="M2174" s="195" t="s">
        <v>1026</v>
      </c>
      <c r="N2174" s="195" t="s">
        <v>117</v>
      </c>
      <c r="O2174" s="199"/>
      <c r="P2174" s="188"/>
      <c r="Q2174" s="174">
        <f>IF(ISNUMBER(VLOOKUP(A2174,NotghiID!A:A,1,FALSE)),1,0)</f>
        <v>0</v>
      </c>
    </row>
    <row r="2175" spans="1:17" ht="14.25" x14ac:dyDescent="0.2">
      <c r="A2175" s="183">
        <v>115</v>
      </c>
      <c r="B2175" s="232" t="str">
        <f>IF(AND(A2175&lt;&gt;"",ISNUMBER(A2175)),VLOOKUP(A2175,Studies!A:BR,2,FALSE),"")</f>
        <v>Chung 2006</v>
      </c>
      <c r="C2175" s="232" t="str">
        <f>IF(AND(A2175&lt;&gt;"",ISNUMBER(A2175)),VLOOKUP(A2175,Studies!A:BR,3,FALSE),"")</f>
        <v>https://www.ncbi.nlm.nih.gov/pubmed/16580903</v>
      </c>
      <c r="D2175" s="232" t="str">
        <f>IF(AND(A2175&lt;&gt;"",ISNUMBER(A2175)),VLOOKUP(A2175,Studies!A:BR,4,FALSE),"")</f>
        <v>Control (Perpetrator Placebo)</v>
      </c>
      <c r="E2175" s="206" t="str">
        <f>IF(AND(A2175&lt;&gt;"",ISNUMBER(A2175)),VLOOKUP(A2175,Studies!A:BR,5,FALSE),"")</f>
        <v>Simvastatin</v>
      </c>
      <c r="F2175" s="207" t="str">
        <f>IF(AND(A2175&lt;&gt;"",ISNUMBER(A2175)),VLOOKUP(A2175,Studies!A:BR,6,FALSE),"")</f>
        <v>Plasma</v>
      </c>
      <c r="G2175" s="194">
        <v>6</v>
      </c>
      <c r="H2175" s="194" t="s">
        <v>60</v>
      </c>
      <c r="I2175" s="187">
        <v>0.62068959999999995</v>
      </c>
      <c r="J2175" s="187" t="s">
        <v>1026</v>
      </c>
      <c r="K2175" s="187" t="s">
        <v>116</v>
      </c>
      <c r="L2175" s="195">
        <v>0.48275869999999999</v>
      </c>
      <c r="M2175" s="195" t="s">
        <v>1026</v>
      </c>
      <c r="N2175" s="195" t="s">
        <v>117</v>
      </c>
      <c r="O2175" s="199"/>
      <c r="P2175" s="188"/>
      <c r="Q2175" s="174">
        <f>IF(ISNUMBER(VLOOKUP(A2175,NotghiID!A:A,1,FALSE)),1,0)</f>
        <v>0</v>
      </c>
    </row>
    <row r="2176" spans="1:17" ht="14.25" x14ac:dyDescent="0.2">
      <c r="A2176" s="183">
        <v>116</v>
      </c>
      <c r="B2176" s="232" t="str">
        <f>IF(AND(A2176&lt;&gt;"",ISNUMBER(A2176)),VLOOKUP(A2176,Studies!A:BR,2,FALSE),"")</f>
        <v>Chung 2006</v>
      </c>
      <c r="C2176" s="232" t="str">
        <f>IF(AND(A2176&lt;&gt;"",ISNUMBER(A2176)),VLOOKUP(A2176,Studies!A:BR,3,FALSE),"")</f>
        <v>https://www.ncbi.nlm.nih.gov/pubmed/16580903</v>
      </c>
      <c r="D2176" s="232" t="str">
        <f>IF(AND(A2176&lt;&gt;"",ISNUMBER(A2176)),VLOOKUP(A2176,Studies!A:BR,4,FALSE),"")</f>
        <v>with Perpetrator (Rifampicin)</v>
      </c>
      <c r="E2176" s="206" t="str">
        <f>IF(AND(A2176&lt;&gt;"",ISNUMBER(A2176)),VLOOKUP(A2176,Studies!A:BR,5,FALSE),"")</f>
        <v>Simvastatin</v>
      </c>
      <c r="F2176" s="207" t="str">
        <f>IF(AND(A2176&lt;&gt;"",ISNUMBER(A2176)),VLOOKUP(A2176,Studies!A:BR,6,FALSE),"")</f>
        <v>Plasma</v>
      </c>
      <c r="G2176" s="194">
        <v>190.25</v>
      </c>
      <c r="H2176" s="194" t="s">
        <v>60</v>
      </c>
      <c r="I2176" s="187">
        <v>0.2774566</v>
      </c>
      <c r="J2176" s="187" t="s">
        <v>1026</v>
      </c>
      <c r="K2176" s="187" t="s">
        <v>116</v>
      </c>
      <c r="L2176" s="195">
        <v>0.48554920000000001</v>
      </c>
      <c r="M2176" s="195" t="s">
        <v>1026</v>
      </c>
      <c r="N2176" s="195" t="s">
        <v>117</v>
      </c>
      <c r="O2176" s="199"/>
      <c r="P2176" s="188"/>
      <c r="Q2176" s="174">
        <f>IF(ISNUMBER(VLOOKUP(A2176,NotghiID!A:A,1,FALSE)),1,0)</f>
        <v>0</v>
      </c>
    </row>
    <row r="2177" spans="1:17" ht="14.25" x14ac:dyDescent="0.2">
      <c r="A2177" s="183">
        <v>116</v>
      </c>
      <c r="B2177" s="232" t="str">
        <f>IF(AND(A2177&lt;&gt;"",ISNUMBER(A2177)),VLOOKUP(A2177,Studies!A:BR,2,FALSE),"")</f>
        <v>Chung 2006</v>
      </c>
      <c r="C2177" s="232" t="str">
        <f>IF(AND(A2177&lt;&gt;"",ISNUMBER(A2177)),VLOOKUP(A2177,Studies!A:BR,3,FALSE),"")</f>
        <v>https://www.ncbi.nlm.nih.gov/pubmed/16580903</v>
      </c>
      <c r="D2177" s="232" t="str">
        <f>IF(AND(A2177&lt;&gt;"",ISNUMBER(A2177)),VLOOKUP(A2177,Studies!A:BR,4,FALSE),"")</f>
        <v>with Perpetrator (Rifampicin)</v>
      </c>
      <c r="E2177" s="206" t="str">
        <f>IF(AND(A2177&lt;&gt;"",ISNUMBER(A2177)),VLOOKUP(A2177,Studies!A:BR,5,FALSE),"")</f>
        <v>Simvastatin</v>
      </c>
      <c r="F2177" s="207" t="str">
        <f>IF(AND(A2177&lt;&gt;"",ISNUMBER(A2177)),VLOOKUP(A2177,Studies!A:BR,6,FALSE),"")</f>
        <v>Plasma</v>
      </c>
      <c r="G2177" s="194">
        <v>190.5</v>
      </c>
      <c r="H2177" s="194" t="s">
        <v>60</v>
      </c>
      <c r="I2177" s="187">
        <v>0.55491330000000005</v>
      </c>
      <c r="J2177" s="187" t="s">
        <v>1026</v>
      </c>
      <c r="K2177" s="187" t="s">
        <v>116</v>
      </c>
      <c r="L2177" s="195">
        <v>0.76300570000000001</v>
      </c>
      <c r="M2177" s="195" t="s">
        <v>1026</v>
      </c>
      <c r="N2177" s="195" t="s">
        <v>117</v>
      </c>
      <c r="O2177" s="199"/>
      <c r="P2177" s="188"/>
      <c r="Q2177" s="174">
        <f>IF(ISNUMBER(VLOOKUP(A2177,NotghiID!A:A,1,FALSE)),1,0)</f>
        <v>0</v>
      </c>
    </row>
    <row r="2178" spans="1:17" ht="14.25" x14ac:dyDescent="0.2">
      <c r="A2178" s="183">
        <v>116</v>
      </c>
      <c r="B2178" s="232" t="str">
        <f>IF(AND(A2178&lt;&gt;"",ISNUMBER(A2178)),VLOOKUP(A2178,Studies!A:BR,2,FALSE),"")</f>
        <v>Chung 2006</v>
      </c>
      <c r="C2178" s="232" t="str">
        <f>IF(AND(A2178&lt;&gt;"",ISNUMBER(A2178)),VLOOKUP(A2178,Studies!A:BR,3,FALSE),"")</f>
        <v>https://www.ncbi.nlm.nih.gov/pubmed/16580903</v>
      </c>
      <c r="D2178" s="232" t="str">
        <f>IF(AND(A2178&lt;&gt;"",ISNUMBER(A2178)),VLOOKUP(A2178,Studies!A:BR,4,FALSE),"")</f>
        <v>with Perpetrator (Rifampicin)</v>
      </c>
      <c r="E2178" s="206" t="str">
        <f>IF(AND(A2178&lt;&gt;"",ISNUMBER(A2178)),VLOOKUP(A2178,Studies!A:BR,5,FALSE),"")</f>
        <v>Simvastatin</v>
      </c>
      <c r="F2178" s="207" t="str">
        <f>IF(AND(A2178&lt;&gt;"",ISNUMBER(A2178)),VLOOKUP(A2178,Studies!A:BR,6,FALSE),"")</f>
        <v>Plasma</v>
      </c>
      <c r="G2178" s="194">
        <v>191</v>
      </c>
      <c r="H2178" s="194" t="s">
        <v>60</v>
      </c>
      <c r="I2178" s="187">
        <v>0.76300579999999996</v>
      </c>
      <c r="J2178" s="187" t="s">
        <v>1026</v>
      </c>
      <c r="K2178" s="187" t="s">
        <v>116</v>
      </c>
      <c r="L2178" s="195">
        <v>0.76300579999999996</v>
      </c>
      <c r="M2178" s="195" t="s">
        <v>1026</v>
      </c>
      <c r="N2178" s="195" t="s">
        <v>117</v>
      </c>
      <c r="O2178" s="199"/>
      <c r="P2178" s="188"/>
      <c r="Q2178" s="174">
        <f>IF(ISNUMBER(VLOOKUP(A2178,NotghiID!A:A,1,FALSE)),1,0)</f>
        <v>0</v>
      </c>
    </row>
    <row r="2179" spans="1:17" ht="14.25" x14ac:dyDescent="0.2">
      <c r="A2179" s="183">
        <v>116</v>
      </c>
      <c r="B2179" s="232" t="str">
        <f>IF(AND(A2179&lt;&gt;"",ISNUMBER(A2179)),VLOOKUP(A2179,Studies!A:BR,2,FALSE),"")</f>
        <v>Chung 2006</v>
      </c>
      <c r="C2179" s="232" t="str">
        <f>IF(AND(A2179&lt;&gt;"",ISNUMBER(A2179)),VLOOKUP(A2179,Studies!A:BR,3,FALSE),"")</f>
        <v>https://www.ncbi.nlm.nih.gov/pubmed/16580903</v>
      </c>
      <c r="D2179" s="232" t="str">
        <f>IF(AND(A2179&lt;&gt;"",ISNUMBER(A2179)),VLOOKUP(A2179,Studies!A:BR,4,FALSE),"")</f>
        <v>with Perpetrator (Rifampicin)</v>
      </c>
      <c r="E2179" s="206" t="str">
        <f>IF(AND(A2179&lt;&gt;"",ISNUMBER(A2179)),VLOOKUP(A2179,Studies!A:BR,5,FALSE),"")</f>
        <v>Simvastatin</v>
      </c>
      <c r="F2179" s="207" t="str">
        <f>IF(AND(A2179&lt;&gt;"",ISNUMBER(A2179)),VLOOKUP(A2179,Studies!A:BR,6,FALSE),"")</f>
        <v>Plasma</v>
      </c>
      <c r="G2179" s="194">
        <v>191.5</v>
      </c>
      <c r="H2179" s="194" t="s">
        <v>60</v>
      </c>
      <c r="I2179" s="187">
        <v>0.62427750000000004</v>
      </c>
      <c r="J2179" s="187" t="s">
        <v>1026</v>
      </c>
      <c r="K2179" s="187" t="s">
        <v>116</v>
      </c>
      <c r="L2179" s="195">
        <v>0.62427750000000004</v>
      </c>
      <c r="M2179" s="195" t="s">
        <v>1026</v>
      </c>
      <c r="N2179" s="195" t="s">
        <v>117</v>
      </c>
      <c r="O2179" s="199"/>
      <c r="P2179" s="188"/>
      <c r="Q2179" s="174">
        <f>IF(ISNUMBER(VLOOKUP(A2179,NotghiID!A:A,1,FALSE)),1,0)</f>
        <v>0</v>
      </c>
    </row>
    <row r="2180" spans="1:17" ht="14.25" x14ac:dyDescent="0.2">
      <c r="A2180" s="183">
        <v>116</v>
      </c>
      <c r="B2180" s="232" t="str">
        <f>IF(AND(A2180&lt;&gt;"",ISNUMBER(A2180)),VLOOKUP(A2180,Studies!A:BR,2,FALSE),"")</f>
        <v>Chung 2006</v>
      </c>
      <c r="C2180" s="232" t="str">
        <f>IF(AND(A2180&lt;&gt;"",ISNUMBER(A2180)),VLOOKUP(A2180,Studies!A:BR,3,FALSE),"")</f>
        <v>https://www.ncbi.nlm.nih.gov/pubmed/16580903</v>
      </c>
      <c r="D2180" s="232" t="str">
        <f>IF(AND(A2180&lt;&gt;"",ISNUMBER(A2180)),VLOOKUP(A2180,Studies!A:BR,4,FALSE),"")</f>
        <v>with Perpetrator (Rifampicin)</v>
      </c>
      <c r="E2180" s="206" t="str">
        <f>IF(AND(A2180&lt;&gt;"",ISNUMBER(A2180)),VLOOKUP(A2180,Studies!A:BR,5,FALSE),"")</f>
        <v>Simvastatin</v>
      </c>
      <c r="F2180" s="207" t="str">
        <f>IF(AND(A2180&lt;&gt;"",ISNUMBER(A2180)),VLOOKUP(A2180,Studies!A:BR,6,FALSE),"")</f>
        <v>Plasma</v>
      </c>
      <c r="G2180" s="194">
        <v>192</v>
      </c>
      <c r="H2180" s="194" t="s">
        <v>60</v>
      </c>
      <c r="I2180" s="187">
        <v>0.41618500000000003</v>
      </c>
      <c r="J2180" s="187" t="s">
        <v>1026</v>
      </c>
      <c r="K2180" s="187" t="s">
        <v>116</v>
      </c>
      <c r="L2180" s="195">
        <v>0.55491330000000005</v>
      </c>
      <c r="M2180" s="195" t="s">
        <v>1026</v>
      </c>
      <c r="N2180" s="195" t="s">
        <v>117</v>
      </c>
      <c r="O2180" s="199"/>
      <c r="P2180" s="188"/>
      <c r="Q2180" s="174">
        <f>IF(ISNUMBER(VLOOKUP(A2180,NotghiID!A:A,1,FALSE)),1,0)</f>
        <v>0</v>
      </c>
    </row>
    <row r="2181" spans="1:17" ht="14.25" x14ac:dyDescent="0.2">
      <c r="A2181" s="183">
        <v>116</v>
      </c>
      <c r="B2181" s="232" t="str">
        <f>IF(AND(A2181&lt;&gt;"",ISNUMBER(A2181)),VLOOKUP(A2181,Studies!A:BR,2,FALSE),"")</f>
        <v>Chung 2006</v>
      </c>
      <c r="C2181" s="232" t="str">
        <f>IF(AND(A2181&lt;&gt;"",ISNUMBER(A2181)),VLOOKUP(A2181,Studies!A:BR,3,FALSE),"")</f>
        <v>https://www.ncbi.nlm.nih.gov/pubmed/16580903</v>
      </c>
      <c r="D2181" s="232" t="str">
        <f>IF(AND(A2181&lt;&gt;"",ISNUMBER(A2181)),VLOOKUP(A2181,Studies!A:BR,4,FALSE),"")</f>
        <v>with Perpetrator (Rifampicin)</v>
      </c>
      <c r="E2181" s="206" t="str">
        <f>IF(AND(A2181&lt;&gt;"",ISNUMBER(A2181)),VLOOKUP(A2181,Studies!A:BR,5,FALSE),"")</f>
        <v>Simvastatin</v>
      </c>
      <c r="F2181" s="207" t="str">
        <f>IF(AND(A2181&lt;&gt;"",ISNUMBER(A2181)),VLOOKUP(A2181,Studies!A:BR,6,FALSE),"")</f>
        <v>Plasma</v>
      </c>
      <c r="G2181" s="194">
        <v>193</v>
      </c>
      <c r="H2181" s="194" t="s">
        <v>60</v>
      </c>
      <c r="I2181" s="187">
        <v>0.2774566</v>
      </c>
      <c r="J2181" s="187" t="s">
        <v>1026</v>
      </c>
      <c r="K2181" s="187" t="s">
        <v>116</v>
      </c>
      <c r="L2181" s="195">
        <v>0.55491330000000005</v>
      </c>
      <c r="M2181" s="195" t="s">
        <v>1026</v>
      </c>
      <c r="N2181" s="195" t="s">
        <v>117</v>
      </c>
      <c r="O2181" s="199"/>
      <c r="P2181" s="188"/>
      <c r="Q2181" s="174">
        <f>IF(ISNUMBER(VLOOKUP(A2181,NotghiID!A:A,1,FALSE)),1,0)</f>
        <v>0</v>
      </c>
    </row>
    <row r="2182" spans="1:17" ht="14.25" x14ac:dyDescent="0.2">
      <c r="A2182" s="183">
        <v>116</v>
      </c>
      <c r="B2182" s="232" t="str">
        <f>IF(AND(A2182&lt;&gt;"",ISNUMBER(A2182)),VLOOKUP(A2182,Studies!A:BR,2,FALSE),"")</f>
        <v>Chung 2006</v>
      </c>
      <c r="C2182" s="232" t="str">
        <f>IF(AND(A2182&lt;&gt;"",ISNUMBER(A2182)),VLOOKUP(A2182,Studies!A:BR,3,FALSE),"")</f>
        <v>https://www.ncbi.nlm.nih.gov/pubmed/16580903</v>
      </c>
      <c r="D2182" s="232" t="str">
        <f>IF(AND(A2182&lt;&gt;"",ISNUMBER(A2182)),VLOOKUP(A2182,Studies!A:BR,4,FALSE),"")</f>
        <v>with Perpetrator (Rifampicin)</v>
      </c>
      <c r="E2182" s="206" t="str">
        <f>IF(AND(A2182&lt;&gt;"",ISNUMBER(A2182)),VLOOKUP(A2182,Studies!A:BR,5,FALSE),"")</f>
        <v>Simvastatin</v>
      </c>
      <c r="F2182" s="207" t="str">
        <f>IF(AND(A2182&lt;&gt;"",ISNUMBER(A2182)),VLOOKUP(A2182,Studies!A:BR,6,FALSE),"")</f>
        <v>Plasma</v>
      </c>
      <c r="G2182" s="194">
        <v>194</v>
      </c>
      <c r="H2182" s="194" t="s">
        <v>60</v>
      </c>
      <c r="I2182" s="187">
        <v>0.2774566</v>
      </c>
      <c r="J2182" s="187" t="s">
        <v>1026</v>
      </c>
      <c r="K2182" s="187" t="s">
        <v>116</v>
      </c>
      <c r="L2182" s="195">
        <v>0.2774567</v>
      </c>
      <c r="M2182" s="195" t="s">
        <v>1026</v>
      </c>
      <c r="N2182" s="195" t="s">
        <v>117</v>
      </c>
      <c r="O2182" s="199"/>
      <c r="P2182" s="188"/>
      <c r="Q2182" s="174">
        <f>IF(ISNUMBER(VLOOKUP(A2182,NotghiID!A:A,1,FALSE)),1,0)</f>
        <v>0</v>
      </c>
    </row>
    <row r="2183" spans="1:17" ht="14.25" x14ac:dyDescent="0.2">
      <c r="A2183" s="183">
        <v>116</v>
      </c>
      <c r="B2183" s="232" t="str">
        <f>IF(AND(A2183&lt;&gt;"",ISNUMBER(A2183)),VLOOKUP(A2183,Studies!A:BR,2,FALSE),"")</f>
        <v>Chung 2006</v>
      </c>
      <c r="C2183" s="232" t="str">
        <f>IF(AND(A2183&lt;&gt;"",ISNUMBER(A2183)),VLOOKUP(A2183,Studies!A:BR,3,FALSE),"")</f>
        <v>https://www.ncbi.nlm.nih.gov/pubmed/16580903</v>
      </c>
      <c r="D2183" s="232" t="str">
        <f>IF(AND(A2183&lt;&gt;"",ISNUMBER(A2183)),VLOOKUP(A2183,Studies!A:BR,4,FALSE),"")</f>
        <v>with Perpetrator (Rifampicin)</v>
      </c>
      <c r="E2183" s="206" t="str">
        <f>IF(AND(A2183&lt;&gt;"",ISNUMBER(A2183)),VLOOKUP(A2183,Studies!A:BR,5,FALSE),"")</f>
        <v>Simvastatin</v>
      </c>
      <c r="F2183" s="207" t="str">
        <f>IF(AND(A2183&lt;&gt;"",ISNUMBER(A2183)),VLOOKUP(A2183,Studies!A:BR,6,FALSE),"")</f>
        <v>Plasma</v>
      </c>
      <c r="G2183" s="194">
        <v>196</v>
      </c>
      <c r="H2183" s="194" t="s">
        <v>60</v>
      </c>
      <c r="I2183" s="187">
        <v>0.48554910000000001</v>
      </c>
      <c r="J2183" s="187" t="s">
        <v>1026</v>
      </c>
      <c r="K2183" s="187" t="s">
        <v>116</v>
      </c>
      <c r="L2183" s="195"/>
      <c r="M2183" s="195"/>
      <c r="N2183" s="195"/>
      <c r="O2183" s="199"/>
      <c r="P2183" s="188"/>
      <c r="Q2183" s="174">
        <f>IF(ISNUMBER(VLOOKUP(A2183,NotghiID!A:A,1,FALSE)),1,0)</f>
        <v>0</v>
      </c>
    </row>
    <row r="2184" spans="1:17" ht="14.25" x14ac:dyDescent="0.2">
      <c r="A2184" s="183">
        <v>117</v>
      </c>
      <c r="B2184" s="232" t="str">
        <f>IF(AND(A2184&lt;&gt;"",ISNUMBER(A2184)),VLOOKUP(A2184,Studies!A:BR,2,FALSE),"")</f>
        <v>Chung 2006</v>
      </c>
      <c r="C2184" s="232" t="str">
        <f>IF(AND(A2184&lt;&gt;"",ISNUMBER(A2184)),VLOOKUP(A2184,Studies!A:BR,3,FALSE),"")</f>
        <v>https://www.ncbi.nlm.nih.gov/pubmed/16580903</v>
      </c>
      <c r="D2184" s="232" t="str">
        <f>IF(AND(A2184&lt;&gt;"",ISNUMBER(A2184)),VLOOKUP(A2184,Studies!A:BR,4,FALSE),"")</f>
        <v>with Perpetrator (Ketoconazole)</v>
      </c>
      <c r="E2184" s="206" t="str">
        <f>IF(AND(A2184&lt;&gt;"",ISNUMBER(A2184)),VLOOKUP(A2184,Studies!A:BR,5,FALSE),"")</f>
        <v>Simvastatin</v>
      </c>
      <c r="F2184" s="207" t="str">
        <f>IF(AND(A2184&lt;&gt;"",ISNUMBER(A2184)),VLOOKUP(A2184,Studies!A:BR,6,FALSE),"")</f>
        <v>Plasma</v>
      </c>
      <c r="G2184" s="194">
        <v>190.5</v>
      </c>
      <c r="H2184" s="194" t="s">
        <v>60</v>
      </c>
      <c r="I2184" s="187">
        <v>53.11598</v>
      </c>
      <c r="J2184" s="187" t="s">
        <v>1026</v>
      </c>
      <c r="K2184" s="187" t="s">
        <v>116</v>
      </c>
      <c r="L2184" s="195">
        <v>27.89217</v>
      </c>
      <c r="M2184" s="195" t="s">
        <v>1026</v>
      </c>
      <c r="N2184" s="195" t="s">
        <v>117</v>
      </c>
      <c r="O2184" s="199"/>
      <c r="P2184" s="188"/>
      <c r="Q2184" s="174">
        <f>IF(ISNUMBER(VLOOKUP(A2184,NotghiID!A:A,1,FALSE)),1,0)</f>
        <v>0</v>
      </c>
    </row>
    <row r="2185" spans="1:17" ht="14.25" x14ac:dyDescent="0.2">
      <c r="A2185" s="183">
        <v>117</v>
      </c>
      <c r="B2185" s="232" t="str">
        <f>IF(AND(A2185&lt;&gt;"",ISNUMBER(A2185)),VLOOKUP(A2185,Studies!A:BR,2,FALSE),"")</f>
        <v>Chung 2006</v>
      </c>
      <c r="C2185" s="232" t="str">
        <f>IF(AND(A2185&lt;&gt;"",ISNUMBER(A2185)),VLOOKUP(A2185,Studies!A:BR,3,FALSE),"")</f>
        <v>https://www.ncbi.nlm.nih.gov/pubmed/16580903</v>
      </c>
      <c r="D2185" s="232" t="str">
        <f>IF(AND(A2185&lt;&gt;"",ISNUMBER(A2185)),VLOOKUP(A2185,Studies!A:BR,4,FALSE),"")</f>
        <v>with Perpetrator (Ketoconazole)</v>
      </c>
      <c r="E2185" s="206" t="str">
        <f>IF(AND(A2185&lt;&gt;"",ISNUMBER(A2185)),VLOOKUP(A2185,Studies!A:BR,5,FALSE),"")</f>
        <v>Simvastatin</v>
      </c>
      <c r="F2185" s="207" t="str">
        <f>IF(AND(A2185&lt;&gt;"",ISNUMBER(A2185)),VLOOKUP(A2185,Studies!A:BR,6,FALSE),"")</f>
        <v>Plasma</v>
      </c>
      <c r="G2185" s="194">
        <v>191</v>
      </c>
      <c r="H2185" s="194" t="s">
        <v>60</v>
      </c>
      <c r="I2185" s="187">
        <v>48.278179999999999</v>
      </c>
      <c r="J2185" s="187" t="s">
        <v>1026</v>
      </c>
      <c r="K2185" s="187" t="s">
        <v>116</v>
      </c>
      <c r="L2185" s="195">
        <v>16.534669999999998</v>
      </c>
      <c r="M2185" s="195" t="s">
        <v>1026</v>
      </c>
      <c r="N2185" s="195" t="s">
        <v>117</v>
      </c>
      <c r="O2185" s="199"/>
      <c r="P2185" s="188"/>
      <c r="Q2185" s="174">
        <f>IF(ISNUMBER(VLOOKUP(A2185,NotghiID!A:A,1,FALSE)),1,0)</f>
        <v>0</v>
      </c>
    </row>
    <row r="2186" spans="1:17" ht="14.25" x14ac:dyDescent="0.2">
      <c r="A2186" s="183">
        <v>117</v>
      </c>
      <c r="B2186" s="232" t="str">
        <f>IF(AND(A2186&lt;&gt;"",ISNUMBER(A2186)),VLOOKUP(A2186,Studies!A:BR,2,FALSE),"")</f>
        <v>Chung 2006</v>
      </c>
      <c r="C2186" s="232" t="str">
        <f>IF(AND(A2186&lt;&gt;"",ISNUMBER(A2186)),VLOOKUP(A2186,Studies!A:BR,3,FALSE),"")</f>
        <v>https://www.ncbi.nlm.nih.gov/pubmed/16580903</v>
      </c>
      <c r="D2186" s="232" t="str">
        <f>IF(AND(A2186&lt;&gt;"",ISNUMBER(A2186)),VLOOKUP(A2186,Studies!A:BR,4,FALSE),"")</f>
        <v>with Perpetrator (Ketoconazole)</v>
      </c>
      <c r="E2186" s="206" t="str">
        <f>IF(AND(A2186&lt;&gt;"",ISNUMBER(A2186)),VLOOKUP(A2186,Studies!A:BR,5,FALSE),"")</f>
        <v>Simvastatin</v>
      </c>
      <c r="F2186" s="207" t="str">
        <f>IF(AND(A2186&lt;&gt;"",ISNUMBER(A2186)),VLOOKUP(A2186,Studies!A:BR,6,FALSE),"")</f>
        <v>Plasma</v>
      </c>
      <c r="G2186" s="194">
        <v>192</v>
      </c>
      <c r="H2186" s="194" t="s">
        <v>60</v>
      </c>
      <c r="I2186" s="187">
        <v>39.938009999999998</v>
      </c>
      <c r="J2186" s="187" t="s">
        <v>1026</v>
      </c>
      <c r="K2186" s="187" t="s">
        <v>116</v>
      </c>
      <c r="L2186" s="195">
        <v>12.359249999999999</v>
      </c>
      <c r="M2186" s="195" t="s">
        <v>1026</v>
      </c>
      <c r="N2186" s="195" t="s">
        <v>117</v>
      </c>
      <c r="O2186" s="199"/>
      <c r="P2186" s="188"/>
      <c r="Q2186" s="174">
        <f>IF(ISNUMBER(VLOOKUP(A2186,NotghiID!A:A,1,FALSE)),1,0)</f>
        <v>0</v>
      </c>
    </row>
    <row r="2187" spans="1:17" ht="14.25" x14ac:dyDescent="0.2">
      <c r="A2187" s="183">
        <v>117</v>
      </c>
      <c r="B2187" s="232" t="str">
        <f>IF(AND(A2187&lt;&gt;"",ISNUMBER(A2187)),VLOOKUP(A2187,Studies!A:BR,2,FALSE),"")</f>
        <v>Chung 2006</v>
      </c>
      <c r="C2187" s="232" t="str">
        <f>IF(AND(A2187&lt;&gt;"",ISNUMBER(A2187)),VLOOKUP(A2187,Studies!A:BR,3,FALSE),"")</f>
        <v>https://www.ncbi.nlm.nih.gov/pubmed/16580903</v>
      </c>
      <c r="D2187" s="232" t="str">
        <f>IF(AND(A2187&lt;&gt;"",ISNUMBER(A2187)),VLOOKUP(A2187,Studies!A:BR,4,FALSE),"")</f>
        <v>with Perpetrator (Ketoconazole)</v>
      </c>
      <c r="E2187" s="206" t="str">
        <f>IF(AND(A2187&lt;&gt;"",ISNUMBER(A2187)),VLOOKUP(A2187,Studies!A:BR,5,FALSE),"")</f>
        <v>Simvastatin</v>
      </c>
      <c r="F2187" s="207" t="str">
        <f>IF(AND(A2187&lt;&gt;"",ISNUMBER(A2187)),VLOOKUP(A2187,Studies!A:BR,6,FALSE),"")</f>
        <v>Plasma</v>
      </c>
      <c r="G2187" s="194">
        <v>194</v>
      </c>
      <c r="H2187" s="194" t="s">
        <v>60</v>
      </c>
      <c r="I2187" s="187">
        <v>29.103619999999999</v>
      </c>
      <c r="J2187" s="187" t="s">
        <v>1026</v>
      </c>
      <c r="K2187" s="187" t="s">
        <v>116</v>
      </c>
      <c r="L2187" s="195">
        <v>10.856450000000001</v>
      </c>
      <c r="M2187" s="195" t="s">
        <v>1026</v>
      </c>
      <c r="N2187" s="195" t="s">
        <v>117</v>
      </c>
      <c r="O2187" s="199"/>
      <c r="P2187" s="188"/>
      <c r="Q2187" s="174">
        <f>IF(ISNUMBER(VLOOKUP(A2187,NotghiID!A:A,1,FALSE)),1,0)</f>
        <v>0</v>
      </c>
    </row>
    <row r="2188" spans="1:17" ht="14.25" x14ac:dyDescent="0.2">
      <c r="A2188" s="183">
        <v>117</v>
      </c>
      <c r="B2188" s="232" t="str">
        <f>IF(AND(A2188&lt;&gt;"",ISNUMBER(A2188)),VLOOKUP(A2188,Studies!A:BR,2,FALSE),"")</f>
        <v>Chung 2006</v>
      </c>
      <c r="C2188" s="232" t="str">
        <f>IF(AND(A2188&lt;&gt;"",ISNUMBER(A2188)),VLOOKUP(A2188,Studies!A:BR,3,FALSE),"")</f>
        <v>https://www.ncbi.nlm.nih.gov/pubmed/16580903</v>
      </c>
      <c r="D2188" s="232" t="str">
        <f>IF(AND(A2188&lt;&gt;"",ISNUMBER(A2188)),VLOOKUP(A2188,Studies!A:BR,4,FALSE),"")</f>
        <v>with Perpetrator (Ketoconazole)</v>
      </c>
      <c r="E2188" s="206" t="str">
        <f>IF(AND(A2188&lt;&gt;"",ISNUMBER(A2188)),VLOOKUP(A2188,Studies!A:BR,5,FALSE),"")</f>
        <v>Simvastatin</v>
      </c>
      <c r="F2188" s="207" t="str">
        <f>IF(AND(A2188&lt;&gt;"",ISNUMBER(A2188)),VLOOKUP(A2188,Studies!A:BR,6,FALSE),"")</f>
        <v>Plasma</v>
      </c>
      <c r="G2188" s="194">
        <v>196</v>
      </c>
      <c r="H2188" s="194" t="s">
        <v>60</v>
      </c>
      <c r="I2188" s="187">
        <v>21.778359999999999</v>
      </c>
      <c r="J2188" s="187" t="s">
        <v>1026</v>
      </c>
      <c r="K2188" s="187" t="s">
        <v>116</v>
      </c>
      <c r="L2188" s="195">
        <v>7.8494320000000002</v>
      </c>
      <c r="M2188" s="195" t="s">
        <v>1026</v>
      </c>
      <c r="N2188" s="195" t="s">
        <v>117</v>
      </c>
      <c r="O2188" s="199"/>
      <c r="P2188" s="188"/>
      <c r="Q2188" s="174">
        <f>IF(ISNUMBER(VLOOKUP(A2188,NotghiID!A:A,1,FALSE)),1,0)</f>
        <v>0</v>
      </c>
    </row>
    <row r="2189" spans="1:17" ht="14.25" x14ac:dyDescent="0.2">
      <c r="A2189" s="183">
        <v>117</v>
      </c>
      <c r="B2189" s="232" t="str">
        <f>IF(AND(A2189&lt;&gt;"",ISNUMBER(A2189)),VLOOKUP(A2189,Studies!A:BR,2,FALSE),"")</f>
        <v>Chung 2006</v>
      </c>
      <c r="C2189" s="232" t="str">
        <f>IF(AND(A2189&lt;&gt;"",ISNUMBER(A2189)),VLOOKUP(A2189,Studies!A:BR,3,FALSE),"")</f>
        <v>https://www.ncbi.nlm.nih.gov/pubmed/16580903</v>
      </c>
      <c r="D2189" s="232" t="str">
        <f>IF(AND(A2189&lt;&gt;"",ISNUMBER(A2189)),VLOOKUP(A2189,Studies!A:BR,4,FALSE),"")</f>
        <v>with Perpetrator (Ketoconazole)</v>
      </c>
      <c r="E2189" s="206" t="str">
        <f>IF(AND(A2189&lt;&gt;"",ISNUMBER(A2189)),VLOOKUP(A2189,Studies!A:BR,5,FALSE),"")</f>
        <v>Simvastatin</v>
      </c>
      <c r="F2189" s="207" t="str">
        <f>IF(AND(A2189&lt;&gt;"",ISNUMBER(A2189)),VLOOKUP(A2189,Studies!A:BR,6,FALSE),"")</f>
        <v>Plasma</v>
      </c>
      <c r="G2189" s="194">
        <v>198</v>
      </c>
      <c r="H2189" s="194" t="s">
        <v>60</v>
      </c>
      <c r="I2189" s="187">
        <v>17.12358</v>
      </c>
      <c r="J2189" s="187" t="s">
        <v>1026</v>
      </c>
      <c r="K2189" s="187" t="s">
        <v>116</v>
      </c>
      <c r="L2189" s="195">
        <v>6.5143719999999998</v>
      </c>
      <c r="M2189" s="195" t="s">
        <v>1026</v>
      </c>
      <c r="N2189" s="195" t="s">
        <v>117</v>
      </c>
      <c r="O2189" s="199"/>
      <c r="P2189" s="188"/>
      <c r="Q2189" s="174">
        <f>IF(ISNUMBER(VLOOKUP(A2189,NotghiID!A:A,1,FALSE)),1,0)</f>
        <v>0</v>
      </c>
    </row>
    <row r="2190" spans="1:17" ht="14.25" x14ac:dyDescent="0.2">
      <c r="A2190" s="183">
        <v>117</v>
      </c>
      <c r="B2190" s="232" t="str">
        <f>IF(AND(A2190&lt;&gt;"",ISNUMBER(A2190)),VLOOKUP(A2190,Studies!A:BR,2,FALSE),"")</f>
        <v>Chung 2006</v>
      </c>
      <c r="C2190" s="232" t="str">
        <f>IF(AND(A2190&lt;&gt;"",ISNUMBER(A2190)),VLOOKUP(A2190,Studies!A:BR,3,FALSE),"")</f>
        <v>https://www.ncbi.nlm.nih.gov/pubmed/16580903</v>
      </c>
      <c r="D2190" s="232" t="str">
        <f>IF(AND(A2190&lt;&gt;"",ISNUMBER(A2190)),VLOOKUP(A2190,Studies!A:BR,4,FALSE),"")</f>
        <v>with Perpetrator (Ketoconazole)</v>
      </c>
      <c r="E2190" s="206" t="str">
        <f>IF(AND(A2190&lt;&gt;"",ISNUMBER(A2190)),VLOOKUP(A2190,Studies!A:BR,5,FALSE),"")</f>
        <v>Simvastatin</v>
      </c>
      <c r="F2190" s="207" t="str">
        <f>IF(AND(A2190&lt;&gt;"",ISNUMBER(A2190)),VLOOKUP(A2190,Studies!A:BR,6,FALSE),"")</f>
        <v>Plasma</v>
      </c>
      <c r="G2190" s="194">
        <v>202</v>
      </c>
      <c r="H2190" s="194" t="s">
        <v>60</v>
      </c>
      <c r="I2190" s="187">
        <v>12.491580000000001</v>
      </c>
      <c r="J2190" s="187" t="s">
        <v>1026</v>
      </c>
      <c r="K2190" s="187" t="s">
        <v>116</v>
      </c>
      <c r="L2190" s="195">
        <v>4.6764710000000003</v>
      </c>
      <c r="M2190" s="195" t="s">
        <v>1026</v>
      </c>
      <c r="N2190" s="195" t="s">
        <v>117</v>
      </c>
      <c r="O2190" s="199"/>
      <c r="P2190" s="188"/>
      <c r="Q2190" s="174">
        <f>IF(ISNUMBER(VLOOKUP(A2190,NotghiID!A:A,1,FALSE)),1,0)</f>
        <v>0</v>
      </c>
    </row>
    <row r="2191" spans="1:17" ht="14.25" x14ac:dyDescent="0.2">
      <c r="A2191" s="183">
        <v>117</v>
      </c>
      <c r="B2191" s="232" t="str">
        <f>IF(AND(A2191&lt;&gt;"",ISNUMBER(A2191)),VLOOKUP(A2191,Studies!A:BR,2,FALSE),"")</f>
        <v>Chung 2006</v>
      </c>
      <c r="C2191" s="232" t="str">
        <f>IF(AND(A2191&lt;&gt;"",ISNUMBER(A2191)),VLOOKUP(A2191,Studies!A:BR,3,FALSE),"")</f>
        <v>https://www.ncbi.nlm.nih.gov/pubmed/16580903</v>
      </c>
      <c r="D2191" s="232" t="str">
        <f>IF(AND(A2191&lt;&gt;"",ISNUMBER(A2191)),VLOOKUP(A2191,Studies!A:BR,4,FALSE),"")</f>
        <v>with Perpetrator (Ketoconazole)</v>
      </c>
      <c r="E2191" s="206" t="str">
        <f>IF(AND(A2191&lt;&gt;"",ISNUMBER(A2191)),VLOOKUP(A2191,Studies!A:BR,5,FALSE),"")</f>
        <v>Simvastatin</v>
      </c>
      <c r="F2191" s="207" t="str">
        <f>IF(AND(A2191&lt;&gt;"",ISNUMBER(A2191)),VLOOKUP(A2191,Studies!A:BR,6,FALSE),"")</f>
        <v>Plasma</v>
      </c>
      <c r="G2191" s="194">
        <v>214</v>
      </c>
      <c r="H2191" s="194" t="s">
        <v>60</v>
      </c>
      <c r="I2191" s="187">
        <v>5.4436109999999998</v>
      </c>
      <c r="J2191" s="187" t="s">
        <v>1026</v>
      </c>
      <c r="K2191" s="187" t="s">
        <v>116</v>
      </c>
      <c r="L2191" s="195">
        <v>3.0070139999999999</v>
      </c>
      <c r="M2191" s="195" t="s">
        <v>1026</v>
      </c>
      <c r="N2191" s="195" t="s">
        <v>117</v>
      </c>
      <c r="O2191" s="199"/>
      <c r="P2191" s="188"/>
      <c r="Q2191" s="174">
        <f>IF(ISNUMBER(VLOOKUP(A2191,NotghiID!A:A,1,FALSE)),1,0)</f>
        <v>0</v>
      </c>
    </row>
    <row r="2192" spans="1:17" ht="14.25" x14ac:dyDescent="0.2">
      <c r="A2192" s="183">
        <v>117</v>
      </c>
      <c r="B2192" s="232" t="str">
        <f>IF(AND(A2192&lt;&gt;"",ISNUMBER(A2192)),VLOOKUP(A2192,Studies!A:BR,2,FALSE),"")</f>
        <v>Chung 2006</v>
      </c>
      <c r="C2192" s="232" t="str">
        <f>IF(AND(A2192&lt;&gt;"",ISNUMBER(A2192)),VLOOKUP(A2192,Studies!A:BR,3,FALSE),"")</f>
        <v>https://www.ncbi.nlm.nih.gov/pubmed/16580903</v>
      </c>
      <c r="D2192" s="232" t="str">
        <f>IF(AND(A2192&lt;&gt;"",ISNUMBER(A2192)),VLOOKUP(A2192,Studies!A:BR,4,FALSE),"")</f>
        <v>with Perpetrator (Ketoconazole)</v>
      </c>
      <c r="E2192" s="206" t="str">
        <f>IF(AND(A2192&lt;&gt;"",ISNUMBER(A2192)),VLOOKUP(A2192,Studies!A:BR,5,FALSE),"")</f>
        <v>Simvastatin</v>
      </c>
      <c r="F2192" s="207" t="str">
        <f>IF(AND(A2192&lt;&gt;"",ISNUMBER(A2192)),VLOOKUP(A2192,Studies!A:BR,6,FALSE),"")</f>
        <v>Plasma</v>
      </c>
      <c r="G2192" s="194">
        <v>220</v>
      </c>
      <c r="H2192" s="194" t="s">
        <v>60</v>
      </c>
      <c r="I2192" s="187">
        <v>5.1775219999999997</v>
      </c>
      <c r="J2192" s="187" t="s">
        <v>1026</v>
      </c>
      <c r="K2192" s="187" t="s">
        <v>116</v>
      </c>
      <c r="L2192" s="195">
        <v>2.6719140000000001</v>
      </c>
      <c r="M2192" s="195" t="s">
        <v>1026</v>
      </c>
      <c r="N2192" s="195" t="s">
        <v>117</v>
      </c>
      <c r="O2192" s="199"/>
      <c r="P2192" s="188"/>
      <c r="Q2192" s="174">
        <f>IF(ISNUMBER(VLOOKUP(A2192,NotghiID!A:A,1,FALSE)),1,0)</f>
        <v>0</v>
      </c>
    </row>
    <row r="2193" spans="1:17" ht="14.25" x14ac:dyDescent="0.2">
      <c r="A2193" s="183">
        <v>392</v>
      </c>
      <c r="B2193" s="232" t="str">
        <f>IF(AND(A2193&lt;&gt;"",ISNUMBER(A2193)),VLOOKUP(A2193,Studies!A:BR,2,FALSE),"")</f>
        <v>Reitman 2011</v>
      </c>
      <c r="C2193" s="232" t="str">
        <f>IF(AND(A2193&lt;&gt;"",ISNUMBER(A2193)),VLOOKUP(A2193,Studies!A:BR,3,FALSE),"")</f>
        <v>https://www.ncbi.nlm.nih.gov/pubmed/21191377</v>
      </c>
      <c r="D2193" s="232" t="str">
        <f>IF(AND(A2193&lt;&gt;"",ISNUMBER(A2193)),VLOOKUP(A2193,Studies!A:BR,4,FALSE),"")</f>
        <v>Week 0 after Perpetrator (Rifampicin)</v>
      </c>
      <c r="E2193" s="206" t="str">
        <f>IF(AND(A2193&lt;&gt;"",ISNUMBER(A2193)),VLOOKUP(A2193,Studies!A:BR,5,FALSE),"")</f>
        <v>Midazolam</v>
      </c>
      <c r="F2193" s="207" t="str">
        <f>IF(AND(A2193&lt;&gt;"",ISNUMBER(A2193)),VLOOKUP(A2193,Studies!A:BR,6,FALSE),"")</f>
        <v>Plasma</v>
      </c>
      <c r="G2193" s="194">
        <v>649</v>
      </c>
      <c r="H2193" s="194" t="s">
        <v>60</v>
      </c>
      <c r="I2193" s="187">
        <v>1.4495192766189575</v>
      </c>
      <c r="J2193" s="187" t="s">
        <v>1026</v>
      </c>
      <c r="K2193" s="187" t="s">
        <v>116</v>
      </c>
      <c r="L2193" s="195"/>
      <c r="M2193" s="195"/>
      <c r="N2193" s="195"/>
      <c r="O2193" s="199"/>
      <c r="P2193" s="188"/>
      <c r="Q2193" s="174">
        <f>IF(ISNUMBER(VLOOKUP(A2193,NotghiID!A:A,1,FALSE)),1,0)</f>
        <v>0</v>
      </c>
    </row>
    <row r="2194" spans="1:17" ht="14.25" x14ac:dyDescent="0.2">
      <c r="A2194" s="183">
        <v>392</v>
      </c>
      <c r="B2194" s="232" t="str">
        <f>IF(AND(A2194&lt;&gt;"",ISNUMBER(A2194)),VLOOKUP(A2194,Studies!A:BR,2,FALSE),"")</f>
        <v>Reitman 2011</v>
      </c>
      <c r="C2194" s="232" t="str">
        <f>IF(AND(A2194&lt;&gt;"",ISNUMBER(A2194)),VLOOKUP(A2194,Studies!A:BR,3,FALSE),"")</f>
        <v>https://www.ncbi.nlm.nih.gov/pubmed/21191377</v>
      </c>
      <c r="D2194" s="232" t="str">
        <f>IF(AND(A2194&lt;&gt;"",ISNUMBER(A2194)),VLOOKUP(A2194,Studies!A:BR,4,FALSE),"")</f>
        <v>Week 0 after Perpetrator (Rifampicin)</v>
      </c>
      <c r="E2194" s="206" t="str">
        <f>IF(AND(A2194&lt;&gt;"",ISNUMBER(A2194)),VLOOKUP(A2194,Studies!A:BR,5,FALSE),"")</f>
        <v>Midazolam</v>
      </c>
      <c r="F2194" s="207" t="str">
        <f>IF(AND(A2194&lt;&gt;"",ISNUMBER(A2194)),VLOOKUP(A2194,Studies!A:BR,6,FALSE),"")</f>
        <v>Plasma</v>
      </c>
      <c r="G2194" s="194">
        <v>650</v>
      </c>
      <c r="H2194" s="194" t="s">
        <v>60</v>
      </c>
      <c r="I2194" s="187">
        <v>0.69230771064758301</v>
      </c>
      <c r="J2194" s="187" t="s">
        <v>1026</v>
      </c>
      <c r="K2194" s="187" t="s">
        <v>116</v>
      </c>
      <c r="L2194" s="195"/>
      <c r="M2194" s="195"/>
      <c r="N2194" s="195"/>
      <c r="O2194" s="199"/>
      <c r="P2194" s="188"/>
      <c r="Q2194" s="174">
        <f>IF(ISNUMBER(VLOOKUP(A2194,NotghiID!A:A,1,FALSE)),1,0)</f>
        <v>0</v>
      </c>
    </row>
    <row r="2195" spans="1:17" ht="14.25" x14ac:dyDescent="0.2">
      <c r="A2195" s="183">
        <v>392</v>
      </c>
      <c r="B2195" s="232" t="str">
        <f>IF(AND(A2195&lt;&gt;"",ISNUMBER(A2195)),VLOOKUP(A2195,Studies!A:BR,2,FALSE),"")</f>
        <v>Reitman 2011</v>
      </c>
      <c r="C2195" s="232" t="str">
        <f>IF(AND(A2195&lt;&gt;"",ISNUMBER(A2195)),VLOOKUP(A2195,Studies!A:BR,3,FALSE),"")</f>
        <v>https://www.ncbi.nlm.nih.gov/pubmed/21191377</v>
      </c>
      <c r="D2195" s="232" t="str">
        <f>IF(AND(A2195&lt;&gt;"",ISNUMBER(A2195)),VLOOKUP(A2195,Studies!A:BR,4,FALSE),"")</f>
        <v>Week 0 after Perpetrator (Rifampicin)</v>
      </c>
      <c r="E2195" s="206" t="str">
        <f>IF(AND(A2195&lt;&gt;"",ISNUMBER(A2195)),VLOOKUP(A2195,Studies!A:BR,5,FALSE),"")</f>
        <v>Midazolam</v>
      </c>
      <c r="F2195" s="207" t="str">
        <f>IF(AND(A2195&lt;&gt;"",ISNUMBER(A2195)),VLOOKUP(A2195,Studies!A:BR,6,FALSE),"")</f>
        <v>Plasma</v>
      </c>
      <c r="G2195" s="194">
        <v>652</v>
      </c>
      <c r="H2195" s="194" t="s">
        <v>60</v>
      </c>
      <c r="I2195" s="187">
        <v>0.21634615957736969</v>
      </c>
      <c r="J2195" s="187" t="s">
        <v>1026</v>
      </c>
      <c r="K2195" s="187" t="s">
        <v>116</v>
      </c>
      <c r="L2195" s="195"/>
      <c r="M2195" s="195"/>
      <c r="N2195" s="195"/>
      <c r="O2195" s="199"/>
      <c r="P2195" s="188"/>
      <c r="Q2195" s="174">
        <f>IF(ISNUMBER(VLOOKUP(A2195,NotghiID!A:A,1,FALSE)),1,0)</f>
        <v>0</v>
      </c>
    </row>
    <row r="2196" spans="1:17" ht="14.25" x14ac:dyDescent="0.2">
      <c r="A2196" s="183">
        <v>393</v>
      </c>
      <c r="B2196" s="232" t="str">
        <f>IF(AND(A2196&lt;&gt;"",ISNUMBER(A2196)),VLOOKUP(A2196,Studies!A:BR,2,FALSE),"")</f>
        <v>Reitman 2011</v>
      </c>
      <c r="C2196" s="232" t="str">
        <f>IF(AND(A2196&lt;&gt;"",ISNUMBER(A2196)),VLOOKUP(A2196,Studies!A:BR,3,FALSE),"")</f>
        <v>https://www.ncbi.nlm.nih.gov/pubmed/21191377</v>
      </c>
      <c r="D2196" s="232" t="str">
        <f>IF(AND(A2196&lt;&gt;"",ISNUMBER(A2196)),VLOOKUP(A2196,Studies!A:BR,4,FALSE),"")</f>
        <v>Week 1 after Perpetrator (Rifampicin)</v>
      </c>
      <c r="E2196" s="206" t="str">
        <f>IF(AND(A2196&lt;&gt;"",ISNUMBER(A2196)),VLOOKUP(A2196,Studies!A:BR,5,FALSE),"")</f>
        <v>Midazolam</v>
      </c>
      <c r="F2196" s="207" t="str">
        <f>IF(AND(A2196&lt;&gt;"",ISNUMBER(A2196)),VLOOKUP(A2196,Studies!A:BR,6,FALSE),"")</f>
        <v>Plasma</v>
      </c>
      <c r="G2196" s="194">
        <v>817</v>
      </c>
      <c r="H2196" s="194" t="s">
        <v>60</v>
      </c>
      <c r="I2196" s="187">
        <v>3.526442289352417</v>
      </c>
      <c r="J2196" s="187" t="s">
        <v>1026</v>
      </c>
      <c r="K2196" s="187" t="s">
        <v>116</v>
      </c>
      <c r="L2196" s="195"/>
      <c r="M2196" s="195"/>
      <c r="N2196" s="195"/>
      <c r="O2196" s="199"/>
      <c r="P2196" s="188"/>
      <c r="Q2196" s="174">
        <f>IF(ISNUMBER(VLOOKUP(A2196,NotghiID!A:A,1,FALSE)),1,0)</f>
        <v>0</v>
      </c>
    </row>
    <row r="2197" spans="1:17" ht="14.25" x14ac:dyDescent="0.2">
      <c r="A2197" s="183">
        <v>393</v>
      </c>
      <c r="B2197" s="232" t="str">
        <f>IF(AND(A2197&lt;&gt;"",ISNUMBER(A2197)),VLOOKUP(A2197,Studies!A:BR,2,FALSE),"")</f>
        <v>Reitman 2011</v>
      </c>
      <c r="C2197" s="232" t="str">
        <f>IF(AND(A2197&lt;&gt;"",ISNUMBER(A2197)),VLOOKUP(A2197,Studies!A:BR,3,FALSE),"")</f>
        <v>https://www.ncbi.nlm.nih.gov/pubmed/21191377</v>
      </c>
      <c r="D2197" s="232" t="str">
        <f>IF(AND(A2197&lt;&gt;"",ISNUMBER(A2197)),VLOOKUP(A2197,Studies!A:BR,4,FALSE),"")</f>
        <v>Week 1 after Perpetrator (Rifampicin)</v>
      </c>
      <c r="E2197" s="206" t="str">
        <f>IF(AND(A2197&lt;&gt;"",ISNUMBER(A2197)),VLOOKUP(A2197,Studies!A:BR,5,FALSE),"")</f>
        <v>Midazolam</v>
      </c>
      <c r="F2197" s="207" t="str">
        <f>IF(AND(A2197&lt;&gt;"",ISNUMBER(A2197)),VLOOKUP(A2197,Studies!A:BR,6,FALSE),"")</f>
        <v>Plasma</v>
      </c>
      <c r="G2197" s="194">
        <v>818</v>
      </c>
      <c r="H2197" s="194" t="s">
        <v>60</v>
      </c>
      <c r="I2197" s="187">
        <v>1.925480842590332</v>
      </c>
      <c r="J2197" s="187" t="s">
        <v>1026</v>
      </c>
      <c r="K2197" s="187" t="s">
        <v>116</v>
      </c>
      <c r="L2197" s="195"/>
      <c r="M2197" s="195"/>
      <c r="N2197" s="195"/>
      <c r="O2197" s="199"/>
      <c r="P2197" s="188"/>
      <c r="Q2197" s="174">
        <f>IF(ISNUMBER(VLOOKUP(A2197,NotghiID!A:A,1,FALSE)),1,0)</f>
        <v>0</v>
      </c>
    </row>
    <row r="2198" spans="1:17" ht="14.25" x14ac:dyDescent="0.2">
      <c r="A2198" s="183">
        <v>393</v>
      </c>
      <c r="B2198" s="232" t="str">
        <f>IF(AND(A2198&lt;&gt;"",ISNUMBER(A2198)),VLOOKUP(A2198,Studies!A:BR,2,FALSE),"")</f>
        <v>Reitman 2011</v>
      </c>
      <c r="C2198" s="232" t="str">
        <f>IF(AND(A2198&lt;&gt;"",ISNUMBER(A2198)),VLOOKUP(A2198,Studies!A:BR,3,FALSE),"")</f>
        <v>https://www.ncbi.nlm.nih.gov/pubmed/21191377</v>
      </c>
      <c r="D2198" s="232" t="str">
        <f>IF(AND(A2198&lt;&gt;"",ISNUMBER(A2198)),VLOOKUP(A2198,Studies!A:BR,4,FALSE),"")</f>
        <v>Week 1 after Perpetrator (Rifampicin)</v>
      </c>
      <c r="E2198" s="206" t="str">
        <f>IF(AND(A2198&lt;&gt;"",ISNUMBER(A2198)),VLOOKUP(A2198,Studies!A:BR,5,FALSE),"")</f>
        <v>Midazolam</v>
      </c>
      <c r="F2198" s="207" t="str">
        <f>IF(AND(A2198&lt;&gt;"",ISNUMBER(A2198)),VLOOKUP(A2198,Studies!A:BR,6,FALSE),"")</f>
        <v>Plasma</v>
      </c>
      <c r="G2198" s="194">
        <v>820</v>
      </c>
      <c r="H2198" s="194" t="s">
        <v>60</v>
      </c>
      <c r="I2198" s="187">
        <v>0.69230771064758301</v>
      </c>
      <c r="J2198" s="187" t="s">
        <v>1026</v>
      </c>
      <c r="K2198" s="187" t="s">
        <v>116</v>
      </c>
      <c r="L2198" s="195"/>
      <c r="M2198" s="195"/>
      <c r="N2198" s="195"/>
      <c r="O2198" s="199"/>
      <c r="P2198" s="188"/>
      <c r="Q2198" s="174">
        <f>IF(ISNUMBER(VLOOKUP(A2198,NotghiID!A:A,1,FALSE)),1,0)</f>
        <v>0</v>
      </c>
    </row>
    <row r="2199" spans="1:17" ht="14.25" x14ac:dyDescent="0.2">
      <c r="A2199" s="183">
        <v>393</v>
      </c>
      <c r="B2199" s="232" t="str">
        <f>IF(AND(A2199&lt;&gt;"",ISNUMBER(A2199)),VLOOKUP(A2199,Studies!A:BR,2,FALSE),"")</f>
        <v>Reitman 2011</v>
      </c>
      <c r="C2199" s="232" t="str">
        <f>IF(AND(A2199&lt;&gt;"",ISNUMBER(A2199)),VLOOKUP(A2199,Studies!A:BR,3,FALSE),"")</f>
        <v>https://www.ncbi.nlm.nih.gov/pubmed/21191377</v>
      </c>
      <c r="D2199" s="232" t="str">
        <f>IF(AND(A2199&lt;&gt;"",ISNUMBER(A2199)),VLOOKUP(A2199,Studies!A:BR,4,FALSE),"")</f>
        <v>Week 1 after Perpetrator (Rifampicin)</v>
      </c>
      <c r="E2199" s="206" t="str">
        <f>IF(AND(A2199&lt;&gt;"",ISNUMBER(A2199)),VLOOKUP(A2199,Studies!A:BR,5,FALSE),"")</f>
        <v>Midazolam</v>
      </c>
      <c r="F2199" s="207" t="str">
        <f>IF(AND(A2199&lt;&gt;"",ISNUMBER(A2199)),VLOOKUP(A2199,Studies!A:BR,6,FALSE),"")</f>
        <v>Plasma</v>
      </c>
      <c r="G2199" s="194">
        <v>822</v>
      </c>
      <c r="H2199" s="194" t="s">
        <v>60</v>
      </c>
      <c r="I2199" s="187">
        <v>0.28125</v>
      </c>
      <c r="J2199" s="187" t="s">
        <v>1026</v>
      </c>
      <c r="K2199" s="187" t="s">
        <v>116</v>
      </c>
      <c r="L2199" s="195"/>
      <c r="M2199" s="195"/>
      <c r="N2199" s="195"/>
      <c r="O2199" s="199"/>
      <c r="P2199" s="188"/>
      <c r="Q2199" s="174">
        <f>IF(ISNUMBER(VLOOKUP(A2199,NotghiID!A:A,1,FALSE)),1,0)</f>
        <v>0</v>
      </c>
    </row>
    <row r="2200" spans="1:17" ht="14.25" x14ac:dyDescent="0.2">
      <c r="A2200" s="183">
        <v>394</v>
      </c>
      <c r="B2200" s="232" t="str">
        <f>IF(AND(A2200&lt;&gt;"",ISNUMBER(A2200)),VLOOKUP(A2200,Studies!A:BR,2,FALSE),"")</f>
        <v>Reitman 2011</v>
      </c>
      <c r="C2200" s="232" t="str">
        <f>IF(AND(A2200&lt;&gt;"",ISNUMBER(A2200)),VLOOKUP(A2200,Studies!A:BR,3,FALSE),"")</f>
        <v>https://www.ncbi.nlm.nih.gov/pubmed/21191377</v>
      </c>
      <c r="D2200" s="232" t="str">
        <f>IF(AND(A2200&lt;&gt;"",ISNUMBER(A2200)),VLOOKUP(A2200,Studies!A:BR,4,FALSE),"")</f>
        <v>Week 2 after Perpetrator (Rifampicin)</v>
      </c>
      <c r="E2200" s="206" t="str">
        <f>IF(AND(A2200&lt;&gt;"",ISNUMBER(A2200)),VLOOKUP(A2200,Studies!A:BR,5,FALSE),"")</f>
        <v>Midazolam</v>
      </c>
      <c r="F2200" s="207" t="str">
        <f>IF(AND(A2200&lt;&gt;"",ISNUMBER(A2200)),VLOOKUP(A2200,Studies!A:BR,6,FALSE),"")</f>
        <v>Plasma</v>
      </c>
      <c r="G2200" s="194">
        <v>985</v>
      </c>
      <c r="H2200" s="194" t="s">
        <v>60</v>
      </c>
      <c r="I2200" s="187">
        <v>6.1875</v>
      </c>
      <c r="J2200" s="187" t="s">
        <v>1026</v>
      </c>
      <c r="K2200" s="187" t="s">
        <v>116</v>
      </c>
      <c r="L2200" s="195"/>
      <c r="M2200" s="195"/>
      <c r="N2200" s="195"/>
      <c r="O2200" s="199"/>
      <c r="P2200" s="188"/>
      <c r="Q2200" s="174">
        <f>IF(ISNUMBER(VLOOKUP(A2200,NotghiID!A:A,1,FALSE)),1,0)</f>
        <v>0</v>
      </c>
    </row>
    <row r="2201" spans="1:17" ht="14.25" x14ac:dyDescent="0.2">
      <c r="A2201" s="183">
        <v>394</v>
      </c>
      <c r="B2201" s="232" t="str">
        <f>IF(AND(A2201&lt;&gt;"",ISNUMBER(A2201)),VLOOKUP(A2201,Studies!A:BR,2,FALSE),"")</f>
        <v>Reitman 2011</v>
      </c>
      <c r="C2201" s="232" t="str">
        <f>IF(AND(A2201&lt;&gt;"",ISNUMBER(A2201)),VLOOKUP(A2201,Studies!A:BR,3,FALSE),"")</f>
        <v>https://www.ncbi.nlm.nih.gov/pubmed/21191377</v>
      </c>
      <c r="D2201" s="232" t="str">
        <f>IF(AND(A2201&lt;&gt;"",ISNUMBER(A2201)),VLOOKUP(A2201,Studies!A:BR,4,FALSE),"")</f>
        <v>Week 2 after Perpetrator (Rifampicin)</v>
      </c>
      <c r="E2201" s="206" t="str">
        <f>IF(AND(A2201&lt;&gt;"",ISNUMBER(A2201)),VLOOKUP(A2201,Studies!A:BR,5,FALSE),"")</f>
        <v>Midazolam</v>
      </c>
      <c r="F2201" s="207" t="str">
        <f>IF(AND(A2201&lt;&gt;"",ISNUMBER(A2201)),VLOOKUP(A2201,Studies!A:BR,6,FALSE),"")</f>
        <v>Plasma</v>
      </c>
      <c r="G2201" s="194">
        <v>986</v>
      </c>
      <c r="H2201" s="194" t="s">
        <v>60</v>
      </c>
      <c r="I2201" s="187">
        <v>3.612980842590332</v>
      </c>
      <c r="J2201" s="187" t="s">
        <v>1026</v>
      </c>
      <c r="K2201" s="187" t="s">
        <v>116</v>
      </c>
      <c r="L2201" s="195"/>
      <c r="M2201" s="195"/>
      <c r="N2201" s="195"/>
      <c r="O2201" s="199"/>
      <c r="P2201" s="188"/>
      <c r="Q2201" s="174">
        <f>IF(ISNUMBER(VLOOKUP(A2201,NotghiID!A:A,1,FALSE)),1,0)</f>
        <v>0</v>
      </c>
    </row>
    <row r="2202" spans="1:17" ht="14.25" x14ac:dyDescent="0.2">
      <c r="A2202" s="183">
        <v>394</v>
      </c>
      <c r="B2202" s="232" t="str">
        <f>IF(AND(A2202&lt;&gt;"",ISNUMBER(A2202)),VLOOKUP(A2202,Studies!A:BR,2,FALSE),"")</f>
        <v>Reitman 2011</v>
      </c>
      <c r="C2202" s="232" t="str">
        <f>IF(AND(A2202&lt;&gt;"",ISNUMBER(A2202)),VLOOKUP(A2202,Studies!A:BR,3,FALSE),"")</f>
        <v>https://www.ncbi.nlm.nih.gov/pubmed/21191377</v>
      </c>
      <c r="D2202" s="232" t="str">
        <f>IF(AND(A2202&lt;&gt;"",ISNUMBER(A2202)),VLOOKUP(A2202,Studies!A:BR,4,FALSE),"")</f>
        <v>Week 2 after Perpetrator (Rifampicin)</v>
      </c>
      <c r="E2202" s="206" t="str">
        <f>IF(AND(A2202&lt;&gt;"",ISNUMBER(A2202)),VLOOKUP(A2202,Studies!A:BR,5,FALSE),"")</f>
        <v>Midazolam</v>
      </c>
      <c r="F2202" s="207" t="str">
        <f>IF(AND(A2202&lt;&gt;"",ISNUMBER(A2202)),VLOOKUP(A2202,Studies!A:BR,6,FALSE),"")</f>
        <v>Plasma</v>
      </c>
      <c r="G2202" s="194">
        <v>988</v>
      </c>
      <c r="H2202" s="194" t="s">
        <v>60</v>
      </c>
      <c r="I2202" s="187">
        <v>1.4278846979141235</v>
      </c>
      <c r="J2202" s="187" t="s">
        <v>1026</v>
      </c>
      <c r="K2202" s="187" t="s">
        <v>116</v>
      </c>
      <c r="L2202" s="195"/>
      <c r="M2202" s="195"/>
      <c r="N2202" s="195"/>
      <c r="O2202" s="199"/>
      <c r="P2202" s="188"/>
      <c r="Q2202" s="174">
        <f>IF(ISNUMBER(VLOOKUP(A2202,NotghiID!A:A,1,FALSE)),1,0)</f>
        <v>0</v>
      </c>
    </row>
    <row r="2203" spans="1:17" ht="14.25" x14ac:dyDescent="0.2">
      <c r="A2203" s="183">
        <v>394</v>
      </c>
      <c r="B2203" s="232" t="str">
        <f>IF(AND(A2203&lt;&gt;"",ISNUMBER(A2203)),VLOOKUP(A2203,Studies!A:BR,2,FALSE),"")</f>
        <v>Reitman 2011</v>
      </c>
      <c r="C2203" s="232" t="str">
        <f>IF(AND(A2203&lt;&gt;"",ISNUMBER(A2203)),VLOOKUP(A2203,Studies!A:BR,3,FALSE),"")</f>
        <v>https://www.ncbi.nlm.nih.gov/pubmed/21191377</v>
      </c>
      <c r="D2203" s="232" t="str">
        <f>IF(AND(A2203&lt;&gt;"",ISNUMBER(A2203)),VLOOKUP(A2203,Studies!A:BR,4,FALSE),"")</f>
        <v>Week 2 after Perpetrator (Rifampicin)</v>
      </c>
      <c r="E2203" s="206" t="str">
        <f>IF(AND(A2203&lt;&gt;"",ISNUMBER(A2203)),VLOOKUP(A2203,Studies!A:BR,5,FALSE),"")</f>
        <v>Midazolam</v>
      </c>
      <c r="F2203" s="207" t="str">
        <f>IF(AND(A2203&lt;&gt;"",ISNUMBER(A2203)),VLOOKUP(A2203,Studies!A:BR,6,FALSE),"")</f>
        <v>Plasma</v>
      </c>
      <c r="G2203" s="194">
        <v>990</v>
      </c>
      <c r="H2203" s="194" t="s">
        <v>60</v>
      </c>
      <c r="I2203" s="187">
        <v>0.69230771064758301</v>
      </c>
      <c r="J2203" s="187" t="s">
        <v>1026</v>
      </c>
      <c r="K2203" s="187" t="s">
        <v>116</v>
      </c>
      <c r="L2203" s="195"/>
      <c r="M2203" s="195"/>
      <c r="N2203" s="195"/>
      <c r="O2203" s="199"/>
      <c r="P2203" s="188"/>
      <c r="Q2203" s="174">
        <f>IF(ISNUMBER(VLOOKUP(A2203,NotghiID!A:A,1,FALSE)),1,0)</f>
        <v>0</v>
      </c>
    </row>
    <row r="2204" spans="1:17" ht="14.25" x14ac:dyDescent="0.2">
      <c r="A2204" s="183">
        <v>394</v>
      </c>
      <c r="B2204" s="232" t="str">
        <f>IF(AND(A2204&lt;&gt;"",ISNUMBER(A2204)),VLOOKUP(A2204,Studies!A:BR,2,FALSE),"")</f>
        <v>Reitman 2011</v>
      </c>
      <c r="C2204" s="232" t="str">
        <f>IF(AND(A2204&lt;&gt;"",ISNUMBER(A2204)),VLOOKUP(A2204,Studies!A:BR,3,FALSE),"")</f>
        <v>https://www.ncbi.nlm.nih.gov/pubmed/21191377</v>
      </c>
      <c r="D2204" s="232" t="str">
        <f>IF(AND(A2204&lt;&gt;"",ISNUMBER(A2204)),VLOOKUP(A2204,Studies!A:BR,4,FALSE),"")</f>
        <v>Week 2 after Perpetrator (Rifampicin)</v>
      </c>
      <c r="E2204" s="206" t="str">
        <f>IF(AND(A2204&lt;&gt;"",ISNUMBER(A2204)),VLOOKUP(A2204,Studies!A:BR,5,FALSE),"")</f>
        <v>Midazolam</v>
      </c>
      <c r="F2204" s="207" t="str">
        <f>IF(AND(A2204&lt;&gt;"",ISNUMBER(A2204)),VLOOKUP(A2204,Studies!A:BR,6,FALSE),"")</f>
        <v>Plasma</v>
      </c>
      <c r="G2204" s="194">
        <v>992</v>
      </c>
      <c r="H2204" s="194" t="s">
        <v>60</v>
      </c>
      <c r="I2204" s="187">
        <v>0.43269231915473938</v>
      </c>
      <c r="J2204" s="187" t="s">
        <v>1026</v>
      </c>
      <c r="K2204" s="187" t="s">
        <v>116</v>
      </c>
      <c r="L2204" s="195"/>
      <c r="M2204" s="195"/>
      <c r="N2204" s="195"/>
      <c r="O2204" s="199"/>
      <c r="P2204" s="188"/>
      <c r="Q2204" s="174">
        <f>IF(ISNUMBER(VLOOKUP(A2204,NotghiID!A:A,1,FALSE)),1,0)</f>
        <v>0</v>
      </c>
    </row>
    <row r="2205" spans="1:17" ht="14.25" x14ac:dyDescent="0.2">
      <c r="A2205" s="183">
        <v>395</v>
      </c>
      <c r="B2205" s="232" t="str">
        <f>IF(AND(A2205&lt;&gt;"",ISNUMBER(A2205)),VLOOKUP(A2205,Studies!A:BR,2,FALSE),"")</f>
        <v>Reitman 2011</v>
      </c>
      <c r="C2205" s="232" t="str">
        <f>IF(AND(A2205&lt;&gt;"",ISNUMBER(A2205)),VLOOKUP(A2205,Studies!A:BR,3,FALSE),"")</f>
        <v>https://www.ncbi.nlm.nih.gov/pubmed/21191377</v>
      </c>
      <c r="D2205" s="232" t="str">
        <f>IF(AND(A2205&lt;&gt;"",ISNUMBER(A2205)),VLOOKUP(A2205,Studies!A:BR,4,FALSE),"")</f>
        <v>Week 4 after Perpetrator (Rifampicin)</v>
      </c>
      <c r="E2205" s="206" t="str">
        <f>IF(AND(A2205&lt;&gt;"",ISNUMBER(A2205)),VLOOKUP(A2205,Studies!A:BR,5,FALSE),"")</f>
        <v>Midazolam</v>
      </c>
      <c r="F2205" s="207" t="str">
        <f>IF(AND(A2205&lt;&gt;"",ISNUMBER(A2205)),VLOOKUP(A2205,Studies!A:BR,6,FALSE),"")</f>
        <v>Plasma</v>
      </c>
      <c r="G2205" s="194">
        <v>1321</v>
      </c>
      <c r="H2205" s="194" t="s">
        <v>60</v>
      </c>
      <c r="I2205" s="187">
        <v>8.4158658981323242</v>
      </c>
      <c r="J2205" s="187" t="s">
        <v>1026</v>
      </c>
      <c r="K2205" s="187" t="s">
        <v>116</v>
      </c>
      <c r="L2205" s="195"/>
      <c r="M2205" s="195"/>
      <c r="N2205" s="195"/>
      <c r="O2205" s="199"/>
      <c r="P2205" s="188"/>
      <c r="Q2205" s="174">
        <f>IF(ISNUMBER(VLOOKUP(A2205,NotghiID!A:A,1,FALSE)),1,0)</f>
        <v>0</v>
      </c>
    </row>
    <row r="2206" spans="1:17" ht="14.25" x14ac:dyDescent="0.2">
      <c r="A2206" s="183">
        <v>395</v>
      </c>
      <c r="B2206" s="232" t="str">
        <f>IF(AND(A2206&lt;&gt;"",ISNUMBER(A2206)),VLOOKUP(A2206,Studies!A:BR,2,FALSE),"")</f>
        <v>Reitman 2011</v>
      </c>
      <c r="C2206" s="232" t="str">
        <f>IF(AND(A2206&lt;&gt;"",ISNUMBER(A2206)),VLOOKUP(A2206,Studies!A:BR,3,FALSE),"")</f>
        <v>https://www.ncbi.nlm.nih.gov/pubmed/21191377</v>
      </c>
      <c r="D2206" s="232" t="str">
        <f>IF(AND(A2206&lt;&gt;"",ISNUMBER(A2206)),VLOOKUP(A2206,Studies!A:BR,4,FALSE),"")</f>
        <v>Week 4 after Perpetrator (Rifampicin)</v>
      </c>
      <c r="E2206" s="206" t="str">
        <f>IF(AND(A2206&lt;&gt;"",ISNUMBER(A2206)),VLOOKUP(A2206,Studies!A:BR,5,FALSE),"")</f>
        <v>Midazolam</v>
      </c>
      <c r="F2206" s="207" t="str">
        <f>IF(AND(A2206&lt;&gt;"",ISNUMBER(A2206)),VLOOKUP(A2206,Studies!A:BR,6,FALSE),"")</f>
        <v>Plasma</v>
      </c>
      <c r="G2206" s="194">
        <v>1322</v>
      </c>
      <c r="H2206" s="194" t="s">
        <v>60</v>
      </c>
      <c r="I2206" s="187">
        <v>4.5</v>
      </c>
      <c r="J2206" s="187" t="s">
        <v>1026</v>
      </c>
      <c r="K2206" s="187" t="s">
        <v>116</v>
      </c>
      <c r="L2206" s="195"/>
      <c r="M2206" s="195"/>
      <c r="N2206" s="195"/>
      <c r="O2206" s="199"/>
      <c r="P2206" s="188"/>
      <c r="Q2206" s="174">
        <f>IF(ISNUMBER(VLOOKUP(A2206,NotghiID!A:A,1,FALSE)),1,0)</f>
        <v>0</v>
      </c>
    </row>
    <row r="2207" spans="1:17" ht="14.25" x14ac:dyDescent="0.2">
      <c r="A2207" s="183">
        <v>395</v>
      </c>
      <c r="B2207" s="232" t="str">
        <f>IF(AND(A2207&lt;&gt;"",ISNUMBER(A2207)),VLOOKUP(A2207,Studies!A:BR,2,FALSE),"")</f>
        <v>Reitman 2011</v>
      </c>
      <c r="C2207" s="232" t="str">
        <f>IF(AND(A2207&lt;&gt;"",ISNUMBER(A2207)),VLOOKUP(A2207,Studies!A:BR,3,FALSE),"")</f>
        <v>https://www.ncbi.nlm.nih.gov/pubmed/21191377</v>
      </c>
      <c r="D2207" s="232" t="str">
        <f>IF(AND(A2207&lt;&gt;"",ISNUMBER(A2207)),VLOOKUP(A2207,Studies!A:BR,4,FALSE),"")</f>
        <v>Week 4 after Perpetrator (Rifampicin)</v>
      </c>
      <c r="E2207" s="206" t="str">
        <f>IF(AND(A2207&lt;&gt;"",ISNUMBER(A2207)),VLOOKUP(A2207,Studies!A:BR,5,FALSE),"")</f>
        <v>Midazolam</v>
      </c>
      <c r="F2207" s="207" t="str">
        <f>IF(AND(A2207&lt;&gt;"",ISNUMBER(A2207)),VLOOKUP(A2207,Studies!A:BR,6,FALSE),"")</f>
        <v>Plasma</v>
      </c>
      <c r="G2207" s="194">
        <v>1324</v>
      </c>
      <c r="H2207" s="194" t="s">
        <v>60</v>
      </c>
      <c r="I2207" s="187">
        <v>1.817307710647583</v>
      </c>
      <c r="J2207" s="187" t="s">
        <v>1026</v>
      </c>
      <c r="K2207" s="187" t="s">
        <v>116</v>
      </c>
      <c r="L2207" s="195"/>
      <c r="M2207" s="195"/>
      <c r="N2207" s="195"/>
      <c r="O2207" s="199"/>
      <c r="P2207" s="188"/>
      <c r="Q2207" s="174">
        <f>IF(ISNUMBER(VLOOKUP(A2207,NotghiID!A:A,1,FALSE)),1,0)</f>
        <v>0</v>
      </c>
    </row>
    <row r="2208" spans="1:17" ht="14.25" x14ac:dyDescent="0.2">
      <c r="A2208" s="183">
        <v>395</v>
      </c>
      <c r="B2208" s="232" t="str">
        <f>IF(AND(A2208&lt;&gt;"",ISNUMBER(A2208)),VLOOKUP(A2208,Studies!A:BR,2,FALSE),"")</f>
        <v>Reitman 2011</v>
      </c>
      <c r="C2208" s="232" t="str">
        <f>IF(AND(A2208&lt;&gt;"",ISNUMBER(A2208)),VLOOKUP(A2208,Studies!A:BR,3,FALSE),"")</f>
        <v>https://www.ncbi.nlm.nih.gov/pubmed/21191377</v>
      </c>
      <c r="D2208" s="232" t="str">
        <f>IF(AND(A2208&lt;&gt;"",ISNUMBER(A2208)),VLOOKUP(A2208,Studies!A:BR,4,FALSE),"")</f>
        <v>Week 4 after Perpetrator (Rifampicin)</v>
      </c>
      <c r="E2208" s="206" t="str">
        <f>IF(AND(A2208&lt;&gt;"",ISNUMBER(A2208)),VLOOKUP(A2208,Studies!A:BR,5,FALSE),"")</f>
        <v>Midazolam</v>
      </c>
      <c r="F2208" s="207" t="str">
        <f>IF(AND(A2208&lt;&gt;"",ISNUMBER(A2208)),VLOOKUP(A2208,Studies!A:BR,6,FALSE),"")</f>
        <v>Plasma</v>
      </c>
      <c r="G2208" s="194">
        <v>1326</v>
      </c>
      <c r="H2208" s="194" t="s">
        <v>60</v>
      </c>
      <c r="I2208" s="187">
        <v>0.86538463830947876</v>
      </c>
      <c r="J2208" s="187" t="s">
        <v>1026</v>
      </c>
      <c r="K2208" s="187" t="s">
        <v>116</v>
      </c>
      <c r="L2208" s="195"/>
      <c r="M2208" s="195"/>
      <c r="N2208" s="195"/>
      <c r="O2208" s="199"/>
      <c r="P2208" s="188"/>
      <c r="Q2208" s="174">
        <f>IF(ISNUMBER(VLOOKUP(A2208,NotghiID!A:A,1,FALSE)),1,0)</f>
        <v>0</v>
      </c>
    </row>
    <row r="2209" spans="1:17" ht="14.25" x14ac:dyDescent="0.2">
      <c r="A2209" s="183">
        <v>395</v>
      </c>
      <c r="B2209" s="232" t="str">
        <f>IF(AND(A2209&lt;&gt;"",ISNUMBER(A2209)),VLOOKUP(A2209,Studies!A:BR,2,FALSE),"")</f>
        <v>Reitman 2011</v>
      </c>
      <c r="C2209" s="232" t="str">
        <f>IF(AND(A2209&lt;&gt;"",ISNUMBER(A2209)),VLOOKUP(A2209,Studies!A:BR,3,FALSE),"")</f>
        <v>https://www.ncbi.nlm.nih.gov/pubmed/21191377</v>
      </c>
      <c r="D2209" s="232" t="str">
        <f>IF(AND(A2209&lt;&gt;"",ISNUMBER(A2209)),VLOOKUP(A2209,Studies!A:BR,4,FALSE),"")</f>
        <v>Week 4 after Perpetrator (Rifampicin)</v>
      </c>
      <c r="E2209" s="206" t="str">
        <f>IF(AND(A2209&lt;&gt;"",ISNUMBER(A2209)),VLOOKUP(A2209,Studies!A:BR,5,FALSE),"")</f>
        <v>Midazolam</v>
      </c>
      <c r="F2209" s="207" t="str">
        <f>IF(AND(A2209&lt;&gt;"",ISNUMBER(A2209)),VLOOKUP(A2209,Studies!A:BR,6,FALSE),"")</f>
        <v>Plasma</v>
      </c>
      <c r="G2209" s="194">
        <v>1328</v>
      </c>
      <c r="H2209" s="194" t="s">
        <v>60</v>
      </c>
      <c r="I2209" s="187">
        <v>0.51923078298568726</v>
      </c>
      <c r="J2209" s="187" t="s">
        <v>1026</v>
      </c>
      <c r="K2209" s="187" t="s">
        <v>116</v>
      </c>
      <c r="L2209" s="195"/>
      <c r="M2209" s="195"/>
      <c r="N2209" s="195"/>
      <c r="O2209" s="199"/>
      <c r="P2209" s="188"/>
      <c r="Q2209" s="174">
        <f>IF(ISNUMBER(VLOOKUP(A2209,NotghiID!A:A,1,FALSE)),1,0)</f>
        <v>0</v>
      </c>
    </row>
    <row r="2210" spans="1:17" ht="14.25" x14ac:dyDescent="0.2">
      <c r="A2210" s="183">
        <v>395</v>
      </c>
      <c r="B2210" s="232" t="str">
        <f>IF(AND(A2210&lt;&gt;"",ISNUMBER(A2210)),VLOOKUP(A2210,Studies!A:BR,2,FALSE),"")</f>
        <v>Reitman 2011</v>
      </c>
      <c r="C2210" s="232" t="str">
        <f>IF(AND(A2210&lt;&gt;"",ISNUMBER(A2210)),VLOOKUP(A2210,Studies!A:BR,3,FALSE),"")</f>
        <v>https://www.ncbi.nlm.nih.gov/pubmed/21191377</v>
      </c>
      <c r="D2210" s="232" t="str">
        <f>IF(AND(A2210&lt;&gt;"",ISNUMBER(A2210)),VLOOKUP(A2210,Studies!A:BR,4,FALSE),"")</f>
        <v>Week 4 after Perpetrator (Rifampicin)</v>
      </c>
      <c r="E2210" s="206" t="str">
        <f>IF(AND(A2210&lt;&gt;"",ISNUMBER(A2210)),VLOOKUP(A2210,Studies!A:BR,5,FALSE),"")</f>
        <v>Midazolam</v>
      </c>
      <c r="F2210" s="207" t="str">
        <f>IF(AND(A2210&lt;&gt;"",ISNUMBER(A2210)),VLOOKUP(A2210,Studies!A:BR,6,FALSE),"")</f>
        <v>Plasma</v>
      </c>
      <c r="G2210" s="194">
        <v>1332</v>
      </c>
      <c r="H2210" s="194" t="s">
        <v>60</v>
      </c>
      <c r="I2210" s="187">
        <v>0.23798078298568726</v>
      </c>
      <c r="J2210" s="187" t="s">
        <v>1026</v>
      </c>
      <c r="K2210" s="187" t="s">
        <v>116</v>
      </c>
      <c r="L2210" s="195"/>
      <c r="M2210" s="195"/>
      <c r="N2210" s="195"/>
      <c r="O2210" s="199"/>
      <c r="P2210" s="188"/>
      <c r="Q2210" s="174">
        <f>IF(ISNUMBER(VLOOKUP(A2210,NotghiID!A:A,1,FALSE)),1,0)</f>
        <v>0</v>
      </c>
    </row>
    <row r="2211" spans="1:17" ht="14.25" x14ac:dyDescent="0.2">
      <c r="A2211" s="183">
        <v>396</v>
      </c>
      <c r="B2211" s="232" t="str">
        <f>IF(AND(A2211&lt;&gt;"",ISNUMBER(A2211)),VLOOKUP(A2211,Studies!A:BR,2,FALSE),"")</f>
        <v>Reitman 2011</v>
      </c>
      <c r="C2211" s="232" t="str">
        <f>IF(AND(A2211&lt;&gt;"",ISNUMBER(A2211)),VLOOKUP(A2211,Studies!A:BR,3,FALSE),"")</f>
        <v>https://www.ncbi.nlm.nih.gov/pubmed/21191377</v>
      </c>
      <c r="D2211" s="232" t="str">
        <f>IF(AND(A2211&lt;&gt;"",ISNUMBER(A2211)),VLOOKUP(A2211,Studies!A:BR,4,FALSE),"")</f>
        <v>Week 0 after Perpetrator (Rifampicin)</v>
      </c>
      <c r="E2211" s="206" t="str">
        <f>IF(AND(A2211&lt;&gt;"",ISNUMBER(A2211)),VLOOKUP(A2211,Studies!A:BR,5,FALSE),"")</f>
        <v>Digoxin</v>
      </c>
      <c r="F2211" s="207" t="str">
        <f>IF(AND(A2211&lt;&gt;"",ISNUMBER(A2211)),VLOOKUP(A2211,Studies!A:BR,6,FALSE),"")</f>
        <v>Plasma</v>
      </c>
      <c r="G2211" s="194">
        <v>649.25</v>
      </c>
      <c r="H2211" s="194" t="s">
        <v>60</v>
      </c>
      <c r="I2211" s="187">
        <v>0.41629300000000002</v>
      </c>
      <c r="J2211" s="187" t="s">
        <v>1026</v>
      </c>
      <c r="K2211" s="187" t="s">
        <v>116</v>
      </c>
      <c r="L2211" s="195"/>
      <c r="M2211" s="195"/>
      <c r="N2211" s="195"/>
      <c r="O2211" s="199"/>
      <c r="P2211" s="188"/>
      <c r="Q2211" s="174">
        <f>IF(ISNUMBER(VLOOKUP(A2211,NotghiID!A:A,1,FALSE)),1,0)</f>
        <v>0</v>
      </c>
    </row>
    <row r="2212" spans="1:17" ht="14.25" x14ac:dyDescent="0.2">
      <c r="A2212" s="183">
        <v>396</v>
      </c>
      <c r="B2212" s="232" t="str">
        <f>IF(AND(A2212&lt;&gt;"",ISNUMBER(A2212)),VLOOKUP(A2212,Studies!A:BR,2,FALSE),"")</f>
        <v>Reitman 2011</v>
      </c>
      <c r="C2212" s="232" t="str">
        <f>IF(AND(A2212&lt;&gt;"",ISNUMBER(A2212)),VLOOKUP(A2212,Studies!A:BR,3,FALSE),"")</f>
        <v>https://www.ncbi.nlm.nih.gov/pubmed/21191377</v>
      </c>
      <c r="D2212" s="232" t="str">
        <f>IF(AND(A2212&lt;&gt;"",ISNUMBER(A2212)),VLOOKUP(A2212,Studies!A:BR,4,FALSE),"")</f>
        <v>Week 0 after Perpetrator (Rifampicin)</v>
      </c>
      <c r="E2212" s="206" t="str">
        <f>IF(AND(A2212&lt;&gt;"",ISNUMBER(A2212)),VLOOKUP(A2212,Studies!A:BR,5,FALSE),"")</f>
        <v>Digoxin</v>
      </c>
      <c r="F2212" s="207" t="str">
        <f>IF(AND(A2212&lt;&gt;"",ISNUMBER(A2212)),VLOOKUP(A2212,Studies!A:BR,6,FALSE),"")</f>
        <v>Plasma</v>
      </c>
      <c r="G2212" s="194">
        <v>649.5</v>
      </c>
      <c r="H2212" s="194" t="s">
        <v>60</v>
      </c>
      <c r="I2212" s="187">
        <v>1.5301940000000001</v>
      </c>
      <c r="J2212" s="187" t="s">
        <v>1026</v>
      </c>
      <c r="K2212" s="187" t="s">
        <v>116</v>
      </c>
      <c r="L2212" s="195"/>
      <c r="M2212" s="195"/>
      <c r="N2212" s="195"/>
      <c r="O2212" s="199"/>
      <c r="P2212" s="188"/>
      <c r="Q2212" s="174">
        <f>IF(ISNUMBER(VLOOKUP(A2212,NotghiID!A:A,1,FALSE)),1,0)</f>
        <v>0</v>
      </c>
    </row>
    <row r="2213" spans="1:17" ht="14.25" x14ac:dyDescent="0.2">
      <c r="A2213" s="183">
        <v>396</v>
      </c>
      <c r="B2213" s="232" t="str">
        <f>IF(AND(A2213&lt;&gt;"",ISNUMBER(A2213)),VLOOKUP(A2213,Studies!A:BR,2,FALSE),"")</f>
        <v>Reitman 2011</v>
      </c>
      <c r="C2213" s="232" t="str">
        <f>IF(AND(A2213&lt;&gt;"",ISNUMBER(A2213)),VLOOKUP(A2213,Studies!A:BR,3,FALSE),"")</f>
        <v>https://www.ncbi.nlm.nih.gov/pubmed/21191377</v>
      </c>
      <c r="D2213" s="232" t="str">
        <f>IF(AND(A2213&lt;&gt;"",ISNUMBER(A2213)),VLOOKUP(A2213,Studies!A:BR,4,FALSE),"")</f>
        <v>Week 0 after Perpetrator (Rifampicin)</v>
      </c>
      <c r="E2213" s="206" t="str">
        <f>IF(AND(A2213&lt;&gt;"",ISNUMBER(A2213)),VLOOKUP(A2213,Studies!A:BR,5,FALSE),"")</f>
        <v>Digoxin</v>
      </c>
      <c r="F2213" s="207" t="str">
        <f>IF(AND(A2213&lt;&gt;"",ISNUMBER(A2213)),VLOOKUP(A2213,Studies!A:BR,6,FALSE),"")</f>
        <v>Plasma</v>
      </c>
      <c r="G2213" s="194">
        <v>649.75</v>
      </c>
      <c r="H2213" s="194" t="s">
        <v>60</v>
      </c>
      <c r="I2213" s="187">
        <v>2.1387149999999999</v>
      </c>
      <c r="J2213" s="187" t="s">
        <v>1026</v>
      </c>
      <c r="K2213" s="187" t="s">
        <v>116</v>
      </c>
      <c r="L2213" s="195"/>
      <c r="M2213" s="195"/>
      <c r="N2213" s="195"/>
      <c r="O2213" s="199"/>
      <c r="P2213" s="188"/>
      <c r="Q2213" s="174">
        <f>IF(ISNUMBER(VLOOKUP(A2213,NotghiID!A:A,1,FALSE)),1,0)</f>
        <v>0</v>
      </c>
    </row>
    <row r="2214" spans="1:17" ht="14.25" x14ac:dyDescent="0.2">
      <c r="A2214" s="183">
        <v>396</v>
      </c>
      <c r="B2214" s="232" t="str">
        <f>IF(AND(A2214&lt;&gt;"",ISNUMBER(A2214)),VLOOKUP(A2214,Studies!A:BR,2,FALSE),"")</f>
        <v>Reitman 2011</v>
      </c>
      <c r="C2214" s="232" t="str">
        <f>IF(AND(A2214&lt;&gt;"",ISNUMBER(A2214)),VLOOKUP(A2214,Studies!A:BR,3,FALSE),"")</f>
        <v>https://www.ncbi.nlm.nih.gov/pubmed/21191377</v>
      </c>
      <c r="D2214" s="232" t="str">
        <f>IF(AND(A2214&lt;&gt;"",ISNUMBER(A2214)),VLOOKUP(A2214,Studies!A:BR,4,FALSE),"")</f>
        <v>Week 0 after Perpetrator (Rifampicin)</v>
      </c>
      <c r="E2214" s="206" t="str">
        <f>IF(AND(A2214&lt;&gt;"",ISNUMBER(A2214)),VLOOKUP(A2214,Studies!A:BR,5,FALSE),"")</f>
        <v>Digoxin</v>
      </c>
      <c r="F2214" s="207" t="str">
        <f>IF(AND(A2214&lt;&gt;"",ISNUMBER(A2214)),VLOOKUP(A2214,Studies!A:BR,6,FALSE),"")</f>
        <v>Plasma</v>
      </c>
      <c r="G2214" s="194">
        <v>650</v>
      </c>
      <c r="H2214" s="194" t="s">
        <v>60</v>
      </c>
      <c r="I2214" s="187">
        <v>1.973692</v>
      </c>
      <c r="J2214" s="187" t="s">
        <v>1026</v>
      </c>
      <c r="K2214" s="187" t="s">
        <v>116</v>
      </c>
      <c r="L2214" s="195"/>
      <c r="M2214" s="195"/>
      <c r="N2214" s="195"/>
      <c r="O2214" s="199"/>
      <c r="P2214" s="188"/>
      <c r="Q2214" s="174">
        <f>IF(ISNUMBER(VLOOKUP(A2214,NotghiID!A:A,1,FALSE)),1,0)</f>
        <v>0</v>
      </c>
    </row>
    <row r="2215" spans="1:17" ht="14.25" x14ac:dyDescent="0.2">
      <c r="A2215" s="183">
        <v>396</v>
      </c>
      <c r="B2215" s="232" t="str">
        <f>IF(AND(A2215&lt;&gt;"",ISNUMBER(A2215)),VLOOKUP(A2215,Studies!A:BR,2,FALSE),"")</f>
        <v>Reitman 2011</v>
      </c>
      <c r="C2215" s="232" t="str">
        <f>IF(AND(A2215&lt;&gt;"",ISNUMBER(A2215)),VLOOKUP(A2215,Studies!A:BR,3,FALSE),"")</f>
        <v>https://www.ncbi.nlm.nih.gov/pubmed/21191377</v>
      </c>
      <c r="D2215" s="232" t="str">
        <f>IF(AND(A2215&lt;&gt;"",ISNUMBER(A2215)),VLOOKUP(A2215,Studies!A:BR,4,FALSE),"")</f>
        <v>Week 0 after Perpetrator (Rifampicin)</v>
      </c>
      <c r="E2215" s="206" t="str">
        <f>IF(AND(A2215&lt;&gt;"",ISNUMBER(A2215)),VLOOKUP(A2215,Studies!A:BR,5,FALSE),"")</f>
        <v>Digoxin</v>
      </c>
      <c r="F2215" s="207" t="str">
        <f>IF(AND(A2215&lt;&gt;"",ISNUMBER(A2215)),VLOOKUP(A2215,Studies!A:BR,6,FALSE),"")</f>
        <v>Plasma</v>
      </c>
      <c r="G2215" s="194">
        <v>651</v>
      </c>
      <c r="H2215" s="194" t="s">
        <v>60</v>
      </c>
      <c r="I2215" s="187">
        <v>1.2585949999999999</v>
      </c>
      <c r="J2215" s="187" t="s">
        <v>1026</v>
      </c>
      <c r="K2215" s="187" t="s">
        <v>116</v>
      </c>
      <c r="L2215" s="195"/>
      <c r="M2215" s="195"/>
      <c r="N2215" s="195"/>
      <c r="O2215" s="199"/>
      <c r="P2215" s="188"/>
      <c r="Q2215" s="174">
        <f>IF(ISNUMBER(VLOOKUP(A2215,NotghiID!A:A,1,FALSE)),1,0)</f>
        <v>0</v>
      </c>
    </row>
    <row r="2216" spans="1:17" ht="14.25" x14ac:dyDescent="0.2">
      <c r="A2216" s="183">
        <v>396</v>
      </c>
      <c r="B2216" s="232" t="str">
        <f>IF(AND(A2216&lt;&gt;"",ISNUMBER(A2216)),VLOOKUP(A2216,Studies!A:BR,2,FALSE),"")</f>
        <v>Reitman 2011</v>
      </c>
      <c r="C2216" s="232" t="str">
        <f>IF(AND(A2216&lt;&gt;"",ISNUMBER(A2216)),VLOOKUP(A2216,Studies!A:BR,3,FALSE),"")</f>
        <v>https://www.ncbi.nlm.nih.gov/pubmed/21191377</v>
      </c>
      <c r="D2216" s="232" t="str">
        <f>IF(AND(A2216&lt;&gt;"",ISNUMBER(A2216)),VLOOKUP(A2216,Studies!A:BR,4,FALSE),"")</f>
        <v>Week 0 after Perpetrator (Rifampicin)</v>
      </c>
      <c r="E2216" s="206" t="str">
        <f>IF(AND(A2216&lt;&gt;"",ISNUMBER(A2216)),VLOOKUP(A2216,Studies!A:BR,5,FALSE),"")</f>
        <v>Digoxin</v>
      </c>
      <c r="F2216" s="207" t="str">
        <f>IF(AND(A2216&lt;&gt;"",ISNUMBER(A2216)),VLOOKUP(A2216,Studies!A:BR,6,FALSE),"")</f>
        <v>Plasma</v>
      </c>
      <c r="G2216" s="194">
        <v>652</v>
      </c>
      <c r="H2216" s="194" t="s">
        <v>60</v>
      </c>
      <c r="I2216" s="187">
        <v>0.9629297</v>
      </c>
      <c r="J2216" s="187" t="s">
        <v>1026</v>
      </c>
      <c r="K2216" s="187" t="s">
        <v>116</v>
      </c>
      <c r="L2216" s="195"/>
      <c r="M2216" s="195"/>
      <c r="N2216" s="195"/>
      <c r="O2216" s="199"/>
      <c r="P2216" s="188"/>
      <c r="Q2216" s="174">
        <f>IF(ISNUMBER(VLOOKUP(A2216,NotghiID!A:A,1,FALSE)),1,0)</f>
        <v>0</v>
      </c>
    </row>
    <row r="2217" spans="1:17" ht="14.25" x14ac:dyDescent="0.2">
      <c r="A2217" s="183">
        <f>A2211+1</f>
        <v>397</v>
      </c>
      <c r="B2217" s="232" t="str">
        <f>IF(AND(A2217&lt;&gt;"",ISNUMBER(A2217)),VLOOKUP(A2217,Studies!A:BR,2,FALSE),"")</f>
        <v>Reitman 2011</v>
      </c>
      <c r="C2217" s="232" t="str">
        <f>IF(AND(A2217&lt;&gt;"",ISNUMBER(A2217)),VLOOKUP(A2217,Studies!A:BR,3,FALSE),"")</f>
        <v>https://www.ncbi.nlm.nih.gov/pubmed/21191377</v>
      </c>
      <c r="D2217" s="232" t="str">
        <f>IF(AND(A2217&lt;&gt;"",ISNUMBER(A2217)),VLOOKUP(A2217,Studies!A:BR,4,FALSE),"")</f>
        <v>Week 1 after Perpetrator (Rifampicin)</v>
      </c>
      <c r="E2217" s="206" t="str">
        <f>IF(AND(A2217&lt;&gt;"",ISNUMBER(A2217)),VLOOKUP(A2217,Studies!A:BR,5,FALSE),"")</f>
        <v>Digoxin</v>
      </c>
      <c r="F2217" s="207" t="str">
        <f>IF(AND(A2217&lt;&gt;"",ISNUMBER(A2217)),VLOOKUP(A2217,Studies!A:BR,6,FALSE),"")</f>
        <v>Plasma</v>
      </c>
      <c r="G2217" s="194">
        <v>817.25</v>
      </c>
      <c r="H2217" s="194" t="s">
        <v>60</v>
      </c>
      <c r="I2217" s="187">
        <v>6.5620330000000004E-2</v>
      </c>
      <c r="J2217" s="187" t="s">
        <v>1026</v>
      </c>
      <c r="K2217" s="187" t="s">
        <v>116</v>
      </c>
      <c r="L2217" s="195"/>
      <c r="M2217" s="195"/>
      <c r="N2217" s="195"/>
      <c r="O2217" s="199"/>
      <c r="P2217" s="188"/>
      <c r="Q2217" s="174">
        <f>IF(ISNUMBER(VLOOKUP(A2217,NotghiID!A:A,1,FALSE)),1,0)</f>
        <v>0</v>
      </c>
    </row>
    <row r="2218" spans="1:17" ht="14.25" x14ac:dyDescent="0.2">
      <c r="A2218" s="183">
        <f t="shared" ref="A2218:A2234" si="3">A2212+1</f>
        <v>397</v>
      </c>
      <c r="B2218" s="232" t="str">
        <f>IF(AND(A2218&lt;&gt;"",ISNUMBER(A2218)),VLOOKUP(A2218,Studies!A:BR,2,FALSE),"")</f>
        <v>Reitman 2011</v>
      </c>
      <c r="C2218" s="232" t="str">
        <f>IF(AND(A2218&lt;&gt;"",ISNUMBER(A2218)),VLOOKUP(A2218,Studies!A:BR,3,FALSE),"")</f>
        <v>https://www.ncbi.nlm.nih.gov/pubmed/21191377</v>
      </c>
      <c r="D2218" s="232" t="str">
        <f>IF(AND(A2218&lt;&gt;"",ISNUMBER(A2218)),VLOOKUP(A2218,Studies!A:BR,4,FALSE),"")</f>
        <v>Week 1 after Perpetrator (Rifampicin)</v>
      </c>
      <c r="E2218" s="206" t="str">
        <f>IF(AND(A2218&lt;&gt;"",ISNUMBER(A2218)),VLOOKUP(A2218,Studies!A:BR,5,FALSE),"")</f>
        <v>Digoxin</v>
      </c>
      <c r="F2218" s="207" t="str">
        <f>IF(AND(A2218&lt;&gt;"",ISNUMBER(A2218)),VLOOKUP(A2218,Studies!A:BR,6,FALSE),"")</f>
        <v>Plasma</v>
      </c>
      <c r="G2218" s="194">
        <v>817.5</v>
      </c>
      <c r="H2218" s="194" t="s">
        <v>60</v>
      </c>
      <c r="I2218" s="187">
        <v>0.55724960000000001</v>
      </c>
      <c r="J2218" s="187" t="s">
        <v>1026</v>
      </c>
      <c r="K2218" s="187" t="s">
        <v>116</v>
      </c>
      <c r="L2218" s="195"/>
      <c r="M2218" s="195"/>
      <c r="N2218" s="195"/>
      <c r="O2218" s="199"/>
      <c r="P2218" s="188"/>
      <c r="Q2218" s="174">
        <f>IF(ISNUMBER(VLOOKUP(A2218,NotghiID!A:A,1,FALSE)),1,0)</f>
        <v>0</v>
      </c>
    </row>
    <row r="2219" spans="1:17" ht="14.25" x14ac:dyDescent="0.2">
      <c r="A2219" s="183">
        <f t="shared" si="3"/>
        <v>397</v>
      </c>
      <c r="B2219" s="232" t="str">
        <f>IF(AND(A2219&lt;&gt;"",ISNUMBER(A2219)),VLOOKUP(A2219,Studies!A:BR,2,FALSE),"")</f>
        <v>Reitman 2011</v>
      </c>
      <c r="C2219" s="232" t="str">
        <f>IF(AND(A2219&lt;&gt;"",ISNUMBER(A2219)),VLOOKUP(A2219,Studies!A:BR,3,FALSE),"")</f>
        <v>https://www.ncbi.nlm.nih.gov/pubmed/21191377</v>
      </c>
      <c r="D2219" s="232" t="str">
        <f>IF(AND(A2219&lt;&gt;"",ISNUMBER(A2219)),VLOOKUP(A2219,Studies!A:BR,4,FALSE),"")</f>
        <v>Week 1 after Perpetrator (Rifampicin)</v>
      </c>
      <c r="E2219" s="206" t="str">
        <f>IF(AND(A2219&lt;&gt;"",ISNUMBER(A2219)),VLOOKUP(A2219,Studies!A:BR,5,FALSE),"")</f>
        <v>Digoxin</v>
      </c>
      <c r="F2219" s="207" t="str">
        <f>IF(AND(A2219&lt;&gt;"",ISNUMBER(A2219)),VLOOKUP(A2219,Studies!A:BR,6,FALSE),"")</f>
        <v>Plasma</v>
      </c>
      <c r="G2219" s="194">
        <v>817.75</v>
      </c>
      <c r="H2219" s="194" t="s">
        <v>60</v>
      </c>
      <c r="I2219" s="187">
        <v>0.85979070000000002</v>
      </c>
      <c r="J2219" s="187" t="s">
        <v>1026</v>
      </c>
      <c r="K2219" s="187" t="s">
        <v>116</v>
      </c>
      <c r="L2219" s="195"/>
      <c r="M2219" s="195"/>
      <c r="N2219" s="195"/>
      <c r="O2219" s="199"/>
      <c r="P2219" s="188"/>
      <c r="Q2219" s="174">
        <f>IF(ISNUMBER(VLOOKUP(A2219,NotghiID!A:A,1,FALSE)),1,0)</f>
        <v>0</v>
      </c>
    </row>
    <row r="2220" spans="1:17" ht="14.25" x14ac:dyDescent="0.2">
      <c r="A2220" s="183">
        <f t="shared" si="3"/>
        <v>397</v>
      </c>
      <c r="B2220" s="232" t="str">
        <f>IF(AND(A2220&lt;&gt;"",ISNUMBER(A2220)),VLOOKUP(A2220,Studies!A:BR,2,FALSE),"")</f>
        <v>Reitman 2011</v>
      </c>
      <c r="C2220" s="232" t="str">
        <f>IF(AND(A2220&lt;&gt;"",ISNUMBER(A2220)),VLOOKUP(A2220,Studies!A:BR,3,FALSE),"")</f>
        <v>https://www.ncbi.nlm.nih.gov/pubmed/21191377</v>
      </c>
      <c r="D2220" s="232" t="str">
        <f>IF(AND(A2220&lt;&gt;"",ISNUMBER(A2220)),VLOOKUP(A2220,Studies!A:BR,4,FALSE),"")</f>
        <v>Week 1 after Perpetrator (Rifampicin)</v>
      </c>
      <c r="E2220" s="206" t="str">
        <f>IF(AND(A2220&lt;&gt;"",ISNUMBER(A2220)),VLOOKUP(A2220,Studies!A:BR,5,FALSE),"")</f>
        <v>Digoxin</v>
      </c>
      <c r="F2220" s="207" t="str">
        <f>IF(AND(A2220&lt;&gt;"",ISNUMBER(A2220)),VLOOKUP(A2220,Studies!A:BR,6,FALSE),"")</f>
        <v>Plasma</v>
      </c>
      <c r="G2220" s="194">
        <v>818</v>
      </c>
      <c r="H2220" s="194" t="s">
        <v>60</v>
      </c>
      <c r="I2220" s="187">
        <v>0.94230190000000003</v>
      </c>
      <c r="J2220" s="187" t="s">
        <v>1026</v>
      </c>
      <c r="K2220" s="187" t="s">
        <v>116</v>
      </c>
      <c r="L2220" s="195"/>
      <c r="M2220" s="195"/>
      <c r="N2220" s="195"/>
      <c r="O2220" s="199"/>
      <c r="P2220" s="188"/>
      <c r="Q2220" s="174">
        <f>IF(ISNUMBER(VLOOKUP(A2220,NotghiID!A:A,1,FALSE)),1,0)</f>
        <v>0</v>
      </c>
    </row>
    <row r="2221" spans="1:17" ht="14.25" x14ac:dyDescent="0.2">
      <c r="A2221" s="183">
        <f t="shared" si="3"/>
        <v>397</v>
      </c>
      <c r="B2221" s="232" t="str">
        <f>IF(AND(A2221&lt;&gt;"",ISNUMBER(A2221)),VLOOKUP(A2221,Studies!A:BR,2,FALSE),"")</f>
        <v>Reitman 2011</v>
      </c>
      <c r="C2221" s="232" t="str">
        <f>IF(AND(A2221&lt;&gt;"",ISNUMBER(A2221)),VLOOKUP(A2221,Studies!A:BR,3,FALSE),"")</f>
        <v>https://www.ncbi.nlm.nih.gov/pubmed/21191377</v>
      </c>
      <c r="D2221" s="232" t="str">
        <f>IF(AND(A2221&lt;&gt;"",ISNUMBER(A2221)),VLOOKUP(A2221,Studies!A:BR,4,FALSE),"")</f>
        <v>Week 1 after Perpetrator (Rifampicin)</v>
      </c>
      <c r="E2221" s="206" t="str">
        <f>IF(AND(A2221&lt;&gt;"",ISNUMBER(A2221)),VLOOKUP(A2221,Studies!A:BR,5,FALSE),"")</f>
        <v>Digoxin</v>
      </c>
      <c r="F2221" s="207" t="str">
        <f>IF(AND(A2221&lt;&gt;"",ISNUMBER(A2221)),VLOOKUP(A2221,Studies!A:BR,6,FALSE),"")</f>
        <v>Plasma</v>
      </c>
      <c r="G2221" s="194">
        <v>819</v>
      </c>
      <c r="H2221" s="194" t="s">
        <v>60</v>
      </c>
      <c r="I2221" s="187">
        <v>0.83572489999999999</v>
      </c>
      <c r="J2221" s="187" t="s">
        <v>1026</v>
      </c>
      <c r="K2221" s="187" t="s">
        <v>116</v>
      </c>
      <c r="L2221" s="195"/>
      <c r="M2221" s="195"/>
      <c r="N2221" s="195"/>
      <c r="O2221" s="199"/>
      <c r="P2221" s="188"/>
      <c r="Q2221" s="174">
        <f>IF(ISNUMBER(VLOOKUP(A2221,NotghiID!A:A,1,FALSE)),1,0)</f>
        <v>0</v>
      </c>
    </row>
    <row r="2222" spans="1:17" ht="14.25" x14ac:dyDescent="0.2">
      <c r="A2222" s="183">
        <f t="shared" si="3"/>
        <v>397</v>
      </c>
      <c r="B2222" s="232" t="str">
        <f>IF(AND(A2222&lt;&gt;"",ISNUMBER(A2222)),VLOOKUP(A2222,Studies!A:BR,2,FALSE),"")</f>
        <v>Reitman 2011</v>
      </c>
      <c r="C2222" s="232" t="str">
        <f>IF(AND(A2222&lt;&gt;"",ISNUMBER(A2222)),VLOOKUP(A2222,Studies!A:BR,3,FALSE),"")</f>
        <v>https://www.ncbi.nlm.nih.gov/pubmed/21191377</v>
      </c>
      <c r="D2222" s="232" t="str">
        <f>IF(AND(A2222&lt;&gt;"",ISNUMBER(A2222)),VLOOKUP(A2222,Studies!A:BR,4,FALSE),"")</f>
        <v>Week 1 after Perpetrator (Rifampicin)</v>
      </c>
      <c r="E2222" s="206" t="str">
        <f>IF(AND(A2222&lt;&gt;"",ISNUMBER(A2222)),VLOOKUP(A2222,Studies!A:BR,5,FALSE),"")</f>
        <v>Digoxin</v>
      </c>
      <c r="F2222" s="207" t="str">
        <f>IF(AND(A2222&lt;&gt;"",ISNUMBER(A2222)),VLOOKUP(A2222,Studies!A:BR,6,FALSE),"")</f>
        <v>Plasma</v>
      </c>
      <c r="G2222" s="194">
        <v>820</v>
      </c>
      <c r="H2222" s="194" t="s">
        <v>60</v>
      </c>
      <c r="I2222" s="187">
        <v>0.77384160000000002</v>
      </c>
      <c r="J2222" s="187" t="s">
        <v>1026</v>
      </c>
      <c r="K2222" s="187" t="s">
        <v>116</v>
      </c>
      <c r="L2222" s="195"/>
      <c r="M2222" s="195"/>
      <c r="N2222" s="195"/>
      <c r="O2222" s="199"/>
      <c r="P2222" s="188"/>
      <c r="Q2222" s="174">
        <f>IF(ISNUMBER(VLOOKUP(A2222,NotghiID!A:A,1,FALSE)),1,0)</f>
        <v>0</v>
      </c>
    </row>
    <row r="2223" spans="1:17" ht="14.25" x14ac:dyDescent="0.2">
      <c r="A2223" s="183">
        <f t="shared" si="3"/>
        <v>398</v>
      </c>
      <c r="B2223" s="232" t="str">
        <f>IF(AND(A2223&lt;&gt;"",ISNUMBER(A2223)),VLOOKUP(A2223,Studies!A:BR,2,FALSE),"")</f>
        <v>Reitman 2011</v>
      </c>
      <c r="C2223" s="232" t="str">
        <f>IF(AND(A2223&lt;&gt;"",ISNUMBER(A2223)),VLOOKUP(A2223,Studies!A:BR,3,FALSE),"")</f>
        <v>https://www.ncbi.nlm.nih.gov/pubmed/21191377</v>
      </c>
      <c r="D2223" s="232" t="str">
        <f>IF(AND(A2223&lt;&gt;"",ISNUMBER(A2223)),VLOOKUP(A2223,Studies!A:BR,4,FALSE),"")</f>
        <v>Week 2 after Perpetrator (Rifampicin)</v>
      </c>
      <c r="E2223" s="206" t="str">
        <f>IF(AND(A2223&lt;&gt;"",ISNUMBER(A2223)),VLOOKUP(A2223,Studies!A:BR,5,FALSE),"")</f>
        <v>Digoxin</v>
      </c>
      <c r="F2223" s="207" t="str">
        <f>IF(AND(A2223&lt;&gt;"",ISNUMBER(A2223)),VLOOKUP(A2223,Studies!A:BR,6,FALSE),"")</f>
        <v>Plasma</v>
      </c>
      <c r="G2223" s="194">
        <v>985.25</v>
      </c>
      <c r="H2223" s="194" t="s">
        <v>60</v>
      </c>
      <c r="I2223" s="187">
        <v>0.1068759</v>
      </c>
      <c r="J2223" s="187" t="s">
        <v>1026</v>
      </c>
      <c r="K2223" s="187" t="s">
        <v>116</v>
      </c>
      <c r="L2223" s="195"/>
      <c r="M2223" s="195"/>
      <c r="N2223" s="195"/>
      <c r="O2223" s="199"/>
      <c r="P2223" s="188"/>
      <c r="Q2223" s="174">
        <f>IF(ISNUMBER(VLOOKUP(A2223,NotghiID!A:A,1,FALSE)),1,0)</f>
        <v>0</v>
      </c>
    </row>
    <row r="2224" spans="1:17" ht="14.25" x14ac:dyDescent="0.2">
      <c r="A2224" s="183">
        <f t="shared" si="3"/>
        <v>398</v>
      </c>
      <c r="B2224" s="232" t="str">
        <f>IF(AND(A2224&lt;&gt;"",ISNUMBER(A2224)),VLOOKUP(A2224,Studies!A:BR,2,FALSE),"")</f>
        <v>Reitman 2011</v>
      </c>
      <c r="C2224" s="232" t="str">
        <f>IF(AND(A2224&lt;&gt;"",ISNUMBER(A2224)),VLOOKUP(A2224,Studies!A:BR,3,FALSE),"")</f>
        <v>https://www.ncbi.nlm.nih.gov/pubmed/21191377</v>
      </c>
      <c r="D2224" s="232" t="str">
        <f>IF(AND(A2224&lt;&gt;"",ISNUMBER(A2224)),VLOOKUP(A2224,Studies!A:BR,4,FALSE),"")</f>
        <v>Week 2 after Perpetrator (Rifampicin)</v>
      </c>
      <c r="E2224" s="206" t="str">
        <f>IF(AND(A2224&lt;&gt;"",ISNUMBER(A2224)),VLOOKUP(A2224,Studies!A:BR,5,FALSE),"")</f>
        <v>Digoxin</v>
      </c>
      <c r="F2224" s="207" t="str">
        <f>IF(AND(A2224&lt;&gt;"",ISNUMBER(A2224)),VLOOKUP(A2224,Studies!A:BR,6,FALSE),"")</f>
        <v>Plasma</v>
      </c>
      <c r="G2224" s="194">
        <v>985.5</v>
      </c>
      <c r="H2224" s="194" t="s">
        <v>60</v>
      </c>
      <c r="I2224" s="187">
        <v>0.60881909999999995</v>
      </c>
      <c r="J2224" s="187" t="s">
        <v>1026</v>
      </c>
      <c r="K2224" s="187" t="s">
        <v>116</v>
      </c>
      <c r="L2224" s="195"/>
      <c r="M2224" s="195"/>
      <c r="N2224" s="195"/>
      <c r="O2224" s="199"/>
      <c r="P2224" s="188"/>
      <c r="Q2224" s="174">
        <f>IF(ISNUMBER(VLOOKUP(A2224,NotghiID!A:A,1,FALSE)),1,0)</f>
        <v>0</v>
      </c>
    </row>
    <row r="2225" spans="1:17" ht="14.25" x14ac:dyDescent="0.2">
      <c r="A2225" s="183">
        <f t="shared" si="3"/>
        <v>398</v>
      </c>
      <c r="B2225" s="232" t="str">
        <f>IF(AND(A2225&lt;&gt;"",ISNUMBER(A2225)),VLOOKUP(A2225,Studies!A:BR,2,FALSE),"")</f>
        <v>Reitman 2011</v>
      </c>
      <c r="C2225" s="232" t="str">
        <f>IF(AND(A2225&lt;&gt;"",ISNUMBER(A2225)),VLOOKUP(A2225,Studies!A:BR,3,FALSE),"")</f>
        <v>https://www.ncbi.nlm.nih.gov/pubmed/21191377</v>
      </c>
      <c r="D2225" s="232" t="str">
        <f>IF(AND(A2225&lt;&gt;"",ISNUMBER(A2225)),VLOOKUP(A2225,Studies!A:BR,4,FALSE),"")</f>
        <v>Week 2 after Perpetrator (Rifampicin)</v>
      </c>
      <c r="E2225" s="206" t="str">
        <f>IF(AND(A2225&lt;&gt;"",ISNUMBER(A2225)),VLOOKUP(A2225,Studies!A:BR,5,FALSE),"")</f>
        <v>Digoxin</v>
      </c>
      <c r="F2225" s="207" t="str">
        <f>IF(AND(A2225&lt;&gt;"",ISNUMBER(A2225)),VLOOKUP(A2225,Studies!A:BR,6,FALSE),"")</f>
        <v>Plasma</v>
      </c>
      <c r="G2225" s="194">
        <v>985.75</v>
      </c>
      <c r="H2225" s="194" t="s">
        <v>60</v>
      </c>
      <c r="I2225" s="187">
        <v>1.028251</v>
      </c>
      <c r="J2225" s="187" t="s">
        <v>1026</v>
      </c>
      <c r="K2225" s="187" t="s">
        <v>116</v>
      </c>
      <c r="L2225" s="195"/>
      <c r="M2225" s="195"/>
      <c r="N2225" s="195"/>
      <c r="O2225" s="199"/>
      <c r="P2225" s="188"/>
      <c r="Q2225" s="174">
        <f>IF(ISNUMBER(VLOOKUP(A2225,NotghiID!A:A,1,FALSE)),1,0)</f>
        <v>0</v>
      </c>
    </row>
    <row r="2226" spans="1:17" ht="14.25" x14ac:dyDescent="0.2">
      <c r="A2226" s="183">
        <f t="shared" si="3"/>
        <v>398</v>
      </c>
      <c r="B2226" s="232" t="str">
        <f>IF(AND(A2226&lt;&gt;"",ISNUMBER(A2226)),VLOOKUP(A2226,Studies!A:BR,2,FALSE),"")</f>
        <v>Reitman 2011</v>
      </c>
      <c r="C2226" s="232" t="str">
        <f>IF(AND(A2226&lt;&gt;"",ISNUMBER(A2226)),VLOOKUP(A2226,Studies!A:BR,3,FALSE),"")</f>
        <v>https://www.ncbi.nlm.nih.gov/pubmed/21191377</v>
      </c>
      <c r="D2226" s="232" t="str">
        <f>IF(AND(A2226&lt;&gt;"",ISNUMBER(A2226)),VLOOKUP(A2226,Studies!A:BR,4,FALSE),"")</f>
        <v>Week 2 after Perpetrator (Rifampicin)</v>
      </c>
      <c r="E2226" s="206" t="str">
        <f>IF(AND(A2226&lt;&gt;"",ISNUMBER(A2226)),VLOOKUP(A2226,Studies!A:BR,5,FALSE),"")</f>
        <v>Digoxin</v>
      </c>
      <c r="F2226" s="207" t="str">
        <f>IF(AND(A2226&lt;&gt;"",ISNUMBER(A2226)),VLOOKUP(A2226,Studies!A:BR,6,FALSE),"")</f>
        <v>Plasma</v>
      </c>
      <c r="G2226" s="194">
        <v>986</v>
      </c>
      <c r="H2226" s="194" t="s">
        <v>60</v>
      </c>
      <c r="I2226" s="187">
        <v>1.2173389999999999</v>
      </c>
      <c r="J2226" s="187" t="s">
        <v>1026</v>
      </c>
      <c r="K2226" s="187" t="s">
        <v>116</v>
      </c>
      <c r="L2226" s="195"/>
      <c r="M2226" s="195"/>
      <c r="N2226" s="195"/>
      <c r="O2226" s="199"/>
      <c r="P2226" s="188"/>
      <c r="Q2226" s="174">
        <f>IF(ISNUMBER(VLOOKUP(A2226,NotghiID!A:A,1,FALSE)),1,0)</f>
        <v>0</v>
      </c>
    </row>
    <row r="2227" spans="1:17" ht="14.25" x14ac:dyDescent="0.2">
      <c r="A2227" s="183">
        <f t="shared" si="3"/>
        <v>398</v>
      </c>
      <c r="B2227" s="232" t="str">
        <f>IF(AND(A2227&lt;&gt;"",ISNUMBER(A2227)),VLOOKUP(A2227,Studies!A:BR,2,FALSE),"")</f>
        <v>Reitman 2011</v>
      </c>
      <c r="C2227" s="232" t="str">
        <f>IF(AND(A2227&lt;&gt;"",ISNUMBER(A2227)),VLOOKUP(A2227,Studies!A:BR,3,FALSE),"")</f>
        <v>https://www.ncbi.nlm.nih.gov/pubmed/21191377</v>
      </c>
      <c r="D2227" s="232" t="str">
        <f>IF(AND(A2227&lt;&gt;"",ISNUMBER(A2227)),VLOOKUP(A2227,Studies!A:BR,4,FALSE),"")</f>
        <v>Week 2 after Perpetrator (Rifampicin)</v>
      </c>
      <c r="E2227" s="206" t="str">
        <f>IF(AND(A2227&lt;&gt;"",ISNUMBER(A2227)),VLOOKUP(A2227,Studies!A:BR,5,FALSE),"")</f>
        <v>Digoxin</v>
      </c>
      <c r="F2227" s="207" t="str">
        <f>IF(AND(A2227&lt;&gt;"",ISNUMBER(A2227)),VLOOKUP(A2227,Studies!A:BR,6,FALSE),"")</f>
        <v>Plasma</v>
      </c>
      <c r="G2227" s="194">
        <v>987</v>
      </c>
      <c r="H2227" s="194" t="s">
        <v>60</v>
      </c>
      <c r="I2227" s="187">
        <v>1.028251</v>
      </c>
      <c r="J2227" s="187" t="s">
        <v>1026</v>
      </c>
      <c r="K2227" s="187" t="s">
        <v>116</v>
      </c>
      <c r="L2227" s="195"/>
      <c r="M2227" s="195"/>
      <c r="N2227" s="195"/>
      <c r="O2227" s="199"/>
      <c r="P2227" s="188"/>
      <c r="Q2227" s="174">
        <f>IF(ISNUMBER(VLOOKUP(A2227,NotghiID!A:A,1,FALSE)),1,0)</f>
        <v>0</v>
      </c>
    </row>
    <row r="2228" spans="1:17" ht="14.25" x14ac:dyDescent="0.2">
      <c r="A2228" s="183">
        <f t="shared" si="3"/>
        <v>398</v>
      </c>
      <c r="B2228" s="232" t="str">
        <f>IF(AND(A2228&lt;&gt;"",ISNUMBER(A2228)),VLOOKUP(A2228,Studies!A:BR,2,FALSE),"")</f>
        <v>Reitman 2011</v>
      </c>
      <c r="C2228" s="232" t="str">
        <f>IF(AND(A2228&lt;&gt;"",ISNUMBER(A2228)),VLOOKUP(A2228,Studies!A:BR,3,FALSE),"")</f>
        <v>https://www.ncbi.nlm.nih.gov/pubmed/21191377</v>
      </c>
      <c r="D2228" s="232" t="str">
        <f>IF(AND(A2228&lt;&gt;"",ISNUMBER(A2228)),VLOOKUP(A2228,Studies!A:BR,4,FALSE),"")</f>
        <v>Week 2 after Perpetrator (Rifampicin)</v>
      </c>
      <c r="E2228" s="206" t="str">
        <f>IF(AND(A2228&lt;&gt;"",ISNUMBER(A2228)),VLOOKUP(A2228,Studies!A:BR,5,FALSE),"")</f>
        <v>Digoxin</v>
      </c>
      <c r="F2228" s="207" t="str">
        <f>IF(AND(A2228&lt;&gt;"",ISNUMBER(A2228)),VLOOKUP(A2228,Studies!A:BR,6,FALSE),"")</f>
        <v>Plasma</v>
      </c>
      <c r="G2228" s="194">
        <v>988</v>
      </c>
      <c r="H2228" s="194" t="s">
        <v>60</v>
      </c>
      <c r="I2228" s="187">
        <v>0.84947680000000003</v>
      </c>
      <c r="J2228" s="187" t="s">
        <v>1026</v>
      </c>
      <c r="K2228" s="187" t="s">
        <v>116</v>
      </c>
      <c r="L2228" s="195"/>
      <c r="M2228" s="195"/>
      <c r="N2228" s="195"/>
      <c r="O2228" s="199"/>
      <c r="P2228" s="188"/>
      <c r="Q2228" s="174">
        <f>IF(ISNUMBER(VLOOKUP(A2228,NotghiID!A:A,1,FALSE)),1,0)</f>
        <v>0</v>
      </c>
    </row>
    <row r="2229" spans="1:17" ht="14.25" x14ac:dyDescent="0.2">
      <c r="A2229" s="183">
        <f t="shared" si="3"/>
        <v>399</v>
      </c>
      <c r="B2229" s="232" t="str">
        <f>IF(AND(A2229&lt;&gt;"",ISNUMBER(A2229)),VLOOKUP(A2229,Studies!A:BR,2,FALSE),"")</f>
        <v>Reitman 2011</v>
      </c>
      <c r="C2229" s="232" t="str">
        <f>IF(AND(A2229&lt;&gt;"",ISNUMBER(A2229)),VLOOKUP(A2229,Studies!A:BR,3,FALSE),"")</f>
        <v>https://www.ncbi.nlm.nih.gov/pubmed/21191377</v>
      </c>
      <c r="D2229" s="232" t="str">
        <f>IF(AND(A2229&lt;&gt;"",ISNUMBER(A2229)),VLOOKUP(A2229,Studies!A:BR,4,FALSE),"")</f>
        <v>Week 4 after Perpetrator (Rifampicin)</v>
      </c>
      <c r="E2229" s="206" t="str">
        <f>IF(AND(A2229&lt;&gt;"",ISNUMBER(A2229)),VLOOKUP(A2229,Studies!A:BR,5,FALSE),"")</f>
        <v>Digoxin</v>
      </c>
      <c r="F2229" s="207" t="str">
        <f>IF(AND(A2229&lt;&gt;"",ISNUMBER(A2229)),VLOOKUP(A2229,Studies!A:BR,6,FALSE),"")</f>
        <v>Plasma</v>
      </c>
      <c r="G2229" s="194">
        <v>1321.25</v>
      </c>
      <c r="H2229" s="194" t="s">
        <v>60</v>
      </c>
      <c r="I2229" s="187">
        <v>0.1275037</v>
      </c>
      <c r="J2229" s="187" t="s">
        <v>1026</v>
      </c>
      <c r="K2229" s="187" t="s">
        <v>116</v>
      </c>
      <c r="L2229" s="195"/>
      <c r="M2229" s="195"/>
      <c r="N2229" s="195"/>
      <c r="O2229" s="199"/>
      <c r="P2229" s="188"/>
      <c r="Q2229" s="174">
        <f>IF(ISNUMBER(VLOOKUP(A2229,NotghiID!A:A,1,FALSE)),1,0)</f>
        <v>0</v>
      </c>
    </row>
    <row r="2230" spans="1:17" ht="14.25" x14ac:dyDescent="0.2">
      <c r="A2230" s="183">
        <f t="shared" si="3"/>
        <v>399</v>
      </c>
      <c r="B2230" s="232" t="str">
        <f>IF(AND(A2230&lt;&gt;"",ISNUMBER(A2230)),VLOOKUP(A2230,Studies!A:BR,2,FALSE),"")</f>
        <v>Reitman 2011</v>
      </c>
      <c r="C2230" s="232" t="str">
        <f>IF(AND(A2230&lt;&gt;"",ISNUMBER(A2230)),VLOOKUP(A2230,Studies!A:BR,3,FALSE),"")</f>
        <v>https://www.ncbi.nlm.nih.gov/pubmed/21191377</v>
      </c>
      <c r="D2230" s="232" t="str">
        <f>IF(AND(A2230&lt;&gt;"",ISNUMBER(A2230)),VLOOKUP(A2230,Studies!A:BR,4,FALSE),"")</f>
        <v>Week 4 after Perpetrator (Rifampicin)</v>
      </c>
      <c r="E2230" s="206" t="str">
        <f>IF(AND(A2230&lt;&gt;"",ISNUMBER(A2230)),VLOOKUP(A2230,Studies!A:BR,5,FALSE),"")</f>
        <v>Digoxin</v>
      </c>
      <c r="F2230" s="207" t="str">
        <f>IF(AND(A2230&lt;&gt;"",ISNUMBER(A2230)),VLOOKUP(A2230,Studies!A:BR,6,FALSE),"")</f>
        <v>Plasma</v>
      </c>
      <c r="G2230" s="194">
        <v>1321.5</v>
      </c>
      <c r="H2230" s="194" t="s">
        <v>60</v>
      </c>
      <c r="I2230" s="187">
        <v>0.80822119999999997</v>
      </c>
      <c r="J2230" s="187" t="s">
        <v>1026</v>
      </c>
      <c r="K2230" s="187" t="s">
        <v>116</v>
      </c>
      <c r="L2230" s="195"/>
      <c r="M2230" s="195"/>
      <c r="N2230" s="195"/>
      <c r="O2230" s="199"/>
      <c r="P2230" s="188"/>
      <c r="Q2230" s="174">
        <f>IF(ISNUMBER(VLOOKUP(A2230,NotghiID!A:A,1,FALSE)),1,0)</f>
        <v>0</v>
      </c>
    </row>
    <row r="2231" spans="1:17" ht="14.25" x14ac:dyDescent="0.2">
      <c r="A2231" s="183">
        <f t="shared" si="3"/>
        <v>399</v>
      </c>
      <c r="B2231" s="232" t="str">
        <f>IF(AND(A2231&lt;&gt;"",ISNUMBER(A2231)),VLOOKUP(A2231,Studies!A:BR,2,FALSE),"")</f>
        <v>Reitman 2011</v>
      </c>
      <c r="C2231" s="232" t="str">
        <f>IF(AND(A2231&lt;&gt;"",ISNUMBER(A2231)),VLOOKUP(A2231,Studies!A:BR,3,FALSE),"")</f>
        <v>https://www.ncbi.nlm.nih.gov/pubmed/21191377</v>
      </c>
      <c r="D2231" s="232" t="str">
        <f>IF(AND(A2231&lt;&gt;"",ISNUMBER(A2231)),VLOOKUP(A2231,Studies!A:BR,4,FALSE),"")</f>
        <v>Week 4 after Perpetrator (Rifampicin)</v>
      </c>
      <c r="E2231" s="206" t="str">
        <f>IF(AND(A2231&lt;&gt;"",ISNUMBER(A2231)),VLOOKUP(A2231,Studies!A:BR,5,FALSE),"")</f>
        <v>Digoxin</v>
      </c>
      <c r="F2231" s="207" t="str">
        <f>IF(AND(A2231&lt;&gt;"",ISNUMBER(A2231)),VLOOKUP(A2231,Studies!A:BR,6,FALSE),"")</f>
        <v>Plasma</v>
      </c>
      <c r="G2231" s="194">
        <v>1321.75</v>
      </c>
      <c r="H2231" s="194" t="s">
        <v>60</v>
      </c>
      <c r="I2231" s="187">
        <v>1.1451420000000001</v>
      </c>
      <c r="J2231" s="187" t="s">
        <v>1026</v>
      </c>
      <c r="K2231" s="187" t="s">
        <v>116</v>
      </c>
      <c r="L2231" s="195"/>
      <c r="M2231" s="195"/>
      <c r="N2231" s="195"/>
      <c r="O2231" s="199"/>
      <c r="P2231" s="188"/>
      <c r="Q2231" s="174">
        <f>IF(ISNUMBER(VLOOKUP(A2231,NotghiID!A:A,1,FALSE)),1,0)</f>
        <v>0</v>
      </c>
    </row>
    <row r="2232" spans="1:17" ht="14.25" x14ac:dyDescent="0.2">
      <c r="A2232" s="183">
        <f t="shared" si="3"/>
        <v>399</v>
      </c>
      <c r="B2232" s="232" t="str">
        <f>IF(AND(A2232&lt;&gt;"",ISNUMBER(A2232)),VLOOKUP(A2232,Studies!A:BR,2,FALSE),"")</f>
        <v>Reitman 2011</v>
      </c>
      <c r="C2232" s="232" t="str">
        <f>IF(AND(A2232&lt;&gt;"",ISNUMBER(A2232)),VLOOKUP(A2232,Studies!A:BR,3,FALSE),"")</f>
        <v>https://www.ncbi.nlm.nih.gov/pubmed/21191377</v>
      </c>
      <c r="D2232" s="232" t="str">
        <f>IF(AND(A2232&lt;&gt;"",ISNUMBER(A2232)),VLOOKUP(A2232,Studies!A:BR,4,FALSE),"")</f>
        <v>Week 4 after Perpetrator (Rifampicin)</v>
      </c>
      <c r="E2232" s="206" t="str">
        <f>IF(AND(A2232&lt;&gt;"",ISNUMBER(A2232)),VLOOKUP(A2232,Studies!A:BR,5,FALSE),"")</f>
        <v>Digoxin</v>
      </c>
      <c r="F2232" s="207" t="str">
        <f>IF(AND(A2232&lt;&gt;"",ISNUMBER(A2232)),VLOOKUP(A2232,Studies!A:BR,6,FALSE),"")</f>
        <v>Plasma</v>
      </c>
      <c r="G2232" s="194">
        <v>1322</v>
      </c>
      <c r="H2232" s="194" t="s">
        <v>60</v>
      </c>
      <c r="I2232" s="187">
        <v>1.1932739999999999</v>
      </c>
      <c r="J2232" s="187" t="s">
        <v>1026</v>
      </c>
      <c r="K2232" s="187" t="s">
        <v>116</v>
      </c>
      <c r="L2232" s="195"/>
      <c r="M2232" s="195"/>
      <c r="N2232" s="195"/>
      <c r="O2232" s="199"/>
      <c r="P2232" s="188"/>
      <c r="Q2232" s="174">
        <f>IF(ISNUMBER(VLOOKUP(A2232,NotghiID!A:A,1,FALSE)),1,0)</f>
        <v>0</v>
      </c>
    </row>
    <row r="2233" spans="1:17" ht="14.25" x14ac:dyDescent="0.2">
      <c r="A2233" s="183">
        <f t="shared" si="3"/>
        <v>399</v>
      </c>
      <c r="B2233" s="232" t="str">
        <f>IF(AND(A2233&lt;&gt;"",ISNUMBER(A2233)),VLOOKUP(A2233,Studies!A:BR,2,FALSE),"")</f>
        <v>Reitman 2011</v>
      </c>
      <c r="C2233" s="232" t="str">
        <f>IF(AND(A2233&lt;&gt;"",ISNUMBER(A2233)),VLOOKUP(A2233,Studies!A:BR,3,FALSE),"")</f>
        <v>https://www.ncbi.nlm.nih.gov/pubmed/21191377</v>
      </c>
      <c r="D2233" s="232" t="str">
        <f>IF(AND(A2233&lt;&gt;"",ISNUMBER(A2233)),VLOOKUP(A2233,Studies!A:BR,4,FALSE),"")</f>
        <v>Week 4 after Perpetrator (Rifampicin)</v>
      </c>
      <c r="E2233" s="206" t="str">
        <f>IF(AND(A2233&lt;&gt;"",ISNUMBER(A2233)),VLOOKUP(A2233,Studies!A:BR,5,FALSE),"")</f>
        <v>Digoxin</v>
      </c>
      <c r="F2233" s="207" t="str">
        <f>IF(AND(A2233&lt;&gt;"",ISNUMBER(A2233)),VLOOKUP(A2233,Studies!A:BR,6,FALSE),"")</f>
        <v>Plasma</v>
      </c>
      <c r="G2233" s="194">
        <v>1323</v>
      </c>
      <c r="H2233" s="194" t="s">
        <v>60</v>
      </c>
      <c r="I2233" s="187">
        <v>1.0076229999999999</v>
      </c>
      <c r="J2233" s="187" t="s">
        <v>1026</v>
      </c>
      <c r="K2233" s="187" t="s">
        <v>116</v>
      </c>
      <c r="L2233" s="195"/>
      <c r="M2233" s="195"/>
      <c r="N2233" s="195"/>
      <c r="O2233" s="199"/>
      <c r="P2233" s="188"/>
      <c r="Q2233" s="174">
        <f>IF(ISNUMBER(VLOOKUP(A2233,NotghiID!A:A,1,FALSE)),1,0)</f>
        <v>0</v>
      </c>
    </row>
    <row r="2234" spans="1:17" ht="14.25" x14ac:dyDescent="0.2">
      <c r="A2234" s="183">
        <f t="shared" si="3"/>
        <v>399</v>
      </c>
      <c r="B2234" s="232" t="str">
        <f>IF(AND(A2234&lt;&gt;"",ISNUMBER(A2234)),VLOOKUP(A2234,Studies!A:BR,2,FALSE),"")</f>
        <v>Reitman 2011</v>
      </c>
      <c r="C2234" s="232" t="str">
        <f>IF(AND(A2234&lt;&gt;"",ISNUMBER(A2234)),VLOOKUP(A2234,Studies!A:BR,3,FALSE),"")</f>
        <v>https://www.ncbi.nlm.nih.gov/pubmed/21191377</v>
      </c>
      <c r="D2234" s="232" t="str">
        <f>IF(AND(A2234&lt;&gt;"",ISNUMBER(A2234)),VLOOKUP(A2234,Studies!A:BR,4,FALSE),"")</f>
        <v>Week 4 after Perpetrator (Rifampicin)</v>
      </c>
      <c r="E2234" s="206" t="str">
        <f>IF(AND(A2234&lt;&gt;"",ISNUMBER(A2234)),VLOOKUP(A2234,Studies!A:BR,5,FALSE),"")</f>
        <v>Digoxin</v>
      </c>
      <c r="F2234" s="207" t="str">
        <f>IF(AND(A2234&lt;&gt;"",ISNUMBER(A2234)),VLOOKUP(A2234,Studies!A:BR,6,FALSE),"")</f>
        <v>Plasma</v>
      </c>
      <c r="G2234" s="194">
        <v>1324</v>
      </c>
      <c r="H2234" s="194" t="s">
        <v>60</v>
      </c>
      <c r="I2234" s="187">
        <v>0.81509719999999997</v>
      </c>
      <c r="J2234" s="187" t="s">
        <v>1026</v>
      </c>
      <c r="K2234" s="187" t="s">
        <v>116</v>
      </c>
      <c r="L2234" s="195"/>
      <c r="M2234" s="195"/>
      <c r="N2234" s="195"/>
      <c r="O2234" s="199"/>
      <c r="P2234" s="188" t="s">
        <v>1125</v>
      </c>
      <c r="Q2234" s="174">
        <f>IF(ISNUMBER(VLOOKUP(A2234,NotghiID!A:A,1,FALSE)),1,0)</f>
        <v>0</v>
      </c>
    </row>
    <row r="2235" spans="1:17" ht="14.25" x14ac:dyDescent="0.2">
      <c r="A2235" s="183">
        <v>415</v>
      </c>
      <c r="B2235" s="232" t="str">
        <f>IF(AND(A2235&lt;&gt;"",ISNUMBER(A2235)),VLOOKUP(A2235,Studies!A:BR,2,FALSE),"")</f>
        <v>Smith 1981</v>
      </c>
      <c r="C2235" s="232" t="str">
        <f>IF(AND(A2235&lt;&gt;"",ISNUMBER(A2235)),VLOOKUP(A2235,Studies!A:BR,3,FALSE),"")</f>
        <v>https://www.ncbi.nlm.nih.gov/pubmed/6116606</v>
      </c>
      <c r="D2235" s="232" t="str">
        <f>IF(AND(A2235&lt;&gt;"",ISNUMBER(A2235)),VLOOKUP(A2235,Studies!A:BR,4,FALSE),"")</f>
        <v>iv 5 mg</v>
      </c>
      <c r="E2235" s="206" t="str">
        <f>IF(AND(A2235&lt;&gt;"",ISNUMBER(A2235)),VLOOKUP(A2235,Studies!A:BR,5,FALSE),"")</f>
        <v>Midazolam</v>
      </c>
      <c r="F2235" s="207" t="str">
        <f>IF(AND(A2235&lt;&gt;"",ISNUMBER(A2235)),VLOOKUP(A2235,Studies!A:BR,6,FALSE),"")</f>
        <v>Plasma</v>
      </c>
      <c r="G2235" s="194">
        <v>0.08</v>
      </c>
      <c r="H2235" s="194" t="s">
        <v>60</v>
      </c>
      <c r="I2235" s="187">
        <v>102.06513079166412</v>
      </c>
      <c r="J2235" s="187" t="s">
        <v>1063</v>
      </c>
      <c r="K2235" s="187" t="s">
        <v>116</v>
      </c>
      <c r="L2235" s="195"/>
      <c r="M2235" s="195"/>
      <c r="N2235" s="195"/>
      <c r="O2235" s="199"/>
      <c r="P2235" s="188" t="s">
        <v>1125</v>
      </c>
      <c r="Q2235" s="174">
        <f>IF(ISNUMBER(VLOOKUP(A2235,NotghiID!A:A,1,FALSE)),1,0)</f>
        <v>0</v>
      </c>
    </row>
    <row r="2236" spans="1:17" ht="14.25" x14ac:dyDescent="0.2">
      <c r="A2236" s="183">
        <v>415</v>
      </c>
      <c r="B2236" s="232" t="str">
        <f>IF(AND(A2236&lt;&gt;"",ISNUMBER(A2236)),VLOOKUP(A2236,Studies!A:BR,2,FALSE),"")</f>
        <v>Smith 1981</v>
      </c>
      <c r="C2236" s="232" t="str">
        <f>IF(AND(A2236&lt;&gt;"",ISNUMBER(A2236)),VLOOKUP(A2236,Studies!A:BR,3,FALSE),"")</f>
        <v>https://www.ncbi.nlm.nih.gov/pubmed/6116606</v>
      </c>
      <c r="D2236" s="232" t="str">
        <f>IF(AND(A2236&lt;&gt;"",ISNUMBER(A2236)),VLOOKUP(A2236,Studies!A:BR,4,FALSE),"")</f>
        <v>iv 5 mg</v>
      </c>
      <c r="E2236" s="206" t="str">
        <f>IF(AND(A2236&lt;&gt;"",ISNUMBER(A2236)),VLOOKUP(A2236,Studies!A:BR,5,FALSE),"")</f>
        <v>Midazolam</v>
      </c>
      <c r="F2236" s="207" t="str">
        <f>IF(AND(A2236&lt;&gt;"",ISNUMBER(A2236)),VLOOKUP(A2236,Studies!A:BR,6,FALSE),"")</f>
        <v>Plasma</v>
      </c>
      <c r="G2236" s="194">
        <v>0.16</v>
      </c>
      <c r="H2236" s="194" t="s">
        <v>60</v>
      </c>
      <c r="I2236" s="187">
        <v>90.581383150815952</v>
      </c>
      <c r="J2236" s="187" t="s">
        <v>1063</v>
      </c>
      <c r="K2236" s="187" t="s">
        <v>116</v>
      </c>
      <c r="L2236" s="195"/>
      <c r="M2236" s="195"/>
      <c r="N2236" s="195"/>
      <c r="O2236" s="199"/>
      <c r="P2236" s="188" t="s">
        <v>1125</v>
      </c>
      <c r="Q2236" s="174">
        <f>IF(ISNUMBER(VLOOKUP(A2236,NotghiID!A:A,1,FALSE)),1,0)</f>
        <v>0</v>
      </c>
    </row>
    <row r="2237" spans="1:17" ht="14.25" x14ac:dyDescent="0.2">
      <c r="A2237" s="183">
        <v>415</v>
      </c>
      <c r="B2237" s="232" t="str">
        <f>IF(AND(A2237&lt;&gt;"",ISNUMBER(A2237)),VLOOKUP(A2237,Studies!A:BR,2,FALSE),"")</f>
        <v>Smith 1981</v>
      </c>
      <c r="C2237" s="232" t="str">
        <f>IF(AND(A2237&lt;&gt;"",ISNUMBER(A2237)),VLOOKUP(A2237,Studies!A:BR,3,FALSE),"")</f>
        <v>https://www.ncbi.nlm.nih.gov/pubmed/6116606</v>
      </c>
      <c r="D2237" s="232" t="str">
        <f>IF(AND(A2237&lt;&gt;"",ISNUMBER(A2237)),VLOOKUP(A2237,Studies!A:BR,4,FALSE),"")</f>
        <v>iv 5 mg</v>
      </c>
      <c r="E2237" s="206" t="str">
        <f>IF(AND(A2237&lt;&gt;"",ISNUMBER(A2237)),VLOOKUP(A2237,Studies!A:BR,5,FALSE),"")</f>
        <v>Midazolam</v>
      </c>
      <c r="F2237" s="207" t="str">
        <f>IF(AND(A2237&lt;&gt;"",ISNUMBER(A2237)),VLOOKUP(A2237,Studies!A:BR,6,FALSE),"")</f>
        <v>Plasma</v>
      </c>
      <c r="G2237" s="194">
        <v>0.25</v>
      </c>
      <c r="H2237" s="194" t="s">
        <v>60</v>
      </c>
      <c r="I2237" s="187">
        <v>81.975014342069613</v>
      </c>
      <c r="J2237" s="187" t="s">
        <v>1063</v>
      </c>
      <c r="K2237" s="187" t="s">
        <v>116</v>
      </c>
      <c r="L2237" s="195"/>
      <c r="M2237" s="195"/>
      <c r="N2237" s="195"/>
      <c r="O2237" s="199"/>
      <c r="P2237" s="188" t="s">
        <v>1125</v>
      </c>
      <c r="Q2237" s="174">
        <f>IF(ISNUMBER(VLOOKUP(A2237,NotghiID!A:A,1,FALSE)),1,0)</f>
        <v>0</v>
      </c>
    </row>
    <row r="2238" spans="1:17" ht="14.25" x14ac:dyDescent="0.2">
      <c r="A2238" s="183">
        <v>415</v>
      </c>
      <c r="B2238" s="232" t="str">
        <f>IF(AND(A2238&lt;&gt;"",ISNUMBER(A2238)),VLOOKUP(A2238,Studies!A:BR,2,FALSE),"")</f>
        <v>Smith 1981</v>
      </c>
      <c r="C2238" s="232" t="str">
        <f>IF(AND(A2238&lt;&gt;"",ISNUMBER(A2238)),VLOOKUP(A2238,Studies!A:BR,3,FALSE),"")</f>
        <v>https://www.ncbi.nlm.nih.gov/pubmed/6116606</v>
      </c>
      <c r="D2238" s="232" t="str">
        <f>IF(AND(A2238&lt;&gt;"",ISNUMBER(A2238)),VLOOKUP(A2238,Studies!A:BR,4,FALSE),"")</f>
        <v>iv 5 mg</v>
      </c>
      <c r="E2238" s="206" t="str">
        <f>IF(AND(A2238&lt;&gt;"",ISNUMBER(A2238)),VLOOKUP(A2238,Studies!A:BR,5,FALSE),"")</f>
        <v>Midazolam</v>
      </c>
      <c r="F2238" s="207" t="str">
        <f>IF(AND(A2238&lt;&gt;"",ISNUMBER(A2238)),VLOOKUP(A2238,Studies!A:BR,6,FALSE),"")</f>
        <v>Plasma</v>
      </c>
      <c r="G2238" s="194">
        <v>0.33</v>
      </c>
      <c r="H2238" s="194" t="s">
        <v>60</v>
      </c>
      <c r="I2238" s="187">
        <v>73.371150455474847</v>
      </c>
      <c r="J2238" s="187" t="s">
        <v>1063</v>
      </c>
      <c r="K2238" s="187" t="s">
        <v>116</v>
      </c>
      <c r="L2238" s="195"/>
      <c r="M2238" s="195"/>
      <c r="N2238" s="195"/>
      <c r="O2238" s="199"/>
      <c r="P2238" s="188" t="s">
        <v>1125</v>
      </c>
      <c r="Q2238" s="174">
        <f>IF(ISNUMBER(VLOOKUP(A2238,NotghiID!A:A,1,FALSE)),1,0)</f>
        <v>0</v>
      </c>
    </row>
    <row r="2239" spans="1:17" ht="14.25" x14ac:dyDescent="0.2">
      <c r="A2239" s="183">
        <v>415</v>
      </c>
      <c r="B2239" s="232" t="str">
        <f>IF(AND(A2239&lt;&gt;"",ISNUMBER(A2239)),VLOOKUP(A2239,Studies!A:BR,2,FALSE),"")</f>
        <v>Smith 1981</v>
      </c>
      <c r="C2239" s="232" t="str">
        <f>IF(AND(A2239&lt;&gt;"",ISNUMBER(A2239)),VLOOKUP(A2239,Studies!A:BR,3,FALSE),"")</f>
        <v>https://www.ncbi.nlm.nih.gov/pubmed/6116606</v>
      </c>
      <c r="D2239" s="232" t="str">
        <f>IF(AND(A2239&lt;&gt;"",ISNUMBER(A2239)),VLOOKUP(A2239,Studies!A:BR,4,FALSE),"")</f>
        <v>iv 5 mg</v>
      </c>
      <c r="E2239" s="206" t="str">
        <f>IF(AND(A2239&lt;&gt;"",ISNUMBER(A2239)),VLOOKUP(A2239,Studies!A:BR,5,FALSE),"")</f>
        <v>Midazolam</v>
      </c>
      <c r="F2239" s="207" t="str">
        <f>IF(AND(A2239&lt;&gt;"",ISNUMBER(A2239)),VLOOKUP(A2239,Studies!A:BR,6,FALSE),"")</f>
        <v>Plasma</v>
      </c>
      <c r="G2239" s="194">
        <v>0.5</v>
      </c>
      <c r="H2239" s="194" t="s">
        <v>60</v>
      </c>
      <c r="I2239" s="187">
        <v>64.77958787262439</v>
      </c>
      <c r="J2239" s="187" t="s">
        <v>1063</v>
      </c>
      <c r="K2239" s="187" t="s">
        <v>116</v>
      </c>
      <c r="L2239" s="195"/>
      <c r="M2239" s="195"/>
      <c r="N2239" s="195"/>
      <c r="O2239" s="199"/>
      <c r="P2239" s="188" t="s">
        <v>1125</v>
      </c>
      <c r="Q2239" s="174">
        <f>IF(ISNUMBER(VLOOKUP(A2239,NotghiID!A:A,1,FALSE)),1,0)</f>
        <v>0</v>
      </c>
    </row>
    <row r="2240" spans="1:17" ht="14.25" x14ac:dyDescent="0.2">
      <c r="A2240" s="183">
        <v>415</v>
      </c>
      <c r="B2240" s="232" t="str">
        <f>IF(AND(A2240&lt;&gt;"",ISNUMBER(A2240)),VLOOKUP(A2240,Studies!A:BR,2,FALSE),"")</f>
        <v>Smith 1981</v>
      </c>
      <c r="C2240" s="232" t="str">
        <f>IF(AND(A2240&lt;&gt;"",ISNUMBER(A2240)),VLOOKUP(A2240,Studies!A:BR,3,FALSE),"")</f>
        <v>https://www.ncbi.nlm.nih.gov/pubmed/6116606</v>
      </c>
      <c r="D2240" s="232" t="str">
        <f>IF(AND(A2240&lt;&gt;"",ISNUMBER(A2240)),VLOOKUP(A2240,Studies!A:BR,4,FALSE),"")</f>
        <v>iv 5 mg</v>
      </c>
      <c r="E2240" s="206" t="str">
        <f>IF(AND(A2240&lt;&gt;"",ISNUMBER(A2240)),VLOOKUP(A2240,Studies!A:BR,5,FALSE),"")</f>
        <v>Midazolam</v>
      </c>
      <c r="F2240" s="207" t="str">
        <f>IF(AND(A2240&lt;&gt;"",ISNUMBER(A2240)),VLOOKUP(A2240,Studies!A:BR,6,FALSE),"")</f>
        <v>Plasma</v>
      </c>
      <c r="G2240" s="194">
        <v>0.75</v>
      </c>
      <c r="H2240" s="194" t="s">
        <v>60</v>
      </c>
      <c r="I2240" s="187">
        <v>59.067612919509408</v>
      </c>
      <c r="J2240" s="187" t="s">
        <v>1063</v>
      </c>
      <c r="K2240" s="187" t="s">
        <v>116</v>
      </c>
      <c r="L2240" s="195"/>
      <c r="M2240" s="195"/>
      <c r="N2240" s="195"/>
      <c r="O2240" s="199"/>
      <c r="P2240" s="188" t="s">
        <v>1125</v>
      </c>
      <c r="Q2240" s="174">
        <f>IF(ISNUMBER(VLOOKUP(A2240,NotghiID!A:A,1,FALSE)),1,0)</f>
        <v>0</v>
      </c>
    </row>
    <row r="2241" spans="1:17" ht="14.25" x14ac:dyDescent="0.2">
      <c r="A2241" s="183">
        <v>415</v>
      </c>
      <c r="B2241" s="232" t="str">
        <f>IF(AND(A2241&lt;&gt;"",ISNUMBER(A2241)),VLOOKUP(A2241,Studies!A:BR,2,FALSE),"")</f>
        <v>Smith 1981</v>
      </c>
      <c r="C2241" s="232" t="str">
        <f>IF(AND(A2241&lt;&gt;"",ISNUMBER(A2241)),VLOOKUP(A2241,Studies!A:BR,3,FALSE),"")</f>
        <v>https://www.ncbi.nlm.nih.gov/pubmed/6116606</v>
      </c>
      <c r="D2241" s="232" t="str">
        <f>IF(AND(A2241&lt;&gt;"",ISNUMBER(A2241)),VLOOKUP(A2241,Studies!A:BR,4,FALSE),"")</f>
        <v>iv 5 mg</v>
      </c>
      <c r="E2241" s="206" t="str">
        <f>IF(AND(A2241&lt;&gt;"",ISNUMBER(A2241)),VLOOKUP(A2241,Studies!A:BR,5,FALSE),"")</f>
        <v>Midazolam</v>
      </c>
      <c r="F2241" s="207" t="str">
        <f>IF(AND(A2241&lt;&gt;"",ISNUMBER(A2241)),VLOOKUP(A2241,Studies!A:BR,6,FALSE),"")</f>
        <v>Plasma</v>
      </c>
      <c r="G2241" s="194">
        <v>1</v>
      </c>
      <c r="H2241" s="194" t="s">
        <v>60</v>
      </c>
      <c r="I2241" s="187">
        <v>51.219473366141315</v>
      </c>
      <c r="J2241" s="187" t="s">
        <v>1063</v>
      </c>
      <c r="K2241" s="187" t="s">
        <v>116</v>
      </c>
      <c r="L2241" s="195"/>
      <c r="M2241" s="195"/>
      <c r="N2241" s="195"/>
      <c r="O2241" s="199"/>
      <c r="P2241" s="188" t="s">
        <v>1125</v>
      </c>
      <c r="Q2241" s="174">
        <f>IF(ISNUMBER(VLOOKUP(A2241,NotghiID!A:A,1,FALSE)),1,0)</f>
        <v>0</v>
      </c>
    </row>
    <row r="2242" spans="1:17" ht="14.25" x14ac:dyDescent="0.2">
      <c r="A2242" s="183">
        <v>415</v>
      </c>
      <c r="B2242" s="232" t="str">
        <f>IF(AND(A2242&lt;&gt;"",ISNUMBER(A2242)),VLOOKUP(A2242,Studies!A:BR,2,FALSE),"")</f>
        <v>Smith 1981</v>
      </c>
      <c r="C2242" s="232" t="str">
        <f>IF(AND(A2242&lt;&gt;"",ISNUMBER(A2242)),VLOOKUP(A2242,Studies!A:BR,3,FALSE),"")</f>
        <v>https://www.ncbi.nlm.nih.gov/pubmed/6116606</v>
      </c>
      <c r="D2242" s="232" t="str">
        <f>IF(AND(A2242&lt;&gt;"",ISNUMBER(A2242)),VLOOKUP(A2242,Studies!A:BR,4,FALSE),"")</f>
        <v>iv 5 mg</v>
      </c>
      <c r="E2242" s="206" t="str">
        <f>IF(AND(A2242&lt;&gt;"",ISNUMBER(A2242)),VLOOKUP(A2242,Studies!A:BR,5,FALSE),"")</f>
        <v>Midazolam</v>
      </c>
      <c r="F2242" s="207" t="str">
        <f>IF(AND(A2242&lt;&gt;"",ISNUMBER(A2242)),VLOOKUP(A2242,Studies!A:BR,6,FALSE),"")</f>
        <v>Plasma</v>
      </c>
      <c r="G2242" s="194">
        <v>1.5</v>
      </c>
      <c r="H2242" s="194" t="s">
        <v>60</v>
      </c>
      <c r="I2242" s="187">
        <v>39.104201354831453</v>
      </c>
      <c r="J2242" s="187" t="s">
        <v>1063</v>
      </c>
      <c r="K2242" s="187" t="s">
        <v>116</v>
      </c>
      <c r="L2242" s="195"/>
      <c r="M2242" s="195"/>
      <c r="N2242" s="195"/>
      <c r="O2242" s="199"/>
      <c r="P2242" s="188" t="s">
        <v>1125</v>
      </c>
      <c r="Q2242" s="174">
        <f>IF(ISNUMBER(VLOOKUP(A2242,NotghiID!A:A,1,FALSE)),1,0)</f>
        <v>0</v>
      </c>
    </row>
    <row r="2243" spans="1:17" ht="14.25" x14ac:dyDescent="0.2">
      <c r="A2243" s="183">
        <v>415</v>
      </c>
      <c r="B2243" s="232" t="str">
        <f>IF(AND(A2243&lt;&gt;"",ISNUMBER(A2243)),VLOOKUP(A2243,Studies!A:BR,2,FALSE),"")</f>
        <v>Smith 1981</v>
      </c>
      <c r="C2243" s="232" t="str">
        <f>IF(AND(A2243&lt;&gt;"",ISNUMBER(A2243)),VLOOKUP(A2243,Studies!A:BR,3,FALSE),"")</f>
        <v>https://www.ncbi.nlm.nih.gov/pubmed/6116606</v>
      </c>
      <c r="D2243" s="232" t="str">
        <f>IF(AND(A2243&lt;&gt;"",ISNUMBER(A2243)),VLOOKUP(A2243,Studies!A:BR,4,FALSE),"")</f>
        <v>iv 5 mg</v>
      </c>
      <c r="E2243" s="206" t="str">
        <f>IF(AND(A2243&lt;&gt;"",ISNUMBER(A2243)),VLOOKUP(A2243,Studies!A:BR,5,FALSE),"")</f>
        <v>Midazolam</v>
      </c>
      <c r="F2243" s="207" t="str">
        <f>IF(AND(A2243&lt;&gt;"",ISNUMBER(A2243)),VLOOKUP(A2243,Studies!A:BR,6,FALSE),"")</f>
        <v>Plasma</v>
      </c>
      <c r="G2243" s="194">
        <v>2</v>
      </c>
      <c r="H2243" s="194" t="s">
        <v>60</v>
      </c>
      <c r="I2243" s="187">
        <v>32.728004544526335</v>
      </c>
      <c r="J2243" s="187" t="s">
        <v>1063</v>
      </c>
      <c r="K2243" s="187" t="s">
        <v>116</v>
      </c>
      <c r="L2243" s="195"/>
      <c r="M2243" s="195"/>
      <c r="N2243" s="195"/>
      <c r="O2243" s="199"/>
      <c r="P2243" s="188" t="s">
        <v>1125</v>
      </c>
      <c r="Q2243" s="174">
        <f>IF(ISNUMBER(VLOOKUP(A2243,NotghiID!A:A,1,FALSE)),1,0)</f>
        <v>0</v>
      </c>
    </row>
    <row r="2244" spans="1:17" ht="14.25" x14ac:dyDescent="0.2">
      <c r="A2244" s="183">
        <v>415</v>
      </c>
      <c r="B2244" s="232" t="str">
        <f>IF(AND(A2244&lt;&gt;"",ISNUMBER(A2244)),VLOOKUP(A2244,Studies!A:BR,2,FALSE),"")</f>
        <v>Smith 1981</v>
      </c>
      <c r="C2244" s="232" t="str">
        <f>IF(AND(A2244&lt;&gt;"",ISNUMBER(A2244)),VLOOKUP(A2244,Studies!A:BR,3,FALSE),"")</f>
        <v>https://www.ncbi.nlm.nih.gov/pubmed/6116606</v>
      </c>
      <c r="D2244" s="232" t="str">
        <f>IF(AND(A2244&lt;&gt;"",ISNUMBER(A2244)),VLOOKUP(A2244,Studies!A:BR,4,FALSE),"")</f>
        <v>iv 5 mg</v>
      </c>
      <c r="E2244" s="206" t="str">
        <f>IF(AND(A2244&lt;&gt;"",ISNUMBER(A2244)),VLOOKUP(A2244,Studies!A:BR,5,FALSE),"")</f>
        <v>Midazolam</v>
      </c>
      <c r="F2244" s="207" t="str">
        <f>IF(AND(A2244&lt;&gt;"",ISNUMBER(A2244)),VLOOKUP(A2244,Studies!A:BR,6,FALSE),"")</f>
        <v>Plasma</v>
      </c>
      <c r="G2244" s="194">
        <v>3</v>
      </c>
      <c r="H2244" s="194" t="s">
        <v>60</v>
      </c>
      <c r="I2244" s="187">
        <v>19.267091751545667</v>
      </c>
      <c r="J2244" s="187" t="s">
        <v>1063</v>
      </c>
      <c r="K2244" s="187" t="s">
        <v>116</v>
      </c>
      <c r="L2244" s="195"/>
      <c r="M2244" s="195"/>
      <c r="N2244" s="195"/>
      <c r="O2244" s="199"/>
      <c r="P2244" s="188" t="s">
        <v>1125</v>
      </c>
      <c r="Q2244" s="174">
        <f>IF(ISNUMBER(VLOOKUP(A2244,NotghiID!A:A,1,FALSE)),1,0)</f>
        <v>0</v>
      </c>
    </row>
    <row r="2245" spans="1:17" ht="14.25" x14ac:dyDescent="0.2">
      <c r="A2245" s="183">
        <v>415</v>
      </c>
      <c r="B2245" s="232" t="str">
        <f>IF(AND(A2245&lt;&gt;"",ISNUMBER(A2245)),VLOOKUP(A2245,Studies!A:BR,2,FALSE),"")</f>
        <v>Smith 1981</v>
      </c>
      <c r="C2245" s="232" t="str">
        <f>IF(AND(A2245&lt;&gt;"",ISNUMBER(A2245)),VLOOKUP(A2245,Studies!A:BR,3,FALSE),"")</f>
        <v>https://www.ncbi.nlm.nih.gov/pubmed/6116606</v>
      </c>
      <c r="D2245" s="232" t="str">
        <f>IF(AND(A2245&lt;&gt;"",ISNUMBER(A2245)),VLOOKUP(A2245,Studies!A:BR,4,FALSE),"")</f>
        <v>iv 5 mg</v>
      </c>
      <c r="E2245" s="206" t="str">
        <f>IF(AND(A2245&lt;&gt;"",ISNUMBER(A2245)),VLOOKUP(A2245,Studies!A:BR,5,FALSE),"")</f>
        <v>Midazolam</v>
      </c>
      <c r="F2245" s="207" t="str">
        <f>IF(AND(A2245&lt;&gt;"",ISNUMBER(A2245)),VLOOKUP(A2245,Studies!A:BR,6,FALSE),"")</f>
        <v>Plasma</v>
      </c>
      <c r="G2245" s="194">
        <v>4</v>
      </c>
      <c r="H2245" s="194" t="s">
        <v>60</v>
      </c>
      <c r="I2245" s="187">
        <v>12.650588681325315</v>
      </c>
      <c r="J2245" s="187" t="s">
        <v>1063</v>
      </c>
      <c r="K2245" s="187" t="s">
        <v>116</v>
      </c>
      <c r="L2245" s="195"/>
      <c r="M2245" s="195"/>
      <c r="N2245" s="195"/>
      <c r="O2245" s="199"/>
      <c r="P2245" s="188" t="s">
        <v>1125</v>
      </c>
      <c r="Q2245" s="174">
        <f>IF(ISNUMBER(VLOOKUP(A2245,NotghiID!A:A,1,FALSE)),1,0)</f>
        <v>0</v>
      </c>
    </row>
    <row r="2246" spans="1:17" ht="14.25" x14ac:dyDescent="0.2">
      <c r="A2246" s="183">
        <v>415</v>
      </c>
      <c r="B2246" s="232" t="str">
        <f>IF(AND(A2246&lt;&gt;"",ISNUMBER(A2246)),VLOOKUP(A2246,Studies!A:BR,2,FALSE),"")</f>
        <v>Smith 1981</v>
      </c>
      <c r="C2246" s="232" t="str">
        <f>IF(AND(A2246&lt;&gt;"",ISNUMBER(A2246)),VLOOKUP(A2246,Studies!A:BR,3,FALSE),"")</f>
        <v>https://www.ncbi.nlm.nih.gov/pubmed/6116606</v>
      </c>
      <c r="D2246" s="232" t="str">
        <f>IF(AND(A2246&lt;&gt;"",ISNUMBER(A2246)),VLOOKUP(A2246,Studies!A:BR,4,FALSE),"")</f>
        <v>iv 5 mg</v>
      </c>
      <c r="E2246" s="206" t="str">
        <f>IF(AND(A2246&lt;&gt;"",ISNUMBER(A2246)),VLOOKUP(A2246,Studies!A:BR,5,FALSE),"")</f>
        <v>Midazolam</v>
      </c>
      <c r="F2246" s="207" t="str">
        <f>IF(AND(A2246&lt;&gt;"",ISNUMBER(A2246)),VLOOKUP(A2246,Studies!A:BR,6,FALSE),"")</f>
        <v>Plasma</v>
      </c>
      <c r="G2246" s="194">
        <v>6</v>
      </c>
      <c r="H2246" s="194" t="s">
        <v>60</v>
      </c>
      <c r="I2246" s="187">
        <v>6.1877796972170467</v>
      </c>
      <c r="J2246" s="187" t="s">
        <v>1063</v>
      </c>
      <c r="K2246" s="187" t="s">
        <v>116</v>
      </c>
      <c r="L2246" s="195"/>
      <c r="M2246" s="195"/>
      <c r="N2246" s="195"/>
      <c r="O2246" s="199"/>
      <c r="P2246" s="188" t="s">
        <v>1125</v>
      </c>
      <c r="Q2246" s="174">
        <f>IF(ISNUMBER(VLOOKUP(A2246,NotghiID!A:A,1,FALSE)),1,0)</f>
        <v>0</v>
      </c>
    </row>
    <row r="2247" spans="1:17" ht="14.25" x14ac:dyDescent="0.2">
      <c r="A2247" s="183">
        <v>415</v>
      </c>
      <c r="B2247" s="232" t="str">
        <f>IF(AND(A2247&lt;&gt;"",ISNUMBER(A2247)),VLOOKUP(A2247,Studies!A:BR,2,FALSE),"")</f>
        <v>Smith 1981</v>
      </c>
      <c r="C2247" s="232" t="str">
        <f>IF(AND(A2247&lt;&gt;"",ISNUMBER(A2247)),VLOOKUP(A2247,Studies!A:BR,3,FALSE),"")</f>
        <v>https://www.ncbi.nlm.nih.gov/pubmed/6116606</v>
      </c>
      <c r="D2247" s="232" t="str">
        <f>IF(AND(A2247&lt;&gt;"",ISNUMBER(A2247)),VLOOKUP(A2247,Studies!A:BR,4,FALSE),"")</f>
        <v>iv 5 mg</v>
      </c>
      <c r="E2247" s="206" t="str">
        <f>IF(AND(A2247&lt;&gt;"",ISNUMBER(A2247)),VLOOKUP(A2247,Studies!A:BR,5,FALSE),"")</f>
        <v>Midazolam</v>
      </c>
      <c r="F2247" s="207" t="str">
        <f>IF(AND(A2247&lt;&gt;"",ISNUMBER(A2247)),VLOOKUP(A2247,Studies!A:BR,6,FALSE),"")</f>
        <v>Plasma</v>
      </c>
      <c r="G2247" s="194">
        <v>8</v>
      </c>
      <c r="H2247" s="194" t="s">
        <v>60</v>
      </c>
      <c r="I2247" s="187">
        <v>4.3961250261217355</v>
      </c>
      <c r="J2247" s="187" t="s">
        <v>1063</v>
      </c>
      <c r="K2247" s="187" t="s">
        <v>116</v>
      </c>
      <c r="L2247" s="195"/>
      <c r="M2247" s="195"/>
      <c r="N2247" s="195"/>
      <c r="O2247" s="199"/>
      <c r="P2247" s="188" t="s">
        <v>1125</v>
      </c>
      <c r="Q2247" s="174">
        <f>IF(ISNUMBER(VLOOKUP(A2247,NotghiID!A:A,1,FALSE)),1,0)</f>
        <v>0</v>
      </c>
    </row>
    <row r="2248" spans="1:17" ht="14.25" x14ac:dyDescent="0.2">
      <c r="A2248" s="183">
        <v>416</v>
      </c>
      <c r="B2248" s="232" t="str">
        <f>IF(AND(A2248&lt;&gt;"",ISNUMBER(A2248)),VLOOKUP(A2248,Studies!A:BR,2,FALSE),"")</f>
        <v>Smith 1981</v>
      </c>
      <c r="C2248" s="232" t="str">
        <f>IF(AND(A2248&lt;&gt;"",ISNUMBER(A2248)),VLOOKUP(A2248,Studies!A:BR,3,FALSE),"")</f>
        <v>https://www.ncbi.nlm.nih.gov/pubmed/6116606</v>
      </c>
      <c r="D2248" s="232" t="str">
        <f>IF(AND(A2248&lt;&gt;"",ISNUMBER(A2248)),VLOOKUP(A2248,Studies!A:BR,4,FALSE),"")</f>
        <v>oral solution 10 mg</v>
      </c>
      <c r="E2248" s="206" t="str">
        <f>IF(AND(A2248&lt;&gt;"",ISNUMBER(A2248)),VLOOKUP(A2248,Studies!A:BR,5,FALSE),"")</f>
        <v>Midazolam</v>
      </c>
      <c r="F2248" s="207" t="str">
        <f>IF(AND(A2248&lt;&gt;"",ISNUMBER(A2248)),VLOOKUP(A2248,Studies!A:BR,6,FALSE),"")</f>
        <v>Plasma</v>
      </c>
      <c r="G2248" s="194">
        <v>0.08</v>
      </c>
      <c r="H2248" s="194" t="s">
        <v>60</v>
      </c>
      <c r="I2248" s="187">
        <v>1.4041631480399519</v>
      </c>
      <c r="J2248" s="187" t="s">
        <v>1063</v>
      </c>
      <c r="K2248" s="187" t="s">
        <v>116</v>
      </c>
      <c r="L2248" s="195"/>
      <c r="M2248" s="195"/>
      <c r="N2248" s="195"/>
      <c r="O2248" s="199"/>
      <c r="P2248" s="188" t="s">
        <v>1125</v>
      </c>
      <c r="Q2248" s="174">
        <f>IF(ISNUMBER(VLOOKUP(A2248,NotghiID!A:A,1,FALSE)),1,0)</f>
        <v>0</v>
      </c>
    </row>
    <row r="2249" spans="1:17" ht="14.25" x14ac:dyDescent="0.2">
      <c r="A2249" s="183">
        <v>416</v>
      </c>
      <c r="B2249" s="232" t="str">
        <f>IF(AND(A2249&lt;&gt;"",ISNUMBER(A2249)),VLOOKUP(A2249,Studies!A:BR,2,FALSE),"")</f>
        <v>Smith 1981</v>
      </c>
      <c r="C2249" s="232" t="str">
        <f>IF(AND(A2249&lt;&gt;"",ISNUMBER(A2249)),VLOOKUP(A2249,Studies!A:BR,3,FALSE),"")</f>
        <v>https://www.ncbi.nlm.nih.gov/pubmed/6116606</v>
      </c>
      <c r="D2249" s="232" t="str">
        <f>IF(AND(A2249&lt;&gt;"",ISNUMBER(A2249)),VLOOKUP(A2249,Studies!A:BR,4,FALSE),"")</f>
        <v>oral solution 10 mg</v>
      </c>
      <c r="E2249" s="206" t="str">
        <f>IF(AND(A2249&lt;&gt;"",ISNUMBER(A2249)),VLOOKUP(A2249,Studies!A:BR,5,FALSE),"")</f>
        <v>Midazolam</v>
      </c>
      <c r="F2249" s="207" t="str">
        <f>IF(AND(A2249&lt;&gt;"",ISNUMBER(A2249)),VLOOKUP(A2249,Studies!A:BR,6,FALSE),"")</f>
        <v>Plasma</v>
      </c>
      <c r="G2249" s="194">
        <v>0.16</v>
      </c>
      <c r="H2249" s="194" t="s">
        <v>60</v>
      </c>
      <c r="I2249" s="187">
        <v>18.859778545275329</v>
      </c>
      <c r="J2249" s="187" t="s">
        <v>1063</v>
      </c>
      <c r="K2249" s="187" t="s">
        <v>116</v>
      </c>
      <c r="L2249" s="195"/>
      <c r="M2249" s="195"/>
      <c r="N2249" s="195"/>
      <c r="O2249" s="199"/>
      <c r="P2249" s="188" t="s">
        <v>1125</v>
      </c>
      <c r="Q2249" s="174">
        <f>IF(ISNUMBER(VLOOKUP(A2249,NotghiID!A:A,1,FALSE)),1,0)</f>
        <v>0</v>
      </c>
    </row>
    <row r="2250" spans="1:17" ht="14.25" x14ac:dyDescent="0.2">
      <c r="A2250" s="183">
        <v>416</v>
      </c>
      <c r="B2250" s="232" t="str">
        <f>IF(AND(A2250&lt;&gt;"",ISNUMBER(A2250)),VLOOKUP(A2250,Studies!A:BR,2,FALSE),"")</f>
        <v>Smith 1981</v>
      </c>
      <c r="C2250" s="232" t="str">
        <f>IF(AND(A2250&lt;&gt;"",ISNUMBER(A2250)),VLOOKUP(A2250,Studies!A:BR,3,FALSE),"")</f>
        <v>https://www.ncbi.nlm.nih.gov/pubmed/6116606</v>
      </c>
      <c r="D2250" s="232" t="str">
        <f>IF(AND(A2250&lt;&gt;"",ISNUMBER(A2250)),VLOOKUP(A2250,Studies!A:BR,4,FALSE),"")</f>
        <v>oral solution 10 mg</v>
      </c>
      <c r="E2250" s="206" t="str">
        <f>IF(AND(A2250&lt;&gt;"",ISNUMBER(A2250)),VLOOKUP(A2250,Studies!A:BR,5,FALSE),"")</f>
        <v>Midazolam</v>
      </c>
      <c r="F2250" s="207" t="str">
        <f>IF(AND(A2250&lt;&gt;"",ISNUMBER(A2250)),VLOOKUP(A2250,Studies!A:BR,6,FALSE),"")</f>
        <v>Plasma</v>
      </c>
      <c r="G2250" s="194">
        <v>0.25</v>
      </c>
      <c r="H2250" s="194" t="s">
        <v>60</v>
      </c>
      <c r="I2250" s="187">
        <v>41.898988146185872</v>
      </c>
      <c r="J2250" s="187" t="s">
        <v>1063</v>
      </c>
      <c r="K2250" s="187" t="s">
        <v>116</v>
      </c>
      <c r="L2250" s="195"/>
      <c r="M2250" s="195"/>
      <c r="N2250" s="195"/>
      <c r="O2250" s="199"/>
      <c r="P2250" s="188" t="s">
        <v>1125</v>
      </c>
      <c r="Q2250" s="174">
        <f>IF(ISNUMBER(VLOOKUP(A2250,NotghiID!A:A,1,FALSE)),1,0)</f>
        <v>0</v>
      </c>
    </row>
    <row r="2251" spans="1:17" ht="14.25" x14ac:dyDescent="0.2">
      <c r="A2251" s="183">
        <v>416</v>
      </c>
      <c r="B2251" s="232" t="str">
        <f>IF(AND(A2251&lt;&gt;"",ISNUMBER(A2251)),VLOOKUP(A2251,Studies!A:BR,2,FALSE),"")</f>
        <v>Smith 1981</v>
      </c>
      <c r="C2251" s="232" t="str">
        <f>IF(AND(A2251&lt;&gt;"",ISNUMBER(A2251)),VLOOKUP(A2251,Studies!A:BR,3,FALSE),"")</f>
        <v>https://www.ncbi.nlm.nih.gov/pubmed/6116606</v>
      </c>
      <c r="D2251" s="232" t="str">
        <f>IF(AND(A2251&lt;&gt;"",ISNUMBER(A2251)),VLOOKUP(A2251,Studies!A:BR,4,FALSE),"")</f>
        <v>oral solution 10 mg</v>
      </c>
      <c r="E2251" s="206" t="str">
        <f>IF(AND(A2251&lt;&gt;"",ISNUMBER(A2251)),VLOOKUP(A2251,Studies!A:BR,5,FALSE),"")</f>
        <v>Midazolam</v>
      </c>
      <c r="F2251" s="207" t="str">
        <f>IF(AND(A2251&lt;&gt;"",ISNUMBER(A2251)),VLOOKUP(A2251,Studies!A:BR,6,FALSE),"")</f>
        <v>Plasma</v>
      </c>
      <c r="G2251" s="194">
        <v>0.33</v>
      </c>
      <c r="H2251" s="194" t="s">
        <v>60</v>
      </c>
      <c r="I2251" s="187">
        <v>61.100575698018069</v>
      </c>
      <c r="J2251" s="187" t="s">
        <v>1063</v>
      </c>
      <c r="K2251" s="187" t="s">
        <v>116</v>
      </c>
      <c r="L2251" s="195"/>
      <c r="M2251" s="195"/>
      <c r="N2251" s="195"/>
      <c r="O2251" s="199"/>
      <c r="P2251" s="188" t="s">
        <v>1125</v>
      </c>
      <c r="Q2251" s="174">
        <f>IF(ISNUMBER(VLOOKUP(A2251,NotghiID!A:A,1,FALSE)),1,0)</f>
        <v>0</v>
      </c>
    </row>
    <row r="2252" spans="1:17" ht="14.25" x14ac:dyDescent="0.2">
      <c r="A2252" s="183">
        <v>416</v>
      </c>
      <c r="B2252" s="232" t="str">
        <f>IF(AND(A2252&lt;&gt;"",ISNUMBER(A2252)),VLOOKUP(A2252,Studies!A:BR,2,FALSE),"")</f>
        <v>Smith 1981</v>
      </c>
      <c r="C2252" s="232" t="str">
        <f>IF(AND(A2252&lt;&gt;"",ISNUMBER(A2252)),VLOOKUP(A2252,Studies!A:BR,3,FALSE),"")</f>
        <v>https://www.ncbi.nlm.nih.gov/pubmed/6116606</v>
      </c>
      <c r="D2252" s="232" t="str">
        <f>IF(AND(A2252&lt;&gt;"",ISNUMBER(A2252)),VLOOKUP(A2252,Studies!A:BR,4,FALSE),"")</f>
        <v>oral solution 10 mg</v>
      </c>
      <c r="E2252" s="206" t="str">
        <f>IF(AND(A2252&lt;&gt;"",ISNUMBER(A2252)),VLOOKUP(A2252,Studies!A:BR,5,FALSE),"")</f>
        <v>Midazolam</v>
      </c>
      <c r="F2252" s="207" t="str">
        <f>IF(AND(A2252&lt;&gt;"",ISNUMBER(A2252)),VLOOKUP(A2252,Studies!A:BR,6,FALSE),"")</f>
        <v>Plasma</v>
      </c>
      <c r="G2252" s="194">
        <v>0.5</v>
      </c>
      <c r="H2252" s="194" t="s">
        <v>60</v>
      </c>
      <c r="I2252" s="187">
        <v>51.356676107943052</v>
      </c>
      <c r="J2252" s="187" t="s">
        <v>1063</v>
      </c>
      <c r="K2252" s="187" t="s">
        <v>116</v>
      </c>
      <c r="L2252" s="195"/>
      <c r="M2252" s="195"/>
      <c r="N2252" s="195"/>
      <c r="O2252" s="199"/>
      <c r="P2252" s="188" t="s">
        <v>1125</v>
      </c>
      <c r="Q2252" s="174">
        <f>IF(ISNUMBER(VLOOKUP(A2252,NotghiID!A:A,1,FALSE)),1,0)</f>
        <v>0</v>
      </c>
    </row>
    <row r="2253" spans="1:17" ht="14.25" x14ac:dyDescent="0.2">
      <c r="A2253" s="183">
        <v>416</v>
      </c>
      <c r="B2253" s="232" t="str">
        <f>IF(AND(A2253&lt;&gt;"",ISNUMBER(A2253)),VLOOKUP(A2253,Studies!A:BR,2,FALSE),"")</f>
        <v>Smith 1981</v>
      </c>
      <c r="C2253" s="232" t="str">
        <f>IF(AND(A2253&lt;&gt;"",ISNUMBER(A2253)),VLOOKUP(A2253,Studies!A:BR,3,FALSE),"")</f>
        <v>https://www.ncbi.nlm.nih.gov/pubmed/6116606</v>
      </c>
      <c r="D2253" s="232" t="str">
        <f>IF(AND(A2253&lt;&gt;"",ISNUMBER(A2253)),VLOOKUP(A2253,Studies!A:BR,4,FALSE),"")</f>
        <v>oral solution 10 mg</v>
      </c>
      <c r="E2253" s="206" t="str">
        <f>IF(AND(A2253&lt;&gt;"",ISNUMBER(A2253)),VLOOKUP(A2253,Studies!A:BR,5,FALSE),"")</f>
        <v>Midazolam</v>
      </c>
      <c r="F2253" s="207" t="str">
        <f>IF(AND(A2253&lt;&gt;"",ISNUMBER(A2253)),VLOOKUP(A2253,Studies!A:BR,6,FALSE),"")</f>
        <v>Plasma</v>
      </c>
      <c r="G2253" s="194">
        <v>0.75</v>
      </c>
      <c r="H2253" s="194" t="s">
        <v>60</v>
      </c>
      <c r="I2253" s="187">
        <v>46.153214915096754</v>
      </c>
      <c r="J2253" s="187" t="s">
        <v>1063</v>
      </c>
      <c r="K2253" s="187" t="s">
        <v>116</v>
      </c>
      <c r="L2253" s="195"/>
      <c r="M2253" s="195"/>
      <c r="N2253" s="195"/>
      <c r="O2253" s="199"/>
      <c r="P2253" s="188" t="s">
        <v>1125</v>
      </c>
      <c r="Q2253" s="174">
        <f>IF(ISNUMBER(VLOOKUP(A2253,NotghiID!A:A,1,FALSE)),1,0)</f>
        <v>0</v>
      </c>
    </row>
    <row r="2254" spans="1:17" ht="14.25" x14ac:dyDescent="0.2">
      <c r="A2254" s="183">
        <v>416</v>
      </c>
      <c r="B2254" s="232" t="str">
        <f>IF(AND(A2254&lt;&gt;"",ISNUMBER(A2254)),VLOOKUP(A2254,Studies!A:BR,2,FALSE),"")</f>
        <v>Smith 1981</v>
      </c>
      <c r="C2254" s="232" t="str">
        <f>IF(AND(A2254&lt;&gt;"",ISNUMBER(A2254)),VLOOKUP(A2254,Studies!A:BR,3,FALSE),"")</f>
        <v>https://www.ncbi.nlm.nih.gov/pubmed/6116606</v>
      </c>
      <c r="D2254" s="232" t="str">
        <f>IF(AND(A2254&lt;&gt;"",ISNUMBER(A2254)),VLOOKUP(A2254,Studies!A:BR,4,FALSE),"")</f>
        <v>oral solution 10 mg</v>
      </c>
      <c r="E2254" s="206" t="str">
        <f>IF(AND(A2254&lt;&gt;"",ISNUMBER(A2254)),VLOOKUP(A2254,Studies!A:BR,5,FALSE),"")</f>
        <v>Midazolam</v>
      </c>
      <c r="F2254" s="207" t="str">
        <f>IF(AND(A2254&lt;&gt;"",ISNUMBER(A2254)),VLOOKUP(A2254,Studies!A:BR,6,FALSE),"")</f>
        <v>Plasma</v>
      </c>
      <c r="G2254" s="194">
        <v>1</v>
      </c>
      <c r="H2254" s="194" t="s">
        <v>60</v>
      </c>
      <c r="I2254" s="187">
        <v>42.0032870849967</v>
      </c>
      <c r="J2254" s="187" t="s">
        <v>1063</v>
      </c>
      <c r="K2254" s="187" t="s">
        <v>116</v>
      </c>
      <c r="L2254" s="195"/>
      <c r="M2254" s="195"/>
      <c r="N2254" s="195"/>
      <c r="O2254" s="199"/>
      <c r="P2254" s="188" t="s">
        <v>1125</v>
      </c>
      <c r="Q2254" s="174">
        <f>IF(ISNUMBER(VLOOKUP(A2254,NotghiID!A:A,1,FALSE)),1,0)</f>
        <v>0</v>
      </c>
    </row>
    <row r="2255" spans="1:17" ht="14.25" x14ac:dyDescent="0.2">
      <c r="A2255" s="183">
        <v>416</v>
      </c>
      <c r="B2255" s="232" t="str">
        <f>IF(AND(A2255&lt;&gt;"",ISNUMBER(A2255)),VLOOKUP(A2255,Studies!A:BR,2,FALSE),"")</f>
        <v>Smith 1981</v>
      </c>
      <c r="C2255" s="232" t="str">
        <f>IF(AND(A2255&lt;&gt;"",ISNUMBER(A2255)),VLOOKUP(A2255,Studies!A:BR,3,FALSE),"")</f>
        <v>https://www.ncbi.nlm.nih.gov/pubmed/6116606</v>
      </c>
      <c r="D2255" s="232" t="str">
        <f>IF(AND(A2255&lt;&gt;"",ISNUMBER(A2255)),VLOOKUP(A2255,Studies!A:BR,4,FALSE),"")</f>
        <v>oral solution 10 mg</v>
      </c>
      <c r="E2255" s="206" t="str">
        <f>IF(AND(A2255&lt;&gt;"",ISNUMBER(A2255)),VLOOKUP(A2255,Studies!A:BR,5,FALSE),"")</f>
        <v>Midazolam</v>
      </c>
      <c r="F2255" s="207" t="str">
        <f>IF(AND(A2255&lt;&gt;"",ISNUMBER(A2255)),VLOOKUP(A2255,Studies!A:BR,6,FALSE),"")</f>
        <v>Plasma</v>
      </c>
      <c r="G2255" s="194">
        <v>1.5</v>
      </c>
      <c r="H2255" s="194" t="s">
        <v>60</v>
      </c>
      <c r="I2255" s="187">
        <v>31.967780089527366</v>
      </c>
      <c r="J2255" s="187" t="s">
        <v>1063</v>
      </c>
      <c r="K2255" s="187" t="s">
        <v>116</v>
      </c>
      <c r="L2255" s="195"/>
      <c r="M2255" s="195"/>
      <c r="N2255" s="195"/>
      <c r="O2255" s="199"/>
      <c r="P2255" s="188" t="s">
        <v>1125</v>
      </c>
      <c r="Q2255" s="174">
        <f>IF(ISNUMBER(VLOOKUP(A2255,NotghiID!A:A,1,FALSE)),1,0)</f>
        <v>0</v>
      </c>
    </row>
    <row r="2256" spans="1:17" ht="14.25" x14ac:dyDescent="0.2">
      <c r="A2256" s="183">
        <v>416</v>
      </c>
      <c r="B2256" s="232" t="str">
        <f>IF(AND(A2256&lt;&gt;"",ISNUMBER(A2256)),VLOOKUP(A2256,Studies!A:BR,2,FALSE),"")</f>
        <v>Smith 1981</v>
      </c>
      <c r="C2256" s="232" t="str">
        <f>IF(AND(A2256&lt;&gt;"",ISNUMBER(A2256)),VLOOKUP(A2256,Studies!A:BR,3,FALSE),"")</f>
        <v>https://www.ncbi.nlm.nih.gov/pubmed/6116606</v>
      </c>
      <c r="D2256" s="232" t="str">
        <f>IF(AND(A2256&lt;&gt;"",ISNUMBER(A2256)),VLOOKUP(A2256,Studies!A:BR,4,FALSE),"")</f>
        <v>oral solution 10 mg</v>
      </c>
      <c r="E2256" s="206" t="str">
        <f>IF(AND(A2256&lt;&gt;"",ISNUMBER(A2256)),VLOOKUP(A2256,Studies!A:BR,5,FALSE),"")</f>
        <v>Midazolam</v>
      </c>
      <c r="F2256" s="207" t="str">
        <f>IF(AND(A2256&lt;&gt;"",ISNUMBER(A2256)),VLOOKUP(A2256,Studies!A:BR,6,FALSE),"")</f>
        <v>Plasma</v>
      </c>
      <c r="G2256" s="194">
        <v>2</v>
      </c>
      <c r="H2256" s="194" t="s">
        <v>60</v>
      </c>
      <c r="I2256" s="187">
        <v>25.757689715772866</v>
      </c>
      <c r="J2256" s="187" t="s">
        <v>1063</v>
      </c>
      <c r="K2256" s="187" t="s">
        <v>116</v>
      </c>
      <c r="L2256" s="195"/>
      <c r="M2256" s="195"/>
      <c r="N2256" s="195"/>
      <c r="O2256" s="199"/>
      <c r="P2256" s="188" t="s">
        <v>1125</v>
      </c>
      <c r="Q2256" s="174">
        <f>IF(ISNUMBER(VLOOKUP(A2256,NotghiID!A:A,1,FALSE)),1,0)</f>
        <v>0</v>
      </c>
    </row>
    <row r="2257" spans="1:17" ht="14.25" x14ac:dyDescent="0.2">
      <c r="A2257" s="183">
        <v>416</v>
      </c>
      <c r="B2257" s="232" t="str">
        <f>IF(AND(A2257&lt;&gt;"",ISNUMBER(A2257)),VLOOKUP(A2257,Studies!A:BR,2,FALSE),"")</f>
        <v>Smith 1981</v>
      </c>
      <c r="C2257" s="232" t="str">
        <f>IF(AND(A2257&lt;&gt;"",ISNUMBER(A2257)),VLOOKUP(A2257,Studies!A:BR,3,FALSE),"")</f>
        <v>https://www.ncbi.nlm.nih.gov/pubmed/6116606</v>
      </c>
      <c r="D2257" s="232" t="str">
        <f>IF(AND(A2257&lt;&gt;"",ISNUMBER(A2257)),VLOOKUP(A2257,Studies!A:BR,4,FALSE),"")</f>
        <v>oral solution 10 mg</v>
      </c>
      <c r="E2257" s="206" t="str">
        <f>IF(AND(A2257&lt;&gt;"",ISNUMBER(A2257)),VLOOKUP(A2257,Studies!A:BR,5,FALSE),"")</f>
        <v>Midazolam</v>
      </c>
      <c r="F2257" s="207" t="str">
        <f>IF(AND(A2257&lt;&gt;"",ISNUMBER(A2257)),VLOOKUP(A2257,Studies!A:BR,6,FALSE),"")</f>
        <v>Plasma</v>
      </c>
      <c r="G2257" s="194">
        <v>3</v>
      </c>
      <c r="H2257" s="194" t="s">
        <v>60</v>
      </c>
      <c r="I2257" s="187">
        <v>17.164627092331646</v>
      </c>
      <c r="J2257" s="187" t="s">
        <v>1063</v>
      </c>
      <c r="K2257" s="187" t="s">
        <v>116</v>
      </c>
      <c r="L2257" s="195"/>
      <c r="M2257" s="195"/>
      <c r="N2257" s="195"/>
      <c r="O2257" s="199"/>
      <c r="P2257" s="188" t="s">
        <v>1125</v>
      </c>
      <c r="Q2257" s="174">
        <f>IF(ISNUMBER(VLOOKUP(A2257,NotghiID!A:A,1,FALSE)),1,0)</f>
        <v>0</v>
      </c>
    </row>
    <row r="2258" spans="1:17" ht="14.25" x14ac:dyDescent="0.2">
      <c r="A2258" s="183">
        <v>416</v>
      </c>
      <c r="B2258" s="232" t="str">
        <f>IF(AND(A2258&lt;&gt;"",ISNUMBER(A2258)),VLOOKUP(A2258,Studies!A:BR,2,FALSE),"")</f>
        <v>Smith 1981</v>
      </c>
      <c r="C2258" s="232" t="str">
        <f>IF(AND(A2258&lt;&gt;"",ISNUMBER(A2258)),VLOOKUP(A2258,Studies!A:BR,3,FALSE),"")</f>
        <v>https://www.ncbi.nlm.nih.gov/pubmed/6116606</v>
      </c>
      <c r="D2258" s="232" t="str">
        <f>IF(AND(A2258&lt;&gt;"",ISNUMBER(A2258)),VLOOKUP(A2258,Studies!A:BR,4,FALSE),"")</f>
        <v>oral solution 10 mg</v>
      </c>
      <c r="E2258" s="206" t="str">
        <f>IF(AND(A2258&lt;&gt;"",ISNUMBER(A2258)),VLOOKUP(A2258,Studies!A:BR,5,FALSE),"")</f>
        <v>Midazolam</v>
      </c>
      <c r="F2258" s="207" t="str">
        <f>IF(AND(A2258&lt;&gt;"",ISNUMBER(A2258)),VLOOKUP(A2258,Studies!A:BR,6,FALSE),"")</f>
        <v>Plasma</v>
      </c>
      <c r="G2258" s="194">
        <v>4</v>
      </c>
      <c r="H2258" s="194" t="s">
        <v>60</v>
      </c>
      <c r="I2258" s="187">
        <v>12.082870649099348</v>
      </c>
      <c r="J2258" s="187" t="s">
        <v>1063</v>
      </c>
      <c r="K2258" s="187" t="s">
        <v>116</v>
      </c>
      <c r="L2258" s="195"/>
      <c r="M2258" s="195"/>
      <c r="N2258" s="195"/>
      <c r="O2258" s="199"/>
      <c r="P2258" s="188" t="s">
        <v>1125</v>
      </c>
      <c r="Q2258" s="174">
        <f>IF(ISNUMBER(VLOOKUP(A2258,NotghiID!A:A,1,FALSE)),1,0)</f>
        <v>0</v>
      </c>
    </row>
    <row r="2259" spans="1:17" ht="14.25" x14ac:dyDescent="0.2">
      <c r="A2259" s="183">
        <v>416</v>
      </c>
      <c r="B2259" s="232" t="str">
        <f>IF(AND(A2259&lt;&gt;"",ISNUMBER(A2259)),VLOOKUP(A2259,Studies!A:BR,2,FALSE),"")</f>
        <v>Smith 1981</v>
      </c>
      <c r="C2259" s="232" t="str">
        <f>IF(AND(A2259&lt;&gt;"",ISNUMBER(A2259)),VLOOKUP(A2259,Studies!A:BR,3,FALSE),"")</f>
        <v>https://www.ncbi.nlm.nih.gov/pubmed/6116606</v>
      </c>
      <c r="D2259" s="232" t="str">
        <f>IF(AND(A2259&lt;&gt;"",ISNUMBER(A2259)),VLOOKUP(A2259,Studies!A:BR,4,FALSE),"")</f>
        <v>oral solution 10 mg</v>
      </c>
      <c r="E2259" s="206" t="str">
        <f>IF(AND(A2259&lt;&gt;"",ISNUMBER(A2259)),VLOOKUP(A2259,Studies!A:BR,5,FALSE),"")</f>
        <v>Midazolam</v>
      </c>
      <c r="F2259" s="207" t="str">
        <f>IF(AND(A2259&lt;&gt;"",ISNUMBER(A2259)),VLOOKUP(A2259,Studies!A:BR,6,FALSE),"")</f>
        <v>Plasma</v>
      </c>
      <c r="G2259" s="194">
        <v>6</v>
      </c>
      <c r="H2259" s="194" t="s">
        <v>60</v>
      </c>
      <c r="I2259" s="187">
        <v>5.7151752824336288</v>
      </c>
      <c r="J2259" s="187" t="s">
        <v>1063</v>
      </c>
      <c r="K2259" s="187" t="s">
        <v>116</v>
      </c>
      <c r="L2259" s="195"/>
      <c r="M2259" s="195"/>
      <c r="N2259" s="195"/>
      <c r="O2259" s="199"/>
      <c r="P2259" s="188" t="s">
        <v>1125</v>
      </c>
      <c r="Q2259" s="174">
        <f>IF(ISNUMBER(VLOOKUP(A2259,NotghiID!A:A,1,FALSE)),1,0)</f>
        <v>0</v>
      </c>
    </row>
    <row r="2260" spans="1:17" ht="14.25" x14ac:dyDescent="0.2">
      <c r="A2260" s="183">
        <v>416</v>
      </c>
      <c r="B2260" s="232" t="str">
        <f>IF(AND(A2260&lt;&gt;"",ISNUMBER(A2260)),VLOOKUP(A2260,Studies!A:BR,2,FALSE),"")</f>
        <v>Smith 1981</v>
      </c>
      <c r="C2260" s="232" t="str">
        <f>IF(AND(A2260&lt;&gt;"",ISNUMBER(A2260)),VLOOKUP(A2260,Studies!A:BR,3,FALSE),"")</f>
        <v>https://www.ncbi.nlm.nih.gov/pubmed/6116606</v>
      </c>
      <c r="D2260" s="232" t="str">
        <f>IF(AND(A2260&lt;&gt;"",ISNUMBER(A2260)),VLOOKUP(A2260,Studies!A:BR,4,FALSE),"")</f>
        <v>oral solution 10 mg</v>
      </c>
      <c r="E2260" s="206" t="str">
        <f>IF(AND(A2260&lt;&gt;"",ISNUMBER(A2260)),VLOOKUP(A2260,Studies!A:BR,5,FALSE),"")</f>
        <v>Midazolam</v>
      </c>
      <c r="F2260" s="207" t="str">
        <f>IF(AND(A2260&lt;&gt;"",ISNUMBER(A2260)),VLOOKUP(A2260,Studies!A:BR,6,FALSE),"")</f>
        <v>Plasma</v>
      </c>
      <c r="G2260" s="194">
        <v>8</v>
      </c>
      <c r="H2260" s="194" t="s">
        <v>60</v>
      </c>
      <c r="I2260" s="187">
        <v>3.1919680486991999</v>
      </c>
      <c r="J2260" s="187" t="s">
        <v>1063</v>
      </c>
      <c r="K2260" s="187" t="s">
        <v>116</v>
      </c>
      <c r="L2260" s="195"/>
      <c r="M2260" s="195"/>
      <c r="N2260" s="195"/>
      <c r="O2260" s="199"/>
      <c r="P2260" s="188" t="s">
        <v>1125</v>
      </c>
      <c r="Q2260" s="174">
        <f>IF(ISNUMBER(VLOOKUP(A2260,NotghiID!A:A,1,FALSE)),1,0)</f>
        <v>0</v>
      </c>
    </row>
    <row r="2261" spans="1:17" ht="14.25" x14ac:dyDescent="0.2">
      <c r="A2261" s="183">
        <v>417</v>
      </c>
      <c r="B2261" s="232" t="str">
        <f>IF(AND(A2261&lt;&gt;"",ISNUMBER(A2261)),VLOOKUP(A2261,Studies!A:BR,2,FALSE),"")</f>
        <v>Smith 1981</v>
      </c>
      <c r="C2261" s="232" t="str">
        <f>IF(AND(A2261&lt;&gt;"",ISNUMBER(A2261)),VLOOKUP(A2261,Studies!A:BR,3,FALSE),"")</f>
        <v>https://www.ncbi.nlm.nih.gov/pubmed/6116606</v>
      </c>
      <c r="D2261" s="232" t="str">
        <f>IF(AND(A2261&lt;&gt;"",ISNUMBER(A2261)),VLOOKUP(A2261,Studies!A:BR,4,FALSE),"")</f>
        <v>oral tablet 10 mg</v>
      </c>
      <c r="E2261" s="206" t="str">
        <f>IF(AND(A2261&lt;&gt;"",ISNUMBER(A2261)),VLOOKUP(A2261,Studies!A:BR,5,FALSE),"")</f>
        <v>Midazolam</v>
      </c>
      <c r="F2261" s="207" t="str">
        <f>IF(AND(A2261&lt;&gt;"",ISNUMBER(A2261)),VLOOKUP(A2261,Studies!A:BR,6,FALSE),"")</f>
        <v>Plasma</v>
      </c>
      <c r="G2261" s="194">
        <v>0.25</v>
      </c>
      <c r="H2261" s="194" t="s">
        <v>60</v>
      </c>
      <c r="I2261" s="187">
        <v>6.6223333250731224</v>
      </c>
      <c r="J2261" s="187" t="s">
        <v>1063</v>
      </c>
      <c r="K2261" s="187" t="s">
        <v>116</v>
      </c>
      <c r="L2261" s="195"/>
      <c r="M2261" s="195"/>
      <c r="N2261" s="195"/>
      <c r="O2261" s="199"/>
      <c r="P2261" s="188" t="s">
        <v>1125</v>
      </c>
      <c r="Q2261" s="174">
        <f>IF(ISNUMBER(VLOOKUP(A2261,NotghiID!A:A,1,FALSE)),1,0)</f>
        <v>0</v>
      </c>
    </row>
    <row r="2262" spans="1:17" ht="14.25" x14ac:dyDescent="0.2">
      <c r="A2262" s="183">
        <v>417</v>
      </c>
      <c r="B2262" s="232" t="str">
        <f>IF(AND(A2262&lt;&gt;"",ISNUMBER(A2262)),VLOOKUP(A2262,Studies!A:BR,2,FALSE),"")</f>
        <v>Smith 1981</v>
      </c>
      <c r="C2262" s="232" t="str">
        <f>IF(AND(A2262&lt;&gt;"",ISNUMBER(A2262)),VLOOKUP(A2262,Studies!A:BR,3,FALSE),"")</f>
        <v>https://www.ncbi.nlm.nih.gov/pubmed/6116606</v>
      </c>
      <c r="D2262" s="232" t="str">
        <f>IF(AND(A2262&lt;&gt;"",ISNUMBER(A2262)),VLOOKUP(A2262,Studies!A:BR,4,FALSE),"")</f>
        <v>oral tablet 10 mg</v>
      </c>
      <c r="E2262" s="206" t="str">
        <f>IF(AND(A2262&lt;&gt;"",ISNUMBER(A2262)),VLOOKUP(A2262,Studies!A:BR,5,FALSE),"")</f>
        <v>Midazolam</v>
      </c>
      <c r="F2262" s="207" t="str">
        <f>IF(AND(A2262&lt;&gt;"",ISNUMBER(A2262)),VLOOKUP(A2262,Studies!A:BR,6,FALSE),"")</f>
        <v>Plasma</v>
      </c>
      <c r="G2262" s="194">
        <v>0.33</v>
      </c>
      <c r="H2262" s="194" t="s">
        <v>60</v>
      </c>
      <c r="I2262" s="187">
        <v>33.620133054256435</v>
      </c>
      <c r="J2262" s="187" t="s">
        <v>1063</v>
      </c>
      <c r="K2262" s="187" t="s">
        <v>116</v>
      </c>
      <c r="L2262" s="195"/>
      <c r="M2262" s="195"/>
      <c r="N2262" s="195"/>
      <c r="O2262" s="199"/>
      <c r="P2262" s="188" t="s">
        <v>1125</v>
      </c>
      <c r="Q2262" s="174">
        <f>IF(ISNUMBER(VLOOKUP(A2262,NotghiID!A:A,1,FALSE)),1,0)</f>
        <v>0</v>
      </c>
    </row>
    <row r="2263" spans="1:17" ht="14.25" x14ac:dyDescent="0.2">
      <c r="A2263" s="183">
        <v>417</v>
      </c>
      <c r="B2263" s="232" t="str">
        <f>IF(AND(A2263&lt;&gt;"",ISNUMBER(A2263)),VLOOKUP(A2263,Studies!A:BR,2,FALSE),"")</f>
        <v>Smith 1981</v>
      </c>
      <c r="C2263" s="232" t="str">
        <f>IF(AND(A2263&lt;&gt;"",ISNUMBER(A2263)),VLOOKUP(A2263,Studies!A:BR,3,FALSE),"")</f>
        <v>https://www.ncbi.nlm.nih.gov/pubmed/6116606</v>
      </c>
      <c r="D2263" s="232" t="str">
        <f>IF(AND(A2263&lt;&gt;"",ISNUMBER(A2263)),VLOOKUP(A2263,Studies!A:BR,4,FALSE),"")</f>
        <v>oral tablet 10 mg</v>
      </c>
      <c r="E2263" s="206" t="str">
        <f>IF(AND(A2263&lt;&gt;"",ISNUMBER(A2263)),VLOOKUP(A2263,Studies!A:BR,5,FALSE),"")</f>
        <v>Midazolam</v>
      </c>
      <c r="F2263" s="207" t="str">
        <f>IF(AND(A2263&lt;&gt;"",ISNUMBER(A2263)),VLOOKUP(A2263,Studies!A:BR,6,FALSE),"")</f>
        <v>Plasma</v>
      </c>
      <c r="G2263" s="194">
        <v>0.5</v>
      </c>
      <c r="H2263" s="194" t="s">
        <v>60</v>
      </c>
      <c r="I2263" s="187">
        <v>37.129939193874591</v>
      </c>
      <c r="J2263" s="187" t="s">
        <v>1063</v>
      </c>
      <c r="K2263" s="187" t="s">
        <v>116</v>
      </c>
      <c r="L2263" s="195"/>
      <c r="M2263" s="195"/>
      <c r="N2263" s="195"/>
      <c r="O2263" s="199"/>
      <c r="P2263" s="188" t="s">
        <v>1125</v>
      </c>
      <c r="Q2263" s="174">
        <f>IF(ISNUMBER(VLOOKUP(A2263,NotghiID!A:A,1,FALSE)),1,0)</f>
        <v>0</v>
      </c>
    </row>
    <row r="2264" spans="1:17" ht="14.25" x14ac:dyDescent="0.2">
      <c r="A2264" s="183">
        <v>417</v>
      </c>
      <c r="B2264" s="232" t="str">
        <f>IF(AND(A2264&lt;&gt;"",ISNUMBER(A2264)),VLOOKUP(A2264,Studies!A:BR,2,FALSE),"")</f>
        <v>Smith 1981</v>
      </c>
      <c r="C2264" s="232" t="str">
        <f>IF(AND(A2264&lt;&gt;"",ISNUMBER(A2264)),VLOOKUP(A2264,Studies!A:BR,3,FALSE),"")</f>
        <v>https://www.ncbi.nlm.nih.gov/pubmed/6116606</v>
      </c>
      <c r="D2264" s="232" t="str">
        <f>IF(AND(A2264&lt;&gt;"",ISNUMBER(A2264)),VLOOKUP(A2264,Studies!A:BR,4,FALSE),"")</f>
        <v>oral tablet 10 mg</v>
      </c>
      <c r="E2264" s="206" t="str">
        <f>IF(AND(A2264&lt;&gt;"",ISNUMBER(A2264)),VLOOKUP(A2264,Studies!A:BR,5,FALSE),"")</f>
        <v>Midazolam</v>
      </c>
      <c r="F2264" s="207" t="str">
        <f>IF(AND(A2264&lt;&gt;"",ISNUMBER(A2264)),VLOOKUP(A2264,Studies!A:BR,6,FALSE),"")</f>
        <v>Plasma</v>
      </c>
      <c r="G2264" s="194">
        <v>0.75</v>
      </c>
      <c r="H2264" s="194" t="s">
        <v>60</v>
      </c>
      <c r="I2264" s="187">
        <v>41.325768751502032</v>
      </c>
      <c r="J2264" s="187" t="s">
        <v>1063</v>
      </c>
      <c r="K2264" s="187" t="s">
        <v>116</v>
      </c>
      <c r="L2264" s="195"/>
      <c r="M2264" s="195"/>
      <c r="N2264" s="195"/>
      <c r="O2264" s="199"/>
      <c r="P2264" s="188" t="s">
        <v>1125</v>
      </c>
      <c r="Q2264" s="174">
        <f>IF(ISNUMBER(VLOOKUP(A2264,NotghiID!A:A,1,FALSE)),1,0)</f>
        <v>0</v>
      </c>
    </row>
    <row r="2265" spans="1:17" ht="14.25" x14ac:dyDescent="0.2">
      <c r="A2265" s="183">
        <v>417</v>
      </c>
      <c r="B2265" s="232" t="str">
        <f>IF(AND(A2265&lt;&gt;"",ISNUMBER(A2265)),VLOOKUP(A2265,Studies!A:BR,2,FALSE),"")</f>
        <v>Smith 1981</v>
      </c>
      <c r="C2265" s="232" t="str">
        <f>IF(AND(A2265&lt;&gt;"",ISNUMBER(A2265)),VLOOKUP(A2265,Studies!A:BR,3,FALSE),"")</f>
        <v>https://www.ncbi.nlm.nih.gov/pubmed/6116606</v>
      </c>
      <c r="D2265" s="232" t="str">
        <f>IF(AND(A2265&lt;&gt;"",ISNUMBER(A2265)),VLOOKUP(A2265,Studies!A:BR,4,FALSE),"")</f>
        <v>oral tablet 10 mg</v>
      </c>
      <c r="E2265" s="206" t="str">
        <f>IF(AND(A2265&lt;&gt;"",ISNUMBER(A2265)),VLOOKUP(A2265,Studies!A:BR,5,FALSE),"")</f>
        <v>Midazolam</v>
      </c>
      <c r="F2265" s="207" t="str">
        <f>IF(AND(A2265&lt;&gt;"",ISNUMBER(A2265)),VLOOKUP(A2265,Studies!A:BR,6,FALSE),"")</f>
        <v>Plasma</v>
      </c>
      <c r="G2265" s="194">
        <v>1</v>
      </c>
      <c r="H2265" s="194" t="s">
        <v>60</v>
      </c>
      <c r="I2265" s="187">
        <v>43.460836234688756</v>
      </c>
      <c r="J2265" s="187" t="s">
        <v>1063</v>
      </c>
      <c r="K2265" s="187" t="s">
        <v>116</v>
      </c>
      <c r="L2265" s="195"/>
      <c r="M2265" s="195"/>
      <c r="N2265" s="195"/>
      <c r="O2265" s="199"/>
      <c r="P2265" s="188" t="s">
        <v>1125</v>
      </c>
      <c r="Q2265" s="174">
        <f>IF(ISNUMBER(VLOOKUP(A2265,NotghiID!A:A,1,FALSE)),1,0)</f>
        <v>0</v>
      </c>
    </row>
    <row r="2266" spans="1:17" ht="14.25" x14ac:dyDescent="0.2">
      <c r="A2266" s="183">
        <v>417</v>
      </c>
      <c r="B2266" s="232" t="str">
        <f>IF(AND(A2266&lt;&gt;"",ISNUMBER(A2266)),VLOOKUP(A2266,Studies!A:BR,2,FALSE),"")</f>
        <v>Smith 1981</v>
      </c>
      <c r="C2266" s="232" t="str">
        <f>IF(AND(A2266&lt;&gt;"",ISNUMBER(A2266)),VLOOKUP(A2266,Studies!A:BR,3,FALSE),"")</f>
        <v>https://www.ncbi.nlm.nih.gov/pubmed/6116606</v>
      </c>
      <c r="D2266" s="232" t="str">
        <f>IF(AND(A2266&lt;&gt;"",ISNUMBER(A2266)),VLOOKUP(A2266,Studies!A:BR,4,FALSE),"")</f>
        <v>oral tablet 10 mg</v>
      </c>
      <c r="E2266" s="206" t="str">
        <f>IF(AND(A2266&lt;&gt;"",ISNUMBER(A2266)),VLOOKUP(A2266,Studies!A:BR,5,FALSE),"")</f>
        <v>Midazolam</v>
      </c>
      <c r="F2266" s="207" t="str">
        <f>IF(AND(A2266&lt;&gt;"",ISNUMBER(A2266)),VLOOKUP(A2266,Studies!A:BR,6,FALSE),"")</f>
        <v>Plasma</v>
      </c>
      <c r="G2266" s="194">
        <v>1.5</v>
      </c>
      <c r="H2266" s="194" t="s">
        <v>60</v>
      </c>
      <c r="I2266" s="187">
        <v>49.466018151044842</v>
      </c>
      <c r="J2266" s="187" t="s">
        <v>1063</v>
      </c>
      <c r="K2266" s="187" t="s">
        <v>116</v>
      </c>
      <c r="L2266" s="195"/>
      <c r="M2266" s="195"/>
      <c r="N2266" s="195"/>
      <c r="O2266" s="199"/>
      <c r="P2266" s="188" t="s">
        <v>1125</v>
      </c>
      <c r="Q2266" s="174">
        <f>IF(ISNUMBER(VLOOKUP(A2266,NotghiID!A:A,1,FALSE)),1,0)</f>
        <v>0</v>
      </c>
    </row>
    <row r="2267" spans="1:17" ht="14.25" x14ac:dyDescent="0.2">
      <c r="A2267" s="183">
        <v>417</v>
      </c>
      <c r="B2267" s="232" t="str">
        <f>IF(AND(A2267&lt;&gt;"",ISNUMBER(A2267)),VLOOKUP(A2267,Studies!A:BR,2,FALSE),"")</f>
        <v>Smith 1981</v>
      </c>
      <c r="C2267" s="232" t="str">
        <f>IF(AND(A2267&lt;&gt;"",ISNUMBER(A2267)),VLOOKUP(A2267,Studies!A:BR,3,FALSE),"")</f>
        <v>https://www.ncbi.nlm.nih.gov/pubmed/6116606</v>
      </c>
      <c r="D2267" s="232" t="str">
        <f>IF(AND(A2267&lt;&gt;"",ISNUMBER(A2267)),VLOOKUP(A2267,Studies!A:BR,4,FALSE),"")</f>
        <v>oral tablet 10 mg</v>
      </c>
      <c r="E2267" s="206" t="str">
        <f>IF(AND(A2267&lt;&gt;"",ISNUMBER(A2267)),VLOOKUP(A2267,Studies!A:BR,5,FALSE),"")</f>
        <v>Midazolam</v>
      </c>
      <c r="F2267" s="207" t="str">
        <f>IF(AND(A2267&lt;&gt;"",ISNUMBER(A2267)),VLOOKUP(A2267,Studies!A:BR,6,FALSE),"")</f>
        <v>Plasma</v>
      </c>
      <c r="G2267" s="194">
        <v>2</v>
      </c>
      <c r="H2267" s="194" t="s">
        <v>60</v>
      </c>
      <c r="I2267" s="187">
        <v>31.945980955958365</v>
      </c>
      <c r="J2267" s="187" t="s">
        <v>1063</v>
      </c>
      <c r="K2267" s="187" t="s">
        <v>116</v>
      </c>
      <c r="L2267" s="195"/>
      <c r="M2267" s="195"/>
      <c r="N2267" s="195"/>
      <c r="O2267" s="199"/>
      <c r="P2267" s="188" t="s">
        <v>1125</v>
      </c>
      <c r="Q2267" s="174">
        <f>IF(ISNUMBER(VLOOKUP(A2267,NotghiID!A:A,1,FALSE)),1,0)</f>
        <v>0</v>
      </c>
    </row>
    <row r="2268" spans="1:17" ht="14.25" x14ac:dyDescent="0.2">
      <c r="A2268" s="183">
        <v>417</v>
      </c>
      <c r="B2268" s="232" t="str">
        <f>IF(AND(A2268&lt;&gt;"",ISNUMBER(A2268)),VLOOKUP(A2268,Studies!A:BR,2,FALSE),"")</f>
        <v>Smith 1981</v>
      </c>
      <c r="C2268" s="232" t="str">
        <f>IF(AND(A2268&lt;&gt;"",ISNUMBER(A2268)),VLOOKUP(A2268,Studies!A:BR,3,FALSE),"")</f>
        <v>https://www.ncbi.nlm.nih.gov/pubmed/6116606</v>
      </c>
      <c r="D2268" s="232" t="str">
        <f>IF(AND(A2268&lt;&gt;"",ISNUMBER(A2268)),VLOOKUP(A2268,Studies!A:BR,4,FALSE),"")</f>
        <v>oral tablet 10 mg</v>
      </c>
      <c r="E2268" s="206" t="str">
        <f>IF(AND(A2268&lt;&gt;"",ISNUMBER(A2268)),VLOOKUP(A2268,Studies!A:BR,5,FALSE),"")</f>
        <v>Midazolam</v>
      </c>
      <c r="F2268" s="207" t="str">
        <f>IF(AND(A2268&lt;&gt;"",ISNUMBER(A2268)),VLOOKUP(A2268,Studies!A:BR,6,FALSE),"")</f>
        <v>Plasma</v>
      </c>
      <c r="G2268" s="194">
        <v>3</v>
      </c>
      <c r="H2268" s="194" t="s">
        <v>60</v>
      </c>
      <c r="I2268" s="187">
        <v>23.252012689411639</v>
      </c>
      <c r="J2268" s="187" t="s">
        <v>1063</v>
      </c>
      <c r="K2268" s="187" t="s">
        <v>116</v>
      </c>
      <c r="L2268" s="195"/>
      <c r="M2268" s="195"/>
      <c r="N2268" s="195"/>
      <c r="O2268" s="199"/>
      <c r="P2268" s="188" t="s">
        <v>1125</v>
      </c>
      <c r="Q2268" s="174">
        <f>IF(ISNUMBER(VLOOKUP(A2268,NotghiID!A:A,1,FALSE)),1,0)</f>
        <v>0</v>
      </c>
    </row>
    <row r="2269" spans="1:17" ht="14.25" x14ac:dyDescent="0.2">
      <c r="A2269" s="183">
        <v>417</v>
      </c>
      <c r="B2269" s="232" t="str">
        <f>IF(AND(A2269&lt;&gt;"",ISNUMBER(A2269)),VLOOKUP(A2269,Studies!A:BR,2,FALSE),"")</f>
        <v>Smith 1981</v>
      </c>
      <c r="C2269" s="232" t="str">
        <f>IF(AND(A2269&lt;&gt;"",ISNUMBER(A2269)),VLOOKUP(A2269,Studies!A:BR,3,FALSE),"")</f>
        <v>https://www.ncbi.nlm.nih.gov/pubmed/6116606</v>
      </c>
      <c r="D2269" s="232" t="str">
        <f>IF(AND(A2269&lt;&gt;"",ISNUMBER(A2269)),VLOOKUP(A2269,Studies!A:BR,4,FALSE),"")</f>
        <v>oral tablet 10 mg</v>
      </c>
      <c r="E2269" s="206" t="str">
        <f>IF(AND(A2269&lt;&gt;"",ISNUMBER(A2269)),VLOOKUP(A2269,Studies!A:BR,5,FALSE),"")</f>
        <v>Midazolam</v>
      </c>
      <c r="F2269" s="207" t="str">
        <f>IF(AND(A2269&lt;&gt;"",ISNUMBER(A2269)),VLOOKUP(A2269,Studies!A:BR,6,FALSE),"")</f>
        <v>Plasma</v>
      </c>
      <c r="G2269" s="194">
        <v>4</v>
      </c>
      <c r="H2269" s="194" t="s">
        <v>60</v>
      </c>
      <c r="I2269" s="187">
        <v>13.743421651199458</v>
      </c>
      <c r="J2269" s="187" t="s">
        <v>1063</v>
      </c>
      <c r="K2269" s="187" t="s">
        <v>116</v>
      </c>
      <c r="L2269" s="195"/>
      <c r="M2269" s="195"/>
      <c r="N2269" s="195"/>
      <c r="O2269" s="199"/>
      <c r="P2269" s="188" t="s">
        <v>1125</v>
      </c>
      <c r="Q2269" s="174">
        <f>IF(ISNUMBER(VLOOKUP(A2269,NotghiID!A:A,1,FALSE)),1,0)</f>
        <v>0</v>
      </c>
    </row>
    <row r="2270" spans="1:17" ht="14.25" x14ac:dyDescent="0.2">
      <c r="A2270" s="183">
        <v>417</v>
      </c>
      <c r="B2270" s="232" t="str">
        <f>IF(AND(A2270&lt;&gt;"",ISNUMBER(A2270)),VLOOKUP(A2270,Studies!A:BR,2,FALSE),"")</f>
        <v>Smith 1981</v>
      </c>
      <c r="C2270" s="232" t="str">
        <f>IF(AND(A2270&lt;&gt;"",ISNUMBER(A2270)),VLOOKUP(A2270,Studies!A:BR,3,FALSE),"")</f>
        <v>https://www.ncbi.nlm.nih.gov/pubmed/6116606</v>
      </c>
      <c r="D2270" s="232" t="str">
        <f>IF(AND(A2270&lt;&gt;"",ISNUMBER(A2270)),VLOOKUP(A2270,Studies!A:BR,4,FALSE),"")</f>
        <v>oral tablet 10 mg</v>
      </c>
      <c r="E2270" s="206" t="str">
        <f>IF(AND(A2270&lt;&gt;"",ISNUMBER(A2270)),VLOOKUP(A2270,Studies!A:BR,5,FALSE),"")</f>
        <v>Midazolam</v>
      </c>
      <c r="F2270" s="207" t="str">
        <f>IF(AND(A2270&lt;&gt;"",ISNUMBER(A2270)),VLOOKUP(A2270,Studies!A:BR,6,FALSE),"")</f>
        <v>Plasma</v>
      </c>
      <c r="G2270" s="194">
        <v>6</v>
      </c>
      <c r="H2270" s="194" t="s">
        <v>60</v>
      </c>
      <c r="I2270" s="187">
        <v>6.5587812412902711</v>
      </c>
      <c r="J2270" s="187" t="s">
        <v>1063</v>
      </c>
      <c r="K2270" s="187" t="s">
        <v>116</v>
      </c>
      <c r="L2270" s="195"/>
      <c r="M2270" s="195"/>
      <c r="N2270" s="195"/>
      <c r="O2270" s="199"/>
      <c r="P2270" s="188" t="s">
        <v>1125</v>
      </c>
      <c r="Q2270" s="174">
        <f>IF(ISNUMBER(VLOOKUP(A2270,NotghiID!A:A,1,FALSE)),1,0)</f>
        <v>0</v>
      </c>
    </row>
    <row r="2271" spans="1:17" ht="14.25" x14ac:dyDescent="0.2">
      <c r="A2271" s="183">
        <v>417</v>
      </c>
      <c r="B2271" s="232" t="str">
        <f>IF(AND(A2271&lt;&gt;"",ISNUMBER(A2271)),VLOOKUP(A2271,Studies!A:BR,2,FALSE),"")</f>
        <v>Smith 1981</v>
      </c>
      <c r="C2271" s="232" t="str">
        <f>IF(AND(A2271&lt;&gt;"",ISNUMBER(A2271)),VLOOKUP(A2271,Studies!A:BR,3,FALSE),"")</f>
        <v>https://www.ncbi.nlm.nih.gov/pubmed/6116606</v>
      </c>
      <c r="D2271" s="232" t="str">
        <f>IF(AND(A2271&lt;&gt;"",ISNUMBER(A2271)),VLOOKUP(A2271,Studies!A:BR,4,FALSE),"")</f>
        <v>oral tablet 10 mg</v>
      </c>
      <c r="E2271" s="206" t="str">
        <f>IF(AND(A2271&lt;&gt;"",ISNUMBER(A2271)),VLOOKUP(A2271,Studies!A:BR,5,FALSE),"")</f>
        <v>Midazolam</v>
      </c>
      <c r="F2271" s="207" t="str">
        <f>IF(AND(A2271&lt;&gt;"",ISNUMBER(A2271)),VLOOKUP(A2271,Studies!A:BR,6,FALSE),"")</f>
        <v>Plasma</v>
      </c>
      <c r="G2271" s="194">
        <v>8</v>
      </c>
      <c r="H2271" s="194" t="s">
        <v>60</v>
      </c>
      <c r="I2271" s="187">
        <v>3.2040982313081621</v>
      </c>
      <c r="J2271" s="187" t="s">
        <v>1063</v>
      </c>
      <c r="K2271" s="187" t="s">
        <v>116</v>
      </c>
      <c r="L2271" s="195"/>
      <c r="M2271" s="195"/>
      <c r="N2271" s="195"/>
      <c r="O2271" s="199"/>
      <c r="P2271" s="188" t="s">
        <v>1125</v>
      </c>
      <c r="Q2271" s="174">
        <f>IF(ISNUMBER(VLOOKUP(A2271,NotghiID!A:A,1,FALSE)),1,0)</f>
        <v>0</v>
      </c>
    </row>
    <row r="2272" spans="1:17" ht="14.25" x14ac:dyDescent="0.2">
      <c r="A2272" s="183">
        <v>418</v>
      </c>
      <c r="B2272" s="232" t="str">
        <f>IF(AND(A2272&lt;&gt;"",ISNUMBER(A2272)),VLOOKUP(A2272,Studies!A:BR,2,FALSE),"")</f>
        <v>Stone 2004</v>
      </c>
      <c r="C2272" s="232" t="str">
        <f>IF(AND(A2272&lt;&gt;"",ISNUMBER(A2272)),VLOOKUP(A2272,Studies!A:BR,3,FALSE),"")</f>
        <v>https://www.ncbi.nlm.nih.gov/pubmed/4037525</v>
      </c>
      <c r="D2272" s="232" t="str">
        <f>IF(AND(A2272&lt;&gt;"",ISNUMBER(A2272)),VLOOKUP(A2272,Studies!A:BR,4,FALSE),"")</f>
        <v>Day 14 of Rifampin alone</v>
      </c>
      <c r="E2272" s="206" t="str">
        <f>IF(AND(A2272&lt;&gt;"",ISNUMBER(A2272)),VLOOKUP(A2272,Studies!A:BR,5,FALSE),"")</f>
        <v>Rifampicin</v>
      </c>
      <c r="F2272" s="207" t="str">
        <f>IF(AND(A2272&lt;&gt;"",ISNUMBER(A2272)),VLOOKUP(A2272,Studies!A:BR,6,FALSE),"")</f>
        <v>Plasma</v>
      </c>
      <c r="G2272" s="194">
        <v>313</v>
      </c>
      <c r="H2272" s="194" t="s">
        <v>60</v>
      </c>
      <c r="I2272" s="187">
        <v>5.5412807464599609</v>
      </c>
      <c r="J2272" s="187" t="s">
        <v>1063</v>
      </c>
      <c r="K2272" s="187" t="s">
        <v>116</v>
      </c>
      <c r="L2272" s="195"/>
      <c r="M2272" s="195"/>
      <c r="N2272" s="195"/>
      <c r="O2272" s="199"/>
      <c r="P2272" s="188"/>
      <c r="Q2272" s="174">
        <f>IF(ISNUMBER(VLOOKUP(A2272,NotghiID!A:A,1,FALSE)),1,0)</f>
        <v>0</v>
      </c>
    </row>
    <row r="2273" spans="1:17" ht="14.25" x14ac:dyDescent="0.2">
      <c r="A2273" s="183">
        <v>418</v>
      </c>
      <c r="B2273" s="232" t="str">
        <f>IF(AND(A2273&lt;&gt;"",ISNUMBER(A2273)),VLOOKUP(A2273,Studies!A:BR,2,FALSE),"")</f>
        <v>Stone 2004</v>
      </c>
      <c r="C2273" s="232" t="str">
        <f>IF(AND(A2273&lt;&gt;"",ISNUMBER(A2273)),VLOOKUP(A2273,Studies!A:BR,3,FALSE),"")</f>
        <v>https://www.ncbi.nlm.nih.gov/pubmed/4037525</v>
      </c>
      <c r="D2273" s="232" t="str">
        <f>IF(AND(A2273&lt;&gt;"",ISNUMBER(A2273)),VLOOKUP(A2273,Studies!A:BR,4,FALSE),"")</f>
        <v>Day 14 of Rifampin alone</v>
      </c>
      <c r="E2273" s="206" t="str">
        <f>IF(AND(A2273&lt;&gt;"",ISNUMBER(A2273)),VLOOKUP(A2273,Studies!A:BR,5,FALSE),"")</f>
        <v>Rifampicin</v>
      </c>
      <c r="F2273" s="207" t="str">
        <f>IF(AND(A2273&lt;&gt;"",ISNUMBER(A2273)),VLOOKUP(A2273,Studies!A:BR,6,FALSE),"")</f>
        <v>Plasma</v>
      </c>
      <c r="G2273" s="194">
        <v>314</v>
      </c>
      <c r="H2273" s="194" t="s">
        <v>60</v>
      </c>
      <c r="I2273" s="187">
        <v>7.7965106964111328</v>
      </c>
      <c r="J2273" s="187" t="s">
        <v>1063</v>
      </c>
      <c r="K2273" s="187" t="s">
        <v>116</v>
      </c>
      <c r="L2273" s="195"/>
      <c r="M2273" s="195"/>
      <c r="N2273" s="195"/>
      <c r="O2273" s="199"/>
      <c r="P2273" s="188"/>
      <c r="Q2273" s="174">
        <f>IF(ISNUMBER(VLOOKUP(A2273,NotghiID!A:A,1,FALSE)),1,0)</f>
        <v>0</v>
      </c>
    </row>
    <row r="2274" spans="1:17" ht="14.25" x14ac:dyDescent="0.2">
      <c r="A2274" s="183">
        <v>418</v>
      </c>
      <c r="B2274" s="232" t="str">
        <f>IF(AND(A2274&lt;&gt;"",ISNUMBER(A2274)),VLOOKUP(A2274,Studies!A:BR,2,FALSE),"")</f>
        <v>Stone 2004</v>
      </c>
      <c r="C2274" s="232" t="str">
        <f>IF(AND(A2274&lt;&gt;"",ISNUMBER(A2274)),VLOOKUP(A2274,Studies!A:BR,3,FALSE),"")</f>
        <v>https://www.ncbi.nlm.nih.gov/pubmed/4037525</v>
      </c>
      <c r="D2274" s="232" t="str">
        <f>IF(AND(A2274&lt;&gt;"",ISNUMBER(A2274)),VLOOKUP(A2274,Studies!A:BR,4,FALSE),"")</f>
        <v>Day 14 of Rifampin alone</v>
      </c>
      <c r="E2274" s="206" t="str">
        <f>IF(AND(A2274&lt;&gt;"",ISNUMBER(A2274)),VLOOKUP(A2274,Studies!A:BR,5,FALSE),"")</f>
        <v>Rifampicin</v>
      </c>
      <c r="F2274" s="207" t="str">
        <f>IF(AND(A2274&lt;&gt;"",ISNUMBER(A2274)),VLOOKUP(A2274,Studies!A:BR,6,FALSE),"")</f>
        <v>Plasma</v>
      </c>
      <c r="G2274" s="194">
        <v>316</v>
      </c>
      <c r="H2274" s="194" t="s">
        <v>60</v>
      </c>
      <c r="I2274" s="187">
        <v>6.0616793632507324</v>
      </c>
      <c r="J2274" s="187" t="s">
        <v>1063</v>
      </c>
      <c r="K2274" s="187" t="s">
        <v>116</v>
      </c>
      <c r="L2274" s="195"/>
      <c r="M2274" s="195"/>
      <c r="N2274" s="195"/>
      <c r="O2274" s="199"/>
      <c r="P2274" s="188"/>
      <c r="Q2274" s="174">
        <f>IF(ISNUMBER(VLOOKUP(A2274,NotghiID!A:A,1,FALSE)),1,0)</f>
        <v>0</v>
      </c>
    </row>
    <row r="2275" spans="1:17" ht="14.25" x14ac:dyDescent="0.2">
      <c r="A2275" s="183">
        <v>418</v>
      </c>
      <c r="B2275" s="232" t="str">
        <f>IF(AND(A2275&lt;&gt;"",ISNUMBER(A2275)),VLOOKUP(A2275,Studies!A:BR,2,FALSE),"")</f>
        <v>Stone 2004</v>
      </c>
      <c r="C2275" s="232" t="str">
        <f>IF(AND(A2275&lt;&gt;"",ISNUMBER(A2275)),VLOOKUP(A2275,Studies!A:BR,3,FALSE),"")</f>
        <v>https://www.ncbi.nlm.nih.gov/pubmed/4037525</v>
      </c>
      <c r="D2275" s="232" t="str">
        <f>IF(AND(A2275&lt;&gt;"",ISNUMBER(A2275)),VLOOKUP(A2275,Studies!A:BR,4,FALSE),"")</f>
        <v>Day 14 of Rifampin alone</v>
      </c>
      <c r="E2275" s="206" t="str">
        <f>IF(AND(A2275&lt;&gt;"",ISNUMBER(A2275)),VLOOKUP(A2275,Studies!A:BR,5,FALSE),"")</f>
        <v>Rifampicin</v>
      </c>
      <c r="F2275" s="207" t="str">
        <f>IF(AND(A2275&lt;&gt;"",ISNUMBER(A2275)),VLOOKUP(A2275,Studies!A:BR,6,FALSE),"")</f>
        <v>Plasma</v>
      </c>
      <c r="G2275" s="194">
        <v>318</v>
      </c>
      <c r="H2275" s="194" t="s">
        <v>60</v>
      </c>
      <c r="I2275" s="187">
        <v>2.9505643844604492</v>
      </c>
      <c r="J2275" s="187" t="s">
        <v>1063</v>
      </c>
      <c r="K2275" s="187" t="s">
        <v>116</v>
      </c>
      <c r="L2275" s="195"/>
      <c r="M2275" s="195"/>
      <c r="N2275" s="195"/>
      <c r="O2275" s="199"/>
      <c r="P2275" s="188"/>
      <c r="Q2275" s="174">
        <f>IF(ISNUMBER(VLOOKUP(A2275,NotghiID!A:A,1,FALSE)),1,0)</f>
        <v>0</v>
      </c>
    </row>
    <row r="2276" spans="1:17" ht="14.25" x14ac:dyDescent="0.2">
      <c r="A2276" s="183">
        <v>418</v>
      </c>
      <c r="B2276" s="232" t="str">
        <f>IF(AND(A2276&lt;&gt;"",ISNUMBER(A2276)),VLOOKUP(A2276,Studies!A:BR,2,FALSE),"")</f>
        <v>Stone 2004</v>
      </c>
      <c r="C2276" s="232" t="str">
        <f>IF(AND(A2276&lt;&gt;"",ISNUMBER(A2276)),VLOOKUP(A2276,Studies!A:BR,3,FALSE),"")</f>
        <v>https://www.ncbi.nlm.nih.gov/pubmed/4037525</v>
      </c>
      <c r="D2276" s="232" t="str">
        <f>IF(AND(A2276&lt;&gt;"",ISNUMBER(A2276)),VLOOKUP(A2276,Studies!A:BR,4,FALSE),"")</f>
        <v>Day 14 of Rifampin alone</v>
      </c>
      <c r="E2276" s="206" t="str">
        <f>IF(AND(A2276&lt;&gt;"",ISNUMBER(A2276)),VLOOKUP(A2276,Studies!A:BR,5,FALSE),"")</f>
        <v>Rifampicin</v>
      </c>
      <c r="F2276" s="207" t="str">
        <f>IF(AND(A2276&lt;&gt;"",ISNUMBER(A2276)),VLOOKUP(A2276,Studies!A:BR,6,FALSE),"")</f>
        <v>Plasma</v>
      </c>
      <c r="G2276" s="194">
        <v>321</v>
      </c>
      <c r="H2276" s="194" t="s">
        <v>60</v>
      </c>
      <c r="I2276" s="187">
        <v>0.76993560791015625</v>
      </c>
      <c r="J2276" s="187" t="s">
        <v>1063</v>
      </c>
      <c r="K2276" s="187" t="s">
        <v>116</v>
      </c>
      <c r="L2276" s="195"/>
      <c r="M2276" s="195"/>
      <c r="N2276" s="195"/>
      <c r="O2276" s="199"/>
      <c r="P2276" s="188"/>
      <c r="Q2276" s="174">
        <f>IF(ISNUMBER(VLOOKUP(A2276,NotghiID!A:A,1,FALSE)),1,0)</f>
        <v>0</v>
      </c>
    </row>
    <row r="2277" spans="1:17" ht="14.25" x14ac:dyDescent="0.2">
      <c r="A2277" s="183">
        <v>418</v>
      </c>
      <c r="B2277" s="232" t="str">
        <f>IF(AND(A2277&lt;&gt;"",ISNUMBER(A2277)),VLOOKUP(A2277,Studies!A:BR,2,FALSE),"")</f>
        <v>Stone 2004</v>
      </c>
      <c r="C2277" s="232" t="str">
        <f>IF(AND(A2277&lt;&gt;"",ISNUMBER(A2277)),VLOOKUP(A2277,Studies!A:BR,3,FALSE),"")</f>
        <v>https://www.ncbi.nlm.nih.gov/pubmed/4037525</v>
      </c>
      <c r="D2277" s="232" t="str">
        <f>IF(AND(A2277&lt;&gt;"",ISNUMBER(A2277)),VLOOKUP(A2277,Studies!A:BR,4,FALSE),"")</f>
        <v>Day 14 of Rifampin alone</v>
      </c>
      <c r="E2277" s="206" t="str">
        <f>IF(AND(A2277&lt;&gt;"",ISNUMBER(A2277)),VLOOKUP(A2277,Studies!A:BR,5,FALSE),"")</f>
        <v>Rifampicin</v>
      </c>
      <c r="F2277" s="207" t="str">
        <f>IF(AND(A2277&lt;&gt;"",ISNUMBER(A2277)),VLOOKUP(A2277,Studies!A:BR,6,FALSE),"")</f>
        <v>Plasma</v>
      </c>
      <c r="G2277" s="194">
        <v>324</v>
      </c>
      <c r="H2277" s="194" t="s">
        <v>60</v>
      </c>
      <c r="I2277" s="187">
        <v>0.15484011173248291</v>
      </c>
      <c r="J2277" s="187" t="s">
        <v>1063</v>
      </c>
      <c r="K2277" s="187" t="s">
        <v>116</v>
      </c>
      <c r="L2277" s="195"/>
      <c r="M2277" s="195"/>
      <c r="N2277" s="195"/>
      <c r="O2277" s="199"/>
      <c r="P2277" s="188"/>
      <c r="Q2277" s="174">
        <f>IF(ISNUMBER(VLOOKUP(A2277,NotghiID!A:A,1,FALSE)),1,0)</f>
        <v>0</v>
      </c>
    </row>
    <row r="2278" spans="1:17" ht="14.25" x14ac:dyDescent="0.2">
      <c r="A2278" s="183">
        <v>468</v>
      </c>
      <c r="B2278" s="232" t="str">
        <f>IF(AND(A2278&lt;&gt;"",ISNUMBER(A2278)),VLOOKUP(A2278,Studies!A:BR,2,FALSE),"")</f>
        <v>Yeates 1996</v>
      </c>
      <c r="C2278" s="232" t="str">
        <f>IF(AND(A2278&lt;&gt;"",ISNUMBER(A2278)),VLOOKUP(A2278,Studies!A:BR,3,FALSE),"")</f>
        <v>http://www.ncbi.nlm.nih.gov/pubmed/8880291</v>
      </c>
      <c r="D2278" s="232" t="str">
        <f>IF(AND(A2278&lt;&gt;"",ISNUMBER(A2278)),VLOOKUP(A2278,Studies!A:BR,4,FALSE),"")</f>
        <v>Control (Perpetrator Placebo)</v>
      </c>
      <c r="E2278" s="206" t="str">
        <f>IF(AND(A2278&lt;&gt;"",ISNUMBER(A2278)),VLOOKUP(A2278,Studies!A:BR,5,FALSE),"")</f>
        <v>Midazolam</v>
      </c>
      <c r="F2278" s="207" t="str">
        <f>IF(AND(A2278&lt;&gt;"",ISNUMBER(A2278)),VLOOKUP(A2278,Studies!A:BR,6,FALSE),"")</f>
        <v>Plasma</v>
      </c>
      <c r="G2278" s="194">
        <v>0.5</v>
      </c>
      <c r="H2278" s="194" t="s">
        <v>60</v>
      </c>
      <c r="I2278" s="187">
        <v>68.959800720214844</v>
      </c>
      <c r="J2278" s="187" t="s">
        <v>1026</v>
      </c>
      <c r="K2278" s="187" t="s">
        <v>116</v>
      </c>
      <c r="L2278" s="195">
        <v>37.282737731933594</v>
      </c>
      <c r="M2278" s="195" t="s">
        <v>1026</v>
      </c>
      <c r="N2278" s="195" t="s">
        <v>1034</v>
      </c>
      <c r="O2278" s="199"/>
      <c r="P2278" s="188"/>
      <c r="Q2278" s="174">
        <f>IF(ISNUMBER(VLOOKUP(A2278,NotghiID!A:A,1,FALSE)),1,0)</f>
        <v>0</v>
      </c>
    </row>
    <row r="2279" spans="1:17" ht="14.25" x14ac:dyDescent="0.2">
      <c r="A2279" s="183">
        <v>468</v>
      </c>
      <c r="B2279" s="232" t="str">
        <f>IF(AND(A2279&lt;&gt;"",ISNUMBER(A2279)),VLOOKUP(A2279,Studies!A:BR,2,FALSE),"")</f>
        <v>Yeates 1996</v>
      </c>
      <c r="C2279" s="232" t="str">
        <f>IF(AND(A2279&lt;&gt;"",ISNUMBER(A2279)),VLOOKUP(A2279,Studies!A:BR,3,FALSE),"")</f>
        <v>http://www.ncbi.nlm.nih.gov/pubmed/8880291</v>
      </c>
      <c r="D2279" s="232" t="str">
        <f>IF(AND(A2279&lt;&gt;"",ISNUMBER(A2279)),VLOOKUP(A2279,Studies!A:BR,4,FALSE),"")</f>
        <v>Control (Perpetrator Placebo)</v>
      </c>
      <c r="E2279" s="206" t="str">
        <f>IF(AND(A2279&lt;&gt;"",ISNUMBER(A2279)),VLOOKUP(A2279,Studies!A:BR,5,FALSE),"")</f>
        <v>Midazolam</v>
      </c>
      <c r="F2279" s="207" t="str">
        <f>IF(AND(A2279&lt;&gt;"",ISNUMBER(A2279)),VLOOKUP(A2279,Studies!A:BR,6,FALSE),"")</f>
        <v>Plasma</v>
      </c>
      <c r="G2279" s="194">
        <v>1</v>
      </c>
      <c r="H2279" s="194" t="s">
        <v>60</v>
      </c>
      <c r="I2279" s="187">
        <v>57.932300567626953</v>
      </c>
      <c r="J2279" s="187" t="s">
        <v>1026</v>
      </c>
      <c r="K2279" s="187" t="s">
        <v>116</v>
      </c>
      <c r="L2279" s="195">
        <v>27.198741912841797</v>
      </c>
      <c r="M2279" s="195" t="s">
        <v>1026</v>
      </c>
      <c r="N2279" s="195" t="s">
        <v>1034</v>
      </c>
      <c r="O2279" s="199"/>
      <c r="P2279" s="188"/>
      <c r="Q2279" s="174">
        <f>IF(ISNUMBER(VLOOKUP(A2279,NotghiID!A:A,1,FALSE)),1,0)</f>
        <v>0</v>
      </c>
    </row>
    <row r="2280" spans="1:17" ht="14.25" x14ac:dyDescent="0.2">
      <c r="A2280" s="183">
        <v>468</v>
      </c>
      <c r="B2280" s="232" t="str">
        <f>IF(AND(A2280&lt;&gt;"",ISNUMBER(A2280)),VLOOKUP(A2280,Studies!A:BR,2,FALSE),"")</f>
        <v>Yeates 1996</v>
      </c>
      <c r="C2280" s="232" t="str">
        <f>IF(AND(A2280&lt;&gt;"",ISNUMBER(A2280)),VLOOKUP(A2280,Studies!A:BR,3,FALSE),"")</f>
        <v>http://www.ncbi.nlm.nih.gov/pubmed/8880291</v>
      </c>
      <c r="D2280" s="232" t="str">
        <f>IF(AND(A2280&lt;&gt;"",ISNUMBER(A2280)),VLOOKUP(A2280,Studies!A:BR,4,FALSE),"")</f>
        <v>Control (Perpetrator Placebo)</v>
      </c>
      <c r="E2280" s="206" t="str">
        <f>IF(AND(A2280&lt;&gt;"",ISNUMBER(A2280)),VLOOKUP(A2280,Studies!A:BR,5,FALSE),"")</f>
        <v>Midazolam</v>
      </c>
      <c r="F2280" s="207" t="str">
        <f>IF(AND(A2280&lt;&gt;"",ISNUMBER(A2280)),VLOOKUP(A2280,Studies!A:BR,6,FALSE),"")</f>
        <v>Plasma</v>
      </c>
      <c r="G2280" s="194">
        <v>2</v>
      </c>
      <c r="H2280" s="194" t="s">
        <v>60</v>
      </c>
      <c r="I2280" s="187">
        <v>37.625099182128906</v>
      </c>
      <c r="J2280" s="187" t="s">
        <v>1026</v>
      </c>
      <c r="K2280" s="187" t="s">
        <v>116</v>
      </c>
      <c r="L2280" s="195">
        <v>16.124700546264648</v>
      </c>
      <c r="M2280" s="195" t="s">
        <v>1026</v>
      </c>
      <c r="N2280" s="195" t="s">
        <v>1034</v>
      </c>
      <c r="O2280" s="199"/>
      <c r="P2280" s="188"/>
      <c r="Q2280" s="174">
        <f>IF(ISNUMBER(VLOOKUP(A2280,NotghiID!A:A,1,FALSE)),1,0)</f>
        <v>0</v>
      </c>
    </row>
    <row r="2281" spans="1:17" ht="14.25" x14ac:dyDescent="0.2">
      <c r="A2281" s="183">
        <v>468</v>
      </c>
      <c r="B2281" s="232" t="str">
        <f>IF(AND(A2281&lt;&gt;"",ISNUMBER(A2281)),VLOOKUP(A2281,Studies!A:BR,2,FALSE),"")</f>
        <v>Yeates 1996</v>
      </c>
      <c r="C2281" s="232" t="str">
        <f>IF(AND(A2281&lt;&gt;"",ISNUMBER(A2281)),VLOOKUP(A2281,Studies!A:BR,3,FALSE),"")</f>
        <v>http://www.ncbi.nlm.nih.gov/pubmed/8880291</v>
      </c>
      <c r="D2281" s="232" t="str">
        <f>IF(AND(A2281&lt;&gt;"",ISNUMBER(A2281)),VLOOKUP(A2281,Studies!A:BR,4,FALSE),"")</f>
        <v>Control (Perpetrator Placebo)</v>
      </c>
      <c r="E2281" s="206" t="str">
        <f>IF(AND(A2281&lt;&gt;"",ISNUMBER(A2281)),VLOOKUP(A2281,Studies!A:BR,5,FALSE),"")</f>
        <v>Midazolam</v>
      </c>
      <c r="F2281" s="207" t="str">
        <f>IF(AND(A2281&lt;&gt;"",ISNUMBER(A2281)),VLOOKUP(A2281,Studies!A:BR,6,FALSE),"")</f>
        <v>Plasma</v>
      </c>
      <c r="G2281" s="194">
        <v>3</v>
      </c>
      <c r="H2281" s="194" t="s">
        <v>60</v>
      </c>
      <c r="I2281" s="187">
        <v>26.041898727416992</v>
      </c>
      <c r="J2281" s="187" t="s">
        <v>1026</v>
      </c>
      <c r="K2281" s="187" t="s">
        <v>116</v>
      </c>
      <c r="L2281" s="195">
        <v>19.133272171020508</v>
      </c>
      <c r="M2281" s="195" t="s">
        <v>1026</v>
      </c>
      <c r="N2281" s="195" t="s">
        <v>1034</v>
      </c>
      <c r="O2281" s="199"/>
      <c r="P2281" s="188"/>
      <c r="Q2281" s="174">
        <f>IF(ISNUMBER(VLOOKUP(A2281,NotghiID!A:A,1,FALSE)),1,0)</f>
        <v>0</v>
      </c>
    </row>
    <row r="2282" spans="1:17" ht="14.25" x14ac:dyDescent="0.2">
      <c r="A2282" s="183">
        <v>468</v>
      </c>
      <c r="B2282" s="232" t="str">
        <f>IF(AND(A2282&lt;&gt;"",ISNUMBER(A2282)),VLOOKUP(A2282,Studies!A:BR,2,FALSE),"")</f>
        <v>Yeates 1996</v>
      </c>
      <c r="C2282" s="232" t="str">
        <f>IF(AND(A2282&lt;&gt;"",ISNUMBER(A2282)),VLOOKUP(A2282,Studies!A:BR,3,FALSE),"")</f>
        <v>http://www.ncbi.nlm.nih.gov/pubmed/8880291</v>
      </c>
      <c r="D2282" s="232" t="str">
        <f>IF(AND(A2282&lt;&gt;"",ISNUMBER(A2282)),VLOOKUP(A2282,Studies!A:BR,4,FALSE),"")</f>
        <v>Control (Perpetrator Placebo)</v>
      </c>
      <c r="E2282" s="206" t="str">
        <f>IF(AND(A2282&lt;&gt;"",ISNUMBER(A2282)),VLOOKUP(A2282,Studies!A:BR,5,FALSE),"")</f>
        <v>Midazolam</v>
      </c>
      <c r="F2282" s="207" t="str">
        <f>IF(AND(A2282&lt;&gt;"",ISNUMBER(A2282)),VLOOKUP(A2282,Studies!A:BR,6,FALSE),"")</f>
        <v>Plasma</v>
      </c>
      <c r="G2282" s="194">
        <v>4</v>
      </c>
      <c r="H2282" s="194" t="s">
        <v>60</v>
      </c>
      <c r="I2282" s="187">
        <v>16.202600479125977</v>
      </c>
      <c r="J2282" s="187" t="s">
        <v>1026</v>
      </c>
      <c r="K2282" s="187" t="s">
        <v>116</v>
      </c>
      <c r="L2282" s="195"/>
      <c r="M2282" s="195"/>
      <c r="N2282" s="195"/>
      <c r="O2282" s="199"/>
      <c r="P2282" s="188"/>
      <c r="Q2282" s="174">
        <f>IF(ISNUMBER(VLOOKUP(A2282,NotghiID!A:A,1,FALSE)),1,0)</f>
        <v>0</v>
      </c>
    </row>
    <row r="2283" spans="1:17" ht="14.25" x14ac:dyDescent="0.2">
      <c r="A2283" s="183">
        <v>468</v>
      </c>
      <c r="B2283" s="232" t="str">
        <f>IF(AND(A2283&lt;&gt;"",ISNUMBER(A2283)),VLOOKUP(A2283,Studies!A:BR,2,FALSE),"")</f>
        <v>Yeates 1996</v>
      </c>
      <c r="C2283" s="232" t="str">
        <f>IF(AND(A2283&lt;&gt;"",ISNUMBER(A2283)),VLOOKUP(A2283,Studies!A:BR,3,FALSE),"")</f>
        <v>http://www.ncbi.nlm.nih.gov/pubmed/8880291</v>
      </c>
      <c r="D2283" s="232" t="str">
        <f>IF(AND(A2283&lt;&gt;"",ISNUMBER(A2283)),VLOOKUP(A2283,Studies!A:BR,4,FALSE),"")</f>
        <v>Control (Perpetrator Placebo)</v>
      </c>
      <c r="E2283" s="206" t="str">
        <f>IF(AND(A2283&lt;&gt;"",ISNUMBER(A2283)),VLOOKUP(A2283,Studies!A:BR,5,FALSE),"")</f>
        <v>Midazolam</v>
      </c>
      <c r="F2283" s="207" t="str">
        <f>IF(AND(A2283&lt;&gt;"",ISNUMBER(A2283)),VLOOKUP(A2283,Studies!A:BR,6,FALSE),"")</f>
        <v>Plasma</v>
      </c>
      <c r="G2283" s="194">
        <v>5</v>
      </c>
      <c r="H2283" s="194" t="s">
        <v>60</v>
      </c>
      <c r="I2283" s="187">
        <v>11.599600791931152</v>
      </c>
      <c r="J2283" s="187" t="s">
        <v>1026</v>
      </c>
      <c r="K2283" s="187" t="s">
        <v>116</v>
      </c>
      <c r="L2283" s="195"/>
      <c r="M2283" s="195"/>
      <c r="N2283" s="195"/>
      <c r="O2283" s="199"/>
      <c r="P2283" s="188"/>
      <c r="Q2283" s="174">
        <f>IF(ISNUMBER(VLOOKUP(A2283,NotghiID!A:A,1,FALSE)),1,0)</f>
        <v>0</v>
      </c>
    </row>
    <row r="2284" spans="1:17" ht="14.25" x14ac:dyDescent="0.2">
      <c r="A2284" s="183">
        <v>468</v>
      </c>
      <c r="B2284" s="232" t="str">
        <f>IF(AND(A2284&lt;&gt;"",ISNUMBER(A2284)),VLOOKUP(A2284,Studies!A:BR,2,FALSE),"")</f>
        <v>Yeates 1996</v>
      </c>
      <c r="C2284" s="232" t="str">
        <f>IF(AND(A2284&lt;&gt;"",ISNUMBER(A2284)),VLOOKUP(A2284,Studies!A:BR,3,FALSE),"")</f>
        <v>http://www.ncbi.nlm.nih.gov/pubmed/8880291</v>
      </c>
      <c r="D2284" s="232" t="str">
        <f>IF(AND(A2284&lt;&gt;"",ISNUMBER(A2284)),VLOOKUP(A2284,Studies!A:BR,4,FALSE),"")</f>
        <v>Control (Perpetrator Placebo)</v>
      </c>
      <c r="E2284" s="206" t="str">
        <f>IF(AND(A2284&lt;&gt;"",ISNUMBER(A2284)),VLOOKUP(A2284,Studies!A:BR,5,FALSE),"")</f>
        <v>Midazolam</v>
      </c>
      <c r="F2284" s="207" t="str">
        <f>IF(AND(A2284&lt;&gt;"",ISNUMBER(A2284)),VLOOKUP(A2284,Studies!A:BR,6,FALSE),"")</f>
        <v>Plasma</v>
      </c>
      <c r="G2284" s="194">
        <v>6</v>
      </c>
      <c r="H2284" s="194" t="s">
        <v>60</v>
      </c>
      <c r="I2284" s="187">
        <v>9.0313005447387695</v>
      </c>
      <c r="J2284" s="187" t="s">
        <v>1026</v>
      </c>
      <c r="K2284" s="187" t="s">
        <v>116</v>
      </c>
      <c r="L2284" s="195"/>
      <c r="M2284" s="195"/>
      <c r="N2284" s="195"/>
      <c r="O2284" s="199"/>
      <c r="P2284" s="188"/>
      <c r="Q2284" s="174">
        <f>IF(ISNUMBER(VLOOKUP(A2284,NotghiID!A:A,1,FALSE)),1,0)</f>
        <v>0</v>
      </c>
    </row>
    <row r="2285" spans="1:17" ht="14.25" x14ac:dyDescent="0.2">
      <c r="A2285" s="183">
        <v>468</v>
      </c>
      <c r="B2285" s="232" t="str">
        <f>IF(AND(A2285&lt;&gt;"",ISNUMBER(A2285)),VLOOKUP(A2285,Studies!A:BR,2,FALSE),"")</f>
        <v>Yeates 1996</v>
      </c>
      <c r="C2285" s="232" t="str">
        <f>IF(AND(A2285&lt;&gt;"",ISNUMBER(A2285)),VLOOKUP(A2285,Studies!A:BR,3,FALSE),"")</f>
        <v>http://www.ncbi.nlm.nih.gov/pubmed/8880291</v>
      </c>
      <c r="D2285" s="232" t="str">
        <f>IF(AND(A2285&lt;&gt;"",ISNUMBER(A2285)),VLOOKUP(A2285,Studies!A:BR,4,FALSE),"")</f>
        <v>Control (Perpetrator Placebo)</v>
      </c>
      <c r="E2285" s="206" t="str">
        <f>IF(AND(A2285&lt;&gt;"",ISNUMBER(A2285)),VLOOKUP(A2285,Studies!A:BR,5,FALSE),"")</f>
        <v>Midazolam</v>
      </c>
      <c r="F2285" s="207" t="str">
        <f>IF(AND(A2285&lt;&gt;"",ISNUMBER(A2285)),VLOOKUP(A2285,Studies!A:BR,6,FALSE),"")</f>
        <v>Plasma</v>
      </c>
      <c r="G2285" s="194">
        <v>8</v>
      </c>
      <c r="H2285" s="194" t="s">
        <v>60</v>
      </c>
      <c r="I2285" s="187">
        <v>5.059840202331543</v>
      </c>
      <c r="J2285" s="187" t="s">
        <v>1026</v>
      </c>
      <c r="K2285" s="187" t="s">
        <v>116</v>
      </c>
      <c r="L2285" s="195"/>
      <c r="M2285" s="195"/>
      <c r="N2285" s="195"/>
      <c r="O2285" s="199"/>
      <c r="P2285" s="188"/>
      <c r="Q2285" s="174">
        <f>IF(ISNUMBER(VLOOKUP(A2285,NotghiID!A:A,1,FALSE)),1,0)</f>
        <v>0</v>
      </c>
    </row>
    <row r="2286" spans="1:17" ht="14.25" x14ac:dyDescent="0.2">
      <c r="A2286" s="183">
        <v>468</v>
      </c>
      <c r="B2286" s="232" t="str">
        <f>IF(AND(A2286&lt;&gt;"",ISNUMBER(A2286)),VLOOKUP(A2286,Studies!A:BR,2,FALSE),"")</f>
        <v>Yeates 1996</v>
      </c>
      <c r="C2286" s="232" t="str">
        <f>IF(AND(A2286&lt;&gt;"",ISNUMBER(A2286)),VLOOKUP(A2286,Studies!A:BR,3,FALSE),"")</f>
        <v>http://www.ncbi.nlm.nih.gov/pubmed/8880291</v>
      </c>
      <c r="D2286" s="232" t="str">
        <f>IF(AND(A2286&lt;&gt;"",ISNUMBER(A2286)),VLOOKUP(A2286,Studies!A:BR,4,FALSE),"")</f>
        <v>Control (Perpetrator Placebo)</v>
      </c>
      <c r="E2286" s="206" t="str">
        <f>IF(AND(A2286&lt;&gt;"",ISNUMBER(A2286)),VLOOKUP(A2286,Studies!A:BR,5,FALSE),"")</f>
        <v>Midazolam</v>
      </c>
      <c r="F2286" s="207" t="str">
        <f>IF(AND(A2286&lt;&gt;"",ISNUMBER(A2286)),VLOOKUP(A2286,Studies!A:BR,6,FALSE),"")</f>
        <v>Plasma</v>
      </c>
      <c r="G2286" s="194">
        <v>12</v>
      </c>
      <c r="H2286" s="194" t="s">
        <v>60</v>
      </c>
      <c r="I2286" s="187">
        <v>2.6321799755096436</v>
      </c>
      <c r="J2286" s="187" t="s">
        <v>1026</v>
      </c>
      <c r="K2286" s="187" t="s">
        <v>116</v>
      </c>
      <c r="L2286" s="195"/>
      <c r="M2286" s="195"/>
      <c r="N2286" s="195"/>
      <c r="O2286" s="199"/>
      <c r="P2286" s="188"/>
      <c r="Q2286" s="174">
        <f>IF(ISNUMBER(VLOOKUP(A2286,NotghiID!A:A,1,FALSE)),1,0)</f>
        <v>0</v>
      </c>
    </row>
    <row r="2287" spans="1:17" ht="14.25" x14ac:dyDescent="0.2">
      <c r="A2287" s="183">
        <v>468</v>
      </c>
      <c r="B2287" s="232" t="str">
        <f>IF(AND(A2287&lt;&gt;"",ISNUMBER(A2287)),VLOOKUP(A2287,Studies!A:BR,2,FALSE),"")</f>
        <v>Yeates 1996</v>
      </c>
      <c r="C2287" s="232" t="str">
        <f>IF(AND(A2287&lt;&gt;"",ISNUMBER(A2287)),VLOOKUP(A2287,Studies!A:BR,3,FALSE),"")</f>
        <v>http://www.ncbi.nlm.nih.gov/pubmed/8880291</v>
      </c>
      <c r="D2287" s="232" t="str">
        <f>IF(AND(A2287&lt;&gt;"",ISNUMBER(A2287)),VLOOKUP(A2287,Studies!A:BR,4,FALSE),"")</f>
        <v>Control (Perpetrator Placebo)</v>
      </c>
      <c r="E2287" s="206" t="str">
        <f>IF(AND(A2287&lt;&gt;"",ISNUMBER(A2287)),VLOOKUP(A2287,Studies!A:BR,5,FALSE),"")</f>
        <v>Midazolam</v>
      </c>
      <c r="F2287" s="207" t="str">
        <f>IF(AND(A2287&lt;&gt;"",ISNUMBER(A2287)),VLOOKUP(A2287,Studies!A:BR,6,FALSE),"")</f>
        <v>Plasma</v>
      </c>
      <c r="G2287" s="194">
        <v>24</v>
      </c>
      <c r="H2287" s="194" t="s">
        <v>60</v>
      </c>
      <c r="I2287" s="187">
        <v>0.30476799607276917</v>
      </c>
      <c r="J2287" s="187" t="s">
        <v>1026</v>
      </c>
      <c r="K2287" s="187" t="s">
        <v>116</v>
      </c>
      <c r="L2287" s="195"/>
      <c r="M2287" s="195"/>
      <c r="N2287" s="195"/>
      <c r="O2287" s="199"/>
      <c r="P2287" s="188"/>
      <c r="Q2287" s="174">
        <f>IF(ISNUMBER(VLOOKUP(A2287,NotghiID!A:A,1,FALSE)),1,0)</f>
        <v>0</v>
      </c>
    </row>
    <row r="2288" spans="1:17" ht="14.25" x14ac:dyDescent="0.2">
      <c r="A2288" s="183">
        <v>469</v>
      </c>
      <c r="B2288" s="232" t="str">
        <f>IF(AND(A2288&lt;&gt;"",ISNUMBER(A2288)),VLOOKUP(A2288,Studies!A:BR,2,FALSE),"")</f>
        <v>Yeates 1996</v>
      </c>
      <c r="C2288" s="232" t="str">
        <f>IF(AND(A2288&lt;&gt;"",ISNUMBER(A2288)),VLOOKUP(A2288,Studies!A:BR,3,FALSE),"")</f>
        <v>http://www.ncbi.nlm.nih.gov/pubmed/8880291</v>
      </c>
      <c r="D2288" s="232" t="str">
        <f>IF(AND(A2288&lt;&gt;"",ISNUMBER(A2288)),VLOOKUP(A2288,Studies!A:BR,4,FALSE),"")</f>
        <v>with Perpetrator (Clarithromycin)</v>
      </c>
      <c r="E2288" s="206" t="str">
        <f>IF(AND(A2288&lt;&gt;"",ISNUMBER(A2288)),VLOOKUP(A2288,Studies!A:BR,5,FALSE),"")</f>
        <v>Midazolam</v>
      </c>
      <c r="F2288" s="207" t="str">
        <f>IF(AND(A2288&lt;&gt;"",ISNUMBER(A2288)),VLOOKUP(A2288,Studies!A:BR,6,FALSE),"")</f>
        <v>Plasma</v>
      </c>
      <c r="G2288" s="194">
        <v>98</v>
      </c>
      <c r="H2288" s="194" t="s">
        <v>60</v>
      </c>
      <c r="I2288" s="187">
        <v>172.18798828125</v>
      </c>
      <c r="J2288" s="187" t="s">
        <v>1026</v>
      </c>
      <c r="K2288" s="187" t="s">
        <v>116</v>
      </c>
      <c r="L2288" s="195">
        <v>114.83843231201172</v>
      </c>
      <c r="M2288" s="195" t="s">
        <v>1026</v>
      </c>
      <c r="N2288" s="195" t="s">
        <v>1034</v>
      </c>
      <c r="O2288" s="199"/>
      <c r="P2288" s="188"/>
      <c r="Q2288" s="174">
        <f>IF(ISNUMBER(VLOOKUP(A2288,NotghiID!A:A,1,FALSE)),1,0)</f>
        <v>0</v>
      </c>
    </row>
    <row r="2289" spans="1:17" ht="14.25" x14ac:dyDescent="0.2">
      <c r="A2289" s="183">
        <v>469</v>
      </c>
      <c r="B2289" s="232" t="str">
        <f>IF(AND(A2289&lt;&gt;"",ISNUMBER(A2289)),VLOOKUP(A2289,Studies!A:BR,2,FALSE),"")</f>
        <v>Yeates 1996</v>
      </c>
      <c r="C2289" s="232" t="str">
        <f>IF(AND(A2289&lt;&gt;"",ISNUMBER(A2289)),VLOOKUP(A2289,Studies!A:BR,3,FALSE),"")</f>
        <v>http://www.ncbi.nlm.nih.gov/pubmed/8880291</v>
      </c>
      <c r="D2289" s="232" t="str">
        <f>IF(AND(A2289&lt;&gt;"",ISNUMBER(A2289)),VLOOKUP(A2289,Studies!A:BR,4,FALSE),"")</f>
        <v>with Perpetrator (Clarithromycin)</v>
      </c>
      <c r="E2289" s="206" t="str">
        <f>IF(AND(A2289&lt;&gt;"",ISNUMBER(A2289)),VLOOKUP(A2289,Studies!A:BR,5,FALSE),"")</f>
        <v>Midazolam</v>
      </c>
      <c r="F2289" s="207" t="str">
        <f>IF(AND(A2289&lt;&gt;"",ISNUMBER(A2289)),VLOOKUP(A2289,Studies!A:BR,6,FALSE),"")</f>
        <v>Plasma</v>
      </c>
      <c r="G2289" s="194">
        <v>98.5</v>
      </c>
      <c r="H2289" s="194" t="s">
        <v>60</v>
      </c>
      <c r="I2289" s="187">
        <v>127.14100646972656</v>
      </c>
      <c r="J2289" s="187" t="s">
        <v>1026</v>
      </c>
      <c r="K2289" s="187" t="s">
        <v>116</v>
      </c>
      <c r="L2289" s="195">
        <v>66.486503601074219</v>
      </c>
      <c r="M2289" s="195" t="s">
        <v>1026</v>
      </c>
      <c r="N2289" s="195" t="s">
        <v>1034</v>
      </c>
      <c r="O2289" s="199"/>
      <c r="P2289" s="188"/>
      <c r="Q2289" s="174">
        <f>IF(ISNUMBER(VLOOKUP(A2289,NotghiID!A:A,1,FALSE)),1,0)</f>
        <v>0</v>
      </c>
    </row>
    <row r="2290" spans="1:17" ht="14.25" x14ac:dyDescent="0.2">
      <c r="A2290" s="183">
        <v>469</v>
      </c>
      <c r="B2290" s="232" t="str">
        <f>IF(AND(A2290&lt;&gt;"",ISNUMBER(A2290)),VLOOKUP(A2290,Studies!A:BR,2,FALSE),"")</f>
        <v>Yeates 1996</v>
      </c>
      <c r="C2290" s="232" t="str">
        <f>IF(AND(A2290&lt;&gt;"",ISNUMBER(A2290)),VLOOKUP(A2290,Studies!A:BR,3,FALSE),"")</f>
        <v>http://www.ncbi.nlm.nih.gov/pubmed/8880291</v>
      </c>
      <c r="D2290" s="232" t="str">
        <f>IF(AND(A2290&lt;&gt;"",ISNUMBER(A2290)),VLOOKUP(A2290,Studies!A:BR,4,FALSE),"")</f>
        <v>with Perpetrator (Clarithromycin)</v>
      </c>
      <c r="E2290" s="206" t="str">
        <f>IF(AND(A2290&lt;&gt;"",ISNUMBER(A2290)),VLOOKUP(A2290,Studies!A:BR,5,FALSE),"")</f>
        <v>Midazolam</v>
      </c>
      <c r="F2290" s="207" t="str">
        <f>IF(AND(A2290&lt;&gt;"",ISNUMBER(A2290)),VLOOKUP(A2290,Studies!A:BR,6,FALSE),"")</f>
        <v>Plasma</v>
      </c>
      <c r="G2290" s="194">
        <v>99.5</v>
      </c>
      <c r="H2290" s="194" t="s">
        <v>60</v>
      </c>
      <c r="I2290" s="187">
        <v>109.74100494384766</v>
      </c>
      <c r="J2290" s="187" t="s">
        <v>1026</v>
      </c>
      <c r="K2290" s="187" t="s">
        <v>116</v>
      </c>
      <c r="L2290" s="195">
        <v>31.221948623657227</v>
      </c>
      <c r="M2290" s="195" t="s">
        <v>1026</v>
      </c>
      <c r="N2290" s="195" t="s">
        <v>1034</v>
      </c>
      <c r="O2290" s="199"/>
      <c r="P2290" s="188"/>
      <c r="Q2290" s="174">
        <f>IF(ISNUMBER(VLOOKUP(A2290,NotghiID!A:A,1,FALSE)),1,0)</f>
        <v>0</v>
      </c>
    </row>
    <row r="2291" spans="1:17" ht="14.25" x14ac:dyDescent="0.2">
      <c r="A2291" s="183">
        <v>469</v>
      </c>
      <c r="B2291" s="232" t="str">
        <f>IF(AND(A2291&lt;&gt;"",ISNUMBER(A2291)),VLOOKUP(A2291,Studies!A:BR,2,FALSE),"")</f>
        <v>Yeates 1996</v>
      </c>
      <c r="C2291" s="232" t="str">
        <f>IF(AND(A2291&lt;&gt;"",ISNUMBER(A2291)),VLOOKUP(A2291,Studies!A:BR,3,FALSE),"")</f>
        <v>http://www.ncbi.nlm.nih.gov/pubmed/8880291</v>
      </c>
      <c r="D2291" s="232" t="str">
        <f>IF(AND(A2291&lt;&gt;"",ISNUMBER(A2291)),VLOOKUP(A2291,Studies!A:BR,4,FALSE),"")</f>
        <v>with Perpetrator (Clarithromycin)</v>
      </c>
      <c r="E2291" s="206" t="str">
        <f>IF(AND(A2291&lt;&gt;"",ISNUMBER(A2291)),VLOOKUP(A2291,Studies!A:BR,5,FALSE),"")</f>
        <v>Midazolam</v>
      </c>
      <c r="F2291" s="207" t="str">
        <f>IF(AND(A2291&lt;&gt;"",ISNUMBER(A2291)),VLOOKUP(A2291,Studies!A:BR,6,FALSE),"")</f>
        <v>Plasma</v>
      </c>
      <c r="G2291" s="194">
        <v>100.5</v>
      </c>
      <c r="H2291" s="194" t="s">
        <v>60</v>
      </c>
      <c r="I2291" s="187">
        <v>88.561203002929688</v>
      </c>
      <c r="J2291" s="187" t="s">
        <v>1026</v>
      </c>
      <c r="K2291" s="187" t="s">
        <v>116</v>
      </c>
      <c r="L2291" s="195">
        <v>34.253730773925781</v>
      </c>
      <c r="M2291" s="195" t="s">
        <v>1026</v>
      </c>
      <c r="N2291" s="195" t="s">
        <v>1034</v>
      </c>
      <c r="O2291" s="199"/>
      <c r="P2291" s="188"/>
      <c r="Q2291" s="174">
        <f>IF(ISNUMBER(VLOOKUP(A2291,NotghiID!A:A,1,FALSE)),1,0)</f>
        <v>0</v>
      </c>
    </row>
    <row r="2292" spans="1:17" ht="14.25" x14ac:dyDescent="0.2">
      <c r="A2292" s="183">
        <v>469</v>
      </c>
      <c r="B2292" s="232" t="str">
        <f>IF(AND(A2292&lt;&gt;"",ISNUMBER(A2292)),VLOOKUP(A2292,Studies!A:BR,2,FALSE),"")</f>
        <v>Yeates 1996</v>
      </c>
      <c r="C2292" s="232" t="str">
        <f>IF(AND(A2292&lt;&gt;"",ISNUMBER(A2292)),VLOOKUP(A2292,Studies!A:BR,3,FALSE),"")</f>
        <v>http://www.ncbi.nlm.nih.gov/pubmed/8880291</v>
      </c>
      <c r="D2292" s="232" t="str">
        <f>IF(AND(A2292&lt;&gt;"",ISNUMBER(A2292)),VLOOKUP(A2292,Studies!A:BR,4,FALSE),"")</f>
        <v>with Perpetrator (Clarithromycin)</v>
      </c>
      <c r="E2292" s="206" t="str">
        <f>IF(AND(A2292&lt;&gt;"",ISNUMBER(A2292)),VLOOKUP(A2292,Studies!A:BR,5,FALSE),"")</f>
        <v>Midazolam</v>
      </c>
      <c r="F2292" s="207" t="str">
        <f>IF(AND(A2292&lt;&gt;"",ISNUMBER(A2292)),VLOOKUP(A2292,Studies!A:BR,6,FALSE),"")</f>
        <v>Plasma</v>
      </c>
      <c r="G2292" s="194">
        <v>101.5</v>
      </c>
      <c r="H2292" s="194" t="s">
        <v>60</v>
      </c>
      <c r="I2292" s="187">
        <v>63.022598266601563</v>
      </c>
      <c r="J2292" s="187" t="s">
        <v>1026</v>
      </c>
      <c r="K2292" s="187" t="s">
        <v>116</v>
      </c>
      <c r="L2292" s="195">
        <v>20.140287399291992</v>
      </c>
      <c r="M2292" s="195" t="s">
        <v>1026</v>
      </c>
      <c r="N2292" s="195" t="s">
        <v>1034</v>
      </c>
      <c r="O2292" s="199"/>
      <c r="P2292" s="188"/>
      <c r="Q2292" s="174">
        <f>IF(ISNUMBER(VLOOKUP(A2292,NotghiID!A:A,1,FALSE)),1,0)</f>
        <v>0</v>
      </c>
    </row>
    <row r="2293" spans="1:17" ht="14.25" x14ac:dyDescent="0.2">
      <c r="A2293" s="183">
        <v>469</v>
      </c>
      <c r="B2293" s="232" t="str">
        <f>IF(AND(A2293&lt;&gt;"",ISNUMBER(A2293)),VLOOKUP(A2293,Studies!A:BR,2,FALSE),"")</f>
        <v>Yeates 1996</v>
      </c>
      <c r="C2293" s="232" t="str">
        <f>IF(AND(A2293&lt;&gt;"",ISNUMBER(A2293)),VLOOKUP(A2293,Studies!A:BR,3,FALSE),"")</f>
        <v>http://www.ncbi.nlm.nih.gov/pubmed/8880291</v>
      </c>
      <c r="D2293" s="232" t="str">
        <f>IF(AND(A2293&lt;&gt;"",ISNUMBER(A2293)),VLOOKUP(A2293,Studies!A:BR,4,FALSE),"")</f>
        <v>with Perpetrator (Clarithromycin)</v>
      </c>
      <c r="E2293" s="206" t="str">
        <f>IF(AND(A2293&lt;&gt;"",ISNUMBER(A2293)),VLOOKUP(A2293,Studies!A:BR,5,FALSE),"")</f>
        <v>Midazolam</v>
      </c>
      <c r="F2293" s="207" t="str">
        <f>IF(AND(A2293&lt;&gt;"",ISNUMBER(A2293)),VLOOKUP(A2293,Studies!A:BR,6,FALSE),"")</f>
        <v>Plasma</v>
      </c>
      <c r="G2293" s="194">
        <v>102.5</v>
      </c>
      <c r="H2293" s="194" t="s">
        <v>60</v>
      </c>
      <c r="I2293" s="187">
        <v>47.659000396728516</v>
      </c>
      <c r="J2293" s="187" t="s">
        <v>1026</v>
      </c>
      <c r="K2293" s="187" t="s">
        <v>116</v>
      </c>
      <c r="L2293" s="195">
        <v>20.140287399291992</v>
      </c>
      <c r="M2293" s="195" t="s">
        <v>1026</v>
      </c>
      <c r="N2293" s="195" t="s">
        <v>1034</v>
      </c>
      <c r="O2293" s="199"/>
      <c r="P2293" s="188"/>
      <c r="Q2293" s="174">
        <f>IF(ISNUMBER(VLOOKUP(A2293,NotghiID!A:A,1,FALSE)),1,0)</f>
        <v>0</v>
      </c>
    </row>
    <row r="2294" spans="1:17" ht="14.25" x14ac:dyDescent="0.2">
      <c r="A2294" s="183">
        <v>469</v>
      </c>
      <c r="B2294" s="232" t="str">
        <f>IF(AND(A2294&lt;&gt;"",ISNUMBER(A2294)),VLOOKUP(A2294,Studies!A:BR,2,FALSE),"")</f>
        <v>Yeates 1996</v>
      </c>
      <c r="C2294" s="232" t="str">
        <f>IF(AND(A2294&lt;&gt;"",ISNUMBER(A2294)),VLOOKUP(A2294,Studies!A:BR,3,FALSE),"")</f>
        <v>http://www.ncbi.nlm.nih.gov/pubmed/8880291</v>
      </c>
      <c r="D2294" s="232" t="str">
        <f>IF(AND(A2294&lt;&gt;"",ISNUMBER(A2294)),VLOOKUP(A2294,Studies!A:BR,4,FALSE),"")</f>
        <v>with Perpetrator (Clarithromycin)</v>
      </c>
      <c r="E2294" s="206" t="str">
        <f>IF(AND(A2294&lt;&gt;"",ISNUMBER(A2294)),VLOOKUP(A2294,Studies!A:BR,5,FALSE),"")</f>
        <v>Midazolam</v>
      </c>
      <c r="F2294" s="207" t="str">
        <f>IF(AND(A2294&lt;&gt;"",ISNUMBER(A2294)),VLOOKUP(A2294,Studies!A:BR,6,FALSE),"")</f>
        <v>Plasma</v>
      </c>
      <c r="G2294" s="194">
        <v>103.5</v>
      </c>
      <c r="H2294" s="194" t="s">
        <v>60</v>
      </c>
      <c r="I2294" s="187">
        <v>40.143997192382813</v>
      </c>
      <c r="J2294" s="187" t="s">
        <v>1026</v>
      </c>
      <c r="K2294" s="187" t="s">
        <v>116</v>
      </c>
      <c r="L2294" s="195">
        <v>7.0518712997436523</v>
      </c>
      <c r="M2294" s="195" t="s">
        <v>1026</v>
      </c>
      <c r="N2294" s="195" t="s">
        <v>1034</v>
      </c>
      <c r="O2294" s="199"/>
      <c r="P2294" s="188"/>
      <c r="Q2294" s="174">
        <f>IF(ISNUMBER(VLOOKUP(A2294,NotghiID!A:A,1,FALSE)),1,0)</f>
        <v>0</v>
      </c>
    </row>
    <row r="2295" spans="1:17" ht="14.25" x14ac:dyDescent="0.2">
      <c r="A2295" s="183">
        <v>469</v>
      </c>
      <c r="B2295" s="232" t="str">
        <f>IF(AND(A2295&lt;&gt;"",ISNUMBER(A2295)),VLOOKUP(A2295,Studies!A:BR,2,FALSE),"")</f>
        <v>Yeates 1996</v>
      </c>
      <c r="C2295" s="232" t="str">
        <f>IF(AND(A2295&lt;&gt;"",ISNUMBER(A2295)),VLOOKUP(A2295,Studies!A:BR,3,FALSE),"")</f>
        <v>http://www.ncbi.nlm.nih.gov/pubmed/8880291</v>
      </c>
      <c r="D2295" s="232" t="str">
        <f>IF(AND(A2295&lt;&gt;"",ISNUMBER(A2295)),VLOOKUP(A2295,Studies!A:BR,4,FALSE),"")</f>
        <v>with Perpetrator (Clarithromycin)</v>
      </c>
      <c r="E2295" s="206" t="str">
        <f>IF(AND(A2295&lt;&gt;"",ISNUMBER(A2295)),VLOOKUP(A2295,Studies!A:BR,5,FALSE),"")</f>
        <v>Midazolam</v>
      </c>
      <c r="F2295" s="207" t="str">
        <f>IF(AND(A2295&lt;&gt;"",ISNUMBER(A2295)),VLOOKUP(A2295,Studies!A:BR,6,FALSE),"")</f>
        <v>Plasma</v>
      </c>
      <c r="G2295" s="194">
        <v>105.5</v>
      </c>
      <c r="H2295" s="194" t="s">
        <v>60</v>
      </c>
      <c r="I2295" s="187">
        <v>27.44849967956543</v>
      </c>
      <c r="J2295" s="187" t="s">
        <v>1026</v>
      </c>
      <c r="K2295" s="187" t="s">
        <v>116</v>
      </c>
      <c r="L2295" s="195"/>
      <c r="M2295" s="195"/>
      <c r="N2295" s="195"/>
      <c r="O2295" s="199"/>
      <c r="P2295" s="188"/>
      <c r="Q2295" s="174">
        <f>IF(ISNUMBER(VLOOKUP(A2295,NotghiID!A:A,1,FALSE)),1,0)</f>
        <v>0</v>
      </c>
    </row>
    <row r="2296" spans="1:17" ht="14.25" x14ac:dyDescent="0.2">
      <c r="A2296" s="183">
        <v>469</v>
      </c>
      <c r="B2296" s="232" t="str">
        <f>IF(AND(A2296&lt;&gt;"",ISNUMBER(A2296)),VLOOKUP(A2296,Studies!A:BR,2,FALSE),"")</f>
        <v>Yeates 1996</v>
      </c>
      <c r="C2296" s="232" t="str">
        <f>IF(AND(A2296&lt;&gt;"",ISNUMBER(A2296)),VLOOKUP(A2296,Studies!A:BR,3,FALSE),"")</f>
        <v>http://www.ncbi.nlm.nih.gov/pubmed/8880291</v>
      </c>
      <c r="D2296" s="232" t="str">
        <f>IF(AND(A2296&lt;&gt;"",ISNUMBER(A2296)),VLOOKUP(A2296,Studies!A:BR,4,FALSE),"")</f>
        <v>with Perpetrator (Clarithromycin)</v>
      </c>
      <c r="E2296" s="206" t="str">
        <f>IF(AND(A2296&lt;&gt;"",ISNUMBER(A2296)),VLOOKUP(A2296,Studies!A:BR,5,FALSE),"")</f>
        <v>Midazolam</v>
      </c>
      <c r="F2296" s="207" t="str">
        <f>IF(AND(A2296&lt;&gt;"",ISNUMBER(A2296)),VLOOKUP(A2296,Studies!A:BR,6,FALSE),"")</f>
        <v>Plasma</v>
      </c>
      <c r="G2296" s="194">
        <v>109.5</v>
      </c>
      <c r="H2296" s="194" t="s">
        <v>60</v>
      </c>
      <c r="I2296" s="187">
        <v>17.753799438476562</v>
      </c>
      <c r="J2296" s="187" t="s">
        <v>1026</v>
      </c>
      <c r="K2296" s="187" t="s">
        <v>116</v>
      </c>
      <c r="L2296" s="195"/>
      <c r="M2296" s="195"/>
      <c r="N2296" s="195"/>
      <c r="O2296" s="199"/>
      <c r="P2296" s="188"/>
      <c r="Q2296" s="174">
        <f>IF(ISNUMBER(VLOOKUP(A2296,NotghiID!A:A,1,FALSE)),1,0)</f>
        <v>0</v>
      </c>
    </row>
    <row r="2297" spans="1:17" ht="14.25" x14ac:dyDescent="0.2">
      <c r="A2297" s="183">
        <v>469</v>
      </c>
      <c r="B2297" s="232" t="str">
        <f>IF(AND(A2297&lt;&gt;"",ISNUMBER(A2297)),VLOOKUP(A2297,Studies!A:BR,2,FALSE),"")</f>
        <v>Yeates 1996</v>
      </c>
      <c r="C2297" s="232" t="str">
        <f>IF(AND(A2297&lt;&gt;"",ISNUMBER(A2297)),VLOOKUP(A2297,Studies!A:BR,3,FALSE),"")</f>
        <v>http://www.ncbi.nlm.nih.gov/pubmed/8880291</v>
      </c>
      <c r="D2297" s="232" t="str">
        <f>IF(AND(A2297&lt;&gt;"",ISNUMBER(A2297)),VLOOKUP(A2297,Studies!A:BR,4,FALSE),"")</f>
        <v>with Perpetrator (Clarithromycin)</v>
      </c>
      <c r="E2297" s="206" t="str">
        <f>IF(AND(A2297&lt;&gt;"",ISNUMBER(A2297)),VLOOKUP(A2297,Studies!A:BR,5,FALSE),"")</f>
        <v>Midazolam</v>
      </c>
      <c r="F2297" s="207" t="str">
        <f>IF(AND(A2297&lt;&gt;"",ISNUMBER(A2297)),VLOOKUP(A2297,Studies!A:BR,6,FALSE),"")</f>
        <v>Plasma</v>
      </c>
      <c r="G2297" s="194">
        <v>121.5</v>
      </c>
      <c r="H2297" s="194" t="s">
        <v>60</v>
      </c>
      <c r="I2297" s="187">
        <v>6.702399730682373</v>
      </c>
      <c r="J2297" s="187" t="s">
        <v>1026</v>
      </c>
      <c r="K2297" s="187" t="s">
        <v>116</v>
      </c>
      <c r="L2297" s="195"/>
      <c r="M2297" s="195"/>
      <c r="N2297" s="195"/>
      <c r="O2297" s="199"/>
      <c r="P2297" s="188" t="s">
        <v>1125</v>
      </c>
      <c r="Q2297" s="174">
        <f>IF(ISNUMBER(VLOOKUP(A2297,NotghiID!A:A,1,FALSE)),1,0)</f>
        <v>0</v>
      </c>
    </row>
    <row r="2298" spans="1:17" ht="14.25" x14ac:dyDescent="0.2">
      <c r="A2298" s="183">
        <v>470</v>
      </c>
      <c r="B2298" s="232" t="str">
        <f>IF(AND(A2298&lt;&gt;"",ISNUMBER(A2298)),VLOOKUP(A2298,Studies!A:BR,2,FALSE),"")</f>
        <v>Zimmermann 1996</v>
      </c>
      <c r="C2298" s="232" t="str">
        <f>IF(AND(A2298&lt;&gt;"",ISNUMBER(A2298)),VLOOKUP(A2298,Studies!A:BR,3,FALSE),"")</f>
        <v>https://www.ncbi.nlm.nih.gov/pubmed/8720318</v>
      </c>
      <c r="D2298" s="232" t="str">
        <f>IF(AND(A2298&lt;&gt;"",ISNUMBER(A2298)),VLOOKUP(A2298,Studies!A:BR,4,FALSE),"")</f>
        <v>Control (Perpetrator Placebo)</v>
      </c>
      <c r="E2298" s="206" t="str">
        <f>IF(AND(A2298&lt;&gt;"",ISNUMBER(A2298)),VLOOKUP(A2298,Studies!A:BR,5,FALSE),"")</f>
        <v>Midazolam</v>
      </c>
      <c r="F2298" s="207" t="str">
        <f>IF(AND(A2298&lt;&gt;"",ISNUMBER(A2298)),VLOOKUP(A2298,Studies!A:BR,6,FALSE),"")</f>
        <v>Plasma</v>
      </c>
      <c r="G2298" s="194">
        <v>0.5</v>
      </c>
      <c r="H2298" s="194" t="s">
        <v>60</v>
      </c>
      <c r="I2298" s="187">
        <v>60.2453235970791</v>
      </c>
      <c r="J2298" s="187" t="s">
        <v>1026</v>
      </c>
      <c r="K2298" s="187" t="s">
        <v>116</v>
      </c>
      <c r="L2298" s="195"/>
      <c r="M2298" s="195"/>
      <c r="N2298" s="195"/>
      <c r="O2298" s="199"/>
      <c r="P2298" s="188" t="s">
        <v>1125</v>
      </c>
      <c r="Q2298" s="174">
        <f>IF(ISNUMBER(VLOOKUP(A2298,NotghiID!A:A,1,FALSE)),1,0)</f>
        <v>0</v>
      </c>
    </row>
    <row r="2299" spans="1:17" ht="14.25" x14ac:dyDescent="0.2">
      <c r="A2299" s="183">
        <v>470</v>
      </c>
      <c r="B2299" s="232" t="str">
        <f>IF(AND(A2299&lt;&gt;"",ISNUMBER(A2299)),VLOOKUP(A2299,Studies!A:BR,2,FALSE),"")</f>
        <v>Zimmermann 1996</v>
      </c>
      <c r="C2299" s="232" t="str">
        <f>IF(AND(A2299&lt;&gt;"",ISNUMBER(A2299)),VLOOKUP(A2299,Studies!A:BR,3,FALSE),"")</f>
        <v>https://www.ncbi.nlm.nih.gov/pubmed/8720318</v>
      </c>
      <c r="D2299" s="232" t="str">
        <f>IF(AND(A2299&lt;&gt;"",ISNUMBER(A2299)),VLOOKUP(A2299,Studies!A:BR,4,FALSE),"")</f>
        <v>Control (Perpetrator Placebo)</v>
      </c>
      <c r="E2299" s="206" t="str">
        <f>IF(AND(A2299&lt;&gt;"",ISNUMBER(A2299)),VLOOKUP(A2299,Studies!A:BR,5,FALSE),"")</f>
        <v>Midazolam</v>
      </c>
      <c r="F2299" s="207" t="str">
        <f>IF(AND(A2299&lt;&gt;"",ISNUMBER(A2299)),VLOOKUP(A2299,Studies!A:BR,6,FALSE),"")</f>
        <v>Plasma</v>
      </c>
      <c r="G2299" s="194">
        <v>1</v>
      </c>
      <c r="H2299" s="194" t="s">
        <v>60</v>
      </c>
      <c r="I2299" s="187">
        <v>47.118260478143398</v>
      </c>
      <c r="J2299" s="187" t="s">
        <v>1026</v>
      </c>
      <c r="K2299" s="187" t="s">
        <v>116</v>
      </c>
      <c r="L2299" s="195"/>
      <c r="M2299" s="195"/>
      <c r="N2299" s="195"/>
      <c r="O2299" s="199"/>
      <c r="P2299" s="188" t="s">
        <v>1125</v>
      </c>
      <c r="Q2299" s="174">
        <f>IF(ISNUMBER(VLOOKUP(A2299,NotghiID!A:A,1,FALSE)),1,0)</f>
        <v>0</v>
      </c>
    </row>
    <row r="2300" spans="1:17" ht="14.25" x14ac:dyDescent="0.2">
      <c r="A2300" s="183">
        <v>470</v>
      </c>
      <c r="B2300" s="232" t="str">
        <f>IF(AND(A2300&lt;&gt;"",ISNUMBER(A2300)),VLOOKUP(A2300,Studies!A:BR,2,FALSE),"")</f>
        <v>Zimmermann 1996</v>
      </c>
      <c r="C2300" s="232" t="str">
        <f>IF(AND(A2300&lt;&gt;"",ISNUMBER(A2300)),VLOOKUP(A2300,Studies!A:BR,3,FALSE),"")</f>
        <v>https://www.ncbi.nlm.nih.gov/pubmed/8720318</v>
      </c>
      <c r="D2300" s="232" t="str">
        <f>IF(AND(A2300&lt;&gt;"",ISNUMBER(A2300)),VLOOKUP(A2300,Studies!A:BR,4,FALSE),"")</f>
        <v>Control (Perpetrator Placebo)</v>
      </c>
      <c r="E2300" s="206" t="str">
        <f>IF(AND(A2300&lt;&gt;"",ISNUMBER(A2300)),VLOOKUP(A2300,Studies!A:BR,5,FALSE),"")</f>
        <v>Midazolam</v>
      </c>
      <c r="F2300" s="207" t="str">
        <f>IF(AND(A2300&lt;&gt;"",ISNUMBER(A2300)),VLOOKUP(A2300,Studies!A:BR,6,FALSE),"")</f>
        <v>Plasma</v>
      </c>
      <c r="G2300" s="194">
        <v>2</v>
      </c>
      <c r="H2300" s="194" t="s">
        <v>60</v>
      </c>
      <c r="I2300" s="187">
        <v>29.344303290987199</v>
      </c>
      <c r="J2300" s="187" t="s">
        <v>1026</v>
      </c>
      <c r="K2300" s="187" t="s">
        <v>116</v>
      </c>
      <c r="L2300" s="195"/>
      <c r="M2300" s="195"/>
      <c r="N2300" s="195"/>
      <c r="O2300" s="199"/>
      <c r="P2300" s="188" t="s">
        <v>1125</v>
      </c>
      <c r="Q2300" s="174">
        <f>IF(ISNUMBER(VLOOKUP(A2300,NotghiID!A:A,1,FALSE)),1,0)</f>
        <v>0</v>
      </c>
    </row>
    <row r="2301" spans="1:17" ht="14.25" x14ac:dyDescent="0.2">
      <c r="A2301" s="183">
        <v>470</v>
      </c>
      <c r="B2301" s="232" t="str">
        <f>IF(AND(A2301&lt;&gt;"",ISNUMBER(A2301)),VLOOKUP(A2301,Studies!A:BR,2,FALSE),"")</f>
        <v>Zimmermann 1996</v>
      </c>
      <c r="C2301" s="232" t="str">
        <f>IF(AND(A2301&lt;&gt;"",ISNUMBER(A2301)),VLOOKUP(A2301,Studies!A:BR,3,FALSE),"")</f>
        <v>https://www.ncbi.nlm.nih.gov/pubmed/8720318</v>
      </c>
      <c r="D2301" s="232" t="str">
        <f>IF(AND(A2301&lt;&gt;"",ISNUMBER(A2301)),VLOOKUP(A2301,Studies!A:BR,4,FALSE),"")</f>
        <v>Control (Perpetrator Placebo)</v>
      </c>
      <c r="E2301" s="206" t="str">
        <f>IF(AND(A2301&lt;&gt;"",ISNUMBER(A2301)),VLOOKUP(A2301,Studies!A:BR,5,FALSE),"")</f>
        <v>Midazolam</v>
      </c>
      <c r="F2301" s="207" t="str">
        <f>IF(AND(A2301&lt;&gt;"",ISNUMBER(A2301)),VLOOKUP(A2301,Studies!A:BR,6,FALSE),"")</f>
        <v>Plasma</v>
      </c>
      <c r="G2301" s="194">
        <v>3</v>
      </c>
      <c r="H2301" s="194" t="s">
        <v>60</v>
      </c>
      <c r="I2301" s="187">
        <v>18.291237371211299</v>
      </c>
      <c r="J2301" s="187" t="s">
        <v>1026</v>
      </c>
      <c r="K2301" s="187" t="s">
        <v>116</v>
      </c>
      <c r="L2301" s="195"/>
      <c r="M2301" s="195"/>
      <c r="N2301" s="195"/>
      <c r="O2301" s="199"/>
      <c r="P2301" s="188" t="s">
        <v>1125</v>
      </c>
      <c r="Q2301" s="174">
        <f>IF(ISNUMBER(VLOOKUP(A2301,NotghiID!A:A,1,FALSE)),1,0)</f>
        <v>0</v>
      </c>
    </row>
    <row r="2302" spans="1:17" ht="14.25" x14ac:dyDescent="0.2">
      <c r="A2302" s="183">
        <v>470</v>
      </c>
      <c r="B2302" s="232" t="str">
        <f>IF(AND(A2302&lt;&gt;"",ISNUMBER(A2302)),VLOOKUP(A2302,Studies!A:BR,2,FALSE),"")</f>
        <v>Zimmermann 1996</v>
      </c>
      <c r="C2302" s="232" t="str">
        <f>IF(AND(A2302&lt;&gt;"",ISNUMBER(A2302)),VLOOKUP(A2302,Studies!A:BR,3,FALSE),"")</f>
        <v>https://www.ncbi.nlm.nih.gov/pubmed/8720318</v>
      </c>
      <c r="D2302" s="232" t="str">
        <f>IF(AND(A2302&lt;&gt;"",ISNUMBER(A2302)),VLOOKUP(A2302,Studies!A:BR,4,FALSE),"")</f>
        <v>Control (Perpetrator Placebo)</v>
      </c>
      <c r="E2302" s="206" t="str">
        <f>IF(AND(A2302&lt;&gt;"",ISNUMBER(A2302)),VLOOKUP(A2302,Studies!A:BR,5,FALSE),"")</f>
        <v>Midazolam</v>
      </c>
      <c r="F2302" s="207" t="str">
        <f>IF(AND(A2302&lt;&gt;"",ISNUMBER(A2302)),VLOOKUP(A2302,Studies!A:BR,6,FALSE),"")</f>
        <v>Plasma</v>
      </c>
      <c r="G2302" s="194">
        <v>4</v>
      </c>
      <c r="H2302" s="194" t="s">
        <v>60</v>
      </c>
      <c r="I2302" s="187">
        <v>15.126412923877099</v>
      </c>
      <c r="J2302" s="187" t="s">
        <v>1026</v>
      </c>
      <c r="K2302" s="187" t="s">
        <v>116</v>
      </c>
      <c r="L2302" s="195"/>
      <c r="M2302" s="195"/>
      <c r="N2302" s="195"/>
      <c r="O2302" s="199"/>
      <c r="P2302" s="188" t="s">
        <v>1125</v>
      </c>
      <c r="Q2302" s="174">
        <f>IF(ISNUMBER(VLOOKUP(A2302,NotghiID!A:A,1,FALSE)),1,0)</f>
        <v>0</v>
      </c>
    </row>
    <row r="2303" spans="1:17" ht="14.25" x14ac:dyDescent="0.2">
      <c r="A2303" s="183">
        <v>470</v>
      </c>
      <c r="B2303" s="232" t="str">
        <f>IF(AND(A2303&lt;&gt;"",ISNUMBER(A2303)),VLOOKUP(A2303,Studies!A:BR,2,FALSE),"")</f>
        <v>Zimmermann 1996</v>
      </c>
      <c r="C2303" s="232" t="str">
        <f>IF(AND(A2303&lt;&gt;"",ISNUMBER(A2303)),VLOOKUP(A2303,Studies!A:BR,3,FALSE),"")</f>
        <v>https://www.ncbi.nlm.nih.gov/pubmed/8720318</v>
      </c>
      <c r="D2303" s="232" t="str">
        <f>IF(AND(A2303&lt;&gt;"",ISNUMBER(A2303)),VLOOKUP(A2303,Studies!A:BR,4,FALSE),"")</f>
        <v>Control (Perpetrator Placebo)</v>
      </c>
      <c r="E2303" s="206" t="str">
        <f>IF(AND(A2303&lt;&gt;"",ISNUMBER(A2303)),VLOOKUP(A2303,Studies!A:BR,5,FALSE),"")</f>
        <v>Midazolam</v>
      </c>
      <c r="F2303" s="207" t="str">
        <f>IF(AND(A2303&lt;&gt;"",ISNUMBER(A2303)),VLOOKUP(A2303,Studies!A:BR,6,FALSE),"")</f>
        <v>Plasma</v>
      </c>
      <c r="G2303" s="194">
        <v>5</v>
      </c>
      <c r="H2303" s="194" t="s">
        <v>60</v>
      </c>
      <c r="I2303" s="187">
        <v>12.253801140342</v>
      </c>
      <c r="J2303" s="187" t="s">
        <v>1026</v>
      </c>
      <c r="K2303" s="187" t="s">
        <v>116</v>
      </c>
      <c r="L2303" s="195"/>
      <c r="M2303" s="195"/>
      <c r="N2303" s="195"/>
      <c r="O2303" s="199"/>
      <c r="P2303" s="188" t="s">
        <v>1125</v>
      </c>
      <c r="Q2303" s="174">
        <f>IF(ISNUMBER(VLOOKUP(A2303,NotghiID!A:A,1,FALSE)),1,0)</f>
        <v>0</v>
      </c>
    </row>
    <row r="2304" spans="1:17" ht="14.25" x14ac:dyDescent="0.2">
      <c r="A2304" s="183">
        <v>470</v>
      </c>
      <c r="B2304" s="232" t="str">
        <f>IF(AND(A2304&lt;&gt;"",ISNUMBER(A2304)),VLOOKUP(A2304,Studies!A:BR,2,FALSE),"")</f>
        <v>Zimmermann 1996</v>
      </c>
      <c r="C2304" s="232" t="str">
        <f>IF(AND(A2304&lt;&gt;"",ISNUMBER(A2304)),VLOOKUP(A2304,Studies!A:BR,3,FALSE),"")</f>
        <v>https://www.ncbi.nlm.nih.gov/pubmed/8720318</v>
      </c>
      <c r="D2304" s="232" t="str">
        <f>IF(AND(A2304&lt;&gt;"",ISNUMBER(A2304)),VLOOKUP(A2304,Studies!A:BR,4,FALSE),"")</f>
        <v>Control (Perpetrator Placebo)</v>
      </c>
      <c r="E2304" s="206" t="str">
        <f>IF(AND(A2304&lt;&gt;"",ISNUMBER(A2304)),VLOOKUP(A2304,Studies!A:BR,5,FALSE),"")</f>
        <v>Midazolam</v>
      </c>
      <c r="F2304" s="207" t="str">
        <f>IF(AND(A2304&lt;&gt;"",ISNUMBER(A2304)),VLOOKUP(A2304,Studies!A:BR,6,FALSE),"")</f>
        <v>Plasma</v>
      </c>
      <c r="G2304" s="194">
        <v>6</v>
      </c>
      <c r="H2304" s="194" t="s">
        <v>60</v>
      </c>
      <c r="I2304" s="187">
        <v>9.3751875562668907</v>
      </c>
      <c r="J2304" s="187" t="s">
        <v>1026</v>
      </c>
      <c r="K2304" s="187" t="s">
        <v>116</v>
      </c>
      <c r="L2304" s="195"/>
      <c r="M2304" s="195"/>
      <c r="N2304" s="195"/>
      <c r="O2304" s="199"/>
      <c r="P2304" s="188" t="s">
        <v>1125</v>
      </c>
      <c r="Q2304" s="174">
        <f>IF(ISNUMBER(VLOOKUP(A2304,NotghiID!A:A,1,FALSE)),1,0)</f>
        <v>0</v>
      </c>
    </row>
    <row r="2305" spans="1:17" ht="14.25" x14ac:dyDescent="0.2">
      <c r="A2305" s="183">
        <v>470</v>
      </c>
      <c r="B2305" s="232" t="str">
        <f>IF(AND(A2305&lt;&gt;"",ISNUMBER(A2305)),VLOOKUP(A2305,Studies!A:BR,2,FALSE),"")</f>
        <v>Zimmermann 1996</v>
      </c>
      <c r="C2305" s="232" t="str">
        <f>IF(AND(A2305&lt;&gt;"",ISNUMBER(A2305)),VLOOKUP(A2305,Studies!A:BR,3,FALSE),"")</f>
        <v>https://www.ncbi.nlm.nih.gov/pubmed/8720318</v>
      </c>
      <c r="D2305" s="232" t="str">
        <f>IF(AND(A2305&lt;&gt;"",ISNUMBER(A2305)),VLOOKUP(A2305,Studies!A:BR,4,FALSE),"")</f>
        <v>Control (Perpetrator Placebo)</v>
      </c>
      <c r="E2305" s="206" t="str">
        <f>IF(AND(A2305&lt;&gt;"",ISNUMBER(A2305)),VLOOKUP(A2305,Studies!A:BR,5,FALSE),"")</f>
        <v>Midazolam</v>
      </c>
      <c r="F2305" s="207" t="str">
        <f>IF(AND(A2305&lt;&gt;"",ISNUMBER(A2305)),VLOOKUP(A2305,Studies!A:BR,6,FALSE),"")</f>
        <v>Plasma</v>
      </c>
      <c r="G2305" s="194">
        <v>8</v>
      </c>
      <c r="H2305" s="194" t="s">
        <v>60</v>
      </c>
      <c r="I2305" s="187">
        <v>4.2143893167950299</v>
      </c>
      <c r="J2305" s="187" t="s">
        <v>1026</v>
      </c>
      <c r="K2305" s="187" t="s">
        <v>116</v>
      </c>
      <c r="L2305" s="195"/>
      <c r="M2305" s="195"/>
      <c r="N2305" s="195"/>
      <c r="O2305" s="199"/>
      <c r="P2305" s="188" t="s">
        <v>1125</v>
      </c>
      <c r="Q2305" s="174">
        <f>IF(ISNUMBER(VLOOKUP(A2305,NotghiID!A:A,1,FALSE)),1,0)</f>
        <v>0</v>
      </c>
    </row>
    <row r="2306" spans="1:17" ht="14.25" x14ac:dyDescent="0.2">
      <c r="A2306" s="183">
        <v>470</v>
      </c>
      <c r="B2306" s="232" t="str">
        <f>IF(AND(A2306&lt;&gt;"",ISNUMBER(A2306)),VLOOKUP(A2306,Studies!A:BR,2,FALSE),"")</f>
        <v>Zimmermann 1996</v>
      </c>
      <c r="C2306" s="232" t="str">
        <f>IF(AND(A2306&lt;&gt;"",ISNUMBER(A2306)),VLOOKUP(A2306,Studies!A:BR,3,FALSE),"")</f>
        <v>https://www.ncbi.nlm.nih.gov/pubmed/8720318</v>
      </c>
      <c r="D2306" s="232" t="str">
        <f>IF(AND(A2306&lt;&gt;"",ISNUMBER(A2306)),VLOOKUP(A2306,Studies!A:BR,4,FALSE),"")</f>
        <v>Control (Perpetrator Placebo)</v>
      </c>
      <c r="E2306" s="206" t="str">
        <f>IF(AND(A2306&lt;&gt;"",ISNUMBER(A2306)),VLOOKUP(A2306,Studies!A:BR,5,FALSE),"")</f>
        <v>Midazolam</v>
      </c>
      <c r="F2306" s="207" t="str">
        <f>IF(AND(A2306&lt;&gt;"",ISNUMBER(A2306)),VLOOKUP(A2306,Studies!A:BR,6,FALSE),"")</f>
        <v>Plasma</v>
      </c>
      <c r="G2306" s="194">
        <v>12</v>
      </c>
      <c r="H2306" s="194" t="s">
        <v>60</v>
      </c>
      <c r="I2306" s="187">
        <v>1.7720316094828601</v>
      </c>
      <c r="J2306" s="187" t="s">
        <v>1026</v>
      </c>
      <c r="K2306" s="187" t="s">
        <v>116</v>
      </c>
      <c r="L2306" s="195"/>
      <c r="M2306" s="195"/>
      <c r="N2306" s="195"/>
      <c r="O2306" s="199"/>
      <c r="P2306" s="188" t="s">
        <v>1125</v>
      </c>
      <c r="Q2306" s="174">
        <f>IF(ISNUMBER(VLOOKUP(A2306,NotghiID!A:A,1,FALSE)),1,0)</f>
        <v>0</v>
      </c>
    </row>
    <row r="2307" spans="1:17" ht="14.25" x14ac:dyDescent="0.2">
      <c r="A2307" s="183">
        <v>471</v>
      </c>
      <c r="B2307" s="232" t="str">
        <f>IF(AND(A2307&lt;&gt;"",ISNUMBER(A2307)),VLOOKUP(A2307,Studies!A:BR,2,FALSE),"")</f>
        <v>Zimmermann 1996</v>
      </c>
      <c r="C2307" s="232" t="str">
        <f>IF(AND(A2307&lt;&gt;"",ISNUMBER(A2307)),VLOOKUP(A2307,Studies!A:BR,3,FALSE),"")</f>
        <v>https://www.ncbi.nlm.nih.gov/pubmed/8720318</v>
      </c>
      <c r="D2307" s="232" t="str">
        <f>IF(AND(A2307&lt;&gt;"",ISNUMBER(A2307)),VLOOKUP(A2307,Studies!A:BR,4,FALSE),"")</f>
        <v>with Perpetrator (Erythromycin)</v>
      </c>
      <c r="E2307" s="206" t="str">
        <f>IF(AND(A2307&lt;&gt;"",ISNUMBER(A2307)),VLOOKUP(A2307,Studies!A:BR,5,FALSE),"")</f>
        <v>Midazolam</v>
      </c>
      <c r="F2307" s="207" t="str">
        <f>IF(AND(A2307&lt;&gt;"",ISNUMBER(A2307)),VLOOKUP(A2307,Studies!A:BR,6,FALSE),"")</f>
        <v>Plasma</v>
      </c>
      <c r="G2307" s="194">
        <v>98</v>
      </c>
      <c r="H2307" s="194" t="s">
        <v>60</v>
      </c>
      <c r="I2307" s="187">
        <v>173.61783535060499</v>
      </c>
      <c r="J2307" s="187" t="s">
        <v>1026</v>
      </c>
      <c r="K2307" s="187" t="s">
        <v>116</v>
      </c>
      <c r="L2307" s="195"/>
      <c r="M2307" s="195"/>
      <c r="N2307" s="195"/>
      <c r="O2307" s="199"/>
      <c r="P2307" s="188" t="s">
        <v>1125</v>
      </c>
      <c r="Q2307" s="174">
        <f>IF(ISNUMBER(VLOOKUP(A2307,NotghiID!A:A,1,FALSE)),1,0)</f>
        <v>0</v>
      </c>
    </row>
    <row r="2308" spans="1:17" ht="14.25" x14ac:dyDescent="0.2">
      <c r="A2308" s="183">
        <v>471</v>
      </c>
      <c r="B2308" s="232" t="str">
        <f>IF(AND(A2308&lt;&gt;"",ISNUMBER(A2308)),VLOOKUP(A2308,Studies!A:BR,2,FALSE),"")</f>
        <v>Zimmermann 1996</v>
      </c>
      <c r="C2308" s="232" t="str">
        <f>IF(AND(A2308&lt;&gt;"",ISNUMBER(A2308)),VLOOKUP(A2308,Studies!A:BR,3,FALSE),"")</f>
        <v>https://www.ncbi.nlm.nih.gov/pubmed/8720318</v>
      </c>
      <c r="D2308" s="232" t="str">
        <f>IF(AND(A2308&lt;&gt;"",ISNUMBER(A2308)),VLOOKUP(A2308,Studies!A:BR,4,FALSE),"")</f>
        <v>with Perpetrator (Erythromycin)</v>
      </c>
      <c r="E2308" s="206" t="str">
        <f>IF(AND(A2308&lt;&gt;"",ISNUMBER(A2308)),VLOOKUP(A2308,Studies!A:BR,5,FALSE),"")</f>
        <v>Midazolam</v>
      </c>
      <c r="F2308" s="207" t="str">
        <f>IF(AND(A2308&lt;&gt;"",ISNUMBER(A2308)),VLOOKUP(A2308,Studies!A:BR,6,FALSE),"")</f>
        <v>Plasma</v>
      </c>
      <c r="G2308" s="194">
        <v>98.5</v>
      </c>
      <c r="H2308" s="194" t="s">
        <v>60</v>
      </c>
      <c r="I2308" s="187">
        <v>111.993973191957</v>
      </c>
      <c r="J2308" s="187" t="s">
        <v>1026</v>
      </c>
      <c r="K2308" s="187" t="s">
        <v>116</v>
      </c>
      <c r="L2308" s="195"/>
      <c r="M2308" s="195"/>
      <c r="N2308" s="195"/>
      <c r="O2308" s="199"/>
      <c r="P2308" s="188" t="s">
        <v>1125</v>
      </c>
      <c r="Q2308" s="174">
        <f>IF(ISNUMBER(VLOOKUP(A2308,NotghiID!A:A,1,FALSE)),1,0)</f>
        <v>0</v>
      </c>
    </row>
    <row r="2309" spans="1:17" ht="14.25" x14ac:dyDescent="0.2">
      <c r="A2309" s="183">
        <v>471</v>
      </c>
      <c r="B2309" s="232" t="str">
        <f>IF(AND(A2309&lt;&gt;"",ISNUMBER(A2309)),VLOOKUP(A2309,Studies!A:BR,2,FALSE),"")</f>
        <v>Zimmermann 1996</v>
      </c>
      <c r="C2309" s="232" t="str">
        <f>IF(AND(A2309&lt;&gt;"",ISNUMBER(A2309)),VLOOKUP(A2309,Studies!A:BR,3,FALSE),"")</f>
        <v>https://www.ncbi.nlm.nih.gov/pubmed/8720318</v>
      </c>
      <c r="D2309" s="232" t="str">
        <f>IF(AND(A2309&lt;&gt;"",ISNUMBER(A2309)),VLOOKUP(A2309,Studies!A:BR,4,FALSE),"")</f>
        <v>with Perpetrator (Erythromycin)</v>
      </c>
      <c r="E2309" s="206" t="str">
        <f>IF(AND(A2309&lt;&gt;"",ISNUMBER(A2309)),VLOOKUP(A2309,Studies!A:BR,5,FALSE),"")</f>
        <v>Midazolam</v>
      </c>
      <c r="F2309" s="207" t="str">
        <f>IF(AND(A2309&lt;&gt;"",ISNUMBER(A2309)),VLOOKUP(A2309,Studies!A:BR,6,FALSE),"")</f>
        <v>Plasma</v>
      </c>
      <c r="G2309" s="194">
        <v>99.5</v>
      </c>
      <c r="H2309" s="194" t="s">
        <v>60</v>
      </c>
      <c r="I2309" s="187">
        <v>86.616484945483606</v>
      </c>
      <c r="J2309" s="187" t="s">
        <v>1026</v>
      </c>
      <c r="K2309" s="187" t="s">
        <v>116</v>
      </c>
      <c r="L2309" s="195"/>
      <c r="M2309" s="195"/>
      <c r="N2309" s="195"/>
      <c r="O2309" s="199"/>
      <c r="P2309" s="188" t="s">
        <v>1125</v>
      </c>
      <c r="Q2309" s="174">
        <f>IF(ISNUMBER(VLOOKUP(A2309,NotghiID!A:A,1,FALSE)),1,0)</f>
        <v>0</v>
      </c>
    </row>
    <row r="2310" spans="1:17" ht="14.25" x14ac:dyDescent="0.2">
      <c r="A2310" s="183">
        <v>471</v>
      </c>
      <c r="B2310" s="232" t="str">
        <f>IF(AND(A2310&lt;&gt;"",ISNUMBER(A2310)),VLOOKUP(A2310,Studies!A:BR,2,FALSE),"")</f>
        <v>Zimmermann 1996</v>
      </c>
      <c r="C2310" s="232" t="str">
        <f>IF(AND(A2310&lt;&gt;"",ISNUMBER(A2310)),VLOOKUP(A2310,Studies!A:BR,3,FALSE),"")</f>
        <v>https://www.ncbi.nlm.nih.gov/pubmed/8720318</v>
      </c>
      <c r="D2310" s="232" t="str">
        <f>IF(AND(A2310&lt;&gt;"",ISNUMBER(A2310)),VLOOKUP(A2310,Studies!A:BR,4,FALSE),"")</f>
        <v>with Perpetrator (Erythromycin)</v>
      </c>
      <c r="E2310" s="206" t="str">
        <f>IF(AND(A2310&lt;&gt;"",ISNUMBER(A2310)),VLOOKUP(A2310,Studies!A:BR,5,FALSE),"")</f>
        <v>Midazolam</v>
      </c>
      <c r="F2310" s="207" t="str">
        <f>IF(AND(A2310&lt;&gt;"",ISNUMBER(A2310)),VLOOKUP(A2310,Studies!A:BR,6,FALSE),"")</f>
        <v>Plasma</v>
      </c>
      <c r="G2310" s="194">
        <v>100.5</v>
      </c>
      <c r="H2310" s="194" t="s">
        <v>60</v>
      </c>
      <c r="I2310" s="187">
        <v>54.814819445833699</v>
      </c>
      <c r="J2310" s="187" t="s">
        <v>1026</v>
      </c>
      <c r="K2310" s="187" t="s">
        <v>116</v>
      </c>
      <c r="L2310" s="195"/>
      <c r="M2310" s="195"/>
      <c r="N2310" s="195"/>
      <c r="O2310" s="199"/>
      <c r="P2310" s="188" t="s">
        <v>1125</v>
      </c>
      <c r="Q2310" s="174">
        <f>IF(ISNUMBER(VLOOKUP(A2310,NotghiID!A:A,1,FALSE)),1,0)</f>
        <v>0</v>
      </c>
    </row>
    <row r="2311" spans="1:17" ht="14.25" x14ac:dyDescent="0.2">
      <c r="A2311" s="183">
        <v>471</v>
      </c>
      <c r="B2311" s="232" t="str">
        <f>IF(AND(A2311&lt;&gt;"",ISNUMBER(A2311)),VLOOKUP(A2311,Studies!A:BR,2,FALSE),"")</f>
        <v>Zimmermann 1996</v>
      </c>
      <c r="C2311" s="232" t="str">
        <f>IF(AND(A2311&lt;&gt;"",ISNUMBER(A2311)),VLOOKUP(A2311,Studies!A:BR,3,FALSE),"")</f>
        <v>https://www.ncbi.nlm.nih.gov/pubmed/8720318</v>
      </c>
      <c r="D2311" s="232" t="str">
        <f>IF(AND(A2311&lt;&gt;"",ISNUMBER(A2311)),VLOOKUP(A2311,Studies!A:BR,4,FALSE),"")</f>
        <v>with Perpetrator (Erythromycin)</v>
      </c>
      <c r="E2311" s="206" t="str">
        <f>IF(AND(A2311&lt;&gt;"",ISNUMBER(A2311)),VLOOKUP(A2311,Studies!A:BR,5,FALSE),"")</f>
        <v>Midazolam</v>
      </c>
      <c r="F2311" s="207" t="str">
        <f>IF(AND(A2311&lt;&gt;"",ISNUMBER(A2311)),VLOOKUP(A2311,Studies!A:BR,6,FALSE),"")</f>
        <v>Plasma</v>
      </c>
      <c r="G2311" s="194">
        <v>101.5</v>
      </c>
      <c r="H2311" s="194" t="s">
        <v>60</v>
      </c>
      <c r="I2311" s="187">
        <v>42.882114634390298</v>
      </c>
      <c r="J2311" s="187" t="s">
        <v>1026</v>
      </c>
      <c r="K2311" s="187" t="s">
        <v>116</v>
      </c>
      <c r="L2311" s="195"/>
      <c r="M2311" s="195"/>
      <c r="N2311" s="195"/>
      <c r="O2311" s="199"/>
      <c r="P2311" s="188" t="s">
        <v>1125</v>
      </c>
      <c r="Q2311" s="174">
        <f>IF(ISNUMBER(VLOOKUP(A2311,NotghiID!A:A,1,FALSE)),1,0)</f>
        <v>0</v>
      </c>
    </row>
    <row r="2312" spans="1:17" ht="14.25" x14ac:dyDescent="0.2">
      <c r="A2312" s="183">
        <v>471</v>
      </c>
      <c r="B2312" s="232" t="str">
        <f>IF(AND(A2312&lt;&gt;"",ISNUMBER(A2312)),VLOOKUP(A2312,Studies!A:BR,2,FALSE),"")</f>
        <v>Zimmermann 1996</v>
      </c>
      <c r="C2312" s="232" t="str">
        <f>IF(AND(A2312&lt;&gt;"",ISNUMBER(A2312)),VLOOKUP(A2312,Studies!A:BR,3,FALSE),"")</f>
        <v>https://www.ncbi.nlm.nih.gov/pubmed/8720318</v>
      </c>
      <c r="D2312" s="232" t="str">
        <f>IF(AND(A2312&lt;&gt;"",ISNUMBER(A2312)),VLOOKUP(A2312,Studies!A:BR,4,FALSE),"")</f>
        <v>with Perpetrator (Erythromycin)</v>
      </c>
      <c r="E2312" s="206" t="str">
        <f>IF(AND(A2312&lt;&gt;"",ISNUMBER(A2312)),VLOOKUP(A2312,Studies!A:BR,5,FALSE),"")</f>
        <v>Midazolam</v>
      </c>
      <c r="F2312" s="207" t="str">
        <f>IF(AND(A2312&lt;&gt;"",ISNUMBER(A2312)),VLOOKUP(A2312,Studies!A:BR,6,FALSE),"")</f>
        <v>Plasma</v>
      </c>
      <c r="G2312" s="194">
        <v>102.5</v>
      </c>
      <c r="H2312" s="194" t="s">
        <v>60</v>
      </c>
      <c r="I2312" s="187">
        <v>35.0418875662698</v>
      </c>
      <c r="J2312" s="187" t="s">
        <v>1026</v>
      </c>
      <c r="K2312" s="187" t="s">
        <v>116</v>
      </c>
      <c r="L2312" s="195"/>
      <c r="M2312" s="195"/>
      <c r="N2312" s="195"/>
      <c r="O2312" s="199"/>
      <c r="P2312" s="188" t="s">
        <v>1125</v>
      </c>
      <c r="Q2312" s="174">
        <f>IF(ISNUMBER(VLOOKUP(A2312,NotghiID!A:A,1,FALSE)),1,0)</f>
        <v>0</v>
      </c>
    </row>
    <row r="2313" spans="1:17" ht="14.25" x14ac:dyDescent="0.2">
      <c r="A2313" s="183">
        <v>471</v>
      </c>
      <c r="B2313" s="232" t="str">
        <f>IF(AND(A2313&lt;&gt;"",ISNUMBER(A2313)),VLOOKUP(A2313,Studies!A:BR,2,FALSE),"")</f>
        <v>Zimmermann 1996</v>
      </c>
      <c r="C2313" s="232" t="str">
        <f>IF(AND(A2313&lt;&gt;"",ISNUMBER(A2313)),VLOOKUP(A2313,Studies!A:BR,3,FALSE),"")</f>
        <v>https://www.ncbi.nlm.nih.gov/pubmed/8720318</v>
      </c>
      <c r="D2313" s="232" t="str">
        <f>IF(AND(A2313&lt;&gt;"",ISNUMBER(A2313)),VLOOKUP(A2313,Studies!A:BR,4,FALSE),"")</f>
        <v>with Perpetrator (Erythromycin)</v>
      </c>
      <c r="E2313" s="206" t="str">
        <f>IF(AND(A2313&lt;&gt;"",ISNUMBER(A2313)),VLOOKUP(A2313,Studies!A:BR,5,FALSE),"")</f>
        <v>Midazolam</v>
      </c>
      <c r="F2313" s="207" t="str">
        <f>IF(AND(A2313&lt;&gt;"",ISNUMBER(A2313)),VLOOKUP(A2313,Studies!A:BR,6,FALSE),"")</f>
        <v>Plasma</v>
      </c>
      <c r="G2313" s="194">
        <v>103.5</v>
      </c>
      <c r="H2313" s="194" t="s">
        <v>60</v>
      </c>
      <c r="I2313" s="187">
        <v>28.659722916875001</v>
      </c>
      <c r="J2313" s="187" t="s">
        <v>1026</v>
      </c>
      <c r="K2313" s="187" t="s">
        <v>116</v>
      </c>
      <c r="L2313" s="195"/>
      <c r="M2313" s="195"/>
      <c r="N2313" s="195"/>
      <c r="O2313" s="199"/>
      <c r="P2313" s="188" t="s">
        <v>1125</v>
      </c>
      <c r="Q2313" s="174">
        <f>IF(ISNUMBER(VLOOKUP(A2313,NotghiID!A:A,1,FALSE)),1,0)</f>
        <v>0</v>
      </c>
    </row>
    <row r="2314" spans="1:17" ht="14.25" x14ac:dyDescent="0.2">
      <c r="A2314" s="183">
        <v>471</v>
      </c>
      <c r="B2314" s="232" t="str">
        <f>IF(AND(A2314&lt;&gt;"",ISNUMBER(A2314)),VLOOKUP(A2314,Studies!A:BR,2,FALSE),"")</f>
        <v>Zimmermann 1996</v>
      </c>
      <c r="C2314" s="232" t="str">
        <f>IF(AND(A2314&lt;&gt;"",ISNUMBER(A2314)),VLOOKUP(A2314,Studies!A:BR,3,FALSE),"")</f>
        <v>https://www.ncbi.nlm.nih.gov/pubmed/8720318</v>
      </c>
      <c r="D2314" s="232" t="str">
        <f>IF(AND(A2314&lt;&gt;"",ISNUMBER(A2314)),VLOOKUP(A2314,Studies!A:BR,4,FALSE),"")</f>
        <v>with Perpetrator (Erythromycin)</v>
      </c>
      <c r="E2314" s="206" t="str">
        <f>IF(AND(A2314&lt;&gt;"",ISNUMBER(A2314)),VLOOKUP(A2314,Studies!A:BR,5,FALSE),"")</f>
        <v>Midazolam</v>
      </c>
      <c r="F2314" s="207" t="str">
        <f>IF(AND(A2314&lt;&gt;"",ISNUMBER(A2314)),VLOOKUP(A2314,Studies!A:BR,6,FALSE),"")</f>
        <v>Plasma</v>
      </c>
      <c r="G2314" s="194">
        <v>105.5</v>
      </c>
      <c r="H2314" s="194" t="s">
        <v>60</v>
      </c>
      <c r="I2314" s="187">
        <v>24.081849554866402</v>
      </c>
      <c r="J2314" s="187" t="s">
        <v>1026</v>
      </c>
      <c r="K2314" s="187" t="s">
        <v>116</v>
      </c>
      <c r="L2314" s="195"/>
      <c r="M2314" s="195"/>
      <c r="N2314" s="195"/>
      <c r="O2314" s="199"/>
      <c r="P2314" s="188" t="s">
        <v>1125</v>
      </c>
      <c r="Q2314" s="174">
        <f>IF(ISNUMBER(VLOOKUP(A2314,NotghiID!A:A,1,FALSE)),1,0)</f>
        <v>0</v>
      </c>
    </row>
    <row r="2315" spans="1:17" ht="14.25" x14ac:dyDescent="0.2">
      <c r="A2315" s="183">
        <v>471</v>
      </c>
      <c r="B2315" s="232" t="str">
        <f>IF(AND(A2315&lt;&gt;"",ISNUMBER(A2315)),VLOOKUP(A2315,Studies!A:BR,2,FALSE),"")</f>
        <v>Zimmermann 1996</v>
      </c>
      <c r="C2315" s="232" t="str">
        <f>IF(AND(A2315&lt;&gt;"",ISNUMBER(A2315)),VLOOKUP(A2315,Studies!A:BR,3,FALSE),"")</f>
        <v>https://www.ncbi.nlm.nih.gov/pubmed/8720318</v>
      </c>
      <c r="D2315" s="232" t="str">
        <f>IF(AND(A2315&lt;&gt;"",ISNUMBER(A2315)),VLOOKUP(A2315,Studies!A:BR,4,FALSE),"")</f>
        <v>with Perpetrator (Erythromycin)</v>
      </c>
      <c r="E2315" s="206" t="str">
        <f>IF(AND(A2315&lt;&gt;"",ISNUMBER(A2315)),VLOOKUP(A2315,Studies!A:BR,5,FALSE),"")</f>
        <v>Midazolam</v>
      </c>
      <c r="F2315" s="207" t="str">
        <f>IF(AND(A2315&lt;&gt;"",ISNUMBER(A2315)),VLOOKUP(A2315,Studies!A:BR,6,FALSE),"")</f>
        <v>Plasma</v>
      </c>
      <c r="G2315" s="194">
        <v>109.5</v>
      </c>
      <c r="H2315" s="194" t="s">
        <v>60</v>
      </c>
      <c r="I2315" s="187">
        <v>15.7982394718415</v>
      </c>
      <c r="J2315" s="187" t="s">
        <v>1026</v>
      </c>
      <c r="K2315" s="187" t="s">
        <v>116</v>
      </c>
      <c r="L2315" s="195"/>
      <c r="M2315" s="195"/>
      <c r="N2315" s="195"/>
      <c r="O2315" s="199"/>
      <c r="P2315" s="188" t="s">
        <v>1125</v>
      </c>
      <c r="Q2315" s="174">
        <f>IF(ISNUMBER(VLOOKUP(A2315,NotghiID!A:A,1,FALSE)),1,0)</f>
        <v>0</v>
      </c>
    </row>
    <row r="2316" spans="1:17" ht="14.25" x14ac:dyDescent="0.2">
      <c r="A2316" s="183">
        <v>471</v>
      </c>
      <c r="B2316" s="232" t="str">
        <f>IF(AND(A2316&lt;&gt;"",ISNUMBER(A2316)),VLOOKUP(A2316,Studies!A:BR,2,FALSE),"")</f>
        <v>Zimmermann 1996</v>
      </c>
      <c r="C2316" s="232" t="str">
        <f>IF(AND(A2316&lt;&gt;"",ISNUMBER(A2316)),VLOOKUP(A2316,Studies!A:BR,3,FALSE),"")</f>
        <v>https://www.ncbi.nlm.nih.gov/pubmed/8720318</v>
      </c>
      <c r="D2316" s="232" t="str">
        <f>IF(AND(A2316&lt;&gt;"",ISNUMBER(A2316)),VLOOKUP(A2316,Studies!A:BR,4,FALSE),"")</f>
        <v>with Perpetrator (Erythromycin)</v>
      </c>
      <c r="E2316" s="206" t="str">
        <f>IF(AND(A2316&lt;&gt;"",ISNUMBER(A2316)),VLOOKUP(A2316,Studies!A:BR,5,FALSE),"")</f>
        <v>Midazolam</v>
      </c>
      <c r="F2316" s="207" t="str">
        <f>IF(AND(A2316&lt;&gt;"",ISNUMBER(A2316)),VLOOKUP(A2316,Studies!A:BR,6,FALSE),"")</f>
        <v>Plasma</v>
      </c>
      <c r="G2316" s="194">
        <v>121.5</v>
      </c>
      <c r="H2316" s="194" t="s">
        <v>60</v>
      </c>
      <c r="I2316" s="187">
        <v>4.3681854556367004</v>
      </c>
      <c r="J2316" s="187" t="s">
        <v>1026</v>
      </c>
      <c r="K2316" s="187" t="s">
        <v>116</v>
      </c>
      <c r="L2316" s="195"/>
      <c r="M2316" s="195"/>
      <c r="N2316" s="195"/>
      <c r="O2316" s="199"/>
      <c r="P2316" s="188" t="s">
        <v>1125</v>
      </c>
      <c r="Q2316" s="174">
        <f>IF(ISNUMBER(VLOOKUP(A2316,NotghiID!A:A,1,FALSE)),1,0)</f>
        <v>0</v>
      </c>
    </row>
    <row r="2317" spans="1:17" ht="14.25" x14ac:dyDescent="0.2">
      <c r="A2317" s="183">
        <v>279</v>
      </c>
      <c r="B2317" s="232" t="str">
        <f>IF(AND(A2317&lt;&gt;"",ISNUMBER(A2317)),VLOOKUP(A2317,Studies!A:BR,2,FALSE),"")</f>
        <v>Kharasch 2004</v>
      </c>
      <c r="C2317" s="232" t="str">
        <f>IF(AND(A2317&lt;&gt;"",ISNUMBER(A2317)),VLOOKUP(A2317,Studies!A:BR,3,FALSE),"")</f>
        <v>https://www.ncbi.nlm.nih.gov/pubmed/15536460</v>
      </c>
      <c r="D2317" s="232" t="str">
        <f>IF(AND(A2317&lt;&gt;"",ISNUMBER(A2317)),VLOOKUP(A2317,Studies!A:BR,4,FALSE),"")</f>
        <v>iv Control (Perpetrator Placebo)</v>
      </c>
      <c r="E2317" s="206" t="str">
        <f>IF(AND(A2317&lt;&gt;"",ISNUMBER(A2317)),VLOOKUP(A2317,Studies!A:BR,5,FALSE),"")</f>
        <v>Midazolam</v>
      </c>
      <c r="F2317" s="207" t="str">
        <f>IF(AND(A2317&lt;&gt;"",ISNUMBER(A2317)),VLOOKUP(A2317,Studies!A:BR,6,FALSE),"")</f>
        <v>Plasma</v>
      </c>
      <c r="G2317" s="194">
        <v>8.3333333333333329E-2</v>
      </c>
      <c r="H2317" s="194" t="s">
        <v>60</v>
      </c>
      <c r="I2317" s="187">
        <v>22.600000381469727</v>
      </c>
      <c r="J2317" s="187" t="s">
        <v>1026</v>
      </c>
      <c r="K2317" s="187" t="s">
        <v>116</v>
      </c>
      <c r="L2317" s="195"/>
      <c r="M2317" s="195"/>
      <c r="N2317" s="195"/>
      <c r="O2317" s="199"/>
      <c r="P2317" s="188"/>
      <c r="Q2317" s="174">
        <f>IF(ISNUMBER(VLOOKUP(A2317,NotghiID!A:A,1,FALSE)),1,0)</f>
        <v>0</v>
      </c>
    </row>
    <row r="2318" spans="1:17" ht="14.25" x14ac:dyDescent="0.2">
      <c r="A2318" s="183">
        <v>279</v>
      </c>
      <c r="B2318" s="232" t="str">
        <f>IF(AND(A2318&lt;&gt;"",ISNUMBER(A2318)),VLOOKUP(A2318,Studies!A:BR,2,FALSE),"")</f>
        <v>Kharasch 2004</v>
      </c>
      <c r="C2318" s="232" t="str">
        <f>IF(AND(A2318&lt;&gt;"",ISNUMBER(A2318)),VLOOKUP(A2318,Studies!A:BR,3,FALSE),"")</f>
        <v>https://www.ncbi.nlm.nih.gov/pubmed/15536460</v>
      </c>
      <c r="D2318" s="232" t="str">
        <f>IF(AND(A2318&lt;&gt;"",ISNUMBER(A2318)),VLOOKUP(A2318,Studies!A:BR,4,FALSE),"")</f>
        <v>iv Control (Perpetrator Placebo)</v>
      </c>
      <c r="E2318" s="206" t="str">
        <f>IF(AND(A2318&lt;&gt;"",ISNUMBER(A2318)),VLOOKUP(A2318,Studies!A:BR,5,FALSE),"")</f>
        <v>Midazolam</v>
      </c>
      <c r="F2318" s="207" t="str">
        <f>IF(AND(A2318&lt;&gt;"",ISNUMBER(A2318)),VLOOKUP(A2318,Studies!A:BR,6,FALSE),"")</f>
        <v>Plasma</v>
      </c>
      <c r="G2318" s="194">
        <v>0.25</v>
      </c>
      <c r="H2318" s="194" t="s">
        <v>60</v>
      </c>
      <c r="I2318" s="187">
        <v>15.899999618530273</v>
      </c>
      <c r="J2318" s="187" t="s">
        <v>1026</v>
      </c>
      <c r="K2318" s="187" t="s">
        <v>116</v>
      </c>
      <c r="L2318" s="195"/>
      <c r="M2318" s="195"/>
      <c r="N2318" s="195"/>
      <c r="O2318" s="199"/>
      <c r="P2318" s="188"/>
      <c r="Q2318" s="174">
        <f>IF(ISNUMBER(VLOOKUP(A2318,NotghiID!A:A,1,FALSE)),1,0)</f>
        <v>0</v>
      </c>
    </row>
    <row r="2319" spans="1:17" ht="14.25" x14ac:dyDescent="0.2">
      <c r="A2319" s="183">
        <v>279</v>
      </c>
      <c r="B2319" s="232" t="str">
        <f>IF(AND(A2319&lt;&gt;"",ISNUMBER(A2319)),VLOOKUP(A2319,Studies!A:BR,2,FALSE),"")</f>
        <v>Kharasch 2004</v>
      </c>
      <c r="C2319" s="232" t="str">
        <f>IF(AND(A2319&lt;&gt;"",ISNUMBER(A2319)),VLOOKUP(A2319,Studies!A:BR,3,FALSE),"")</f>
        <v>https://www.ncbi.nlm.nih.gov/pubmed/15536460</v>
      </c>
      <c r="D2319" s="232" t="str">
        <f>IF(AND(A2319&lt;&gt;"",ISNUMBER(A2319)),VLOOKUP(A2319,Studies!A:BR,4,FALSE),"")</f>
        <v>iv Control (Perpetrator Placebo)</v>
      </c>
      <c r="E2319" s="206" t="str">
        <f>IF(AND(A2319&lt;&gt;"",ISNUMBER(A2319)),VLOOKUP(A2319,Studies!A:BR,5,FALSE),"")</f>
        <v>Midazolam</v>
      </c>
      <c r="F2319" s="207" t="str">
        <f>IF(AND(A2319&lt;&gt;"",ISNUMBER(A2319)),VLOOKUP(A2319,Studies!A:BR,6,FALSE),"")</f>
        <v>Plasma</v>
      </c>
      <c r="G2319" s="194">
        <v>0.5</v>
      </c>
      <c r="H2319" s="194" t="s">
        <v>60</v>
      </c>
      <c r="I2319" s="187">
        <v>9.4499998092651367</v>
      </c>
      <c r="J2319" s="187" t="s">
        <v>1026</v>
      </c>
      <c r="K2319" s="187" t="s">
        <v>116</v>
      </c>
      <c r="L2319" s="195"/>
      <c r="M2319" s="195"/>
      <c r="N2319" s="195"/>
      <c r="O2319" s="199"/>
      <c r="P2319" s="188"/>
      <c r="Q2319" s="174">
        <f>IF(ISNUMBER(VLOOKUP(A2319,NotghiID!A:A,1,FALSE)),1,0)</f>
        <v>0</v>
      </c>
    </row>
    <row r="2320" spans="1:17" ht="14.25" x14ac:dyDescent="0.2">
      <c r="A2320" s="183">
        <v>279</v>
      </c>
      <c r="B2320" s="232" t="str">
        <f>IF(AND(A2320&lt;&gt;"",ISNUMBER(A2320)),VLOOKUP(A2320,Studies!A:BR,2,FALSE),"")</f>
        <v>Kharasch 2004</v>
      </c>
      <c r="C2320" s="232" t="str">
        <f>IF(AND(A2320&lt;&gt;"",ISNUMBER(A2320)),VLOOKUP(A2320,Studies!A:BR,3,FALSE),"")</f>
        <v>https://www.ncbi.nlm.nih.gov/pubmed/15536460</v>
      </c>
      <c r="D2320" s="232" t="str">
        <f>IF(AND(A2320&lt;&gt;"",ISNUMBER(A2320)),VLOOKUP(A2320,Studies!A:BR,4,FALSE),"")</f>
        <v>iv Control (Perpetrator Placebo)</v>
      </c>
      <c r="E2320" s="206" t="str">
        <f>IF(AND(A2320&lt;&gt;"",ISNUMBER(A2320)),VLOOKUP(A2320,Studies!A:BR,5,FALSE),"")</f>
        <v>Midazolam</v>
      </c>
      <c r="F2320" s="207" t="str">
        <f>IF(AND(A2320&lt;&gt;"",ISNUMBER(A2320)),VLOOKUP(A2320,Studies!A:BR,6,FALSE),"")</f>
        <v>Plasma</v>
      </c>
      <c r="G2320" s="194">
        <v>1</v>
      </c>
      <c r="H2320" s="194" t="s">
        <v>60</v>
      </c>
      <c r="I2320" s="187">
        <v>6.75</v>
      </c>
      <c r="J2320" s="187" t="s">
        <v>1026</v>
      </c>
      <c r="K2320" s="187" t="s">
        <v>116</v>
      </c>
      <c r="L2320" s="195"/>
      <c r="M2320" s="195"/>
      <c r="N2320" s="195"/>
      <c r="O2320" s="199"/>
      <c r="P2320" s="188"/>
      <c r="Q2320" s="174">
        <f>IF(ISNUMBER(VLOOKUP(A2320,NotghiID!A:A,1,FALSE)),1,0)</f>
        <v>0</v>
      </c>
    </row>
    <row r="2321" spans="1:17" ht="14.25" x14ac:dyDescent="0.2">
      <c r="A2321" s="183">
        <v>279</v>
      </c>
      <c r="B2321" s="232" t="str">
        <f>IF(AND(A2321&lt;&gt;"",ISNUMBER(A2321)),VLOOKUP(A2321,Studies!A:BR,2,FALSE),"")</f>
        <v>Kharasch 2004</v>
      </c>
      <c r="C2321" s="232" t="str">
        <f>IF(AND(A2321&lt;&gt;"",ISNUMBER(A2321)),VLOOKUP(A2321,Studies!A:BR,3,FALSE),"")</f>
        <v>https://www.ncbi.nlm.nih.gov/pubmed/15536460</v>
      </c>
      <c r="D2321" s="232" t="str">
        <f>IF(AND(A2321&lt;&gt;"",ISNUMBER(A2321)),VLOOKUP(A2321,Studies!A:BR,4,FALSE),"")</f>
        <v>iv Control (Perpetrator Placebo)</v>
      </c>
      <c r="E2321" s="206" t="str">
        <f>IF(AND(A2321&lt;&gt;"",ISNUMBER(A2321)),VLOOKUP(A2321,Studies!A:BR,5,FALSE),"")</f>
        <v>Midazolam</v>
      </c>
      <c r="F2321" s="207" t="str">
        <f>IF(AND(A2321&lt;&gt;"",ISNUMBER(A2321)),VLOOKUP(A2321,Studies!A:BR,6,FALSE),"")</f>
        <v>Plasma</v>
      </c>
      <c r="G2321" s="194">
        <v>1.5</v>
      </c>
      <c r="H2321" s="194" t="s">
        <v>60</v>
      </c>
      <c r="I2321" s="187">
        <v>4.130000114440918</v>
      </c>
      <c r="J2321" s="187" t="s">
        <v>1026</v>
      </c>
      <c r="K2321" s="187" t="s">
        <v>116</v>
      </c>
      <c r="L2321" s="195"/>
      <c r="M2321" s="195"/>
      <c r="N2321" s="195"/>
      <c r="O2321" s="199"/>
      <c r="P2321" s="188"/>
      <c r="Q2321" s="174">
        <f>IF(ISNUMBER(VLOOKUP(A2321,NotghiID!A:A,1,FALSE)),1,0)</f>
        <v>0</v>
      </c>
    </row>
    <row r="2322" spans="1:17" ht="14.25" x14ac:dyDescent="0.2">
      <c r="A2322" s="183">
        <v>279</v>
      </c>
      <c r="B2322" s="232" t="str">
        <f>IF(AND(A2322&lt;&gt;"",ISNUMBER(A2322)),VLOOKUP(A2322,Studies!A:BR,2,FALSE),"")</f>
        <v>Kharasch 2004</v>
      </c>
      <c r="C2322" s="232" t="str">
        <f>IF(AND(A2322&lt;&gt;"",ISNUMBER(A2322)),VLOOKUP(A2322,Studies!A:BR,3,FALSE),"")</f>
        <v>https://www.ncbi.nlm.nih.gov/pubmed/15536460</v>
      </c>
      <c r="D2322" s="232" t="str">
        <f>IF(AND(A2322&lt;&gt;"",ISNUMBER(A2322)),VLOOKUP(A2322,Studies!A:BR,4,FALSE),"")</f>
        <v>iv Control (Perpetrator Placebo)</v>
      </c>
      <c r="E2322" s="206" t="str">
        <f>IF(AND(A2322&lt;&gt;"",ISNUMBER(A2322)),VLOOKUP(A2322,Studies!A:BR,5,FALSE),"")</f>
        <v>Midazolam</v>
      </c>
      <c r="F2322" s="207" t="str">
        <f>IF(AND(A2322&lt;&gt;"",ISNUMBER(A2322)),VLOOKUP(A2322,Studies!A:BR,6,FALSE),"")</f>
        <v>Plasma</v>
      </c>
      <c r="G2322" s="194">
        <v>1.75</v>
      </c>
      <c r="H2322" s="194" t="s">
        <v>60</v>
      </c>
      <c r="I2322" s="187">
        <v>3.7399997711181641</v>
      </c>
      <c r="J2322" s="187" t="s">
        <v>1026</v>
      </c>
      <c r="K2322" s="187" t="s">
        <v>116</v>
      </c>
      <c r="L2322" s="195"/>
      <c r="M2322" s="195"/>
      <c r="N2322" s="195"/>
      <c r="O2322" s="199"/>
      <c r="P2322" s="188"/>
      <c r="Q2322" s="174">
        <f>IF(ISNUMBER(VLOOKUP(A2322,NotghiID!A:A,1,FALSE)),1,0)</f>
        <v>0</v>
      </c>
    </row>
    <row r="2323" spans="1:17" ht="14.25" x14ac:dyDescent="0.2">
      <c r="A2323" s="183">
        <v>279</v>
      </c>
      <c r="B2323" s="232" t="str">
        <f>IF(AND(A2323&lt;&gt;"",ISNUMBER(A2323)),VLOOKUP(A2323,Studies!A:BR,2,FALSE),"")</f>
        <v>Kharasch 2004</v>
      </c>
      <c r="C2323" s="232" t="str">
        <f>IF(AND(A2323&lt;&gt;"",ISNUMBER(A2323)),VLOOKUP(A2323,Studies!A:BR,3,FALSE),"")</f>
        <v>https://www.ncbi.nlm.nih.gov/pubmed/15536460</v>
      </c>
      <c r="D2323" s="232" t="str">
        <f>IF(AND(A2323&lt;&gt;"",ISNUMBER(A2323)),VLOOKUP(A2323,Studies!A:BR,4,FALSE),"")</f>
        <v>iv Control (Perpetrator Placebo)</v>
      </c>
      <c r="E2323" s="206" t="str">
        <f>IF(AND(A2323&lt;&gt;"",ISNUMBER(A2323)),VLOOKUP(A2323,Studies!A:BR,5,FALSE),"")</f>
        <v>Midazolam</v>
      </c>
      <c r="F2323" s="207" t="str">
        <f>IF(AND(A2323&lt;&gt;"",ISNUMBER(A2323)),VLOOKUP(A2323,Studies!A:BR,6,FALSE),"")</f>
        <v>Plasma</v>
      </c>
      <c r="G2323" s="194">
        <v>2</v>
      </c>
      <c r="H2323" s="194" t="s">
        <v>60</v>
      </c>
      <c r="I2323" s="187">
        <v>3.2999999523162842</v>
      </c>
      <c r="J2323" s="187" t="s">
        <v>1026</v>
      </c>
      <c r="K2323" s="187" t="s">
        <v>116</v>
      </c>
      <c r="L2323" s="195"/>
      <c r="M2323" s="195"/>
      <c r="N2323" s="195"/>
      <c r="O2323" s="199"/>
      <c r="P2323" s="188"/>
      <c r="Q2323" s="174">
        <f>IF(ISNUMBER(VLOOKUP(A2323,NotghiID!A:A,1,FALSE)),1,0)</f>
        <v>0</v>
      </c>
    </row>
    <row r="2324" spans="1:17" ht="14.25" x14ac:dyDescent="0.2">
      <c r="A2324" s="183">
        <v>279</v>
      </c>
      <c r="B2324" s="232" t="str">
        <f>IF(AND(A2324&lt;&gt;"",ISNUMBER(A2324)),VLOOKUP(A2324,Studies!A:BR,2,FALSE),"")</f>
        <v>Kharasch 2004</v>
      </c>
      <c r="C2324" s="232" t="str">
        <f>IF(AND(A2324&lt;&gt;"",ISNUMBER(A2324)),VLOOKUP(A2324,Studies!A:BR,3,FALSE),"")</f>
        <v>https://www.ncbi.nlm.nih.gov/pubmed/15536460</v>
      </c>
      <c r="D2324" s="232" t="str">
        <f>IF(AND(A2324&lt;&gt;"",ISNUMBER(A2324)),VLOOKUP(A2324,Studies!A:BR,4,FALSE),"")</f>
        <v>iv Control (Perpetrator Placebo)</v>
      </c>
      <c r="E2324" s="206" t="str">
        <f>IF(AND(A2324&lt;&gt;"",ISNUMBER(A2324)),VLOOKUP(A2324,Studies!A:BR,5,FALSE),"")</f>
        <v>Midazolam</v>
      </c>
      <c r="F2324" s="207" t="str">
        <f>IF(AND(A2324&lt;&gt;"",ISNUMBER(A2324)),VLOOKUP(A2324,Studies!A:BR,6,FALSE),"")</f>
        <v>Plasma</v>
      </c>
      <c r="G2324" s="194">
        <v>2.5</v>
      </c>
      <c r="H2324" s="194" t="s">
        <v>60</v>
      </c>
      <c r="I2324" s="187">
        <v>2.7100000381469727</v>
      </c>
      <c r="J2324" s="187" t="s">
        <v>1026</v>
      </c>
      <c r="K2324" s="187" t="s">
        <v>116</v>
      </c>
      <c r="L2324" s="195"/>
      <c r="M2324" s="195"/>
      <c r="N2324" s="195"/>
      <c r="O2324" s="199"/>
      <c r="P2324" s="188"/>
      <c r="Q2324" s="174">
        <f>IF(ISNUMBER(VLOOKUP(A2324,NotghiID!A:A,1,FALSE)),1,0)</f>
        <v>0</v>
      </c>
    </row>
    <row r="2325" spans="1:17" ht="14.25" x14ac:dyDescent="0.2">
      <c r="A2325" s="183">
        <v>279</v>
      </c>
      <c r="B2325" s="232" t="str">
        <f>IF(AND(A2325&lt;&gt;"",ISNUMBER(A2325)),VLOOKUP(A2325,Studies!A:BR,2,FALSE),"")</f>
        <v>Kharasch 2004</v>
      </c>
      <c r="C2325" s="232" t="str">
        <f>IF(AND(A2325&lt;&gt;"",ISNUMBER(A2325)),VLOOKUP(A2325,Studies!A:BR,3,FALSE),"")</f>
        <v>https://www.ncbi.nlm.nih.gov/pubmed/15536460</v>
      </c>
      <c r="D2325" s="232" t="str">
        <f>IF(AND(A2325&lt;&gt;"",ISNUMBER(A2325)),VLOOKUP(A2325,Studies!A:BR,4,FALSE),"")</f>
        <v>iv Control (Perpetrator Placebo)</v>
      </c>
      <c r="E2325" s="206" t="str">
        <f>IF(AND(A2325&lt;&gt;"",ISNUMBER(A2325)),VLOOKUP(A2325,Studies!A:BR,5,FALSE),"")</f>
        <v>Midazolam</v>
      </c>
      <c r="F2325" s="207" t="str">
        <f>IF(AND(A2325&lt;&gt;"",ISNUMBER(A2325)),VLOOKUP(A2325,Studies!A:BR,6,FALSE),"")</f>
        <v>Plasma</v>
      </c>
      <c r="G2325" s="194">
        <v>3</v>
      </c>
      <c r="H2325" s="194" t="s">
        <v>60</v>
      </c>
      <c r="I2325" s="187">
        <v>2.3199999332427979</v>
      </c>
      <c r="J2325" s="187" t="s">
        <v>1026</v>
      </c>
      <c r="K2325" s="187" t="s">
        <v>116</v>
      </c>
      <c r="L2325" s="195"/>
      <c r="M2325" s="195"/>
      <c r="N2325" s="195"/>
      <c r="O2325" s="199"/>
      <c r="P2325" s="188"/>
      <c r="Q2325" s="174">
        <f>IF(ISNUMBER(VLOOKUP(A2325,NotghiID!A:A,1,FALSE)),1,0)</f>
        <v>0</v>
      </c>
    </row>
    <row r="2326" spans="1:17" ht="14.25" x14ac:dyDescent="0.2">
      <c r="A2326" s="183">
        <v>279</v>
      </c>
      <c r="B2326" s="232" t="str">
        <f>IF(AND(A2326&lt;&gt;"",ISNUMBER(A2326)),VLOOKUP(A2326,Studies!A:BR,2,FALSE),"")</f>
        <v>Kharasch 2004</v>
      </c>
      <c r="C2326" s="232" t="str">
        <f>IF(AND(A2326&lt;&gt;"",ISNUMBER(A2326)),VLOOKUP(A2326,Studies!A:BR,3,FALSE),"")</f>
        <v>https://www.ncbi.nlm.nih.gov/pubmed/15536460</v>
      </c>
      <c r="D2326" s="232" t="str">
        <f>IF(AND(A2326&lt;&gt;"",ISNUMBER(A2326)),VLOOKUP(A2326,Studies!A:BR,4,FALSE),"")</f>
        <v>iv Control (Perpetrator Placebo)</v>
      </c>
      <c r="E2326" s="206" t="str">
        <f>IF(AND(A2326&lt;&gt;"",ISNUMBER(A2326)),VLOOKUP(A2326,Studies!A:BR,5,FALSE),"")</f>
        <v>Midazolam</v>
      </c>
      <c r="F2326" s="207" t="str">
        <f>IF(AND(A2326&lt;&gt;"",ISNUMBER(A2326)),VLOOKUP(A2326,Studies!A:BR,6,FALSE),"")</f>
        <v>Plasma</v>
      </c>
      <c r="G2326" s="194">
        <v>4</v>
      </c>
      <c r="H2326" s="194" t="s">
        <v>60</v>
      </c>
      <c r="I2326" s="187">
        <v>1.6100000143051147</v>
      </c>
      <c r="J2326" s="187" t="s">
        <v>1026</v>
      </c>
      <c r="K2326" s="187" t="s">
        <v>116</v>
      </c>
      <c r="L2326" s="195"/>
      <c r="M2326" s="195"/>
      <c r="N2326" s="195"/>
      <c r="O2326" s="199"/>
      <c r="P2326" s="188"/>
      <c r="Q2326" s="174">
        <f>IF(ISNUMBER(VLOOKUP(A2326,NotghiID!A:A,1,FALSE)),1,0)</f>
        <v>0</v>
      </c>
    </row>
    <row r="2327" spans="1:17" ht="14.25" x14ac:dyDescent="0.2">
      <c r="A2327" s="183">
        <v>279</v>
      </c>
      <c r="B2327" s="232" t="str">
        <f>IF(AND(A2327&lt;&gt;"",ISNUMBER(A2327)),VLOOKUP(A2327,Studies!A:BR,2,FALSE),"")</f>
        <v>Kharasch 2004</v>
      </c>
      <c r="C2327" s="232" t="str">
        <f>IF(AND(A2327&lt;&gt;"",ISNUMBER(A2327)),VLOOKUP(A2327,Studies!A:BR,3,FALSE),"")</f>
        <v>https://www.ncbi.nlm.nih.gov/pubmed/15536460</v>
      </c>
      <c r="D2327" s="232" t="str">
        <f>IF(AND(A2327&lt;&gt;"",ISNUMBER(A2327)),VLOOKUP(A2327,Studies!A:BR,4,FALSE),"")</f>
        <v>iv Control (Perpetrator Placebo)</v>
      </c>
      <c r="E2327" s="206" t="str">
        <f>IF(AND(A2327&lt;&gt;"",ISNUMBER(A2327)),VLOOKUP(A2327,Studies!A:BR,5,FALSE),"")</f>
        <v>Midazolam</v>
      </c>
      <c r="F2327" s="207" t="str">
        <f>IF(AND(A2327&lt;&gt;"",ISNUMBER(A2327)),VLOOKUP(A2327,Studies!A:BR,6,FALSE),"")</f>
        <v>Plasma</v>
      </c>
      <c r="G2327" s="194">
        <v>5</v>
      </c>
      <c r="H2327" s="194" t="s">
        <v>60</v>
      </c>
      <c r="I2327" s="187">
        <v>1.309999942779541</v>
      </c>
      <c r="J2327" s="187" t="s">
        <v>1026</v>
      </c>
      <c r="K2327" s="187" t="s">
        <v>116</v>
      </c>
      <c r="L2327" s="195"/>
      <c r="M2327" s="195"/>
      <c r="N2327" s="195"/>
      <c r="O2327" s="199"/>
      <c r="P2327" s="188"/>
      <c r="Q2327" s="174">
        <f>IF(ISNUMBER(VLOOKUP(A2327,NotghiID!A:A,1,FALSE)),1,0)</f>
        <v>0</v>
      </c>
    </row>
    <row r="2328" spans="1:17" ht="14.25" x14ac:dyDescent="0.2">
      <c r="A2328" s="183">
        <v>279</v>
      </c>
      <c r="B2328" s="232" t="str">
        <f>IF(AND(A2328&lt;&gt;"",ISNUMBER(A2328)),VLOOKUP(A2328,Studies!A:BR,2,FALSE),"")</f>
        <v>Kharasch 2004</v>
      </c>
      <c r="C2328" s="232" t="str">
        <f>IF(AND(A2328&lt;&gt;"",ISNUMBER(A2328)),VLOOKUP(A2328,Studies!A:BR,3,FALSE),"")</f>
        <v>https://www.ncbi.nlm.nih.gov/pubmed/15536460</v>
      </c>
      <c r="D2328" s="232" t="str">
        <f>IF(AND(A2328&lt;&gt;"",ISNUMBER(A2328)),VLOOKUP(A2328,Studies!A:BR,4,FALSE),"")</f>
        <v>iv Control (Perpetrator Placebo)</v>
      </c>
      <c r="E2328" s="206" t="str">
        <f>IF(AND(A2328&lt;&gt;"",ISNUMBER(A2328)),VLOOKUP(A2328,Studies!A:BR,5,FALSE),"")</f>
        <v>Midazolam</v>
      </c>
      <c r="F2328" s="207" t="str">
        <f>IF(AND(A2328&lt;&gt;"",ISNUMBER(A2328)),VLOOKUP(A2328,Studies!A:BR,6,FALSE),"")</f>
        <v>Plasma</v>
      </c>
      <c r="G2328" s="194">
        <v>6</v>
      </c>
      <c r="H2328" s="194" t="s">
        <v>60</v>
      </c>
      <c r="I2328" s="187">
        <v>1.1200000047683716</v>
      </c>
      <c r="J2328" s="187" t="s">
        <v>1026</v>
      </c>
      <c r="K2328" s="187" t="s">
        <v>116</v>
      </c>
      <c r="L2328" s="195"/>
      <c r="M2328" s="195"/>
      <c r="N2328" s="195"/>
      <c r="O2328" s="199"/>
      <c r="P2328" s="188"/>
      <c r="Q2328" s="174">
        <f>IF(ISNUMBER(VLOOKUP(A2328,NotghiID!A:A,1,FALSE)),1,0)</f>
        <v>0</v>
      </c>
    </row>
    <row r="2329" spans="1:17" ht="14.25" x14ac:dyDescent="0.2">
      <c r="A2329" s="183">
        <v>279</v>
      </c>
      <c r="B2329" s="232" t="str">
        <f>IF(AND(A2329&lt;&gt;"",ISNUMBER(A2329)),VLOOKUP(A2329,Studies!A:BR,2,FALSE),"")</f>
        <v>Kharasch 2004</v>
      </c>
      <c r="C2329" s="232" t="str">
        <f>IF(AND(A2329&lt;&gt;"",ISNUMBER(A2329)),VLOOKUP(A2329,Studies!A:BR,3,FALSE),"")</f>
        <v>https://www.ncbi.nlm.nih.gov/pubmed/15536460</v>
      </c>
      <c r="D2329" s="232" t="str">
        <f>IF(AND(A2329&lt;&gt;"",ISNUMBER(A2329)),VLOOKUP(A2329,Studies!A:BR,4,FALSE),"")</f>
        <v>iv Control (Perpetrator Placebo)</v>
      </c>
      <c r="E2329" s="206" t="str">
        <f>IF(AND(A2329&lt;&gt;"",ISNUMBER(A2329)),VLOOKUP(A2329,Studies!A:BR,5,FALSE),"")</f>
        <v>Midazolam</v>
      </c>
      <c r="F2329" s="207" t="str">
        <f>IF(AND(A2329&lt;&gt;"",ISNUMBER(A2329)),VLOOKUP(A2329,Studies!A:BR,6,FALSE),"")</f>
        <v>Plasma</v>
      </c>
      <c r="G2329" s="194">
        <v>7</v>
      </c>
      <c r="H2329" s="194" t="s">
        <v>60</v>
      </c>
      <c r="I2329" s="187">
        <v>0.81000000238418579</v>
      </c>
      <c r="J2329" s="187" t="s">
        <v>1026</v>
      </c>
      <c r="K2329" s="187" t="s">
        <v>116</v>
      </c>
      <c r="L2329" s="195"/>
      <c r="M2329" s="195"/>
      <c r="N2329" s="195"/>
      <c r="O2329" s="199"/>
      <c r="P2329" s="188"/>
      <c r="Q2329" s="174">
        <f>IF(ISNUMBER(VLOOKUP(A2329,NotghiID!A:A,1,FALSE)),1,0)</f>
        <v>0</v>
      </c>
    </row>
    <row r="2330" spans="1:17" ht="14.25" x14ac:dyDescent="0.2">
      <c r="A2330" s="183">
        <v>279</v>
      </c>
      <c r="B2330" s="232" t="str">
        <f>IF(AND(A2330&lt;&gt;"",ISNUMBER(A2330)),VLOOKUP(A2330,Studies!A:BR,2,FALSE),"")</f>
        <v>Kharasch 2004</v>
      </c>
      <c r="C2330" s="232" t="str">
        <f>IF(AND(A2330&lt;&gt;"",ISNUMBER(A2330)),VLOOKUP(A2330,Studies!A:BR,3,FALSE),"")</f>
        <v>https://www.ncbi.nlm.nih.gov/pubmed/15536460</v>
      </c>
      <c r="D2330" s="232" t="str">
        <f>IF(AND(A2330&lt;&gt;"",ISNUMBER(A2330)),VLOOKUP(A2330,Studies!A:BR,4,FALSE),"")</f>
        <v>iv Control (Perpetrator Placebo)</v>
      </c>
      <c r="E2330" s="206" t="str">
        <f>IF(AND(A2330&lt;&gt;"",ISNUMBER(A2330)),VLOOKUP(A2330,Studies!A:BR,5,FALSE),"")</f>
        <v>Midazolam</v>
      </c>
      <c r="F2330" s="207" t="str">
        <f>IF(AND(A2330&lt;&gt;"",ISNUMBER(A2330)),VLOOKUP(A2330,Studies!A:BR,6,FALSE),"")</f>
        <v>Plasma</v>
      </c>
      <c r="G2330" s="194">
        <v>8</v>
      </c>
      <c r="H2330" s="194" t="s">
        <v>60</v>
      </c>
      <c r="I2330" s="187">
        <v>0.69999998807907104</v>
      </c>
      <c r="J2330" s="187" t="s">
        <v>1026</v>
      </c>
      <c r="K2330" s="187" t="s">
        <v>116</v>
      </c>
      <c r="L2330" s="195"/>
      <c r="M2330" s="195"/>
      <c r="N2330" s="195"/>
      <c r="O2330" s="199"/>
      <c r="P2330" s="188"/>
      <c r="Q2330" s="174">
        <f>IF(ISNUMBER(VLOOKUP(A2330,NotghiID!A:A,1,FALSE)),1,0)</f>
        <v>0</v>
      </c>
    </row>
    <row r="2331" spans="1:17" ht="14.25" x14ac:dyDescent="0.2">
      <c r="A2331" s="183">
        <v>279</v>
      </c>
      <c r="B2331" s="232" t="str">
        <f>IF(AND(A2331&lt;&gt;"",ISNUMBER(A2331)),VLOOKUP(A2331,Studies!A:BR,2,FALSE),"")</f>
        <v>Kharasch 2004</v>
      </c>
      <c r="C2331" s="232" t="str">
        <f>IF(AND(A2331&lt;&gt;"",ISNUMBER(A2331)),VLOOKUP(A2331,Studies!A:BR,3,FALSE),"")</f>
        <v>https://www.ncbi.nlm.nih.gov/pubmed/15536460</v>
      </c>
      <c r="D2331" s="232" t="str">
        <f>IF(AND(A2331&lt;&gt;"",ISNUMBER(A2331)),VLOOKUP(A2331,Studies!A:BR,4,FALSE),"")</f>
        <v>iv Control (Perpetrator Placebo)</v>
      </c>
      <c r="E2331" s="206" t="str">
        <f>IF(AND(A2331&lt;&gt;"",ISNUMBER(A2331)),VLOOKUP(A2331,Studies!A:BR,5,FALSE),"")</f>
        <v>Midazolam</v>
      </c>
      <c r="F2331" s="207" t="str">
        <f>IF(AND(A2331&lt;&gt;"",ISNUMBER(A2331)),VLOOKUP(A2331,Studies!A:BR,6,FALSE),"")</f>
        <v>Plasma</v>
      </c>
      <c r="G2331" s="194">
        <v>9</v>
      </c>
      <c r="H2331" s="194" t="s">
        <v>60</v>
      </c>
      <c r="I2331" s="187">
        <v>0.50999999046325684</v>
      </c>
      <c r="J2331" s="187" t="s">
        <v>1026</v>
      </c>
      <c r="K2331" s="187" t="s">
        <v>116</v>
      </c>
      <c r="L2331" s="195"/>
      <c r="M2331" s="195"/>
      <c r="N2331" s="195"/>
      <c r="O2331" s="199"/>
      <c r="P2331" s="188"/>
      <c r="Q2331" s="174">
        <f>IF(ISNUMBER(VLOOKUP(A2331,NotghiID!A:A,1,FALSE)),1,0)</f>
        <v>0</v>
      </c>
    </row>
    <row r="2332" spans="1:17" ht="14.25" x14ac:dyDescent="0.2">
      <c r="A2332" s="183">
        <v>280</v>
      </c>
      <c r="B2332" s="232" t="str">
        <f>IF(AND(A2332&lt;&gt;"",ISNUMBER(A2332)),VLOOKUP(A2332,Studies!A:BR,2,FALSE),"")</f>
        <v>Kharasch 2004</v>
      </c>
      <c r="C2332" s="232" t="str">
        <f>IF(AND(A2332&lt;&gt;"",ISNUMBER(A2332)),VLOOKUP(A2332,Studies!A:BR,3,FALSE),"")</f>
        <v>https://www.ncbi.nlm.nih.gov/pubmed/15536460</v>
      </c>
      <c r="D2332" s="232" t="str">
        <f>IF(AND(A2332&lt;&gt;"",ISNUMBER(A2332)),VLOOKUP(A2332,Studies!A:BR,4,FALSE),"")</f>
        <v>iv with Perpetrator (Rifampicin)</v>
      </c>
      <c r="E2332" s="206" t="str">
        <f>IF(AND(A2332&lt;&gt;"",ISNUMBER(A2332)),VLOOKUP(A2332,Studies!A:BR,5,FALSE),"")</f>
        <v>Midazolam</v>
      </c>
      <c r="F2332" s="207" t="str">
        <f>IF(AND(A2332&lt;&gt;"",ISNUMBER(A2332)),VLOOKUP(A2332,Studies!A:BR,6,FALSE),"")</f>
        <v>Plasma</v>
      </c>
      <c r="G2332" s="194">
        <v>104.08333333333333</v>
      </c>
      <c r="H2332" s="194" t="s">
        <v>60</v>
      </c>
      <c r="I2332" s="187">
        <v>13.100000381469727</v>
      </c>
      <c r="J2332" s="187" t="s">
        <v>1026</v>
      </c>
      <c r="K2332" s="187" t="s">
        <v>116</v>
      </c>
      <c r="L2332" s="195"/>
      <c r="M2332" s="195"/>
      <c r="N2332" s="195"/>
      <c r="O2332" s="199"/>
      <c r="P2332" s="188"/>
      <c r="Q2332" s="174">
        <f>IF(ISNUMBER(VLOOKUP(A2332,NotghiID!A:A,1,FALSE)),1,0)</f>
        <v>0</v>
      </c>
    </row>
    <row r="2333" spans="1:17" ht="14.25" x14ac:dyDescent="0.2">
      <c r="A2333" s="183">
        <v>280</v>
      </c>
      <c r="B2333" s="232" t="str">
        <f>IF(AND(A2333&lt;&gt;"",ISNUMBER(A2333)),VLOOKUP(A2333,Studies!A:BR,2,FALSE),"")</f>
        <v>Kharasch 2004</v>
      </c>
      <c r="C2333" s="232" t="str">
        <f>IF(AND(A2333&lt;&gt;"",ISNUMBER(A2333)),VLOOKUP(A2333,Studies!A:BR,3,FALSE),"")</f>
        <v>https://www.ncbi.nlm.nih.gov/pubmed/15536460</v>
      </c>
      <c r="D2333" s="232" t="str">
        <f>IF(AND(A2333&lt;&gt;"",ISNUMBER(A2333)),VLOOKUP(A2333,Studies!A:BR,4,FALSE),"")</f>
        <v>iv with Perpetrator (Rifampicin)</v>
      </c>
      <c r="E2333" s="206" t="str">
        <f>IF(AND(A2333&lt;&gt;"",ISNUMBER(A2333)),VLOOKUP(A2333,Studies!A:BR,5,FALSE),"")</f>
        <v>Midazolam</v>
      </c>
      <c r="F2333" s="207" t="str">
        <f>IF(AND(A2333&lt;&gt;"",ISNUMBER(A2333)),VLOOKUP(A2333,Studies!A:BR,6,FALSE),"")</f>
        <v>Plasma</v>
      </c>
      <c r="G2333" s="194">
        <v>104.25</v>
      </c>
      <c r="H2333" s="194" t="s">
        <v>60</v>
      </c>
      <c r="I2333" s="187">
        <v>9.7200002670288086</v>
      </c>
      <c r="J2333" s="187" t="s">
        <v>1026</v>
      </c>
      <c r="K2333" s="187" t="s">
        <v>116</v>
      </c>
      <c r="L2333" s="195">
        <v>2.5799999237060547</v>
      </c>
      <c r="M2333" s="195" t="s">
        <v>1026</v>
      </c>
      <c r="N2333" s="195" t="s">
        <v>117</v>
      </c>
      <c r="O2333" s="199"/>
      <c r="P2333" s="188"/>
      <c r="Q2333" s="174">
        <f>IF(ISNUMBER(VLOOKUP(A2333,NotghiID!A:A,1,FALSE)),1,0)</f>
        <v>0</v>
      </c>
    </row>
    <row r="2334" spans="1:17" ht="14.25" x14ac:dyDescent="0.2">
      <c r="A2334" s="183">
        <v>280</v>
      </c>
      <c r="B2334" s="232" t="str">
        <f>IF(AND(A2334&lt;&gt;"",ISNUMBER(A2334)),VLOOKUP(A2334,Studies!A:BR,2,FALSE),"")</f>
        <v>Kharasch 2004</v>
      </c>
      <c r="C2334" s="232" t="str">
        <f>IF(AND(A2334&lt;&gt;"",ISNUMBER(A2334)),VLOOKUP(A2334,Studies!A:BR,3,FALSE),"")</f>
        <v>https://www.ncbi.nlm.nih.gov/pubmed/15536460</v>
      </c>
      <c r="D2334" s="232" t="str">
        <f>IF(AND(A2334&lt;&gt;"",ISNUMBER(A2334)),VLOOKUP(A2334,Studies!A:BR,4,FALSE),"")</f>
        <v>iv with Perpetrator (Rifampicin)</v>
      </c>
      <c r="E2334" s="206" t="str">
        <f>IF(AND(A2334&lt;&gt;"",ISNUMBER(A2334)),VLOOKUP(A2334,Studies!A:BR,5,FALSE),"")</f>
        <v>Midazolam</v>
      </c>
      <c r="F2334" s="207" t="str">
        <f>IF(AND(A2334&lt;&gt;"",ISNUMBER(A2334)),VLOOKUP(A2334,Studies!A:BR,6,FALSE),"")</f>
        <v>Plasma</v>
      </c>
      <c r="G2334" s="194">
        <v>104.5</v>
      </c>
      <c r="H2334" s="194" t="s">
        <v>60</v>
      </c>
      <c r="I2334" s="187">
        <v>6.119999885559082</v>
      </c>
      <c r="J2334" s="187" t="s">
        <v>1026</v>
      </c>
      <c r="K2334" s="187" t="s">
        <v>116</v>
      </c>
      <c r="L2334" s="195">
        <v>1.9299999475479126</v>
      </c>
      <c r="M2334" s="195" t="s">
        <v>1026</v>
      </c>
      <c r="N2334" s="195" t="s">
        <v>117</v>
      </c>
      <c r="O2334" s="199"/>
      <c r="P2334" s="188"/>
      <c r="Q2334" s="174">
        <f>IF(ISNUMBER(VLOOKUP(A2334,NotghiID!A:A,1,FALSE)),1,0)</f>
        <v>0</v>
      </c>
    </row>
    <row r="2335" spans="1:17" ht="14.25" x14ac:dyDescent="0.2">
      <c r="A2335" s="183">
        <v>280</v>
      </c>
      <c r="B2335" s="232" t="str">
        <f>IF(AND(A2335&lt;&gt;"",ISNUMBER(A2335)),VLOOKUP(A2335,Studies!A:BR,2,FALSE),"")</f>
        <v>Kharasch 2004</v>
      </c>
      <c r="C2335" s="232" t="str">
        <f>IF(AND(A2335&lt;&gt;"",ISNUMBER(A2335)),VLOOKUP(A2335,Studies!A:BR,3,FALSE),"")</f>
        <v>https://www.ncbi.nlm.nih.gov/pubmed/15536460</v>
      </c>
      <c r="D2335" s="232" t="str">
        <f>IF(AND(A2335&lt;&gt;"",ISNUMBER(A2335)),VLOOKUP(A2335,Studies!A:BR,4,FALSE),"")</f>
        <v>iv with Perpetrator (Rifampicin)</v>
      </c>
      <c r="E2335" s="206" t="str">
        <f>IF(AND(A2335&lt;&gt;"",ISNUMBER(A2335)),VLOOKUP(A2335,Studies!A:BR,5,FALSE),"")</f>
        <v>Midazolam</v>
      </c>
      <c r="F2335" s="207" t="str">
        <f>IF(AND(A2335&lt;&gt;"",ISNUMBER(A2335)),VLOOKUP(A2335,Studies!A:BR,6,FALSE),"")</f>
        <v>Plasma</v>
      </c>
      <c r="G2335" s="194">
        <v>104.75</v>
      </c>
      <c r="H2335" s="194" t="s">
        <v>60</v>
      </c>
      <c r="I2335" s="187">
        <v>3.5399999618530273</v>
      </c>
      <c r="J2335" s="187" t="s">
        <v>1026</v>
      </c>
      <c r="K2335" s="187" t="s">
        <v>116</v>
      </c>
      <c r="L2335" s="195">
        <v>1.1200000047683716</v>
      </c>
      <c r="M2335" s="195" t="s">
        <v>1026</v>
      </c>
      <c r="N2335" s="195" t="s">
        <v>117</v>
      </c>
      <c r="O2335" s="199"/>
      <c r="P2335" s="188"/>
      <c r="Q2335" s="174">
        <f>IF(ISNUMBER(VLOOKUP(A2335,NotghiID!A:A,1,FALSE)),1,0)</f>
        <v>0</v>
      </c>
    </row>
    <row r="2336" spans="1:17" ht="14.25" x14ac:dyDescent="0.2">
      <c r="A2336" s="183">
        <v>280</v>
      </c>
      <c r="B2336" s="232" t="str">
        <f>IF(AND(A2336&lt;&gt;"",ISNUMBER(A2336)),VLOOKUP(A2336,Studies!A:BR,2,FALSE),"")</f>
        <v>Kharasch 2004</v>
      </c>
      <c r="C2336" s="232" t="str">
        <f>IF(AND(A2336&lt;&gt;"",ISNUMBER(A2336)),VLOOKUP(A2336,Studies!A:BR,3,FALSE),"")</f>
        <v>https://www.ncbi.nlm.nih.gov/pubmed/15536460</v>
      </c>
      <c r="D2336" s="232" t="str">
        <f>IF(AND(A2336&lt;&gt;"",ISNUMBER(A2336)),VLOOKUP(A2336,Studies!A:BR,4,FALSE),"")</f>
        <v>iv with Perpetrator (Rifampicin)</v>
      </c>
      <c r="E2336" s="206" t="str">
        <f>IF(AND(A2336&lt;&gt;"",ISNUMBER(A2336)),VLOOKUP(A2336,Studies!A:BR,5,FALSE),"")</f>
        <v>Midazolam</v>
      </c>
      <c r="F2336" s="207" t="str">
        <f>IF(AND(A2336&lt;&gt;"",ISNUMBER(A2336)),VLOOKUP(A2336,Studies!A:BR,6,FALSE),"")</f>
        <v>Plasma</v>
      </c>
      <c r="G2336" s="194">
        <v>105</v>
      </c>
      <c r="H2336" s="194" t="s">
        <v>60</v>
      </c>
      <c r="I2336" s="187">
        <v>3.0699999332427979</v>
      </c>
      <c r="J2336" s="187" t="s">
        <v>1026</v>
      </c>
      <c r="K2336" s="187" t="s">
        <v>116</v>
      </c>
      <c r="L2336" s="195">
        <v>0.78000003099441528</v>
      </c>
      <c r="M2336" s="195" t="s">
        <v>1026</v>
      </c>
      <c r="N2336" s="195" t="s">
        <v>117</v>
      </c>
      <c r="O2336" s="199"/>
      <c r="P2336" s="188"/>
      <c r="Q2336" s="174">
        <f>IF(ISNUMBER(VLOOKUP(A2336,NotghiID!A:A,1,FALSE)),1,0)</f>
        <v>0</v>
      </c>
    </row>
    <row r="2337" spans="1:17" ht="14.25" x14ac:dyDescent="0.2">
      <c r="A2337" s="183">
        <v>280</v>
      </c>
      <c r="B2337" s="232" t="str">
        <f>IF(AND(A2337&lt;&gt;"",ISNUMBER(A2337)),VLOOKUP(A2337,Studies!A:BR,2,FALSE),"")</f>
        <v>Kharasch 2004</v>
      </c>
      <c r="C2337" s="232" t="str">
        <f>IF(AND(A2337&lt;&gt;"",ISNUMBER(A2337)),VLOOKUP(A2337,Studies!A:BR,3,FALSE),"")</f>
        <v>https://www.ncbi.nlm.nih.gov/pubmed/15536460</v>
      </c>
      <c r="D2337" s="232" t="str">
        <f>IF(AND(A2337&lt;&gt;"",ISNUMBER(A2337)),VLOOKUP(A2337,Studies!A:BR,4,FALSE),"")</f>
        <v>iv with Perpetrator (Rifampicin)</v>
      </c>
      <c r="E2337" s="206" t="str">
        <f>IF(AND(A2337&lt;&gt;"",ISNUMBER(A2337)),VLOOKUP(A2337,Studies!A:BR,5,FALSE),"")</f>
        <v>Midazolam</v>
      </c>
      <c r="F2337" s="207" t="str">
        <f>IF(AND(A2337&lt;&gt;"",ISNUMBER(A2337)),VLOOKUP(A2337,Studies!A:BR,6,FALSE),"")</f>
        <v>Plasma</v>
      </c>
      <c r="G2337" s="194">
        <v>105.25</v>
      </c>
      <c r="H2337" s="194" t="s">
        <v>60</v>
      </c>
      <c r="I2337" s="187">
        <v>2.3499999046325684</v>
      </c>
      <c r="J2337" s="187" t="s">
        <v>1026</v>
      </c>
      <c r="K2337" s="187" t="s">
        <v>116</v>
      </c>
      <c r="L2337" s="195">
        <v>0.55000001192092896</v>
      </c>
      <c r="M2337" s="195" t="s">
        <v>1026</v>
      </c>
      <c r="N2337" s="195" t="s">
        <v>117</v>
      </c>
      <c r="O2337" s="199"/>
      <c r="P2337" s="188"/>
      <c r="Q2337" s="174">
        <f>IF(ISNUMBER(VLOOKUP(A2337,NotghiID!A:A,1,FALSE)),1,0)</f>
        <v>0</v>
      </c>
    </row>
    <row r="2338" spans="1:17" ht="14.25" x14ac:dyDescent="0.2">
      <c r="A2338" s="183">
        <v>280</v>
      </c>
      <c r="B2338" s="232" t="str">
        <f>IF(AND(A2338&lt;&gt;"",ISNUMBER(A2338)),VLOOKUP(A2338,Studies!A:BR,2,FALSE),"")</f>
        <v>Kharasch 2004</v>
      </c>
      <c r="C2338" s="232" t="str">
        <f>IF(AND(A2338&lt;&gt;"",ISNUMBER(A2338)),VLOOKUP(A2338,Studies!A:BR,3,FALSE),"")</f>
        <v>https://www.ncbi.nlm.nih.gov/pubmed/15536460</v>
      </c>
      <c r="D2338" s="232" t="str">
        <f>IF(AND(A2338&lt;&gt;"",ISNUMBER(A2338)),VLOOKUP(A2338,Studies!A:BR,4,FALSE),"")</f>
        <v>iv with Perpetrator (Rifampicin)</v>
      </c>
      <c r="E2338" s="206" t="str">
        <f>IF(AND(A2338&lt;&gt;"",ISNUMBER(A2338)),VLOOKUP(A2338,Studies!A:BR,5,FALSE),"")</f>
        <v>Midazolam</v>
      </c>
      <c r="F2338" s="207" t="str">
        <f>IF(AND(A2338&lt;&gt;"",ISNUMBER(A2338)),VLOOKUP(A2338,Studies!A:BR,6,FALSE),"")</f>
        <v>Plasma</v>
      </c>
      <c r="G2338" s="194">
        <v>105.75</v>
      </c>
      <c r="H2338" s="194" t="s">
        <v>60</v>
      </c>
      <c r="I2338" s="187">
        <v>1.6100000143051147</v>
      </c>
      <c r="J2338" s="187" t="s">
        <v>1026</v>
      </c>
      <c r="K2338" s="187" t="s">
        <v>116</v>
      </c>
      <c r="L2338" s="195">
        <v>0.40999999642372131</v>
      </c>
      <c r="M2338" s="195" t="s">
        <v>1026</v>
      </c>
      <c r="N2338" s="195" t="s">
        <v>117</v>
      </c>
      <c r="O2338" s="199"/>
      <c r="P2338" s="188"/>
      <c r="Q2338" s="174">
        <f>IF(ISNUMBER(VLOOKUP(A2338,NotghiID!A:A,1,FALSE)),1,0)</f>
        <v>0</v>
      </c>
    </row>
    <row r="2339" spans="1:17" ht="14.25" x14ac:dyDescent="0.2">
      <c r="A2339" s="183">
        <v>280</v>
      </c>
      <c r="B2339" s="232" t="str">
        <f>IF(AND(A2339&lt;&gt;"",ISNUMBER(A2339)),VLOOKUP(A2339,Studies!A:BR,2,FALSE),"")</f>
        <v>Kharasch 2004</v>
      </c>
      <c r="C2339" s="232" t="str">
        <f>IF(AND(A2339&lt;&gt;"",ISNUMBER(A2339)),VLOOKUP(A2339,Studies!A:BR,3,FALSE),"")</f>
        <v>https://www.ncbi.nlm.nih.gov/pubmed/15536460</v>
      </c>
      <c r="D2339" s="232" t="str">
        <f>IF(AND(A2339&lt;&gt;"",ISNUMBER(A2339)),VLOOKUP(A2339,Studies!A:BR,4,FALSE),"")</f>
        <v>iv with Perpetrator (Rifampicin)</v>
      </c>
      <c r="E2339" s="206" t="str">
        <f>IF(AND(A2339&lt;&gt;"",ISNUMBER(A2339)),VLOOKUP(A2339,Studies!A:BR,5,FALSE),"")</f>
        <v>Midazolam</v>
      </c>
      <c r="F2339" s="207" t="str">
        <f>IF(AND(A2339&lt;&gt;"",ISNUMBER(A2339)),VLOOKUP(A2339,Studies!A:BR,6,FALSE),"")</f>
        <v>Plasma</v>
      </c>
      <c r="G2339" s="194">
        <v>106</v>
      </c>
      <c r="H2339" s="194" t="s">
        <v>60</v>
      </c>
      <c r="I2339" s="187">
        <v>1.440000057220459</v>
      </c>
      <c r="J2339" s="187" t="s">
        <v>1026</v>
      </c>
      <c r="K2339" s="187" t="s">
        <v>116</v>
      </c>
      <c r="L2339" s="195">
        <v>0.45000001788139343</v>
      </c>
      <c r="M2339" s="195" t="s">
        <v>1026</v>
      </c>
      <c r="N2339" s="195" t="s">
        <v>117</v>
      </c>
      <c r="O2339" s="199"/>
      <c r="P2339" s="188"/>
      <c r="Q2339" s="174">
        <f>IF(ISNUMBER(VLOOKUP(A2339,NotghiID!A:A,1,FALSE)),1,0)</f>
        <v>0</v>
      </c>
    </row>
    <row r="2340" spans="1:17" ht="14.25" x14ac:dyDescent="0.2">
      <c r="A2340" s="183">
        <v>280</v>
      </c>
      <c r="B2340" s="232" t="str">
        <f>IF(AND(A2340&lt;&gt;"",ISNUMBER(A2340)),VLOOKUP(A2340,Studies!A:BR,2,FALSE),"")</f>
        <v>Kharasch 2004</v>
      </c>
      <c r="C2340" s="232" t="str">
        <f>IF(AND(A2340&lt;&gt;"",ISNUMBER(A2340)),VLOOKUP(A2340,Studies!A:BR,3,FALSE),"")</f>
        <v>https://www.ncbi.nlm.nih.gov/pubmed/15536460</v>
      </c>
      <c r="D2340" s="232" t="str">
        <f>IF(AND(A2340&lt;&gt;"",ISNUMBER(A2340)),VLOOKUP(A2340,Studies!A:BR,4,FALSE),"")</f>
        <v>iv with Perpetrator (Rifampicin)</v>
      </c>
      <c r="E2340" s="206" t="str">
        <f>IF(AND(A2340&lt;&gt;"",ISNUMBER(A2340)),VLOOKUP(A2340,Studies!A:BR,5,FALSE),"")</f>
        <v>Midazolam</v>
      </c>
      <c r="F2340" s="207" t="str">
        <f>IF(AND(A2340&lt;&gt;"",ISNUMBER(A2340)),VLOOKUP(A2340,Studies!A:BR,6,FALSE),"")</f>
        <v>Plasma</v>
      </c>
      <c r="G2340" s="194">
        <v>106.5</v>
      </c>
      <c r="H2340" s="194" t="s">
        <v>60</v>
      </c>
      <c r="I2340" s="187">
        <v>1.2200000286102295</v>
      </c>
      <c r="J2340" s="187" t="s">
        <v>1026</v>
      </c>
      <c r="K2340" s="187" t="s">
        <v>116</v>
      </c>
      <c r="L2340" s="195">
        <v>0.30000001192092896</v>
      </c>
      <c r="M2340" s="195" t="s">
        <v>1026</v>
      </c>
      <c r="N2340" s="195" t="s">
        <v>117</v>
      </c>
      <c r="O2340" s="199"/>
      <c r="P2340" s="188"/>
      <c r="Q2340" s="174">
        <f>IF(ISNUMBER(VLOOKUP(A2340,NotghiID!A:A,1,FALSE)),1,0)</f>
        <v>0</v>
      </c>
    </row>
    <row r="2341" spans="1:17" ht="14.25" x14ac:dyDescent="0.2">
      <c r="A2341" s="183">
        <v>280</v>
      </c>
      <c r="B2341" s="232" t="str">
        <f>IF(AND(A2341&lt;&gt;"",ISNUMBER(A2341)),VLOOKUP(A2341,Studies!A:BR,2,FALSE),"")</f>
        <v>Kharasch 2004</v>
      </c>
      <c r="C2341" s="232" t="str">
        <f>IF(AND(A2341&lt;&gt;"",ISNUMBER(A2341)),VLOOKUP(A2341,Studies!A:BR,3,FALSE),"")</f>
        <v>https://www.ncbi.nlm.nih.gov/pubmed/15536460</v>
      </c>
      <c r="D2341" s="232" t="str">
        <f>IF(AND(A2341&lt;&gt;"",ISNUMBER(A2341)),VLOOKUP(A2341,Studies!A:BR,4,FALSE),"")</f>
        <v>iv with Perpetrator (Rifampicin)</v>
      </c>
      <c r="E2341" s="206" t="str">
        <f>IF(AND(A2341&lt;&gt;"",ISNUMBER(A2341)),VLOOKUP(A2341,Studies!A:BR,5,FALSE),"")</f>
        <v>Midazolam</v>
      </c>
      <c r="F2341" s="207" t="str">
        <f>IF(AND(A2341&lt;&gt;"",ISNUMBER(A2341)),VLOOKUP(A2341,Studies!A:BR,6,FALSE),"")</f>
        <v>Plasma</v>
      </c>
      <c r="G2341" s="194">
        <v>107</v>
      </c>
      <c r="H2341" s="194" t="s">
        <v>60</v>
      </c>
      <c r="I2341" s="187">
        <v>1</v>
      </c>
      <c r="J2341" s="187" t="s">
        <v>1026</v>
      </c>
      <c r="K2341" s="187" t="s">
        <v>116</v>
      </c>
      <c r="L2341" s="195">
        <v>0.20000000298023224</v>
      </c>
      <c r="M2341" s="195" t="s">
        <v>1026</v>
      </c>
      <c r="N2341" s="195" t="s">
        <v>117</v>
      </c>
      <c r="O2341" s="199"/>
      <c r="P2341" s="188"/>
      <c r="Q2341" s="174">
        <f>IF(ISNUMBER(VLOOKUP(A2341,NotghiID!A:A,1,FALSE)),1,0)</f>
        <v>0</v>
      </c>
    </row>
    <row r="2342" spans="1:17" ht="14.25" x14ac:dyDescent="0.2">
      <c r="A2342" s="183">
        <v>280</v>
      </c>
      <c r="B2342" s="232" t="str">
        <f>IF(AND(A2342&lt;&gt;"",ISNUMBER(A2342)),VLOOKUP(A2342,Studies!A:BR,2,FALSE),"")</f>
        <v>Kharasch 2004</v>
      </c>
      <c r="C2342" s="232" t="str">
        <f>IF(AND(A2342&lt;&gt;"",ISNUMBER(A2342)),VLOOKUP(A2342,Studies!A:BR,3,FALSE),"")</f>
        <v>https://www.ncbi.nlm.nih.gov/pubmed/15536460</v>
      </c>
      <c r="D2342" s="232" t="str">
        <f>IF(AND(A2342&lt;&gt;"",ISNUMBER(A2342)),VLOOKUP(A2342,Studies!A:BR,4,FALSE),"")</f>
        <v>iv with Perpetrator (Rifampicin)</v>
      </c>
      <c r="E2342" s="206" t="str">
        <f>IF(AND(A2342&lt;&gt;"",ISNUMBER(A2342)),VLOOKUP(A2342,Studies!A:BR,5,FALSE),"")</f>
        <v>Midazolam</v>
      </c>
      <c r="F2342" s="207" t="str">
        <f>IF(AND(A2342&lt;&gt;"",ISNUMBER(A2342)),VLOOKUP(A2342,Studies!A:BR,6,FALSE),"")</f>
        <v>Plasma</v>
      </c>
      <c r="G2342" s="194">
        <v>107.5</v>
      </c>
      <c r="H2342" s="194" t="s">
        <v>60</v>
      </c>
      <c r="I2342" s="187">
        <v>0.70999997854232788</v>
      </c>
      <c r="J2342" s="187" t="s">
        <v>1026</v>
      </c>
      <c r="K2342" s="187" t="s">
        <v>116</v>
      </c>
      <c r="L2342" s="195">
        <v>0.20000000298023224</v>
      </c>
      <c r="M2342" s="195" t="s">
        <v>1026</v>
      </c>
      <c r="N2342" s="195" t="s">
        <v>117</v>
      </c>
      <c r="O2342" s="199"/>
      <c r="P2342" s="188"/>
      <c r="Q2342" s="174">
        <f>IF(ISNUMBER(VLOOKUP(A2342,NotghiID!A:A,1,FALSE)),1,0)</f>
        <v>0</v>
      </c>
    </row>
    <row r="2343" spans="1:17" ht="14.25" x14ac:dyDescent="0.2">
      <c r="A2343" s="183">
        <v>280</v>
      </c>
      <c r="B2343" s="232" t="str">
        <f>IF(AND(A2343&lt;&gt;"",ISNUMBER(A2343)),VLOOKUP(A2343,Studies!A:BR,2,FALSE),"")</f>
        <v>Kharasch 2004</v>
      </c>
      <c r="C2343" s="232" t="str">
        <f>IF(AND(A2343&lt;&gt;"",ISNUMBER(A2343)),VLOOKUP(A2343,Studies!A:BR,3,FALSE),"")</f>
        <v>https://www.ncbi.nlm.nih.gov/pubmed/15536460</v>
      </c>
      <c r="D2343" s="232" t="str">
        <f>IF(AND(A2343&lt;&gt;"",ISNUMBER(A2343)),VLOOKUP(A2343,Studies!A:BR,4,FALSE),"")</f>
        <v>iv with Perpetrator (Rifampicin)</v>
      </c>
      <c r="E2343" s="206" t="str">
        <f>IF(AND(A2343&lt;&gt;"",ISNUMBER(A2343)),VLOOKUP(A2343,Studies!A:BR,5,FALSE),"")</f>
        <v>Midazolam</v>
      </c>
      <c r="F2343" s="207" t="str">
        <f>IF(AND(A2343&lt;&gt;"",ISNUMBER(A2343)),VLOOKUP(A2343,Studies!A:BR,6,FALSE),"")</f>
        <v>Plasma</v>
      </c>
      <c r="G2343" s="194">
        <v>108</v>
      </c>
      <c r="H2343" s="194" t="s">
        <v>60</v>
      </c>
      <c r="I2343" s="187">
        <v>0.50999999046325684</v>
      </c>
      <c r="J2343" s="187" t="s">
        <v>1026</v>
      </c>
      <c r="K2343" s="187" t="s">
        <v>116</v>
      </c>
      <c r="L2343" s="195">
        <v>0.10000000149011612</v>
      </c>
      <c r="M2343" s="195" t="s">
        <v>1026</v>
      </c>
      <c r="N2343" s="195" t="s">
        <v>117</v>
      </c>
      <c r="O2343" s="199"/>
      <c r="P2343" s="188"/>
      <c r="Q2343" s="174">
        <f>IF(ISNUMBER(VLOOKUP(A2343,NotghiID!A:A,1,FALSE)),1,0)</f>
        <v>0</v>
      </c>
    </row>
    <row r="2344" spans="1:17" ht="14.25" x14ac:dyDescent="0.2">
      <c r="A2344" s="183">
        <v>280</v>
      </c>
      <c r="B2344" s="232" t="str">
        <f>IF(AND(A2344&lt;&gt;"",ISNUMBER(A2344)),VLOOKUP(A2344,Studies!A:BR,2,FALSE),"")</f>
        <v>Kharasch 2004</v>
      </c>
      <c r="C2344" s="232" t="str">
        <f>IF(AND(A2344&lt;&gt;"",ISNUMBER(A2344)),VLOOKUP(A2344,Studies!A:BR,3,FALSE),"")</f>
        <v>https://www.ncbi.nlm.nih.gov/pubmed/15536460</v>
      </c>
      <c r="D2344" s="232" t="str">
        <f>IF(AND(A2344&lt;&gt;"",ISNUMBER(A2344)),VLOOKUP(A2344,Studies!A:BR,4,FALSE),"")</f>
        <v>iv with Perpetrator (Rifampicin)</v>
      </c>
      <c r="E2344" s="206" t="str">
        <f>IF(AND(A2344&lt;&gt;"",ISNUMBER(A2344)),VLOOKUP(A2344,Studies!A:BR,5,FALSE),"")</f>
        <v>Midazolam</v>
      </c>
      <c r="F2344" s="207" t="str">
        <f>IF(AND(A2344&lt;&gt;"",ISNUMBER(A2344)),VLOOKUP(A2344,Studies!A:BR,6,FALSE),"")</f>
        <v>Plasma</v>
      </c>
      <c r="G2344" s="194">
        <v>109</v>
      </c>
      <c r="H2344" s="194" t="s">
        <v>60</v>
      </c>
      <c r="I2344" s="187">
        <v>0.40000000596046448</v>
      </c>
      <c r="J2344" s="187" t="s">
        <v>1026</v>
      </c>
      <c r="K2344" s="187" t="s">
        <v>116</v>
      </c>
      <c r="L2344" s="195">
        <v>0.10000000149011612</v>
      </c>
      <c r="M2344" s="195" t="s">
        <v>1026</v>
      </c>
      <c r="N2344" s="195" t="s">
        <v>117</v>
      </c>
      <c r="O2344" s="199"/>
      <c r="P2344" s="188"/>
      <c r="Q2344" s="174">
        <f>IF(ISNUMBER(VLOOKUP(A2344,NotghiID!A:A,1,FALSE)),1,0)</f>
        <v>0</v>
      </c>
    </row>
    <row r="2345" spans="1:17" ht="14.25" x14ac:dyDescent="0.2">
      <c r="A2345" s="183">
        <v>280</v>
      </c>
      <c r="B2345" s="232" t="str">
        <f>IF(AND(A2345&lt;&gt;"",ISNUMBER(A2345)),VLOOKUP(A2345,Studies!A:BR,2,FALSE),"")</f>
        <v>Kharasch 2004</v>
      </c>
      <c r="C2345" s="232" t="str">
        <f>IF(AND(A2345&lt;&gt;"",ISNUMBER(A2345)),VLOOKUP(A2345,Studies!A:BR,3,FALSE),"")</f>
        <v>https://www.ncbi.nlm.nih.gov/pubmed/15536460</v>
      </c>
      <c r="D2345" s="232" t="str">
        <f>IF(AND(A2345&lt;&gt;"",ISNUMBER(A2345)),VLOOKUP(A2345,Studies!A:BR,4,FALSE),"")</f>
        <v>iv with Perpetrator (Rifampicin)</v>
      </c>
      <c r="E2345" s="206" t="str">
        <f>IF(AND(A2345&lt;&gt;"",ISNUMBER(A2345)),VLOOKUP(A2345,Studies!A:BR,5,FALSE),"")</f>
        <v>Midazolam</v>
      </c>
      <c r="F2345" s="207" t="str">
        <f>IF(AND(A2345&lt;&gt;"",ISNUMBER(A2345)),VLOOKUP(A2345,Studies!A:BR,6,FALSE),"")</f>
        <v>Plasma</v>
      </c>
      <c r="G2345" s="194">
        <v>110</v>
      </c>
      <c r="H2345" s="194" t="s">
        <v>60</v>
      </c>
      <c r="I2345" s="187">
        <v>0.30000001192092896</v>
      </c>
      <c r="J2345" s="187" t="s">
        <v>1026</v>
      </c>
      <c r="K2345" s="187" t="s">
        <v>116</v>
      </c>
      <c r="L2345" s="195">
        <v>0.10000000149011612</v>
      </c>
      <c r="M2345" s="195" t="s">
        <v>1026</v>
      </c>
      <c r="N2345" s="195" t="s">
        <v>117</v>
      </c>
      <c r="O2345" s="199"/>
      <c r="P2345" s="188"/>
      <c r="Q2345" s="174">
        <f>IF(ISNUMBER(VLOOKUP(A2345,NotghiID!A:A,1,FALSE)),1,0)</f>
        <v>0</v>
      </c>
    </row>
    <row r="2346" spans="1:17" ht="14.25" x14ac:dyDescent="0.2">
      <c r="A2346" s="183">
        <v>285</v>
      </c>
      <c r="B2346" s="232" t="str">
        <f>IF(AND(A2346&lt;&gt;"",ISNUMBER(A2346)),VLOOKUP(A2346,Studies!A:BR,2,FALSE),"")</f>
        <v>Kharasch 2004</v>
      </c>
      <c r="C2346" s="232" t="str">
        <f>IF(AND(A2346&lt;&gt;"",ISNUMBER(A2346)),VLOOKUP(A2346,Studies!A:BR,3,FALSE),"")</f>
        <v>https://www.ncbi.nlm.nih.gov/pubmed/15536460</v>
      </c>
      <c r="D2346" s="232" t="str">
        <f>IF(AND(A2346&lt;&gt;"",ISNUMBER(A2346)),VLOOKUP(A2346,Studies!A:BR,4,FALSE),"")</f>
        <v>po #1 Control (Perpetrator Placebo)</v>
      </c>
      <c r="E2346" s="206" t="str">
        <f>IF(AND(A2346&lt;&gt;"",ISNUMBER(A2346)),VLOOKUP(A2346,Studies!A:BR,5,FALSE),"")</f>
        <v>Midazolam</v>
      </c>
      <c r="F2346" s="207" t="str">
        <f>IF(AND(A2346&lt;&gt;"",ISNUMBER(A2346)),VLOOKUP(A2346,Studies!A:BR,6,FALSE),"")</f>
        <v>Plasma</v>
      </c>
      <c r="G2346" s="194">
        <v>8.3333333333333329E-2</v>
      </c>
      <c r="H2346" s="194" t="s">
        <v>60</v>
      </c>
      <c r="I2346" s="187">
        <v>2</v>
      </c>
      <c r="J2346" s="187" t="s">
        <v>1026</v>
      </c>
      <c r="K2346" s="187" t="s">
        <v>116</v>
      </c>
      <c r="L2346" s="195">
        <v>2.059999942779541</v>
      </c>
      <c r="M2346" s="195" t="s">
        <v>1026</v>
      </c>
      <c r="N2346" s="195" t="s">
        <v>117</v>
      </c>
      <c r="O2346" s="199"/>
      <c r="P2346" s="188"/>
      <c r="Q2346" s="174">
        <f>IF(ISNUMBER(VLOOKUP(A2346,NotghiID!A:A,1,FALSE)),1,0)</f>
        <v>0</v>
      </c>
    </row>
    <row r="2347" spans="1:17" ht="14.25" x14ac:dyDescent="0.2">
      <c r="A2347" s="183">
        <v>285</v>
      </c>
      <c r="B2347" s="232" t="str">
        <f>IF(AND(A2347&lt;&gt;"",ISNUMBER(A2347)),VLOOKUP(A2347,Studies!A:BR,2,FALSE),"")</f>
        <v>Kharasch 2004</v>
      </c>
      <c r="C2347" s="232" t="str">
        <f>IF(AND(A2347&lt;&gt;"",ISNUMBER(A2347)),VLOOKUP(A2347,Studies!A:BR,3,FALSE),"")</f>
        <v>https://www.ncbi.nlm.nih.gov/pubmed/15536460</v>
      </c>
      <c r="D2347" s="232" t="str">
        <f>IF(AND(A2347&lt;&gt;"",ISNUMBER(A2347)),VLOOKUP(A2347,Studies!A:BR,4,FALSE),"")</f>
        <v>po #1 Control (Perpetrator Placebo)</v>
      </c>
      <c r="E2347" s="206" t="str">
        <f>IF(AND(A2347&lt;&gt;"",ISNUMBER(A2347)),VLOOKUP(A2347,Studies!A:BR,5,FALSE),"")</f>
        <v>Midazolam</v>
      </c>
      <c r="F2347" s="207" t="str">
        <f>IF(AND(A2347&lt;&gt;"",ISNUMBER(A2347)),VLOOKUP(A2347,Studies!A:BR,6,FALSE),"")</f>
        <v>Plasma</v>
      </c>
      <c r="G2347" s="194">
        <v>0.25</v>
      </c>
      <c r="H2347" s="194" t="s">
        <v>60</v>
      </c>
      <c r="I2347" s="187">
        <v>5.059999942779541</v>
      </c>
      <c r="J2347" s="187" t="s">
        <v>1026</v>
      </c>
      <c r="K2347" s="187" t="s">
        <v>116</v>
      </c>
      <c r="L2347" s="195">
        <v>4.0499997138977051</v>
      </c>
      <c r="M2347" s="195" t="s">
        <v>1026</v>
      </c>
      <c r="N2347" s="195" t="s">
        <v>117</v>
      </c>
      <c r="O2347" s="199"/>
      <c r="P2347" s="188"/>
      <c r="Q2347" s="174">
        <f>IF(ISNUMBER(VLOOKUP(A2347,NotghiID!A:A,1,FALSE)),1,0)</f>
        <v>0</v>
      </c>
    </row>
    <row r="2348" spans="1:17" ht="14.25" x14ac:dyDescent="0.2">
      <c r="A2348" s="183">
        <v>285</v>
      </c>
      <c r="B2348" s="232" t="str">
        <f>IF(AND(A2348&lt;&gt;"",ISNUMBER(A2348)),VLOOKUP(A2348,Studies!A:BR,2,FALSE),"")</f>
        <v>Kharasch 2004</v>
      </c>
      <c r="C2348" s="232" t="str">
        <f>IF(AND(A2348&lt;&gt;"",ISNUMBER(A2348)),VLOOKUP(A2348,Studies!A:BR,3,FALSE),"")</f>
        <v>https://www.ncbi.nlm.nih.gov/pubmed/15536460</v>
      </c>
      <c r="D2348" s="232" t="str">
        <f>IF(AND(A2348&lt;&gt;"",ISNUMBER(A2348)),VLOOKUP(A2348,Studies!A:BR,4,FALSE),"")</f>
        <v>po #1 Control (Perpetrator Placebo)</v>
      </c>
      <c r="E2348" s="206" t="str">
        <f>IF(AND(A2348&lt;&gt;"",ISNUMBER(A2348)),VLOOKUP(A2348,Studies!A:BR,5,FALSE),"")</f>
        <v>Midazolam</v>
      </c>
      <c r="F2348" s="207" t="str">
        <f>IF(AND(A2348&lt;&gt;"",ISNUMBER(A2348)),VLOOKUP(A2348,Studies!A:BR,6,FALSE),"")</f>
        <v>Plasma</v>
      </c>
      <c r="G2348" s="194">
        <v>0.5</v>
      </c>
      <c r="H2348" s="194" t="s">
        <v>60</v>
      </c>
      <c r="I2348" s="187">
        <v>7.440000057220459</v>
      </c>
      <c r="J2348" s="187" t="s">
        <v>1026</v>
      </c>
      <c r="K2348" s="187" t="s">
        <v>116</v>
      </c>
      <c r="L2348" s="195">
        <v>3.6600000858306885</v>
      </c>
      <c r="M2348" s="195" t="s">
        <v>1026</v>
      </c>
      <c r="N2348" s="195" t="s">
        <v>117</v>
      </c>
      <c r="O2348" s="199"/>
      <c r="P2348" s="188"/>
      <c r="Q2348" s="174">
        <f>IF(ISNUMBER(VLOOKUP(A2348,NotghiID!A:A,1,FALSE)),1,0)</f>
        <v>0</v>
      </c>
    </row>
    <row r="2349" spans="1:17" ht="14.25" x14ac:dyDescent="0.2">
      <c r="A2349" s="183">
        <v>285</v>
      </c>
      <c r="B2349" s="232" t="str">
        <f>IF(AND(A2349&lt;&gt;"",ISNUMBER(A2349)),VLOOKUP(A2349,Studies!A:BR,2,FALSE),"")</f>
        <v>Kharasch 2004</v>
      </c>
      <c r="C2349" s="232" t="str">
        <f>IF(AND(A2349&lt;&gt;"",ISNUMBER(A2349)),VLOOKUP(A2349,Studies!A:BR,3,FALSE),"")</f>
        <v>https://www.ncbi.nlm.nih.gov/pubmed/15536460</v>
      </c>
      <c r="D2349" s="232" t="str">
        <f>IF(AND(A2349&lt;&gt;"",ISNUMBER(A2349)),VLOOKUP(A2349,Studies!A:BR,4,FALSE),"")</f>
        <v>po #1 Control (Perpetrator Placebo)</v>
      </c>
      <c r="E2349" s="206" t="str">
        <f>IF(AND(A2349&lt;&gt;"",ISNUMBER(A2349)),VLOOKUP(A2349,Studies!A:BR,5,FALSE),"")</f>
        <v>Midazolam</v>
      </c>
      <c r="F2349" s="207" t="str">
        <f>IF(AND(A2349&lt;&gt;"",ISNUMBER(A2349)),VLOOKUP(A2349,Studies!A:BR,6,FALSE),"")</f>
        <v>Plasma</v>
      </c>
      <c r="G2349" s="194">
        <v>1</v>
      </c>
      <c r="H2349" s="194" t="s">
        <v>60</v>
      </c>
      <c r="I2349" s="187">
        <v>6.1700000762939453</v>
      </c>
      <c r="J2349" s="187" t="s">
        <v>1026</v>
      </c>
      <c r="K2349" s="187" t="s">
        <v>116</v>
      </c>
      <c r="L2349" s="195">
        <v>1.1599999666213989</v>
      </c>
      <c r="M2349" s="195" t="s">
        <v>1026</v>
      </c>
      <c r="N2349" s="195" t="s">
        <v>117</v>
      </c>
      <c r="O2349" s="199"/>
      <c r="P2349" s="188"/>
      <c r="Q2349" s="174">
        <f>IF(ISNUMBER(VLOOKUP(A2349,NotghiID!A:A,1,FALSE)),1,0)</f>
        <v>0</v>
      </c>
    </row>
    <row r="2350" spans="1:17" ht="14.25" x14ac:dyDescent="0.2">
      <c r="A2350" s="183">
        <v>285</v>
      </c>
      <c r="B2350" s="232" t="str">
        <f>IF(AND(A2350&lt;&gt;"",ISNUMBER(A2350)),VLOOKUP(A2350,Studies!A:BR,2,FALSE),"")</f>
        <v>Kharasch 2004</v>
      </c>
      <c r="C2350" s="232" t="str">
        <f>IF(AND(A2350&lt;&gt;"",ISNUMBER(A2350)),VLOOKUP(A2350,Studies!A:BR,3,FALSE),"")</f>
        <v>https://www.ncbi.nlm.nih.gov/pubmed/15536460</v>
      </c>
      <c r="D2350" s="232" t="str">
        <f>IF(AND(A2350&lt;&gt;"",ISNUMBER(A2350)),VLOOKUP(A2350,Studies!A:BR,4,FALSE),"")</f>
        <v>po #1 Control (Perpetrator Placebo)</v>
      </c>
      <c r="E2350" s="206" t="str">
        <f>IF(AND(A2350&lt;&gt;"",ISNUMBER(A2350)),VLOOKUP(A2350,Studies!A:BR,5,FALSE),"")</f>
        <v>Midazolam</v>
      </c>
      <c r="F2350" s="207" t="str">
        <f>IF(AND(A2350&lt;&gt;"",ISNUMBER(A2350)),VLOOKUP(A2350,Studies!A:BR,6,FALSE),"")</f>
        <v>Plasma</v>
      </c>
      <c r="G2350" s="194">
        <v>1.25</v>
      </c>
      <c r="H2350" s="194" t="s">
        <v>60</v>
      </c>
      <c r="I2350" s="187">
        <v>5.75</v>
      </c>
      <c r="J2350" s="187" t="s">
        <v>1026</v>
      </c>
      <c r="K2350" s="187" t="s">
        <v>116</v>
      </c>
      <c r="L2350" s="195">
        <v>2.1700000762939453</v>
      </c>
      <c r="M2350" s="195" t="s">
        <v>1026</v>
      </c>
      <c r="N2350" s="195" t="s">
        <v>117</v>
      </c>
      <c r="O2350" s="199"/>
      <c r="P2350" s="188"/>
      <c r="Q2350" s="174">
        <f>IF(ISNUMBER(VLOOKUP(A2350,NotghiID!A:A,1,FALSE)),1,0)</f>
        <v>0</v>
      </c>
    </row>
    <row r="2351" spans="1:17" ht="14.25" x14ac:dyDescent="0.2">
      <c r="A2351" s="183">
        <v>285</v>
      </c>
      <c r="B2351" s="232" t="str">
        <f>IF(AND(A2351&lt;&gt;"",ISNUMBER(A2351)),VLOOKUP(A2351,Studies!A:BR,2,FALSE),"")</f>
        <v>Kharasch 2004</v>
      </c>
      <c r="C2351" s="232" t="str">
        <f>IF(AND(A2351&lt;&gt;"",ISNUMBER(A2351)),VLOOKUP(A2351,Studies!A:BR,3,FALSE),"")</f>
        <v>https://www.ncbi.nlm.nih.gov/pubmed/15536460</v>
      </c>
      <c r="D2351" s="232" t="str">
        <f>IF(AND(A2351&lt;&gt;"",ISNUMBER(A2351)),VLOOKUP(A2351,Studies!A:BR,4,FALSE),"")</f>
        <v>po #1 Control (Perpetrator Placebo)</v>
      </c>
      <c r="E2351" s="206" t="str">
        <f>IF(AND(A2351&lt;&gt;"",ISNUMBER(A2351)),VLOOKUP(A2351,Studies!A:BR,5,FALSE),"")</f>
        <v>Midazolam</v>
      </c>
      <c r="F2351" s="207" t="str">
        <f>IF(AND(A2351&lt;&gt;"",ISNUMBER(A2351)),VLOOKUP(A2351,Studies!A:BR,6,FALSE),"")</f>
        <v>Plasma</v>
      </c>
      <c r="G2351" s="194">
        <v>1.5</v>
      </c>
      <c r="H2351" s="194" t="s">
        <v>60</v>
      </c>
      <c r="I2351" s="187">
        <v>4.3899998664855957</v>
      </c>
      <c r="J2351" s="187" t="s">
        <v>1026</v>
      </c>
      <c r="K2351" s="187" t="s">
        <v>116</v>
      </c>
      <c r="L2351" s="195">
        <v>1.0499999523162842</v>
      </c>
      <c r="M2351" s="195" t="s">
        <v>1026</v>
      </c>
      <c r="N2351" s="195" t="s">
        <v>117</v>
      </c>
      <c r="O2351" s="199"/>
      <c r="P2351" s="188"/>
      <c r="Q2351" s="174">
        <f>IF(ISNUMBER(VLOOKUP(A2351,NotghiID!A:A,1,FALSE)),1,0)</f>
        <v>0</v>
      </c>
    </row>
    <row r="2352" spans="1:17" ht="14.25" x14ac:dyDescent="0.2">
      <c r="A2352" s="183">
        <v>285</v>
      </c>
      <c r="B2352" s="232" t="str">
        <f>IF(AND(A2352&lt;&gt;"",ISNUMBER(A2352)),VLOOKUP(A2352,Studies!A:BR,2,FALSE),"")</f>
        <v>Kharasch 2004</v>
      </c>
      <c r="C2352" s="232" t="str">
        <f>IF(AND(A2352&lt;&gt;"",ISNUMBER(A2352)),VLOOKUP(A2352,Studies!A:BR,3,FALSE),"")</f>
        <v>https://www.ncbi.nlm.nih.gov/pubmed/15536460</v>
      </c>
      <c r="D2352" s="232" t="str">
        <f>IF(AND(A2352&lt;&gt;"",ISNUMBER(A2352)),VLOOKUP(A2352,Studies!A:BR,4,FALSE),"")</f>
        <v>po #1 Control (Perpetrator Placebo)</v>
      </c>
      <c r="E2352" s="206" t="str">
        <f>IF(AND(A2352&lt;&gt;"",ISNUMBER(A2352)),VLOOKUP(A2352,Studies!A:BR,5,FALSE),"")</f>
        <v>Midazolam</v>
      </c>
      <c r="F2352" s="207" t="str">
        <f>IF(AND(A2352&lt;&gt;"",ISNUMBER(A2352)),VLOOKUP(A2352,Studies!A:BR,6,FALSE),"")</f>
        <v>Plasma</v>
      </c>
      <c r="G2352" s="194">
        <v>1.75</v>
      </c>
      <c r="H2352" s="194" t="s">
        <v>60</v>
      </c>
      <c r="I2352" s="187">
        <v>3.9699997901916504</v>
      </c>
      <c r="J2352" s="187" t="s">
        <v>1026</v>
      </c>
      <c r="K2352" s="187" t="s">
        <v>116</v>
      </c>
      <c r="L2352" s="195">
        <v>0.96999996900558472</v>
      </c>
      <c r="M2352" s="195" t="s">
        <v>1026</v>
      </c>
      <c r="N2352" s="195" t="s">
        <v>117</v>
      </c>
      <c r="O2352" s="199"/>
      <c r="P2352" s="188"/>
      <c r="Q2352" s="174">
        <f>IF(ISNUMBER(VLOOKUP(A2352,NotghiID!A:A,1,FALSE)),1,0)</f>
        <v>0</v>
      </c>
    </row>
    <row r="2353" spans="1:17" ht="14.25" x14ac:dyDescent="0.2">
      <c r="A2353" s="183">
        <v>285</v>
      </c>
      <c r="B2353" s="232" t="str">
        <f>IF(AND(A2353&lt;&gt;"",ISNUMBER(A2353)),VLOOKUP(A2353,Studies!A:BR,2,FALSE),"")</f>
        <v>Kharasch 2004</v>
      </c>
      <c r="C2353" s="232" t="str">
        <f>IF(AND(A2353&lt;&gt;"",ISNUMBER(A2353)),VLOOKUP(A2353,Studies!A:BR,3,FALSE),"")</f>
        <v>https://www.ncbi.nlm.nih.gov/pubmed/15536460</v>
      </c>
      <c r="D2353" s="232" t="str">
        <f>IF(AND(A2353&lt;&gt;"",ISNUMBER(A2353)),VLOOKUP(A2353,Studies!A:BR,4,FALSE),"")</f>
        <v>po #1 Control (Perpetrator Placebo)</v>
      </c>
      <c r="E2353" s="206" t="str">
        <f>IF(AND(A2353&lt;&gt;"",ISNUMBER(A2353)),VLOOKUP(A2353,Studies!A:BR,5,FALSE),"")</f>
        <v>Midazolam</v>
      </c>
      <c r="F2353" s="207" t="str">
        <f>IF(AND(A2353&lt;&gt;"",ISNUMBER(A2353)),VLOOKUP(A2353,Studies!A:BR,6,FALSE),"")</f>
        <v>Plasma</v>
      </c>
      <c r="G2353" s="194">
        <v>2</v>
      </c>
      <c r="H2353" s="194" t="s">
        <v>60</v>
      </c>
      <c r="I2353" s="187">
        <v>3.5800001621246338</v>
      </c>
      <c r="J2353" s="187" t="s">
        <v>1026</v>
      </c>
      <c r="K2353" s="187" t="s">
        <v>116</v>
      </c>
      <c r="L2353" s="195">
        <v>0.89000004529953003</v>
      </c>
      <c r="M2353" s="195" t="s">
        <v>1026</v>
      </c>
      <c r="N2353" s="195" t="s">
        <v>117</v>
      </c>
      <c r="O2353" s="199"/>
      <c r="P2353" s="188"/>
      <c r="Q2353" s="174">
        <f>IF(ISNUMBER(VLOOKUP(A2353,NotghiID!A:A,1,FALSE)),1,0)</f>
        <v>0</v>
      </c>
    </row>
    <row r="2354" spans="1:17" ht="14.25" x14ac:dyDescent="0.2">
      <c r="A2354" s="183">
        <v>285</v>
      </c>
      <c r="B2354" s="232" t="str">
        <f>IF(AND(A2354&lt;&gt;"",ISNUMBER(A2354)),VLOOKUP(A2354,Studies!A:BR,2,FALSE),"")</f>
        <v>Kharasch 2004</v>
      </c>
      <c r="C2354" s="232" t="str">
        <f>IF(AND(A2354&lt;&gt;"",ISNUMBER(A2354)),VLOOKUP(A2354,Studies!A:BR,3,FALSE),"")</f>
        <v>https://www.ncbi.nlm.nih.gov/pubmed/15536460</v>
      </c>
      <c r="D2354" s="232" t="str">
        <f>IF(AND(A2354&lt;&gt;"",ISNUMBER(A2354)),VLOOKUP(A2354,Studies!A:BR,4,FALSE),"")</f>
        <v>po #1 Control (Perpetrator Placebo)</v>
      </c>
      <c r="E2354" s="206" t="str">
        <f>IF(AND(A2354&lt;&gt;"",ISNUMBER(A2354)),VLOOKUP(A2354,Studies!A:BR,5,FALSE),"")</f>
        <v>Midazolam</v>
      </c>
      <c r="F2354" s="207" t="str">
        <f>IF(AND(A2354&lt;&gt;"",ISNUMBER(A2354)),VLOOKUP(A2354,Studies!A:BR,6,FALSE),"")</f>
        <v>Plasma</v>
      </c>
      <c r="G2354" s="194">
        <v>2.5</v>
      </c>
      <c r="H2354" s="194" t="s">
        <v>60</v>
      </c>
      <c r="I2354" s="187">
        <v>2.690000057220459</v>
      </c>
      <c r="J2354" s="187" t="s">
        <v>1026</v>
      </c>
      <c r="K2354" s="187" t="s">
        <v>116</v>
      </c>
      <c r="L2354" s="195">
        <v>0.67000001668930054</v>
      </c>
      <c r="M2354" s="195" t="s">
        <v>1026</v>
      </c>
      <c r="N2354" s="195" t="s">
        <v>117</v>
      </c>
      <c r="O2354" s="199"/>
      <c r="P2354" s="188"/>
      <c r="Q2354" s="174">
        <f>IF(ISNUMBER(VLOOKUP(A2354,NotghiID!A:A,1,FALSE)),1,0)</f>
        <v>0</v>
      </c>
    </row>
    <row r="2355" spans="1:17" ht="14.25" x14ac:dyDescent="0.2">
      <c r="A2355" s="183">
        <v>285</v>
      </c>
      <c r="B2355" s="232" t="str">
        <f>IF(AND(A2355&lt;&gt;"",ISNUMBER(A2355)),VLOOKUP(A2355,Studies!A:BR,2,FALSE),"")</f>
        <v>Kharasch 2004</v>
      </c>
      <c r="C2355" s="232" t="str">
        <f>IF(AND(A2355&lt;&gt;"",ISNUMBER(A2355)),VLOOKUP(A2355,Studies!A:BR,3,FALSE),"")</f>
        <v>https://www.ncbi.nlm.nih.gov/pubmed/15536460</v>
      </c>
      <c r="D2355" s="232" t="str">
        <f>IF(AND(A2355&lt;&gt;"",ISNUMBER(A2355)),VLOOKUP(A2355,Studies!A:BR,4,FALSE),"")</f>
        <v>po #1 Control (Perpetrator Placebo)</v>
      </c>
      <c r="E2355" s="206" t="str">
        <f>IF(AND(A2355&lt;&gt;"",ISNUMBER(A2355)),VLOOKUP(A2355,Studies!A:BR,5,FALSE),"")</f>
        <v>Midazolam</v>
      </c>
      <c r="F2355" s="207" t="str">
        <f>IF(AND(A2355&lt;&gt;"",ISNUMBER(A2355)),VLOOKUP(A2355,Studies!A:BR,6,FALSE),"")</f>
        <v>Plasma</v>
      </c>
      <c r="G2355" s="194">
        <v>3</v>
      </c>
      <c r="H2355" s="194" t="s">
        <v>60</v>
      </c>
      <c r="I2355" s="187">
        <v>2.5</v>
      </c>
      <c r="J2355" s="187" t="s">
        <v>1026</v>
      </c>
      <c r="K2355" s="187" t="s">
        <v>116</v>
      </c>
      <c r="L2355" s="195">
        <v>0.78000003099441528</v>
      </c>
      <c r="M2355" s="195" t="s">
        <v>1026</v>
      </c>
      <c r="N2355" s="195" t="s">
        <v>117</v>
      </c>
      <c r="O2355" s="199"/>
      <c r="P2355" s="188"/>
      <c r="Q2355" s="174">
        <f>IF(ISNUMBER(VLOOKUP(A2355,NotghiID!A:A,1,FALSE)),1,0)</f>
        <v>0</v>
      </c>
    </row>
    <row r="2356" spans="1:17" ht="14.25" x14ac:dyDescent="0.2">
      <c r="A2356" s="183">
        <v>285</v>
      </c>
      <c r="B2356" s="232" t="str">
        <f>IF(AND(A2356&lt;&gt;"",ISNUMBER(A2356)),VLOOKUP(A2356,Studies!A:BR,2,FALSE),"")</f>
        <v>Kharasch 2004</v>
      </c>
      <c r="C2356" s="232" t="str">
        <f>IF(AND(A2356&lt;&gt;"",ISNUMBER(A2356)),VLOOKUP(A2356,Studies!A:BR,3,FALSE),"")</f>
        <v>https://www.ncbi.nlm.nih.gov/pubmed/15536460</v>
      </c>
      <c r="D2356" s="232" t="str">
        <f>IF(AND(A2356&lt;&gt;"",ISNUMBER(A2356)),VLOOKUP(A2356,Studies!A:BR,4,FALSE),"")</f>
        <v>po #1 Control (Perpetrator Placebo)</v>
      </c>
      <c r="E2356" s="206" t="str">
        <f>IF(AND(A2356&lt;&gt;"",ISNUMBER(A2356)),VLOOKUP(A2356,Studies!A:BR,5,FALSE),"")</f>
        <v>Midazolam</v>
      </c>
      <c r="F2356" s="207" t="str">
        <f>IF(AND(A2356&lt;&gt;"",ISNUMBER(A2356)),VLOOKUP(A2356,Studies!A:BR,6,FALSE),"")</f>
        <v>Plasma</v>
      </c>
      <c r="G2356" s="194">
        <v>4</v>
      </c>
      <c r="H2356" s="194" t="s">
        <v>60</v>
      </c>
      <c r="I2356" s="187">
        <v>1.690000057220459</v>
      </c>
      <c r="J2356" s="187" t="s">
        <v>1026</v>
      </c>
      <c r="K2356" s="187" t="s">
        <v>116</v>
      </c>
      <c r="L2356" s="195">
        <v>0.5899999737739563</v>
      </c>
      <c r="M2356" s="195" t="s">
        <v>1026</v>
      </c>
      <c r="N2356" s="195" t="s">
        <v>117</v>
      </c>
      <c r="O2356" s="199"/>
      <c r="P2356" s="188"/>
      <c r="Q2356" s="174">
        <f>IF(ISNUMBER(VLOOKUP(A2356,NotghiID!A:A,1,FALSE)),1,0)</f>
        <v>0</v>
      </c>
    </row>
    <row r="2357" spans="1:17" ht="14.25" x14ac:dyDescent="0.2">
      <c r="A2357" s="183">
        <v>285</v>
      </c>
      <c r="B2357" s="232" t="str">
        <f>IF(AND(A2357&lt;&gt;"",ISNUMBER(A2357)),VLOOKUP(A2357,Studies!A:BR,2,FALSE),"")</f>
        <v>Kharasch 2004</v>
      </c>
      <c r="C2357" s="232" t="str">
        <f>IF(AND(A2357&lt;&gt;"",ISNUMBER(A2357)),VLOOKUP(A2357,Studies!A:BR,3,FALSE),"")</f>
        <v>https://www.ncbi.nlm.nih.gov/pubmed/15536460</v>
      </c>
      <c r="D2357" s="232" t="str">
        <f>IF(AND(A2357&lt;&gt;"",ISNUMBER(A2357)),VLOOKUP(A2357,Studies!A:BR,4,FALSE),"")</f>
        <v>po #1 Control (Perpetrator Placebo)</v>
      </c>
      <c r="E2357" s="206" t="str">
        <f>IF(AND(A2357&lt;&gt;"",ISNUMBER(A2357)),VLOOKUP(A2357,Studies!A:BR,5,FALSE),"")</f>
        <v>Midazolam</v>
      </c>
      <c r="F2357" s="207" t="str">
        <f>IF(AND(A2357&lt;&gt;"",ISNUMBER(A2357)),VLOOKUP(A2357,Studies!A:BR,6,FALSE),"")</f>
        <v>Plasma</v>
      </c>
      <c r="G2357" s="194">
        <v>5</v>
      </c>
      <c r="H2357" s="194" t="s">
        <v>60</v>
      </c>
      <c r="I2357" s="187">
        <v>1.309999942779541</v>
      </c>
      <c r="J2357" s="187" t="s">
        <v>1026</v>
      </c>
      <c r="K2357" s="187" t="s">
        <v>116</v>
      </c>
      <c r="L2357" s="195">
        <v>0.37999999523162842</v>
      </c>
      <c r="M2357" s="195" t="s">
        <v>1026</v>
      </c>
      <c r="N2357" s="195" t="s">
        <v>117</v>
      </c>
      <c r="O2357" s="199"/>
      <c r="P2357" s="188"/>
      <c r="Q2357" s="174">
        <f>IF(ISNUMBER(VLOOKUP(A2357,NotghiID!A:A,1,FALSE)),1,0)</f>
        <v>0</v>
      </c>
    </row>
    <row r="2358" spans="1:17" ht="14.25" x14ac:dyDescent="0.2">
      <c r="A2358" s="183">
        <v>285</v>
      </c>
      <c r="B2358" s="232" t="str">
        <f>IF(AND(A2358&lt;&gt;"",ISNUMBER(A2358)),VLOOKUP(A2358,Studies!A:BR,2,FALSE),"")</f>
        <v>Kharasch 2004</v>
      </c>
      <c r="C2358" s="232" t="str">
        <f>IF(AND(A2358&lt;&gt;"",ISNUMBER(A2358)),VLOOKUP(A2358,Studies!A:BR,3,FALSE),"")</f>
        <v>https://www.ncbi.nlm.nih.gov/pubmed/15536460</v>
      </c>
      <c r="D2358" s="232" t="str">
        <f>IF(AND(A2358&lt;&gt;"",ISNUMBER(A2358)),VLOOKUP(A2358,Studies!A:BR,4,FALSE),"")</f>
        <v>po #1 Control (Perpetrator Placebo)</v>
      </c>
      <c r="E2358" s="206" t="str">
        <f>IF(AND(A2358&lt;&gt;"",ISNUMBER(A2358)),VLOOKUP(A2358,Studies!A:BR,5,FALSE),"")</f>
        <v>Midazolam</v>
      </c>
      <c r="F2358" s="207" t="str">
        <f>IF(AND(A2358&lt;&gt;"",ISNUMBER(A2358)),VLOOKUP(A2358,Studies!A:BR,6,FALSE),"")</f>
        <v>Plasma</v>
      </c>
      <c r="G2358" s="194">
        <v>6</v>
      </c>
      <c r="H2358" s="194" t="s">
        <v>60</v>
      </c>
      <c r="I2358" s="187">
        <v>1.1100000143051147</v>
      </c>
      <c r="J2358" s="187" t="s">
        <v>1026</v>
      </c>
      <c r="K2358" s="187" t="s">
        <v>116</v>
      </c>
      <c r="L2358" s="195">
        <v>0.39000001549720764</v>
      </c>
      <c r="M2358" s="195" t="s">
        <v>1026</v>
      </c>
      <c r="N2358" s="195" t="s">
        <v>117</v>
      </c>
      <c r="O2358" s="199"/>
      <c r="P2358" s="188"/>
      <c r="Q2358" s="174">
        <f>IF(ISNUMBER(VLOOKUP(A2358,NotghiID!A:A,1,FALSE)),1,0)</f>
        <v>0</v>
      </c>
    </row>
    <row r="2359" spans="1:17" ht="14.25" x14ac:dyDescent="0.2">
      <c r="A2359" s="183">
        <v>285</v>
      </c>
      <c r="B2359" s="232" t="str">
        <f>IF(AND(A2359&lt;&gt;"",ISNUMBER(A2359)),VLOOKUP(A2359,Studies!A:BR,2,FALSE),"")</f>
        <v>Kharasch 2004</v>
      </c>
      <c r="C2359" s="232" t="str">
        <f>IF(AND(A2359&lt;&gt;"",ISNUMBER(A2359)),VLOOKUP(A2359,Studies!A:BR,3,FALSE),"")</f>
        <v>https://www.ncbi.nlm.nih.gov/pubmed/15536460</v>
      </c>
      <c r="D2359" s="232" t="str">
        <f>IF(AND(A2359&lt;&gt;"",ISNUMBER(A2359)),VLOOKUP(A2359,Studies!A:BR,4,FALSE),"")</f>
        <v>po #1 Control (Perpetrator Placebo)</v>
      </c>
      <c r="E2359" s="206" t="str">
        <f>IF(AND(A2359&lt;&gt;"",ISNUMBER(A2359)),VLOOKUP(A2359,Studies!A:BR,5,FALSE),"")</f>
        <v>Midazolam</v>
      </c>
      <c r="F2359" s="207" t="str">
        <f>IF(AND(A2359&lt;&gt;"",ISNUMBER(A2359)),VLOOKUP(A2359,Studies!A:BR,6,FALSE),"")</f>
        <v>Plasma</v>
      </c>
      <c r="G2359" s="194">
        <v>7</v>
      </c>
      <c r="H2359" s="194" t="s">
        <v>60</v>
      </c>
      <c r="I2359" s="187">
        <v>0.92000001668930054</v>
      </c>
      <c r="J2359" s="187" t="s">
        <v>1026</v>
      </c>
      <c r="K2359" s="187" t="s">
        <v>116</v>
      </c>
      <c r="L2359" s="195">
        <v>0.26999998092651367</v>
      </c>
      <c r="M2359" s="195" t="s">
        <v>1026</v>
      </c>
      <c r="N2359" s="195" t="s">
        <v>117</v>
      </c>
      <c r="O2359" s="199"/>
      <c r="P2359" s="188"/>
      <c r="Q2359" s="174">
        <f>IF(ISNUMBER(VLOOKUP(A2359,NotghiID!A:A,1,FALSE)),1,0)</f>
        <v>0</v>
      </c>
    </row>
    <row r="2360" spans="1:17" ht="14.25" x14ac:dyDescent="0.2">
      <c r="A2360" s="183">
        <v>285</v>
      </c>
      <c r="B2360" s="232" t="str">
        <f>IF(AND(A2360&lt;&gt;"",ISNUMBER(A2360)),VLOOKUP(A2360,Studies!A:BR,2,FALSE),"")</f>
        <v>Kharasch 2004</v>
      </c>
      <c r="C2360" s="232" t="str">
        <f>IF(AND(A2360&lt;&gt;"",ISNUMBER(A2360)),VLOOKUP(A2360,Studies!A:BR,3,FALSE),"")</f>
        <v>https://www.ncbi.nlm.nih.gov/pubmed/15536460</v>
      </c>
      <c r="D2360" s="232" t="str">
        <f>IF(AND(A2360&lt;&gt;"",ISNUMBER(A2360)),VLOOKUP(A2360,Studies!A:BR,4,FALSE),"")</f>
        <v>po #1 Control (Perpetrator Placebo)</v>
      </c>
      <c r="E2360" s="206" t="str">
        <f>IF(AND(A2360&lt;&gt;"",ISNUMBER(A2360)),VLOOKUP(A2360,Studies!A:BR,5,FALSE),"")</f>
        <v>Midazolam</v>
      </c>
      <c r="F2360" s="207" t="str">
        <f>IF(AND(A2360&lt;&gt;"",ISNUMBER(A2360)),VLOOKUP(A2360,Studies!A:BR,6,FALSE),"")</f>
        <v>Plasma</v>
      </c>
      <c r="G2360" s="194">
        <v>8</v>
      </c>
      <c r="H2360" s="194" t="s">
        <v>60</v>
      </c>
      <c r="I2360" s="187">
        <v>0.68999999761581421</v>
      </c>
      <c r="J2360" s="187" t="s">
        <v>1026</v>
      </c>
      <c r="K2360" s="187" t="s">
        <v>116</v>
      </c>
      <c r="L2360" s="195">
        <v>0.31000000238418579</v>
      </c>
      <c r="M2360" s="195" t="s">
        <v>1026</v>
      </c>
      <c r="N2360" s="195" t="s">
        <v>117</v>
      </c>
      <c r="O2360" s="199"/>
      <c r="P2360" s="188"/>
      <c r="Q2360" s="174">
        <f>IF(ISNUMBER(VLOOKUP(A2360,NotghiID!A:A,1,FALSE)),1,0)</f>
        <v>0</v>
      </c>
    </row>
    <row r="2361" spans="1:17" ht="14.25" x14ac:dyDescent="0.2">
      <c r="A2361" s="183">
        <v>285</v>
      </c>
      <c r="B2361" s="232" t="str">
        <f>IF(AND(A2361&lt;&gt;"",ISNUMBER(A2361)),VLOOKUP(A2361,Studies!A:BR,2,FALSE),"")</f>
        <v>Kharasch 2004</v>
      </c>
      <c r="C2361" s="232" t="str">
        <f>IF(AND(A2361&lt;&gt;"",ISNUMBER(A2361)),VLOOKUP(A2361,Studies!A:BR,3,FALSE),"")</f>
        <v>https://www.ncbi.nlm.nih.gov/pubmed/15536460</v>
      </c>
      <c r="D2361" s="232" t="str">
        <f>IF(AND(A2361&lt;&gt;"",ISNUMBER(A2361)),VLOOKUP(A2361,Studies!A:BR,4,FALSE),"")</f>
        <v>po #1 Control (Perpetrator Placebo)</v>
      </c>
      <c r="E2361" s="206" t="str">
        <f>IF(AND(A2361&lt;&gt;"",ISNUMBER(A2361)),VLOOKUP(A2361,Studies!A:BR,5,FALSE),"")</f>
        <v>Midazolam</v>
      </c>
      <c r="F2361" s="207" t="str">
        <f>IF(AND(A2361&lt;&gt;"",ISNUMBER(A2361)),VLOOKUP(A2361,Studies!A:BR,6,FALSE),"")</f>
        <v>Plasma</v>
      </c>
      <c r="G2361" s="194">
        <v>9</v>
      </c>
      <c r="H2361" s="194" t="s">
        <v>60</v>
      </c>
      <c r="I2361" s="187">
        <v>0.61000001430511475</v>
      </c>
      <c r="J2361" s="187" t="s">
        <v>1026</v>
      </c>
      <c r="K2361" s="187" t="s">
        <v>116</v>
      </c>
      <c r="L2361" s="195">
        <v>0.2800000011920929</v>
      </c>
      <c r="M2361" s="195" t="s">
        <v>1026</v>
      </c>
      <c r="N2361" s="195" t="s">
        <v>117</v>
      </c>
      <c r="O2361" s="199"/>
      <c r="P2361" s="188"/>
      <c r="Q2361" s="174">
        <f>IF(ISNUMBER(VLOOKUP(A2361,NotghiID!A:A,1,FALSE)),1,0)</f>
        <v>0</v>
      </c>
    </row>
    <row r="2362" spans="1:17" ht="14.25" x14ac:dyDescent="0.2">
      <c r="A2362" s="183">
        <v>286</v>
      </c>
      <c r="B2362" s="232" t="str">
        <f>IF(AND(A2362&lt;&gt;"",ISNUMBER(A2362)),VLOOKUP(A2362,Studies!A:BR,2,FALSE),"")</f>
        <v>Kharasch 2004</v>
      </c>
      <c r="C2362" s="232" t="str">
        <f>IF(AND(A2362&lt;&gt;"",ISNUMBER(A2362)),VLOOKUP(A2362,Studies!A:BR,3,FALSE),"")</f>
        <v>https://www.ncbi.nlm.nih.gov/pubmed/15536460</v>
      </c>
      <c r="D2362" s="232" t="str">
        <f>IF(AND(A2362&lt;&gt;"",ISNUMBER(A2362)),VLOOKUP(A2362,Studies!A:BR,4,FALSE),"")</f>
        <v>po #1 with Perpetrator (Rifampicin)</v>
      </c>
      <c r="E2362" s="206" t="str">
        <f>IF(AND(A2362&lt;&gt;"",ISNUMBER(A2362)),VLOOKUP(A2362,Studies!A:BR,5,FALSE),"")</f>
        <v>Midazolam</v>
      </c>
      <c r="F2362" s="207" t="str">
        <f>IF(AND(A2362&lt;&gt;"",ISNUMBER(A2362)),VLOOKUP(A2362,Studies!A:BR,6,FALSE),"")</f>
        <v>Plasma</v>
      </c>
      <c r="G2362" s="194">
        <v>128.08333333333334</v>
      </c>
      <c r="H2362" s="194" t="s">
        <v>60</v>
      </c>
      <c r="I2362" s="187">
        <v>0.72200000286102295</v>
      </c>
      <c r="J2362" s="187" t="s">
        <v>1026</v>
      </c>
      <c r="K2362" s="187" t="s">
        <v>116</v>
      </c>
      <c r="L2362" s="195"/>
      <c r="M2362" s="195"/>
      <c r="N2362" s="195"/>
      <c r="O2362" s="199"/>
      <c r="P2362" s="188"/>
      <c r="Q2362" s="174">
        <f>IF(ISNUMBER(VLOOKUP(A2362,NotghiID!A:A,1,FALSE)),1,0)</f>
        <v>0</v>
      </c>
    </row>
    <row r="2363" spans="1:17" ht="14.25" x14ac:dyDescent="0.2">
      <c r="A2363" s="183">
        <v>286</v>
      </c>
      <c r="B2363" s="232" t="str">
        <f>IF(AND(A2363&lt;&gt;"",ISNUMBER(A2363)),VLOOKUP(A2363,Studies!A:BR,2,FALSE),"")</f>
        <v>Kharasch 2004</v>
      </c>
      <c r="C2363" s="232" t="str">
        <f>IF(AND(A2363&lt;&gt;"",ISNUMBER(A2363)),VLOOKUP(A2363,Studies!A:BR,3,FALSE),"")</f>
        <v>https://www.ncbi.nlm.nih.gov/pubmed/15536460</v>
      </c>
      <c r="D2363" s="232" t="str">
        <f>IF(AND(A2363&lt;&gt;"",ISNUMBER(A2363)),VLOOKUP(A2363,Studies!A:BR,4,FALSE),"")</f>
        <v>po #1 with Perpetrator (Rifampicin)</v>
      </c>
      <c r="E2363" s="206" t="str">
        <f>IF(AND(A2363&lt;&gt;"",ISNUMBER(A2363)),VLOOKUP(A2363,Studies!A:BR,5,FALSE),"")</f>
        <v>Midazolam</v>
      </c>
      <c r="F2363" s="207" t="str">
        <f>IF(AND(A2363&lt;&gt;"",ISNUMBER(A2363)),VLOOKUP(A2363,Studies!A:BR,6,FALSE),"")</f>
        <v>Plasma</v>
      </c>
      <c r="G2363" s="194">
        <v>128.25</v>
      </c>
      <c r="H2363" s="194" t="s">
        <v>60</v>
      </c>
      <c r="I2363" s="187">
        <v>1.0299999713897705</v>
      </c>
      <c r="J2363" s="187" t="s">
        <v>1026</v>
      </c>
      <c r="K2363" s="187" t="s">
        <v>116</v>
      </c>
      <c r="L2363" s="195"/>
      <c r="M2363" s="195"/>
      <c r="N2363" s="195"/>
      <c r="O2363" s="199"/>
      <c r="P2363" s="188"/>
      <c r="Q2363" s="174">
        <f>IF(ISNUMBER(VLOOKUP(A2363,NotghiID!A:A,1,FALSE)),1,0)</f>
        <v>0</v>
      </c>
    </row>
    <row r="2364" spans="1:17" ht="14.25" x14ac:dyDescent="0.2">
      <c r="A2364" s="183">
        <v>286</v>
      </c>
      <c r="B2364" s="232" t="str">
        <f>IF(AND(A2364&lt;&gt;"",ISNUMBER(A2364)),VLOOKUP(A2364,Studies!A:BR,2,FALSE),"")</f>
        <v>Kharasch 2004</v>
      </c>
      <c r="C2364" s="232" t="str">
        <f>IF(AND(A2364&lt;&gt;"",ISNUMBER(A2364)),VLOOKUP(A2364,Studies!A:BR,3,FALSE),"")</f>
        <v>https://www.ncbi.nlm.nih.gov/pubmed/15536460</v>
      </c>
      <c r="D2364" s="232" t="str">
        <f>IF(AND(A2364&lt;&gt;"",ISNUMBER(A2364)),VLOOKUP(A2364,Studies!A:BR,4,FALSE),"")</f>
        <v>po #1 with Perpetrator (Rifampicin)</v>
      </c>
      <c r="E2364" s="206" t="str">
        <f>IF(AND(A2364&lt;&gt;"",ISNUMBER(A2364)),VLOOKUP(A2364,Studies!A:BR,5,FALSE),"")</f>
        <v>Midazolam</v>
      </c>
      <c r="F2364" s="207" t="str">
        <f>IF(AND(A2364&lt;&gt;"",ISNUMBER(A2364)),VLOOKUP(A2364,Studies!A:BR,6,FALSE),"")</f>
        <v>Plasma</v>
      </c>
      <c r="G2364" s="194">
        <v>128.5</v>
      </c>
      <c r="H2364" s="194" t="s">
        <v>60</v>
      </c>
      <c r="I2364" s="187">
        <v>0.83300000429153442</v>
      </c>
      <c r="J2364" s="187" t="s">
        <v>1026</v>
      </c>
      <c r="K2364" s="187" t="s">
        <v>116</v>
      </c>
      <c r="L2364" s="195"/>
      <c r="M2364" s="195"/>
      <c r="N2364" s="195"/>
      <c r="O2364" s="199"/>
      <c r="P2364" s="188"/>
      <c r="Q2364" s="174">
        <f>IF(ISNUMBER(VLOOKUP(A2364,NotghiID!A:A,1,FALSE)),1,0)</f>
        <v>0</v>
      </c>
    </row>
    <row r="2365" spans="1:17" ht="14.25" x14ac:dyDescent="0.2">
      <c r="A2365" s="183">
        <v>286</v>
      </c>
      <c r="B2365" s="232" t="str">
        <f>IF(AND(A2365&lt;&gt;"",ISNUMBER(A2365)),VLOOKUP(A2365,Studies!A:BR,2,FALSE),"")</f>
        <v>Kharasch 2004</v>
      </c>
      <c r="C2365" s="232" t="str">
        <f>IF(AND(A2365&lt;&gt;"",ISNUMBER(A2365)),VLOOKUP(A2365,Studies!A:BR,3,FALSE),"")</f>
        <v>https://www.ncbi.nlm.nih.gov/pubmed/15536460</v>
      </c>
      <c r="D2365" s="232" t="str">
        <f>IF(AND(A2365&lt;&gt;"",ISNUMBER(A2365)),VLOOKUP(A2365,Studies!A:BR,4,FALSE),"")</f>
        <v>po #1 with Perpetrator (Rifampicin)</v>
      </c>
      <c r="E2365" s="206" t="str">
        <f>IF(AND(A2365&lt;&gt;"",ISNUMBER(A2365)),VLOOKUP(A2365,Studies!A:BR,5,FALSE),"")</f>
        <v>Midazolam</v>
      </c>
      <c r="F2365" s="207" t="str">
        <f>IF(AND(A2365&lt;&gt;"",ISNUMBER(A2365)),VLOOKUP(A2365,Studies!A:BR,6,FALSE),"")</f>
        <v>Plasma</v>
      </c>
      <c r="G2365" s="194">
        <v>129</v>
      </c>
      <c r="H2365" s="194" t="s">
        <v>60</v>
      </c>
      <c r="I2365" s="187">
        <v>0.52799999713897705</v>
      </c>
      <c r="J2365" s="187" t="s">
        <v>1026</v>
      </c>
      <c r="K2365" s="187" t="s">
        <v>116</v>
      </c>
      <c r="L2365" s="195"/>
      <c r="M2365" s="195"/>
      <c r="N2365" s="195"/>
      <c r="O2365" s="199"/>
      <c r="P2365" s="188"/>
      <c r="Q2365" s="174">
        <f>IF(ISNUMBER(VLOOKUP(A2365,NotghiID!A:A,1,FALSE)),1,0)</f>
        <v>0</v>
      </c>
    </row>
    <row r="2366" spans="1:17" ht="14.25" x14ac:dyDescent="0.2">
      <c r="A2366" s="183">
        <v>286</v>
      </c>
      <c r="B2366" s="232" t="str">
        <f>IF(AND(A2366&lt;&gt;"",ISNUMBER(A2366)),VLOOKUP(A2366,Studies!A:BR,2,FALSE),"")</f>
        <v>Kharasch 2004</v>
      </c>
      <c r="C2366" s="232" t="str">
        <f>IF(AND(A2366&lt;&gt;"",ISNUMBER(A2366)),VLOOKUP(A2366,Studies!A:BR,3,FALSE),"")</f>
        <v>https://www.ncbi.nlm.nih.gov/pubmed/15536460</v>
      </c>
      <c r="D2366" s="232" t="str">
        <f>IF(AND(A2366&lt;&gt;"",ISNUMBER(A2366)),VLOOKUP(A2366,Studies!A:BR,4,FALSE),"")</f>
        <v>po #1 with Perpetrator (Rifampicin)</v>
      </c>
      <c r="E2366" s="206" t="str">
        <f>IF(AND(A2366&lt;&gt;"",ISNUMBER(A2366)),VLOOKUP(A2366,Studies!A:BR,5,FALSE),"")</f>
        <v>Midazolam</v>
      </c>
      <c r="F2366" s="207" t="str">
        <f>IF(AND(A2366&lt;&gt;"",ISNUMBER(A2366)),VLOOKUP(A2366,Studies!A:BR,6,FALSE),"")</f>
        <v>Plasma</v>
      </c>
      <c r="G2366" s="194">
        <v>129.25</v>
      </c>
      <c r="H2366" s="194" t="s">
        <v>60</v>
      </c>
      <c r="I2366" s="187">
        <v>0.4440000057220459</v>
      </c>
      <c r="J2366" s="187" t="s">
        <v>1026</v>
      </c>
      <c r="K2366" s="187" t="s">
        <v>116</v>
      </c>
      <c r="L2366" s="195"/>
      <c r="M2366" s="195"/>
      <c r="N2366" s="195"/>
      <c r="O2366" s="199"/>
      <c r="P2366" s="188"/>
      <c r="Q2366" s="174">
        <f>IF(ISNUMBER(VLOOKUP(A2366,NotghiID!A:A,1,FALSE)),1,0)</f>
        <v>0</v>
      </c>
    </row>
    <row r="2367" spans="1:17" ht="14.25" x14ac:dyDescent="0.2">
      <c r="A2367" s="183">
        <v>286</v>
      </c>
      <c r="B2367" s="232" t="str">
        <f>IF(AND(A2367&lt;&gt;"",ISNUMBER(A2367)),VLOOKUP(A2367,Studies!A:BR,2,FALSE),"")</f>
        <v>Kharasch 2004</v>
      </c>
      <c r="C2367" s="232" t="str">
        <f>IF(AND(A2367&lt;&gt;"",ISNUMBER(A2367)),VLOOKUP(A2367,Studies!A:BR,3,FALSE),"")</f>
        <v>https://www.ncbi.nlm.nih.gov/pubmed/15536460</v>
      </c>
      <c r="D2367" s="232" t="str">
        <f>IF(AND(A2367&lt;&gt;"",ISNUMBER(A2367)),VLOOKUP(A2367,Studies!A:BR,4,FALSE),"")</f>
        <v>po #1 with Perpetrator (Rifampicin)</v>
      </c>
      <c r="E2367" s="206" t="str">
        <f>IF(AND(A2367&lt;&gt;"",ISNUMBER(A2367)),VLOOKUP(A2367,Studies!A:BR,5,FALSE),"")</f>
        <v>Midazolam</v>
      </c>
      <c r="F2367" s="207" t="str">
        <f>IF(AND(A2367&lt;&gt;"",ISNUMBER(A2367)),VLOOKUP(A2367,Studies!A:BR,6,FALSE),"")</f>
        <v>Plasma</v>
      </c>
      <c r="G2367" s="194">
        <v>129.5</v>
      </c>
      <c r="H2367" s="194" t="s">
        <v>60</v>
      </c>
      <c r="I2367" s="187">
        <v>0.4440000057220459</v>
      </c>
      <c r="J2367" s="187" t="s">
        <v>1026</v>
      </c>
      <c r="K2367" s="187" t="s">
        <v>116</v>
      </c>
      <c r="L2367" s="195"/>
      <c r="M2367" s="195"/>
      <c r="N2367" s="195"/>
      <c r="O2367" s="199"/>
      <c r="P2367" s="188"/>
      <c r="Q2367" s="174">
        <f>IF(ISNUMBER(VLOOKUP(A2367,NotghiID!A:A,1,FALSE)),1,0)</f>
        <v>0</v>
      </c>
    </row>
    <row r="2368" spans="1:17" ht="14.25" x14ac:dyDescent="0.2">
      <c r="A2368" s="183">
        <v>286</v>
      </c>
      <c r="B2368" s="232" t="str">
        <f>IF(AND(A2368&lt;&gt;"",ISNUMBER(A2368)),VLOOKUP(A2368,Studies!A:BR,2,FALSE),"")</f>
        <v>Kharasch 2004</v>
      </c>
      <c r="C2368" s="232" t="str">
        <f>IF(AND(A2368&lt;&gt;"",ISNUMBER(A2368)),VLOOKUP(A2368,Studies!A:BR,3,FALSE),"")</f>
        <v>https://www.ncbi.nlm.nih.gov/pubmed/15536460</v>
      </c>
      <c r="D2368" s="232" t="str">
        <f>IF(AND(A2368&lt;&gt;"",ISNUMBER(A2368)),VLOOKUP(A2368,Studies!A:BR,4,FALSE),"")</f>
        <v>po #1 with Perpetrator (Rifampicin)</v>
      </c>
      <c r="E2368" s="206" t="str">
        <f>IF(AND(A2368&lt;&gt;"",ISNUMBER(A2368)),VLOOKUP(A2368,Studies!A:BR,5,FALSE),"")</f>
        <v>Midazolam</v>
      </c>
      <c r="F2368" s="207" t="str">
        <f>IF(AND(A2368&lt;&gt;"",ISNUMBER(A2368)),VLOOKUP(A2368,Studies!A:BR,6,FALSE),"")</f>
        <v>Plasma</v>
      </c>
      <c r="G2368" s="194">
        <v>129.75</v>
      </c>
      <c r="H2368" s="194" t="s">
        <v>60</v>
      </c>
      <c r="I2368" s="187">
        <v>0.33299997448921204</v>
      </c>
      <c r="J2368" s="187" t="s">
        <v>1026</v>
      </c>
      <c r="K2368" s="187" t="s">
        <v>116</v>
      </c>
      <c r="L2368" s="195"/>
      <c r="M2368" s="195"/>
      <c r="N2368" s="195"/>
      <c r="O2368" s="199"/>
      <c r="P2368" s="188"/>
      <c r="Q2368" s="174">
        <f>IF(ISNUMBER(VLOOKUP(A2368,NotghiID!A:A,1,FALSE)),1,0)</f>
        <v>0</v>
      </c>
    </row>
    <row r="2369" spans="1:17" ht="14.25" x14ac:dyDescent="0.2">
      <c r="A2369" s="183">
        <v>286</v>
      </c>
      <c r="B2369" s="232" t="str">
        <f>IF(AND(A2369&lt;&gt;"",ISNUMBER(A2369)),VLOOKUP(A2369,Studies!A:BR,2,FALSE),"")</f>
        <v>Kharasch 2004</v>
      </c>
      <c r="C2369" s="232" t="str">
        <f>IF(AND(A2369&lt;&gt;"",ISNUMBER(A2369)),VLOOKUP(A2369,Studies!A:BR,3,FALSE),"")</f>
        <v>https://www.ncbi.nlm.nih.gov/pubmed/15536460</v>
      </c>
      <c r="D2369" s="232" t="str">
        <f>IF(AND(A2369&lt;&gt;"",ISNUMBER(A2369)),VLOOKUP(A2369,Studies!A:BR,4,FALSE),"")</f>
        <v>po #1 with Perpetrator (Rifampicin)</v>
      </c>
      <c r="E2369" s="206" t="str">
        <f>IF(AND(A2369&lt;&gt;"",ISNUMBER(A2369)),VLOOKUP(A2369,Studies!A:BR,5,FALSE),"")</f>
        <v>Midazolam</v>
      </c>
      <c r="F2369" s="207" t="str">
        <f>IF(AND(A2369&lt;&gt;"",ISNUMBER(A2369)),VLOOKUP(A2369,Studies!A:BR,6,FALSE),"")</f>
        <v>Plasma</v>
      </c>
      <c r="G2369" s="194">
        <v>130</v>
      </c>
      <c r="H2369" s="194" t="s">
        <v>60</v>
      </c>
      <c r="I2369" s="187">
        <v>0.33299997448921204</v>
      </c>
      <c r="J2369" s="187" t="s">
        <v>1026</v>
      </c>
      <c r="K2369" s="187" t="s">
        <v>116</v>
      </c>
      <c r="L2369" s="195"/>
      <c r="M2369" s="195"/>
      <c r="N2369" s="195"/>
      <c r="O2369" s="199"/>
      <c r="P2369" s="188"/>
      <c r="Q2369" s="174">
        <f>IF(ISNUMBER(VLOOKUP(A2369,NotghiID!A:A,1,FALSE)),1,0)</f>
        <v>0</v>
      </c>
    </row>
    <row r="2370" spans="1:17" ht="14.25" x14ac:dyDescent="0.2">
      <c r="A2370" s="183">
        <v>286</v>
      </c>
      <c r="B2370" s="232" t="str">
        <f>IF(AND(A2370&lt;&gt;"",ISNUMBER(A2370)),VLOOKUP(A2370,Studies!A:BR,2,FALSE),"")</f>
        <v>Kharasch 2004</v>
      </c>
      <c r="C2370" s="232" t="str">
        <f>IF(AND(A2370&lt;&gt;"",ISNUMBER(A2370)),VLOOKUP(A2370,Studies!A:BR,3,FALSE),"")</f>
        <v>https://www.ncbi.nlm.nih.gov/pubmed/15536460</v>
      </c>
      <c r="D2370" s="232" t="str">
        <f>IF(AND(A2370&lt;&gt;"",ISNUMBER(A2370)),VLOOKUP(A2370,Studies!A:BR,4,FALSE),"")</f>
        <v>po #1 with Perpetrator (Rifampicin)</v>
      </c>
      <c r="E2370" s="206" t="str">
        <f>IF(AND(A2370&lt;&gt;"",ISNUMBER(A2370)),VLOOKUP(A2370,Studies!A:BR,5,FALSE),"")</f>
        <v>Midazolam</v>
      </c>
      <c r="F2370" s="207" t="str">
        <f>IF(AND(A2370&lt;&gt;"",ISNUMBER(A2370)),VLOOKUP(A2370,Studies!A:BR,6,FALSE),"")</f>
        <v>Plasma</v>
      </c>
      <c r="G2370" s="194">
        <v>130.5</v>
      </c>
      <c r="H2370" s="194" t="s">
        <v>60</v>
      </c>
      <c r="I2370" s="187">
        <v>0.22200000286102295</v>
      </c>
      <c r="J2370" s="187" t="s">
        <v>1026</v>
      </c>
      <c r="K2370" s="187" t="s">
        <v>116</v>
      </c>
      <c r="L2370" s="195"/>
      <c r="M2370" s="195"/>
      <c r="N2370" s="195"/>
      <c r="O2370" s="199"/>
      <c r="P2370" s="188"/>
      <c r="Q2370" s="174">
        <f>IF(ISNUMBER(VLOOKUP(A2370,NotghiID!A:A,1,FALSE)),1,0)</f>
        <v>0</v>
      </c>
    </row>
    <row r="2371" spans="1:17" ht="14.25" x14ac:dyDescent="0.2">
      <c r="A2371" s="183">
        <v>286</v>
      </c>
      <c r="B2371" s="232" t="str">
        <f>IF(AND(A2371&lt;&gt;"",ISNUMBER(A2371)),VLOOKUP(A2371,Studies!A:BR,2,FALSE),"")</f>
        <v>Kharasch 2004</v>
      </c>
      <c r="C2371" s="232" t="str">
        <f>IF(AND(A2371&lt;&gt;"",ISNUMBER(A2371)),VLOOKUP(A2371,Studies!A:BR,3,FALSE),"")</f>
        <v>https://www.ncbi.nlm.nih.gov/pubmed/15536460</v>
      </c>
      <c r="D2371" s="232" t="str">
        <f>IF(AND(A2371&lt;&gt;"",ISNUMBER(A2371)),VLOOKUP(A2371,Studies!A:BR,4,FALSE),"")</f>
        <v>po #1 with Perpetrator (Rifampicin)</v>
      </c>
      <c r="E2371" s="206" t="str">
        <f>IF(AND(A2371&lt;&gt;"",ISNUMBER(A2371)),VLOOKUP(A2371,Studies!A:BR,5,FALSE),"")</f>
        <v>Midazolam</v>
      </c>
      <c r="F2371" s="207" t="str">
        <f>IF(AND(A2371&lt;&gt;"",ISNUMBER(A2371)),VLOOKUP(A2371,Studies!A:BR,6,FALSE),"")</f>
        <v>Plasma</v>
      </c>
      <c r="G2371" s="194">
        <v>131</v>
      </c>
      <c r="H2371" s="194" t="s">
        <v>60</v>
      </c>
      <c r="I2371" s="187">
        <v>0.1939999908208847</v>
      </c>
      <c r="J2371" s="187" t="s">
        <v>1026</v>
      </c>
      <c r="K2371" s="187" t="s">
        <v>116</v>
      </c>
      <c r="L2371" s="195"/>
      <c r="M2371" s="195"/>
      <c r="N2371" s="195"/>
      <c r="O2371" s="199"/>
      <c r="P2371" s="188"/>
      <c r="Q2371" s="174">
        <f>IF(ISNUMBER(VLOOKUP(A2371,NotghiID!A:A,1,FALSE)),1,0)</f>
        <v>0</v>
      </c>
    </row>
    <row r="2372" spans="1:17" ht="14.25" x14ac:dyDescent="0.2">
      <c r="A2372" s="183">
        <v>286</v>
      </c>
      <c r="B2372" s="232" t="str">
        <f>IF(AND(A2372&lt;&gt;"",ISNUMBER(A2372)),VLOOKUP(A2372,Studies!A:BR,2,FALSE),"")</f>
        <v>Kharasch 2004</v>
      </c>
      <c r="C2372" s="232" t="str">
        <f>IF(AND(A2372&lt;&gt;"",ISNUMBER(A2372)),VLOOKUP(A2372,Studies!A:BR,3,FALSE),"")</f>
        <v>https://www.ncbi.nlm.nih.gov/pubmed/15536460</v>
      </c>
      <c r="D2372" s="232" t="str">
        <f>IF(AND(A2372&lt;&gt;"",ISNUMBER(A2372)),VLOOKUP(A2372,Studies!A:BR,4,FALSE),"")</f>
        <v>po #1 with Perpetrator (Rifampicin)</v>
      </c>
      <c r="E2372" s="206" t="str">
        <f>IF(AND(A2372&lt;&gt;"",ISNUMBER(A2372)),VLOOKUP(A2372,Studies!A:BR,5,FALSE),"")</f>
        <v>Midazolam</v>
      </c>
      <c r="F2372" s="207" t="str">
        <f>IF(AND(A2372&lt;&gt;"",ISNUMBER(A2372)),VLOOKUP(A2372,Studies!A:BR,6,FALSE),"")</f>
        <v>Plasma</v>
      </c>
      <c r="G2372" s="194">
        <v>132</v>
      </c>
      <c r="H2372" s="194" t="s">
        <v>60</v>
      </c>
      <c r="I2372" s="187">
        <v>0.13899999856948853</v>
      </c>
      <c r="J2372" s="187" t="s">
        <v>1026</v>
      </c>
      <c r="K2372" s="187" t="s">
        <v>116</v>
      </c>
      <c r="L2372" s="195"/>
      <c r="M2372" s="195"/>
      <c r="N2372" s="195"/>
      <c r="O2372" s="199"/>
      <c r="P2372" s="188"/>
      <c r="Q2372" s="174">
        <f>IF(ISNUMBER(VLOOKUP(A2372,NotghiID!A:A,1,FALSE)),1,0)</f>
        <v>0</v>
      </c>
    </row>
    <row r="2373" spans="1:17" ht="14.25" x14ac:dyDescent="0.2">
      <c r="A2373" s="183">
        <v>286</v>
      </c>
      <c r="B2373" s="232" t="str">
        <f>IF(AND(A2373&lt;&gt;"",ISNUMBER(A2373)),VLOOKUP(A2373,Studies!A:BR,2,FALSE),"")</f>
        <v>Kharasch 2004</v>
      </c>
      <c r="C2373" s="232" t="str">
        <f>IF(AND(A2373&lt;&gt;"",ISNUMBER(A2373)),VLOOKUP(A2373,Studies!A:BR,3,FALSE),"")</f>
        <v>https://www.ncbi.nlm.nih.gov/pubmed/15536460</v>
      </c>
      <c r="D2373" s="232" t="str">
        <f>IF(AND(A2373&lt;&gt;"",ISNUMBER(A2373)),VLOOKUP(A2373,Studies!A:BR,4,FALSE),"")</f>
        <v>po #1 with Perpetrator (Rifampicin)</v>
      </c>
      <c r="E2373" s="206" t="str">
        <f>IF(AND(A2373&lt;&gt;"",ISNUMBER(A2373)),VLOOKUP(A2373,Studies!A:BR,5,FALSE),"")</f>
        <v>Midazolam</v>
      </c>
      <c r="F2373" s="207" t="str">
        <f>IF(AND(A2373&lt;&gt;"",ISNUMBER(A2373)),VLOOKUP(A2373,Studies!A:BR,6,FALSE),"")</f>
        <v>Plasma</v>
      </c>
      <c r="G2373" s="194">
        <v>133</v>
      </c>
      <c r="H2373" s="194" t="s">
        <v>60</v>
      </c>
      <c r="I2373" s="187">
        <v>0.11100000143051147</v>
      </c>
      <c r="J2373" s="187" t="s">
        <v>1026</v>
      </c>
      <c r="K2373" s="187" t="s">
        <v>116</v>
      </c>
      <c r="L2373" s="195"/>
      <c r="M2373" s="195"/>
      <c r="N2373" s="195"/>
      <c r="O2373" s="199"/>
      <c r="P2373" s="188"/>
      <c r="Q2373" s="174">
        <f>IF(ISNUMBER(VLOOKUP(A2373,NotghiID!A:A,1,FALSE)),1,0)</f>
        <v>0</v>
      </c>
    </row>
    <row r="2374" spans="1:17" ht="14.25" x14ac:dyDescent="0.2">
      <c r="A2374" s="183">
        <v>286</v>
      </c>
      <c r="B2374" s="232" t="str">
        <f>IF(AND(A2374&lt;&gt;"",ISNUMBER(A2374)),VLOOKUP(A2374,Studies!A:BR,2,FALSE),"")</f>
        <v>Kharasch 2004</v>
      </c>
      <c r="C2374" s="232" t="str">
        <f>IF(AND(A2374&lt;&gt;"",ISNUMBER(A2374)),VLOOKUP(A2374,Studies!A:BR,3,FALSE),"")</f>
        <v>https://www.ncbi.nlm.nih.gov/pubmed/15536460</v>
      </c>
      <c r="D2374" s="232" t="str">
        <f>IF(AND(A2374&lt;&gt;"",ISNUMBER(A2374)),VLOOKUP(A2374,Studies!A:BR,4,FALSE),"")</f>
        <v>po #1 with Perpetrator (Rifampicin)</v>
      </c>
      <c r="E2374" s="206" t="str">
        <f>IF(AND(A2374&lt;&gt;"",ISNUMBER(A2374)),VLOOKUP(A2374,Studies!A:BR,5,FALSE),"")</f>
        <v>Midazolam</v>
      </c>
      <c r="F2374" s="207" t="str">
        <f>IF(AND(A2374&lt;&gt;"",ISNUMBER(A2374)),VLOOKUP(A2374,Studies!A:BR,6,FALSE),"")</f>
        <v>Plasma</v>
      </c>
      <c r="G2374" s="194">
        <v>134</v>
      </c>
      <c r="H2374" s="194" t="s">
        <v>60</v>
      </c>
      <c r="I2374" s="187">
        <v>0.11100000143051147</v>
      </c>
      <c r="J2374" s="187" t="s">
        <v>1026</v>
      </c>
      <c r="K2374" s="187" t="s">
        <v>116</v>
      </c>
      <c r="L2374" s="195"/>
      <c r="M2374" s="195"/>
      <c r="N2374" s="195"/>
      <c r="O2374" s="199"/>
      <c r="P2374" s="188"/>
      <c r="Q2374" s="174">
        <f>IF(ISNUMBER(VLOOKUP(A2374,NotghiID!A:A,1,FALSE)),1,0)</f>
        <v>0</v>
      </c>
    </row>
    <row r="2375" spans="1:17" ht="14.25" x14ac:dyDescent="0.2">
      <c r="A2375" s="183">
        <v>282</v>
      </c>
      <c r="B2375" s="232" t="str">
        <f>IF(AND(A2375&lt;&gt;"",ISNUMBER(A2375)),VLOOKUP(A2375,Studies!A:BR,2,FALSE),"")</f>
        <v>Kharasch 2004</v>
      </c>
      <c r="C2375" s="232" t="str">
        <f>IF(AND(A2375&lt;&gt;"",ISNUMBER(A2375)),VLOOKUP(A2375,Studies!A:BR,3,FALSE),"")</f>
        <v>https://www.ncbi.nlm.nih.gov/pubmed/15536460</v>
      </c>
      <c r="D2375" s="232" t="str">
        <f>IF(AND(A2375&lt;&gt;"",ISNUMBER(A2375)),VLOOKUP(A2375,Studies!A:BR,4,FALSE),"")</f>
        <v>iv Control (Perpetrator Placebo)</v>
      </c>
      <c r="E2375" s="206" t="str">
        <f>IF(AND(A2375&lt;&gt;"",ISNUMBER(A2375)),VLOOKUP(A2375,Studies!A:BR,5,FALSE),"")</f>
        <v>Alfentanil</v>
      </c>
      <c r="F2375" s="207" t="str">
        <f>IF(AND(A2375&lt;&gt;"",ISNUMBER(A2375)),VLOOKUP(A2375,Studies!A:BR,6,FALSE),"")</f>
        <v>Plasma</v>
      </c>
      <c r="G2375" s="194">
        <v>8.3333333333333329E-2</v>
      </c>
      <c r="H2375" s="194" t="s">
        <v>60</v>
      </c>
      <c r="I2375" s="187">
        <v>90.610572814941406</v>
      </c>
      <c r="J2375" s="187" t="s">
        <v>1026</v>
      </c>
      <c r="K2375" s="187" t="s">
        <v>116</v>
      </c>
      <c r="L2375" s="195"/>
      <c r="M2375" s="195"/>
      <c r="N2375" s="195"/>
      <c r="O2375" s="199"/>
      <c r="P2375" s="188"/>
      <c r="Q2375" s="174">
        <f>IF(ISNUMBER(VLOOKUP(A2375,NotghiID!A:A,1,FALSE)),1,0)</f>
        <v>0</v>
      </c>
    </row>
    <row r="2376" spans="1:17" ht="14.25" x14ac:dyDescent="0.2">
      <c r="A2376" s="183">
        <v>282</v>
      </c>
      <c r="B2376" s="232" t="str">
        <f>IF(AND(A2376&lt;&gt;"",ISNUMBER(A2376)),VLOOKUP(A2376,Studies!A:BR,2,FALSE),"")</f>
        <v>Kharasch 2004</v>
      </c>
      <c r="C2376" s="232" t="str">
        <f>IF(AND(A2376&lt;&gt;"",ISNUMBER(A2376)),VLOOKUP(A2376,Studies!A:BR,3,FALSE),"")</f>
        <v>https://www.ncbi.nlm.nih.gov/pubmed/15536460</v>
      </c>
      <c r="D2376" s="232" t="str">
        <f>IF(AND(A2376&lt;&gt;"",ISNUMBER(A2376)),VLOOKUP(A2376,Studies!A:BR,4,FALSE),"")</f>
        <v>iv Control (Perpetrator Placebo)</v>
      </c>
      <c r="E2376" s="206" t="str">
        <f>IF(AND(A2376&lt;&gt;"",ISNUMBER(A2376)),VLOOKUP(A2376,Studies!A:BR,5,FALSE),"")</f>
        <v>Alfentanil</v>
      </c>
      <c r="F2376" s="207" t="str">
        <f>IF(AND(A2376&lt;&gt;"",ISNUMBER(A2376)),VLOOKUP(A2376,Studies!A:BR,6,FALSE),"")</f>
        <v>Plasma</v>
      </c>
      <c r="G2376" s="194">
        <v>0.25</v>
      </c>
      <c r="H2376" s="194" t="s">
        <v>60</v>
      </c>
      <c r="I2376" s="187">
        <v>39.305957794189453</v>
      </c>
      <c r="J2376" s="187" t="s">
        <v>1026</v>
      </c>
      <c r="K2376" s="187" t="s">
        <v>116</v>
      </c>
      <c r="L2376" s="195"/>
      <c r="M2376" s="195"/>
      <c r="N2376" s="195"/>
      <c r="O2376" s="199"/>
      <c r="P2376" s="188"/>
      <c r="Q2376" s="174">
        <f>IF(ISNUMBER(VLOOKUP(A2376,NotghiID!A:A,1,FALSE)),1,0)</f>
        <v>0</v>
      </c>
    </row>
    <row r="2377" spans="1:17" ht="14.25" x14ac:dyDescent="0.2">
      <c r="A2377" s="183">
        <v>282</v>
      </c>
      <c r="B2377" s="232" t="str">
        <f>IF(AND(A2377&lt;&gt;"",ISNUMBER(A2377)),VLOOKUP(A2377,Studies!A:BR,2,FALSE),"")</f>
        <v>Kharasch 2004</v>
      </c>
      <c r="C2377" s="232" t="str">
        <f>IF(AND(A2377&lt;&gt;"",ISNUMBER(A2377)),VLOOKUP(A2377,Studies!A:BR,3,FALSE),"")</f>
        <v>https://www.ncbi.nlm.nih.gov/pubmed/15536460</v>
      </c>
      <c r="D2377" s="232" t="str">
        <f>IF(AND(A2377&lt;&gt;"",ISNUMBER(A2377)),VLOOKUP(A2377,Studies!A:BR,4,FALSE),"")</f>
        <v>iv Control (Perpetrator Placebo)</v>
      </c>
      <c r="E2377" s="206" t="str">
        <f>IF(AND(A2377&lt;&gt;"",ISNUMBER(A2377)),VLOOKUP(A2377,Studies!A:BR,5,FALSE),"")</f>
        <v>Alfentanil</v>
      </c>
      <c r="F2377" s="207" t="str">
        <f>IF(AND(A2377&lt;&gt;"",ISNUMBER(A2377)),VLOOKUP(A2377,Studies!A:BR,6,FALSE),"")</f>
        <v>Plasma</v>
      </c>
      <c r="G2377" s="194">
        <v>0.5</v>
      </c>
      <c r="H2377" s="194" t="s">
        <v>60</v>
      </c>
      <c r="I2377" s="187">
        <v>27.11747932434082</v>
      </c>
      <c r="J2377" s="187" t="s">
        <v>1026</v>
      </c>
      <c r="K2377" s="187" t="s">
        <v>116</v>
      </c>
      <c r="L2377" s="195"/>
      <c r="M2377" s="195"/>
      <c r="N2377" s="195"/>
      <c r="O2377" s="199"/>
      <c r="P2377" s="188"/>
      <c r="Q2377" s="174">
        <f>IF(ISNUMBER(VLOOKUP(A2377,NotghiID!A:A,1,FALSE)),1,0)</f>
        <v>0</v>
      </c>
    </row>
    <row r="2378" spans="1:17" ht="14.25" x14ac:dyDescent="0.2">
      <c r="A2378" s="183">
        <v>282</v>
      </c>
      <c r="B2378" s="232" t="str">
        <f>IF(AND(A2378&lt;&gt;"",ISNUMBER(A2378)),VLOOKUP(A2378,Studies!A:BR,2,FALSE),"")</f>
        <v>Kharasch 2004</v>
      </c>
      <c r="C2378" s="232" t="str">
        <f>IF(AND(A2378&lt;&gt;"",ISNUMBER(A2378)),VLOOKUP(A2378,Studies!A:BR,3,FALSE),"")</f>
        <v>https://www.ncbi.nlm.nih.gov/pubmed/15536460</v>
      </c>
      <c r="D2378" s="232" t="str">
        <f>IF(AND(A2378&lt;&gt;"",ISNUMBER(A2378)),VLOOKUP(A2378,Studies!A:BR,4,FALSE),"")</f>
        <v>iv Control (Perpetrator Placebo)</v>
      </c>
      <c r="E2378" s="206" t="str">
        <f>IF(AND(A2378&lt;&gt;"",ISNUMBER(A2378)),VLOOKUP(A2378,Studies!A:BR,5,FALSE),"")</f>
        <v>Alfentanil</v>
      </c>
      <c r="F2378" s="207" t="str">
        <f>IF(AND(A2378&lt;&gt;"",ISNUMBER(A2378)),VLOOKUP(A2378,Studies!A:BR,6,FALSE),"")</f>
        <v>Plasma</v>
      </c>
      <c r="G2378" s="194">
        <v>0.75</v>
      </c>
      <c r="H2378" s="194" t="s">
        <v>60</v>
      </c>
      <c r="I2378" s="187">
        <v>22.264200210571289</v>
      </c>
      <c r="J2378" s="187" t="s">
        <v>1026</v>
      </c>
      <c r="K2378" s="187" t="s">
        <v>116</v>
      </c>
      <c r="L2378" s="195"/>
      <c r="M2378" s="195"/>
      <c r="N2378" s="195"/>
      <c r="O2378" s="199"/>
      <c r="P2378" s="188"/>
      <c r="Q2378" s="174">
        <f>IF(ISNUMBER(VLOOKUP(A2378,NotghiID!A:A,1,FALSE)),1,0)</f>
        <v>0</v>
      </c>
    </row>
    <row r="2379" spans="1:17" ht="14.25" x14ac:dyDescent="0.2">
      <c r="A2379" s="183">
        <v>282</v>
      </c>
      <c r="B2379" s="232" t="str">
        <f>IF(AND(A2379&lt;&gt;"",ISNUMBER(A2379)),VLOOKUP(A2379,Studies!A:BR,2,FALSE),"")</f>
        <v>Kharasch 2004</v>
      </c>
      <c r="C2379" s="232" t="str">
        <f>IF(AND(A2379&lt;&gt;"",ISNUMBER(A2379)),VLOOKUP(A2379,Studies!A:BR,3,FALSE),"")</f>
        <v>https://www.ncbi.nlm.nih.gov/pubmed/15536460</v>
      </c>
      <c r="D2379" s="232" t="str">
        <f>IF(AND(A2379&lt;&gt;"",ISNUMBER(A2379)),VLOOKUP(A2379,Studies!A:BR,4,FALSE),"")</f>
        <v>iv Control (Perpetrator Placebo)</v>
      </c>
      <c r="E2379" s="206" t="str">
        <f>IF(AND(A2379&lt;&gt;"",ISNUMBER(A2379)),VLOOKUP(A2379,Studies!A:BR,5,FALSE),"")</f>
        <v>Alfentanil</v>
      </c>
      <c r="F2379" s="207" t="str">
        <f>IF(AND(A2379&lt;&gt;"",ISNUMBER(A2379)),VLOOKUP(A2379,Studies!A:BR,6,FALSE),"")</f>
        <v>Plasma</v>
      </c>
      <c r="G2379" s="194">
        <v>1</v>
      </c>
      <c r="H2379" s="194" t="s">
        <v>60</v>
      </c>
      <c r="I2379" s="187">
        <v>17.45073127746582</v>
      </c>
      <c r="J2379" s="187" t="s">
        <v>1026</v>
      </c>
      <c r="K2379" s="187" t="s">
        <v>116</v>
      </c>
      <c r="L2379" s="195"/>
      <c r="M2379" s="195"/>
      <c r="N2379" s="195"/>
      <c r="O2379" s="199"/>
      <c r="P2379" s="188"/>
      <c r="Q2379" s="174">
        <f>IF(ISNUMBER(VLOOKUP(A2379,NotghiID!A:A,1,FALSE)),1,0)</f>
        <v>0</v>
      </c>
    </row>
    <row r="2380" spans="1:17" ht="14.25" x14ac:dyDescent="0.2">
      <c r="A2380" s="183">
        <v>282</v>
      </c>
      <c r="B2380" s="232" t="str">
        <f>IF(AND(A2380&lt;&gt;"",ISNUMBER(A2380)),VLOOKUP(A2380,Studies!A:BR,2,FALSE),"")</f>
        <v>Kharasch 2004</v>
      </c>
      <c r="C2380" s="232" t="str">
        <f>IF(AND(A2380&lt;&gt;"",ISNUMBER(A2380)),VLOOKUP(A2380,Studies!A:BR,3,FALSE),"")</f>
        <v>https://www.ncbi.nlm.nih.gov/pubmed/15536460</v>
      </c>
      <c r="D2380" s="232" t="str">
        <f>IF(AND(A2380&lt;&gt;"",ISNUMBER(A2380)),VLOOKUP(A2380,Studies!A:BR,4,FALSE),"")</f>
        <v>iv Control (Perpetrator Placebo)</v>
      </c>
      <c r="E2380" s="206" t="str">
        <f>IF(AND(A2380&lt;&gt;"",ISNUMBER(A2380)),VLOOKUP(A2380,Studies!A:BR,5,FALSE),"")</f>
        <v>Alfentanil</v>
      </c>
      <c r="F2380" s="207" t="str">
        <f>IF(AND(A2380&lt;&gt;"",ISNUMBER(A2380)),VLOOKUP(A2380,Studies!A:BR,6,FALSE),"")</f>
        <v>Plasma</v>
      </c>
      <c r="G2380" s="194">
        <v>1.5</v>
      </c>
      <c r="H2380" s="194" t="s">
        <v>60</v>
      </c>
      <c r="I2380" s="187">
        <v>13.057769775390625</v>
      </c>
      <c r="J2380" s="187" t="s">
        <v>1026</v>
      </c>
      <c r="K2380" s="187" t="s">
        <v>116</v>
      </c>
      <c r="L2380" s="195"/>
      <c r="M2380" s="195"/>
      <c r="N2380" s="195"/>
      <c r="O2380" s="199"/>
      <c r="P2380" s="188"/>
      <c r="Q2380" s="174">
        <f>IF(ISNUMBER(VLOOKUP(A2380,NotghiID!A:A,1,FALSE)),1,0)</f>
        <v>0</v>
      </c>
    </row>
    <row r="2381" spans="1:17" ht="14.25" x14ac:dyDescent="0.2">
      <c r="A2381" s="183">
        <v>282</v>
      </c>
      <c r="B2381" s="232" t="str">
        <f>IF(AND(A2381&lt;&gt;"",ISNUMBER(A2381)),VLOOKUP(A2381,Studies!A:BR,2,FALSE),"")</f>
        <v>Kharasch 2004</v>
      </c>
      <c r="C2381" s="232" t="str">
        <f>IF(AND(A2381&lt;&gt;"",ISNUMBER(A2381)),VLOOKUP(A2381,Studies!A:BR,3,FALSE),"")</f>
        <v>https://www.ncbi.nlm.nih.gov/pubmed/15536460</v>
      </c>
      <c r="D2381" s="232" t="str">
        <f>IF(AND(A2381&lt;&gt;"",ISNUMBER(A2381)),VLOOKUP(A2381,Studies!A:BR,4,FALSE),"")</f>
        <v>iv Control (Perpetrator Placebo)</v>
      </c>
      <c r="E2381" s="206" t="str">
        <f>IF(AND(A2381&lt;&gt;"",ISNUMBER(A2381)),VLOOKUP(A2381,Studies!A:BR,5,FALSE),"")</f>
        <v>Alfentanil</v>
      </c>
      <c r="F2381" s="207" t="str">
        <f>IF(AND(A2381&lt;&gt;"",ISNUMBER(A2381)),VLOOKUP(A2381,Studies!A:BR,6,FALSE),"")</f>
        <v>Plasma</v>
      </c>
      <c r="G2381" s="194">
        <v>2</v>
      </c>
      <c r="H2381" s="194" t="s">
        <v>60</v>
      </c>
      <c r="I2381" s="187">
        <v>9.3276729583740234</v>
      </c>
      <c r="J2381" s="187" t="s">
        <v>1026</v>
      </c>
      <c r="K2381" s="187" t="s">
        <v>116</v>
      </c>
      <c r="L2381" s="195"/>
      <c r="M2381" s="195"/>
      <c r="N2381" s="195"/>
      <c r="O2381" s="199"/>
      <c r="P2381" s="188"/>
      <c r="Q2381" s="174">
        <f>IF(ISNUMBER(VLOOKUP(A2381,NotghiID!A:A,1,FALSE)),1,0)</f>
        <v>0</v>
      </c>
    </row>
    <row r="2382" spans="1:17" ht="14.25" x14ac:dyDescent="0.2">
      <c r="A2382" s="183">
        <v>282</v>
      </c>
      <c r="B2382" s="232" t="str">
        <f>IF(AND(A2382&lt;&gt;"",ISNUMBER(A2382)),VLOOKUP(A2382,Studies!A:BR,2,FALSE),"")</f>
        <v>Kharasch 2004</v>
      </c>
      <c r="C2382" s="232" t="str">
        <f>IF(AND(A2382&lt;&gt;"",ISNUMBER(A2382)),VLOOKUP(A2382,Studies!A:BR,3,FALSE),"")</f>
        <v>https://www.ncbi.nlm.nih.gov/pubmed/15536460</v>
      </c>
      <c r="D2382" s="232" t="str">
        <f>IF(AND(A2382&lt;&gt;"",ISNUMBER(A2382)),VLOOKUP(A2382,Studies!A:BR,4,FALSE),"")</f>
        <v>iv Control (Perpetrator Placebo)</v>
      </c>
      <c r="E2382" s="206" t="str">
        <f>IF(AND(A2382&lt;&gt;"",ISNUMBER(A2382)),VLOOKUP(A2382,Studies!A:BR,5,FALSE),"")</f>
        <v>Alfentanil</v>
      </c>
      <c r="F2382" s="207" t="str">
        <f>IF(AND(A2382&lt;&gt;"",ISNUMBER(A2382)),VLOOKUP(A2382,Studies!A:BR,6,FALSE),"")</f>
        <v>Plasma</v>
      </c>
      <c r="G2382" s="194">
        <v>3</v>
      </c>
      <c r="H2382" s="194" t="s">
        <v>60</v>
      </c>
      <c r="I2382" s="187">
        <v>5.933347225189209</v>
      </c>
      <c r="J2382" s="187" t="s">
        <v>1026</v>
      </c>
      <c r="K2382" s="187" t="s">
        <v>116</v>
      </c>
      <c r="L2382" s="195"/>
      <c r="M2382" s="195"/>
      <c r="N2382" s="195"/>
      <c r="O2382" s="199"/>
      <c r="P2382" s="188"/>
      <c r="Q2382" s="174">
        <f>IF(ISNUMBER(VLOOKUP(A2382,NotghiID!A:A,1,FALSE)),1,0)</f>
        <v>0</v>
      </c>
    </row>
    <row r="2383" spans="1:17" ht="14.25" x14ac:dyDescent="0.2">
      <c r="A2383" s="183">
        <v>282</v>
      </c>
      <c r="B2383" s="232" t="str">
        <f>IF(AND(A2383&lt;&gt;"",ISNUMBER(A2383)),VLOOKUP(A2383,Studies!A:BR,2,FALSE),"")</f>
        <v>Kharasch 2004</v>
      </c>
      <c r="C2383" s="232" t="str">
        <f>IF(AND(A2383&lt;&gt;"",ISNUMBER(A2383)),VLOOKUP(A2383,Studies!A:BR,3,FALSE),"")</f>
        <v>https://www.ncbi.nlm.nih.gov/pubmed/15536460</v>
      </c>
      <c r="D2383" s="232" t="str">
        <f>IF(AND(A2383&lt;&gt;"",ISNUMBER(A2383)),VLOOKUP(A2383,Studies!A:BR,4,FALSE),"")</f>
        <v>iv Control (Perpetrator Placebo)</v>
      </c>
      <c r="E2383" s="206" t="str">
        <f>IF(AND(A2383&lt;&gt;"",ISNUMBER(A2383)),VLOOKUP(A2383,Studies!A:BR,5,FALSE),"")</f>
        <v>Alfentanil</v>
      </c>
      <c r="F2383" s="207" t="str">
        <f>IF(AND(A2383&lt;&gt;"",ISNUMBER(A2383)),VLOOKUP(A2383,Studies!A:BR,6,FALSE),"")</f>
        <v>Plasma</v>
      </c>
      <c r="G2383" s="194">
        <v>4</v>
      </c>
      <c r="H2383" s="194" t="s">
        <v>60</v>
      </c>
      <c r="I2383" s="187">
        <v>3.2837710380554199</v>
      </c>
      <c r="J2383" s="187" t="s">
        <v>1026</v>
      </c>
      <c r="K2383" s="187" t="s">
        <v>116</v>
      </c>
      <c r="L2383" s="195"/>
      <c r="M2383" s="195"/>
      <c r="N2383" s="195"/>
      <c r="O2383" s="199"/>
      <c r="P2383" s="188"/>
      <c r="Q2383" s="174">
        <f>IF(ISNUMBER(VLOOKUP(A2383,NotghiID!A:A,1,FALSE)),1,0)</f>
        <v>0</v>
      </c>
    </row>
    <row r="2384" spans="1:17" ht="14.25" x14ac:dyDescent="0.2">
      <c r="A2384" s="183">
        <v>282</v>
      </c>
      <c r="B2384" s="232" t="str">
        <f>IF(AND(A2384&lt;&gt;"",ISNUMBER(A2384)),VLOOKUP(A2384,Studies!A:BR,2,FALSE),"")</f>
        <v>Kharasch 2004</v>
      </c>
      <c r="C2384" s="232" t="str">
        <f>IF(AND(A2384&lt;&gt;"",ISNUMBER(A2384)),VLOOKUP(A2384,Studies!A:BR,3,FALSE),"")</f>
        <v>https://www.ncbi.nlm.nih.gov/pubmed/15536460</v>
      </c>
      <c r="D2384" s="232" t="str">
        <f>IF(AND(A2384&lt;&gt;"",ISNUMBER(A2384)),VLOOKUP(A2384,Studies!A:BR,4,FALSE),"")</f>
        <v>iv Control (Perpetrator Placebo)</v>
      </c>
      <c r="E2384" s="206" t="str">
        <f>IF(AND(A2384&lt;&gt;"",ISNUMBER(A2384)),VLOOKUP(A2384,Studies!A:BR,5,FALSE),"")</f>
        <v>Alfentanil</v>
      </c>
      <c r="F2384" s="207" t="str">
        <f>IF(AND(A2384&lt;&gt;"",ISNUMBER(A2384)),VLOOKUP(A2384,Studies!A:BR,6,FALSE),"")</f>
        <v>Plasma</v>
      </c>
      <c r="G2384" s="194">
        <v>5</v>
      </c>
      <c r="H2384" s="194" t="s">
        <v>60</v>
      </c>
      <c r="I2384" s="187">
        <v>1.9036929607391357</v>
      </c>
      <c r="J2384" s="187" t="s">
        <v>1026</v>
      </c>
      <c r="K2384" s="187" t="s">
        <v>116</v>
      </c>
      <c r="L2384" s="195"/>
      <c r="M2384" s="195"/>
      <c r="N2384" s="195"/>
      <c r="O2384" s="199"/>
      <c r="P2384" s="188"/>
      <c r="Q2384" s="174">
        <f>IF(ISNUMBER(VLOOKUP(A2384,NotghiID!A:A,1,FALSE)),1,0)</f>
        <v>0</v>
      </c>
    </row>
    <row r="2385" spans="1:17" ht="14.25" x14ac:dyDescent="0.2">
      <c r="A2385" s="183">
        <v>282</v>
      </c>
      <c r="B2385" s="232" t="str">
        <f>IF(AND(A2385&lt;&gt;"",ISNUMBER(A2385)),VLOOKUP(A2385,Studies!A:BR,2,FALSE),"")</f>
        <v>Kharasch 2004</v>
      </c>
      <c r="C2385" s="232" t="str">
        <f>IF(AND(A2385&lt;&gt;"",ISNUMBER(A2385)),VLOOKUP(A2385,Studies!A:BR,3,FALSE),"")</f>
        <v>https://www.ncbi.nlm.nih.gov/pubmed/15536460</v>
      </c>
      <c r="D2385" s="232" t="str">
        <f>IF(AND(A2385&lt;&gt;"",ISNUMBER(A2385)),VLOOKUP(A2385,Studies!A:BR,4,FALSE),"")</f>
        <v>iv Control (Perpetrator Placebo)</v>
      </c>
      <c r="E2385" s="206" t="str">
        <f>IF(AND(A2385&lt;&gt;"",ISNUMBER(A2385)),VLOOKUP(A2385,Studies!A:BR,5,FALSE),"")</f>
        <v>Alfentanil</v>
      </c>
      <c r="F2385" s="207" t="str">
        <f>IF(AND(A2385&lt;&gt;"",ISNUMBER(A2385)),VLOOKUP(A2385,Studies!A:BR,6,FALSE),"")</f>
        <v>Plasma</v>
      </c>
      <c r="G2385" s="194">
        <v>6</v>
      </c>
      <c r="H2385" s="194" t="s">
        <v>60</v>
      </c>
      <c r="I2385" s="187">
        <v>0.90610557794570923</v>
      </c>
      <c r="J2385" s="187" t="s">
        <v>1026</v>
      </c>
      <c r="K2385" s="187" t="s">
        <v>116</v>
      </c>
      <c r="L2385" s="195"/>
      <c r="M2385" s="195"/>
      <c r="N2385" s="195"/>
      <c r="O2385" s="199"/>
      <c r="P2385" s="188"/>
      <c r="Q2385" s="174">
        <f>IF(ISNUMBER(VLOOKUP(A2385,NotghiID!A:A,1,FALSE)),1,0)</f>
        <v>0</v>
      </c>
    </row>
    <row r="2386" spans="1:17" ht="14.25" x14ac:dyDescent="0.2">
      <c r="A2386" s="183">
        <v>282</v>
      </c>
      <c r="B2386" s="232" t="str">
        <f>IF(AND(A2386&lt;&gt;"",ISNUMBER(A2386)),VLOOKUP(A2386,Studies!A:BR,2,FALSE),"")</f>
        <v>Kharasch 2004</v>
      </c>
      <c r="C2386" s="232" t="str">
        <f>IF(AND(A2386&lt;&gt;"",ISNUMBER(A2386)),VLOOKUP(A2386,Studies!A:BR,3,FALSE),"")</f>
        <v>https://www.ncbi.nlm.nih.gov/pubmed/15536460</v>
      </c>
      <c r="D2386" s="232" t="str">
        <f>IF(AND(A2386&lt;&gt;"",ISNUMBER(A2386)),VLOOKUP(A2386,Studies!A:BR,4,FALSE),"")</f>
        <v>iv Control (Perpetrator Placebo)</v>
      </c>
      <c r="E2386" s="206" t="str">
        <f>IF(AND(A2386&lt;&gt;"",ISNUMBER(A2386)),VLOOKUP(A2386,Studies!A:BR,5,FALSE),"")</f>
        <v>Alfentanil</v>
      </c>
      <c r="F2386" s="207" t="str">
        <f>IF(AND(A2386&lt;&gt;"",ISNUMBER(A2386)),VLOOKUP(A2386,Studies!A:BR,6,FALSE),"")</f>
        <v>Plasma</v>
      </c>
      <c r="G2386" s="194">
        <v>7</v>
      </c>
      <c r="H2386" s="194" t="s">
        <v>60</v>
      </c>
      <c r="I2386" s="187">
        <v>0.50147801637649536</v>
      </c>
      <c r="J2386" s="187" t="s">
        <v>1026</v>
      </c>
      <c r="K2386" s="187" t="s">
        <v>116</v>
      </c>
      <c r="L2386" s="195"/>
      <c r="M2386" s="195"/>
      <c r="N2386" s="195"/>
      <c r="O2386" s="199"/>
      <c r="P2386" s="188"/>
      <c r="Q2386" s="174">
        <f>IF(ISNUMBER(VLOOKUP(A2386,NotghiID!A:A,1,FALSE)),1,0)</f>
        <v>0</v>
      </c>
    </row>
    <row r="2387" spans="1:17" ht="14.25" x14ac:dyDescent="0.2">
      <c r="A2387" s="183">
        <v>282</v>
      </c>
      <c r="B2387" s="232" t="str">
        <f>IF(AND(A2387&lt;&gt;"",ISNUMBER(A2387)),VLOOKUP(A2387,Studies!A:BR,2,FALSE),"")</f>
        <v>Kharasch 2004</v>
      </c>
      <c r="C2387" s="232" t="str">
        <f>IF(AND(A2387&lt;&gt;"",ISNUMBER(A2387)),VLOOKUP(A2387,Studies!A:BR,3,FALSE),"")</f>
        <v>https://www.ncbi.nlm.nih.gov/pubmed/15536460</v>
      </c>
      <c r="D2387" s="232" t="str">
        <f>IF(AND(A2387&lt;&gt;"",ISNUMBER(A2387)),VLOOKUP(A2387,Studies!A:BR,4,FALSE),"")</f>
        <v>iv Control (Perpetrator Placebo)</v>
      </c>
      <c r="E2387" s="206" t="str">
        <f>IF(AND(A2387&lt;&gt;"",ISNUMBER(A2387)),VLOOKUP(A2387,Studies!A:BR,5,FALSE),"")</f>
        <v>Alfentanil</v>
      </c>
      <c r="F2387" s="207" t="str">
        <f>IF(AND(A2387&lt;&gt;"",ISNUMBER(A2387)),VLOOKUP(A2387,Studies!A:BR,6,FALSE),"")</f>
        <v>Plasma</v>
      </c>
      <c r="G2387" s="194">
        <v>8</v>
      </c>
      <c r="H2387" s="194" t="s">
        <v>60</v>
      </c>
      <c r="I2387" s="187">
        <v>0.19825729727745056</v>
      </c>
      <c r="J2387" s="187" t="s">
        <v>1026</v>
      </c>
      <c r="K2387" s="187" t="s">
        <v>116</v>
      </c>
      <c r="L2387" s="195"/>
      <c r="M2387" s="195"/>
      <c r="N2387" s="195"/>
      <c r="O2387" s="199"/>
      <c r="P2387" s="188"/>
      <c r="Q2387" s="174">
        <f>IF(ISNUMBER(VLOOKUP(A2387,NotghiID!A:A,1,FALSE)),1,0)</f>
        <v>0</v>
      </c>
    </row>
    <row r="2388" spans="1:17" ht="14.25" x14ac:dyDescent="0.2">
      <c r="A2388" s="183">
        <v>283</v>
      </c>
      <c r="B2388" s="232" t="str">
        <f>IF(AND(A2388&lt;&gt;"",ISNUMBER(A2388)),VLOOKUP(A2388,Studies!A:BR,2,FALSE),"")</f>
        <v>Kharasch 2004</v>
      </c>
      <c r="C2388" s="232" t="str">
        <f>IF(AND(A2388&lt;&gt;"",ISNUMBER(A2388)),VLOOKUP(A2388,Studies!A:BR,3,FALSE),"")</f>
        <v>https://www.ncbi.nlm.nih.gov/pubmed/15536460</v>
      </c>
      <c r="D2388" s="232" t="str">
        <f>IF(AND(A2388&lt;&gt;"",ISNUMBER(A2388)),VLOOKUP(A2388,Studies!A:BR,4,FALSE),"")</f>
        <v>iv with Perpetrator (Rifampicin)</v>
      </c>
      <c r="E2388" s="206" t="str">
        <f>IF(AND(A2388&lt;&gt;"",ISNUMBER(A2388)),VLOOKUP(A2388,Studies!A:BR,5,FALSE),"")</f>
        <v>Alfentanil</v>
      </c>
      <c r="F2388" s="207" t="str">
        <f>IF(AND(A2388&lt;&gt;"",ISNUMBER(A2388)),VLOOKUP(A2388,Studies!A:BR,6,FALSE),"")</f>
        <v>Plasma</v>
      </c>
      <c r="G2388" s="194">
        <v>105.08333333333333</v>
      </c>
      <c r="H2388" s="194" t="s">
        <v>60</v>
      </c>
      <c r="I2388" s="187">
        <v>49.569450318813324</v>
      </c>
      <c r="J2388" s="187" t="s">
        <v>1026</v>
      </c>
      <c r="K2388" s="187" t="s">
        <v>116</v>
      </c>
      <c r="L2388" s="195"/>
      <c r="M2388" s="195"/>
      <c r="N2388" s="195"/>
      <c r="O2388" s="199"/>
      <c r="P2388" s="188"/>
      <c r="Q2388" s="174">
        <f>IF(ISNUMBER(VLOOKUP(A2388,NotghiID!A:A,1,FALSE)),1,0)</f>
        <v>0</v>
      </c>
    </row>
    <row r="2389" spans="1:17" ht="14.25" x14ac:dyDescent="0.2">
      <c r="A2389" s="183">
        <v>283</v>
      </c>
      <c r="B2389" s="232" t="str">
        <f>IF(AND(A2389&lt;&gt;"",ISNUMBER(A2389)),VLOOKUP(A2389,Studies!A:BR,2,FALSE),"")</f>
        <v>Kharasch 2004</v>
      </c>
      <c r="C2389" s="232" t="str">
        <f>IF(AND(A2389&lt;&gt;"",ISNUMBER(A2389)),VLOOKUP(A2389,Studies!A:BR,3,FALSE),"")</f>
        <v>https://www.ncbi.nlm.nih.gov/pubmed/15536460</v>
      </c>
      <c r="D2389" s="232" t="str">
        <f>IF(AND(A2389&lt;&gt;"",ISNUMBER(A2389)),VLOOKUP(A2389,Studies!A:BR,4,FALSE),"")</f>
        <v>iv with Perpetrator (Rifampicin)</v>
      </c>
      <c r="E2389" s="206" t="str">
        <f>IF(AND(A2389&lt;&gt;"",ISNUMBER(A2389)),VLOOKUP(A2389,Studies!A:BR,5,FALSE),"")</f>
        <v>Alfentanil</v>
      </c>
      <c r="F2389" s="207" t="str">
        <f>IF(AND(A2389&lt;&gt;"",ISNUMBER(A2389)),VLOOKUP(A2389,Studies!A:BR,6,FALSE),"")</f>
        <v>Plasma</v>
      </c>
      <c r="G2389" s="194">
        <v>105.16666666666667</v>
      </c>
      <c r="H2389" s="194" t="s">
        <v>60</v>
      </c>
      <c r="I2389" s="187">
        <v>29.754430055618286</v>
      </c>
      <c r="J2389" s="187" t="s">
        <v>1026</v>
      </c>
      <c r="K2389" s="187" t="s">
        <v>116</v>
      </c>
      <c r="L2389" s="195"/>
      <c r="M2389" s="195"/>
      <c r="N2389" s="195"/>
      <c r="O2389" s="199"/>
      <c r="P2389" s="188"/>
      <c r="Q2389" s="174">
        <f>IF(ISNUMBER(VLOOKUP(A2389,NotghiID!A:A,1,FALSE)),1,0)</f>
        <v>0</v>
      </c>
    </row>
    <row r="2390" spans="1:17" ht="14.25" x14ac:dyDescent="0.2">
      <c r="A2390" s="183">
        <v>283</v>
      </c>
      <c r="B2390" s="232" t="str">
        <f>IF(AND(A2390&lt;&gt;"",ISNUMBER(A2390)),VLOOKUP(A2390,Studies!A:BR,2,FALSE),"")</f>
        <v>Kharasch 2004</v>
      </c>
      <c r="C2390" s="232" t="str">
        <f>IF(AND(A2390&lt;&gt;"",ISNUMBER(A2390)),VLOOKUP(A2390,Studies!A:BR,3,FALSE),"")</f>
        <v>https://www.ncbi.nlm.nih.gov/pubmed/15536460</v>
      </c>
      <c r="D2390" s="232" t="str">
        <f>IF(AND(A2390&lt;&gt;"",ISNUMBER(A2390)),VLOOKUP(A2390,Studies!A:BR,4,FALSE),"")</f>
        <v>iv with Perpetrator (Rifampicin)</v>
      </c>
      <c r="E2390" s="206" t="str">
        <f>IF(AND(A2390&lt;&gt;"",ISNUMBER(A2390)),VLOOKUP(A2390,Studies!A:BR,5,FALSE),"")</f>
        <v>Alfentanil</v>
      </c>
      <c r="F2390" s="207" t="str">
        <f>IF(AND(A2390&lt;&gt;"",ISNUMBER(A2390)),VLOOKUP(A2390,Studies!A:BR,6,FALSE),"")</f>
        <v>Plasma</v>
      </c>
      <c r="G2390" s="194">
        <v>105.25</v>
      </c>
      <c r="H2390" s="194" t="s">
        <v>60</v>
      </c>
      <c r="I2390" s="187">
        <v>20.527809858322144</v>
      </c>
      <c r="J2390" s="187" t="s">
        <v>1026</v>
      </c>
      <c r="K2390" s="187" t="s">
        <v>116</v>
      </c>
      <c r="L2390" s="195">
        <v>5.0616097450256348</v>
      </c>
      <c r="M2390" s="195" t="s">
        <v>1026</v>
      </c>
      <c r="N2390" s="195" t="s">
        <v>117</v>
      </c>
      <c r="O2390" s="199"/>
      <c r="P2390" s="188"/>
      <c r="Q2390" s="174">
        <f>IF(ISNUMBER(VLOOKUP(A2390,NotghiID!A:A,1,FALSE)),1,0)</f>
        <v>0</v>
      </c>
    </row>
    <row r="2391" spans="1:17" ht="14.25" x14ac:dyDescent="0.2">
      <c r="A2391" s="183">
        <v>283</v>
      </c>
      <c r="B2391" s="232" t="str">
        <f>IF(AND(A2391&lt;&gt;"",ISNUMBER(A2391)),VLOOKUP(A2391,Studies!A:BR,2,FALSE),"")</f>
        <v>Kharasch 2004</v>
      </c>
      <c r="C2391" s="232" t="str">
        <f>IF(AND(A2391&lt;&gt;"",ISNUMBER(A2391)),VLOOKUP(A2391,Studies!A:BR,3,FALSE),"")</f>
        <v>https://www.ncbi.nlm.nih.gov/pubmed/15536460</v>
      </c>
      <c r="D2391" s="232" t="str">
        <f>IF(AND(A2391&lt;&gt;"",ISNUMBER(A2391)),VLOOKUP(A2391,Studies!A:BR,4,FALSE),"")</f>
        <v>iv with Perpetrator (Rifampicin)</v>
      </c>
      <c r="E2391" s="206" t="str">
        <f>IF(AND(A2391&lt;&gt;"",ISNUMBER(A2391)),VLOOKUP(A2391,Studies!A:BR,5,FALSE),"")</f>
        <v>Alfentanil</v>
      </c>
      <c r="F2391" s="207" t="str">
        <f>IF(AND(A2391&lt;&gt;"",ISNUMBER(A2391)),VLOOKUP(A2391,Studies!A:BR,6,FALSE),"")</f>
        <v>Plasma</v>
      </c>
      <c r="G2391" s="194">
        <v>105.5</v>
      </c>
      <c r="H2391" s="194" t="s">
        <v>60</v>
      </c>
      <c r="I2391" s="187">
        <v>12.03939039260149</v>
      </c>
      <c r="J2391" s="187" t="s">
        <v>1026</v>
      </c>
      <c r="K2391" s="187" t="s">
        <v>116</v>
      </c>
      <c r="L2391" s="195">
        <v>2.4552998542785645</v>
      </c>
      <c r="M2391" s="195" t="s">
        <v>1026</v>
      </c>
      <c r="N2391" s="195" t="s">
        <v>117</v>
      </c>
      <c r="O2391" s="199"/>
      <c r="P2391" s="188"/>
      <c r="Q2391" s="174">
        <f>IF(ISNUMBER(VLOOKUP(A2391,NotghiID!A:A,1,FALSE)),1,0)</f>
        <v>0</v>
      </c>
    </row>
    <row r="2392" spans="1:17" ht="14.25" x14ac:dyDescent="0.2">
      <c r="A2392" s="183">
        <v>283</v>
      </c>
      <c r="B2392" s="232" t="str">
        <f>IF(AND(A2392&lt;&gt;"",ISNUMBER(A2392)),VLOOKUP(A2392,Studies!A:BR,2,FALSE),"")</f>
        <v>Kharasch 2004</v>
      </c>
      <c r="C2392" s="232" t="str">
        <f>IF(AND(A2392&lt;&gt;"",ISNUMBER(A2392)),VLOOKUP(A2392,Studies!A:BR,3,FALSE),"")</f>
        <v>https://www.ncbi.nlm.nih.gov/pubmed/15536460</v>
      </c>
      <c r="D2392" s="232" t="str">
        <f>IF(AND(A2392&lt;&gt;"",ISNUMBER(A2392)),VLOOKUP(A2392,Studies!A:BR,4,FALSE),"")</f>
        <v>iv with Perpetrator (Rifampicin)</v>
      </c>
      <c r="E2392" s="206" t="str">
        <f>IF(AND(A2392&lt;&gt;"",ISNUMBER(A2392)),VLOOKUP(A2392,Studies!A:BR,5,FALSE),"")</f>
        <v>Alfentanil</v>
      </c>
      <c r="F2392" s="207" t="str">
        <f>IF(AND(A2392&lt;&gt;"",ISNUMBER(A2392)),VLOOKUP(A2392,Studies!A:BR,6,FALSE),"")</f>
        <v>Plasma</v>
      </c>
      <c r="G2392" s="194">
        <v>105.75</v>
      </c>
      <c r="H2392" s="194" t="s">
        <v>60</v>
      </c>
      <c r="I2392" s="187">
        <v>8.0219898372888565</v>
      </c>
      <c r="J2392" s="187" t="s">
        <v>1026</v>
      </c>
      <c r="K2392" s="187" t="s">
        <v>116</v>
      </c>
      <c r="L2392" s="195">
        <v>2.332129955291748</v>
      </c>
      <c r="M2392" s="195" t="s">
        <v>1026</v>
      </c>
      <c r="N2392" s="195" t="s">
        <v>117</v>
      </c>
      <c r="O2392" s="199"/>
      <c r="P2392" s="188"/>
      <c r="Q2392" s="174">
        <f>IF(ISNUMBER(VLOOKUP(A2392,NotghiID!A:A,1,FALSE)),1,0)</f>
        <v>0</v>
      </c>
    </row>
    <row r="2393" spans="1:17" ht="14.25" x14ac:dyDescent="0.2">
      <c r="A2393" s="183">
        <v>283</v>
      </c>
      <c r="B2393" s="232" t="str">
        <f>IF(AND(A2393&lt;&gt;"",ISNUMBER(A2393)),VLOOKUP(A2393,Studies!A:BR,2,FALSE),"")</f>
        <v>Kharasch 2004</v>
      </c>
      <c r="C2393" s="232" t="str">
        <f>IF(AND(A2393&lt;&gt;"",ISNUMBER(A2393)),VLOOKUP(A2393,Studies!A:BR,3,FALSE),"")</f>
        <v>https://www.ncbi.nlm.nih.gov/pubmed/15536460</v>
      </c>
      <c r="D2393" s="232" t="str">
        <f>IF(AND(A2393&lt;&gt;"",ISNUMBER(A2393)),VLOOKUP(A2393,Studies!A:BR,4,FALSE),"")</f>
        <v>iv with Perpetrator (Rifampicin)</v>
      </c>
      <c r="E2393" s="206" t="str">
        <f>IF(AND(A2393&lt;&gt;"",ISNUMBER(A2393)),VLOOKUP(A2393,Studies!A:BR,5,FALSE),"")</f>
        <v>Alfentanil</v>
      </c>
      <c r="F2393" s="207" t="str">
        <f>IF(AND(A2393&lt;&gt;"",ISNUMBER(A2393)),VLOOKUP(A2393,Studies!A:BR,6,FALSE),"")</f>
        <v>Plasma</v>
      </c>
      <c r="G2393" s="194">
        <v>106</v>
      </c>
      <c r="H2393" s="194" t="s">
        <v>60</v>
      </c>
      <c r="I2393" s="187">
        <v>5.2835028618574142</v>
      </c>
      <c r="J2393" s="187" t="s">
        <v>1026</v>
      </c>
      <c r="K2393" s="187" t="s">
        <v>116</v>
      </c>
      <c r="L2393" s="195">
        <v>1.5360070466995239</v>
      </c>
      <c r="M2393" s="195" t="s">
        <v>1026</v>
      </c>
      <c r="N2393" s="195" t="s">
        <v>117</v>
      </c>
      <c r="O2393" s="199"/>
      <c r="P2393" s="188"/>
      <c r="Q2393" s="174">
        <f>IF(ISNUMBER(VLOOKUP(A2393,NotghiID!A:A,1,FALSE)),1,0)</f>
        <v>0</v>
      </c>
    </row>
    <row r="2394" spans="1:17" ht="14.25" x14ac:dyDescent="0.2">
      <c r="A2394" s="183">
        <v>283</v>
      </c>
      <c r="B2394" s="232" t="str">
        <f>IF(AND(A2394&lt;&gt;"",ISNUMBER(A2394)),VLOOKUP(A2394,Studies!A:BR,2,FALSE),"")</f>
        <v>Kharasch 2004</v>
      </c>
      <c r="C2394" s="232" t="str">
        <f>IF(AND(A2394&lt;&gt;"",ISNUMBER(A2394)),VLOOKUP(A2394,Studies!A:BR,3,FALSE),"")</f>
        <v>https://www.ncbi.nlm.nih.gov/pubmed/15536460</v>
      </c>
      <c r="D2394" s="232" t="str">
        <f>IF(AND(A2394&lt;&gt;"",ISNUMBER(A2394)),VLOOKUP(A2394,Studies!A:BR,4,FALSE),"")</f>
        <v>iv with Perpetrator (Rifampicin)</v>
      </c>
      <c r="E2394" s="206" t="str">
        <f>IF(AND(A2394&lt;&gt;"",ISNUMBER(A2394)),VLOOKUP(A2394,Studies!A:BR,5,FALSE),"")</f>
        <v>Alfentanil</v>
      </c>
      <c r="F2394" s="207" t="str">
        <f>IF(AND(A2394&lt;&gt;"",ISNUMBER(A2394)),VLOOKUP(A2394,Studies!A:BR,6,FALSE),"")</f>
        <v>Plasma</v>
      </c>
      <c r="G2394" s="194">
        <v>106.5</v>
      </c>
      <c r="H2394" s="194" t="s">
        <v>60</v>
      </c>
      <c r="I2394" s="187">
        <v>3.3220839686691761</v>
      </c>
      <c r="J2394" s="187" t="s">
        <v>1026</v>
      </c>
      <c r="K2394" s="187" t="s">
        <v>116</v>
      </c>
      <c r="L2394" s="195">
        <v>0.86745500564575195</v>
      </c>
      <c r="M2394" s="195" t="s">
        <v>1026</v>
      </c>
      <c r="N2394" s="195" t="s">
        <v>117</v>
      </c>
      <c r="O2394" s="199"/>
      <c r="P2394" s="188"/>
      <c r="Q2394" s="174">
        <f>IF(ISNUMBER(VLOOKUP(A2394,NotghiID!A:A,1,FALSE)),1,0)</f>
        <v>0</v>
      </c>
    </row>
    <row r="2395" spans="1:17" ht="14.25" x14ac:dyDescent="0.2">
      <c r="A2395" s="183">
        <v>283</v>
      </c>
      <c r="B2395" s="232" t="str">
        <f>IF(AND(A2395&lt;&gt;"",ISNUMBER(A2395)),VLOOKUP(A2395,Studies!A:BR,2,FALSE),"")</f>
        <v>Kharasch 2004</v>
      </c>
      <c r="C2395" s="232" t="str">
        <f>IF(AND(A2395&lt;&gt;"",ISNUMBER(A2395)),VLOOKUP(A2395,Studies!A:BR,3,FALSE),"")</f>
        <v>https://www.ncbi.nlm.nih.gov/pubmed/15536460</v>
      </c>
      <c r="D2395" s="232" t="str">
        <f>IF(AND(A2395&lt;&gt;"",ISNUMBER(A2395)),VLOOKUP(A2395,Studies!A:BR,4,FALSE),"")</f>
        <v>iv with Perpetrator (Rifampicin)</v>
      </c>
      <c r="E2395" s="206" t="str">
        <f>IF(AND(A2395&lt;&gt;"",ISNUMBER(A2395)),VLOOKUP(A2395,Studies!A:BR,5,FALSE),"")</f>
        <v>Alfentanil</v>
      </c>
      <c r="F2395" s="207" t="str">
        <f>IF(AND(A2395&lt;&gt;"",ISNUMBER(A2395)),VLOOKUP(A2395,Studies!A:BR,6,FALSE),"")</f>
        <v>Plasma</v>
      </c>
      <c r="G2395" s="194">
        <v>107</v>
      </c>
      <c r="H2395" s="194" t="s">
        <v>60</v>
      </c>
      <c r="I2395" s="187">
        <v>2.2135439794510603</v>
      </c>
      <c r="J2395" s="187" t="s">
        <v>1026</v>
      </c>
      <c r="K2395" s="187" t="s">
        <v>116</v>
      </c>
      <c r="L2395" s="195">
        <v>0.77920699119567871</v>
      </c>
      <c r="M2395" s="195" t="s">
        <v>1026</v>
      </c>
      <c r="N2395" s="195" t="s">
        <v>117</v>
      </c>
      <c r="O2395" s="199"/>
      <c r="P2395" s="188"/>
      <c r="Q2395" s="174">
        <f>IF(ISNUMBER(VLOOKUP(A2395,NotghiID!A:A,1,FALSE)),1,0)</f>
        <v>0</v>
      </c>
    </row>
    <row r="2396" spans="1:17" ht="14.25" x14ac:dyDescent="0.2">
      <c r="A2396" s="183">
        <v>283</v>
      </c>
      <c r="B2396" s="232" t="str">
        <f>IF(AND(A2396&lt;&gt;"",ISNUMBER(A2396)),VLOOKUP(A2396,Studies!A:BR,2,FALSE),"")</f>
        <v>Kharasch 2004</v>
      </c>
      <c r="C2396" s="232" t="str">
        <f>IF(AND(A2396&lt;&gt;"",ISNUMBER(A2396)),VLOOKUP(A2396,Studies!A:BR,3,FALSE),"")</f>
        <v>https://www.ncbi.nlm.nih.gov/pubmed/15536460</v>
      </c>
      <c r="D2396" s="232" t="str">
        <f>IF(AND(A2396&lt;&gt;"",ISNUMBER(A2396)),VLOOKUP(A2396,Studies!A:BR,4,FALSE),"")</f>
        <v>iv with Perpetrator (Rifampicin)</v>
      </c>
      <c r="E2396" s="206" t="str">
        <f>IF(AND(A2396&lt;&gt;"",ISNUMBER(A2396)),VLOOKUP(A2396,Studies!A:BR,5,FALSE),"")</f>
        <v>Alfentanil</v>
      </c>
      <c r="F2396" s="207" t="str">
        <f>IF(AND(A2396&lt;&gt;"",ISNUMBER(A2396)),VLOOKUP(A2396,Studies!A:BR,6,FALSE),"")</f>
        <v>Plasma</v>
      </c>
      <c r="G2396" s="194">
        <v>107.5</v>
      </c>
      <c r="H2396" s="194" t="s">
        <v>60</v>
      </c>
      <c r="I2396" s="187">
        <v>1.103624003008008</v>
      </c>
      <c r="J2396" s="187" t="s">
        <v>1026</v>
      </c>
      <c r="K2396" s="187" t="s">
        <v>116</v>
      </c>
      <c r="L2396" s="195">
        <v>0.49604499340057373</v>
      </c>
      <c r="M2396" s="195" t="s">
        <v>1026</v>
      </c>
      <c r="N2396" s="195" t="s">
        <v>117</v>
      </c>
      <c r="O2396" s="199"/>
      <c r="P2396" s="188"/>
      <c r="Q2396" s="174">
        <f>IF(ISNUMBER(VLOOKUP(A2396,NotghiID!A:A,1,FALSE)),1,0)</f>
        <v>0</v>
      </c>
    </row>
    <row r="2397" spans="1:17" ht="14.25" x14ac:dyDescent="0.2">
      <c r="A2397" s="183">
        <v>283</v>
      </c>
      <c r="B2397" s="232" t="str">
        <f>IF(AND(A2397&lt;&gt;"",ISNUMBER(A2397)),VLOOKUP(A2397,Studies!A:BR,2,FALSE),"")</f>
        <v>Kharasch 2004</v>
      </c>
      <c r="C2397" s="232" t="str">
        <f>IF(AND(A2397&lt;&gt;"",ISNUMBER(A2397)),VLOOKUP(A2397,Studies!A:BR,3,FALSE),"")</f>
        <v>https://www.ncbi.nlm.nih.gov/pubmed/15536460</v>
      </c>
      <c r="D2397" s="232" t="str">
        <f>IF(AND(A2397&lt;&gt;"",ISNUMBER(A2397)),VLOOKUP(A2397,Studies!A:BR,4,FALSE),"")</f>
        <v>iv with Perpetrator (Rifampicin)</v>
      </c>
      <c r="E2397" s="206" t="str">
        <f>IF(AND(A2397&lt;&gt;"",ISNUMBER(A2397)),VLOOKUP(A2397,Studies!A:BR,5,FALSE),"")</f>
        <v>Alfentanil</v>
      </c>
      <c r="F2397" s="207" t="str">
        <f>IF(AND(A2397&lt;&gt;"",ISNUMBER(A2397)),VLOOKUP(A2397,Studies!A:BR,6,FALSE),"")</f>
        <v>Plasma</v>
      </c>
      <c r="G2397" s="194">
        <v>108</v>
      </c>
      <c r="H2397" s="194" t="s">
        <v>60</v>
      </c>
      <c r="I2397" s="187">
        <v>0.60374900931492448</v>
      </c>
      <c r="J2397" s="187" t="s">
        <v>1026</v>
      </c>
      <c r="K2397" s="187" t="s">
        <v>116</v>
      </c>
      <c r="L2397" s="195">
        <v>0.49987497925758362</v>
      </c>
      <c r="M2397" s="195" t="s">
        <v>1026</v>
      </c>
      <c r="N2397" s="195" t="s">
        <v>117</v>
      </c>
      <c r="O2397" s="199"/>
      <c r="P2397" s="188"/>
      <c r="Q2397" s="174">
        <f>IF(ISNUMBER(VLOOKUP(A2397,NotghiID!A:A,1,FALSE)),1,0)</f>
        <v>0</v>
      </c>
    </row>
    <row r="2398" spans="1:17" ht="14.25" x14ac:dyDescent="0.2">
      <c r="A2398" s="183">
        <v>283</v>
      </c>
      <c r="B2398" s="232" t="str">
        <f>IF(AND(A2398&lt;&gt;"",ISNUMBER(A2398)),VLOOKUP(A2398,Studies!A:BR,2,FALSE),"")</f>
        <v>Kharasch 2004</v>
      </c>
      <c r="C2398" s="232" t="str">
        <f>IF(AND(A2398&lt;&gt;"",ISNUMBER(A2398)),VLOOKUP(A2398,Studies!A:BR,3,FALSE),"")</f>
        <v>https://www.ncbi.nlm.nih.gov/pubmed/15536460</v>
      </c>
      <c r="D2398" s="232" t="str">
        <f>IF(AND(A2398&lt;&gt;"",ISNUMBER(A2398)),VLOOKUP(A2398,Studies!A:BR,4,FALSE),"")</f>
        <v>iv with Perpetrator (Rifampicin)</v>
      </c>
      <c r="E2398" s="206" t="str">
        <f>IF(AND(A2398&lt;&gt;"",ISNUMBER(A2398)),VLOOKUP(A2398,Studies!A:BR,5,FALSE),"")</f>
        <v>Alfentanil</v>
      </c>
      <c r="F2398" s="207" t="str">
        <f>IF(AND(A2398&lt;&gt;"",ISNUMBER(A2398)),VLOOKUP(A2398,Studies!A:BR,6,FALSE),"")</f>
        <v>Plasma</v>
      </c>
      <c r="G2398" s="194">
        <v>109</v>
      </c>
      <c r="H2398" s="194" t="s">
        <v>60</v>
      </c>
      <c r="I2398" s="187">
        <v>0.1982573012355715</v>
      </c>
      <c r="J2398" s="187" t="s">
        <v>1026</v>
      </c>
      <c r="K2398" s="187" t="s">
        <v>116</v>
      </c>
      <c r="L2398" s="195">
        <v>0.20402790606021881</v>
      </c>
      <c r="M2398" s="195" t="s">
        <v>1026</v>
      </c>
      <c r="N2398" s="195" t="s">
        <v>117</v>
      </c>
      <c r="O2398" s="199"/>
      <c r="P2398" s="188"/>
      <c r="Q2398" s="174">
        <f>IF(ISNUMBER(VLOOKUP(A2398,NotghiID!A:A,1,FALSE)),1,0)</f>
        <v>0</v>
      </c>
    </row>
    <row r="2399" spans="1:17" ht="14.25" x14ac:dyDescent="0.2">
      <c r="A2399" s="183">
        <v>287</v>
      </c>
      <c r="B2399" s="232" t="str">
        <f>IF(AND(A2399&lt;&gt;"",ISNUMBER(A2399)),VLOOKUP(A2399,Studies!A:BR,2,FALSE),"")</f>
        <v>Kharasch 2004</v>
      </c>
      <c r="C2399" s="232" t="str">
        <f>IF(AND(A2399&lt;&gt;"",ISNUMBER(A2399)),VLOOKUP(A2399,Studies!A:BR,3,FALSE),"")</f>
        <v>https://www.ncbi.nlm.nih.gov/pubmed/15536460</v>
      </c>
      <c r="D2399" s="232" t="str">
        <f>IF(AND(A2399&lt;&gt;"",ISNUMBER(A2399)),VLOOKUP(A2399,Studies!A:BR,4,FALSE),"")</f>
        <v>po #1 (60 µg/kg) Control (Perpetrator Placebo)</v>
      </c>
      <c r="E2399" s="206" t="str">
        <f>IF(AND(A2399&lt;&gt;"",ISNUMBER(A2399)),VLOOKUP(A2399,Studies!A:BR,5,FALSE),"")</f>
        <v>Alfentanil</v>
      </c>
      <c r="F2399" s="207" t="str">
        <f>IF(AND(A2399&lt;&gt;"",ISNUMBER(A2399)),VLOOKUP(A2399,Studies!A:BR,6,FALSE),"")</f>
        <v>Plasma</v>
      </c>
      <c r="G2399" s="194">
        <v>8.3333333333333329E-2</v>
      </c>
      <c r="H2399" s="194" t="s">
        <v>60</v>
      </c>
      <c r="I2399" s="187">
        <v>2.5601749420166016</v>
      </c>
      <c r="J2399" s="187" t="s">
        <v>1026</v>
      </c>
      <c r="K2399" s="187" t="s">
        <v>116</v>
      </c>
      <c r="L2399" s="195"/>
      <c r="M2399" s="195"/>
      <c r="N2399" s="195"/>
      <c r="O2399" s="199"/>
      <c r="P2399" s="188"/>
      <c r="Q2399" s="174">
        <f>IF(ISNUMBER(VLOOKUP(A2399,NotghiID!A:A,1,FALSE)),1,0)</f>
        <v>0</v>
      </c>
    </row>
    <row r="2400" spans="1:17" ht="14.25" x14ac:dyDescent="0.2">
      <c r="A2400" s="183">
        <v>287</v>
      </c>
      <c r="B2400" s="232" t="str">
        <f>IF(AND(A2400&lt;&gt;"",ISNUMBER(A2400)),VLOOKUP(A2400,Studies!A:BR,2,FALSE),"")</f>
        <v>Kharasch 2004</v>
      </c>
      <c r="C2400" s="232" t="str">
        <f>IF(AND(A2400&lt;&gt;"",ISNUMBER(A2400)),VLOOKUP(A2400,Studies!A:BR,3,FALSE),"")</f>
        <v>https://www.ncbi.nlm.nih.gov/pubmed/15536460</v>
      </c>
      <c r="D2400" s="232" t="str">
        <f>IF(AND(A2400&lt;&gt;"",ISNUMBER(A2400)),VLOOKUP(A2400,Studies!A:BR,4,FALSE),"")</f>
        <v>po #1 (60 µg/kg) Control (Perpetrator Placebo)</v>
      </c>
      <c r="E2400" s="206" t="str">
        <f>IF(AND(A2400&lt;&gt;"",ISNUMBER(A2400)),VLOOKUP(A2400,Studies!A:BR,5,FALSE),"")</f>
        <v>Alfentanil</v>
      </c>
      <c r="F2400" s="207" t="str">
        <f>IF(AND(A2400&lt;&gt;"",ISNUMBER(A2400)),VLOOKUP(A2400,Studies!A:BR,6,FALSE),"")</f>
        <v>Plasma</v>
      </c>
      <c r="G2400" s="194">
        <v>0.16666666666666666</v>
      </c>
      <c r="H2400" s="194" t="s">
        <v>60</v>
      </c>
      <c r="I2400" s="187">
        <v>13.763679504394531</v>
      </c>
      <c r="J2400" s="187" t="s">
        <v>1026</v>
      </c>
      <c r="K2400" s="187" t="s">
        <v>116</v>
      </c>
      <c r="L2400" s="195">
        <v>13.479209899902344</v>
      </c>
      <c r="M2400" s="195" t="s">
        <v>1026</v>
      </c>
      <c r="N2400" s="195" t="s">
        <v>117</v>
      </c>
      <c r="O2400" s="199"/>
      <c r="P2400" s="188"/>
      <c r="Q2400" s="174">
        <f>IF(ISNUMBER(VLOOKUP(A2400,NotghiID!A:A,1,FALSE)),1,0)</f>
        <v>0</v>
      </c>
    </row>
    <row r="2401" spans="1:17" ht="14.25" x14ac:dyDescent="0.2">
      <c r="A2401" s="183">
        <v>287</v>
      </c>
      <c r="B2401" s="232" t="str">
        <f>IF(AND(A2401&lt;&gt;"",ISNUMBER(A2401)),VLOOKUP(A2401,Studies!A:BR,2,FALSE),"")</f>
        <v>Kharasch 2004</v>
      </c>
      <c r="C2401" s="232" t="str">
        <f>IF(AND(A2401&lt;&gt;"",ISNUMBER(A2401)),VLOOKUP(A2401,Studies!A:BR,3,FALSE),"")</f>
        <v>https://www.ncbi.nlm.nih.gov/pubmed/15536460</v>
      </c>
      <c r="D2401" s="232" t="str">
        <f>IF(AND(A2401&lt;&gt;"",ISNUMBER(A2401)),VLOOKUP(A2401,Studies!A:BR,4,FALSE),"")</f>
        <v>po #1 (60 µg/kg) Control (Perpetrator Placebo)</v>
      </c>
      <c r="E2401" s="206" t="str">
        <f>IF(AND(A2401&lt;&gt;"",ISNUMBER(A2401)),VLOOKUP(A2401,Studies!A:BR,5,FALSE),"")</f>
        <v>Alfentanil</v>
      </c>
      <c r="F2401" s="207" t="str">
        <f>IF(AND(A2401&lt;&gt;"",ISNUMBER(A2401)),VLOOKUP(A2401,Studies!A:BR,6,FALSE),"")</f>
        <v>Plasma</v>
      </c>
      <c r="G2401" s="194">
        <v>0.25</v>
      </c>
      <c r="H2401" s="194" t="s">
        <v>60</v>
      </c>
      <c r="I2401" s="187">
        <v>26.630199432373047</v>
      </c>
      <c r="J2401" s="187" t="s">
        <v>1026</v>
      </c>
      <c r="K2401" s="187" t="s">
        <v>116</v>
      </c>
      <c r="L2401" s="195">
        <v>19.606119155883789</v>
      </c>
      <c r="M2401" s="195" t="s">
        <v>1026</v>
      </c>
      <c r="N2401" s="195" t="s">
        <v>117</v>
      </c>
      <c r="O2401" s="199"/>
      <c r="P2401" s="188"/>
      <c r="Q2401" s="174">
        <f>IF(ISNUMBER(VLOOKUP(A2401,NotghiID!A:A,1,FALSE)),1,0)</f>
        <v>0</v>
      </c>
    </row>
    <row r="2402" spans="1:17" ht="14.25" x14ac:dyDescent="0.2">
      <c r="A2402" s="183">
        <v>287</v>
      </c>
      <c r="B2402" s="232" t="str">
        <f>IF(AND(A2402&lt;&gt;"",ISNUMBER(A2402)),VLOOKUP(A2402,Studies!A:BR,2,FALSE),"")</f>
        <v>Kharasch 2004</v>
      </c>
      <c r="C2402" s="232" t="str">
        <f>IF(AND(A2402&lt;&gt;"",ISNUMBER(A2402)),VLOOKUP(A2402,Studies!A:BR,3,FALSE),"")</f>
        <v>https://www.ncbi.nlm.nih.gov/pubmed/15536460</v>
      </c>
      <c r="D2402" s="232" t="str">
        <f>IF(AND(A2402&lt;&gt;"",ISNUMBER(A2402)),VLOOKUP(A2402,Studies!A:BR,4,FALSE),"")</f>
        <v>po #1 (60 µg/kg) Control (Perpetrator Placebo)</v>
      </c>
      <c r="E2402" s="206" t="str">
        <f>IF(AND(A2402&lt;&gt;"",ISNUMBER(A2402)),VLOOKUP(A2402,Studies!A:BR,5,FALSE),"")</f>
        <v>Alfentanil</v>
      </c>
      <c r="F2402" s="207" t="str">
        <f>IF(AND(A2402&lt;&gt;"",ISNUMBER(A2402)),VLOOKUP(A2402,Studies!A:BR,6,FALSE),"")</f>
        <v>Plasma</v>
      </c>
      <c r="G2402" s="194">
        <v>0.5</v>
      </c>
      <c r="H2402" s="194" t="s">
        <v>60</v>
      </c>
      <c r="I2402" s="187">
        <v>31.706779479980469</v>
      </c>
      <c r="J2402" s="187" t="s">
        <v>1026</v>
      </c>
      <c r="K2402" s="187" t="s">
        <v>116</v>
      </c>
      <c r="L2402" s="195">
        <v>12.516409873962402</v>
      </c>
      <c r="M2402" s="195" t="s">
        <v>1026</v>
      </c>
      <c r="N2402" s="195" t="s">
        <v>117</v>
      </c>
      <c r="O2402" s="199"/>
      <c r="P2402" s="188"/>
      <c r="Q2402" s="174">
        <f>IF(ISNUMBER(VLOOKUP(A2402,NotghiID!A:A,1,FALSE)),1,0)</f>
        <v>0</v>
      </c>
    </row>
    <row r="2403" spans="1:17" ht="14.25" x14ac:dyDescent="0.2">
      <c r="A2403" s="183">
        <v>287</v>
      </c>
      <c r="B2403" s="232" t="str">
        <f>IF(AND(A2403&lt;&gt;"",ISNUMBER(A2403)),VLOOKUP(A2403,Studies!A:BR,2,FALSE),"")</f>
        <v>Kharasch 2004</v>
      </c>
      <c r="C2403" s="232" t="str">
        <f>IF(AND(A2403&lt;&gt;"",ISNUMBER(A2403)),VLOOKUP(A2403,Studies!A:BR,3,FALSE),"")</f>
        <v>https://www.ncbi.nlm.nih.gov/pubmed/15536460</v>
      </c>
      <c r="D2403" s="232" t="str">
        <f>IF(AND(A2403&lt;&gt;"",ISNUMBER(A2403)),VLOOKUP(A2403,Studies!A:BR,4,FALSE),"")</f>
        <v>po #1 (60 µg/kg) Control (Perpetrator Placebo)</v>
      </c>
      <c r="E2403" s="206" t="str">
        <f>IF(AND(A2403&lt;&gt;"",ISNUMBER(A2403)),VLOOKUP(A2403,Studies!A:BR,5,FALSE),"")</f>
        <v>Alfentanil</v>
      </c>
      <c r="F2403" s="207" t="str">
        <f>IF(AND(A2403&lt;&gt;"",ISNUMBER(A2403)),VLOOKUP(A2403,Studies!A:BR,6,FALSE),"")</f>
        <v>Plasma</v>
      </c>
      <c r="G2403" s="194">
        <v>0.75</v>
      </c>
      <c r="H2403" s="194" t="s">
        <v>60</v>
      </c>
      <c r="I2403" s="187">
        <v>38.621440887451172</v>
      </c>
      <c r="J2403" s="187" t="s">
        <v>1026</v>
      </c>
      <c r="K2403" s="187" t="s">
        <v>116</v>
      </c>
      <c r="L2403" s="195">
        <v>17.155370712280273</v>
      </c>
      <c r="M2403" s="195" t="s">
        <v>1026</v>
      </c>
      <c r="N2403" s="195" t="s">
        <v>117</v>
      </c>
      <c r="O2403" s="199"/>
      <c r="P2403" s="188"/>
      <c r="Q2403" s="174">
        <f>IF(ISNUMBER(VLOOKUP(A2403,NotghiID!A:A,1,FALSE)),1,0)</f>
        <v>0</v>
      </c>
    </row>
    <row r="2404" spans="1:17" ht="14.25" x14ac:dyDescent="0.2">
      <c r="A2404" s="183">
        <v>287</v>
      </c>
      <c r="B2404" s="232" t="str">
        <f>IF(AND(A2404&lt;&gt;"",ISNUMBER(A2404)),VLOOKUP(A2404,Studies!A:BR,2,FALSE),"")</f>
        <v>Kharasch 2004</v>
      </c>
      <c r="C2404" s="232" t="str">
        <f>IF(AND(A2404&lt;&gt;"",ISNUMBER(A2404)),VLOOKUP(A2404,Studies!A:BR,3,FALSE),"")</f>
        <v>https://www.ncbi.nlm.nih.gov/pubmed/15536460</v>
      </c>
      <c r="D2404" s="232" t="str">
        <f>IF(AND(A2404&lt;&gt;"",ISNUMBER(A2404)),VLOOKUP(A2404,Studies!A:BR,4,FALSE),"")</f>
        <v>po #1 (60 µg/kg) Control (Perpetrator Placebo)</v>
      </c>
      <c r="E2404" s="206" t="str">
        <f>IF(AND(A2404&lt;&gt;"",ISNUMBER(A2404)),VLOOKUP(A2404,Studies!A:BR,5,FALSE),"")</f>
        <v>Alfentanil</v>
      </c>
      <c r="F2404" s="207" t="str">
        <f>IF(AND(A2404&lt;&gt;"",ISNUMBER(A2404)),VLOOKUP(A2404,Studies!A:BR,6,FALSE),"")</f>
        <v>Plasma</v>
      </c>
      <c r="G2404" s="194">
        <v>1</v>
      </c>
      <c r="H2404" s="194" t="s">
        <v>60</v>
      </c>
      <c r="I2404" s="187">
        <v>36.170677185058594</v>
      </c>
      <c r="J2404" s="187" t="s">
        <v>1026</v>
      </c>
      <c r="K2404" s="187" t="s">
        <v>116</v>
      </c>
      <c r="L2404" s="195">
        <v>12.341360092163086</v>
      </c>
      <c r="M2404" s="195" t="s">
        <v>1026</v>
      </c>
      <c r="N2404" s="195" t="s">
        <v>117</v>
      </c>
      <c r="O2404" s="199"/>
      <c r="P2404" s="188"/>
      <c r="Q2404" s="174">
        <f>IF(ISNUMBER(VLOOKUP(A2404,NotghiID!A:A,1,FALSE)),1,0)</f>
        <v>0</v>
      </c>
    </row>
    <row r="2405" spans="1:17" ht="14.25" x14ac:dyDescent="0.2">
      <c r="A2405" s="183">
        <v>287</v>
      </c>
      <c r="B2405" s="232" t="str">
        <f>IF(AND(A2405&lt;&gt;"",ISNUMBER(A2405)),VLOOKUP(A2405,Studies!A:BR,2,FALSE),"")</f>
        <v>Kharasch 2004</v>
      </c>
      <c r="C2405" s="232" t="str">
        <f>IF(AND(A2405&lt;&gt;"",ISNUMBER(A2405)),VLOOKUP(A2405,Studies!A:BR,3,FALSE),"")</f>
        <v>https://www.ncbi.nlm.nih.gov/pubmed/15536460</v>
      </c>
      <c r="D2405" s="232" t="str">
        <f>IF(AND(A2405&lt;&gt;"",ISNUMBER(A2405)),VLOOKUP(A2405,Studies!A:BR,4,FALSE),"")</f>
        <v>po #1 (60 µg/kg) Control (Perpetrator Placebo)</v>
      </c>
      <c r="E2405" s="206" t="str">
        <f>IF(AND(A2405&lt;&gt;"",ISNUMBER(A2405)),VLOOKUP(A2405,Studies!A:BR,5,FALSE),"")</f>
        <v>Alfentanil</v>
      </c>
      <c r="F2405" s="207" t="str">
        <f>IF(AND(A2405&lt;&gt;"",ISNUMBER(A2405)),VLOOKUP(A2405,Studies!A:BR,6,FALSE),"")</f>
        <v>Plasma</v>
      </c>
      <c r="G2405" s="194">
        <v>1.5</v>
      </c>
      <c r="H2405" s="194" t="s">
        <v>60</v>
      </c>
      <c r="I2405" s="187">
        <v>26.280088424682617</v>
      </c>
      <c r="J2405" s="187" t="s">
        <v>1026</v>
      </c>
      <c r="K2405" s="187" t="s">
        <v>116</v>
      </c>
      <c r="L2405" s="195">
        <v>8.7527303695678711</v>
      </c>
      <c r="M2405" s="195" t="s">
        <v>1026</v>
      </c>
      <c r="N2405" s="195" t="s">
        <v>117</v>
      </c>
      <c r="O2405" s="199"/>
      <c r="P2405" s="188"/>
      <c r="Q2405" s="174">
        <f>IF(ISNUMBER(VLOOKUP(A2405,NotghiID!A:A,1,FALSE)),1,0)</f>
        <v>0</v>
      </c>
    </row>
    <row r="2406" spans="1:17" ht="14.25" x14ac:dyDescent="0.2">
      <c r="A2406" s="183">
        <v>287</v>
      </c>
      <c r="B2406" s="232" t="str">
        <f>IF(AND(A2406&lt;&gt;"",ISNUMBER(A2406)),VLOOKUP(A2406,Studies!A:BR,2,FALSE),"")</f>
        <v>Kharasch 2004</v>
      </c>
      <c r="C2406" s="232" t="str">
        <f>IF(AND(A2406&lt;&gt;"",ISNUMBER(A2406)),VLOOKUP(A2406,Studies!A:BR,3,FALSE),"")</f>
        <v>https://www.ncbi.nlm.nih.gov/pubmed/15536460</v>
      </c>
      <c r="D2406" s="232" t="str">
        <f>IF(AND(A2406&lt;&gt;"",ISNUMBER(A2406)),VLOOKUP(A2406,Studies!A:BR,4,FALSE),"")</f>
        <v>po #1 (60 µg/kg) Control (Perpetrator Placebo)</v>
      </c>
      <c r="E2406" s="206" t="str">
        <f>IF(AND(A2406&lt;&gt;"",ISNUMBER(A2406)),VLOOKUP(A2406,Studies!A:BR,5,FALSE),"")</f>
        <v>Alfentanil</v>
      </c>
      <c r="F2406" s="207" t="str">
        <f>IF(AND(A2406&lt;&gt;"",ISNUMBER(A2406)),VLOOKUP(A2406,Studies!A:BR,6,FALSE),"")</f>
        <v>Plasma</v>
      </c>
      <c r="G2406" s="194">
        <v>2</v>
      </c>
      <c r="H2406" s="194" t="s">
        <v>60</v>
      </c>
      <c r="I2406" s="187">
        <v>20.240699768066406</v>
      </c>
      <c r="J2406" s="187" t="s">
        <v>1026</v>
      </c>
      <c r="K2406" s="187" t="s">
        <v>116</v>
      </c>
      <c r="L2406" s="195">
        <v>10.065639495849609</v>
      </c>
      <c r="M2406" s="195" t="s">
        <v>1026</v>
      </c>
      <c r="N2406" s="195" t="s">
        <v>117</v>
      </c>
      <c r="O2406" s="199"/>
      <c r="P2406" s="188"/>
      <c r="Q2406" s="174">
        <f>IF(ISNUMBER(VLOOKUP(A2406,NotghiID!A:A,1,FALSE)),1,0)</f>
        <v>0</v>
      </c>
    </row>
    <row r="2407" spans="1:17" ht="14.25" x14ac:dyDescent="0.2">
      <c r="A2407" s="183">
        <v>287</v>
      </c>
      <c r="B2407" s="232" t="str">
        <f>IF(AND(A2407&lt;&gt;"",ISNUMBER(A2407)),VLOOKUP(A2407,Studies!A:BR,2,FALSE),"")</f>
        <v>Kharasch 2004</v>
      </c>
      <c r="C2407" s="232" t="str">
        <f>IF(AND(A2407&lt;&gt;"",ISNUMBER(A2407)),VLOOKUP(A2407,Studies!A:BR,3,FALSE),"")</f>
        <v>https://www.ncbi.nlm.nih.gov/pubmed/15536460</v>
      </c>
      <c r="D2407" s="232" t="str">
        <f>IF(AND(A2407&lt;&gt;"",ISNUMBER(A2407)),VLOOKUP(A2407,Studies!A:BR,4,FALSE),"")</f>
        <v>po #1 (60 µg/kg) Control (Perpetrator Placebo)</v>
      </c>
      <c r="E2407" s="206" t="str">
        <f>IF(AND(A2407&lt;&gt;"",ISNUMBER(A2407)),VLOOKUP(A2407,Studies!A:BR,5,FALSE),"")</f>
        <v>Alfentanil</v>
      </c>
      <c r="F2407" s="207" t="str">
        <f>IF(AND(A2407&lt;&gt;"",ISNUMBER(A2407)),VLOOKUP(A2407,Studies!A:BR,6,FALSE),"")</f>
        <v>Plasma</v>
      </c>
      <c r="G2407" s="194">
        <v>3</v>
      </c>
      <c r="H2407" s="194" t="s">
        <v>60</v>
      </c>
      <c r="I2407" s="187">
        <v>15.251640319824219</v>
      </c>
      <c r="J2407" s="187" t="s">
        <v>1026</v>
      </c>
      <c r="K2407" s="187" t="s">
        <v>116</v>
      </c>
      <c r="L2407" s="195">
        <v>5.601750373840332</v>
      </c>
      <c r="M2407" s="195" t="s">
        <v>1026</v>
      </c>
      <c r="N2407" s="195" t="s">
        <v>117</v>
      </c>
      <c r="O2407" s="199"/>
      <c r="P2407" s="188"/>
      <c r="Q2407" s="174">
        <f>IF(ISNUMBER(VLOOKUP(A2407,NotghiID!A:A,1,FALSE)),1,0)</f>
        <v>0</v>
      </c>
    </row>
    <row r="2408" spans="1:17" ht="14.25" x14ac:dyDescent="0.2">
      <c r="A2408" s="183">
        <v>287</v>
      </c>
      <c r="B2408" s="232" t="str">
        <f>IF(AND(A2408&lt;&gt;"",ISNUMBER(A2408)),VLOOKUP(A2408,Studies!A:BR,2,FALSE),"")</f>
        <v>Kharasch 2004</v>
      </c>
      <c r="C2408" s="232" t="str">
        <f>IF(AND(A2408&lt;&gt;"",ISNUMBER(A2408)),VLOOKUP(A2408,Studies!A:BR,3,FALSE),"")</f>
        <v>https://www.ncbi.nlm.nih.gov/pubmed/15536460</v>
      </c>
      <c r="D2408" s="232" t="str">
        <f>IF(AND(A2408&lt;&gt;"",ISNUMBER(A2408)),VLOOKUP(A2408,Studies!A:BR,4,FALSE),"")</f>
        <v>po #1 (60 µg/kg) Control (Perpetrator Placebo)</v>
      </c>
      <c r="E2408" s="206" t="str">
        <f>IF(AND(A2408&lt;&gt;"",ISNUMBER(A2408)),VLOOKUP(A2408,Studies!A:BR,5,FALSE),"")</f>
        <v>Alfentanil</v>
      </c>
      <c r="F2408" s="207" t="str">
        <f>IF(AND(A2408&lt;&gt;"",ISNUMBER(A2408)),VLOOKUP(A2408,Studies!A:BR,6,FALSE),"")</f>
        <v>Plasma</v>
      </c>
      <c r="G2408" s="194">
        <v>4</v>
      </c>
      <c r="H2408" s="194" t="s">
        <v>60</v>
      </c>
      <c r="I2408" s="187">
        <v>8.5120344161987305</v>
      </c>
      <c r="J2408" s="187" t="s">
        <v>1026</v>
      </c>
      <c r="K2408" s="187" t="s">
        <v>116</v>
      </c>
      <c r="L2408" s="195">
        <v>4.6389446258544922</v>
      </c>
      <c r="M2408" s="195" t="s">
        <v>1026</v>
      </c>
      <c r="N2408" s="195" t="s">
        <v>117</v>
      </c>
      <c r="O2408" s="199"/>
      <c r="P2408" s="188"/>
      <c r="Q2408" s="174">
        <f>IF(ISNUMBER(VLOOKUP(A2408,NotghiID!A:A,1,FALSE)),1,0)</f>
        <v>0</v>
      </c>
    </row>
    <row r="2409" spans="1:17" ht="14.25" x14ac:dyDescent="0.2">
      <c r="A2409" s="183">
        <v>287</v>
      </c>
      <c r="B2409" s="232" t="str">
        <f>IF(AND(A2409&lt;&gt;"",ISNUMBER(A2409)),VLOOKUP(A2409,Studies!A:BR,2,FALSE),"")</f>
        <v>Kharasch 2004</v>
      </c>
      <c r="C2409" s="232" t="str">
        <f>IF(AND(A2409&lt;&gt;"",ISNUMBER(A2409)),VLOOKUP(A2409,Studies!A:BR,3,FALSE),"")</f>
        <v>https://www.ncbi.nlm.nih.gov/pubmed/15536460</v>
      </c>
      <c r="D2409" s="232" t="str">
        <f>IF(AND(A2409&lt;&gt;"",ISNUMBER(A2409)),VLOOKUP(A2409,Studies!A:BR,4,FALSE),"")</f>
        <v>po #1 (60 µg/kg) Control (Perpetrator Placebo)</v>
      </c>
      <c r="E2409" s="206" t="str">
        <f>IF(AND(A2409&lt;&gt;"",ISNUMBER(A2409)),VLOOKUP(A2409,Studies!A:BR,5,FALSE),"")</f>
        <v>Alfentanil</v>
      </c>
      <c r="F2409" s="207" t="str">
        <f>IF(AND(A2409&lt;&gt;"",ISNUMBER(A2409)),VLOOKUP(A2409,Studies!A:BR,6,FALSE),"")</f>
        <v>Plasma</v>
      </c>
      <c r="G2409" s="194">
        <v>5</v>
      </c>
      <c r="H2409" s="194" t="s">
        <v>60</v>
      </c>
      <c r="I2409" s="187">
        <v>5.1859960556030273</v>
      </c>
      <c r="J2409" s="187" t="s">
        <v>1026</v>
      </c>
      <c r="K2409" s="187" t="s">
        <v>116</v>
      </c>
      <c r="L2409" s="195">
        <v>2.888401985168457</v>
      </c>
      <c r="M2409" s="195" t="s">
        <v>1026</v>
      </c>
      <c r="N2409" s="195" t="s">
        <v>117</v>
      </c>
      <c r="O2409" s="199"/>
      <c r="P2409" s="188"/>
      <c r="Q2409" s="174">
        <f>IF(ISNUMBER(VLOOKUP(A2409,NotghiID!A:A,1,FALSE)),1,0)</f>
        <v>0</v>
      </c>
    </row>
    <row r="2410" spans="1:17" ht="14.25" x14ac:dyDescent="0.2">
      <c r="A2410" s="183">
        <v>287</v>
      </c>
      <c r="B2410" s="232" t="str">
        <f>IF(AND(A2410&lt;&gt;"",ISNUMBER(A2410)),VLOOKUP(A2410,Studies!A:BR,2,FALSE),"")</f>
        <v>Kharasch 2004</v>
      </c>
      <c r="C2410" s="232" t="str">
        <f>IF(AND(A2410&lt;&gt;"",ISNUMBER(A2410)),VLOOKUP(A2410,Studies!A:BR,3,FALSE),"")</f>
        <v>https://www.ncbi.nlm.nih.gov/pubmed/15536460</v>
      </c>
      <c r="D2410" s="232" t="str">
        <f>IF(AND(A2410&lt;&gt;"",ISNUMBER(A2410)),VLOOKUP(A2410,Studies!A:BR,4,FALSE),"")</f>
        <v>po #1 (60 µg/kg) Control (Perpetrator Placebo)</v>
      </c>
      <c r="E2410" s="206" t="str">
        <f>IF(AND(A2410&lt;&gt;"",ISNUMBER(A2410)),VLOOKUP(A2410,Studies!A:BR,5,FALSE),"")</f>
        <v>Alfentanil</v>
      </c>
      <c r="F2410" s="207" t="str">
        <f>IF(AND(A2410&lt;&gt;"",ISNUMBER(A2410)),VLOOKUP(A2410,Studies!A:BR,6,FALSE),"")</f>
        <v>Plasma</v>
      </c>
      <c r="G2410" s="194">
        <v>6</v>
      </c>
      <c r="H2410" s="194" t="s">
        <v>60</v>
      </c>
      <c r="I2410" s="187">
        <v>2.997812032699585</v>
      </c>
      <c r="J2410" s="187" t="s">
        <v>1026</v>
      </c>
      <c r="K2410" s="187" t="s">
        <v>116</v>
      </c>
      <c r="L2410" s="195">
        <v>1.4879649877548218</v>
      </c>
      <c r="M2410" s="195" t="s">
        <v>1026</v>
      </c>
      <c r="N2410" s="195" t="s">
        <v>117</v>
      </c>
      <c r="O2410" s="199"/>
      <c r="P2410" s="188"/>
      <c r="Q2410" s="174">
        <f>IF(ISNUMBER(VLOOKUP(A2410,NotghiID!A:A,1,FALSE)),1,0)</f>
        <v>0</v>
      </c>
    </row>
    <row r="2411" spans="1:17" ht="14.25" x14ac:dyDescent="0.2">
      <c r="A2411" s="183">
        <v>287</v>
      </c>
      <c r="B2411" s="232" t="str">
        <f>IF(AND(A2411&lt;&gt;"",ISNUMBER(A2411)),VLOOKUP(A2411,Studies!A:BR,2,FALSE),"")</f>
        <v>Kharasch 2004</v>
      </c>
      <c r="C2411" s="232" t="str">
        <f>IF(AND(A2411&lt;&gt;"",ISNUMBER(A2411)),VLOOKUP(A2411,Studies!A:BR,3,FALSE),"")</f>
        <v>https://www.ncbi.nlm.nih.gov/pubmed/15536460</v>
      </c>
      <c r="D2411" s="232" t="str">
        <f>IF(AND(A2411&lt;&gt;"",ISNUMBER(A2411)),VLOOKUP(A2411,Studies!A:BR,4,FALSE),"")</f>
        <v>po #1 (60 µg/kg) Control (Perpetrator Placebo)</v>
      </c>
      <c r="E2411" s="206" t="str">
        <f>IF(AND(A2411&lt;&gt;"",ISNUMBER(A2411)),VLOOKUP(A2411,Studies!A:BR,5,FALSE),"")</f>
        <v>Alfentanil</v>
      </c>
      <c r="F2411" s="207" t="str">
        <f>IF(AND(A2411&lt;&gt;"",ISNUMBER(A2411)),VLOOKUP(A2411,Studies!A:BR,6,FALSE),"")</f>
        <v>Plasma</v>
      </c>
      <c r="G2411" s="194">
        <v>7</v>
      </c>
      <c r="H2411" s="194" t="s">
        <v>60</v>
      </c>
      <c r="I2411" s="187">
        <v>1.6849009990692139</v>
      </c>
      <c r="J2411" s="187" t="s">
        <v>1026</v>
      </c>
      <c r="K2411" s="187" t="s">
        <v>116</v>
      </c>
      <c r="L2411" s="195"/>
      <c r="M2411" s="195"/>
      <c r="N2411" s="195"/>
      <c r="O2411" s="199"/>
      <c r="P2411" s="188"/>
      <c r="Q2411" s="174">
        <f>IF(ISNUMBER(VLOOKUP(A2411,NotghiID!A:A,1,FALSE)),1,0)</f>
        <v>0</v>
      </c>
    </row>
    <row r="2412" spans="1:17" ht="14.25" x14ac:dyDescent="0.2">
      <c r="A2412" s="183">
        <v>287</v>
      </c>
      <c r="B2412" s="232" t="str">
        <f>IF(AND(A2412&lt;&gt;"",ISNUMBER(A2412)),VLOOKUP(A2412,Studies!A:BR,2,FALSE),"")</f>
        <v>Kharasch 2004</v>
      </c>
      <c r="C2412" s="232" t="str">
        <f>IF(AND(A2412&lt;&gt;"",ISNUMBER(A2412)),VLOOKUP(A2412,Studies!A:BR,3,FALSE),"")</f>
        <v>https://www.ncbi.nlm.nih.gov/pubmed/15536460</v>
      </c>
      <c r="D2412" s="232" t="str">
        <f>IF(AND(A2412&lt;&gt;"",ISNUMBER(A2412)),VLOOKUP(A2412,Studies!A:BR,4,FALSE),"")</f>
        <v>po #1 (60 µg/kg) Control (Perpetrator Placebo)</v>
      </c>
      <c r="E2412" s="206" t="str">
        <f>IF(AND(A2412&lt;&gt;"",ISNUMBER(A2412)),VLOOKUP(A2412,Studies!A:BR,5,FALSE),"")</f>
        <v>Alfentanil</v>
      </c>
      <c r="F2412" s="207" t="str">
        <f>IF(AND(A2412&lt;&gt;"",ISNUMBER(A2412)),VLOOKUP(A2412,Studies!A:BR,6,FALSE),"")</f>
        <v>Plasma</v>
      </c>
      <c r="G2412" s="194">
        <v>8</v>
      </c>
      <c r="H2412" s="194" t="s">
        <v>60</v>
      </c>
      <c r="I2412" s="187">
        <v>0.98468267917633057</v>
      </c>
      <c r="J2412" s="187" t="s">
        <v>1026</v>
      </c>
      <c r="K2412" s="187" t="s">
        <v>116</v>
      </c>
      <c r="L2412" s="195"/>
      <c r="M2412" s="195"/>
      <c r="N2412" s="195"/>
      <c r="O2412" s="199"/>
      <c r="P2412" s="188"/>
      <c r="Q2412" s="174">
        <f>IF(ISNUMBER(VLOOKUP(A2412,NotghiID!A:A,1,FALSE)),1,0)</f>
        <v>0</v>
      </c>
    </row>
    <row r="2413" spans="1:17" ht="14.25" x14ac:dyDescent="0.2">
      <c r="A2413" s="183">
        <v>288</v>
      </c>
      <c r="B2413" s="232" t="str">
        <f>IF(AND(A2413&lt;&gt;"",ISNUMBER(A2413)),VLOOKUP(A2413,Studies!A:BR,2,FALSE),"")</f>
        <v>Kharasch 2004</v>
      </c>
      <c r="C2413" s="232" t="str">
        <f>IF(AND(A2413&lt;&gt;"",ISNUMBER(A2413)),VLOOKUP(A2413,Studies!A:BR,3,FALSE),"")</f>
        <v>https://www.ncbi.nlm.nih.gov/pubmed/15536460</v>
      </c>
      <c r="D2413" s="232" t="str">
        <f>IF(AND(A2413&lt;&gt;"",ISNUMBER(A2413)),VLOOKUP(A2413,Studies!A:BR,4,FALSE),"")</f>
        <v>po #1 (60 µg/kg) with Perpetrator (Rifampicin)</v>
      </c>
      <c r="E2413" s="206" t="str">
        <f>IF(AND(A2413&lt;&gt;"",ISNUMBER(A2413)),VLOOKUP(A2413,Studies!A:BR,5,FALSE),"")</f>
        <v>Alfentanil</v>
      </c>
      <c r="F2413" s="207" t="str">
        <f>IF(AND(A2413&lt;&gt;"",ISNUMBER(A2413)),VLOOKUP(A2413,Studies!A:BR,6,FALSE),"")</f>
        <v>Plasma</v>
      </c>
      <c r="G2413" s="194">
        <v>129.08333333333334</v>
      </c>
      <c r="H2413" s="194" t="s">
        <v>60</v>
      </c>
      <c r="I2413" s="187">
        <v>2.6477021165192127</v>
      </c>
      <c r="J2413" s="187" t="s">
        <v>1026</v>
      </c>
      <c r="K2413" s="187" t="s">
        <v>116</v>
      </c>
      <c r="L2413" s="195"/>
      <c r="M2413" s="195"/>
      <c r="N2413" s="195"/>
      <c r="O2413" s="199"/>
      <c r="P2413" s="188"/>
      <c r="Q2413" s="174">
        <f>IF(ISNUMBER(VLOOKUP(A2413,NotghiID!A:A,1,FALSE)),1,0)</f>
        <v>0</v>
      </c>
    </row>
    <row r="2414" spans="1:17" ht="14.25" x14ac:dyDescent="0.2">
      <c r="A2414" s="183">
        <v>288</v>
      </c>
      <c r="B2414" s="232" t="str">
        <f>IF(AND(A2414&lt;&gt;"",ISNUMBER(A2414)),VLOOKUP(A2414,Studies!A:BR,2,FALSE),"")</f>
        <v>Kharasch 2004</v>
      </c>
      <c r="C2414" s="232" t="str">
        <f>IF(AND(A2414&lt;&gt;"",ISNUMBER(A2414)),VLOOKUP(A2414,Studies!A:BR,3,FALSE),"")</f>
        <v>https://www.ncbi.nlm.nih.gov/pubmed/15536460</v>
      </c>
      <c r="D2414" s="232" t="str">
        <f>IF(AND(A2414&lt;&gt;"",ISNUMBER(A2414)),VLOOKUP(A2414,Studies!A:BR,4,FALSE),"")</f>
        <v>po #1 (60 µg/kg) with Perpetrator (Rifampicin)</v>
      </c>
      <c r="E2414" s="206" t="str">
        <f>IF(AND(A2414&lt;&gt;"",ISNUMBER(A2414)),VLOOKUP(A2414,Studies!A:BR,5,FALSE),"")</f>
        <v>Alfentanil</v>
      </c>
      <c r="F2414" s="207" t="str">
        <f>IF(AND(A2414&lt;&gt;"",ISNUMBER(A2414)),VLOOKUP(A2414,Studies!A:BR,6,FALSE),"")</f>
        <v>Plasma</v>
      </c>
      <c r="G2414" s="194">
        <v>129.16666666666666</v>
      </c>
      <c r="H2414" s="194" t="s">
        <v>60</v>
      </c>
      <c r="I2414" s="187">
        <v>4.3982500210404396</v>
      </c>
      <c r="J2414" s="187" t="s">
        <v>1026</v>
      </c>
      <c r="K2414" s="187" t="s">
        <v>116</v>
      </c>
      <c r="L2414" s="195">
        <v>3.5886209011077881</v>
      </c>
      <c r="M2414" s="195" t="s">
        <v>1026</v>
      </c>
      <c r="N2414" s="195" t="s">
        <v>117</v>
      </c>
      <c r="O2414" s="199"/>
      <c r="P2414" s="188"/>
      <c r="Q2414" s="174">
        <f>IF(ISNUMBER(VLOOKUP(A2414,NotghiID!A:A,1,FALSE)),1,0)</f>
        <v>0</v>
      </c>
    </row>
    <row r="2415" spans="1:17" ht="14.25" x14ac:dyDescent="0.2">
      <c r="A2415" s="183">
        <v>288</v>
      </c>
      <c r="B2415" s="232" t="str">
        <f>IF(AND(A2415&lt;&gt;"",ISNUMBER(A2415)),VLOOKUP(A2415,Studies!A:BR,2,FALSE),"")</f>
        <v>Kharasch 2004</v>
      </c>
      <c r="C2415" s="232" t="str">
        <f>IF(AND(A2415&lt;&gt;"",ISNUMBER(A2415)),VLOOKUP(A2415,Studies!A:BR,3,FALSE),"")</f>
        <v>https://www.ncbi.nlm.nih.gov/pubmed/15536460</v>
      </c>
      <c r="D2415" s="232" t="str">
        <f>IF(AND(A2415&lt;&gt;"",ISNUMBER(A2415)),VLOOKUP(A2415,Studies!A:BR,4,FALSE),"")</f>
        <v>po #1 (60 µg/kg) with Perpetrator (Rifampicin)</v>
      </c>
      <c r="E2415" s="206" t="str">
        <f>IF(AND(A2415&lt;&gt;"",ISNUMBER(A2415)),VLOOKUP(A2415,Studies!A:BR,5,FALSE),"")</f>
        <v>Alfentanil</v>
      </c>
      <c r="F2415" s="207" t="str">
        <f>IF(AND(A2415&lt;&gt;"",ISNUMBER(A2415)),VLOOKUP(A2415,Studies!A:BR,6,FALSE),"")</f>
        <v>Plasma</v>
      </c>
      <c r="G2415" s="194">
        <v>129.25</v>
      </c>
      <c r="H2415" s="194" t="s">
        <v>60</v>
      </c>
      <c r="I2415" s="187">
        <v>4.3982500210404396</v>
      </c>
      <c r="J2415" s="187" t="s">
        <v>1026</v>
      </c>
      <c r="K2415" s="187" t="s">
        <v>116</v>
      </c>
      <c r="L2415" s="195">
        <v>2.7133479118347168</v>
      </c>
      <c r="M2415" s="195" t="s">
        <v>1026</v>
      </c>
      <c r="N2415" s="195" t="s">
        <v>117</v>
      </c>
      <c r="O2415" s="199"/>
      <c r="P2415" s="188"/>
      <c r="Q2415" s="174">
        <f>IF(ISNUMBER(VLOOKUP(A2415,NotghiID!A:A,1,FALSE)),1,0)</f>
        <v>0</v>
      </c>
    </row>
    <row r="2416" spans="1:17" ht="14.25" x14ac:dyDescent="0.2">
      <c r="A2416" s="183">
        <v>288</v>
      </c>
      <c r="B2416" s="232" t="str">
        <f>IF(AND(A2416&lt;&gt;"",ISNUMBER(A2416)),VLOOKUP(A2416,Studies!A:BR,2,FALSE),"")</f>
        <v>Kharasch 2004</v>
      </c>
      <c r="C2416" s="232" t="str">
        <f>IF(AND(A2416&lt;&gt;"",ISNUMBER(A2416)),VLOOKUP(A2416,Studies!A:BR,3,FALSE),"")</f>
        <v>https://www.ncbi.nlm.nih.gov/pubmed/15536460</v>
      </c>
      <c r="D2416" s="232" t="str">
        <f>IF(AND(A2416&lt;&gt;"",ISNUMBER(A2416)),VLOOKUP(A2416,Studies!A:BR,4,FALSE),"")</f>
        <v>po #1 (60 µg/kg) with Perpetrator (Rifampicin)</v>
      </c>
      <c r="E2416" s="206" t="str">
        <f>IF(AND(A2416&lt;&gt;"",ISNUMBER(A2416)),VLOOKUP(A2416,Studies!A:BR,5,FALSE),"")</f>
        <v>Alfentanil</v>
      </c>
      <c r="F2416" s="207" t="str">
        <f>IF(AND(A2416&lt;&gt;"",ISNUMBER(A2416)),VLOOKUP(A2416,Studies!A:BR,6,FALSE),"")</f>
        <v>Plasma</v>
      </c>
      <c r="G2416" s="194">
        <v>129.5</v>
      </c>
      <c r="H2416" s="194" t="s">
        <v>60</v>
      </c>
      <c r="I2416" s="187">
        <v>3.0853392090648413</v>
      </c>
      <c r="J2416" s="187" t="s">
        <v>1026</v>
      </c>
      <c r="K2416" s="187" t="s">
        <v>116</v>
      </c>
      <c r="L2416" s="195">
        <v>1.7505470514297485</v>
      </c>
      <c r="M2416" s="195" t="s">
        <v>1026</v>
      </c>
      <c r="N2416" s="195" t="s">
        <v>117</v>
      </c>
      <c r="O2416" s="199"/>
      <c r="P2416" s="188"/>
      <c r="Q2416" s="174">
        <f>IF(ISNUMBER(VLOOKUP(A2416,NotghiID!A:A,1,FALSE)),1,0)</f>
        <v>0</v>
      </c>
    </row>
    <row r="2417" spans="1:17" ht="14.25" x14ac:dyDescent="0.2">
      <c r="A2417" s="183">
        <v>288</v>
      </c>
      <c r="B2417" s="232" t="str">
        <f>IF(AND(A2417&lt;&gt;"",ISNUMBER(A2417)),VLOOKUP(A2417,Studies!A:BR,2,FALSE),"")</f>
        <v>Kharasch 2004</v>
      </c>
      <c r="C2417" s="232" t="str">
        <f>IF(AND(A2417&lt;&gt;"",ISNUMBER(A2417)),VLOOKUP(A2417,Studies!A:BR,3,FALSE),"")</f>
        <v>https://www.ncbi.nlm.nih.gov/pubmed/15536460</v>
      </c>
      <c r="D2417" s="232" t="str">
        <f>IF(AND(A2417&lt;&gt;"",ISNUMBER(A2417)),VLOOKUP(A2417,Studies!A:BR,4,FALSE),"")</f>
        <v>po #1 (60 µg/kg) with Perpetrator (Rifampicin)</v>
      </c>
      <c r="E2417" s="206" t="str">
        <f>IF(AND(A2417&lt;&gt;"",ISNUMBER(A2417)),VLOOKUP(A2417,Studies!A:BR,5,FALSE),"")</f>
        <v>Alfentanil</v>
      </c>
      <c r="F2417" s="207" t="str">
        <f>IF(AND(A2417&lt;&gt;"",ISNUMBER(A2417)),VLOOKUP(A2417,Studies!A:BR,6,FALSE),"")</f>
        <v>Plasma</v>
      </c>
      <c r="G2417" s="194">
        <v>129.75</v>
      </c>
      <c r="H2417" s="194" t="s">
        <v>60</v>
      </c>
      <c r="I2417" s="187">
        <v>2.385120140388608</v>
      </c>
      <c r="J2417" s="187" t="s">
        <v>1026</v>
      </c>
      <c r="K2417" s="187" t="s">
        <v>116</v>
      </c>
      <c r="L2417" s="195">
        <v>1.9256019592285156</v>
      </c>
      <c r="M2417" s="195" t="s">
        <v>1026</v>
      </c>
      <c r="N2417" s="195" t="s">
        <v>117</v>
      </c>
      <c r="O2417" s="199"/>
      <c r="P2417" s="188"/>
      <c r="Q2417" s="174">
        <f>IF(ISNUMBER(VLOOKUP(A2417,NotghiID!A:A,1,FALSE)),1,0)</f>
        <v>0</v>
      </c>
    </row>
    <row r="2418" spans="1:17" ht="14.25" x14ac:dyDescent="0.2">
      <c r="A2418" s="183">
        <v>288</v>
      </c>
      <c r="B2418" s="232" t="str">
        <f>IF(AND(A2418&lt;&gt;"",ISNUMBER(A2418)),VLOOKUP(A2418,Studies!A:BR,2,FALSE),"")</f>
        <v>Kharasch 2004</v>
      </c>
      <c r="C2418" s="232" t="str">
        <f>IF(AND(A2418&lt;&gt;"",ISNUMBER(A2418)),VLOOKUP(A2418,Studies!A:BR,3,FALSE),"")</f>
        <v>https://www.ncbi.nlm.nih.gov/pubmed/15536460</v>
      </c>
      <c r="D2418" s="232" t="str">
        <f>IF(AND(A2418&lt;&gt;"",ISNUMBER(A2418)),VLOOKUP(A2418,Studies!A:BR,4,FALSE),"")</f>
        <v>po #1 (60 µg/kg) with Perpetrator (Rifampicin)</v>
      </c>
      <c r="E2418" s="206" t="str">
        <f>IF(AND(A2418&lt;&gt;"",ISNUMBER(A2418)),VLOOKUP(A2418,Studies!A:BR,5,FALSE),"")</f>
        <v>Alfentanil</v>
      </c>
      <c r="F2418" s="207" t="str">
        <f>IF(AND(A2418&lt;&gt;"",ISNUMBER(A2418)),VLOOKUP(A2418,Studies!A:BR,6,FALSE),"")</f>
        <v>Plasma</v>
      </c>
      <c r="G2418" s="194">
        <v>130</v>
      </c>
      <c r="H2418" s="194" t="s">
        <v>60</v>
      </c>
      <c r="I2418" s="187">
        <v>1.7724289791658521</v>
      </c>
      <c r="J2418" s="187" t="s">
        <v>1026</v>
      </c>
      <c r="K2418" s="187" t="s">
        <v>116</v>
      </c>
      <c r="L2418" s="195">
        <v>1.7505470514297485</v>
      </c>
      <c r="M2418" s="195" t="s">
        <v>1026</v>
      </c>
      <c r="N2418" s="195" t="s">
        <v>117</v>
      </c>
      <c r="O2418" s="199"/>
      <c r="P2418" s="188"/>
      <c r="Q2418" s="174">
        <f>IF(ISNUMBER(VLOOKUP(A2418,NotghiID!A:A,1,FALSE)),1,0)</f>
        <v>0</v>
      </c>
    </row>
    <row r="2419" spans="1:17" ht="14.25" x14ac:dyDescent="0.2">
      <c r="A2419" s="183">
        <v>288</v>
      </c>
      <c r="B2419" s="232" t="str">
        <f>IF(AND(A2419&lt;&gt;"",ISNUMBER(A2419)),VLOOKUP(A2419,Studies!A:BR,2,FALSE),"")</f>
        <v>Kharasch 2004</v>
      </c>
      <c r="C2419" s="232" t="str">
        <f>IF(AND(A2419&lt;&gt;"",ISNUMBER(A2419)),VLOOKUP(A2419,Studies!A:BR,3,FALSE),"")</f>
        <v>https://www.ncbi.nlm.nih.gov/pubmed/15536460</v>
      </c>
      <c r="D2419" s="232" t="str">
        <f>IF(AND(A2419&lt;&gt;"",ISNUMBER(A2419)),VLOOKUP(A2419,Studies!A:BR,4,FALSE),"")</f>
        <v>po #1 (60 µg/kg) with Perpetrator (Rifampicin)</v>
      </c>
      <c r="E2419" s="206" t="str">
        <f>IF(AND(A2419&lt;&gt;"",ISNUMBER(A2419)),VLOOKUP(A2419,Studies!A:BR,5,FALSE),"")</f>
        <v>Alfentanil</v>
      </c>
      <c r="F2419" s="207" t="str">
        <f>IF(AND(A2419&lt;&gt;"",ISNUMBER(A2419)),VLOOKUP(A2419,Studies!A:BR,6,FALSE),"")</f>
        <v>Plasma</v>
      </c>
      <c r="G2419" s="194">
        <v>130.5</v>
      </c>
      <c r="H2419" s="194" t="s">
        <v>60</v>
      </c>
      <c r="I2419" s="187">
        <v>1.1597370030358434</v>
      </c>
      <c r="J2419" s="187" t="s">
        <v>1026</v>
      </c>
      <c r="K2419" s="187" t="s">
        <v>116</v>
      </c>
      <c r="L2419" s="195">
        <v>1.6630200147628784</v>
      </c>
      <c r="M2419" s="195" t="s">
        <v>1026</v>
      </c>
      <c r="N2419" s="195" t="s">
        <v>117</v>
      </c>
      <c r="O2419" s="199"/>
      <c r="P2419" s="188"/>
      <c r="Q2419" s="174">
        <f>IF(ISNUMBER(VLOOKUP(A2419,NotghiID!A:A,1,FALSE)),1,0)</f>
        <v>0</v>
      </c>
    </row>
    <row r="2420" spans="1:17" ht="14.25" x14ac:dyDescent="0.2">
      <c r="A2420" s="183">
        <v>288</v>
      </c>
      <c r="B2420" s="232" t="str">
        <f>IF(AND(A2420&lt;&gt;"",ISNUMBER(A2420)),VLOOKUP(A2420,Studies!A:BR,2,FALSE),"")</f>
        <v>Kharasch 2004</v>
      </c>
      <c r="C2420" s="232" t="str">
        <f>IF(AND(A2420&lt;&gt;"",ISNUMBER(A2420)),VLOOKUP(A2420,Studies!A:BR,3,FALSE),"")</f>
        <v>https://www.ncbi.nlm.nih.gov/pubmed/15536460</v>
      </c>
      <c r="D2420" s="232" t="str">
        <f>IF(AND(A2420&lt;&gt;"",ISNUMBER(A2420)),VLOOKUP(A2420,Studies!A:BR,4,FALSE),"")</f>
        <v>po #1 (60 µg/kg) with Perpetrator (Rifampicin)</v>
      </c>
      <c r="E2420" s="206" t="str">
        <f>IF(AND(A2420&lt;&gt;"",ISNUMBER(A2420)),VLOOKUP(A2420,Studies!A:BR,5,FALSE),"")</f>
        <v>Alfentanil</v>
      </c>
      <c r="F2420" s="207" t="str">
        <f>IF(AND(A2420&lt;&gt;"",ISNUMBER(A2420)),VLOOKUP(A2420,Studies!A:BR,6,FALSE),"")</f>
        <v>Plasma</v>
      </c>
      <c r="G2420" s="194">
        <v>131</v>
      </c>
      <c r="H2420" s="194" t="s">
        <v>60</v>
      </c>
      <c r="I2420" s="187">
        <v>0.72210072539746761</v>
      </c>
      <c r="J2420" s="187" t="s">
        <v>1026</v>
      </c>
      <c r="K2420" s="187" t="s">
        <v>116</v>
      </c>
      <c r="L2420" s="195">
        <v>1.3129103183746338</v>
      </c>
      <c r="M2420" s="195" t="s">
        <v>1026</v>
      </c>
      <c r="N2420" s="195" t="s">
        <v>117</v>
      </c>
      <c r="O2420" s="199"/>
      <c r="P2420" s="188"/>
      <c r="Q2420" s="174">
        <f>IF(ISNUMBER(VLOOKUP(A2420,NotghiID!A:A,1,FALSE)),1,0)</f>
        <v>0</v>
      </c>
    </row>
    <row r="2421" spans="1:17" ht="14.25" x14ac:dyDescent="0.2">
      <c r="A2421" s="183">
        <v>9</v>
      </c>
      <c r="B2421" s="232" t="str">
        <f>IF(AND(A2421&lt;&gt;"",ISNUMBER(A2421)),VLOOKUP(A2421,Studies!A:BR,2,FALSE),"")</f>
        <v>Acocella 1977</v>
      </c>
      <c r="C2421" s="232" t="str">
        <f>IF(AND(A2421&lt;&gt;"",ISNUMBER(A2421)),VLOOKUP(A2421,Studies!A:BR,3,FALSE),"")</f>
        <v>https://www.ncbi.nlm.nih.gov/pubmed/578447</v>
      </c>
      <c r="D2421" s="232" t="str">
        <f>IF(AND(A2421&lt;&gt;"",ISNUMBER(A2421)),VLOOKUP(A2421,Studies!A:BR,4,FALSE),"")</f>
        <v>Subject 1 (150 mg)</v>
      </c>
      <c r="E2421" s="206" t="str">
        <f>IF(AND(A2421&lt;&gt;"",ISNUMBER(A2421)),VLOOKUP(A2421,Studies!A:BR,5,FALSE),"")</f>
        <v>Rifampicin</v>
      </c>
      <c r="F2421" s="207" t="str">
        <f>IF(AND(A2421&lt;&gt;"",ISNUMBER(A2421)),VLOOKUP(A2421,Studies!A:BR,6,FALSE),"")</f>
        <v>Serum</v>
      </c>
      <c r="G2421" s="194">
        <v>0</v>
      </c>
      <c r="H2421" s="194" t="s">
        <v>60</v>
      </c>
      <c r="I2421" s="187">
        <v>0</v>
      </c>
      <c r="J2421" s="187" t="s">
        <v>1054</v>
      </c>
      <c r="K2421" s="187" t="s">
        <v>264</v>
      </c>
      <c r="L2421" s="195"/>
      <c r="M2421" s="195"/>
      <c r="N2421" s="195"/>
      <c r="O2421" s="199"/>
      <c r="P2421" s="188"/>
      <c r="Q2421" s="174">
        <f>IF(ISNUMBER(VLOOKUP(A2421,NotghiID!A:A,1,FALSE)),1,0)</f>
        <v>0</v>
      </c>
    </row>
    <row r="2422" spans="1:17" ht="14.25" x14ac:dyDescent="0.2">
      <c r="A2422" s="183">
        <f>A2421</f>
        <v>9</v>
      </c>
      <c r="B2422" s="232" t="str">
        <f>IF(AND(A2422&lt;&gt;"",ISNUMBER(A2422)),VLOOKUP(A2422,Studies!A:BR,2,FALSE),"")</f>
        <v>Acocella 1977</v>
      </c>
      <c r="C2422" s="232" t="str">
        <f>IF(AND(A2422&lt;&gt;"",ISNUMBER(A2422)),VLOOKUP(A2422,Studies!A:BR,3,FALSE),"")</f>
        <v>https://www.ncbi.nlm.nih.gov/pubmed/578447</v>
      </c>
      <c r="D2422" s="232" t="str">
        <f>IF(AND(A2422&lt;&gt;"",ISNUMBER(A2422)),VLOOKUP(A2422,Studies!A:BR,4,FALSE),"")</f>
        <v>Subject 1 (150 mg)</v>
      </c>
      <c r="E2422" s="206" t="str">
        <f>IF(AND(A2422&lt;&gt;"",ISNUMBER(A2422)),VLOOKUP(A2422,Studies!A:BR,5,FALSE),"")</f>
        <v>Rifampicin</v>
      </c>
      <c r="F2422" s="207" t="str">
        <f>IF(AND(A2422&lt;&gt;"",ISNUMBER(A2422)),VLOOKUP(A2422,Studies!A:BR,6,FALSE),"")</f>
        <v>Serum</v>
      </c>
      <c r="G2422" s="194">
        <v>0.5</v>
      </c>
      <c r="H2422" s="194" t="s">
        <v>60</v>
      </c>
      <c r="I2422" s="187">
        <v>0.56999999999999995</v>
      </c>
      <c r="J2422" s="187" t="s">
        <v>1054</v>
      </c>
      <c r="K2422" s="187" t="s">
        <v>264</v>
      </c>
      <c r="L2422" s="195"/>
      <c r="M2422" s="195"/>
      <c r="N2422" s="195"/>
      <c r="O2422" s="199"/>
      <c r="P2422" s="188"/>
      <c r="Q2422" s="174">
        <f>IF(ISNUMBER(VLOOKUP(A2422,NotghiID!A:A,1,FALSE)),1,0)</f>
        <v>0</v>
      </c>
    </row>
    <row r="2423" spans="1:17" ht="14.25" x14ac:dyDescent="0.2">
      <c r="A2423" s="183">
        <f t="shared" ref="A2423:A2426" si="4">A2422</f>
        <v>9</v>
      </c>
      <c r="B2423" s="232" t="str">
        <f>IF(AND(A2423&lt;&gt;"",ISNUMBER(A2423)),VLOOKUP(A2423,Studies!A:BR,2,FALSE),"")</f>
        <v>Acocella 1977</v>
      </c>
      <c r="C2423" s="232" t="str">
        <f>IF(AND(A2423&lt;&gt;"",ISNUMBER(A2423)),VLOOKUP(A2423,Studies!A:BR,3,FALSE),"")</f>
        <v>https://www.ncbi.nlm.nih.gov/pubmed/578447</v>
      </c>
      <c r="D2423" s="232" t="str">
        <f>IF(AND(A2423&lt;&gt;"",ISNUMBER(A2423)),VLOOKUP(A2423,Studies!A:BR,4,FALSE),"")</f>
        <v>Subject 1 (150 mg)</v>
      </c>
      <c r="E2423" s="206" t="str">
        <f>IF(AND(A2423&lt;&gt;"",ISNUMBER(A2423)),VLOOKUP(A2423,Studies!A:BR,5,FALSE),"")</f>
        <v>Rifampicin</v>
      </c>
      <c r="F2423" s="207" t="str">
        <f>IF(AND(A2423&lt;&gt;"",ISNUMBER(A2423)),VLOOKUP(A2423,Studies!A:BR,6,FALSE),"")</f>
        <v>Serum</v>
      </c>
      <c r="G2423" s="194">
        <v>1</v>
      </c>
      <c r="H2423" s="194" t="s">
        <v>60</v>
      </c>
      <c r="I2423" s="187">
        <v>0.72</v>
      </c>
      <c r="J2423" s="187" t="s">
        <v>1054</v>
      </c>
      <c r="K2423" s="187" t="s">
        <v>264</v>
      </c>
      <c r="L2423" s="195"/>
      <c r="M2423" s="195"/>
      <c r="N2423" s="195"/>
      <c r="O2423" s="199"/>
      <c r="P2423" s="188"/>
      <c r="Q2423" s="174">
        <f>IF(ISNUMBER(VLOOKUP(A2423,NotghiID!A:A,1,FALSE)),1,0)</f>
        <v>0</v>
      </c>
    </row>
    <row r="2424" spans="1:17" ht="14.25" x14ac:dyDescent="0.2">
      <c r="A2424" s="183">
        <f t="shared" si="4"/>
        <v>9</v>
      </c>
      <c r="B2424" s="232" t="str">
        <f>IF(AND(A2424&lt;&gt;"",ISNUMBER(A2424)),VLOOKUP(A2424,Studies!A:BR,2,FALSE),"")</f>
        <v>Acocella 1977</v>
      </c>
      <c r="C2424" s="232" t="str">
        <f>IF(AND(A2424&lt;&gt;"",ISNUMBER(A2424)),VLOOKUP(A2424,Studies!A:BR,3,FALSE),"")</f>
        <v>https://www.ncbi.nlm.nih.gov/pubmed/578447</v>
      </c>
      <c r="D2424" s="232" t="str">
        <f>IF(AND(A2424&lt;&gt;"",ISNUMBER(A2424)),VLOOKUP(A2424,Studies!A:BR,4,FALSE),"")</f>
        <v>Subject 1 (150 mg)</v>
      </c>
      <c r="E2424" s="206" t="str">
        <f>IF(AND(A2424&lt;&gt;"",ISNUMBER(A2424)),VLOOKUP(A2424,Studies!A:BR,5,FALSE),"")</f>
        <v>Rifampicin</v>
      </c>
      <c r="F2424" s="207" t="str">
        <f>IF(AND(A2424&lt;&gt;"",ISNUMBER(A2424)),VLOOKUP(A2424,Studies!A:BR,6,FALSE),"")</f>
        <v>Serum</v>
      </c>
      <c r="G2424" s="194">
        <v>2</v>
      </c>
      <c r="H2424" s="194" t="s">
        <v>60</v>
      </c>
      <c r="I2424" s="187">
        <v>1.68</v>
      </c>
      <c r="J2424" s="187" t="s">
        <v>1054</v>
      </c>
      <c r="K2424" s="187" t="s">
        <v>264</v>
      </c>
      <c r="L2424" s="195"/>
      <c r="M2424" s="195"/>
      <c r="N2424" s="195"/>
      <c r="O2424" s="199"/>
      <c r="P2424" s="188"/>
      <c r="Q2424" s="174">
        <f>IF(ISNUMBER(VLOOKUP(A2424,NotghiID!A:A,1,FALSE)),1,0)</f>
        <v>0</v>
      </c>
    </row>
    <row r="2425" spans="1:17" ht="14.25" x14ac:dyDescent="0.2">
      <c r="A2425" s="183">
        <f t="shared" si="4"/>
        <v>9</v>
      </c>
      <c r="B2425" s="232" t="str">
        <f>IF(AND(A2425&lt;&gt;"",ISNUMBER(A2425)),VLOOKUP(A2425,Studies!A:BR,2,FALSE),"")</f>
        <v>Acocella 1977</v>
      </c>
      <c r="C2425" s="232" t="str">
        <f>IF(AND(A2425&lt;&gt;"",ISNUMBER(A2425)),VLOOKUP(A2425,Studies!A:BR,3,FALSE),"")</f>
        <v>https://www.ncbi.nlm.nih.gov/pubmed/578447</v>
      </c>
      <c r="D2425" s="232" t="str">
        <f>IF(AND(A2425&lt;&gt;"",ISNUMBER(A2425)),VLOOKUP(A2425,Studies!A:BR,4,FALSE),"")</f>
        <v>Subject 1 (150 mg)</v>
      </c>
      <c r="E2425" s="206" t="str">
        <f>IF(AND(A2425&lt;&gt;"",ISNUMBER(A2425)),VLOOKUP(A2425,Studies!A:BR,5,FALSE),"")</f>
        <v>Rifampicin</v>
      </c>
      <c r="F2425" s="207" t="str">
        <f>IF(AND(A2425&lt;&gt;"",ISNUMBER(A2425)),VLOOKUP(A2425,Studies!A:BR,6,FALSE),"")</f>
        <v>Serum</v>
      </c>
      <c r="G2425" s="194">
        <v>4</v>
      </c>
      <c r="H2425" s="194" t="s">
        <v>60</v>
      </c>
      <c r="I2425" s="187">
        <v>1.9</v>
      </c>
      <c r="J2425" s="187" t="s">
        <v>1054</v>
      </c>
      <c r="K2425" s="187" t="s">
        <v>264</v>
      </c>
      <c r="L2425" s="195"/>
      <c r="M2425" s="195"/>
      <c r="N2425" s="195"/>
      <c r="O2425" s="199"/>
      <c r="P2425" s="188"/>
      <c r="Q2425" s="174">
        <f>IF(ISNUMBER(VLOOKUP(A2425,NotghiID!A:A,1,FALSE)),1,0)</f>
        <v>0</v>
      </c>
    </row>
    <row r="2426" spans="1:17" ht="14.25" x14ac:dyDescent="0.2">
      <c r="A2426" s="183">
        <f t="shared" si="4"/>
        <v>9</v>
      </c>
      <c r="B2426" s="232" t="str">
        <f>IF(AND(A2426&lt;&gt;"",ISNUMBER(A2426)),VLOOKUP(A2426,Studies!A:BR,2,FALSE),"")</f>
        <v>Acocella 1977</v>
      </c>
      <c r="C2426" s="232" t="str">
        <f>IF(AND(A2426&lt;&gt;"",ISNUMBER(A2426)),VLOOKUP(A2426,Studies!A:BR,3,FALSE),"")</f>
        <v>https://www.ncbi.nlm.nih.gov/pubmed/578447</v>
      </c>
      <c r="D2426" s="232" t="str">
        <f>IF(AND(A2426&lt;&gt;"",ISNUMBER(A2426)),VLOOKUP(A2426,Studies!A:BR,4,FALSE),"")</f>
        <v>Subject 1 (150 mg)</v>
      </c>
      <c r="E2426" s="206" t="str">
        <f>IF(AND(A2426&lt;&gt;"",ISNUMBER(A2426)),VLOOKUP(A2426,Studies!A:BR,5,FALSE),"")</f>
        <v>Rifampicin</v>
      </c>
      <c r="F2426" s="207" t="str">
        <f>IF(AND(A2426&lt;&gt;"",ISNUMBER(A2426)),VLOOKUP(A2426,Studies!A:BR,6,FALSE),"")</f>
        <v>Serum</v>
      </c>
      <c r="G2426" s="194">
        <v>8</v>
      </c>
      <c r="H2426" s="194" t="s">
        <v>60</v>
      </c>
      <c r="I2426" s="187">
        <v>0.54</v>
      </c>
      <c r="J2426" s="187" t="s">
        <v>1054</v>
      </c>
      <c r="K2426" s="187" t="s">
        <v>264</v>
      </c>
      <c r="L2426" s="195"/>
      <c r="M2426" s="195"/>
      <c r="N2426" s="195"/>
      <c r="O2426" s="199"/>
      <c r="P2426" s="188"/>
      <c r="Q2426" s="174">
        <f>IF(ISNUMBER(VLOOKUP(A2426,NotghiID!A:A,1,FALSE)),1,0)</f>
        <v>0</v>
      </c>
    </row>
    <row r="2427" spans="1:17" ht="14.25" x14ac:dyDescent="0.2">
      <c r="A2427" s="183">
        <f>A2421+1</f>
        <v>10</v>
      </c>
      <c r="B2427" s="232" t="str">
        <f>IF(AND(A2427&lt;&gt;"",ISNUMBER(A2427)),VLOOKUP(A2427,Studies!A:BR,2,FALSE),"")</f>
        <v>Acocella 1977</v>
      </c>
      <c r="C2427" s="232" t="str">
        <f>IF(AND(A2427&lt;&gt;"",ISNUMBER(A2427)),VLOOKUP(A2427,Studies!A:BR,3,FALSE),"")</f>
        <v>https://www.ncbi.nlm.nih.gov/pubmed/578447</v>
      </c>
      <c r="D2427" s="232" t="str">
        <f>IF(AND(A2427&lt;&gt;"",ISNUMBER(A2427)),VLOOKUP(A2427,Studies!A:BR,4,FALSE),"")</f>
        <v>Subject 2 (150 mg)</v>
      </c>
      <c r="E2427" s="206" t="str">
        <f>IF(AND(A2427&lt;&gt;"",ISNUMBER(A2427)),VLOOKUP(A2427,Studies!A:BR,5,FALSE),"")</f>
        <v>Rifampicin</v>
      </c>
      <c r="F2427" s="207" t="str">
        <f>IF(AND(A2427&lt;&gt;"",ISNUMBER(A2427)),VLOOKUP(A2427,Studies!A:BR,6,FALSE),"")</f>
        <v>Serum</v>
      </c>
      <c r="G2427" s="194">
        <v>0</v>
      </c>
      <c r="H2427" s="194" t="s">
        <v>60</v>
      </c>
      <c r="I2427" s="187">
        <v>0</v>
      </c>
      <c r="J2427" s="187" t="s">
        <v>1054</v>
      </c>
      <c r="K2427" s="187" t="s">
        <v>264</v>
      </c>
      <c r="L2427" s="195"/>
      <c r="M2427" s="195"/>
      <c r="N2427" s="195"/>
      <c r="O2427" s="199"/>
      <c r="P2427" s="188"/>
      <c r="Q2427" s="174">
        <f>IF(ISNUMBER(VLOOKUP(A2427,NotghiID!A:A,1,FALSE)),1,0)</f>
        <v>0</v>
      </c>
    </row>
    <row r="2428" spans="1:17" ht="14.25" x14ac:dyDescent="0.2">
      <c r="A2428" s="183">
        <f t="shared" ref="A2428:A2474" si="5">A2422+1</f>
        <v>10</v>
      </c>
      <c r="B2428" s="232" t="str">
        <f>IF(AND(A2428&lt;&gt;"",ISNUMBER(A2428)),VLOOKUP(A2428,Studies!A:BR,2,FALSE),"")</f>
        <v>Acocella 1977</v>
      </c>
      <c r="C2428" s="232" t="str">
        <f>IF(AND(A2428&lt;&gt;"",ISNUMBER(A2428)),VLOOKUP(A2428,Studies!A:BR,3,FALSE),"")</f>
        <v>https://www.ncbi.nlm.nih.gov/pubmed/578447</v>
      </c>
      <c r="D2428" s="232" t="str">
        <f>IF(AND(A2428&lt;&gt;"",ISNUMBER(A2428)),VLOOKUP(A2428,Studies!A:BR,4,FALSE),"")</f>
        <v>Subject 2 (150 mg)</v>
      </c>
      <c r="E2428" s="206" t="str">
        <f>IF(AND(A2428&lt;&gt;"",ISNUMBER(A2428)),VLOOKUP(A2428,Studies!A:BR,5,FALSE),"")</f>
        <v>Rifampicin</v>
      </c>
      <c r="F2428" s="207" t="str">
        <f>IF(AND(A2428&lt;&gt;"",ISNUMBER(A2428)),VLOOKUP(A2428,Studies!A:BR,6,FALSE),"")</f>
        <v>Serum</v>
      </c>
      <c r="G2428" s="194">
        <v>0.5</v>
      </c>
      <c r="H2428" s="194" t="s">
        <v>60</v>
      </c>
      <c r="I2428" s="187">
        <v>0.42</v>
      </c>
      <c r="J2428" s="187" t="s">
        <v>1054</v>
      </c>
      <c r="K2428" s="187" t="s">
        <v>264</v>
      </c>
      <c r="L2428" s="195"/>
      <c r="M2428" s="195"/>
      <c r="N2428" s="195"/>
      <c r="O2428" s="199"/>
      <c r="P2428" s="188"/>
      <c r="Q2428" s="174">
        <f>IF(ISNUMBER(VLOOKUP(A2428,NotghiID!A:A,1,FALSE)),1,0)</f>
        <v>0</v>
      </c>
    </row>
    <row r="2429" spans="1:17" ht="14.25" x14ac:dyDescent="0.2">
      <c r="A2429" s="183">
        <f t="shared" si="5"/>
        <v>10</v>
      </c>
      <c r="B2429" s="232" t="str">
        <f>IF(AND(A2429&lt;&gt;"",ISNUMBER(A2429)),VLOOKUP(A2429,Studies!A:BR,2,FALSE),"")</f>
        <v>Acocella 1977</v>
      </c>
      <c r="C2429" s="232" t="str">
        <f>IF(AND(A2429&lt;&gt;"",ISNUMBER(A2429)),VLOOKUP(A2429,Studies!A:BR,3,FALSE),"")</f>
        <v>https://www.ncbi.nlm.nih.gov/pubmed/578447</v>
      </c>
      <c r="D2429" s="232" t="str">
        <f>IF(AND(A2429&lt;&gt;"",ISNUMBER(A2429)),VLOOKUP(A2429,Studies!A:BR,4,FALSE),"")</f>
        <v>Subject 2 (150 mg)</v>
      </c>
      <c r="E2429" s="206" t="str">
        <f>IF(AND(A2429&lt;&gt;"",ISNUMBER(A2429)),VLOOKUP(A2429,Studies!A:BR,5,FALSE),"")</f>
        <v>Rifampicin</v>
      </c>
      <c r="F2429" s="207" t="str">
        <f>IF(AND(A2429&lt;&gt;"",ISNUMBER(A2429)),VLOOKUP(A2429,Studies!A:BR,6,FALSE),"")</f>
        <v>Serum</v>
      </c>
      <c r="G2429" s="194">
        <v>1</v>
      </c>
      <c r="H2429" s="194" t="s">
        <v>60</v>
      </c>
      <c r="I2429" s="187">
        <v>0.31</v>
      </c>
      <c r="J2429" s="187" t="s">
        <v>1054</v>
      </c>
      <c r="K2429" s="187" t="s">
        <v>264</v>
      </c>
      <c r="L2429" s="195"/>
      <c r="M2429" s="195"/>
      <c r="N2429" s="195"/>
      <c r="O2429" s="199"/>
      <c r="P2429" s="188"/>
      <c r="Q2429" s="174">
        <f>IF(ISNUMBER(VLOOKUP(A2429,NotghiID!A:A,1,FALSE)),1,0)</f>
        <v>0</v>
      </c>
    </row>
    <row r="2430" spans="1:17" ht="14.25" x14ac:dyDescent="0.2">
      <c r="A2430" s="183">
        <f t="shared" si="5"/>
        <v>10</v>
      </c>
      <c r="B2430" s="232" t="str">
        <f>IF(AND(A2430&lt;&gt;"",ISNUMBER(A2430)),VLOOKUP(A2430,Studies!A:BR,2,FALSE),"")</f>
        <v>Acocella 1977</v>
      </c>
      <c r="C2430" s="232" t="str">
        <f>IF(AND(A2430&lt;&gt;"",ISNUMBER(A2430)),VLOOKUP(A2430,Studies!A:BR,3,FALSE),"")</f>
        <v>https://www.ncbi.nlm.nih.gov/pubmed/578447</v>
      </c>
      <c r="D2430" s="232" t="str">
        <f>IF(AND(A2430&lt;&gt;"",ISNUMBER(A2430)),VLOOKUP(A2430,Studies!A:BR,4,FALSE),"")</f>
        <v>Subject 2 (150 mg)</v>
      </c>
      <c r="E2430" s="206" t="str">
        <f>IF(AND(A2430&lt;&gt;"",ISNUMBER(A2430)),VLOOKUP(A2430,Studies!A:BR,5,FALSE),"")</f>
        <v>Rifampicin</v>
      </c>
      <c r="F2430" s="207" t="str">
        <f>IF(AND(A2430&lt;&gt;"",ISNUMBER(A2430)),VLOOKUP(A2430,Studies!A:BR,6,FALSE),"")</f>
        <v>Serum</v>
      </c>
      <c r="G2430" s="194">
        <v>2</v>
      </c>
      <c r="H2430" s="194" t="s">
        <v>60</v>
      </c>
      <c r="I2430" s="187">
        <v>0.41</v>
      </c>
      <c r="J2430" s="187" t="s">
        <v>1054</v>
      </c>
      <c r="K2430" s="187" t="s">
        <v>264</v>
      </c>
      <c r="L2430" s="195"/>
      <c r="M2430" s="195"/>
      <c r="N2430" s="195"/>
      <c r="O2430" s="199"/>
      <c r="P2430" s="188"/>
      <c r="Q2430" s="174">
        <f>IF(ISNUMBER(VLOOKUP(A2430,NotghiID!A:A,1,FALSE)),1,0)</f>
        <v>0</v>
      </c>
    </row>
    <row r="2431" spans="1:17" ht="14.25" x14ac:dyDescent="0.2">
      <c r="A2431" s="183">
        <f t="shared" si="5"/>
        <v>10</v>
      </c>
      <c r="B2431" s="232" t="str">
        <f>IF(AND(A2431&lt;&gt;"",ISNUMBER(A2431)),VLOOKUP(A2431,Studies!A:BR,2,FALSE),"")</f>
        <v>Acocella 1977</v>
      </c>
      <c r="C2431" s="232" t="str">
        <f>IF(AND(A2431&lt;&gt;"",ISNUMBER(A2431)),VLOOKUP(A2431,Studies!A:BR,3,FALSE),"")</f>
        <v>https://www.ncbi.nlm.nih.gov/pubmed/578447</v>
      </c>
      <c r="D2431" s="232" t="str">
        <f>IF(AND(A2431&lt;&gt;"",ISNUMBER(A2431)),VLOOKUP(A2431,Studies!A:BR,4,FALSE),"")</f>
        <v>Subject 2 (150 mg)</v>
      </c>
      <c r="E2431" s="206" t="str">
        <f>IF(AND(A2431&lt;&gt;"",ISNUMBER(A2431)),VLOOKUP(A2431,Studies!A:BR,5,FALSE),"")</f>
        <v>Rifampicin</v>
      </c>
      <c r="F2431" s="207" t="str">
        <f>IF(AND(A2431&lt;&gt;"",ISNUMBER(A2431)),VLOOKUP(A2431,Studies!A:BR,6,FALSE),"")</f>
        <v>Serum</v>
      </c>
      <c r="G2431" s="194">
        <v>4</v>
      </c>
      <c r="H2431" s="194" t="s">
        <v>60</v>
      </c>
      <c r="I2431" s="187">
        <v>0.56000000000000005</v>
      </c>
      <c r="J2431" s="187" t="s">
        <v>1054</v>
      </c>
      <c r="K2431" s="187" t="s">
        <v>264</v>
      </c>
      <c r="L2431" s="195"/>
      <c r="M2431" s="195"/>
      <c r="N2431" s="195"/>
      <c r="O2431" s="199"/>
      <c r="P2431" s="188"/>
      <c r="Q2431" s="174">
        <f>IF(ISNUMBER(VLOOKUP(A2431,NotghiID!A:A,1,FALSE)),1,0)</f>
        <v>0</v>
      </c>
    </row>
    <row r="2432" spans="1:17" ht="14.25" x14ac:dyDescent="0.2">
      <c r="A2432" s="183">
        <f t="shared" si="5"/>
        <v>10</v>
      </c>
      <c r="B2432" s="232" t="str">
        <f>IF(AND(A2432&lt;&gt;"",ISNUMBER(A2432)),VLOOKUP(A2432,Studies!A:BR,2,FALSE),"")</f>
        <v>Acocella 1977</v>
      </c>
      <c r="C2432" s="232" t="str">
        <f>IF(AND(A2432&lt;&gt;"",ISNUMBER(A2432)),VLOOKUP(A2432,Studies!A:BR,3,FALSE),"")</f>
        <v>https://www.ncbi.nlm.nih.gov/pubmed/578447</v>
      </c>
      <c r="D2432" s="232" t="str">
        <f>IF(AND(A2432&lt;&gt;"",ISNUMBER(A2432)),VLOOKUP(A2432,Studies!A:BR,4,FALSE),"")</f>
        <v>Subject 2 (150 mg)</v>
      </c>
      <c r="E2432" s="206" t="str">
        <f>IF(AND(A2432&lt;&gt;"",ISNUMBER(A2432)),VLOOKUP(A2432,Studies!A:BR,5,FALSE),"")</f>
        <v>Rifampicin</v>
      </c>
      <c r="F2432" s="207" t="str">
        <f>IF(AND(A2432&lt;&gt;"",ISNUMBER(A2432)),VLOOKUP(A2432,Studies!A:BR,6,FALSE),"")</f>
        <v>Serum</v>
      </c>
      <c r="G2432" s="194">
        <v>8</v>
      </c>
      <c r="H2432" s="194" t="s">
        <v>60</v>
      </c>
      <c r="I2432" s="187">
        <v>0.19</v>
      </c>
      <c r="J2432" s="187" t="s">
        <v>1054</v>
      </c>
      <c r="K2432" s="187" t="s">
        <v>264</v>
      </c>
      <c r="L2432" s="195"/>
      <c r="M2432" s="195"/>
      <c r="N2432" s="195"/>
      <c r="O2432" s="199"/>
      <c r="P2432" s="188"/>
      <c r="Q2432" s="174">
        <f>IF(ISNUMBER(VLOOKUP(A2432,NotghiID!A:A,1,FALSE)),1,0)</f>
        <v>0</v>
      </c>
    </row>
    <row r="2433" spans="1:17" ht="14.25" x14ac:dyDescent="0.2">
      <c r="A2433" s="183">
        <f t="shared" si="5"/>
        <v>11</v>
      </c>
      <c r="B2433" s="232" t="str">
        <f>IF(AND(A2433&lt;&gt;"",ISNUMBER(A2433)),VLOOKUP(A2433,Studies!A:BR,2,FALSE),"")</f>
        <v>Acocella 1977</v>
      </c>
      <c r="C2433" s="232" t="str">
        <f>IF(AND(A2433&lt;&gt;"",ISNUMBER(A2433)),VLOOKUP(A2433,Studies!A:BR,3,FALSE),"")</f>
        <v>https://www.ncbi.nlm.nih.gov/pubmed/578447</v>
      </c>
      <c r="D2433" s="232" t="str">
        <f>IF(AND(A2433&lt;&gt;"",ISNUMBER(A2433)),VLOOKUP(A2433,Studies!A:BR,4,FALSE),"")</f>
        <v>Subject 3 (300 mg)</v>
      </c>
      <c r="E2433" s="206" t="str">
        <f>IF(AND(A2433&lt;&gt;"",ISNUMBER(A2433)),VLOOKUP(A2433,Studies!A:BR,5,FALSE),"")</f>
        <v>Rifampicin</v>
      </c>
      <c r="F2433" s="207" t="str">
        <f>IF(AND(A2433&lt;&gt;"",ISNUMBER(A2433)),VLOOKUP(A2433,Studies!A:BR,6,FALSE),"")</f>
        <v>Serum</v>
      </c>
      <c r="G2433" s="194">
        <v>0</v>
      </c>
      <c r="H2433" s="194" t="s">
        <v>60</v>
      </c>
      <c r="I2433" s="187">
        <v>0</v>
      </c>
      <c r="J2433" s="187" t="s">
        <v>1054</v>
      </c>
      <c r="K2433" s="187" t="s">
        <v>264</v>
      </c>
      <c r="L2433" s="195"/>
      <c r="M2433" s="195"/>
      <c r="N2433" s="195"/>
      <c r="O2433" s="199"/>
      <c r="P2433" s="188"/>
      <c r="Q2433" s="174">
        <f>IF(ISNUMBER(VLOOKUP(A2433,NotghiID!A:A,1,FALSE)),1,0)</f>
        <v>0</v>
      </c>
    </row>
    <row r="2434" spans="1:17" ht="14.25" x14ac:dyDescent="0.2">
      <c r="A2434" s="183">
        <f t="shared" si="5"/>
        <v>11</v>
      </c>
      <c r="B2434" s="232" t="str">
        <f>IF(AND(A2434&lt;&gt;"",ISNUMBER(A2434)),VLOOKUP(A2434,Studies!A:BR,2,FALSE),"")</f>
        <v>Acocella 1977</v>
      </c>
      <c r="C2434" s="232" t="str">
        <f>IF(AND(A2434&lt;&gt;"",ISNUMBER(A2434)),VLOOKUP(A2434,Studies!A:BR,3,FALSE),"")</f>
        <v>https://www.ncbi.nlm.nih.gov/pubmed/578447</v>
      </c>
      <c r="D2434" s="232" t="str">
        <f>IF(AND(A2434&lt;&gt;"",ISNUMBER(A2434)),VLOOKUP(A2434,Studies!A:BR,4,FALSE),"")</f>
        <v>Subject 3 (300 mg)</v>
      </c>
      <c r="E2434" s="206" t="str">
        <f>IF(AND(A2434&lt;&gt;"",ISNUMBER(A2434)),VLOOKUP(A2434,Studies!A:BR,5,FALSE),"")</f>
        <v>Rifampicin</v>
      </c>
      <c r="F2434" s="207" t="str">
        <f>IF(AND(A2434&lt;&gt;"",ISNUMBER(A2434)),VLOOKUP(A2434,Studies!A:BR,6,FALSE),"")</f>
        <v>Serum</v>
      </c>
      <c r="G2434" s="194">
        <v>0.5</v>
      </c>
      <c r="H2434" s="194" t="s">
        <v>60</v>
      </c>
      <c r="I2434" s="187">
        <v>1.82</v>
      </c>
      <c r="J2434" s="187" t="s">
        <v>1054</v>
      </c>
      <c r="K2434" s="187" t="s">
        <v>264</v>
      </c>
      <c r="L2434" s="195"/>
      <c r="M2434" s="195"/>
      <c r="N2434" s="195"/>
      <c r="O2434" s="199"/>
      <c r="P2434" s="188"/>
      <c r="Q2434" s="174">
        <f>IF(ISNUMBER(VLOOKUP(A2434,NotghiID!A:A,1,FALSE)),1,0)</f>
        <v>0</v>
      </c>
    </row>
    <row r="2435" spans="1:17" ht="14.25" x14ac:dyDescent="0.2">
      <c r="A2435" s="183">
        <f t="shared" si="5"/>
        <v>11</v>
      </c>
      <c r="B2435" s="232" t="str">
        <f>IF(AND(A2435&lt;&gt;"",ISNUMBER(A2435)),VLOOKUP(A2435,Studies!A:BR,2,FALSE),"")</f>
        <v>Acocella 1977</v>
      </c>
      <c r="C2435" s="232" t="str">
        <f>IF(AND(A2435&lt;&gt;"",ISNUMBER(A2435)),VLOOKUP(A2435,Studies!A:BR,3,FALSE),"")</f>
        <v>https://www.ncbi.nlm.nih.gov/pubmed/578447</v>
      </c>
      <c r="D2435" s="232" t="str">
        <f>IF(AND(A2435&lt;&gt;"",ISNUMBER(A2435)),VLOOKUP(A2435,Studies!A:BR,4,FALSE),"")</f>
        <v>Subject 3 (300 mg)</v>
      </c>
      <c r="E2435" s="206" t="str">
        <f>IF(AND(A2435&lt;&gt;"",ISNUMBER(A2435)),VLOOKUP(A2435,Studies!A:BR,5,FALSE),"")</f>
        <v>Rifampicin</v>
      </c>
      <c r="F2435" s="207" t="str">
        <f>IF(AND(A2435&lt;&gt;"",ISNUMBER(A2435)),VLOOKUP(A2435,Studies!A:BR,6,FALSE),"")</f>
        <v>Serum</v>
      </c>
      <c r="G2435" s="194">
        <v>1</v>
      </c>
      <c r="H2435" s="194" t="s">
        <v>60</v>
      </c>
      <c r="I2435" s="187">
        <v>3.5</v>
      </c>
      <c r="J2435" s="187" t="s">
        <v>1054</v>
      </c>
      <c r="K2435" s="187" t="s">
        <v>264</v>
      </c>
      <c r="L2435" s="195"/>
      <c r="M2435" s="195"/>
      <c r="N2435" s="195"/>
      <c r="O2435" s="199"/>
      <c r="P2435" s="188"/>
      <c r="Q2435" s="174">
        <f>IF(ISNUMBER(VLOOKUP(A2435,NotghiID!A:A,1,FALSE)),1,0)</f>
        <v>0</v>
      </c>
    </row>
    <row r="2436" spans="1:17" ht="14.25" x14ac:dyDescent="0.2">
      <c r="A2436" s="183">
        <f t="shared" si="5"/>
        <v>11</v>
      </c>
      <c r="B2436" s="232" t="str">
        <f>IF(AND(A2436&lt;&gt;"",ISNUMBER(A2436)),VLOOKUP(A2436,Studies!A:BR,2,FALSE),"")</f>
        <v>Acocella 1977</v>
      </c>
      <c r="C2436" s="232" t="str">
        <f>IF(AND(A2436&lt;&gt;"",ISNUMBER(A2436)),VLOOKUP(A2436,Studies!A:BR,3,FALSE),"")</f>
        <v>https://www.ncbi.nlm.nih.gov/pubmed/578447</v>
      </c>
      <c r="D2436" s="232" t="str">
        <f>IF(AND(A2436&lt;&gt;"",ISNUMBER(A2436)),VLOOKUP(A2436,Studies!A:BR,4,FALSE),"")</f>
        <v>Subject 3 (300 mg)</v>
      </c>
      <c r="E2436" s="206" t="str">
        <f>IF(AND(A2436&lt;&gt;"",ISNUMBER(A2436)),VLOOKUP(A2436,Studies!A:BR,5,FALSE),"")</f>
        <v>Rifampicin</v>
      </c>
      <c r="F2436" s="207" t="str">
        <f>IF(AND(A2436&lt;&gt;"",ISNUMBER(A2436)),VLOOKUP(A2436,Studies!A:BR,6,FALSE),"")</f>
        <v>Serum</v>
      </c>
      <c r="G2436" s="194">
        <v>2</v>
      </c>
      <c r="H2436" s="194" t="s">
        <v>60</v>
      </c>
      <c r="I2436" s="187">
        <v>4.3099999999999996</v>
      </c>
      <c r="J2436" s="187" t="s">
        <v>1054</v>
      </c>
      <c r="K2436" s="187" t="s">
        <v>264</v>
      </c>
      <c r="L2436" s="195"/>
      <c r="M2436" s="195"/>
      <c r="N2436" s="195"/>
      <c r="O2436" s="199"/>
      <c r="P2436" s="188"/>
      <c r="Q2436" s="174">
        <f>IF(ISNUMBER(VLOOKUP(A2436,NotghiID!A:A,1,FALSE)),1,0)</f>
        <v>0</v>
      </c>
    </row>
    <row r="2437" spans="1:17" ht="14.25" x14ac:dyDescent="0.2">
      <c r="A2437" s="183">
        <f t="shared" si="5"/>
        <v>11</v>
      </c>
      <c r="B2437" s="232" t="str">
        <f>IF(AND(A2437&lt;&gt;"",ISNUMBER(A2437)),VLOOKUP(A2437,Studies!A:BR,2,FALSE),"")</f>
        <v>Acocella 1977</v>
      </c>
      <c r="C2437" s="232" t="str">
        <f>IF(AND(A2437&lt;&gt;"",ISNUMBER(A2437)),VLOOKUP(A2437,Studies!A:BR,3,FALSE),"")</f>
        <v>https://www.ncbi.nlm.nih.gov/pubmed/578447</v>
      </c>
      <c r="D2437" s="232" t="str">
        <f>IF(AND(A2437&lt;&gt;"",ISNUMBER(A2437)),VLOOKUP(A2437,Studies!A:BR,4,FALSE),"")</f>
        <v>Subject 3 (300 mg)</v>
      </c>
      <c r="E2437" s="206" t="str">
        <f>IF(AND(A2437&lt;&gt;"",ISNUMBER(A2437)),VLOOKUP(A2437,Studies!A:BR,5,FALSE),"")</f>
        <v>Rifampicin</v>
      </c>
      <c r="F2437" s="207" t="str">
        <f>IF(AND(A2437&lt;&gt;"",ISNUMBER(A2437)),VLOOKUP(A2437,Studies!A:BR,6,FALSE),"")</f>
        <v>Serum</v>
      </c>
      <c r="G2437" s="194">
        <v>4</v>
      </c>
      <c r="H2437" s="194" t="s">
        <v>60</v>
      </c>
      <c r="I2437" s="187">
        <v>3.83</v>
      </c>
      <c r="J2437" s="187" t="s">
        <v>1054</v>
      </c>
      <c r="K2437" s="187" t="s">
        <v>264</v>
      </c>
      <c r="L2437" s="195"/>
      <c r="M2437" s="195"/>
      <c r="N2437" s="195"/>
      <c r="O2437" s="199"/>
      <c r="P2437" s="188"/>
      <c r="Q2437" s="174">
        <f>IF(ISNUMBER(VLOOKUP(A2437,NotghiID!A:A,1,FALSE)),1,0)</f>
        <v>0</v>
      </c>
    </row>
    <row r="2438" spans="1:17" ht="14.25" x14ac:dyDescent="0.2">
      <c r="A2438" s="183">
        <f t="shared" si="5"/>
        <v>11</v>
      </c>
      <c r="B2438" s="232" t="str">
        <f>IF(AND(A2438&lt;&gt;"",ISNUMBER(A2438)),VLOOKUP(A2438,Studies!A:BR,2,FALSE),"")</f>
        <v>Acocella 1977</v>
      </c>
      <c r="C2438" s="232" t="str">
        <f>IF(AND(A2438&lt;&gt;"",ISNUMBER(A2438)),VLOOKUP(A2438,Studies!A:BR,3,FALSE),"")</f>
        <v>https://www.ncbi.nlm.nih.gov/pubmed/578447</v>
      </c>
      <c r="D2438" s="232" t="str">
        <f>IF(AND(A2438&lt;&gt;"",ISNUMBER(A2438)),VLOOKUP(A2438,Studies!A:BR,4,FALSE),"")</f>
        <v>Subject 3 (300 mg)</v>
      </c>
      <c r="E2438" s="206" t="str">
        <f>IF(AND(A2438&lt;&gt;"",ISNUMBER(A2438)),VLOOKUP(A2438,Studies!A:BR,5,FALSE),"")</f>
        <v>Rifampicin</v>
      </c>
      <c r="F2438" s="207" t="str">
        <f>IF(AND(A2438&lt;&gt;"",ISNUMBER(A2438)),VLOOKUP(A2438,Studies!A:BR,6,FALSE),"")</f>
        <v>Serum</v>
      </c>
      <c r="G2438" s="194">
        <v>8</v>
      </c>
      <c r="H2438" s="194" t="s">
        <v>60</v>
      </c>
      <c r="I2438" s="187">
        <v>1.46</v>
      </c>
      <c r="J2438" s="187" t="s">
        <v>1054</v>
      </c>
      <c r="K2438" s="187" t="s">
        <v>264</v>
      </c>
      <c r="L2438" s="195"/>
      <c r="M2438" s="195"/>
      <c r="N2438" s="195"/>
      <c r="O2438" s="199"/>
      <c r="P2438" s="188"/>
      <c r="Q2438" s="174">
        <f>IF(ISNUMBER(VLOOKUP(A2438,NotghiID!A:A,1,FALSE)),1,0)</f>
        <v>0</v>
      </c>
    </row>
    <row r="2439" spans="1:17" ht="14.25" x14ac:dyDescent="0.2">
      <c r="A2439" s="183">
        <f t="shared" si="5"/>
        <v>12</v>
      </c>
      <c r="B2439" s="232" t="str">
        <f>IF(AND(A2439&lt;&gt;"",ISNUMBER(A2439)),VLOOKUP(A2439,Studies!A:BR,2,FALSE),"")</f>
        <v>Acocella 1977</v>
      </c>
      <c r="C2439" s="232" t="str">
        <f>IF(AND(A2439&lt;&gt;"",ISNUMBER(A2439)),VLOOKUP(A2439,Studies!A:BR,3,FALSE),"")</f>
        <v>https://www.ncbi.nlm.nih.gov/pubmed/578447</v>
      </c>
      <c r="D2439" s="232" t="str">
        <f>IF(AND(A2439&lt;&gt;"",ISNUMBER(A2439)),VLOOKUP(A2439,Studies!A:BR,4,FALSE),"")</f>
        <v>Subject 4 (300 mg)</v>
      </c>
      <c r="E2439" s="206" t="str">
        <f>IF(AND(A2439&lt;&gt;"",ISNUMBER(A2439)),VLOOKUP(A2439,Studies!A:BR,5,FALSE),"")</f>
        <v>Rifampicin</v>
      </c>
      <c r="F2439" s="207" t="str">
        <f>IF(AND(A2439&lt;&gt;"",ISNUMBER(A2439)),VLOOKUP(A2439,Studies!A:BR,6,FALSE),"")</f>
        <v>Serum</v>
      </c>
      <c r="G2439" s="194">
        <v>0</v>
      </c>
      <c r="H2439" s="194" t="s">
        <v>60</v>
      </c>
      <c r="I2439" s="187">
        <v>0</v>
      </c>
      <c r="J2439" s="187" t="s">
        <v>1054</v>
      </c>
      <c r="K2439" s="187" t="s">
        <v>264</v>
      </c>
      <c r="L2439" s="195"/>
      <c r="M2439" s="195"/>
      <c r="N2439" s="195"/>
      <c r="O2439" s="199"/>
      <c r="P2439" s="188"/>
      <c r="Q2439" s="174">
        <f>IF(ISNUMBER(VLOOKUP(A2439,NotghiID!A:A,1,FALSE)),1,0)</f>
        <v>0</v>
      </c>
    </row>
    <row r="2440" spans="1:17" ht="14.25" x14ac:dyDescent="0.2">
      <c r="A2440" s="183">
        <f t="shared" si="5"/>
        <v>12</v>
      </c>
      <c r="B2440" s="232" t="str">
        <f>IF(AND(A2440&lt;&gt;"",ISNUMBER(A2440)),VLOOKUP(A2440,Studies!A:BR,2,FALSE),"")</f>
        <v>Acocella 1977</v>
      </c>
      <c r="C2440" s="232" t="str">
        <f>IF(AND(A2440&lt;&gt;"",ISNUMBER(A2440)),VLOOKUP(A2440,Studies!A:BR,3,FALSE),"")</f>
        <v>https://www.ncbi.nlm.nih.gov/pubmed/578447</v>
      </c>
      <c r="D2440" s="232" t="str">
        <f>IF(AND(A2440&lt;&gt;"",ISNUMBER(A2440)),VLOOKUP(A2440,Studies!A:BR,4,FALSE),"")</f>
        <v>Subject 4 (300 mg)</v>
      </c>
      <c r="E2440" s="206" t="str">
        <f>IF(AND(A2440&lt;&gt;"",ISNUMBER(A2440)),VLOOKUP(A2440,Studies!A:BR,5,FALSE),"")</f>
        <v>Rifampicin</v>
      </c>
      <c r="F2440" s="207" t="str">
        <f>IF(AND(A2440&lt;&gt;"",ISNUMBER(A2440)),VLOOKUP(A2440,Studies!A:BR,6,FALSE),"")</f>
        <v>Serum</v>
      </c>
      <c r="G2440" s="194">
        <v>0.5</v>
      </c>
      <c r="H2440" s="194" t="s">
        <v>60</v>
      </c>
      <c r="I2440" s="187">
        <v>1.05</v>
      </c>
      <c r="J2440" s="187" t="s">
        <v>1054</v>
      </c>
      <c r="K2440" s="187" t="s">
        <v>264</v>
      </c>
      <c r="L2440" s="195"/>
      <c r="M2440" s="195"/>
      <c r="N2440" s="195"/>
      <c r="O2440" s="199"/>
      <c r="P2440" s="188"/>
      <c r="Q2440" s="174">
        <f>IF(ISNUMBER(VLOOKUP(A2440,NotghiID!A:A,1,FALSE)),1,0)</f>
        <v>0</v>
      </c>
    </row>
    <row r="2441" spans="1:17" ht="14.25" x14ac:dyDescent="0.2">
      <c r="A2441" s="183">
        <f t="shared" si="5"/>
        <v>12</v>
      </c>
      <c r="B2441" s="232" t="str">
        <f>IF(AND(A2441&lt;&gt;"",ISNUMBER(A2441)),VLOOKUP(A2441,Studies!A:BR,2,FALSE),"")</f>
        <v>Acocella 1977</v>
      </c>
      <c r="C2441" s="232" t="str">
        <f>IF(AND(A2441&lt;&gt;"",ISNUMBER(A2441)),VLOOKUP(A2441,Studies!A:BR,3,FALSE),"")</f>
        <v>https://www.ncbi.nlm.nih.gov/pubmed/578447</v>
      </c>
      <c r="D2441" s="232" t="str">
        <f>IF(AND(A2441&lt;&gt;"",ISNUMBER(A2441)),VLOOKUP(A2441,Studies!A:BR,4,FALSE),"")</f>
        <v>Subject 4 (300 mg)</v>
      </c>
      <c r="E2441" s="206" t="str">
        <f>IF(AND(A2441&lt;&gt;"",ISNUMBER(A2441)),VLOOKUP(A2441,Studies!A:BR,5,FALSE),"")</f>
        <v>Rifampicin</v>
      </c>
      <c r="F2441" s="207" t="str">
        <f>IF(AND(A2441&lt;&gt;"",ISNUMBER(A2441)),VLOOKUP(A2441,Studies!A:BR,6,FALSE),"")</f>
        <v>Serum</v>
      </c>
      <c r="G2441" s="194">
        <v>1</v>
      </c>
      <c r="H2441" s="194" t="s">
        <v>60</v>
      </c>
      <c r="I2441" s="187">
        <v>1.48</v>
      </c>
      <c r="J2441" s="187" t="s">
        <v>1054</v>
      </c>
      <c r="K2441" s="187" t="s">
        <v>264</v>
      </c>
      <c r="L2441" s="195"/>
      <c r="M2441" s="195"/>
      <c r="N2441" s="195"/>
      <c r="O2441" s="199"/>
      <c r="P2441" s="188"/>
      <c r="Q2441" s="174">
        <f>IF(ISNUMBER(VLOOKUP(A2441,NotghiID!A:A,1,FALSE)),1,0)</f>
        <v>0</v>
      </c>
    </row>
    <row r="2442" spans="1:17" ht="14.25" x14ac:dyDescent="0.2">
      <c r="A2442" s="183">
        <f t="shared" si="5"/>
        <v>12</v>
      </c>
      <c r="B2442" s="232" t="str">
        <f>IF(AND(A2442&lt;&gt;"",ISNUMBER(A2442)),VLOOKUP(A2442,Studies!A:BR,2,FALSE),"")</f>
        <v>Acocella 1977</v>
      </c>
      <c r="C2442" s="232" t="str">
        <f>IF(AND(A2442&lt;&gt;"",ISNUMBER(A2442)),VLOOKUP(A2442,Studies!A:BR,3,FALSE),"")</f>
        <v>https://www.ncbi.nlm.nih.gov/pubmed/578447</v>
      </c>
      <c r="D2442" s="232" t="str">
        <f>IF(AND(A2442&lt;&gt;"",ISNUMBER(A2442)),VLOOKUP(A2442,Studies!A:BR,4,FALSE),"")</f>
        <v>Subject 4 (300 mg)</v>
      </c>
      <c r="E2442" s="206" t="str">
        <f>IF(AND(A2442&lt;&gt;"",ISNUMBER(A2442)),VLOOKUP(A2442,Studies!A:BR,5,FALSE),"")</f>
        <v>Rifampicin</v>
      </c>
      <c r="F2442" s="207" t="str">
        <f>IF(AND(A2442&lt;&gt;"",ISNUMBER(A2442)),VLOOKUP(A2442,Studies!A:BR,6,FALSE),"")</f>
        <v>Serum</v>
      </c>
      <c r="G2442" s="194">
        <v>2</v>
      </c>
      <c r="H2442" s="194" t="s">
        <v>60</v>
      </c>
      <c r="I2442" s="187">
        <v>3.61</v>
      </c>
      <c r="J2442" s="187" t="s">
        <v>1054</v>
      </c>
      <c r="K2442" s="187" t="s">
        <v>264</v>
      </c>
      <c r="L2442" s="195"/>
      <c r="M2442" s="195"/>
      <c r="N2442" s="195"/>
      <c r="O2442" s="199"/>
      <c r="P2442" s="188"/>
      <c r="Q2442" s="174">
        <f>IF(ISNUMBER(VLOOKUP(A2442,NotghiID!A:A,1,FALSE)),1,0)</f>
        <v>0</v>
      </c>
    </row>
    <row r="2443" spans="1:17" ht="14.25" x14ac:dyDescent="0.2">
      <c r="A2443" s="183">
        <f t="shared" si="5"/>
        <v>12</v>
      </c>
      <c r="B2443" s="232" t="str">
        <f>IF(AND(A2443&lt;&gt;"",ISNUMBER(A2443)),VLOOKUP(A2443,Studies!A:BR,2,FALSE),"")</f>
        <v>Acocella 1977</v>
      </c>
      <c r="C2443" s="232" t="str">
        <f>IF(AND(A2443&lt;&gt;"",ISNUMBER(A2443)),VLOOKUP(A2443,Studies!A:BR,3,FALSE),"")</f>
        <v>https://www.ncbi.nlm.nih.gov/pubmed/578447</v>
      </c>
      <c r="D2443" s="232" t="str">
        <f>IF(AND(A2443&lt;&gt;"",ISNUMBER(A2443)),VLOOKUP(A2443,Studies!A:BR,4,FALSE),"")</f>
        <v>Subject 4 (300 mg)</v>
      </c>
      <c r="E2443" s="206" t="str">
        <f>IF(AND(A2443&lt;&gt;"",ISNUMBER(A2443)),VLOOKUP(A2443,Studies!A:BR,5,FALSE),"")</f>
        <v>Rifampicin</v>
      </c>
      <c r="F2443" s="207" t="str">
        <f>IF(AND(A2443&lt;&gt;"",ISNUMBER(A2443)),VLOOKUP(A2443,Studies!A:BR,6,FALSE),"")</f>
        <v>Serum</v>
      </c>
      <c r="G2443" s="194">
        <v>4</v>
      </c>
      <c r="H2443" s="194" t="s">
        <v>60</v>
      </c>
      <c r="I2443" s="187">
        <v>3.6</v>
      </c>
      <c r="J2443" s="187" t="s">
        <v>1054</v>
      </c>
      <c r="K2443" s="187" t="s">
        <v>264</v>
      </c>
      <c r="L2443" s="195"/>
      <c r="M2443" s="195"/>
      <c r="N2443" s="195"/>
      <c r="O2443" s="199"/>
      <c r="P2443" s="188"/>
      <c r="Q2443" s="174">
        <f>IF(ISNUMBER(VLOOKUP(A2443,NotghiID!A:A,1,FALSE)),1,0)</f>
        <v>0</v>
      </c>
    </row>
    <row r="2444" spans="1:17" ht="14.25" x14ac:dyDescent="0.2">
      <c r="A2444" s="183">
        <f t="shared" si="5"/>
        <v>12</v>
      </c>
      <c r="B2444" s="232" t="str">
        <f>IF(AND(A2444&lt;&gt;"",ISNUMBER(A2444)),VLOOKUP(A2444,Studies!A:BR,2,FALSE),"")</f>
        <v>Acocella 1977</v>
      </c>
      <c r="C2444" s="232" t="str">
        <f>IF(AND(A2444&lt;&gt;"",ISNUMBER(A2444)),VLOOKUP(A2444,Studies!A:BR,3,FALSE),"")</f>
        <v>https://www.ncbi.nlm.nih.gov/pubmed/578447</v>
      </c>
      <c r="D2444" s="232" t="str">
        <f>IF(AND(A2444&lt;&gt;"",ISNUMBER(A2444)),VLOOKUP(A2444,Studies!A:BR,4,FALSE),"")</f>
        <v>Subject 4 (300 mg)</v>
      </c>
      <c r="E2444" s="206" t="str">
        <f>IF(AND(A2444&lt;&gt;"",ISNUMBER(A2444)),VLOOKUP(A2444,Studies!A:BR,5,FALSE),"")</f>
        <v>Rifampicin</v>
      </c>
      <c r="F2444" s="207" t="str">
        <f>IF(AND(A2444&lt;&gt;"",ISNUMBER(A2444)),VLOOKUP(A2444,Studies!A:BR,6,FALSE),"")</f>
        <v>Serum</v>
      </c>
      <c r="G2444" s="194">
        <v>8</v>
      </c>
      <c r="H2444" s="194" t="s">
        <v>60</v>
      </c>
      <c r="I2444" s="187">
        <v>1.02</v>
      </c>
      <c r="J2444" s="187" t="s">
        <v>1054</v>
      </c>
      <c r="K2444" s="187" t="s">
        <v>264</v>
      </c>
      <c r="L2444" s="195"/>
      <c r="M2444" s="195"/>
      <c r="N2444" s="195"/>
      <c r="O2444" s="199"/>
      <c r="P2444" s="188"/>
      <c r="Q2444" s="174">
        <f>IF(ISNUMBER(VLOOKUP(A2444,NotghiID!A:A,1,FALSE)),1,0)</f>
        <v>0</v>
      </c>
    </row>
    <row r="2445" spans="1:17" ht="14.25" x14ac:dyDescent="0.2">
      <c r="A2445" s="183">
        <f t="shared" si="5"/>
        <v>13</v>
      </c>
      <c r="B2445" s="232" t="str">
        <f>IF(AND(A2445&lt;&gt;"",ISNUMBER(A2445)),VLOOKUP(A2445,Studies!A:BR,2,FALSE),"")</f>
        <v>Acocella 1977</v>
      </c>
      <c r="C2445" s="232" t="str">
        <f>IF(AND(A2445&lt;&gt;"",ISNUMBER(A2445)),VLOOKUP(A2445,Studies!A:BR,3,FALSE),"")</f>
        <v>https://www.ncbi.nlm.nih.gov/pubmed/578447</v>
      </c>
      <c r="D2445" s="232" t="str">
        <f>IF(AND(A2445&lt;&gt;"",ISNUMBER(A2445)),VLOOKUP(A2445,Studies!A:BR,4,FALSE),"")</f>
        <v>Subject 5 (450 mg)</v>
      </c>
      <c r="E2445" s="206" t="str">
        <f>IF(AND(A2445&lt;&gt;"",ISNUMBER(A2445)),VLOOKUP(A2445,Studies!A:BR,5,FALSE),"")</f>
        <v>Rifampicin</v>
      </c>
      <c r="F2445" s="207" t="str">
        <f>IF(AND(A2445&lt;&gt;"",ISNUMBER(A2445)),VLOOKUP(A2445,Studies!A:BR,6,FALSE),"")</f>
        <v>Serum</v>
      </c>
      <c r="G2445" s="194">
        <v>0</v>
      </c>
      <c r="H2445" s="194" t="s">
        <v>60</v>
      </c>
      <c r="I2445" s="187">
        <v>0</v>
      </c>
      <c r="J2445" s="187" t="s">
        <v>1054</v>
      </c>
      <c r="K2445" s="187" t="s">
        <v>264</v>
      </c>
      <c r="L2445" s="195"/>
      <c r="M2445" s="195"/>
      <c r="N2445" s="195"/>
      <c r="O2445" s="199"/>
      <c r="P2445" s="188"/>
      <c r="Q2445" s="174">
        <f>IF(ISNUMBER(VLOOKUP(A2445,NotghiID!A:A,1,FALSE)),1,0)</f>
        <v>0</v>
      </c>
    </row>
    <row r="2446" spans="1:17" ht="14.25" x14ac:dyDescent="0.2">
      <c r="A2446" s="183">
        <f t="shared" si="5"/>
        <v>13</v>
      </c>
      <c r="B2446" s="232" t="str">
        <f>IF(AND(A2446&lt;&gt;"",ISNUMBER(A2446)),VLOOKUP(A2446,Studies!A:BR,2,FALSE),"")</f>
        <v>Acocella 1977</v>
      </c>
      <c r="C2446" s="232" t="str">
        <f>IF(AND(A2446&lt;&gt;"",ISNUMBER(A2446)),VLOOKUP(A2446,Studies!A:BR,3,FALSE),"")</f>
        <v>https://www.ncbi.nlm.nih.gov/pubmed/578447</v>
      </c>
      <c r="D2446" s="232" t="str">
        <f>IF(AND(A2446&lt;&gt;"",ISNUMBER(A2446)),VLOOKUP(A2446,Studies!A:BR,4,FALSE),"")</f>
        <v>Subject 5 (450 mg)</v>
      </c>
      <c r="E2446" s="206" t="str">
        <f>IF(AND(A2446&lt;&gt;"",ISNUMBER(A2446)),VLOOKUP(A2446,Studies!A:BR,5,FALSE),"")</f>
        <v>Rifampicin</v>
      </c>
      <c r="F2446" s="207" t="str">
        <f>IF(AND(A2446&lt;&gt;"",ISNUMBER(A2446)),VLOOKUP(A2446,Studies!A:BR,6,FALSE),"")</f>
        <v>Serum</v>
      </c>
      <c r="G2446" s="194">
        <v>0.5</v>
      </c>
      <c r="H2446" s="194" t="s">
        <v>60</v>
      </c>
      <c r="I2446" s="187">
        <v>1.21</v>
      </c>
      <c r="J2446" s="187" t="s">
        <v>1054</v>
      </c>
      <c r="K2446" s="187" t="s">
        <v>264</v>
      </c>
      <c r="L2446" s="195"/>
      <c r="M2446" s="195"/>
      <c r="N2446" s="195"/>
      <c r="O2446" s="199"/>
      <c r="P2446" s="188"/>
      <c r="Q2446" s="174">
        <f>IF(ISNUMBER(VLOOKUP(A2446,NotghiID!A:A,1,FALSE)),1,0)</f>
        <v>0</v>
      </c>
    </row>
    <row r="2447" spans="1:17" ht="14.25" x14ac:dyDescent="0.2">
      <c r="A2447" s="183">
        <f t="shared" si="5"/>
        <v>13</v>
      </c>
      <c r="B2447" s="232" t="str">
        <f>IF(AND(A2447&lt;&gt;"",ISNUMBER(A2447)),VLOOKUP(A2447,Studies!A:BR,2,FALSE),"")</f>
        <v>Acocella 1977</v>
      </c>
      <c r="C2447" s="232" t="str">
        <f>IF(AND(A2447&lt;&gt;"",ISNUMBER(A2447)),VLOOKUP(A2447,Studies!A:BR,3,FALSE),"")</f>
        <v>https://www.ncbi.nlm.nih.gov/pubmed/578447</v>
      </c>
      <c r="D2447" s="232" t="str">
        <f>IF(AND(A2447&lt;&gt;"",ISNUMBER(A2447)),VLOOKUP(A2447,Studies!A:BR,4,FALSE),"")</f>
        <v>Subject 5 (450 mg)</v>
      </c>
      <c r="E2447" s="206" t="str">
        <f>IF(AND(A2447&lt;&gt;"",ISNUMBER(A2447)),VLOOKUP(A2447,Studies!A:BR,5,FALSE),"")</f>
        <v>Rifampicin</v>
      </c>
      <c r="F2447" s="207" t="str">
        <f>IF(AND(A2447&lt;&gt;"",ISNUMBER(A2447)),VLOOKUP(A2447,Studies!A:BR,6,FALSE),"")</f>
        <v>Serum</v>
      </c>
      <c r="G2447" s="194">
        <v>1</v>
      </c>
      <c r="H2447" s="194" t="s">
        <v>60</v>
      </c>
      <c r="I2447" s="187">
        <v>2.96</v>
      </c>
      <c r="J2447" s="187" t="s">
        <v>1054</v>
      </c>
      <c r="K2447" s="187" t="s">
        <v>264</v>
      </c>
      <c r="L2447" s="195"/>
      <c r="M2447" s="195"/>
      <c r="N2447" s="195"/>
      <c r="O2447" s="199"/>
      <c r="P2447" s="188"/>
      <c r="Q2447" s="174">
        <f>IF(ISNUMBER(VLOOKUP(A2447,NotghiID!A:A,1,FALSE)),1,0)</f>
        <v>0</v>
      </c>
    </row>
    <row r="2448" spans="1:17" ht="14.25" x14ac:dyDescent="0.2">
      <c r="A2448" s="183">
        <f t="shared" si="5"/>
        <v>13</v>
      </c>
      <c r="B2448" s="232" t="str">
        <f>IF(AND(A2448&lt;&gt;"",ISNUMBER(A2448)),VLOOKUP(A2448,Studies!A:BR,2,FALSE),"")</f>
        <v>Acocella 1977</v>
      </c>
      <c r="C2448" s="232" t="str">
        <f>IF(AND(A2448&lt;&gt;"",ISNUMBER(A2448)),VLOOKUP(A2448,Studies!A:BR,3,FALSE),"")</f>
        <v>https://www.ncbi.nlm.nih.gov/pubmed/578447</v>
      </c>
      <c r="D2448" s="232" t="str">
        <f>IF(AND(A2448&lt;&gt;"",ISNUMBER(A2448)),VLOOKUP(A2448,Studies!A:BR,4,FALSE),"")</f>
        <v>Subject 5 (450 mg)</v>
      </c>
      <c r="E2448" s="206" t="str">
        <f>IF(AND(A2448&lt;&gt;"",ISNUMBER(A2448)),VLOOKUP(A2448,Studies!A:BR,5,FALSE),"")</f>
        <v>Rifampicin</v>
      </c>
      <c r="F2448" s="207" t="str">
        <f>IF(AND(A2448&lt;&gt;"",ISNUMBER(A2448)),VLOOKUP(A2448,Studies!A:BR,6,FALSE),"")</f>
        <v>Serum</v>
      </c>
      <c r="G2448" s="194">
        <v>2</v>
      </c>
      <c r="H2448" s="194" t="s">
        <v>60</v>
      </c>
      <c r="I2448" s="187">
        <v>6.97</v>
      </c>
      <c r="J2448" s="187" t="s">
        <v>1054</v>
      </c>
      <c r="K2448" s="187" t="s">
        <v>264</v>
      </c>
      <c r="L2448" s="195"/>
      <c r="M2448" s="195"/>
      <c r="N2448" s="195"/>
      <c r="O2448" s="199"/>
      <c r="P2448" s="188"/>
      <c r="Q2448" s="174">
        <f>IF(ISNUMBER(VLOOKUP(A2448,NotghiID!A:A,1,FALSE)),1,0)</f>
        <v>0</v>
      </c>
    </row>
    <row r="2449" spans="1:17" ht="14.25" x14ac:dyDescent="0.2">
      <c r="A2449" s="183">
        <f t="shared" si="5"/>
        <v>13</v>
      </c>
      <c r="B2449" s="232" t="str">
        <f>IF(AND(A2449&lt;&gt;"",ISNUMBER(A2449)),VLOOKUP(A2449,Studies!A:BR,2,FALSE),"")</f>
        <v>Acocella 1977</v>
      </c>
      <c r="C2449" s="232" t="str">
        <f>IF(AND(A2449&lt;&gt;"",ISNUMBER(A2449)),VLOOKUP(A2449,Studies!A:BR,3,FALSE),"")</f>
        <v>https://www.ncbi.nlm.nih.gov/pubmed/578447</v>
      </c>
      <c r="D2449" s="232" t="str">
        <f>IF(AND(A2449&lt;&gt;"",ISNUMBER(A2449)),VLOOKUP(A2449,Studies!A:BR,4,FALSE),"")</f>
        <v>Subject 5 (450 mg)</v>
      </c>
      <c r="E2449" s="206" t="str">
        <f>IF(AND(A2449&lt;&gt;"",ISNUMBER(A2449)),VLOOKUP(A2449,Studies!A:BR,5,FALSE),"")</f>
        <v>Rifampicin</v>
      </c>
      <c r="F2449" s="207" t="str">
        <f>IF(AND(A2449&lt;&gt;"",ISNUMBER(A2449)),VLOOKUP(A2449,Studies!A:BR,6,FALSE),"")</f>
        <v>Serum</v>
      </c>
      <c r="G2449" s="194">
        <v>4</v>
      </c>
      <c r="H2449" s="194" t="s">
        <v>60</v>
      </c>
      <c r="I2449" s="187">
        <v>7.43</v>
      </c>
      <c r="J2449" s="187" t="s">
        <v>1054</v>
      </c>
      <c r="K2449" s="187" t="s">
        <v>264</v>
      </c>
      <c r="L2449" s="195"/>
      <c r="M2449" s="195"/>
      <c r="N2449" s="195"/>
      <c r="O2449" s="199"/>
      <c r="P2449" s="188"/>
      <c r="Q2449" s="174">
        <f>IF(ISNUMBER(VLOOKUP(A2449,NotghiID!A:A,1,FALSE)),1,0)</f>
        <v>0</v>
      </c>
    </row>
    <row r="2450" spans="1:17" ht="14.25" x14ac:dyDescent="0.2">
      <c r="A2450" s="183">
        <f t="shared" si="5"/>
        <v>13</v>
      </c>
      <c r="B2450" s="232" t="str">
        <f>IF(AND(A2450&lt;&gt;"",ISNUMBER(A2450)),VLOOKUP(A2450,Studies!A:BR,2,FALSE),"")</f>
        <v>Acocella 1977</v>
      </c>
      <c r="C2450" s="232" t="str">
        <f>IF(AND(A2450&lt;&gt;"",ISNUMBER(A2450)),VLOOKUP(A2450,Studies!A:BR,3,FALSE),"")</f>
        <v>https://www.ncbi.nlm.nih.gov/pubmed/578447</v>
      </c>
      <c r="D2450" s="232" t="str">
        <f>IF(AND(A2450&lt;&gt;"",ISNUMBER(A2450)),VLOOKUP(A2450,Studies!A:BR,4,FALSE),"")</f>
        <v>Subject 5 (450 mg)</v>
      </c>
      <c r="E2450" s="206" t="str">
        <f>IF(AND(A2450&lt;&gt;"",ISNUMBER(A2450)),VLOOKUP(A2450,Studies!A:BR,5,FALSE),"")</f>
        <v>Rifampicin</v>
      </c>
      <c r="F2450" s="207" t="str">
        <f>IF(AND(A2450&lt;&gt;"",ISNUMBER(A2450)),VLOOKUP(A2450,Studies!A:BR,6,FALSE),"")</f>
        <v>Serum</v>
      </c>
      <c r="G2450" s="194">
        <v>8</v>
      </c>
      <c r="H2450" s="194" t="s">
        <v>60</v>
      </c>
      <c r="I2450" s="187">
        <v>3.29</v>
      </c>
      <c r="J2450" s="187" t="s">
        <v>1054</v>
      </c>
      <c r="K2450" s="187" t="s">
        <v>264</v>
      </c>
      <c r="L2450" s="195"/>
      <c r="M2450" s="195"/>
      <c r="N2450" s="195"/>
      <c r="O2450" s="199"/>
      <c r="P2450" s="188"/>
      <c r="Q2450" s="174">
        <f>IF(ISNUMBER(VLOOKUP(A2450,NotghiID!A:A,1,FALSE)),1,0)</f>
        <v>0</v>
      </c>
    </row>
    <row r="2451" spans="1:17" ht="14.25" x14ac:dyDescent="0.2">
      <c r="A2451" s="183">
        <f t="shared" si="5"/>
        <v>14</v>
      </c>
      <c r="B2451" s="232" t="str">
        <f>IF(AND(A2451&lt;&gt;"",ISNUMBER(A2451)),VLOOKUP(A2451,Studies!A:BR,2,FALSE),"")</f>
        <v>Acocella 1977</v>
      </c>
      <c r="C2451" s="232" t="str">
        <f>IF(AND(A2451&lt;&gt;"",ISNUMBER(A2451)),VLOOKUP(A2451,Studies!A:BR,3,FALSE),"")</f>
        <v>https://www.ncbi.nlm.nih.gov/pubmed/578447</v>
      </c>
      <c r="D2451" s="232" t="str">
        <f>IF(AND(A2451&lt;&gt;"",ISNUMBER(A2451)),VLOOKUP(A2451,Studies!A:BR,4,FALSE),"")</f>
        <v>Subject 6 (450 mg)</v>
      </c>
      <c r="E2451" s="206" t="str">
        <f>IF(AND(A2451&lt;&gt;"",ISNUMBER(A2451)),VLOOKUP(A2451,Studies!A:BR,5,FALSE),"")</f>
        <v>Rifampicin</v>
      </c>
      <c r="F2451" s="207" t="str">
        <f>IF(AND(A2451&lt;&gt;"",ISNUMBER(A2451)),VLOOKUP(A2451,Studies!A:BR,6,FALSE),"")</f>
        <v>Serum</v>
      </c>
      <c r="G2451" s="194">
        <v>0</v>
      </c>
      <c r="H2451" s="194" t="s">
        <v>60</v>
      </c>
      <c r="I2451" s="187">
        <v>0</v>
      </c>
      <c r="J2451" s="187" t="s">
        <v>1054</v>
      </c>
      <c r="K2451" s="187" t="s">
        <v>264</v>
      </c>
      <c r="L2451" s="195"/>
      <c r="M2451" s="195"/>
      <c r="N2451" s="195"/>
      <c r="O2451" s="199"/>
      <c r="P2451" s="188"/>
      <c r="Q2451" s="174">
        <f>IF(ISNUMBER(VLOOKUP(A2451,NotghiID!A:A,1,FALSE)),1,0)</f>
        <v>0</v>
      </c>
    </row>
    <row r="2452" spans="1:17" ht="14.25" x14ac:dyDescent="0.2">
      <c r="A2452" s="183">
        <f t="shared" si="5"/>
        <v>14</v>
      </c>
      <c r="B2452" s="232" t="str">
        <f>IF(AND(A2452&lt;&gt;"",ISNUMBER(A2452)),VLOOKUP(A2452,Studies!A:BR,2,FALSE),"")</f>
        <v>Acocella 1977</v>
      </c>
      <c r="C2452" s="232" t="str">
        <f>IF(AND(A2452&lt;&gt;"",ISNUMBER(A2452)),VLOOKUP(A2452,Studies!A:BR,3,FALSE),"")</f>
        <v>https://www.ncbi.nlm.nih.gov/pubmed/578447</v>
      </c>
      <c r="D2452" s="232" t="str">
        <f>IF(AND(A2452&lt;&gt;"",ISNUMBER(A2452)),VLOOKUP(A2452,Studies!A:BR,4,FALSE),"")</f>
        <v>Subject 6 (450 mg)</v>
      </c>
      <c r="E2452" s="206" t="str">
        <f>IF(AND(A2452&lt;&gt;"",ISNUMBER(A2452)),VLOOKUP(A2452,Studies!A:BR,5,FALSE),"")</f>
        <v>Rifampicin</v>
      </c>
      <c r="F2452" s="207" t="str">
        <f>IF(AND(A2452&lt;&gt;"",ISNUMBER(A2452)),VLOOKUP(A2452,Studies!A:BR,6,FALSE),"")</f>
        <v>Serum</v>
      </c>
      <c r="G2452" s="194">
        <v>0.5</v>
      </c>
      <c r="H2452" s="194" t="s">
        <v>60</v>
      </c>
      <c r="I2452" s="187">
        <v>1.05</v>
      </c>
      <c r="J2452" s="187" t="s">
        <v>1054</v>
      </c>
      <c r="K2452" s="187" t="s">
        <v>264</v>
      </c>
      <c r="L2452" s="195"/>
      <c r="M2452" s="195"/>
      <c r="N2452" s="195"/>
      <c r="O2452" s="199"/>
      <c r="P2452" s="188"/>
      <c r="Q2452" s="174">
        <f>IF(ISNUMBER(VLOOKUP(A2452,NotghiID!A:A,1,FALSE)),1,0)</f>
        <v>0</v>
      </c>
    </row>
    <row r="2453" spans="1:17" ht="14.25" x14ac:dyDescent="0.2">
      <c r="A2453" s="183">
        <f t="shared" si="5"/>
        <v>14</v>
      </c>
      <c r="B2453" s="232" t="str">
        <f>IF(AND(A2453&lt;&gt;"",ISNUMBER(A2453)),VLOOKUP(A2453,Studies!A:BR,2,FALSE),"")</f>
        <v>Acocella 1977</v>
      </c>
      <c r="C2453" s="232" t="str">
        <f>IF(AND(A2453&lt;&gt;"",ISNUMBER(A2453)),VLOOKUP(A2453,Studies!A:BR,3,FALSE),"")</f>
        <v>https://www.ncbi.nlm.nih.gov/pubmed/578447</v>
      </c>
      <c r="D2453" s="232" t="str">
        <f>IF(AND(A2453&lt;&gt;"",ISNUMBER(A2453)),VLOOKUP(A2453,Studies!A:BR,4,FALSE),"")</f>
        <v>Subject 6 (450 mg)</v>
      </c>
      <c r="E2453" s="206" t="str">
        <f>IF(AND(A2453&lt;&gt;"",ISNUMBER(A2453)),VLOOKUP(A2453,Studies!A:BR,5,FALSE),"")</f>
        <v>Rifampicin</v>
      </c>
      <c r="F2453" s="207" t="str">
        <f>IF(AND(A2453&lt;&gt;"",ISNUMBER(A2453)),VLOOKUP(A2453,Studies!A:BR,6,FALSE),"")</f>
        <v>Serum</v>
      </c>
      <c r="G2453" s="194">
        <v>1</v>
      </c>
      <c r="H2453" s="194" t="s">
        <v>60</v>
      </c>
      <c r="I2453" s="187">
        <v>2.4300000000000002</v>
      </c>
      <c r="J2453" s="187" t="s">
        <v>1054</v>
      </c>
      <c r="K2453" s="187" t="s">
        <v>264</v>
      </c>
      <c r="L2453" s="195"/>
      <c r="M2453" s="195"/>
      <c r="N2453" s="195"/>
      <c r="O2453" s="199"/>
      <c r="P2453" s="188"/>
      <c r="Q2453" s="174">
        <f>IF(ISNUMBER(VLOOKUP(A2453,NotghiID!A:A,1,FALSE)),1,0)</f>
        <v>0</v>
      </c>
    </row>
    <row r="2454" spans="1:17" ht="14.25" x14ac:dyDescent="0.2">
      <c r="A2454" s="183">
        <f t="shared" si="5"/>
        <v>14</v>
      </c>
      <c r="B2454" s="232" t="str">
        <f>IF(AND(A2454&lt;&gt;"",ISNUMBER(A2454)),VLOOKUP(A2454,Studies!A:BR,2,FALSE),"")</f>
        <v>Acocella 1977</v>
      </c>
      <c r="C2454" s="232" t="str">
        <f>IF(AND(A2454&lt;&gt;"",ISNUMBER(A2454)),VLOOKUP(A2454,Studies!A:BR,3,FALSE),"")</f>
        <v>https://www.ncbi.nlm.nih.gov/pubmed/578447</v>
      </c>
      <c r="D2454" s="232" t="str">
        <f>IF(AND(A2454&lt;&gt;"",ISNUMBER(A2454)),VLOOKUP(A2454,Studies!A:BR,4,FALSE),"")</f>
        <v>Subject 6 (450 mg)</v>
      </c>
      <c r="E2454" s="206" t="str">
        <f>IF(AND(A2454&lt;&gt;"",ISNUMBER(A2454)),VLOOKUP(A2454,Studies!A:BR,5,FALSE),"")</f>
        <v>Rifampicin</v>
      </c>
      <c r="F2454" s="207" t="str">
        <f>IF(AND(A2454&lt;&gt;"",ISNUMBER(A2454)),VLOOKUP(A2454,Studies!A:BR,6,FALSE),"")</f>
        <v>Serum</v>
      </c>
      <c r="G2454" s="194">
        <v>2</v>
      </c>
      <c r="H2454" s="194" t="s">
        <v>60</v>
      </c>
      <c r="I2454" s="187">
        <v>4.62</v>
      </c>
      <c r="J2454" s="187" t="s">
        <v>1054</v>
      </c>
      <c r="K2454" s="187" t="s">
        <v>264</v>
      </c>
      <c r="L2454" s="195"/>
      <c r="M2454" s="195"/>
      <c r="N2454" s="195"/>
      <c r="O2454" s="199"/>
      <c r="P2454" s="188"/>
      <c r="Q2454" s="174">
        <f>IF(ISNUMBER(VLOOKUP(A2454,NotghiID!A:A,1,FALSE)),1,0)</f>
        <v>0</v>
      </c>
    </row>
    <row r="2455" spans="1:17" ht="14.25" x14ac:dyDescent="0.2">
      <c r="A2455" s="183">
        <f t="shared" si="5"/>
        <v>14</v>
      </c>
      <c r="B2455" s="232" t="str">
        <f>IF(AND(A2455&lt;&gt;"",ISNUMBER(A2455)),VLOOKUP(A2455,Studies!A:BR,2,FALSE),"")</f>
        <v>Acocella 1977</v>
      </c>
      <c r="C2455" s="232" t="str">
        <f>IF(AND(A2455&lt;&gt;"",ISNUMBER(A2455)),VLOOKUP(A2455,Studies!A:BR,3,FALSE),"")</f>
        <v>https://www.ncbi.nlm.nih.gov/pubmed/578447</v>
      </c>
      <c r="D2455" s="232" t="str">
        <f>IF(AND(A2455&lt;&gt;"",ISNUMBER(A2455)),VLOOKUP(A2455,Studies!A:BR,4,FALSE),"")</f>
        <v>Subject 6 (450 mg)</v>
      </c>
      <c r="E2455" s="206" t="str">
        <f>IF(AND(A2455&lt;&gt;"",ISNUMBER(A2455)),VLOOKUP(A2455,Studies!A:BR,5,FALSE),"")</f>
        <v>Rifampicin</v>
      </c>
      <c r="F2455" s="207" t="str">
        <f>IF(AND(A2455&lt;&gt;"",ISNUMBER(A2455)),VLOOKUP(A2455,Studies!A:BR,6,FALSE),"")</f>
        <v>Serum</v>
      </c>
      <c r="G2455" s="194">
        <v>4</v>
      </c>
      <c r="H2455" s="194" t="s">
        <v>60</v>
      </c>
      <c r="I2455" s="187">
        <v>1.97</v>
      </c>
      <c r="J2455" s="187" t="s">
        <v>1054</v>
      </c>
      <c r="K2455" s="187" t="s">
        <v>264</v>
      </c>
      <c r="L2455" s="195"/>
      <c r="M2455" s="195"/>
      <c r="N2455" s="195"/>
      <c r="O2455" s="199"/>
      <c r="P2455" s="188"/>
      <c r="Q2455" s="174">
        <f>IF(ISNUMBER(VLOOKUP(A2455,NotghiID!A:A,1,FALSE)),1,0)</f>
        <v>0</v>
      </c>
    </row>
    <row r="2456" spans="1:17" ht="14.25" x14ac:dyDescent="0.2">
      <c r="A2456" s="183">
        <f t="shared" si="5"/>
        <v>14</v>
      </c>
      <c r="B2456" s="232" t="str">
        <f>IF(AND(A2456&lt;&gt;"",ISNUMBER(A2456)),VLOOKUP(A2456,Studies!A:BR,2,FALSE),"")</f>
        <v>Acocella 1977</v>
      </c>
      <c r="C2456" s="232" t="str">
        <f>IF(AND(A2456&lt;&gt;"",ISNUMBER(A2456)),VLOOKUP(A2456,Studies!A:BR,3,FALSE),"")</f>
        <v>https://www.ncbi.nlm.nih.gov/pubmed/578447</v>
      </c>
      <c r="D2456" s="232" t="str">
        <f>IF(AND(A2456&lt;&gt;"",ISNUMBER(A2456)),VLOOKUP(A2456,Studies!A:BR,4,FALSE),"")</f>
        <v>Subject 6 (450 mg)</v>
      </c>
      <c r="E2456" s="206" t="str">
        <f>IF(AND(A2456&lt;&gt;"",ISNUMBER(A2456)),VLOOKUP(A2456,Studies!A:BR,5,FALSE),"")</f>
        <v>Rifampicin</v>
      </c>
      <c r="F2456" s="207" t="str">
        <f>IF(AND(A2456&lt;&gt;"",ISNUMBER(A2456)),VLOOKUP(A2456,Studies!A:BR,6,FALSE),"")</f>
        <v>Serum</v>
      </c>
      <c r="G2456" s="194">
        <v>8</v>
      </c>
      <c r="H2456" s="194" t="s">
        <v>60</v>
      </c>
      <c r="I2456" s="187">
        <v>0.73</v>
      </c>
      <c r="J2456" s="187" t="s">
        <v>1054</v>
      </c>
      <c r="K2456" s="187" t="s">
        <v>264</v>
      </c>
      <c r="L2456" s="195"/>
      <c r="M2456" s="195"/>
      <c r="N2456" s="195"/>
      <c r="O2456" s="199"/>
      <c r="P2456" s="188"/>
      <c r="Q2456" s="174">
        <f>IF(ISNUMBER(VLOOKUP(A2456,NotghiID!A:A,1,FALSE)),1,0)</f>
        <v>0</v>
      </c>
    </row>
    <row r="2457" spans="1:17" ht="14.25" x14ac:dyDescent="0.2">
      <c r="A2457" s="183">
        <f t="shared" si="5"/>
        <v>15</v>
      </c>
      <c r="B2457" s="232" t="str">
        <f>IF(AND(A2457&lt;&gt;"",ISNUMBER(A2457)),VLOOKUP(A2457,Studies!A:BR,2,FALSE),"")</f>
        <v>Acocella 1977</v>
      </c>
      <c r="C2457" s="232" t="str">
        <f>IF(AND(A2457&lt;&gt;"",ISNUMBER(A2457)),VLOOKUP(A2457,Studies!A:BR,3,FALSE),"")</f>
        <v>https://www.ncbi.nlm.nih.gov/pubmed/578447</v>
      </c>
      <c r="D2457" s="232" t="str">
        <f>IF(AND(A2457&lt;&gt;"",ISNUMBER(A2457)),VLOOKUP(A2457,Studies!A:BR,4,FALSE),"")</f>
        <v>Subject 7 (600 mg)</v>
      </c>
      <c r="E2457" s="206" t="str">
        <f>IF(AND(A2457&lt;&gt;"",ISNUMBER(A2457)),VLOOKUP(A2457,Studies!A:BR,5,FALSE),"")</f>
        <v>Rifampicin</v>
      </c>
      <c r="F2457" s="207" t="str">
        <f>IF(AND(A2457&lt;&gt;"",ISNUMBER(A2457)),VLOOKUP(A2457,Studies!A:BR,6,FALSE),"")</f>
        <v>Serum</v>
      </c>
      <c r="G2457" s="194">
        <v>0</v>
      </c>
      <c r="H2457" s="194" t="s">
        <v>60</v>
      </c>
      <c r="I2457" s="187">
        <v>0</v>
      </c>
      <c r="J2457" s="187" t="s">
        <v>1054</v>
      </c>
      <c r="K2457" s="187" t="s">
        <v>264</v>
      </c>
      <c r="L2457" s="195"/>
      <c r="M2457" s="195"/>
      <c r="N2457" s="195"/>
      <c r="O2457" s="199"/>
      <c r="P2457" s="188"/>
      <c r="Q2457" s="174">
        <f>IF(ISNUMBER(VLOOKUP(A2457,NotghiID!A:A,1,FALSE)),1,0)</f>
        <v>0</v>
      </c>
    </row>
    <row r="2458" spans="1:17" ht="14.25" x14ac:dyDescent="0.2">
      <c r="A2458" s="183">
        <f t="shared" si="5"/>
        <v>15</v>
      </c>
      <c r="B2458" s="232" t="str">
        <f>IF(AND(A2458&lt;&gt;"",ISNUMBER(A2458)),VLOOKUP(A2458,Studies!A:BR,2,FALSE),"")</f>
        <v>Acocella 1977</v>
      </c>
      <c r="C2458" s="232" t="str">
        <f>IF(AND(A2458&lt;&gt;"",ISNUMBER(A2458)),VLOOKUP(A2458,Studies!A:BR,3,FALSE),"")</f>
        <v>https://www.ncbi.nlm.nih.gov/pubmed/578447</v>
      </c>
      <c r="D2458" s="232" t="str">
        <f>IF(AND(A2458&lt;&gt;"",ISNUMBER(A2458)),VLOOKUP(A2458,Studies!A:BR,4,FALSE),"")</f>
        <v>Subject 7 (600 mg)</v>
      </c>
      <c r="E2458" s="206" t="str">
        <f>IF(AND(A2458&lt;&gt;"",ISNUMBER(A2458)),VLOOKUP(A2458,Studies!A:BR,5,FALSE),"")</f>
        <v>Rifampicin</v>
      </c>
      <c r="F2458" s="207" t="str">
        <f>IF(AND(A2458&lt;&gt;"",ISNUMBER(A2458)),VLOOKUP(A2458,Studies!A:BR,6,FALSE),"")</f>
        <v>Serum</v>
      </c>
      <c r="G2458" s="194">
        <v>0.5</v>
      </c>
      <c r="H2458" s="194" t="s">
        <v>60</v>
      </c>
      <c r="I2458" s="187">
        <v>2.35</v>
      </c>
      <c r="J2458" s="187" t="s">
        <v>1054</v>
      </c>
      <c r="K2458" s="187" t="s">
        <v>264</v>
      </c>
      <c r="L2458" s="195"/>
      <c r="M2458" s="195"/>
      <c r="N2458" s="195"/>
      <c r="O2458" s="199"/>
      <c r="P2458" s="188"/>
      <c r="Q2458" s="174">
        <f>IF(ISNUMBER(VLOOKUP(A2458,NotghiID!A:A,1,FALSE)),1,0)</f>
        <v>0</v>
      </c>
    </row>
    <row r="2459" spans="1:17" ht="14.25" x14ac:dyDescent="0.2">
      <c r="A2459" s="183">
        <f t="shared" si="5"/>
        <v>15</v>
      </c>
      <c r="B2459" s="232" t="str">
        <f>IF(AND(A2459&lt;&gt;"",ISNUMBER(A2459)),VLOOKUP(A2459,Studies!A:BR,2,FALSE),"")</f>
        <v>Acocella 1977</v>
      </c>
      <c r="C2459" s="232" t="str">
        <f>IF(AND(A2459&lt;&gt;"",ISNUMBER(A2459)),VLOOKUP(A2459,Studies!A:BR,3,FALSE),"")</f>
        <v>https://www.ncbi.nlm.nih.gov/pubmed/578447</v>
      </c>
      <c r="D2459" s="232" t="str">
        <f>IF(AND(A2459&lt;&gt;"",ISNUMBER(A2459)),VLOOKUP(A2459,Studies!A:BR,4,FALSE),"")</f>
        <v>Subject 7 (600 mg)</v>
      </c>
      <c r="E2459" s="206" t="str">
        <f>IF(AND(A2459&lt;&gt;"",ISNUMBER(A2459)),VLOOKUP(A2459,Studies!A:BR,5,FALSE),"")</f>
        <v>Rifampicin</v>
      </c>
      <c r="F2459" s="207" t="str">
        <f>IF(AND(A2459&lt;&gt;"",ISNUMBER(A2459)),VLOOKUP(A2459,Studies!A:BR,6,FALSE),"")</f>
        <v>Serum</v>
      </c>
      <c r="G2459" s="194">
        <v>1</v>
      </c>
      <c r="H2459" s="194" t="s">
        <v>60</v>
      </c>
      <c r="I2459" s="187">
        <v>5.75</v>
      </c>
      <c r="J2459" s="187" t="s">
        <v>1054</v>
      </c>
      <c r="K2459" s="187" t="s">
        <v>264</v>
      </c>
      <c r="L2459" s="195"/>
      <c r="M2459" s="195"/>
      <c r="N2459" s="195"/>
      <c r="O2459" s="199"/>
      <c r="P2459" s="188"/>
      <c r="Q2459" s="174">
        <f>IF(ISNUMBER(VLOOKUP(A2459,NotghiID!A:A,1,FALSE)),1,0)</f>
        <v>0</v>
      </c>
    </row>
    <row r="2460" spans="1:17" ht="14.25" x14ac:dyDescent="0.2">
      <c r="A2460" s="183">
        <f t="shared" si="5"/>
        <v>15</v>
      </c>
      <c r="B2460" s="232" t="str">
        <f>IF(AND(A2460&lt;&gt;"",ISNUMBER(A2460)),VLOOKUP(A2460,Studies!A:BR,2,FALSE),"")</f>
        <v>Acocella 1977</v>
      </c>
      <c r="C2460" s="232" t="str">
        <f>IF(AND(A2460&lt;&gt;"",ISNUMBER(A2460)),VLOOKUP(A2460,Studies!A:BR,3,FALSE),"")</f>
        <v>https://www.ncbi.nlm.nih.gov/pubmed/578447</v>
      </c>
      <c r="D2460" s="232" t="str">
        <f>IF(AND(A2460&lt;&gt;"",ISNUMBER(A2460)),VLOOKUP(A2460,Studies!A:BR,4,FALSE),"")</f>
        <v>Subject 7 (600 mg)</v>
      </c>
      <c r="E2460" s="206" t="str">
        <f>IF(AND(A2460&lt;&gt;"",ISNUMBER(A2460)),VLOOKUP(A2460,Studies!A:BR,5,FALSE),"")</f>
        <v>Rifampicin</v>
      </c>
      <c r="F2460" s="207" t="str">
        <f>IF(AND(A2460&lt;&gt;"",ISNUMBER(A2460)),VLOOKUP(A2460,Studies!A:BR,6,FALSE),"")</f>
        <v>Serum</v>
      </c>
      <c r="G2460" s="194">
        <v>2</v>
      </c>
      <c r="H2460" s="194" t="s">
        <v>60</v>
      </c>
      <c r="I2460" s="187">
        <v>12.85</v>
      </c>
      <c r="J2460" s="187" t="s">
        <v>1054</v>
      </c>
      <c r="K2460" s="187" t="s">
        <v>264</v>
      </c>
      <c r="L2460" s="195"/>
      <c r="M2460" s="195"/>
      <c r="N2460" s="195"/>
      <c r="O2460" s="199"/>
      <c r="P2460" s="188"/>
      <c r="Q2460" s="174">
        <f>IF(ISNUMBER(VLOOKUP(A2460,NotghiID!A:A,1,FALSE)),1,0)</f>
        <v>0</v>
      </c>
    </row>
    <row r="2461" spans="1:17" ht="14.25" x14ac:dyDescent="0.2">
      <c r="A2461" s="183">
        <f t="shared" si="5"/>
        <v>15</v>
      </c>
      <c r="B2461" s="232" t="str">
        <f>IF(AND(A2461&lt;&gt;"",ISNUMBER(A2461)),VLOOKUP(A2461,Studies!A:BR,2,FALSE),"")</f>
        <v>Acocella 1977</v>
      </c>
      <c r="C2461" s="232" t="str">
        <f>IF(AND(A2461&lt;&gt;"",ISNUMBER(A2461)),VLOOKUP(A2461,Studies!A:BR,3,FALSE),"")</f>
        <v>https://www.ncbi.nlm.nih.gov/pubmed/578447</v>
      </c>
      <c r="D2461" s="232" t="str">
        <f>IF(AND(A2461&lt;&gt;"",ISNUMBER(A2461)),VLOOKUP(A2461,Studies!A:BR,4,FALSE),"")</f>
        <v>Subject 7 (600 mg)</v>
      </c>
      <c r="E2461" s="206" t="str">
        <f>IF(AND(A2461&lt;&gt;"",ISNUMBER(A2461)),VLOOKUP(A2461,Studies!A:BR,5,FALSE),"")</f>
        <v>Rifampicin</v>
      </c>
      <c r="F2461" s="207" t="str">
        <f>IF(AND(A2461&lt;&gt;"",ISNUMBER(A2461)),VLOOKUP(A2461,Studies!A:BR,6,FALSE),"")</f>
        <v>Serum</v>
      </c>
      <c r="G2461" s="194">
        <v>4</v>
      </c>
      <c r="H2461" s="194" t="s">
        <v>60</v>
      </c>
      <c r="I2461" s="187">
        <v>8.66</v>
      </c>
      <c r="J2461" s="187" t="s">
        <v>1054</v>
      </c>
      <c r="K2461" s="187" t="s">
        <v>264</v>
      </c>
      <c r="L2461" s="195"/>
      <c r="M2461" s="195"/>
      <c r="N2461" s="195"/>
      <c r="O2461" s="199"/>
      <c r="P2461" s="188"/>
      <c r="Q2461" s="174">
        <f>IF(ISNUMBER(VLOOKUP(A2461,NotghiID!A:A,1,FALSE)),1,0)</f>
        <v>0</v>
      </c>
    </row>
    <row r="2462" spans="1:17" ht="14.25" x14ac:dyDescent="0.2">
      <c r="A2462" s="183">
        <f t="shared" si="5"/>
        <v>15</v>
      </c>
      <c r="B2462" s="232" t="str">
        <f>IF(AND(A2462&lt;&gt;"",ISNUMBER(A2462)),VLOOKUP(A2462,Studies!A:BR,2,FALSE),"")</f>
        <v>Acocella 1977</v>
      </c>
      <c r="C2462" s="232" t="str">
        <f>IF(AND(A2462&lt;&gt;"",ISNUMBER(A2462)),VLOOKUP(A2462,Studies!A:BR,3,FALSE),"")</f>
        <v>https://www.ncbi.nlm.nih.gov/pubmed/578447</v>
      </c>
      <c r="D2462" s="232" t="str">
        <f>IF(AND(A2462&lt;&gt;"",ISNUMBER(A2462)),VLOOKUP(A2462,Studies!A:BR,4,FALSE),"")</f>
        <v>Subject 7 (600 mg)</v>
      </c>
      <c r="E2462" s="206" t="str">
        <f>IF(AND(A2462&lt;&gt;"",ISNUMBER(A2462)),VLOOKUP(A2462,Studies!A:BR,5,FALSE),"")</f>
        <v>Rifampicin</v>
      </c>
      <c r="F2462" s="207" t="str">
        <f>IF(AND(A2462&lt;&gt;"",ISNUMBER(A2462)),VLOOKUP(A2462,Studies!A:BR,6,FALSE),"")</f>
        <v>Serum</v>
      </c>
      <c r="G2462" s="194">
        <v>8</v>
      </c>
      <c r="H2462" s="194" t="s">
        <v>60</v>
      </c>
      <c r="I2462" s="187">
        <v>3.29</v>
      </c>
      <c r="J2462" s="187" t="s">
        <v>1054</v>
      </c>
      <c r="K2462" s="187" t="s">
        <v>264</v>
      </c>
      <c r="L2462" s="195"/>
      <c r="M2462" s="195"/>
      <c r="N2462" s="195"/>
      <c r="O2462" s="199"/>
      <c r="P2462" s="188"/>
      <c r="Q2462" s="174">
        <f>IF(ISNUMBER(VLOOKUP(A2462,NotghiID!A:A,1,FALSE)),1,0)</f>
        <v>0</v>
      </c>
    </row>
    <row r="2463" spans="1:17" ht="14.25" x14ac:dyDescent="0.2">
      <c r="A2463" s="183">
        <f t="shared" si="5"/>
        <v>16</v>
      </c>
      <c r="B2463" s="232" t="str">
        <f>IF(AND(A2463&lt;&gt;"",ISNUMBER(A2463)),VLOOKUP(A2463,Studies!A:BR,2,FALSE),"")</f>
        <v>Acocella 1977</v>
      </c>
      <c r="C2463" s="232" t="str">
        <f>IF(AND(A2463&lt;&gt;"",ISNUMBER(A2463)),VLOOKUP(A2463,Studies!A:BR,3,FALSE),"")</f>
        <v>https://www.ncbi.nlm.nih.gov/pubmed/578447</v>
      </c>
      <c r="D2463" s="232" t="str">
        <f>IF(AND(A2463&lt;&gt;"",ISNUMBER(A2463)),VLOOKUP(A2463,Studies!A:BR,4,FALSE),"")</f>
        <v>Subject 8 (600 mg)</v>
      </c>
      <c r="E2463" s="206" t="str">
        <f>IF(AND(A2463&lt;&gt;"",ISNUMBER(A2463)),VLOOKUP(A2463,Studies!A:BR,5,FALSE),"")</f>
        <v>Rifampicin</v>
      </c>
      <c r="F2463" s="207" t="str">
        <f>IF(AND(A2463&lt;&gt;"",ISNUMBER(A2463)),VLOOKUP(A2463,Studies!A:BR,6,FALSE),"")</f>
        <v>Serum</v>
      </c>
      <c r="G2463" s="194">
        <v>0</v>
      </c>
      <c r="H2463" s="194" t="s">
        <v>60</v>
      </c>
      <c r="I2463" s="187">
        <v>0</v>
      </c>
      <c r="J2463" s="187" t="s">
        <v>1054</v>
      </c>
      <c r="K2463" s="187" t="s">
        <v>264</v>
      </c>
      <c r="L2463" s="195"/>
      <c r="M2463" s="195"/>
      <c r="N2463" s="195"/>
      <c r="O2463" s="199"/>
      <c r="P2463" s="188"/>
      <c r="Q2463" s="174">
        <f>IF(ISNUMBER(VLOOKUP(A2463,NotghiID!A:A,1,FALSE)),1,0)</f>
        <v>0</v>
      </c>
    </row>
    <row r="2464" spans="1:17" ht="14.25" x14ac:dyDescent="0.2">
      <c r="A2464" s="183">
        <f t="shared" si="5"/>
        <v>16</v>
      </c>
      <c r="B2464" s="232" t="str">
        <f>IF(AND(A2464&lt;&gt;"",ISNUMBER(A2464)),VLOOKUP(A2464,Studies!A:BR,2,FALSE),"")</f>
        <v>Acocella 1977</v>
      </c>
      <c r="C2464" s="232" t="str">
        <f>IF(AND(A2464&lt;&gt;"",ISNUMBER(A2464)),VLOOKUP(A2464,Studies!A:BR,3,FALSE),"")</f>
        <v>https://www.ncbi.nlm.nih.gov/pubmed/578447</v>
      </c>
      <c r="D2464" s="232" t="str">
        <f>IF(AND(A2464&lt;&gt;"",ISNUMBER(A2464)),VLOOKUP(A2464,Studies!A:BR,4,FALSE),"")</f>
        <v>Subject 8 (600 mg)</v>
      </c>
      <c r="E2464" s="206" t="str">
        <f>IF(AND(A2464&lt;&gt;"",ISNUMBER(A2464)),VLOOKUP(A2464,Studies!A:BR,5,FALSE),"")</f>
        <v>Rifampicin</v>
      </c>
      <c r="F2464" s="207" t="str">
        <f>IF(AND(A2464&lt;&gt;"",ISNUMBER(A2464)),VLOOKUP(A2464,Studies!A:BR,6,FALSE),"")</f>
        <v>Serum</v>
      </c>
      <c r="G2464" s="194">
        <v>0.5</v>
      </c>
      <c r="H2464" s="194" t="s">
        <v>60</v>
      </c>
      <c r="I2464" s="187">
        <v>1.21</v>
      </c>
      <c r="J2464" s="187" t="s">
        <v>1054</v>
      </c>
      <c r="K2464" s="187" t="s">
        <v>264</v>
      </c>
      <c r="L2464" s="195"/>
      <c r="M2464" s="195"/>
      <c r="N2464" s="195"/>
      <c r="O2464" s="199"/>
      <c r="P2464" s="188"/>
      <c r="Q2464" s="174">
        <f>IF(ISNUMBER(VLOOKUP(A2464,NotghiID!A:A,1,FALSE)),1,0)</f>
        <v>0</v>
      </c>
    </row>
    <row r="2465" spans="1:17" ht="14.25" x14ac:dyDescent="0.2">
      <c r="A2465" s="183">
        <f t="shared" si="5"/>
        <v>16</v>
      </c>
      <c r="B2465" s="232" t="str">
        <f>IF(AND(A2465&lt;&gt;"",ISNUMBER(A2465)),VLOOKUP(A2465,Studies!A:BR,2,FALSE),"")</f>
        <v>Acocella 1977</v>
      </c>
      <c r="C2465" s="232" t="str">
        <f>IF(AND(A2465&lt;&gt;"",ISNUMBER(A2465)),VLOOKUP(A2465,Studies!A:BR,3,FALSE),"")</f>
        <v>https://www.ncbi.nlm.nih.gov/pubmed/578447</v>
      </c>
      <c r="D2465" s="232" t="str">
        <f>IF(AND(A2465&lt;&gt;"",ISNUMBER(A2465)),VLOOKUP(A2465,Studies!A:BR,4,FALSE),"")</f>
        <v>Subject 8 (600 mg)</v>
      </c>
      <c r="E2465" s="206" t="str">
        <f>IF(AND(A2465&lt;&gt;"",ISNUMBER(A2465)),VLOOKUP(A2465,Studies!A:BR,5,FALSE),"")</f>
        <v>Rifampicin</v>
      </c>
      <c r="F2465" s="207" t="str">
        <f>IF(AND(A2465&lt;&gt;"",ISNUMBER(A2465)),VLOOKUP(A2465,Studies!A:BR,6,FALSE),"")</f>
        <v>Serum</v>
      </c>
      <c r="G2465" s="194">
        <v>1</v>
      </c>
      <c r="H2465" s="194" t="s">
        <v>60</v>
      </c>
      <c r="I2465" s="187">
        <v>2.84</v>
      </c>
      <c r="J2465" s="187" t="s">
        <v>1054</v>
      </c>
      <c r="K2465" s="187" t="s">
        <v>264</v>
      </c>
      <c r="L2465" s="195"/>
      <c r="M2465" s="195"/>
      <c r="N2465" s="195"/>
      <c r="O2465" s="199"/>
      <c r="P2465" s="188"/>
      <c r="Q2465" s="174">
        <f>IF(ISNUMBER(VLOOKUP(A2465,NotghiID!A:A,1,FALSE)),1,0)</f>
        <v>0</v>
      </c>
    </row>
    <row r="2466" spans="1:17" ht="14.25" x14ac:dyDescent="0.2">
      <c r="A2466" s="183">
        <f t="shared" si="5"/>
        <v>16</v>
      </c>
      <c r="B2466" s="232" t="str">
        <f>IF(AND(A2466&lt;&gt;"",ISNUMBER(A2466)),VLOOKUP(A2466,Studies!A:BR,2,FALSE),"")</f>
        <v>Acocella 1977</v>
      </c>
      <c r="C2466" s="232" t="str">
        <f>IF(AND(A2466&lt;&gt;"",ISNUMBER(A2466)),VLOOKUP(A2466,Studies!A:BR,3,FALSE),"")</f>
        <v>https://www.ncbi.nlm.nih.gov/pubmed/578447</v>
      </c>
      <c r="D2466" s="232" t="str">
        <f>IF(AND(A2466&lt;&gt;"",ISNUMBER(A2466)),VLOOKUP(A2466,Studies!A:BR,4,FALSE),"")</f>
        <v>Subject 8 (600 mg)</v>
      </c>
      <c r="E2466" s="206" t="str">
        <f>IF(AND(A2466&lt;&gt;"",ISNUMBER(A2466)),VLOOKUP(A2466,Studies!A:BR,5,FALSE),"")</f>
        <v>Rifampicin</v>
      </c>
      <c r="F2466" s="207" t="str">
        <f>IF(AND(A2466&lt;&gt;"",ISNUMBER(A2466)),VLOOKUP(A2466,Studies!A:BR,6,FALSE),"")</f>
        <v>Serum</v>
      </c>
      <c r="G2466" s="194">
        <v>2</v>
      </c>
      <c r="H2466" s="194" t="s">
        <v>60</v>
      </c>
      <c r="I2466" s="187">
        <v>5.76</v>
      </c>
      <c r="J2466" s="187" t="s">
        <v>1054</v>
      </c>
      <c r="K2466" s="187" t="s">
        <v>264</v>
      </c>
      <c r="L2466" s="195"/>
      <c r="M2466" s="195"/>
      <c r="N2466" s="195"/>
      <c r="O2466" s="199"/>
      <c r="P2466" s="188"/>
      <c r="Q2466" s="174">
        <f>IF(ISNUMBER(VLOOKUP(A2466,NotghiID!A:A,1,FALSE)),1,0)</f>
        <v>0</v>
      </c>
    </row>
    <row r="2467" spans="1:17" ht="14.25" x14ac:dyDescent="0.2">
      <c r="A2467" s="183">
        <f t="shared" si="5"/>
        <v>16</v>
      </c>
      <c r="B2467" s="232" t="str">
        <f>IF(AND(A2467&lt;&gt;"",ISNUMBER(A2467)),VLOOKUP(A2467,Studies!A:BR,2,FALSE),"")</f>
        <v>Acocella 1977</v>
      </c>
      <c r="C2467" s="232" t="str">
        <f>IF(AND(A2467&lt;&gt;"",ISNUMBER(A2467)),VLOOKUP(A2467,Studies!A:BR,3,FALSE),"")</f>
        <v>https://www.ncbi.nlm.nih.gov/pubmed/578447</v>
      </c>
      <c r="D2467" s="232" t="str">
        <f>IF(AND(A2467&lt;&gt;"",ISNUMBER(A2467)),VLOOKUP(A2467,Studies!A:BR,4,FALSE),"")</f>
        <v>Subject 8 (600 mg)</v>
      </c>
      <c r="E2467" s="206" t="str">
        <f>IF(AND(A2467&lt;&gt;"",ISNUMBER(A2467)),VLOOKUP(A2467,Studies!A:BR,5,FALSE),"")</f>
        <v>Rifampicin</v>
      </c>
      <c r="F2467" s="207" t="str">
        <f>IF(AND(A2467&lt;&gt;"",ISNUMBER(A2467)),VLOOKUP(A2467,Studies!A:BR,6,FALSE),"")</f>
        <v>Serum</v>
      </c>
      <c r="G2467" s="194">
        <v>4</v>
      </c>
      <c r="H2467" s="194" t="s">
        <v>60</v>
      </c>
      <c r="I2467" s="187">
        <v>7.72</v>
      </c>
      <c r="J2467" s="187" t="s">
        <v>1054</v>
      </c>
      <c r="K2467" s="187" t="s">
        <v>264</v>
      </c>
      <c r="L2467" s="195"/>
      <c r="M2467" s="195"/>
      <c r="N2467" s="195"/>
      <c r="O2467" s="199"/>
      <c r="P2467" s="188"/>
      <c r="Q2467" s="174">
        <f>IF(ISNUMBER(VLOOKUP(A2467,NotghiID!A:A,1,FALSE)),1,0)</f>
        <v>0</v>
      </c>
    </row>
    <row r="2468" spans="1:17" ht="14.25" x14ac:dyDescent="0.2">
      <c r="A2468" s="183">
        <f t="shared" si="5"/>
        <v>16</v>
      </c>
      <c r="B2468" s="232" t="str">
        <f>IF(AND(A2468&lt;&gt;"",ISNUMBER(A2468)),VLOOKUP(A2468,Studies!A:BR,2,FALSE),"")</f>
        <v>Acocella 1977</v>
      </c>
      <c r="C2468" s="232" t="str">
        <f>IF(AND(A2468&lt;&gt;"",ISNUMBER(A2468)),VLOOKUP(A2468,Studies!A:BR,3,FALSE),"")</f>
        <v>https://www.ncbi.nlm.nih.gov/pubmed/578447</v>
      </c>
      <c r="D2468" s="232" t="str">
        <f>IF(AND(A2468&lt;&gt;"",ISNUMBER(A2468)),VLOOKUP(A2468,Studies!A:BR,4,FALSE),"")</f>
        <v>Subject 8 (600 mg)</v>
      </c>
      <c r="E2468" s="206" t="str">
        <f>IF(AND(A2468&lt;&gt;"",ISNUMBER(A2468)),VLOOKUP(A2468,Studies!A:BR,5,FALSE),"")</f>
        <v>Rifampicin</v>
      </c>
      <c r="F2468" s="207" t="str">
        <f>IF(AND(A2468&lt;&gt;"",ISNUMBER(A2468)),VLOOKUP(A2468,Studies!A:BR,6,FALSE),"")</f>
        <v>Serum</v>
      </c>
      <c r="G2468" s="194">
        <v>8</v>
      </c>
      <c r="H2468" s="194" t="s">
        <v>60</v>
      </c>
      <c r="I2468" s="187">
        <v>2.1</v>
      </c>
      <c r="J2468" s="187" t="s">
        <v>1054</v>
      </c>
      <c r="K2468" s="187" t="s">
        <v>264</v>
      </c>
      <c r="L2468" s="195"/>
      <c r="M2468" s="195"/>
      <c r="N2468" s="195"/>
      <c r="O2468" s="199"/>
      <c r="P2468" s="188"/>
      <c r="Q2468" s="174">
        <f>IF(ISNUMBER(VLOOKUP(A2468,NotghiID!A:A,1,FALSE)),1,0)</f>
        <v>0</v>
      </c>
    </row>
    <row r="2469" spans="1:17" ht="14.25" x14ac:dyDescent="0.2">
      <c r="A2469" s="183">
        <f t="shared" si="5"/>
        <v>17</v>
      </c>
      <c r="B2469" s="232" t="str">
        <f>IF(AND(A2469&lt;&gt;"",ISNUMBER(A2469)),VLOOKUP(A2469,Studies!A:BR,2,FALSE),"")</f>
        <v>Acocella 1977</v>
      </c>
      <c r="C2469" s="232" t="str">
        <f>IF(AND(A2469&lt;&gt;"",ISNUMBER(A2469)),VLOOKUP(A2469,Studies!A:BR,3,FALSE),"")</f>
        <v>https://www.ncbi.nlm.nih.gov/pubmed/578447</v>
      </c>
      <c r="D2469" s="232" t="str">
        <f>IF(AND(A2469&lt;&gt;"",ISNUMBER(A2469)),VLOOKUP(A2469,Studies!A:BR,4,FALSE),"")</f>
        <v>Subject 9 (600 mg)</v>
      </c>
      <c r="E2469" s="206" t="str">
        <f>IF(AND(A2469&lt;&gt;"",ISNUMBER(A2469)),VLOOKUP(A2469,Studies!A:BR,5,FALSE),"")</f>
        <v>Rifampicin</v>
      </c>
      <c r="F2469" s="207" t="str">
        <f>IF(AND(A2469&lt;&gt;"",ISNUMBER(A2469)),VLOOKUP(A2469,Studies!A:BR,6,FALSE),"")</f>
        <v>Serum</v>
      </c>
      <c r="G2469" s="194">
        <v>0</v>
      </c>
      <c r="H2469" s="194" t="s">
        <v>60</v>
      </c>
      <c r="I2469" s="187">
        <v>0</v>
      </c>
      <c r="J2469" s="187" t="s">
        <v>1054</v>
      </c>
      <c r="K2469" s="187" t="s">
        <v>264</v>
      </c>
      <c r="L2469" s="195"/>
      <c r="M2469" s="195"/>
      <c r="N2469" s="195"/>
      <c r="O2469" s="199"/>
      <c r="P2469" s="188"/>
      <c r="Q2469" s="174">
        <f>IF(ISNUMBER(VLOOKUP(A2469,NotghiID!A:A,1,FALSE)),1,0)</f>
        <v>0</v>
      </c>
    </row>
    <row r="2470" spans="1:17" ht="14.25" x14ac:dyDescent="0.2">
      <c r="A2470" s="183">
        <f t="shared" si="5"/>
        <v>17</v>
      </c>
      <c r="B2470" s="232" t="str">
        <f>IF(AND(A2470&lt;&gt;"",ISNUMBER(A2470)),VLOOKUP(A2470,Studies!A:BR,2,FALSE),"")</f>
        <v>Acocella 1977</v>
      </c>
      <c r="C2470" s="232" t="str">
        <f>IF(AND(A2470&lt;&gt;"",ISNUMBER(A2470)),VLOOKUP(A2470,Studies!A:BR,3,FALSE),"")</f>
        <v>https://www.ncbi.nlm.nih.gov/pubmed/578447</v>
      </c>
      <c r="D2470" s="232" t="str">
        <f>IF(AND(A2470&lt;&gt;"",ISNUMBER(A2470)),VLOOKUP(A2470,Studies!A:BR,4,FALSE),"")</f>
        <v>Subject 9 (600 mg)</v>
      </c>
      <c r="E2470" s="206" t="str">
        <f>IF(AND(A2470&lt;&gt;"",ISNUMBER(A2470)),VLOOKUP(A2470,Studies!A:BR,5,FALSE),"")</f>
        <v>Rifampicin</v>
      </c>
      <c r="F2470" s="207" t="str">
        <f>IF(AND(A2470&lt;&gt;"",ISNUMBER(A2470)),VLOOKUP(A2470,Studies!A:BR,6,FALSE),"")</f>
        <v>Serum</v>
      </c>
      <c r="G2470" s="194">
        <v>0.5</v>
      </c>
      <c r="H2470" s="194" t="s">
        <v>60</v>
      </c>
      <c r="I2470" s="187">
        <v>2.83</v>
      </c>
      <c r="J2470" s="187" t="s">
        <v>1054</v>
      </c>
      <c r="K2470" s="187" t="s">
        <v>264</v>
      </c>
      <c r="L2470" s="195"/>
      <c r="M2470" s="195"/>
      <c r="N2470" s="195"/>
      <c r="O2470" s="199"/>
      <c r="P2470" s="188"/>
      <c r="Q2470" s="174">
        <f>IF(ISNUMBER(VLOOKUP(A2470,NotghiID!A:A,1,FALSE)),1,0)</f>
        <v>0</v>
      </c>
    </row>
    <row r="2471" spans="1:17" ht="14.25" x14ac:dyDescent="0.2">
      <c r="A2471" s="183">
        <f t="shared" si="5"/>
        <v>17</v>
      </c>
      <c r="B2471" s="232" t="str">
        <f>IF(AND(A2471&lt;&gt;"",ISNUMBER(A2471)),VLOOKUP(A2471,Studies!A:BR,2,FALSE),"")</f>
        <v>Acocella 1977</v>
      </c>
      <c r="C2471" s="232" t="str">
        <f>IF(AND(A2471&lt;&gt;"",ISNUMBER(A2471)),VLOOKUP(A2471,Studies!A:BR,3,FALSE),"")</f>
        <v>https://www.ncbi.nlm.nih.gov/pubmed/578447</v>
      </c>
      <c r="D2471" s="232" t="str">
        <f>IF(AND(A2471&lt;&gt;"",ISNUMBER(A2471)),VLOOKUP(A2471,Studies!A:BR,4,FALSE),"")</f>
        <v>Subject 9 (600 mg)</v>
      </c>
      <c r="E2471" s="206" t="str">
        <f>IF(AND(A2471&lt;&gt;"",ISNUMBER(A2471)),VLOOKUP(A2471,Studies!A:BR,5,FALSE),"")</f>
        <v>Rifampicin</v>
      </c>
      <c r="F2471" s="207" t="str">
        <f>IF(AND(A2471&lt;&gt;"",ISNUMBER(A2471)),VLOOKUP(A2471,Studies!A:BR,6,FALSE),"")</f>
        <v>Serum</v>
      </c>
      <c r="G2471" s="194">
        <v>1</v>
      </c>
      <c r="H2471" s="194" t="s">
        <v>60</v>
      </c>
      <c r="I2471" s="187">
        <v>5.14</v>
      </c>
      <c r="J2471" s="187" t="s">
        <v>1054</v>
      </c>
      <c r="K2471" s="187" t="s">
        <v>264</v>
      </c>
      <c r="L2471" s="195"/>
      <c r="M2471" s="195"/>
      <c r="N2471" s="195"/>
      <c r="O2471" s="199"/>
      <c r="P2471" s="188"/>
      <c r="Q2471" s="174">
        <f>IF(ISNUMBER(VLOOKUP(A2471,NotghiID!A:A,1,FALSE)),1,0)</f>
        <v>0</v>
      </c>
    </row>
    <row r="2472" spans="1:17" ht="14.25" x14ac:dyDescent="0.2">
      <c r="A2472" s="183">
        <f t="shared" si="5"/>
        <v>17</v>
      </c>
      <c r="B2472" s="232" t="str">
        <f>IF(AND(A2472&lt;&gt;"",ISNUMBER(A2472)),VLOOKUP(A2472,Studies!A:BR,2,FALSE),"")</f>
        <v>Acocella 1977</v>
      </c>
      <c r="C2472" s="232" t="str">
        <f>IF(AND(A2472&lt;&gt;"",ISNUMBER(A2472)),VLOOKUP(A2472,Studies!A:BR,3,FALSE),"")</f>
        <v>https://www.ncbi.nlm.nih.gov/pubmed/578447</v>
      </c>
      <c r="D2472" s="232" t="str">
        <f>IF(AND(A2472&lt;&gt;"",ISNUMBER(A2472)),VLOOKUP(A2472,Studies!A:BR,4,FALSE),"")</f>
        <v>Subject 9 (600 mg)</v>
      </c>
      <c r="E2472" s="206" t="str">
        <f>IF(AND(A2472&lt;&gt;"",ISNUMBER(A2472)),VLOOKUP(A2472,Studies!A:BR,5,FALSE),"")</f>
        <v>Rifampicin</v>
      </c>
      <c r="F2472" s="207" t="str">
        <f>IF(AND(A2472&lt;&gt;"",ISNUMBER(A2472)),VLOOKUP(A2472,Studies!A:BR,6,FALSE),"")</f>
        <v>Serum</v>
      </c>
      <c r="G2472" s="194">
        <v>2</v>
      </c>
      <c r="H2472" s="194" t="s">
        <v>60</v>
      </c>
      <c r="I2472" s="187">
        <v>6.82</v>
      </c>
      <c r="J2472" s="187" t="s">
        <v>1054</v>
      </c>
      <c r="K2472" s="187" t="s">
        <v>264</v>
      </c>
      <c r="L2472" s="195"/>
      <c r="M2472" s="195"/>
      <c r="N2472" s="195"/>
      <c r="O2472" s="199"/>
      <c r="P2472" s="188"/>
      <c r="Q2472" s="174">
        <f>IF(ISNUMBER(VLOOKUP(A2472,NotghiID!A:A,1,FALSE)),1,0)</f>
        <v>0</v>
      </c>
    </row>
    <row r="2473" spans="1:17" ht="14.25" x14ac:dyDescent="0.2">
      <c r="A2473" s="183">
        <f t="shared" si="5"/>
        <v>17</v>
      </c>
      <c r="B2473" s="232" t="str">
        <f>IF(AND(A2473&lt;&gt;"",ISNUMBER(A2473)),VLOOKUP(A2473,Studies!A:BR,2,FALSE),"")</f>
        <v>Acocella 1977</v>
      </c>
      <c r="C2473" s="232" t="str">
        <f>IF(AND(A2473&lt;&gt;"",ISNUMBER(A2473)),VLOOKUP(A2473,Studies!A:BR,3,FALSE),"")</f>
        <v>https://www.ncbi.nlm.nih.gov/pubmed/578447</v>
      </c>
      <c r="D2473" s="232" t="str">
        <f>IF(AND(A2473&lt;&gt;"",ISNUMBER(A2473)),VLOOKUP(A2473,Studies!A:BR,4,FALSE),"")</f>
        <v>Subject 9 (600 mg)</v>
      </c>
      <c r="E2473" s="206" t="str">
        <f>IF(AND(A2473&lt;&gt;"",ISNUMBER(A2473)),VLOOKUP(A2473,Studies!A:BR,5,FALSE),"")</f>
        <v>Rifampicin</v>
      </c>
      <c r="F2473" s="207" t="str">
        <f>IF(AND(A2473&lt;&gt;"",ISNUMBER(A2473)),VLOOKUP(A2473,Studies!A:BR,6,FALSE),"")</f>
        <v>Serum</v>
      </c>
      <c r="G2473" s="194">
        <v>4</v>
      </c>
      <c r="H2473" s="194" t="s">
        <v>60</v>
      </c>
      <c r="I2473" s="187">
        <v>4.21</v>
      </c>
      <c r="J2473" s="187" t="s">
        <v>1054</v>
      </c>
      <c r="K2473" s="187" t="s">
        <v>264</v>
      </c>
      <c r="L2473" s="195"/>
      <c r="M2473" s="195"/>
      <c r="N2473" s="195"/>
      <c r="O2473" s="199"/>
      <c r="P2473" s="188"/>
      <c r="Q2473" s="174">
        <f>IF(ISNUMBER(VLOOKUP(A2473,NotghiID!A:A,1,FALSE)),1,0)</f>
        <v>0</v>
      </c>
    </row>
    <row r="2474" spans="1:17" ht="14.25" x14ac:dyDescent="0.2">
      <c r="A2474" s="183">
        <f t="shared" si="5"/>
        <v>17</v>
      </c>
      <c r="B2474" s="232" t="str">
        <f>IF(AND(A2474&lt;&gt;"",ISNUMBER(A2474)),VLOOKUP(A2474,Studies!A:BR,2,FALSE),"")</f>
        <v>Acocella 1977</v>
      </c>
      <c r="C2474" s="232" t="str">
        <f>IF(AND(A2474&lt;&gt;"",ISNUMBER(A2474)),VLOOKUP(A2474,Studies!A:BR,3,FALSE),"")</f>
        <v>https://www.ncbi.nlm.nih.gov/pubmed/578447</v>
      </c>
      <c r="D2474" s="232" t="str">
        <f>IF(AND(A2474&lt;&gt;"",ISNUMBER(A2474)),VLOOKUP(A2474,Studies!A:BR,4,FALSE),"")</f>
        <v>Subject 9 (600 mg)</v>
      </c>
      <c r="E2474" s="206" t="str">
        <f>IF(AND(A2474&lt;&gt;"",ISNUMBER(A2474)),VLOOKUP(A2474,Studies!A:BR,5,FALSE),"")</f>
        <v>Rifampicin</v>
      </c>
      <c r="F2474" s="207" t="str">
        <f>IF(AND(A2474&lt;&gt;"",ISNUMBER(A2474)),VLOOKUP(A2474,Studies!A:BR,6,FALSE),"")</f>
        <v>Serum</v>
      </c>
      <c r="G2474" s="194">
        <v>8</v>
      </c>
      <c r="H2474" s="194" t="s">
        <v>60</v>
      </c>
      <c r="I2474" s="187">
        <v>0.76</v>
      </c>
      <c r="J2474" s="187" t="s">
        <v>1054</v>
      </c>
      <c r="K2474" s="187" t="s">
        <v>264</v>
      </c>
      <c r="L2474" s="195"/>
      <c r="M2474" s="195"/>
      <c r="N2474" s="195"/>
      <c r="O2474" s="199"/>
      <c r="P2474" s="188"/>
      <c r="Q2474" s="174">
        <f>IF(ISNUMBER(VLOOKUP(A2474,NotghiID!A:A,1,FALSE)),1,0)</f>
        <v>0</v>
      </c>
    </row>
    <row r="2475" spans="1:17" ht="14.25" x14ac:dyDescent="0.2">
      <c r="A2475" s="183">
        <v>18</v>
      </c>
      <c r="B2475" s="232" t="str">
        <f>IF(AND(A2475&lt;&gt;"",ISNUMBER(A2475)),VLOOKUP(A2475,Studies!A:BR,2,FALSE),"")</f>
        <v>Acocella 1977</v>
      </c>
      <c r="C2475" s="232" t="str">
        <f>IF(AND(A2475&lt;&gt;"",ISNUMBER(A2475)),VLOOKUP(A2475,Studies!A:BR,3,FALSE),"")</f>
        <v>https://www.ncbi.nlm.nih.gov/pubmed/578447</v>
      </c>
      <c r="D2475" s="232" t="str">
        <f>IF(AND(A2475&lt;&gt;"",ISNUMBER(A2475)),VLOOKUP(A2475,Studies!A:BR,4,FALSE),"")</f>
        <v>Subject 10 (600 mg MD)</v>
      </c>
      <c r="E2475" s="206" t="str">
        <f>IF(AND(A2475&lt;&gt;"",ISNUMBER(A2475)),VLOOKUP(A2475,Studies!A:BR,5,FALSE),"")</f>
        <v>Rifampicin</v>
      </c>
      <c r="F2475" s="207" t="str">
        <f>IF(AND(A2475&lt;&gt;"",ISNUMBER(A2475)),VLOOKUP(A2475,Studies!A:BR,6,FALSE),"")</f>
        <v>Serum</v>
      </c>
      <c r="G2475" s="194">
        <v>0</v>
      </c>
      <c r="H2475" s="194" t="s">
        <v>60</v>
      </c>
      <c r="I2475" s="187">
        <v>0</v>
      </c>
      <c r="J2475" s="187" t="s">
        <v>1054</v>
      </c>
      <c r="K2475" s="187" t="s">
        <v>264</v>
      </c>
      <c r="L2475" s="195"/>
      <c r="M2475" s="195"/>
      <c r="N2475" s="195"/>
      <c r="O2475" s="199"/>
      <c r="P2475" s="188"/>
      <c r="Q2475" s="174">
        <f>IF(ISNUMBER(VLOOKUP(A2475,NotghiID!A:A,1,FALSE)),1,0)</f>
        <v>0</v>
      </c>
    </row>
    <row r="2476" spans="1:17" ht="14.25" x14ac:dyDescent="0.2">
      <c r="A2476" s="183">
        <v>18</v>
      </c>
      <c r="B2476" s="232" t="str">
        <f>IF(AND(A2476&lt;&gt;"",ISNUMBER(A2476)),VLOOKUP(A2476,Studies!A:BR,2,FALSE),"")</f>
        <v>Acocella 1977</v>
      </c>
      <c r="C2476" s="232" t="str">
        <f>IF(AND(A2476&lt;&gt;"",ISNUMBER(A2476)),VLOOKUP(A2476,Studies!A:BR,3,FALSE),"")</f>
        <v>https://www.ncbi.nlm.nih.gov/pubmed/578447</v>
      </c>
      <c r="D2476" s="232" t="str">
        <f>IF(AND(A2476&lt;&gt;"",ISNUMBER(A2476)),VLOOKUP(A2476,Studies!A:BR,4,FALSE),"")</f>
        <v>Subject 10 (600 mg MD)</v>
      </c>
      <c r="E2476" s="206" t="str">
        <f>IF(AND(A2476&lt;&gt;"",ISNUMBER(A2476)),VLOOKUP(A2476,Studies!A:BR,5,FALSE),"")</f>
        <v>Rifampicin</v>
      </c>
      <c r="F2476" s="207" t="str">
        <f>IF(AND(A2476&lt;&gt;"",ISNUMBER(A2476)),VLOOKUP(A2476,Studies!A:BR,6,FALSE),"")</f>
        <v>Serum</v>
      </c>
      <c r="G2476" s="194">
        <v>0.5</v>
      </c>
      <c r="H2476" s="194" t="s">
        <v>60</v>
      </c>
      <c r="I2476" s="187">
        <v>1.6</v>
      </c>
      <c r="J2476" s="187" t="s">
        <v>1054</v>
      </c>
      <c r="K2476" s="187" t="s">
        <v>264</v>
      </c>
      <c r="L2476" s="195"/>
      <c r="M2476" s="195"/>
      <c r="N2476" s="195"/>
      <c r="O2476" s="199"/>
      <c r="P2476" s="188"/>
      <c r="Q2476" s="174">
        <f>IF(ISNUMBER(VLOOKUP(A2476,NotghiID!A:A,1,FALSE)),1,0)</f>
        <v>0</v>
      </c>
    </row>
    <row r="2477" spans="1:17" ht="14.25" x14ac:dyDescent="0.2">
      <c r="A2477" s="183">
        <v>18</v>
      </c>
      <c r="B2477" s="232" t="str">
        <f>IF(AND(A2477&lt;&gt;"",ISNUMBER(A2477)),VLOOKUP(A2477,Studies!A:BR,2,FALSE),"")</f>
        <v>Acocella 1977</v>
      </c>
      <c r="C2477" s="232" t="str">
        <f>IF(AND(A2477&lt;&gt;"",ISNUMBER(A2477)),VLOOKUP(A2477,Studies!A:BR,3,FALSE),"")</f>
        <v>https://www.ncbi.nlm.nih.gov/pubmed/578447</v>
      </c>
      <c r="D2477" s="232" t="str">
        <f>IF(AND(A2477&lt;&gt;"",ISNUMBER(A2477)),VLOOKUP(A2477,Studies!A:BR,4,FALSE),"")</f>
        <v>Subject 10 (600 mg MD)</v>
      </c>
      <c r="E2477" s="206" t="str">
        <f>IF(AND(A2477&lt;&gt;"",ISNUMBER(A2477)),VLOOKUP(A2477,Studies!A:BR,5,FALSE),"")</f>
        <v>Rifampicin</v>
      </c>
      <c r="F2477" s="207" t="str">
        <f>IF(AND(A2477&lt;&gt;"",ISNUMBER(A2477)),VLOOKUP(A2477,Studies!A:BR,6,FALSE),"")</f>
        <v>Serum</v>
      </c>
      <c r="G2477" s="194">
        <v>1</v>
      </c>
      <c r="H2477" s="194" t="s">
        <v>60</v>
      </c>
      <c r="I2477" s="187">
        <v>2.4300000000000002</v>
      </c>
      <c r="J2477" s="187" t="s">
        <v>1054</v>
      </c>
      <c r="K2477" s="187" t="s">
        <v>264</v>
      </c>
      <c r="L2477" s="195"/>
      <c r="M2477" s="195"/>
      <c r="N2477" s="195"/>
      <c r="O2477" s="199"/>
      <c r="P2477" s="188"/>
      <c r="Q2477" s="174">
        <f>IF(ISNUMBER(VLOOKUP(A2477,NotghiID!A:A,1,FALSE)),1,0)</f>
        <v>0</v>
      </c>
    </row>
    <row r="2478" spans="1:17" ht="14.25" x14ac:dyDescent="0.2">
      <c r="A2478" s="183">
        <v>18</v>
      </c>
      <c r="B2478" s="232" t="str">
        <f>IF(AND(A2478&lt;&gt;"",ISNUMBER(A2478)),VLOOKUP(A2478,Studies!A:BR,2,FALSE),"")</f>
        <v>Acocella 1977</v>
      </c>
      <c r="C2478" s="232" t="str">
        <f>IF(AND(A2478&lt;&gt;"",ISNUMBER(A2478)),VLOOKUP(A2478,Studies!A:BR,3,FALSE),"")</f>
        <v>https://www.ncbi.nlm.nih.gov/pubmed/578447</v>
      </c>
      <c r="D2478" s="232" t="str">
        <f>IF(AND(A2478&lt;&gt;"",ISNUMBER(A2478)),VLOOKUP(A2478,Studies!A:BR,4,FALSE),"")</f>
        <v>Subject 10 (600 mg MD)</v>
      </c>
      <c r="E2478" s="206" t="str">
        <f>IF(AND(A2478&lt;&gt;"",ISNUMBER(A2478)),VLOOKUP(A2478,Studies!A:BR,5,FALSE),"")</f>
        <v>Rifampicin</v>
      </c>
      <c r="F2478" s="207" t="str">
        <f>IF(AND(A2478&lt;&gt;"",ISNUMBER(A2478)),VLOOKUP(A2478,Studies!A:BR,6,FALSE),"")</f>
        <v>Serum</v>
      </c>
      <c r="G2478" s="194">
        <v>2</v>
      </c>
      <c r="H2478" s="194" t="s">
        <v>60</v>
      </c>
      <c r="I2478" s="187">
        <v>9.26</v>
      </c>
      <c r="J2478" s="187" t="s">
        <v>1054</v>
      </c>
      <c r="K2478" s="187" t="s">
        <v>264</v>
      </c>
      <c r="L2478" s="195"/>
      <c r="M2478" s="195"/>
      <c r="N2478" s="195"/>
      <c r="O2478" s="199"/>
      <c r="P2478" s="188"/>
      <c r="Q2478" s="174">
        <f>IF(ISNUMBER(VLOOKUP(A2478,NotghiID!A:A,1,FALSE)),1,0)</f>
        <v>0</v>
      </c>
    </row>
    <row r="2479" spans="1:17" ht="14.25" x14ac:dyDescent="0.2">
      <c r="A2479" s="183">
        <v>18</v>
      </c>
      <c r="B2479" s="232" t="str">
        <f>IF(AND(A2479&lt;&gt;"",ISNUMBER(A2479)),VLOOKUP(A2479,Studies!A:BR,2,FALSE),"")</f>
        <v>Acocella 1977</v>
      </c>
      <c r="C2479" s="232" t="str">
        <f>IF(AND(A2479&lt;&gt;"",ISNUMBER(A2479)),VLOOKUP(A2479,Studies!A:BR,3,FALSE),"")</f>
        <v>https://www.ncbi.nlm.nih.gov/pubmed/578447</v>
      </c>
      <c r="D2479" s="232" t="str">
        <f>IF(AND(A2479&lt;&gt;"",ISNUMBER(A2479)),VLOOKUP(A2479,Studies!A:BR,4,FALSE),"")</f>
        <v>Subject 10 (600 mg MD)</v>
      </c>
      <c r="E2479" s="206" t="str">
        <f>IF(AND(A2479&lt;&gt;"",ISNUMBER(A2479)),VLOOKUP(A2479,Studies!A:BR,5,FALSE),"")</f>
        <v>Rifampicin</v>
      </c>
      <c r="F2479" s="207" t="str">
        <f>IF(AND(A2479&lt;&gt;"",ISNUMBER(A2479)),VLOOKUP(A2479,Studies!A:BR,6,FALSE),"")</f>
        <v>Serum</v>
      </c>
      <c r="G2479" s="194">
        <v>4</v>
      </c>
      <c r="H2479" s="194" t="s">
        <v>60</v>
      </c>
      <c r="I2479" s="187">
        <v>15.34</v>
      </c>
      <c r="J2479" s="187" t="s">
        <v>1054</v>
      </c>
      <c r="K2479" s="187" t="s">
        <v>264</v>
      </c>
      <c r="L2479" s="195"/>
      <c r="M2479" s="195"/>
      <c r="N2479" s="195"/>
      <c r="O2479" s="199"/>
      <c r="P2479" s="188"/>
      <c r="Q2479" s="174">
        <f>IF(ISNUMBER(VLOOKUP(A2479,NotghiID!A:A,1,FALSE)),1,0)</f>
        <v>0</v>
      </c>
    </row>
    <row r="2480" spans="1:17" ht="14.25" x14ac:dyDescent="0.2">
      <c r="A2480" s="183">
        <v>18</v>
      </c>
      <c r="B2480" s="232" t="str">
        <f>IF(AND(A2480&lt;&gt;"",ISNUMBER(A2480)),VLOOKUP(A2480,Studies!A:BR,2,FALSE),"")</f>
        <v>Acocella 1977</v>
      </c>
      <c r="C2480" s="232" t="str">
        <f>IF(AND(A2480&lt;&gt;"",ISNUMBER(A2480)),VLOOKUP(A2480,Studies!A:BR,3,FALSE),"")</f>
        <v>https://www.ncbi.nlm.nih.gov/pubmed/578447</v>
      </c>
      <c r="D2480" s="232" t="str">
        <f>IF(AND(A2480&lt;&gt;"",ISNUMBER(A2480)),VLOOKUP(A2480,Studies!A:BR,4,FALSE),"")</f>
        <v>Subject 10 (600 mg MD)</v>
      </c>
      <c r="E2480" s="206" t="str">
        <f>IF(AND(A2480&lt;&gt;"",ISNUMBER(A2480)),VLOOKUP(A2480,Studies!A:BR,5,FALSE),"")</f>
        <v>Rifampicin</v>
      </c>
      <c r="F2480" s="207" t="str">
        <f>IF(AND(A2480&lt;&gt;"",ISNUMBER(A2480)),VLOOKUP(A2480,Studies!A:BR,6,FALSE),"")</f>
        <v>Serum</v>
      </c>
      <c r="G2480" s="194">
        <v>8</v>
      </c>
      <c r="H2480" s="194" t="s">
        <v>60</v>
      </c>
      <c r="I2480" s="187">
        <v>10.01</v>
      </c>
      <c r="J2480" s="187" t="s">
        <v>1054</v>
      </c>
      <c r="K2480" s="187" t="s">
        <v>264</v>
      </c>
      <c r="L2480" s="195"/>
      <c r="M2480" s="195"/>
      <c r="N2480" s="195"/>
      <c r="O2480" s="199"/>
      <c r="P2480" s="188"/>
      <c r="Q2480" s="174">
        <f>IF(ISNUMBER(VLOOKUP(A2480,NotghiID!A:A,1,FALSE)),1,0)</f>
        <v>0</v>
      </c>
    </row>
    <row r="2481" spans="1:17" ht="14.25" x14ac:dyDescent="0.2">
      <c r="A2481" s="183">
        <v>18</v>
      </c>
      <c r="B2481" s="232" t="str">
        <f>IF(AND(A2481&lt;&gt;"",ISNUMBER(A2481)),VLOOKUP(A2481,Studies!A:BR,2,FALSE),"")</f>
        <v>Acocella 1977</v>
      </c>
      <c r="C2481" s="232" t="str">
        <f>IF(AND(A2481&lt;&gt;"",ISNUMBER(A2481)),VLOOKUP(A2481,Studies!A:BR,3,FALSE),"")</f>
        <v>https://www.ncbi.nlm.nih.gov/pubmed/578447</v>
      </c>
      <c r="D2481" s="232" t="str">
        <f>IF(AND(A2481&lt;&gt;"",ISNUMBER(A2481)),VLOOKUP(A2481,Studies!A:BR,4,FALSE),"")</f>
        <v>Subject 10 (600 mg MD)</v>
      </c>
      <c r="E2481" s="206" t="str">
        <f>IF(AND(A2481&lt;&gt;"",ISNUMBER(A2481)),VLOOKUP(A2481,Studies!A:BR,5,FALSE),"")</f>
        <v>Rifampicin</v>
      </c>
      <c r="F2481" s="207" t="str">
        <f>IF(AND(A2481&lt;&gt;"",ISNUMBER(A2481)),VLOOKUP(A2481,Studies!A:BR,6,FALSE),"")</f>
        <v>Serum</v>
      </c>
      <c r="G2481" s="194">
        <v>72</v>
      </c>
      <c r="H2481" s="194" t="s">
        <v>60</v>
      </c>
      <c r="I2481" s="187">
        <v>0.48</v>
      </c>
      <c r="J2481" s="187" t="s">
        <v>1054</v>
      </c>
      <c r="K2481" s="187" t="s">
        <v>264</v>
      </c>
      <c r="L2481" s="195"/>
      <c r="M2481" s="195"/>
      <c r="N2481" s="195"/>
      <c r="O2481" s="199"/>
      <c r="P2481" s="188"/>
      <c r="Q2481" s="174">
        <f>IF(ISNUMBER(VLOOKUP(A2481,NotghiID!A:A,1,FALSE)),1,0)</f>
        <v>0</v>
      </c>
    </row>
    <row r="2482" spans="1:17" ht="14.25" x14ac:dyDescent="0.2">
      <c r="A2482" s="183">
        <v>18</v>
      </c>
      <c r="B2482" s="232" t="str">
        <f>IF(AND(A2482&lt;&gt;"",ISNUMBER(A2482)),VLOOKUP(A2482,Studies!A:BR,2,FALSE),"")</f>
        <v>Acocella 1977</v>
      </c>
      <c r="C2482" s="232" t="str">
        <f>IF(AND(A2482&lt;&gt;"",ISNUMBER(A2482)),VLOOKUP(A2482,Studies!A:BR,3,FALSE),"")</f>
        <v>https://www.ncbi.nlm.nih.gov/pubmed/578447</v>
      </c>
      <c r="D2482" s="232" t="str">
        <f>IF(AND(A2482&lt;&gt;"",ISNUMBER(A2482)),VLOOKUP(A2482,Studies!A:BR,4,FALSE),"")</f>
        <v>Subject 10 (600 mg MD)</v>
      </c>
      <c r="E2482" s="206" t="str">
        <f>IF(AND(A2482&lt;&gt;"",ISNUMBER(A2482)),VLOOKUP(A2482,Studies!A:BR,5,FALSE),"")</f>
        <v>Rifampicin</v>
      </c>
      <c r="F2482" s="207" t="str">
        <f>IF(AND(A2482&lt;&gt;"",ISNUMBER(A2482)),VLOOKUP(A2482,Studies!A:BR,6,FALSE),"")</f>
        <v>Serum</v>
      </c>
      <c r="G2482" s="194">
        <v>72.5</v>
      </c>
      <c r="H2482" s="194" t="s">
        <v>60</v>
      </c>
      <c r="I2482" s="187">
        <v>6.13</v>
      </c>
      <c r="J2482" s="187" t="s">
        <v>1054</v>
      </c>
      <c r="K2482" s="187" t="s">
        <v>264</v>
      </c>
      <c r="L2482" s="195"/>
      <c r="M2482" s="195"/>
      <c r="N2482" s="195"/>
      <c r="O2482" s="199"/>
      <c r="P2482" s="188"/>
      <c r="Q2482" s="174">
        <f>IF(ISNUMBER(VLOOKUP(A2482,NotghiID!A:A,1,FALSE)),1,0)</f>
        <v>0</v>
      </c>
    </row>
    <row r="2483" spans="1:17" ht="14.25" x14ac:dyDescent="0.2">
      <c r="A2483" s="183">
        <v>18</v>
      </c>
      <c r="B2483" s="232" t="str">
        <f>IF(AND(A2483&lt;&gt;"",ISNUMBER(A2483)),VLOOKUP(A2483,Studies!A:BR,2,FALSE),"")</f>
        <v>Acocella 1977</v>
      </c>
      <c r="C2483" s="232" t="str">
        <f>IF(AND(A2483&lt;&gt;"",ISNUMBER(A2483)),VLOOKUP(A2483,Studies!A:BR,3,FALSE),"")</f>
        <v>https://www.ncbi.nlm.nih.gov/pubmed/578447</v>
      </c>
      <c r="D2483" s="232" t="str">
        <f>IF(AND(A2483&lt;&gt;"",ISNUMBER(A2483)),VLOOKUP(A2483,Studies!A:BR,4,FALSE),"")</f>
        <v>Subject 10 (600 mg MD)</v>
      </c>
      <c r="E2483" s="206" t="str">
        <f>IF(AND(A2483&lt;&gt;"",ISNUMBER(A2483)),VLOOKUP(A2483,Studies!A:BR,5,FALSE),"")</f>
        <v>Rifampicin</v>
      </c>
      <c r="F2483" s="207" t="str">
        <f>IF(AND(A2483&lt;&gt;"",ISNUMBER(A2483)),VLOOKUP(A2483,Studies!A:BR,6,FALSE),"")</f>
        <v>Serum</v>
      </c>
      <c r="G2483" s="194">
        <v>73</v>
      </c>
      <c r="H2483" s="194" t="s">
        <v>60</v>
      </c>
      <c r="I2483" s="187">
        <v>7.04</v>
      </c>
      <c r="J2483" s="187" t="s">
        <v>1054</v>
      </c>
      <c r="K2483" s="187" t="s">
        <v>264</v>
      </c>
      <c r="L2483" s="195"/>
      <c r="M2483" s="195"/>
      <c r="N2483" s="195"/>
      <c r="O2483" s="199"/>
      <c r="P2483" s="188"/>
      <c r="Q2483" s="174">
        <f>IF(ISNUMBER(VLOOKUP(A2483,NotghiID!A:A,1,FALSE)),1,0)</f>
        <v>0</v>
      </c>
    </row>
    <row r="2484" spans="1:17" ht="14.25" x14ac:dyDescent="0.2">
      <c r="A2484" s="183">
        <v>18</v>
      </c>
      <c r="B2484" s="232" t="str">
        <f>IF(AND(A2484&lt;&gt;"",ISNUMBER(A2484)),VLOOKUP(A2484,Studies!A:BR,2,FALSE),"")</f>
        <v>Acocella 1977</v>
      </c>
      <c r="C2484" s="232" t="str">
        <f>IF(AND(A2484&lt;&gt;"",ISNUMBER(A2484)),VLOOKUP(A2484,Studies!A:BR,3,FALSE),"")</f>
        <v>https://www.ncbi.nlm.nih.gov/pubmed/578447</v>
      </c>
      <c r="D2484" s="232" t="str">
        <f>IF(AND(A2484&lt;&gt;"",ISNUMBER(A2484)),VLOOKUP(A2484,Studies!A:BR,4,FALSE),"")</f>
        <v>Subject 10 (600 mg MD)</v>
      </c>
      <c r="E2484" s="206" t="str">
        <f>IF(AND(A2484&lt;&gt;"",ISNUMBER(A2484)),VLOOKUP(A2484,Studies!A:BR,5,FALSE),"")</f>
        <v>Rifampicin</v>
      </c>
      <c r="F2484" s="207" t="str">
        <f>IF(AND(A2484&lt;&gt;"",ISNUMBER(A2484)),VLOOKUP(A2484,Studies!A:BR,6,FALSE),"")</f>
        <v>Serum</v>
      </c>
      <c r="G2484" s="194">
        <v>74</v>
      </c>
      <c r="H2484" s="194" t="s">
        <v>60</v>
      </c>
      <c r="I2484" s="187">
        <v>15.97</v>
      </c>
      <c r="J2484" s="187" t="s">
        <v>1054</v>
      </c>
      <c r="K2484" s="187" t="s">
        <v>264</v>
      </c>
      <c r="L2484" s="195"/>
      <c r="M2484" s="195"/>
      <c r="N2484" s="195"/>
      <c r="O2484" s="199"/>
      <c r="P2484" s="188"/>
      <c r="Q2484" s="174">
        <f>IF(ISNUMBER(VLOOKUP(A2484,NotghiID!A:A,1,FALSE)),1,0)</f>
        <v>0</v>
      </c>
    </row>
    <row r="2485" spans="1:17" ht="14.25" x14ac:dyDescent="0.2">
      <c r="A2485" s="183">
        <v>18</v>
      </c>
      <c r="B2485" s="232" t="str">
        <f>IF(AND(A2485&lt;&gt;"",ISNUMBER(A2485)),VLOOKUP(A2485,Studies!A:BR,2,FALSE),"")</f>
        <v>Acocella 1977</v>
      </c>
      <c r="C2485" s="232" t="str">
        <f>IF(AND(A2485&lt;&gt;"",ISNUMBER(A2485)),VLOOKUP(A2485,Studies!A:BR,3,FALSE),"")</f>
        <v>https://www.ncbi.nlm.nih.gov/pubmed/578447</v>
      </c>
      <c r="D2485" s="232" t="str">
        <f>IF(AND(A2485&lt;&gt;"",ISNUMBER(A2485)),VLOOKUP(A2485,Studies!A:BR,4,FALSE),"")</f>
        <v>Subject 10 (600 mg MD)</v>
      </c>
      <c r="E2485" s="206" t="str">
        <f>IF(AND(A2485&lt;&gt;"",ISNUMBER(A2485)),VLOOKUP(A2485,Studies!A:BR,5,FALSE),"")</f>
        <v>Rifampicin</v>
      </c>
      <c r="F2485" s="207" t="str">
        <f>IF(AND(A2485&lt;&gt;"",ISNUMBER(A2485)),VLOOKUP(A2485,Studies!A:BR,6,FALSE),"")</f>
        <v>Serum</v>
      </c>
      <c r="G2485" s="194">
        <v>76</v>
      </c>
      <c r="H2485" s="194" t="s">
        <v>60</v>
      </c>
      <c r="I2485" s="187">
        <v>18.54</v>
      </c>
      <c r="J2485" s="187" t="s">
        <v>1054</v>
      </c>
      <c r="K2485" s="187" t="s">
        <v>264</v>
      </c>
      <c r="L2485" s="195"/>
      <c r="M2485" s="195"/>
      <c r="N2485" s="195"/>
      <c r="O2485" s="199"/>
      <c r="P2485" s="188"/>
      <c r="Q2485" s="174">
        <f>IF(ISNUMBER(VLOOKUP(A2485,NotghiID!A:A,1,FALSE)),1,0)</f>
        <v>0</v>
      </c>
    </row>
    <row r="2486" spans="1:17" ht="14.25" x14ac:dyDescent="0.2">
      <c r="A2486" s="183">
        <v>18</v>
      </c>
      <c r="B2486" s="232" t="str">
        <f>IF(AND(A2486&lt;&gt;"",ISNUMBER(A2486)),VLOOKUP(A2486,Studies!A:BR,2,FALSE),"")</f>
        <v>Acocella 1977</v>
      </c>
      <c r="C2486" s="232" t="str">
        <f>IF(AND(A2486&lt;&gt;"",ISNUMBER(A2486)),VLOOKUP(A2486,Studies!A:BR,3,FALSE),"")</f>
        <v>https://www.ncbi.nlm.nih.gov/pubmed/578447</v>
      </c>
      <c r="D2486" s="232" t="str">
        <f>IF(AND(A2486&lt;&gt;"",ISNUMBER(A2486)),VLOOKUP(A2486,Studies!A:BR,4,FALSE),"")</f>
        <v>Subject 10 (600 mg MD)</v>
      </c>
      <c r="E2486" s="206" t="str">
        <f>IF(AND(A2486&lt;&gt;"",ISNUMBER(A2486)),VLOOKUP(A2486,Studies!A:BR,5,FALSE),"")</f>
        <v>Rifampicin</v>
      </c>
      <c r="F2486" s="207" t="str">
        <f>IF(AND(A2486&lt;&gt;"",ISNUMBER(A2486)),VLOOKUP(A2486,Studies!A:BR,6,FALSE),"")</f>
        <v>Serum</v>
      </c>
      <c r="G2486" s="194">
        <v>80</v>
      </c>
      <c r="H2486" s="194" t="s">
        <v>60</v>
      </c>
      <c r="I2486" s="187">
        <v>8.75</v>
      </c>
      <c r="J2486" s="187" t="s">
        <v>1054</v>
      </c>
      <c r="K2486" s="187" t="s">
        <v>264</v>
      </c>
      <c r="L2486" s="195"/>
      <c r="M2486" s="195"/>
      <c r="N2486" s="195"/>
      <c r="O2486" s="199"/>
      <c r="P2486" s="188"/>
      <c r="Q2486" s="174">
        <f>IF(ISNUMBER(VLOOKUP(A2486,NotghiID!A:A,1,FALSE)),1,0)</f>
        <v>0</v>
      </c>
    </row>
    <row r="2487" spans="1:17" ht="14.25" x14ac:dyDescent="0.2">
      <c r="A2487" s="183">
        <v>18</v>
      </c>
      <c r="B2487" s="232" t="str">
        <f>IF(AND(A2487&lt;&gt;"",ISNUMBER(A2487)),VLOOKUP(A2487,Studies!A:BR,2,FALSE),"")</f>
        <v>Acocella 1977</v>
      </c>
      <c r="C2487" s="232" t="str">
        <f>IF(AND(A2487&lt;&gt;"",ISNUMBER(A2487)),VLOOKUP(A2487,Studies!A:BR,3,FALSE),"")</f>
        <v>https://www.ncbi.nlm.nih.gov/pubmed/578447</v>
      </c>
      <c r="D2487" s="232" t="str">
        <f>IF(AND(A2487&lt;&gt;"",ISNUMBER(A2487)),VLOOKUP(A2487,Studies!A:BR,4,FALSE),"")</f>
        <v>Subject 10 (600 mg MD)</v>
      </c>
      <c r="E2487" s="206" t="str">
        <f>IF(AND(A2487&lt;&gt;"",ISNUMBER(A2487)),VLOOKUP(A2487,Studies!A:BR,5,FALSE),"")</f>
        <v>Rifampicin</v>
      </c>
      <c r="F2487" s="207" t="str">
        <f>IF(AND(A2487&lt;&gt;"",ISNUMBER(A2487)),VLOOKUP(A2487,Studies!A:BR,6,FALSE),"")</f>
        <v>Serum</v>
      </c>
      <c r="G2487" s="194">
        <v>144</v>
      </c>
      <c r="H2487" s="194" t="s">
        <v>60</v>
      </c>
      <c r="I2487" s="187">
        <v>0.42</v>
      </c>
      <c r="J2487" s="187" t="s">
        <v>1054</v>
      </c>
      <c r="K2487" s="187" t="s">
        <v>264</v>
      </c>
      <c r="L2487" s="195"/>
      <c r="M2487" s="195"/>
      <c r="N2487" s="195"/>
      <c r="O2487" s="199"/>
      <c r="P2487" s="188"/>
      <c r="Q2487" s="174">
        <f>IF(ISNUMBER(VLOOKUP(A2487,NotghiID!A:A,1,FALSE)),1,0)</f>
        <v>0</v>
      </c>
    </row>
    <row r="2488" spans="1:17" ht="14.25" x14ac:dyDescent="0.2">
      <c r="A2488" s="183">
        <v>18</v>
      </c>
      <c r="B2488" s="232" t="str">
        <f>IF(AND(A2488&lt;&gt;"",ISNUMBER(A2488)),VLOOKUP(A2488,Studies!A:BR,2,FALSE),"")</f>
        <v>Acocella 1977</v>
      </c>
      <c r="C2488" s="232" t="str">
        <f>IF(AND(A2488&lt;&gt;"",ISNUMBER(A2488)),VLOOKUP(A2488,Studies!A:BR,3,FALSE),"")</f>
        <v>https://www.ncbi.nlm.nih.gov/pubmed/578447</v>
      </c>
      <c r="D2488" s="232" t="str">
        <f>IF(AND(A2488&lt;&gt;"",ISNUMBER(A2488)),VLOOKUP(A2488,Studies!A:BR,4,FALSE),"")</f>
        <v>Subject 10 (600 mg MD)</v>
      </c>
      <c r="E2488" s="206" t="str">
        <f>IF(AND(A2488&lt;&gt;"",ISNUMBER(A2488)),VLOOKUP(A2488,Studies!A:BR,5,FALSE),"")</f>
        <v>Rifampicin</v>
      </c>
      <c r="F2488" s="207" t="str">
        <f>IF(AND(A2488&lt;&gt;"",ISNUMBER(A2488)),VLOOKUP(A2488,Studies!A:BR,6,FALSE),"")</f>
        <v>Serum</v>
      </c>
      <c r="G2488" s="194">
        <v>144.5</v>
      </c>
      <c r="H2488" s="194" t="s">
        <v>60</v>
      </c>
      <c r="I2488" s="187">
        <v>1.83</v>
      </c>
      <c r="J2488" s="187" t="s">
        <v>1054</v>
      </c>
      <c r="K2488" s="187" t="s">
        <v>264</v>
      </c>
      <c r="L2488" s="195"/>
      <c r="M2488" s="195"/>
      <c r="N2488" s="195"/>
      <c r="O2488" s="199"/>
      <c r="P2488" s="188"/>
      <c r="Q2488" s="174">
        <f>IF(ISNUMBER(VLOOKUP(A2488,NotghiID!A:A,1,FALSE)),1,0)</f>
        <v>0</v>
      </c>
    </row>
    <row r="2489" spans="1:17" ht="14.25" x14ac:dyDescent="0.2">
      <c r="A2489" s="183">
        <v>18</v>
      </c>
      <c r="B2489" s="232" t="str">
        <f>IF(AND(A2489&lt;&gt;"",ISNUMBER(A2489)),VLOOKUP(A2489,Studies!A:BR,2,FALSE),"")</f>
        <v>Acocella 1977</v>
      </c>
      <c r="C2489" s="232" t="str">
        <f>IF(AND(A2489&lt;&gt;"",ISNUMBER(A2489)),VLOOKUP(A2489,Studies!A:BR,3,FALSE),"")</f>
        <v>https://www.ncbi.nlm.nih.gov/pubmed/578447</v>
      </c>
      <c r="D2489" s="232" t="str">
        <f>IF(AND(A2489&lt;&gt;"",ISNUMBER(A2489)),VLOOKUP(A2489,Studies!A:BR,4,FALSE),"")</f>
        <v>Subject 10 (600 mg MD)</v>
      </c>
      <c r="E2489" s="206" t="str">
        <f>IF(AND(A2489&lt;&gt;"",ISNUMBER(A2489)),VLOOKUP(A2489,Studies!A:BR,5,FALSE),"")</f>
        <v>Rifampicin</v>
      </c>
      <c r="F2489" s="207" t="str">
        <f>IF(AND(A2489&lt;&gt;"",ISNUMBER(A2489)),VLOOKUP(A2489,Studies!A:BR,6,FALSE),"")</f>
        <v>Serum</v>
      </c>
      <c r="G2489" s="194">
        <v>145</v>
      </c>
      <c r="H2489" s="194" t="s">
        <v>60</v>
      </c>
      <c r="I2489" s="187">
        <v>4.29</v>
      </c>
      <c r="J2489" s="187" t="s">
        <v>1054</v>
      </c>
      <c r="K2489" s="187" t="s">
        <v>264</v>
      </c>
      <c r="L2489" s="195"/>
      <c r="M2489" s="195"/>
      <c r="N2489" s="195"/>
      <c r="O2489" s="199"/>
      <c r="P2489" s="188"/>
      <c r="Q2489" s="174">
        <f>IF(ISNUMBER(VLOOKUP(A2489,NotghiID!A:A,1,FALSE)),1,0)</f>
        <v>0</v>
      </c>
    </row>
    <row r="2490" spans="1:17" ht="14.25" x14ac:dyDescent="0.2">
      <c r="A2490" s="183">
        <v>18</v>
      </c>
      <c r="B2490" s="232" t="str">
        <f>IF(AND(A2490&lt;&gt;"",ISNUMBER(A2490)),VLOOKUP(A2490,Studies!A:BR,2,FALSE),"")</f>
        <v>Acocella 1977</v>
      </c>
      <c r="C2490" s="232" t="str">
        <f>IF(AND(A2490&lt;&gt;"",ISNUMBER(A2490)),VLOOKUP(A2490,Studies!A:BR,3,FALSE),"")</f>
        <v>https://www.ncbi.nlm.nih.gov/pubmed/578447</v>
      </c>
      <c r="D2490" s="232" t="str">
        <f>IF(AND(A2490&lt;&gt;"",ISNUMBER(A2490)),VLOOKUP(A2490,Studies!A:BR,4,FALSE),"")</f>
        <v>Subject 10 (600 mg MD)</v>
      </c>
      <c r="E2490" s="206" t="str">
        <f>IF(AND(A2490&lt;&gt;"",ISNUMBER(A2490)),VLOOKUP(A2490,Studies!A:BR,5,FALSE),"")</f>
        <v>Rifampicin</v>
      </c>
      <c r="F2490" s="207" t="str">
        <f>IF(AND(A2490&lt;&gt;"",ISNUMBER(A2490)),VLOOKUP(A2490,Studies!A:BR,6,FALSE),"")</f>
        <v>Serum</v>
      </c>
      <c r="G2490" s="194">
        <v>146</v>
      </c>
      <c r="H2490" s="194" t="s">
        <v>60</v>
      </c>
      <c r="I2490" s="187">
        <v>8.11</v>
      </c>
      <c r="J2490" s="187" t="s">
        <v>1054</v>
      </c>
      <c r="K2490" s="187" t="s">
        <v>264</v>
      </c>
      <c r="L2490" s="195"/>
      <c r="M2490" s="195"/>
      <c r="N2490" s="195"/>
      <c r="O2490" s="199"/>
      <c r="P2490" s="188"/>
      <c r="Q2490" s="174">
        <f>IF(ISNUMBER(VLOOKUP(A2490,NotghiID!A:A,1,FALSE)),1,0)</f>
        <v>0</v>
      </c>
    </row>
    <row r="2491" spans="1:17" ht="14.25" x14ac:dyDescent="0.2">
      <c r="A2491" s="183">
        <v>18</v>
      </c>
      <c r="B2491" s="232" t="str">
        <f>IF(AND(A2491&lt;&gt;"",ISNUMBER(A2491)),VLOOKUP(A2491,Studies!A:BR,2,FALSE),"")</f>
        <v>Acocella 1977</v>
      </c>
      <c r="C2491" s="232" t="str">
        <f>IF(AND(A2491&lt;&gt;"",ISNUMBER(A2491)),VLOOKUP(A2491,Studies!A:BR,3,FALSE),"")</f>
        <v>https://www.ncbi.nlm.nih.gov/pubmed/578447</v>
      </c>
      <c r="D2491" s="232" t="str">
        <f>IF(AND(A2491&lt;&gt;"",ISNUMBER(A2491)),VLOOKUP(A2491,Studies!A:BR,4,FALSE),"")</f>
        <v>Subject 10 (600 mg MD)</v>
      </c>
      <c r="E2491" s="206" t="str">
        <f>IF(AND(A2491&lt;&gt;"",ISNUMBER(A2491)),VLOOKUP(A2491,Studies!A:BR,5,FALSE),"")</f>
        <v>Rifampicin</v>
      </c>
      <c r="F2491" s="207" t="str">
        <f>IF(AND(A2491&lt;&gt;"",ISNUMBER(A2491)),VLOOKUP(A2491,Studies!A:BR,6,FALSE),"")</f>
        <v>Serum</v>
      </c>
      <c r="G2491" s="194">
        <v>148</v>
      </c>
      <c r="H2491" s="194" t="s">
        <v>60</v>
      </c>
      <c r="I2491" s="187">
        <v>7.56</v>
      </c>
      <c r="J2491" s="187" t="s">
        <v>1054</v>
      </c>
      <c r="K2491" s="187" t="s">
        <v>264</v>
      </c>
      <c r="L2491" s="195"/>
      <c r="M2491" s="195"/>
      <c r="N2491" s="195"/>
      <c r="O2491" s="199"/>
      <c r="P2491" s="188"/>
      <c r="Q2491" s="174">
        <f>IF(ISNUMBER(VLOOKUP(A2491,NotghiID!A:A,1,FALSE)),1,0)</f>
        <v>0</v>
      </c>
    </row>
    <row r="2492" spans="1:17" ht="14.25" x14ac:dyDescent="0.2">
      <c r="A2492" s="183">
        <v>18</v>
      </c>
      <c r="B2492" s="232" t="str">
        <f>IF(AND(A2492&lt;&gt;"",ISNUMBER(A2492)),VLOOKUP(A2492,Studies!A:BR,2,FALSE),"")</f>
        <v>Acocella 1977</v>
      </c>
      <c r="C2492" s="232" t="str">
        <f>IF(AND(A2492&lt;&gt;"",ISNUMBER(A2492)),VLOOKUP(A2492,Studies!A:BR,3,FALSE),"")</f>
        <v>https://www.ncbi.nlm.nih.gov/pubmed/578447</v>
      </c>
      <c r="D2492" s="232" t="str">
        <f>IF(AND(A2492&lt;&gt;"",ISNUMBER(A2492)),VLOOKUP(A2492,Studies!A:BR,4,FALSE),"")</f>
        <v>Subject 10 (600 mg MD)</v>
      </c>
      <c r="E2492" s="206" t="str">
        <f>IF(AND(A2492&lt;&gt;"",ISNUMBER(A2492)),VLOOKUP(A2492,Studies!A:BR,5,FALSE),"")</f>
        <v>Rifampicin</v>
      </c>
      <c r="F2492" s="207" t="str">
        <f>IF(AND(A2492&lt;&gt;"",ISNUMBER(A2492)),VLOOKUP(A2492,Studies!A:BR,6,FALSE),"")</f>
        <v>Serum</v>
      </c>
      <c r="G2492" s="194">
        <v>152</v>
      </c>
      <c r="H2492" s="194" t="s">
        <v>60</v>
      </c>
      <c r="I2492" s="187">
        <v>3.85</v>
      </c>
      <c r="J2492" s="187" t="s">
        <v>1054</v>
      </c>
      <c r="K2492" s="187" t="s">
        <v>264</v>
      </c>
      <c r="L2492" s="195"/>
      <c r="M2492" s="195"/>
      <c r="N2492" s="195"/>
      <c r="O2492" s="199"/>
      <c r="P2492" s="188"/>
      <c r="Q2492" s="174">
        <f>IF(ISNUMBER(VLOOKUP(A2492,NotghiID!A:A,1,FALSE)),1,0)</f>
        <v>0</v>
      </c>
    </row>
    <row r="2493" spans="1:17" ht="14.25" x14ac:dyDescent="0.2">
      <c r="A2493" s="183">
        <f>A2475+1</f>
        <v>19</v>
      </c>
      <c r="B2493" s="232" t="str">
        <f>IF(AND(A2493&lt;&gt;"",ISNUMBER(A2493)),VLOOKUP(A2493,Studies!A:BR,2,FALSE),"")</f>
        <v>Acocella 1977</v>
      </c>
      <c r="C2493" s="232" t="str">
        <f>IF(AND(A2493&lt;&gt;"",ISNUMBER(A2493)),VLOOKUP(A2493,Studies!A:BR,3,FALSE),"")</f>
        <v>https://www.ncbi.nlm.nih.gov/pubmed/578447</v>
      </c>
      <c r="D2493" s="232" t="str">
        <f>IF(AND(A2493&lt;&gt;"",ISNUMBER(A2493)),VLOOKUP(A2493,Studies!A:BR,4,FALSE),"")</f>
        <v>Subject 11 (600 mg MD)</v>
      </c>
      <c r="E2493" s="206" t="str">
        <f>IF(AND(A2493&lt;&gt;"",ISNUMBER(A2493)),VLOOKUP(A2493,Studies!A:BR,5,FALSE),"")</f>
        <v>Rifampicin</v>
      </c>
      <c r="F2493" s="207" t="str">
        <f>IF(AND(A2493&lt;&gt;"",ISNUMBER(A2493)),VLOOKUP(A2493,Studies!A:BR,6,FALSE),"")</f>
        <v>Serum</v>
      </c>
      <c r="G2493" s="194">
        <v>0</v>
      </c>
      <c r="H2493" s="194" t="s">
        <v>60</v>
      </c>
      <c r="I2493" s="187">
        <v>0</v>
      </c>
      <c r="J2493" s="187" t="s">
        <v>1054</v>
      </c>
      <c r="K2493" s="187" t="s">
        <v>264</v>
      </c>
      <c r="L2493" s="195"/>
      <c r="M2493" s="195"/>
      <c r="N2493" s="195"/>
      <c r="O2493" s="199"/>
      <c r="P2493" s="188"/>
      <c r="Q2493" s="174">
        <f>IF(ISNUMBER(VLOOKUP(A2493,NotghiID!A:A,1,FALSE)),1,0)</f>
        <v>0</v>
      </c>
    </row>
    <row r="2494" spans="1:17" ht="14.25" x14ac:dyDescent="0.2">
      <c r="A2494" s="183">
        <f t="shared" ref="A2494:A2557" si="6">A2476+1</f>
        <v>19</v>
      </c>
      <c r="B2494" s="232" t="str">
        <f>IF(AND(A2494&lt;&gt;"",ISNUMBER(A2494)),VLOOKUP(A2494,Studies!A:BR,2,FALSE),"")</f>
        <v>Acocella 1977</v>
      </c>
      <c r="C2494" s="232" t="str">
        <f>IF(AND(A2494&lt;&gt;"",ISNUMBER(A2494)),VLOOKUP(A2494,Studies!A:BR,3,FALSE),"")</f>
        <v>https://www.ncbi.nlm.nih.gov/pubmed/578447</v>
      </c>
      <c r="D2494" s="232" t="str">
        <f>IF(AND(A2494&lt;&gt;"",ISNUMBER(A2494)),VLOOKUP(A2494,Studies!A:BR,4,FALSE),"")</f>
        <v>Subject 11 (600 mg MD)</v>
      </c>
      <c r="E2494" s="206" t="str">
        <f>IF(AND(A2494&lt;&gt;"",ISNUMBER(A2494)),VLOOKUP(A2494,Studies!A:BR,5,FALSE),"")</f>
        <v>Rifampicin</v>
      </c>
      <c r="F2494" s="207" t="str">
        <f>IF(AND(A2494&lt;&gt;"",ISNUMBER(A2494)),VLOOKUP(A2494,Studies!A:BR,6,FALSE),"")</f>
        <v>Serum</v>
      </c>
      <c r="G2494" s="194">
        <v>0.5</v>
      </c>
      <c r="H2494" s="194" t="s">
        <v>60</v>
      </c>
      <c r="I2494" s="187">
        <v>3.73</v>
      </c>
      <c r="J2494" s="187" t="s">
        <v>1054</v>
      </c>
      <c r="K2494" s="187" t="s">
        <v>264</v>
      </c>
      <c r="L2494" s="195"/>
      <c r="M2494" s="195"/>
      <c r="N2494" s="195"/>
      <c r="O2494" s="199"/>
      <c r="P2494" s="188"/>
      <c r="Q2494" s="174">
        <f>IF(ISNUMBER(VLOOKUP(A2494,NotghiID!A:A,1,FALSE)),1,0)</f>
        <v>0</v>
      </c>
    </row>
    <row r="2495" spans="1:17" ht="14.25" x14ac:dyDescent="0.2">
      <c r="A2495" s="183">
        <f t="shared" si="6"/>
        <v>19</v>
      </c>
      <c r="B2495" s="232" t="str">
        <f>IF(AND(A2495&lt;&gt;"",ISNUMBER(A2495)),VLOOKUP(A2495,Studies!A:BR,2,FALSE),"")</f>
        <v>Acocella 1977</v>
      </c>
      <c r="C2495" s="232" t="str">
        <f>IF(AND(A2495&lt;&gt;"",ISNUMBER(A2495)),VLOOKUP(A2495,Studies!A:BR,3,FALSE),"")</f>
        <v>https://www.ncbi.nlm.nih.gov/pubmed/578447</v>
      </c>
      <c r="D2495" s="232" t="str">
        <f>IF(AND(A2495&lt;&gt;"",ISNUMBER(A2495)),VLOOKUP(A2495,Studies!A:BR,4,FALSE),"")</f>
        <v>Subject 11 (600 mg MD)</v>
      </c>
      <c r="E2495" s="206" t="str">
        <f>IF(AND(A2495&lt;&gt;"",ISNUMBER(A2495)),VLOOKUP(A2495,Studies!A:BR,5,FALSE),"")</f>
        <v>Rifampicin</v>
      </c>
      <c r="F2495" s="207" t="str">
        <f>IF(AND(A2495&lt;&gt;"",ISNUMBER(A2495)),VLOOKUP(A2495,Studies!A:BR,6,FALSE),"")</f>
        <v>Serum</v>
      </c>
      <c r="G2495" s="194">
        <v>1</v>
      </c>
      <c r="H2495" s="194" t="s">
        <v>60</v>
      </c>
      <c r="I2495" s="187">
        <v>5.29</v>
      </c>
      <c r="J2495" s="187" t="s">
        <v>1054</v>
      </c>
      <c r="K2495" s="187" t="s">
        <v>264</v>
      </c>
      <c r="L2495" s="195"/>
      <c r="M2495" s="195"/>
      <c r="N2495" s="195"/>
      <c r="O2495" s="199"/>
      <c r="P2495" s="188"/>
      <c r="Q2495" s="174">
        <f>IF(ISNUMBER(VLOOKUP(A2495,NotghiID!A:A,1,FALSE)),1,0)</f>
        <v>0</v>
      </c>
    </row>
    <row r="2496" spans="1:17" ht="14.25" x14ac:dyDescent="0.2">
      <c r="A2496" s="183">
        <f t="shared" si="6"/>
        <v>19</v>
      </c>
      <c r="B2496" s="232" t="str">
        <f>IF(AND(A2496&lt;&gt;"",ISNUMBER(A2496)),VLOOKUP(A2496,Studies!A:BR,2,FALSE),"")</f>
        <v>Acocella 1977</v>
      </c>
      <c r="C2496" s="232" t="str">
        <f>IF(AND(A2496&lt;&gt;"",ISNUMBER(A2496)),VLOOKUP(A2496,Studies!A:BR,3,FALSE),"")</f>
        <v>https://www.ncbi.nlm.nih.gov/pubmed/578447</v>
      </c>
      <c r="D2496" s="232" t="str">
        <f>IF(AND(A2496&lt;&gt;"",ISNUMBER(A2496)),VLOOKUP(A2496,Studies!A:BR,4,FALSE),"")</f>
        <v>Subject 11 (600 mg MD)</v>
      </c>
      <c r="E2496" s="206" t="str">
        <f>IF(AND(A2496&lt;&gt;"",ISNUMBER(A2496)),VLOOKUP(A2496,Studies!A:BR,5,FALSE),"")</f>
        <v>Rifampicin</v>
      </c>
      <c r="F2496" s="207" t="str">
        <f>IF(AND(A2496&lt;&gt;"",ISNUMBER(A2496)),VLOOKUP(A2496,Studies!A:BR,6,FALSE),"")</f>
        <v>Serum</v>
      </c>
      <c r="G2496" s="194">
        <v>2</v>
      </c>
      <c r="H2496" s="194" t="s">
        <v>60</v>
      </c>
      <c r="I2496" s="187">
        <v>8.34</v>
      </c>
      <c r="J2496" s="187" t="s">
        <v>1054</v>
      </c>
      <c r="K2496" s="187" t="s">
        <v>264</v>
      </c>
      <c r="L2496" s="195"/>
      <c r="M2496" s="195"/>
      <c r="N2496" s="195"/>
      <c r="O2496" s="199"/>
      <c r="P2496" s="188"/>
      <c r="Q2496" s="174">
        <f>IF(ISNUMBER(VLOOKUP(A2496,NotghiID!A:A,1,FALSE)),1,0)</f>
        <v>0</v>
      </c>
    </row>
    <row r="2497" spans="1:17" ht="14.25" x14ac:dyDescent="0.2">
      <c r="A2497" s="183">
        <f t="shared" si="6"/>
        <v>19</v>
      </c>
      <c r="B2497" s="232" t="str">
        <f>IF(AND(A2497&lt;&gt;"",ISNUMBER(A2497)),VLOOKUP(A2497,Studies!A:BR,2,FALSE),"")</f>
        <v>Acocella 1977</v>
      </c>
      <c r="C2497" s="232" t="str">
        <f>IF(AND(A2497&lt;&gt;"",ISNUMBER(A2497)),VLOOKUP(A2497,Studies!A:BR,3,FALSE),"")</f>
        <v>https://www.ncbi.nlm.nih.gov/pubmed/578447</v>
      </c>
      <c r="D2497" s="232" t="str">
        <f>IF(AND(A2497&lt;&gt;"",ISNUMBER(A2497)),VLOOKUP(A2497,Studies!A:BR,4,FALSE),"")</f>
        <v>Subject 11 (600 mg MD)</v>
      </c>
      <c r="E2497" s="206" t="str">
        <f>IF(AND(A2497&lt;&gt;"",ISNUMBER(A2497)),VLOOKUP(A2497,Studies!A:BR,5,FALSE),"")</f>
        <v>Rifampicin</v>
      </c>
      <c r="F2497" s="207" t="str">
        <f>IF(AND(A2497&lt;&gt;"",ISNUMBER(A2497)),VLOOKUP(A2497,Studies!A:BR,6,FALSE),"")</f>
        <v>Serum</v>
      </c>
      <c r="G2497" s="194">
        <v>4</v>
      </c>
      <c r="H2497" s="194" t="s">
        <v>60</v>
      </c>
      <c r="I2497" s="187">
        <v>8.7200000000000006</v>
      </c>
      <c r="J2497" s="187" t="s">
        <v>1054</v>
      </c>
      <c r="K2497" s="187" t="s">
        <v>264</v>
      </c>
      <c r="L2497" s="195"/>
      <c r="M2497" s="195"/>
      <c r="N2497" s="195"/>
      <c r="O2497" s="199"/>
      <c r="P2497" s="188"/>
      <c r="Q2497" s="174">
        <f>IF(ISNUMBER(VLOOKUP(A2497,NotghiID!A:A,1,FALSE)),1,0)</f>
        <v>0</v>
      </c>
    </row>
    <row r="2498" spans="1:17" ht="14.25" x14ac:dyDescent="0.2">
      <c r="A2498" s="183">
        <f t="shared" si="6"/>
        <v>19</v>
      </c>
      <c r="B2498" s="232" t="str">
        <f>IF(AND(A2498&lt;&gt;"",ISNUMBER(A2498)),VLOOKUP(A2498,Studies!A:BR,2,FALSE),"")</f>
        <v>Acocella 1977</v>
      </c>
      <c r="C2498" s="232" t="str">
        <f>IF(AND(A2498&lt;&gt;"",ISNUMBER(A2498)),VLOOKUP(A2498,Studies!A:BR,3,FALSE),"")</f>
        <v>https://www.ncbi.nlm.nih.gov/pubmed/578447</v>
      </c>
      <c r="D2498" s="232" t="str">
        <f>IF(AND(A2498&lt;&gt;"",ISNUMBER(A2498)),VLOOKUP(A2498,Studies!A:BR,4,FALSE),"")</f>
        <v>Subject 11 (600 mg MD)</v>
      </c>
      <c r="E2498" s="206" t="str">
        <f>IF(AND(A2498&lt;&gt;"",ISNUMBER(A2498)),VLOOKUP(A2498,Studies!A:BR,5,FALSE),"")</f>
        <v>Rifampicin</v>
      </c>
      <c r="F2498" s="207" t="str">
        <f>IF(AND(A2498&lt;&gt;"",ISNUMBER(A2498)),VLOOKUP(A2498,Studies!A:BR,6,FALSE),"")</f>
        <v>Serum</v>
      </c>
      <c r="G2498" s="194">
        <v>8</v>
      </c>
      <c r="H2498" s="194" t="s">
        <v>60</v>
      </c>
      <c r="I2498" s="187">
        <v>4.0599999999999996</v>
      </c>
      <c r="J2498" s="187" t="s">
        <v>1054</v>
      </c>
      <c r="K2498" s="187" t="s">
        <v>264</v>
      </c>
      <c r="L2498" s="195"/>
      <c r="M2498" s="195"/>
      <c r="N2498" s="195"/>
      <c r="O2498" s="199"/>
      <c r="P2498" s="188"/>
      <c r="Q2498" s="174">
        <f>IF(ISNUMBER(VLOOKUP(A2498,NotghiID!A:A,1,FALSE)),1,0)</f>
        <v>0</v>
      </c>
    </row>
    <row r="2499" spans="1:17" ht="14.25" x14ac:dyDescent="0.2">
      <c r="A2499" s="183">
        <f t="shared" si="6"/>
        <v>19</v>
      </c>
      <c r="B2499" s="232" t="str">
        <f>IF(AND(A2499&lt;&gt;"",ISNUMBER(A2499)),VLOOKUP(A2499,Studies!A:BR,2,FALSE),"")</f>
        <v>Acocella 1977</v>
      </c>
      <c r="C2499" s="232" t="str">
        <f>IF(AND(A2499&lt;&gt;"",ISNUMBER(A2499)),VLOOKUP(A2499,Studies!A:BR,3,FALSE),"")</f>
        <v>https://www.ncbi.nlm.nih.gov/pubmed/578447</v>
      </c>
      <c r="D2499" s="232" t="str">
        <f>IF(AND(A2499&lt;&gt;"",ISNUMBER(A2499)),VLOOKUP(A2499,Studies!A:BR,4,FALSE),"")</f>
        <v>Subject 11 (600 mg MD)</v>
      </c>
      <c r="E2499" s="206" t="str">
        <f>IF(AND(A2499&lt;&gt;"",ISNUMBER(A2499)),VLOOKUP(A2499,Studies!A:BR,5,FALSE),"")</f>
        <v>Rifampicin</v>
      </c>
      <c r="F2499" s="207" t="str">
        <f>IF(AND(A2499&lt;&gt;"",ISNUMBER(A2499)),VLOOKUP(A2499,Studies!A:BR,6,FALSE),"")</f>
        <v>Serum</v>
      </c>
      <c r="G2499" s="194">
        <v>72</v>
      </c>
      <c r="H2499" s="194" t="s">
        <v>60</v>
      </c>
      <c r="I2499" s="187">
        <v>0</v>
      </c>
      <c r="J2499" s="187" t="s">
        <v>1054</v>
      </c>
      <c r="K2499" s="187" t="s">
        <v>264</v>
      </c>
      <c r="L2499" s="195"/>
      <c r="M2499" s="195"/>
      <c r="N2499" s="195"/>
      <c r="O2499" s="199"/>
      <c r="P2499" s="188"/>
      <c r="Q2499" s="174">
        <f>IF(ISNUMBER(VLOOKUP(A2499,NotghiID!A:A,1,FALSE)),1,0)</f>
        <v>0</v>
      </c>
    </row>
    <row r="2500" spans="1:17" ht="14.25" x14ac:dyDescent="0.2">
      <c r="A2500" s="183">
        <f t="shared" si="6"/>
        <v>19</v>
      </c>
      <c r="B2500" s="232" t="str">
        <f>IF(AND(A2500&lt;&gt;"",ISNUMBER(A2500)),VLOOKUP(A2500,Studies!A:BR,2,FALSE),"")</f>
        <v>Acocella 1977</v>
      </c>
      <c r="C2500" s="232" t="str">
        <f>IF(AND(A2500&lt;&gt;"",ISNUMBER(A2500)),VLOOKUP(A2500,Studies!A:BR,3,FALSE),"")</f>
        <v>https://www.ncbi.nlm.nih.gov/pubmed/578447</v>
      </c>
      <c r="D2500" s="232" t="str">
        <f>IF(AND(A2500&lt;&gt;"",ISNUMBER(A2500)),VLOOKUP(A2500,Studies!A:BR,4,FALSE),"")</f>
        <v>Subject 11 (600 mg MD)</v>
      </c>
      <c r="E2500" s="206" t="str">
        <f>IF(AND(A2500&lt;&gt;"",ISNUMBER(A2500)),VLOOKUP(A2500,Studies!A:BR,5,FALSE),"")</f>
        <v>Rifampicin</v>
      </c>
      <c r="F2500" s="207" t="str">
        <f>IF(AND(A2500&lt;&gt;"",ISNUMBER(A2500)),VLOOKUP(A2500,Studies!A:BR,6,FALSE),"")</f>
        <v>Serum</v>
      </c>
      <c r="G2500" s="194">
        <v>72.5</v>
      </c>
      <c r="H2500" s="194" t="s">
        <v>60</v>
      </c>
      <c r="I2500" s="187">
        <v>2.0499999999999998</v>
      </c>
      <c r="J2500" s="187" t="s">
        <v>1054</v>
      </c>
      <c r="K2500" s="187" t="s">
        <v>264</v>
      </c>
      <c r="L2500" s="195"/>
      <c r="M2500" s="195"/>
      <c r="N2500" s="195"/>
      <c r="O2500" s="199"/>
      <c r="P2500" s="188"/>
      <c r="Q2500" s="174">
        <f>IF(ISNUMBER(VLOOKUP(A2500,NotghiID!A:A,1,FALSE)),1,0)</f>
        <v>0</v>
      </c>
    </row>
    <row r="2501" spans="1:17" ht="14.25" x14ac:dyDescent="0.2">
      <c r="A2501" s="183">
        <f t="shared" si="6"/>
        <v>19</v>
      </c>
      <c r="B2501" s="232" t="str">
        <f>IF(AND(A2501&lt;&gt;"",ISNUMBER(A2501)),VLOOKUP(A2501,Studies!A:BR,2,FALSE),"")</f>
        <v>Acocella 1977</v>
      </c>
      <c r="C2501" s="232" t="str">
        <f>IF(AND(A2501&lt;&gt;"",ISNUMBER(A2501)),VLOOKUP(A2501,Studies!A:BR,3,FALSE),"")</f>
        <v>https://www.ncbi.nlm.nih.gov/pubmed/578447</v>
      </c>
      <c r="D2501" s="232" t="str">
        <f>IF(AND(A2501&lt;&gt;"",ISNUMBER(A2501)),VLOOKUP(A2501,Studies!A:BR,4,FALSE),"")</f>
        <v>Subject 11 (600 mg MD)</v>
      </c>
      <c r="E2501" s="206" t="str">
        <f>IF(AND(A2501&lt;&gt;"",ISNUMBER(A2501)),VLOOKUP(A2501,Studies!A:BR,5,FALSE),"")</f>
        <v>Rifampicin</v>
      </c>
      <c r="F2501" s="207" t="str">
        <f>IF(AND(A2501&lt;&gt;"",ISNUMBER(A2501)),VLOOKUP(A2501,Studies!A:BR,6,FALSE),"")</f>
        <v>Serum</v>
      </c>
      <c r="G2501" s="194">
        <v>73</v>
      </c>
      <c r="H2501" s="194" t="s">
        <v>60</v>
      </c>
      <c r="I2501" s="187">
        <v>5.33</v>
      </c>
      <c r="J2501" s="187" t="s">
        <v>1054</v>
      </c>
      <c r="K2501" s="187" t="s">
        <v>264</v>
      </c>
      <c r="L2501" s="195"/>
      <c r="M2501" s="195"/>
      <c r="N2501" s="195"/>
      <c r="O2501" s="199"/>
      <c r="P2501" s="188"/>
      <c r="Q2501" s="174">
        <f>IF(ISNUMBER(VLOOKUP(A2501,NotghiID!A:A,1,FALSE)),1,0)</f>
        <v>0</v>
      </c>
    </row>
    <row r="2502" spans="1:17" ht="14.25" x14ac:dyDescent="0.2">
      <c r="A2502" s="183">
        <f t="shared" si="6"/>
        <v>19</v>
      </c>
      <c r="B2502" s="232" t="str">
        <f>IF(AND(A2502&lt;&gt;"",ISNUMBER(A2502)),VLOOKUP(A2502,Studies!A:BR,2,FALSE),"")</f>
        <v>Acocella 1977</v>
      </c>
      <c r="C2502" s="232" t="str">
        <f>IF(AND(A2502&lt;&gt;"",ISNUMBER(A2502)),VLOOKUP(A2502,Studies!A:BR,3,FALSE),"")</f>
        <v>https://www.ncbi.nlm.nih.gov/pubmed/578447</v>
      </c>
      <c r="D2502" s="232" t="str">
        <f>IF(AND(A2502&lt;&gt;"",ISNUMBER(A2502)),VLOOKUP(A2502,Studies!A:BR,4,FALSE),"")</f>
        <v>Subject 11 (600 mg MD)</v>
      </c>
      <c r="E2502" s="206" t="str">
        <f>IF(AND(A2502&lt;&gt;"",ISNUMBER(A2502)),VLOOKUP(A2502,Studies!A:BR,5,FALSE),"")</f>
        <v>Rifampicin</v>
      </c>
      <c r="F2502" s="207" t="str">
        <f>IF(AND(A2502&lt;&gt;"",ISNUMBER(A2502)),VLOOKUP(A2502,Studies!A:BR,6,FALSE),"")</f>
        <v>Serum</v>
      </c>
      <c r="G2502" s="194">
        <v>74</v>
      </c>
      <c r="H2502" s="194" t="s">
        <v>60</v>
      </c>
      <c r="I2502" s="187">
        <v>7.79</v>
      </c>
      <c r="J2502" s="187" t="s">
        <v>1054</v>
      </c>
      <c r="K2502" s="187" t="s">
        <v>264</v>
      </c>
      <c r="L2502" s="195"/>
      <c r="M2502" s="195"/>
      <c r="N2502" s="195"/>
      <c r="O2502" s="199"/>
      <c r="P2502" s="188"/>
      <c r="Q2502" s="174">
        <f>IF(ISNUMBER(VLOOKUP(A2502,NotghiID!A:A,1,FALSE)),1,0)</f>
        <v>0</v>
      </c>
    </row>
    <row r="2503" spans="1:17" ht="14.25" x14ac:dyDescent="0.2">
      <c r="A2503" s="183">
        <f t="shared" si="6"/>
        <v>19</v>
      </c>
      <c r="B2503" s="232" t="str">
        <f>IF(AND(A2503&lt;&gt;"",ISNUMBER(A2503)),VLOOKUP(A2503,Studies!A:BR,2,FALSE),"")</f>
        <v>Acocella 1977</v>
      </c>
      <c r="C2503" s="232" t="str">
        <f>IF(AND(A2503&lt;&gt;"",ISNUMBER(A2503)),VLOOKUP(A2503,Studies!A:BR,3,FALSE),"")</f>
        <v>https://www.ncbi.nlm.nih.gov/pubmed/578447</v>
      </c>
      <c r="D2503" s="232" t="str">
        <f>IF(AND(A2503&lt;&gt;"",ISNUMBER(A2503)),VLOOKUP(A2503,Studies!A:BR,4,FALSE),"")</f>
        <v>Subject 11 (600 mg MD)</v>
      </c>
      <c r="E2503" s="206" t="str">
        <f>IF(AND(A2503&lt;&gt;"",ISNUMBER(A2503)),VLOOKUP(A2503,Studies!A:BR,5,FALSE),"")</f>
        <v>Rifampicin</v>
      </c>
      <c r="F2503" s="207" t="str">
        <f>IF(AND(A2503&lt;&gt;"",ISNUMBER(A2503)),VLOOKUP(A2503,Studies!A:BR,6,FALSE),"")</f>
        <v>Serum</v>
      </c>
      <c r="G2503" s="194">
        <v>76</v>
      </c>
      <c r="H2503" s="194" t="s">
        <v>60</v>
      </c>
      <c r="I2503" s="187">
        <v>8.5399999999999991</v>
      </c>
      <c r="J2503" s="187" t="s">
        <v>1054</v>
      </c>
      <c r="K2503" s="187" t="s">
        <v>264</v>
      </c>
      <c r="L2503" s="195"/>
      <c r="M2503" s="195"/>
      <c r="N2503" s="195"/>
      <c r="O2503" s="199"/>
      <c r="P2503" s="188"/>
      <c r="Q2503" s="174">
        <f>IF(ISNUMBER(VLOOKUP(A2503,NotghiID!A:A,1,FALSE)),1,0)</f>
        <v>0</v>
      </c>
    </row>
    <row r="2504" spans="1:17" ht="14.25" x14ac:dyDescent="0.2">
      <c r="A2504" s="183">
        <f t="shared" si="6"/>
        <v>19</v>
      </c>
      <c r="B2504" s="232" t="str">
        <f>IF(AND(A2504&lt;&gt;"",ISNUMBER(A2504)),VLOOKUP(A2504,Studies!A:BR,2,FALSE),"")</f>
        <v>Acocella 1977</v>
      </c>
      <c r="C2504" s="232" t="str">
        <f>IF(AND(A2504&lt;&gt;"",ISNUMBER(A2504)),VLOOKUP(A2504,Studies!A:BR,3,FALSE),"")</f>
        <v>https://www.ncbi.nlm.nih.gov/pubmed/578447</v>
      </c>
      <c r="D2504" s="232" t="str">
        <f>IF(AND(A2504&lt;&gt;"",ISNUMBER(A2504)),VLOOKUP(A2504,Studies!A:BR,4,FALSE),"")</f>
        <v>Subject 11 (600 mg MD)</v>
      </c>
      <c r="E2504" s="206" t="str">
        <f>IF(AND(A2504&lt;&gt;"",ISNUMBER(A2504)),VLOOKUP(A2504,Studies!A:BR,5,FALSE),"")</f>
        <v>Rifampicin</v>
      </c>
      <c r="F2504" s="207" t="str">
        <f>IF(AND(A2504&lt;&gt;"",ISNUMBER(A2504)),VLOOKUP(A2504,Studies!A:BR,6,FALSE),"")</f>
        <v>Serum</v>
      </c>
      <c r="G2504" s="194">
        <v>80</v>
      </c>
      <c r="H2504" s="194" t="s">
        <v>60</v>
      </c>
      <c r="I2504" s="187">
        <v>2.5499999999999998</v>
      </c>
      <c r="J2504" s="187" t="s">
        <v>1054</v>
      </c>
      <c r="K2504" s="187" t="s">
        <v>264</v>
      </c>
      <c r="L2504" s="195"/>
      <c r="M2504" s="195"/>
      <c r="N2504" s="195"/>
      <c r="O2504" s="199"/>
      <c r="P2504" s="188"/>
      <c r="Q2504" s="174">
        <f>IF(ISNUMBER(VLOOKUP(A2504,NotghiID!A:A,1,FALSE)),1,0)</f>
        <v>0</v>
      </c>
    </row>
    <row r="2505" spans="1:17" ht="14.25" x14ac:dyDescent="0.2">
      <c r="A2505" s="183">
        <f t="shared" si="6"/>
        <v>19</v>
      </c>
      <c r="B2505" s="232" t="str">
        <f>IF(AND(A2505&lt;&gt;"",ISNUMBER(A2505)),VLOOKUP(A2505,Studies!A:BR,2,FALSE),"")</f>
        <v>Acocella 1977</v>
      </c>
      <c r="C2505" s="232" t="str">
        <f>IF(AND(A2505&lt;&gt;"",ISNUMBER(A2505)),VLOOKUP(A2505,Studies!A:BR,3,FALSE),"")</f>
        <v>https://www.ncbi.nlm.nih.gov/pubmed/578447</v>
      </c>
      <c r="D2505" s="232" t="str">
        <f>IF(AND(A2505&lt;&gt;"",ISNUMBER(A2505)),VLOOKUP(A2505,Studies!A:BR,4,FALSE),"")</f>
        <v>Subject 11 (600 mg MD)</v>
      </c>
      <c r="E2505" s="206" t="str">
        <f>IF(AND(A2505&lt;&gt;"",ISNUMBER(A2505)),VLOOKUP(A2505,Studies!A:BR,5,FALSE),"")</f>
        <v>Rifampicin</v>
      </c>
      <c r="F2505" s="207" t="str">
        <f>IF(AND(A2505&lt;&gt;"",ISNUMBER(A2505)),VLOOKUP(A2505,Studies!A:BR,6,FALSE),"")</f>
        <v>Serum</v>
      </c>
      <c r="G2505" s="194">
        <v>144</v>
      </c>
      <c r="H2505" s="194" t="s">
        <v>60</v>
      </c>
      <c r="I2505" s="187">
        <v>0</v>
      </c>
      <c r="J2505" s="187" t="s">
        <v>1054</v>
      </c>
      <c r="K2505" s="187" t="s">
        <v>264</v>
      </c>
      <c r="L2505" s="195"/>
      <c r="M2505" s="195"/>
      <c r="N2505" s="195"/>
      <c r="O2505" s="199"/>
      <c r="P2505" s="188"/>
      <c r="Q2505" s="174">
        <f>IF(ISNUMBER(VLOOKUP(A2505,NotghiID!A:A,1,FALSE)),1,0)</f>
        <v>0</v>
      </c>
    </row>
    <row r="2506" spans="1:17" ht="14.25" x14ac:dyDescent="0.2">
      <c r="A2506" s="183">
        <f t="shared" si="6"/>
        <v>19</v>
      </c>
      <c r="B2506" s="232" t="str">
        <f>IF(AND(A2506&lt;&gt;"",ISNUMBER(A2506)),VLOOKUP(A2506,Studies!A:BR,2,FALSE),"")</f>
        <v>Acocella 1977</v>
      </c>
      <c r="C2506" s="232" t="str">
        <f>IF(AND(A2506&lt;&gt;"",ISNUMBER(A2506)),VLOOKUP(A2506,Studies!A:BR,3,FALSE),"")</f>
        <v>https://www.ncbi.nlm.nih.gov/pubmed/578447</v>
      </c>
      <c r="D2506" s="232" t="str">
        <f>IF(AND(A2506&lt;&gt;"",ISNUMBER(A2506)),VLOOKUP(A2506,Studies!A:BR,4,FALSE),"")</f>
        <v>Subject 11 (600 mg MD)</v>
      </c>
      <c r="E2506" s="206" t="str">
        <f>IF(AND(A2506&lt;&gt;"",ISNUMBER(A2506)),VLOOKUP(A2506,Studies!A:BR,5,FALSE),"")</f>
        <v>Rifampicin</v>
      </c>
      <c r="F2506" s="207" t="str">
        <f>IF(AND(A2506&lt;&gt;"",ISNUMBER(A2506)),VLOOKUP(A2506,Studies!A:BR,6,FALSE),"")</f>
        <v>Serum</v>
      </c>
      <c r="G2506" s="194">
        <v>144.5</v>
      </c>
      <c r="H2506" s="194" t="s">
        <v>60</v>
      </c>
      <c r="I2506" s="187">
        <v>1.56</v>
      </c>
      <c r="J2506" s="187" t="s">
        <v>1054</v>
      </c>
      <c r="K2506" s="187" t="s">
        <v>264</v>
      </c>
      <c r="L2506" s="195"/>
      <c r="M2506" s="195"/>
      <c r="N2506" s="195"/>
      <c r="O2506" s="199"/>
      <c r="P2506" s="188"/>
      <c r="Q2506" s="174">
        <f>IF(ISNUMBER(VLOOKUP(A2506,NotghiID!A:A,1,FALSE)),1,0)</f>
        <v>0</v>
      </c>
    </row>
    <row r="2507" spans="1:17" ht="14.25" x14ac:dyDescent="0.2">
      <c r="A2507" s="183">
        <f t="shared" si="6"/>
        <v>19</v>
      </c>
      <c r="B2507" s="232" t="str">
        <f>IF(AND(A2507&lt;&gt;"",ISNUMBER(A2507)),VLOOKUP(A2507,Studies!A:BR,2,FALSE),"")</f>
        <v>Acocella 1977</v>
      </c>
      <c r="C2507" s="232" t="str">
        <f>IF(AND(A2507&lt;&gt;"",ISNUMBER(A2507)),VLOOKUP(A2507,Studies!A:BR,3,FALSE),"")</f>
        <v>https://www.ncbi.nlm.nih.gov/pubmed/578447</v>
      </c>
      <c r="D2507" s="232" t="str">
        <f>IF(AND(A2507&lt;&gt;"",ISNUMBER(A2507)),VLOOKUP(A2507,Studies!A:BR,4,FALSE),"")</f>
        <v>Subject 11 (600 mg MD)</v>
      </c>
      <c r="E2507" s="206" t="str">
        <f>IF(AND(A2507&lt;&gt;"",ISNUMBER(A2507)),VLOOKUP(A2507,Studies!A:BR,5,FALSE),"")</f>
        <v>Rifampicin</v>
      </c>
      <c r="F2507" s="207" t="str">
        <f>IF(AND(A2507&lt;&gt;"",ISNUMBER(A2507)),VLOOKUP(A2507,Studies!A:BR,6,FALSE),"")</f>
        <v>Serum</v>
      </c>
      <c r="G2507" s="194">
        <v>145</v>
      </c>
      <c r="H2507" s="194" t="s">
        <v>60</v>
      </c>
      <c r="I2507" s="187">
        <v>3.44</v>
      </c>
      <c r="J2507" s="187" t="s">
        <v>1054</v>
      </c>
      <c r="K2507" s="187" t="s">
        <v>264</v>
      </c>
      <c r="L2507" s="195"/>
      <c r="M2507" s="195"/>
      <c r="N2507" s="195"/>
      <c r="O2507" s="199"/>
      <c r="P2507" s="188"/>
      <c r="Q2507" s="174">
        <f>IF(ISNUMBER(VLOOKUP(A2507,NotghiID!A:A,1,FALSE)),1,0)</f>
        <v>0</v>
      </c>
    </row>
    <row r="2508" spans="1:17" ht="14.25" x14ac:dyDescent="0.2">
      <c r="A2508" s="183">
        <f t="shared" si="6"/>
        <v>19</v>
      </c>
      <c r="B2508" s="232" t="str">
        <f>IF(AND(A2508&lt;&gt;"",ISNUMBER(A2508)),VLOOKUP(A2508,Studies!A:BR,2,FALSE),"")</f>
        <v>Acocella 1977</v>
      </c>
      <c r="C2508" s="232" t="str">
        <f>IF(AND(A2508&lt;&gt;"",ISNUMBER(A2508)),VLOOKUP(A2508,Studies!A:BR,3,FALSE),"")</f>
        <v>https://www.ncbi.nlm.nih.gov/pubmed/578447</v>
      </c>
      <c r="D2508" s="232" t="str">
        <f>IF(AND(A2508&lt;&gt;"",ISNUMBER(A2508)),VLOOKUP(A2508,Studies!A:BR,4,FALSE),"")</f>
        <v>Subject 11 (600 mg MD)</v>
      </c>
      <c r="E2508" s="206" t="str">
        <f>IF(AND(A2508&lt;&gt;"",ISNUMBER(A2508)),VLOOKUP(A2508,Studies!A:BR,5,FALSE),"")</f>
        <v>Rifampicin</v>
      </c>
      <c r="F2508" s="207" t="str">
        <f>IF(AND(A2508&lt;&gt;"",ISNUMBER(A2508)),VLOOKUP(A2508,Studies!A:BR,6,FALSE),"")</f>
        <v>Serum</v>
      </c>
      <c r="G2508" s="194">
        <v>146</v>
      </c>
      <c r="H2508" s="194" t="s">
        <v>60</v>
      </c>
      <c r="I2508" s="187">
        <v>6.09</v>
      </c>
      <c r="J2508" s="187" t="s">
        <v>1054</v>
      </c>
      <c r="K2508" s="187" t="s">
        <v>264</v>
      </c>
      <c r="L2508" s="195"/>
      <c r="M2508" s="195"/>
      <c r="N2508" s="195"/>
      <c r="O2508" s="199"/>
      <c r="P2508" s="188"/>
      <c r="Q2508" s="174">
        <f>IF(ISNUMBER(VLOOKUP(A2508,NotghiID!A:A,1,FALSE)),1,0)</f>
        <v>0</v>
      </c>
    </row>
    <row r="2509" spans="1:17" ht="14.25" x14ac:dyDescent="0.2">
      <c r="A2509" s="183">
        <f t="shared" si="6"/>
        <v>19</v>
      </c>
      <c r="B2509" s="232" t="str">
        <f>IF(AND(A2509&lt;&gt;"",ISNUMBER(A2509)),VLOOKUP(A2509,Studies!A:BR,2,FALSE),"")</f>
        <v>Acocella 1977</v>
      </c>
      <c r="C2509" s="232" t="str">
        <f>IF(AND(A2509&lt;&gt;"",ISNUMBER(A2509)),VLOOKUP(A2509,Studies!A:BR,3,FALSE),"")</f>
        <v>https://www.ncbi.nlm.nih.gov/pubmed/578447</v>
      </c>
      <c r="D2509" s="232" t="str">
        <f>IF(AND(A2509&lt;&gt;"",ISNUMBER(A2509)),VLOOKUP(A2509,Studies!A:BR,4,FALSE),"")</f>
        <v>Subject 11 (600 mg MD)</v>
      </c>
      <c r="E2509" s="206" t="str">
        <f>IF(AND(A2509&lt;&gt;"",ISNUMBER(A2509)),VLOOKUP(A2509,Studies!A:BR,5,FALSE),"")</f>
        <v>Rifampicin</v>
      </c>
      <c r="F2509" s="207" t="str">
        <f>IF(AND(A2509&lt;&gt;"",ISNUMBER(A2509)),VLOOKUP(A2509,Studies!A:BR,6,FALSE),"")</f>
        <v>Serum</v>
      </c>
      <c r="G2509" s="194">
        <v>148</v>
      </c>
      <c r="H2509" s="194" t="s">
        <v>60</v>
      </c>
      <c r="I2509" s="187"/>
      <c r="J2509" s="187"/>
      <c r="K2509" s="187"/>
      <c r="L2509" s="195"/>
      <c r="M2509" s="195"/>
      <c r="N2509" s="195"/>
      <c r="O2509" s="199"/>
      <c r="P2509" s="188"/>
      <c r="Q2509" s="174">
        <f>IF(ISNUMBER(VLOOKUP(A2509,NotghiID!A:A,1,FALSE)),1,0)</f>
        <v>0</v>
      </c>
    </row>
    <row r="2510" spans="1:17" ht="14.25" x14ac:dyDescent="0.2">
      <c r="A2510" s="183">
        <f t="shared" si="6"/>
        <v>19</v>
      </c>
      <c r="B2510" s="232" t="str">
        <f>IF(AND(A2510&lt;&gt;"",ISNUMBER(A2510)),VLOOKUP(A2510,Studies!A:BR,2,FALSE),"")</f>
        <v>Acocella 1977</v>
      </c>
      <c r="C2510" s="232" t="str">
        <f>IF(AND(A2510&lt;&gt;"",ISNUMBER(A2510)),VLOOKUP(A2510,Studies!A:BR,3,FALSE),"")</f>
        <v>https://www.ncbi.nlm.nih.gov/pubmed/578447</v>
      </c>
      <c r="D2510" s="232" t="str">
        <f>IF(AND(A2510&lt;&gt;"",ISNUMBER(A2510)),VLOOKUP(A2510,Studies!A:BR,4,FALSE),"")</f>
        <v>Subject 11 (600 mg MD)</v>
      </c>
      <c r="E2510" s="206" t="str">
        <f>IF(AND(A2510&lt;&gt;"",ISNUMBER(A2510)),VLOOKUP(A2510,Studies!A:BR,5,FALSE),"")</f>
        <v>Rifampicin</v>
      </c>
      <c r="F2510" s="207" t="str">
        <f>IF(AND(A2510&lt;&gt;"",ISNUMBER(A2510)),VLOOKUP(A2510,Studies!A:BR,6,FALSE),"")</f>
        <v>Serum</v>
      </c>
      <c r="G2510" s="194">
        <v>152</v>
      </c>
      <c r="H2510" s="194" t="s">
        <v>60</v>
      </c>
      <c r="I2510" s="187">
        <v>0.53</v>
      </c>
      <c r="J2510" s="187" t="s">
        <v>1054</v>
      </c>
      <c r="K2510" s="187" t="s">
        <v>264</v>
      </c>
      <c r="L2510" s="195"/>
      <c r="M2510" s="195"/>
      <c r="N2510" s="195"/>
      <c r="O2510" s="199"/>
      <c r="P2510" s="188"/>
      <c r="Q2510" s="174">
        <f>IF(ISNUMBER(VLOOKUP(A2510,NotghiID!A:A,1,FALSE)),1,0)</f>
        <v>0</v>
      </c>
    </row>
    <row r="2511" spans="1:17" ht="14.25" x14ac:dyDescent="0.2">
      <c r="A2511" s="183">
        <f t="shared" si="6"/>
        <v>20</v>
      </c>
      <c r="B2511" s="232" t="str">
        <f>IF(AND(A2511&lt;&gt;"",ISNUMBER(A2511)),VLOOKUP(A2511,Studies!A:BR,2,FALSE),"")</f>
        <v>Acocella 1977</v>
      </c>
      <c r="C2511" s="232" t="str">
        <f>IF(AND(A2511&lt;&gt;"",ISNUMBER(A2511)),VLOOKUP(A2511,Studies!A:BR,3,FALSE),"")</f>
        <v>https://www.ncbi.nlm.nih.gov/pubmed/578447</v>
      </c>
      <c r="D2511" s="232" t="str">
        <f>IF(AND(A2511&lt;&gt;"",ISNUMBER(A2511)),VLOOKUP(A2511,Studies!A:BR,4,FALSE),"")</f>
        <v>Subject 12 (600 mg MD)</v>
      </c>
      <c r="E2511" s="206" t="str">
        <f>IF(AND(A2511&lt;&gt;"",ISNUMBER(A2511)),VLOOKUP(A2511,Studies!A:BR,5,FALSE),"")</f>
        <v>Rifampicin</v>
      </c>
      <c r="F2511" s="207" t="str">
        <f>IF(AND(A2511&lt;&gt;"",ISNUMBER(A2511)),VLOOKUP(A2511,Studies!A:BR,6,FALSE),"")</f>
        <v>Serum</v>
      </c>
      <c r="G2511" s="194">
        <v>0</v>
      </c>
      <c r="H2511" s="194" t="s">
        <v>60</v>
      </c>
      <c r="I2511" s="187">
        <v>0</v>
      </c>
      <c r="J2511" s="187" t="s">
        <v>1054</v>
      </c>
      <c r="K2511" s="187" t="s">
        <v>264</v>
      </c>
      <c r="L2511" s="195"/>
      <c r="M2511" s="195"/>
      <c r="N2511" s="195"/>
      <c r="O2511" s="199"/>
      <c r="P2511" s="188"/>
      <c r="Q2511" s="174">
        <f>IF(ISNUMBER(VLOOKUP(A2511,NotghiID!A:A,1,FALSE)),1,0)</f>
        <v>0</v>
      </c>
    </row>
    <row r="2512" spans="1:17" ht="14.25" x14ac:dyDescent="0.2">
      <c r="A2512" s="183">
        <f t="shared" si="6"/>
        <v>20</v>
      </c>
      <c r="B2512" s="232" t="str">
        <f>IF(AND(A2512&lt;&gt;"",ISNUMBER(A2512)),VLOOKUP(A2512,Studies!A:BR,2,FALSE),"")</f>
        <v>Acocella 1977</v>
      </c>
      <c r="C2512" s="232" t="str">
        <f>IF(AND(A2512&lt;&gt;"",ISNUMBER(A2512)),VLOOKUP(A2512,Studies!A:BR,3,FALSE),"")</f>
        <v>https://www.ncbi.nlm.nih.gov/pubmed/578447</v>
      </c>
      <c r="D2512" s="232" t="str">
        <f>IF(AND(A2512&lt;&gt;"",ISNUMBER(A2512)),VLOOKUP(A2512,Studies!A:BR,4,FALSE),"")</f>
        <v>Subject 12 (600 mg MD)</v>
      </c>
      <c r="E2512" s="206" t="str">
        <f>IF(AND(A2512&lt;&gt;"",ISNUMBER(A2512)),VLOOKUP(A2512,Studies!A:BR,5,FALSE),"")</f>
        <v>Rifampicin</v>
      </c>
      <c r="F2512" s="207" t="str">
        <f>IF(AND(A2512&lt;&gt;"",ISNUMBER(A2512)),VLOOKUP(A2512,Studies!A:BR,6,FALSE),"")</f>
        <v>Serum</v>
      </c>
      <c r="G2512" s="194">
        <v>0.5</v>
      </c>
      <c r="H2512" s="194" t="s">
        <v>60</v>
      </c>
      <c r="I2512" s="187">
        <v>2.39</v>
      </c>
      <c r="J2512" s="187" t="s">
        <v>1054</v>
      </c>
      <c r="K2512" s="187" t="s">
        <v>264</v>
      </c>
      <c r="L2512" s="195"/>
      <c r="M2512" s="195"/>
      <c r="N2512" s="195"/>
      <c r="O2512" s="199"/>
      <c r="P2512" s="188"/>
      <c r="Q2512" s="174">
        <f>IF(ISNUMBER(VLOOKUP(A2512,NotghiID!A:A,1,FALSE)),1,0)</f>
        <v>0</v>
      </c>
    </row>
    <row r="2513" spans="1:17" ht="14.25" x14ac:dyDescent="0.2">
      <c r="A2513" s="183">
        <f t="shared" si="6"/>
        <v>20</v>
      </c>
      <c r="B2513" s="232" t="str">
        <f>IF(AND(A2513&lt;&gt;"",ISNUMBER(A2513)),VLOOKUP(A2513,Studies!A:BR,2,FALSE),"")</f>
        <v>Acocella 1977</v>
      </c>
      <c r="C2513" s="232" t="str">
        <f>IF(AND(A2513&lt;&gt;"",ISNUMBER(A2513)),VLOOKUP(A2513,Studies!A:BR,3,FALSE),"")</f>
        <v>https://www.ncbi.nlm.nih.gov/pubmed/578447</v>
      </c>
      <c r="D2513" s="232" t="str">
        <f>IF(AND(A2513&lt;&gt;"",ISNUMBER(A2513)),VLOOKUP(A2513,Studies!A:BR,4,FALSE),"")</f>
        <v>Subject 12 (600 mg MD)</v>
      </c>
      <c r="E2513" s="206" t="str">
        <f>IF(AND(A2513&lt;&gt;"",ISNUMBER(A2513)),VLOOKUP(A2513,Studies!A:BR,5,FALSE),"")</f>
        <v>Rifampicin</v>
      </c>
      <c r="F2513" s="207" t="str">
        <f>IF(AND(A2513&lt;&gt;"",ISNUMBER(A2513)),VLOOKUP(A2513,Studies!A:BR,6,FALSE),"")</f>
        <v>Serum</v>
      </c>
      <c r="G2513" s="194">
        <v>1</v>
      </c>
      <c r="H2513" s="194" t="s">
        <v>60</v>
      </c>
      <c r="I2513" s="187">
        <v>6.19</v>
      </c>
      <c r="J2513" s="187" t="s">
        <v>1054</v>
      </c>
      <c r="K2513" s="187" t="s">
        <v>264</v>
      </c>
      <c r="L2513" s="195"/>
      <c r="M2513" s="195"/>
      <c r="N2513" s="195"/>
      <c r="O2513" s="199"/>
      <c r="P2513" s="188"/>
      <c r="Q2513" s="174">
        <f>IF(ISNUMBER(VLOOKUP(A2513,NotghiID!A:A,1,FALSE)),1,0)</f>
        <v>0</v>
      </c>
    </row>
    <row r="2514" spans="1:17" ht="14.25" x14ac:dyDescent="0.2">
      <c r="A2514" s="183">
        <f t="shared" si="6"/>
        <v>20</v>
      </c>
      <c r="B2514" s="232" t="str">
        <f>IF(AND(A2514&lt;&gt;"",ISNUMBER(A2514)),VLOOKUP(A2514,Studies!A:BR,2,FALSE),"")</f>
        <v>Acocella 1977</v>
      </c>
      <c r="C2514" s="232" t="str">
        <f>IF(AND(A2514&lt;&gt;"",ISNUMBER(A2514)),VLOOKUP(A2514,Studies!A:BR,3,FALSE),"")</f>
        <v>https://www.ncbi.nlm.nih.gov/pubmed/578447</v>
      </c>
      <c r="D2514" s="232" t="str">
        <f>IF(AND(A2514&lt;&gt;"",ISNUMBER(A2514)),VLOOKUP(A2514,Studies!A:BR,4,FALSE),"")</f>
        <v>Subject 12 (600 mg MD)</v>
      </c>
      <c r="E2514" s="206" t="str">
        <f>IF(AND(A2514&lt;&gt;"",ISNUMBER(A2514)),VLOOKUP(A2514,Studies!A:BR,5,FALSE),"")</f>
        <v>Rifampicin</v>
      </c>
      <c r="F2514" s="207" t="str">
        <f>IF(AND(A2514&lt;&gt;"",ISNUMBER(A2514)),VLOOKUP(A2514,Studies!A:BR,6,FALSE),"")</f>
        <v>Serum</v>
      </c>
      <c r="G2514" s="194">
        <v>2</v>
      </c>
      <c r="H2514" s="194" t="s">
        <v>60</v>
      </c>
      <c r="I2514" s="187">
        <v>9.76</v>
      </c>
      <c r="J2514" s="187" t="s">
        <v>1054</v>
      </c>
      <c r="K2514" s="187" t="s">
        <v>264</v>
      </c>
      <c r="L2514" s="195"/>
      <c r="M2514" s="195"/>
      <c r="N2514" s="195"/>
      <c r="O2514" s="199"/>
      <c r="P2514" s="188"/>
      <c r="Q2514" s="174">
        <f>IF(ISNUMBER(VLOOKUP(A2514,NotghiID!A:A,1,FALSE)),1,0)</f>
        <v>0</v>
      </c>
    </row>
    <row r="2515" spans="1:17" ht="14.25" x14ac:dyDescent="0.2">
      <c r="A2515" s="183">
        <f t="shared" si="6"/>
        <v>20</v>
      </c>
      <c r="B2515" s="232" t="str">
        <f>IF(AND(A2515&lt;&gt;"",ISNUMBER(A2515)),VLOOKUP(A2515,Studies!A:BR,2,FALSE),"")</f>
        <v>Acocella 1977</v>
      </c>
      <c r="C2515" s="232" t="str">
        <f>IF(AND(A2515&lt;&gt;"",ISNUMBER(A2515)),VLOOKUP(A2515,Studies!A:BR,3,FALSE),"")</f>
        <v>https://www.ncbi.nlm.nih.gov/pubmed/578447</v>
      </c>
      <c r="D2515" s="232" t="str">
        <f>IF(AND(A2515&lt;&gt;"",ISNUMBER(A2515)),VLOOKUP(A2515,Studies!A:BR,4,FALSE),"")</f>
        <v>Subject 12 (600 mg MD)</v>
      </c>
      <c r="E2515" s="206" t="str">
        <f>IF(AND(A2515&lt;&gt;"",ISNUMBER(A2515)),VLOOKUP(A2515,Studies!A:BR,5,FALSE),"")</f>
        <v>Rifampicin</v>
      </c>
      <c r="F2515" s="207" t="str">
        <f>IF(AND(A2515&lt;&gt;"",ISNUMBER(A2515)),VLOOKUP(A2515,Studies!A:BR,6,FALSE),"")</f>
        <v>Serum</v>
      </c>
      <c r="G2515" s="194">
        <v>4</v>
      </c>
      <c r="H2515" s="194" t="s">
        <v>60</v>
      </c>
      <c r="I2515" s="187">
        <v>13.16</v>
      </c>
      <c r="J2515" s="187" t="s">
        <v>1054</v>
      </c>
      <c r="K2515" s="187" t="s">
        <v>264</v>
      </c>
      <c r="L2515" s="195"/>
      <c r="M2515" s="195"/>
      <c r="N2515" s="195"/>
      <c r="O2515" s="199"/>
      <c r="P2515" s="188"/>
      <c r="Q2515" s="174">
        <f>IF(ISNUMBER(VLOOKUP(A2515,NotghiID!A:A,1,FALSE)),1,0)</f>
        <v>0</v>
      </c>
    </row>
    <row r="2516" spans="1:17" ht="14.25" x14ac:dyDescent="0.2">
      <c r="A2516" s="183">
        <f t="shared" si="6"/>
        <v>20</v>
      </c>
      <c r="B2516" s="232" t="str">
        <f>IF(AND(A2516&lt;&gt;"",ISNUMBER(A2516)),VLOOKUP(A2516,Studies!A:BR,2,FALSE),"")</f>
        <v>Acocella 1977</v>
      </c>
      <c r="C2516" s="232" t="str">
        <f>IF(AND(A2516&lt;&gt;"",ISNUMBER(A2516)),VLOOKUP(A2516,Studies!A:BR,3,FALSE),"")</f>
        <v>https://www.ncbi.nlm.nih.gov/pubmed/578447</v>
      </c>
      <c r="D2516" s="232" t="str">
        <f>IF(AND(A2516&lt;&gt;"",ISNUMBER(A2516)),VLOOKUP(A2516,Studies!A:BR,4,FALSE),"")</f>
        <v>Subject 12 (600 mg MD)</v>
      </c>
      <c r="E2516" s="206" t="str">
        <f>IF(AND(A2516&lt;&gt;"",ISNUMBER(A2516)),VLOOKUP(A2516,Studies!A:BR,5,FALSE),"")</f>
        <v>Rifampicin</v>
      </c>
      <c r="F2516" s="207" t="str">
        <f>IF(AND(A2516&lt;&gt;"",ISNUMBER(A2516)),VLOOKUP(A2516,Studies!A:BR,6,FALSE),"")</f>
        <v>Serum</v>
      </c>
      <c r="G2516" s="194">
        <v>8</v>
      </c>
      <c r="H2516" s="194" t="s">
        <v>60</v>
      </c>
      <c r="I2516" s="187">
        <v>5.92</v>
      </c>
      <c r="J2516" s="187" t="s">
        <v>1054</v>
      </c>
      <c r="K2516" s="187" t="s">
        <v>264</v>
      </c>
      <c r="L2516" s="195"/>
      <c r="M2516" s="195"/>
      <c r="N2516" s="195"/>
      <c r="O2516" s="199"/>
      <c r="P2516" s="188"/>
      <c r="Q2516" s="174">
        <f>IF(ISNUMBER(VLOOKUP(A2516,NotghiID!A:A,1,FALSE)),1,0)</f>
        <v>0</v>
      </c>
    </row>
    <row r="2517" spans="1:17" ht="14.25" x14ac:dyDescent="0.2">
      <c r="A2517" s="183">
        <f t="shared" si="6"/>
        <v>20</v>
      </c>
      <c r="B2517" s="232" t="str">
        <f>IF(AND(A2517&lt;&gt;"",ISNUMBER(A2517)),VLOOKUP(A2517,Studies!A:BR,2,FALSE),"")</f>
        <v>Acocella 1977</v>
      </c>
      <c r="C2517" s="232" t="str">
        <f>IF(AND(A2517&lt;&gt;"",ISNUMBER(A2517)),VLOOKUP(A2517,Studies!A:BR,3,FALSE),"")</f>
        <v>https://www.ncbi.nlm.nih.gov/pubmed/578447</v>
      </c>
      <c r="D2517" s="232" t="str">
        <f>IF(AND(A2517&lt;&gt;"",ISNUMBER(A2517)),VLOOKUP(A2517,Studies!A:BR,4,FALSE),"")</f>
        <v>Subject 12 (600 mg MD)</v>
      </c>
      <c r="E2517" s="206" t="str">
        <f>IF(AND(A2517&lt;&gt;"",ISNUMBER(A2517)),VLOOKUP(A2517,Studies!A:BR,5,FALSE),"")</f>
        <v>Rifampicin</v>
      </c>
      <c r="F2517" s="207" t="str">
        <f>IF(AND(A2517&lt;&gt;"",ISNUMBER(A2517)),VLOOKUP(A2517,Studies!A:BR,6,FALSE),"")</f>
        <v>Serum</v>
      </c>
      <c r="G2517" s="194">
        <v>72</v>
      </c>
      <c r="H2517" s="194" t="s">
        <v>60</v>
      </c>
      <c r="I2517" s="187">
        <v>0</v>
      </c>
      <c r="J2517" s="187" t="s">
        <v>1054</v>
      </c>
      <c r="K2517" s="187" t="s">
        <v>264</v>
      </c>
      <c r="L2517" s="195"/>
      <c r="M2517" s="195"/>
      <c r="N2517" s="195"/>
      <c r="O2517" s="199"/>
      <c r="P2517" s="188"/>
      <c r="Q2517" s="174">
        <f>IF(ISNUMBER(VLOOKUP(A2517,NotghiID!A:A,1,FALSE)),1,0)</f>
        <v>0</v>
      </c>
    </row>
    <row r="2518" spans="1:17" ht="14.25" x14ac:dyDescent="0.2">
      <c r="A2518" s="183">
        <f t="shared" si="6"/>
        <v>20</v>
      </c>
      <c r="B2518" s="232" t="str">
        <f>IF(AND(A2518&lt;&gt;"",ISNUMBER(A2518)),VLOOKUP(A2518,Studies!A:BR,2,FALSE),"")</f>
        <v>Acocella 1977</v>
      </c>
      <c r="C2518" s="232" t="str">
        <f>IF(AND(A2518&lt;&gt;"",ISNUMBER(A2518)),VLOOKUP(A2518,Studies!A:BR,3,FALSE),"")</f>
        <v>https://www.ncbi.nlm.nih.gov/pubmed/578447</v>
      </c>
      <c r="D2518" s="232" t="str">
        <f>IF(AND(A2518&lt;&gt;"",ISNUMBER(A2518)),VLOOKUP(A2518,Studies!A:BR,4,FALSE),"")</f>
        <v>Subject 12 (600 mg MD)</v>
      </c>
      <c r="E2518" s="206" t="str">
        <f>IF(AND(A2518&lt;&gt;"",ISNUMBER(A2518)),VLOOKUP(A2518,Studies!A:BR,5,FALSE),"")</f>
        <v>Rifampicin</v>
      </c>
      <c r="F2518" s="207" t="str">
        <f>IF(AND(A2518&lt;&gt;"",ISNUMBER(A2518)),VLOOKUP(A2518,Studies!A:BR,6,FALSE),"")</f>
        <v>Serum</v>
      </c>
      <c r="G2518" s="194">
        <v>72.5</v>
      </c>
      <c r="H2518" s="194" t="s">
        <v>60</v>
      </c>
      <c r="I2518" s="187">
        <v>1.41</v>
      </c>
      <c r="J2518" s="187" t="s">
        <v>1054</v>
      </c>
      <c r="K2518" s="187" t="s">
        <v>264</v>
      </c>
      <c r="L2518" s="195"/>
      <c r="M2518" s="195"/>
      <c r="N2518" s="195"/>
      <c r="O2518" s="199"/>
      <c r="P2518" s="188"/>
      <c r="Q2518" s="174">
        <f>IF(ISNUMBER(VLOOKUP(A2518,NotghiID!A:A,1,FALSE)),1,0)</f>
        <v>0</v>
      </c>
    </row>
    <row r="2519" spans="1:17" ht="14.25" x14ac:dyDescent="0.2">
      <c r="A2519" s="183">
        <f t="shared" si="6"/>
        <v>20</v>
      </c>
      <c r="B2519" s="232" t="str">
        <f>IF(AND(A2519&lt;&gt;"",ISNUMBER(A2519)),VLOOKUP(A2519,Studies!A:BR,2,FALSE),"")</f>
        <v>Acocella 1977</v>
      </c>
      <c r="C2519" s="232" t="str">
        <f>IF(AND(A2519&lt;&gt;"",ISNUMBER(A2519)),VLOOKUP(A2519,Studies!A:BR,3,FALSE),"")</f>
        <v>https://www.ncbi.nlm.nih.gov/pubmed/578447</v>
      </c>
      <c r="D2519" s="232" t="str">
        <f>IF(AND(A2519&lt;&gt;"",ISNUMBER(A2519)),VLOOKUP(A2519,Studies!A:BR,4,FALSE),"")</f>
        <v>Subject 12 (600 mg MD)</v>
      </c>
      <c r="E2519" s="206" t="str">
        <f>IF(AND(A2519&lt;&gt;"",ISNUMBER(A2519)),VLOOKUP(A2519,Studies!A:BR,5,FALSE),"")</f>
        <v>Rifampicin</v>
      </c>
      <c r="F2519" s="207" t="str">
        <f>IF(AND(A2519&lt;&gt;"",ISNUMBER(A2519)),VLOOKUP(A2519,Studies!A:BR,6,FALSE),"")</f>
        <v>Serum</v>
      </c>
      <c r="G2519" s="194">
        <v>73</v>
      </c>
      <c r="H2519" s="194" t="s">
        <v>60</v>
      </c>
      <c r="I2519" s="187">
        <v>2.2599999999999998</v>
      </c>
      <c r="J2519" s="187" t="s">
        <v>1054</v>
      </c>
      <c r="K2519" s="187" t="s">
        <v>264</v>
      </c>
      <c r="L2519" s="195"/>
      <c r="M2519" s="195"/>
      <c r="N2519" s="195"/>
      <c r="O2519" s="199"/>
      <c r="P2519" s="188"/>
      <c r="Q2519" s="174">
        <f>IF(ISNUMBER(VLOOKUP(A2519,NotghiID!A:A,1,FALSE)),1,0)</f>
        <v>0</v>
      </c>
    </row>
    <row r="2520" spans="1:17" ht="14.25" x14ac:dyDescent="0.2">
      <c r="A2520" s="183">
        <f t="shared" si="6"/>
        <v>20</v>
      </c>
      <c r="B2520" s="232" t="str">
        <f>IF(AND(A2520&lt;&gt;"",ISNUMBER(A2520)),VLOOKUP(A2520,Studies!A:BR,2,FALSE),"")</f>
        <v>Acocella 1977</v>
      </c>
      <c r="C2520" s="232" t="str">
        <f>IF(AND(A2520&lt;&gt;"",ISNUMBER(A2520)),VLOOKUP(A2520,Studies!A:BR,3,FALSE),"")</f>
        <v>https://www.ncbi.nlm.nih.gov/pubmed/578447</v>
      </c>
      <c r="D2520" s="232" t="str">
        <f>IF(AND(A2520&lt;&gt;"",ISNUMBER(A2520)),VLOOKUP(A2520,Studies!A:BR,4,FALSE),"")</f>
        <v>Subject 12 (600 mg MD)</v>
      </c>
      <c r="E2520" s="206" t="str">
        <f>IF(AND(A2520&lt;&gt;"",ISNUMBER(A2520)),VLOOKUP(A2520,Studies!A:BR,5,FALSE),"")</f>
        <v>Rifampicin</v>
      </c>
      <c r="F2520" s="207" t="str">
        <f>IF(AND(A2520&lt;&gt;"",ISNUMBER(A2520)),VLOOKUP(A2520,Studies!A:BR,6,FALSE),"")</f>
        <v>Serum</v>
      </c>
      <c r="G2520" s="194">
        <v>74</v>
      </c>
      <c r="H2520" s="194" t="s">
        <v>60</v>
      </c>
      <c r="I2520" s="187">
        <v>5.26</v>
      </c>
      <c r="J2520" s="187" t="s">
        <v>1054</v>
      </c>
      <c r="K2520" s="187" t="s">
        <v>264</v>
      </c>
      <c r="L2520" s="195"/>
      <c r="M2520" s="195"/>
      <c r="N2520" s="195"/>
      <c r="O2520" s="199"/>
      <c r="P2520" s="188"/>
      <c r="Q2520" s="174">
        <f>IF(ISNUMBER(VLOOKUP(A2520,NotghiID!A:A,1,FALSE)),1,0)</f>
        <v>0</v>
      </c>
    </row>
    <row r="2521" spans="1:17" ht="14.25" x14ac:dyDescent="0.2">
      <c r="A2521" s="183">
        <f t="shared" si="6"/>
        <v>20</v>
      </c>
      <c r="B2521" s="232" t="str">
        <f>IF(AND(A2521&lt;&gt;"",ISNUMBER(A2521)),VLOOKUP(A2521,Studies!A:BR,2,FALSE),"")</f>
        <v>Acocella 1977</v>
      </c>
      <c r="C2521" s="232" t="str">
        <f>IF(AND(A2521&lt;&gt;"",ISNUMBER(A2521)),VLOOKUP(A2521,Studies!A:BR,3,FALSE),"")</f>
        <v>https://www.ncbi.nlm.nih.gov/pubmed/578447</v>
      </c>
      <c r="D2521" s="232" t="str">
        <f>IF(AND(A2521&lt;&gt;"",ISNUMBER(A2521)),VLOOKUP(A2521,Studies!A:BR,4,FALSE),"")</f>
        <v>Subject 12 (600 mg MD)</v>
      </c>
      <c r="E2521" s="206" t="str">
        <f>IF(AND(A2521&lt;&gt;"",ISNUMBER(A2521)),VLOOKUP(A2521,Studies!A:BR,5,FALSE),"")</f>
        <v>Rifampicin</v>
      </c>
      <c r="F2521" s="207" t="str">
        <f>IF(AND(A2521&lt;&gt;"",ISNUMBER(A2521)),VLOOKUP(A2521,Studies!A:BR,6,FALSE),"")</f>
        <v>Serum</v>
      </c>
      <c r="G2521" s="194">
        <v>76</v>
      </c>
      <c r="H2521" s="194" t="s">
        <v>60</v>
      </c>
      <c r="I2521" s="187">
        <v>4.38</v>
      </c>
      <c r="J2521" s="187" t="s">
        <v>1054</v>
      </c>
      <c r="K2521" s="187" t="s">
        <v>264</v>
      </c>
      <c r="L2521" s="195"/>
      <c r="M2521" s="195"/>
      <c r="N2521" s="195"/>
      <c r="O2521" s="199"/>
      <c r="P2521" s="188"/>
      <c r="Q2521" s="174">
        <f>IF(ISNUMBER(VLOOKUP(A2521,NotghiID!A:A,1,FALSE)),1,0)</f>
        <v>0</v>
      </c>
    </row>
    <row r="2522" spans="1:17" ht="14.25" x14ac:dyDescent="0.2">
      <c r="A2522" s="183">
        <f t="shared" si="6"/>
        <v>20</v>
      </c>
      <c r="B2522" s="232" t="str">
        <f>IF(AND(A2522&lt;&gt;"",ISNUMBER(A2522)),VLOOKUP(A2522,Studies!A:BR,2,FALSE),"")</f>
        <v>Acocella 1977</v>
      </c>
      <c r="C2522" s="232" t="str">
        <f>IF(AND(A2522&lt;&gt;"",ISNUMBER(A2522)),VLOOKUP(A2522,Studies!A:BR,3,FALSE),"")</f>
        <v>https://www.ncbi.nlm.nih.gov/pubmed/578447</v>
      </c>
      <c r="D2522" s="232" t="str">
        <f>IF(AND(A2522&lt;&gt;"",ISNUMBER(A2522)),VLOOKUP(A2522,Studies!A:BR,4,FALSE),"")</f>
        <v>Subject 12 (600 mg MD)</v>
      </c>
      <c r="E2522" s="206" t="str">
        <f>IF(AND(A2522&lt;&gt;"",ISNUMBER(A2522)),VLOOKUP(A2522,Studies!A:BR,5,FALSE),"")</f>
        <v>Rifampicin</v>
      </c>
      <c r="F2522" s="207" t="str">
        <f>IF(AND(A2522&lt;&gt;"",ISNUMBER(A2522)),VLOOKUP(A2522,Studies!A:BR,6,FALSE),"")</f>
        <v>Serum</v>
      </c>
      <c r="G2522" s="194">
        <v>80</v>
      </c>
      <c r="H2522" s="194" t="s">
        <v>60</v>
      </c>
      <c r="I2522" s="187">
        <v>1.3</v>
      </c>
      <c r="J2522" s="187" t="s">
        <v>1054</v>
      </c>
      <c r="K2522" s="187" t="s">
        <v>264</v>
      </c>
      <c r="L2522" s="195"/>
      <c r="M2522" s="195"/>
      <c r="N2522" s="195"/>
      <c r="O2522" s="199"/>
      <c r="P2522" s="188"/>
      <c r="Q2522" s="174">
        <f>IF(ISNUMBER(VLOOKUP(A2522,NotghiID!A:A,1,FALSE)),1,0)</f>
        <v>0</v>
      </c>
    </row>
    <row r="2523" spans="1:17" ht="14.25" x14ac:dyDescent="0.2">
      <c r="A2523" s="183">
        <f t="shared" si="6"/>
        <v>20</v>
      </c>
      <c r="B2523" s="232" t="str">
        <f>IF(AND(A2523&lt;&gt;"",ISNUMBER(A2523)),VLOOKUP(A2523,Studies!A:BR,2,FALSE),"")</f>
        <v>Acocella 1977</v>
      </c>
      <c r="C2523" s="232" t="str">
        <f>IF(AND(A2523&lt;&gt;"",ISNUMBER(A2523)),VLOOKUP(A2523,Studies!A:BR,3,FALSE),"")</f>
        <v>https://www.ncbi.nlm.nih.gov/pubmed/578447</v>
      </c>
      <c r="D2523" s="232" t="str">
        <f>IF(AND(A2523&lt;&gt;"",ISNUMBER(A2523)),VLOOKUP(A2523,Studies!A:BR,4,FALSE),"")</f>
        <v>Subject 12 (600 mg MD)</v>
      </c>
      <c r="E2523" s="206" t="str">
        <f>IF(AND(A2523&lt;&gt;"",ISNUMBER(A2523)),VLOOKUP(A2523,Studies!A:BR,5,FALSE),"")</f>
        <v>Rifampicin</v>
      </c>
      <c r="F2523" s="207" t="str">
        <f>IF(AND(A2523&lt;&gt;"",ISNUMBER(A2523)),VLOOKUP(A2523,Studies!A:BR,6,FALSE),"")</f>
        <v>Serum</v>
      </c>
      <c r="G2523" s="194">
        <v>144</v>
      </c>
      <c r="H2523" s="194" t="s">
        <v>60</v>
      </c>
      <c r="I2523" s="187">
        <v>0</v>
      </c>
      <c r="J2523" s="187" t="s">
        <v>1054</v>
      </c>
      <c r="K2523" s="187" t="s">
        <v>264</v>
      </c>
      <c r="L2523" s="195"/>
      <c r="M2523" s="195"/>
      <c r="N2523" s="195"/>
      <c r="O2523" s="199"/>
      <c r="P2523" s="188"/>
      <c r="Q2523" s="174">
        <f>IF(ISNUMBER(VLOOKUP(A2523,NotghiID!A:A,1,FALSE)),1,0)</f>
        <v>0</v>
      </c>
    </row>
    <row r="2524" spans="1:17" ht="14.25" x14ac:dyDescent="0.2">
      <c r="A2524" s="183">
        <f t="shared" si="6"/>
        <v>20</v>
      </c>
      <c r="B2524" s="232" t="str">
        <f>IF(AND(A2524&lt;&gt;"",ISNUMBER(A2524)),VLOOKUP(A2524,Studies!A:BR,2,FALSE),"")</f>
        <v>Acocella 1977</v>
      </c>
      <c r="C2524" s="232" t="str">
        <f>IF(AND(A2524&lt;&gt;"",ISNUMBER(A2524)),VLOOKUP(A2524,Studies!A:BR,3,FALSE),"")</f>
        <v>https://www.ncbi.nlm.nih.gov/pubmed/578447</v>
      </c>
      <c r="D2524" s="232" t="str">
        <f>IF(AND(A2524&lt;&gt;"",ISNUMBER(A2524)),VLOOKUP(A2524,Studies!A:BR,4,FALSE),"")</f>
        <v>Subject 12 (600 mg MD)</v>
      </c>
      <c r="E2524" s="206" t="str">
        <f>IF(AND(A2524&lt;&gt;"",ISNUMBER(A2524)),VLOOKUP(A2524,Studies!A:BR,5,FALSE),"")</f>
        <v>Rifampicin</v>
      </c>
      <c r="F2524" s="207" t="str">
        <f>IF(AND(A2524&lt;&gt;"",ISNUMBER(A2524)),VLOOKUP(A2524,Studies!A:BR,6,FALSE),"")</f>
        <v>Serum</v>
      </c>
      <c r="G2524" s="194">
        <v>144.5</v>
      </c>
      <c r="H2524" s="194" t="s">
        <v>60</v>
      </c>
      <c r="I2524" s="187">
        <v>1.43</v>
      </c>
      <c r="J2524" s="187" t="s">
        <v>1054</v>
      </c>
      <c r="K2524" s="187" t="s">
        <v>264</v>
      </c>
      <c r="L2524" s="195"/>
      <c r="M2524" s="195"/>
      <c r="N2524" s="195"/>
      <c r="O2524" s="199"/>
      <c r="P2524" s="188"/>
      <c r="Q2524" s="174">
        <f>IF(ISNUMBER(VLOOKUP(A2524,NotghiID!A:A,1,FALSE)),1,0)</f>
        <v>0</v>
      </c>
    </row>
    <row r="2525" spans="1:17" ht="14.25" x14ac:dyDescent="0.2">
      <c r="A2525" s="183">
        <f t="shared" si="6"/>
        <v>20</v>
      </c>
      <c r="B2525" s="232" t="str">
        <f>IF(AND(A2525&lt;&gt;"",ISNUMBER(A2525)),VLOOKUP(A2525,Studies!A:BR,2,FALSE),"")</f>
        <v>Acocella 1977</v>
      </c>
      <c r="C2525" s="232" t="str">
        <f>IF(AND(A2525&lt;&gt;"",ISNUMBER(A2525)),VLOOKUP(A2525,Studies!A:BR,3,FALSE),"")</f>
        <v>https://www.ncbi.nlm.nih.gov/pubmed/578447</v>
      </c>
      <c r="D2525" s="232" t="str">
        <f>IF(AND(A2525&lt;&gt;"",ISNUMBER(A2525)),VLOOKUP(A2525,Studies!A:BR,4,FALSE),"")</f>
        <v>Subject 12 (600 mg MD)</v>
      </c>
      <c r="E2525" s="206" t="str">
        <f>IF(AND(A2525&lt;&gt;"",ISNUMBER(A2525)),VLOOKUP(A2525,Studies!A:BR,5,FALSE),"")</f>
        <v>Rifampicin</v>
      </c>
      <c r="F2525" s="207" t="str">
        <f>IF(AND(A2525&lt;&gt;"",ISNUMBER(A2525)),VLOOKUP(A2525,Studies!A:BR,6,FALSE),"")</f>
        <v>Serum</v>
      </c>
      <c r="G2525" s="194">
        <v>145</v>
      </c>
      <c r="H2525" s="194" t="s">
        <v>60</v>
      </c>
      <c r="I2525" s="187">
        <v>10.33</v>
      </c>
      <c r="J2525" s="187" t="s">
        <v>1054</v>
      </c>
      <c r="K2525" s="187" t="s">
        <v>264</v>
      </c>
      <c r="L2525" s="195"/>
      <c r="M2525" s="195"/>
      <c r="N2525" s="195"/>
      <c r="O2525" s="199"/>
      <c r="P2525" s="188"/>
      <c r="Q2525" s="174">
        <f>IF(ISNUMBER(VLOOKUP(A2525,NotghiID!A:A,1,FALSE)),1,0)</f>
        <v>0</v>
      </c>
    </row>
    <row r="2526" spans="1:17" ht="14.25" x14ac:dyDescent="0.2">
      <c r="A2526" s="183">
        <f t="shared" si="6"/>
        <v>20</v>
      </c>
      <c r="B2526" s="232" t="str">
        <f>IF(AND(A2526&lt;&gt;"",ISNUMBER(A2526)),VLOOKUP(A2526,Studies!A:BR,2,FALSE),"")</f>
        <v>Acocella 1977</v>
      </c>
      <c r="C2526" s="232" t="str">
        <f>IF(AND(A2526&lt;&gt;"",ISNUMBER(A2526)),VLOOKUP(A2526,Studies!A:BR,3,FALSE),"")</f>
        <v>https://www.ncbi.nlm.nih.gov/pubmed/578447</v>
      </c>
      <c r="D2526" s="232" t="str">
        <f>IF(AND(A2526&lt;&gt;"",ISNUMBER(A2526)),VLOOKUP(A2526,Studies!A:BR,4,FALSE),"")</f>
        <v>Subject 12 (600 mg MD)</v>
      </c>
      <c r="E2526" s="206" t="str">
        <f>IF(AND(A2526&lt;&gt;"",ISNUMBER(A2526)),VLOOKUP(A2526,Studies!A:BR,5,FALSE),"")</f>
        <v>Rifampicin</v>
      </c>
      <c r="F2526" s="207" t="str">
        <f>IF(AND(A2526&lt;&gt;"",ISNUMBER(A2526)),VLOOKUP(A2526,Studies!A:BR,6,FALSE),"")</f>
        <v>Serum</v>
      </c>
      <c r="G2526" s="194">
        <v>146</v>
      </c>
      <c r="H2526" s="194" t="s">
        <v>60</v>
      </c>
      <c r="I2526" s="187">
        <v>7.47</v>
      </c>
      <c r="J2526" s="187" t="s">
        <v>1054</v>
      </c>
      <c r="K2526" s="187" t="s">
        <v>264</v>
      </c>
      <c r="L2526" s="195"/>
      <c r="M2526" s="195"/>
      <c r="N2526" s="195"/>
      <c r="O2526" s="199"/>
      <c r="P2526" s="188"/>
      <c r="Q2526" s="174">
        <f>IF(ISNUMBER(VLOOKUP(A2526,NotghiID!A:A,1,FALSE)),1,0)</f>
        <v>0</v>
      </c>
    </row>
    <row r="2527" spans="1:17" ht="14.25" x14ac:dyDescent="0.2">
      <c r="A2527" s="183">
        <f t="shared" si="6"/>
        <v>20</v>
      </c>
      <c r="B2527" s="232" t="str">
        <f>IF(AND(A2527&lt;&gt;"",ISNUMBER(A2527)),VLOOKUP(A2527,Studies!A:BR,2,FALSE),"")</f>
        <v>Acocella 1977</v>
      </c>
      <c r="C2527" s="232" t="str">
        <f>IF(AND(A2527&lt;&gt;"",ISNUMBER(A2527)),VLOOKUP(A2527,Studies!A:BR,3,FALSE),"")</f>
        <v>https://www.ncbi.nlm.nih.gov/pubmed/578447</v>
      </c>
      <c r="D2527" s="232" t="str">
        <f>IF(AND(A2527&lt;&gt;"",ISNUMBER(A2527)),VLOOKUP(A2527,Studies!A:BR,4,FALSE),"")</f>
        <v>Subject 12 (600 mg MD)</v>
      </c>
      <c r="E2527" s="206" t="str">
        <f>IF(AND(A2527&lt;&gt;"",ISNUMBER(A2527)),VLOOKUP(A2527,Studies!A:BR,5,FALSE),"")</f>
        <v>Rifampicin</v>
      </c>
      <c r="F2527" s="207" t="str">
        <f>IF(AND(A2527&lt;&gt;"",ISNUMBER(A2527)),VLOOKUP(A2527,Studies!A:BR,6,FALSE),"")</f>
        <v>Serum</v>
      </c>
      <c r="G2527" s="194">
        <v>148</v>
      </c>
      <c r="H2527" s="194" t="s">
        <v>60</v>
      </c>
      <c r="I2527" s="187">
        <v>12.56</v>
      </c>
      <c r="J2527" s="187" t="s">
        <v>1054</v>
      </c>
      <c r="K2527" s="187" t="s">
        <v>264</v>
      </c>
      <c r="L2527" s="195"/>
      <c r="M2527" s="195"/>
      <c r="N2527" s="195"/>
      <c r="O2527" s="199"/>
      <c r="P2527" s="188"/>
      <c r="Q2527" s="174">
        <f>IF(ISNUMBER(VLOOKUP(A2527,NotghiID!A:A,1,FALSE)),1,0)</f>
        <v>0</v>
      </c>
    </row>
    <row r="2528" spans="1:17" ht="14.25" x14ac:dyDescent="0.2">
      <c r="A2528" s="183">
        <f t="shared" si="6"/>
        <v>20</v>
      </c>
      <c r="B2528" s="232" t="str">
        <f>IF(AND(A2528&lt;&gt;"",ISNUMBER(A2528)),VLOOKUP(A2528,Studies!A:BR,2,FALSE),"")</f>
        <v>Acocella 1977</v>
      </c>
      <c r="C2528" s="232" t="str">
        <f>IF(AND(A2528&lt;&gt;"",ISNUMBER(A2528)),VLOOKUP(A2528,Studies!A:BR,3,FALSE),"")</f>
        <v>https://www.ncbi.nlm.nih.gov/pubmed/578447</v>
      </c>
      <c r="D2528" s="232" t="str">
        <f>IF(AND(A2528&lt;&gt;"",ISNUMBER(A2528)),VLOOKUP(A2528,Studies!A:BR,4,FALSE),"")</f>
        <v>Subject 12 (600 mg MD)</v>
      </c>
      <c r="E2528" s="206" t="str">
        <f>IF(AND(A2528&lt;&gt;"",ISNUMBER(A2528)),VLOOKUP(A2528,Studies!A:BR,5,FALSE),"")</f>
        <v>Rifampicin</v>
      </c>
      <c r="F2528" s="207" t="str">
        <f>IF(AND(A2528&lt;&gt;"",ISNUMBER(A2528)),VLOOKUP(A2528,Studies!A:BR,6,FALSE),"")</f>
        <v>Serum</v>
      </c>
      <c r="G2528" s="194">
        <v>152</v>
      </c>
      <c r="H2528" s="194" t="s">
        <v>60</v>
      </c>
      <c r="I2528" s="187">
        <v>5.21</v>
      </c>
      <c r="J2528" s="187" t="s">
        <v>1054</v>
      </c>
      <c r="K2528" s="187" t="s">
        <v>264</v>
      </c>
      <c r="L2528" s="195"/>
      <c r="M2528" s="195"/>
      <c r="N2528" s="195"/>
      <c r="O2528" s="199"/>
      <c r="P2528" s="188"/>
      <c r="Q2528" s="174">
        <f>IF(ISNUMBER(VLOOKUP(A2528,NotghiID!A:A,1,FALSE)),1,0)</f>
        <v>0</v>
      </c>
    </row>
    <row r="2529" spans="1:17" ht="14.25" x14ac:dyDescent="0.2">
      <c r="A2529" s="183">
        <f t="shared" si="6"/>
        <v>21</v>
      </c>
      <c r="B2529" s="232" t="str">
        <f>IF(AND(A2529&lt;&gt;"",ISNUMBER(A2529)),VLOOKUP(A2529,Studies!A:BR,2,FALSE),"")</f>
        <v>Acocella 1977</v>
      </c>
      <c r="C2529" s="232" t="str">
        <f>IF(AND(A2529&lt;&gt;"",ISNUMBER(A2529)),VLOOKUP(A2529,Studies!A:BR,3,FALSE),"")</f>
        <v>https://www.ncbi.nlm.nih.gov/pubmed/578447</v>
      </c>
      <c r="D2529" s="232" t="str">
        <f>IF(AND(A2529&lt;&gt;"",ISNUMBER(A2529)),VLOOKUP(A2529,Studies!A:BR,4,FALSE),"")</f>
        <v>Subject 13 (600 mg MD)</v>
      </c>
      <c r="E2529" s="206" t="str">
        <f>IF(AND(A2529&lt;&gt;"",ISNUMBER(A2529)),VLOOKUP(A2529,Studies!A:BR,5,FALSE),"")</f>
        <v>Rifampicin</v>
      </c>
      <c r="F2529" s="207" t="str">
        <f>IF(AND(A2529&lt;&gt;"",ISNUMBER(A2529)),VLOOKUP(A2529,Studies!A:BR,6,FALSE),"")</f>
        <v>Serum</v>
      </c>
      <c r="G2529" s="194">
        <v>0</v>
      </c>
      <c r="H2529" s="194" t="s">
        <v>60</v>
      </c>
      <c r="I2529" s="187">
        <v>0</v>
      </c>
      <c r="J2529" s="187" t="s">
        <v>1054</v>
      </c>
      <c r="K2529" s="187" t="s">
        <v>264</v>
      </c>
      <c r="L2529" s="195"/>
      <c r="M2529" s="195"/>
      <c r="N2529" s="195"/>
      <c r="O2529" s="199"/>
      <c r="P2529" s="188"/>
      <c r="Q2529" s="174">
        <f>IF(ISNUMBER(VLOOKUP(A2529,NotghiID!A:A,1,FALSE)),1,0)</f>
        <v>0</v>
      </c>
    </row>
    <row r="2530" spans="1:17" ht="14.25" x14ac:dyDescent="0.2">
      <c r="A2530" s="183">
        <f t="shared" si="6"/>
        <v>21</v>
      </c>
      <c r="B2530" s="232" t="str">
        <f>IF(AND(A2530&lt;&gt;"",ISNUMBER(A2530)),VLOOKUP(A2530,Studies!A:BR,2,FALSE),"")</f>
        <v>Acocella 1977</v>
      </c>
      <c r="C2530" s="232" t="str">
        <f>IF(AND(A2530&lt;&gt;"",ISNUMBER(A2530)),VLOOKUP(A2530,Studies!A:BR,3,FALSE),"")</f>
        <v>https://www.ncbi.nlm.nih.gov/pubmed/578447</v>
      </c>
      <c r="D2530" s="232" t="str">
        <f>IF(AND(A2530&lt;&gt;"",ISNUMBER(A2530)),VLOOKUP(A2530,Studies!A:BR,4,FALSE),"")</f>
        <v>Subject 13 (600 mg MD)</v>
      </c>
      <c r="E2530" s="206" t="str">
        <f>IF(AND(A2530&lt;&gt;"",ISNUMBER(A2530)),VLOOKUP(A2530,Studies!A:BR,5,FALSE),"")</f>
        <v>Rifampicin</v>
      </c>
      <c r="F2530" s="207" t="str">
        <f>IF(AND(A2530&lt;&gt;"",ISNUMBER(A2530)),VLOOKUP(A2530,Studies!A:BR,6,FALSE),"")</f>
        <v>Serum</v>
      </c>
      <c r="G2530" s="194">
        <v>0.5</v>
      </c>
      <c r="H2530" s="194" t="s">
        <v>60</v>
      </c>
      <c r="I2530" s="187">
        <v>4.12</v>
      </c>
      <c r="J2530" s="187" t="s">
        <v>1054</v>
      </c>
      <c r="K2530" s="187" t="s">
        <v>264</v>
      </c>
      <c r="L2530" s="195"/>
      <c r="M2530" s="195"/>
      <c r="N2530" s="195"/>
      <c r="O2530" s="199"/>
      <c r="P2530" s="188"/>
      <c r="Q2530" s="174">
        <f>IF(ISNUMBER(VLOOKUP(A2530,NotghiID!A:A,1,FALSE)),1,0)</f>
        <v>0</v>
      </c>
    </row>
    <row r="2531" spans="1:17" ht="14.25" x14ac:dyDescent="0.2">
      <c r="A2531" s="183">
        <f t="shared" si="6"/>
        <v>21</v>
      </c>
      <c r="B2531" s="232" t="str">
        <f>IF(AND(A2531&lt;&gt;"",ISNUMBER(A2531)),VLOOKUP(A2531,Studies!A:BR,2,FALSE),"")</f>
        <v>Acocella 1977</v>
      </c>
      <c r="C2531" s="232" t="str">
        <f>IF(AND(A2531&lt;&gt;"",ISNUMBER(A2531)),VLOOKUP(A2531,Studies!A:BR,3,FALSE),"")</f>
        <v>https://www.ncbi.nlm.nih.gov/pubmed/578447</v>
      </c>
      <c r="D2531" s="232" t="str">
        <f>IF(AND(A2531&lt;&gt;"",ISNUMBER(A2531)),VLOOKUP(A2531,Studies!A:BR,4,FALSE),"")</f>
        <v>Subject 13 (600 mg MD)</v>
      </c>
      <c r="E2531" s="206" t="str">
        <f>IF(AND(A2531&lt;&gt;"",ISNUMBER(A2531)),VLOOKUP(A2531,Studies!A:BR,5,FALSE),"")</f>
        <v>Rifampicin</v>
      </c>
      <c r="F2531" s="207" t="str">
        <f>IF(AND(A2531&lt;&gt;"",ISNUMBER(A2531)),VLOOKUP(A2531,Studies!A:BR,6,FALSE),"")</f>
        <v>Serum</v>
      </c>
      <c r="G2531" s="194">
        <v>1</v>
      </c>
      <c r="H2531" s="194" t="s">
        <v>60</v>
      </c>
      <c r="I2531" s="187">
        <v>6.65</v>
      </c>
      <c r="J2531" s="187" t="s">
        <v>1054</v>
      </c>
      <c r="K2531" s="187" t="s">
        <v>264</v>
      </c>
      <c r="L2531" s="195"/>
      <c r="M2531" s="195"/>
      <c r="N2531" s="195"/>
      <c r="O2531" s="199"/>
      <c r="P2531" s="188"/>
      <c r="Q2531" s="174">
        <f>IF(ISNUMBER(VLOOKUP(A2531,NotghiID!A:A,1,FALSE)),1,0)</f>
        <v>0</v>
      </c>
    </row>
    <row r="2532" spans="1:17" ht="14.25" x14ac:dyDescent="0.2">
      <c r="A2532" s="183">
        <f t="shared" si="6"/>
        <v>21</v>
      </c>
      <c r="B2532" s="232" t="str">
        <f>IF(AND(A2532&lt;&gt;"",ISNUMBER(A2532)),VLOOKUP(A2532,Studies!A:BR,2,FALSE),"")</f>
        <v>Acocella 1977</v>
      </c>
      <c r="C2532" s="232" t="str">
        <f>IF(AND(A2532&lt;&gt;"",ISNUMBER(A2532)),VLOOKUP(A2532,Studies!A:BR,3,FALSE),"")</f>
        <v>https://www.ncbi.nlm.nih.gov/pubmed/578447</v>
      </c>
      <c r="D2532" s="232" t="str">
        <f>IF(AND(A2532&lt;&gt;"",ISNUMBER(A2532)),VLOOKUP(A2532,Studies!A:BR,4,FALSE),"")</f>
        <v>Subject 13 (600 mg MD)</v>
      </c>
      <c r="E2532" s="206" t="str">
        <f>IF(AND(A2532&lt;&gt;"",ISNUMBER(A2532)),VLOOKUP(A2532,Studies!A:BR,5,FALSE),"")</f>
        <v>Rifampicin</v>
      </c>
      <c r="F2532" s="207" t="str">
        <f>IF(AND(A2532&lt;&gt;"",ISNUMBER(A2532)),VLOOKUP(A2532,Studies!A:BR,6,FALSE),"")</f>
        <v>Serum</v>
      </c>
      <c r="G2532" s="194">
        <v>2</v>
      </c>
      <c r="H2532" s="194" t="s">
        <v>60</v>
      </c>
      <c r="I2532" s="187">
        <v>10.97</v>
      </c>
      <c r="J2532" s="187" t="s">
        <v>1054</v>
      </c>
      <c r="K2532" s="187" t="s">
        <v>264</v>
      </c>
      <c r="L2532" s="195"/>
      <c r="M2532" s="195"/>
      <c r="N2532" s="195"/>
      <c r="O2532" s="199"/>
      <c r="P2532" s="188"/>
      <c r="Q2532" s="174">
        <f>IF(ISNUMBER(VLOOKUP(A2532,NotghiID!A:A,1,FALSE)),1,0)</f>
        <v>0</v>
      </c>
    </row>
    <row r="2533" spans="1:17" ht="14.25" x14ac:dyDescent="0.2">
      <c r="A2533" s="183">
        <f t="shared" si="6"/>
        <v>21</v>
      </c>
      <c r="B2533" s="232" t="str">
        <f>IF(AND(A2533&lt;&gt;"",ISNUMBER(A2533)),VLOOKUP(A2533,Studies!A:BR,2,FALSE),"")</f>
        <v>Acocella 1977</v>
      </c>
      <c r="C2533" s="232" t="str">
        <f>IF(AND(A2533&lt;&gt;"",ISNUMBER(A2533)),VLOOKUP(A2533,Studies!A:BR,3,FALSE),"")</f>
        <v>https://www.ncbi.nlm.nih.gov/pubmed/578447</v>
      </c>
      <c r="D2533" s="232" t="str">
        <f>IF(AND(A2533&lt;&gt;"",ISNUMBER(A2533)),VLOOKUP(A2533,Studies!A:BR,4,FALSE),"")</f>
        <v>Subject 13 (600 mg MD)</v>
      </c>
      <c r="E2533" s="206" t="str">
        <f>IF(AND(A2533&lt;&gt;"",ISNUMBER(A2533)),VLOOKUP(A2533,Studies!A:BR,5,FALSE),"")</f>
        <v>Rifampicin</v>
      </c>
      <c r="F2533" s="207" t="str">
        <f>IF(AND(A2533&lt;&gt;"",ISNUMBER(A2533)),VLOOKUP(A2533,Studies!A:BR,6,FALSE),"")</f>
        <v>Serum</v>
      </c>
      <c r="G2533" s="194">
        <v>4</v>
      </c>
      <c r="H2533" s="194" t="s">
        <v>60</v>
      </c>
      <c r="I2533" s="187">
        <v>9.1300000000000008</v>
      </c>
      <c r="J2533" s="187" t="s">
        <v>1054</v>
      </c>
      <c r="K2533" s="187" t="s">
        <v>264</v>
      </c>
      <c r="L2533" s="195"/>
      <c r="M2533" s="195"/>
      <c r="N2533" s="195"/>
      <c r="O2533" s="199"/>
      <c r="P2533" s="188"/>
      <c r="Q2533" s="174">
        <f>IF(ISNUMBER(VLOOKUP(A2533,NotghiID!A:A,1,FALSE)),1,0)</f>
        <v>0</v>
      </c>
    </row>
    <row r="2534" spans="1:17" ht="14.25" x14ac:dyDescent="0.2">
      <c r="A2534" s="183">
        <f t="shared" si="6"/>
        <v>21</v>
      </c>
      <c r="B2534" s="232" t="str">
        <f>IF(AND(A2534&lt;&gt;"",ISNUMBER(A2534)),VLOOKUP(A2534,Studies!A:BR,2,FALSE),"")</f>
        <v>Acocella 1977</v>
      </c>
      <c r="C2534" s="232" t="str">
        <f>IF(AND(A2534&lt;&gt;"",ISNUMBER(A2534)),VLOOKUP(A2534,Studies!A:BR,3,FALSE),"")</f>
        <v>https://www.ncbi.nlm.nih.gov/pubmed/578447</v>
      </c>
      <c r="D2534" s="232" t="str">
        <f>IF(AND(A2534&lt;&gt;"",ISNUMBER(A2534)),VLOOKUP(A2534,Studies!A:BR,4,FALSE),"")</f>
        <v>Subject 13 (600 mg MD)</v>
      </c>
      <c r="E2534" s="206" t="str">
        <f>IF(AND(A2534&lt;&gt;"",ISNUMBER(A2534)),VLOOKUP(A2534,Studies!A:BR,5,FALSE),"")</f>
        <v>Rifampicin</v>
      </c>
      <c r="F2534" s="207" t="str">
        <f>IF(AND(A2534&lt;&gt;"",ISNUMBER(A2534)),VLOOKUP(A2534,Studies!A:BR,6,FALSE),"")</f>
        <v>Serum</v>
      </c>
      <c r="G2534" s="194">
        <v>8</v>
      </c>
      <c r="H2534" s="194" t="s">
        <v>60</v>
      </c>
      <c r="I2534" s="187"/>
      <c r="J2534" s="187"/>
      <c r="K2534" s="187"/>
      <c r="L2534" s="195"/>
      <c r="M2534" s="195"/>
      <c r="N2534" s="195"/>
      <c r="O2534" s="199"/>
      <c r="P2534" s="188"/>
      <c r="Q2534" s="174">
        <f>IF(ISNUMBER(VLOOKUP(A2534,NotghiID!A:A,1,FALSE)),1,0)</f>
        <v>0</v>
      </c>
    </row>
    <row r="2535" spans="1:17" ht="14.25" x14ac:dyDescent="0.2">
      <c r="A2535" s="183">
        <f t="shared" si="6"/>
        <v>21</v>
      </c>
      <c r="B2535" s="232" t="str">
        <f>IF(AND(A2535&lt;&gt;"",ISNUMBER(A2535)),VLOOKUP(A2535,Studies!A:BR,2,FALSE),"")</f>
        <v>Acocella 1977</v>
      </c>
      <c r="C2535" s="232" t="str">
        <f>IF(AND(A2535&lt;&gt;"",ISNUMBER(A2535)),VLOOKUP(A2535,Studies!A:BR,3,FALSE),"")</f>
        <v>https://www.ncbi.nlm.nih.gov/pubmed/578447</v>
      </c>
      <c r="D2535" s="232" t="str">
        <f>IF(AND(A2535&lt;&gt;"",ISNUMBER(A2535)),VLOOKUP(A2535,Studies!A:BR,4,FALSE),"")</f>
        <v>Subject 13 (600 mg MD)</v>
      </c>
      <c r="E2535" s="206" t="str">
        <f>IF(AND(A2535&lt;&gt;"",ISNUMBER(A2535)),VLOOKUP(A2535,Studies!A:BR,5,FALSE),"")</f>
        <v>Rifampicin</v>
      </c>
      <c r="F2535" s="207" t="str">
        <f>IF(AND(A2535&lt;&gt;"",ISNUMBER(A2535)),VLOOKUP(A2535,Studies!A:BR,6,FALSE),"")</f>
        <v>Serum</v>
      </c>
      <c r="G2535" s="194">
        <v>72</v>
      </c>
      <c r="H2535" s="194" t="s">
        <v>60</v>
      </c>
      <c r="I2535" s="187">
        <v>0</v>
      </c>
      <c r="J2535" s="187" t="s">
        <v>1054</v>
      </c>
      <c r="K2535" s="187" t="s">
        <v>264</v>
      </c>
      <c r="L2535" s="195"/>
      <c r="M2535" s="195"/>
      <c r="N2535" s="195"/>
      <c r="O2535" s="199"/>
      <c r="P2535" s="188"/>
      <c r="Q2535" s="174">
        <f>IF(ISNUMBER(VLOOKUP(A2535,NotghiID!A:A,1,FALSE)),1,0)</f>
        <v>0</v>
      </c>
    </row>
    <row r="2536" spans="1:17" ht="14.25" x14ac:dyDescent="0.2">
      <c r="A2536" s="183">
        <f t="shared" si="6"/>
        <v>21</v>
      </c>
      <c r="B2536" s="232" t="str">
        <f>IF(AND(A2536&lt;&gt;"",ISNUMBER(A2536)),VLOOKUP(A2536,Studies!A:BR,2,FALSE),"")</f>
        <v>Acocella 1977</v>
      </c>
      <c r="C2536" s="232" t="str">
        <f>IF(AND(A2536&lt;&gt;"",ISNUMBER(A2536)),VLOOKUP(A2536,Studies!A:BR,3,FALSE),"")</f>
        <v>https://www.ncbi.nlm.nih.gov/pubmed/578447</v>
      </c>
      <c r="D2536" s="232" t="str">
        <f>IF(AND(A2536&lt;&gt;"",ISNUMBER(A2536)),VLOOKUP(A2536,Studies!A:BR,4,FALSE),"")</f>
        <v>Subject 13 (600 mg MD)</v>
      </c>
      <c r="E2536" s="206" t="str">
        <f>IF(AND(A2536&lt;&gt;"",ISNUMBER(A2536)),VLOOKUP(A2536,Studies!A:BR,5,FALSE),"")</f>
        <v>Rifampicin</v>
      </c>
      <c r="F2536" s="207" t="str">
        <f>IF(AND(A2536&lt;&gt;"",ISNUMBER(A2536)),VLOOKUP(A2536,Studies!A:BR,6,FALSE),"")</f>
        <v>Serum</v>
      </c>
      <c r="G2536" s="194">
        <v>72.5</v>
      </c>
      <c r="H2536" s="194" t="s">
        <v>60</v>
      </c>
      <c r="I2536" s="187">
        <v>4.71</v>
      </c>
      <c r="J2536" s="187" t="s">
        <v>1054</v>
      </c>
      <c r="K2536" s="187" t="s">
        <v>264</v>
      </c>
      <c r="L2536" s="195"/>
      <c r="M2536" s="195"/>
      <c r="N2536" s="195"/>
      <c r="O2536" s="199"/>
      <c r="P2536" s="188"/>
      <c r="Q2536" s="174">
        <f>IF(ISNUMBER(VLOOKUP(A2536,NotghiID!A:A,1,FALSE)),1,0)</f>
        <v>0</v>
      </c>
    </row>
    <row r="2537" spans="1:17" ht="14.25" x14ac:dyDescent="0.2">
      <c r="A2537" s="183">
        <f t="shared" si="6"/>
        <v>21</v>
      </c>
      <c r="B2537" s="232" t="str">
        <f>IF(AND(A2537&lt;&gt;"",ISNUMBER(A2537)),VLOOKUP(A2537,Studies!A:BR,2,FALSE),"")</f>
        <v>Acocella 1977</v>
      </c>
      <c r="C2537" s="232" t="str">
        <f>IF(AND(A2537&lt;&gt;"",ISNUMBER(A2537)),VLOOKUP(A2537,Studies!A:BR,3,FALSE),"")</f>
        <v>https://www.ncbi.nlm.nih.gov/pubmed/578447</v>
      </c>
      <c r="D2537" s="232" t="str">
        <f>IF(AND(A2537&lt;&gt;"",ISNUMBER(A2537)),VLOOKUP(A2537,Studies!A:BR,4,FALSE),"")</f>
        <v>Subject 13 (600 mg MD)</v>
      </c>
      <c r="E2537" s="206" t="str">
        <f>IF(AND(A2537&lt;&gt;"",ISNUMBER(A2537)),VLOOKUP(A2537,Studies!A:BR,5,FALSE),"")</f>
        <v>Rifampicin</v>
      </c>
      <c r="F2537" s="207" t="str">
        <f>IF(AND(A2537&lt;&gt;"",ISNUMBER(A2537)),VLOOKUP(A2537,Studies!A:BR,6,FALSE),"")</f>
        <v>Serum</v>
      </c>
      <c r="G2537" s="194">
        <v>73</v>
      </c>
      <c r="H2537" s="194" t="s">
        <v>60</v>
      </c>
      <c r="I2537" s="187">
        <v>8.89</v>
      </c>
      <c r="J2537" s="187" t="s">
        <v>1054</v>
      </c>
      <c r="K2537" s="187" t="s">
        <v>264</v>
      </c>
      <c r="L2537" s="195"/>
      <c r="M2537" s="195"/>
      <c r="N2537" s="195"/>
      <c r="O2537" s="199"/>
      <c r="P2537" s="188"/>
      <c r="Q2537" s="174">
        <f>IF(ISNUMBER(VLOOKUP(A2537,NotghiID!A:A,1,FALSE)),1,0)</f>
        <v>0</v>
      </c>
    </row>
    <row r="2538" spans="1:17" ht="14.25" x14ac:dyDescent="0.2">
      <c r="A2538" s="183">
        <f t="shared" si="6"/>
        <v>21</v>
      </c>
      <c r="B2538" s="232" t="str">
        <f>IF(AND(A2538&lt;&gt;"",ISNUMBER(A2538)),VLOOKUP(A2538,Studies!A:BR,2,FALSE),"")</f>
        <v>Acocella 1977</v>
      </c>
      <c r="C2538" s="232" t="str">
        <f>IF(AND(A2538&lt;&gt;"",ISNUMBER(A2538)),VLOOKUP(A2538,Studies!A:BR,3,FALSE),"")</f>
        <v>https://www.ncbi.nlm.nih.gov/pubmed/578447</v>
      </c>
      <c r="D2538" s="232" t="str">
        <f>IF(AND(A2538&lt;&gt;"",ISNUMBER(A2538)),VLOOKUP(A2538,Studies!A:BR,4,FALSE),"")</f>
        <v>Subject 13 (600 mg MD)</v>
      </c>
      <c r="E2538" s="206" t="str">
        <f>IF(AND(A2538&lt;&gt;"",ISNUMBER(A2538)),VLOOKUP(A2538,Studies!A:BR,5,FALSE),"")</f>
        <v>Rifampicin</v>
      </c>
      <c r="F2538" s="207" t="str">
        <f>IF(AND(A2538&lt;&gt;"",ISNUMBER(A2538)),VLOOKUP(A2538,Studies!A:BR,6,FALSE),"")</f>
        <v>Serum</v>
      </c>
      <c r="G2538" s="194">
        <v>74</v>
      </c>
      <c r="H2538" s="194" t="s">
        <v>60</v>
      </c>
      <c r="I2538" s="187">
        <v>10.95</v>
      </c>
      <c r="J2538" s="187" t="s">
        <v>1054</v>
      </c>
      <c r="K2538" s="187" t="s">
        <v>264</v>
      </c>
      <c r="L2538" s="195"/>
      <c r="M2538" s="195"/>
      <c r="N2538" s="195"/>
      <c r="O2538" s="199"/>
      <c r="P2538" s="188"/>
      <c r="Q2538" s="174">
        <f>IF(ISNUMBER(VLOOKUP(A2538,NotghiID!A:A,1,FALSE)),1,0)</f>
        <v>0</v>
      </c>
    </row>
    <row r="2539" spans="1:17" ht="14.25" x14ac:dyDescent="0.2">
      <c r="A2539" s="183">
        <f t="shared" si="6"/>
        <v>21</v>
      </c>
      <c r="B2539" s="232" t="str">
        <f>IF(AND(A2539&lt;&gt;"",ISNUMBER(A2539)),VLOOKUP(A2539,Studies!A:BR,2,FALSE),"")</f>
        <v>Acocella 1977</v>
      </c>
      <c r="C2539" s="232" t="str">
        <f>IF(AND(A2539&lt;&gt;"",ISNUMBER(A2539)),VLOOKUP(A2539,Studies!A:BR,3,FALSE),"")</f>
        <v>https://www.ncbi.nlm.nih.gov/pubmed/578447</v>
      </c>
      <c r="D2539" s="232" t="str">
        <f>IF(AND(A2539&lt;&gt;"",ISNUMBER(A2539)),VLOOKUP(A2539,Studies!A:BR,4,FALSE),"")</f>
        <v>Subject 13 (600 mg MD)</v>
      </c>
      <c r="E2539" s="206" t="str">
        <f>IF(AND(A2539&lt;&gt;"",ISNUMBER(A2539)),VLOOKUP(A2539,Studies!A:BR,5,FALSE),"")</f>
        <v>Rifampicin</v>
      </c>
      <c r="F2539" s="207" t="str">
        <f>IF(AND(A2539&lt;&gt;"",ISNUMBER(A2539)),VLOOKUP(A2539,Studies!A:BR,6,FALSE),"")</f>
        <v>Serum</v>
      </c>
      <c r="G2539" s="194">
        <v>76</v>
      </c>
      <c r="H2539" s="194" t="s">
        <v>60</v>
      </c>
      <c r="I2539" s="187"/>
      <c r="J2539" s="187"/>
      <c r="K2539" s="187"/>
      <c r="L2539" s="195"/>
      <c r="M2539" s="195"/>
      <c r="N2539" s="195"/>
      <c r="O2539" s="199"/>
      <c r="P2539" s="188"/>
      <c r="Q2539" s="174">
        <f>IF(ISNUMBER(VLOOKUP(A2539,NotghiID!A:A,1,FALSE)),1,0)</f>
        <v>0</v>
      </c>
    </row>
    <row r="2540" spans="1:17" ht="14.25" x14ac:dyDescent="0.2">
      <c r="A2540" s="183">
        <f t="shared" si="6"/>
        <v>21</v>
      </c>
      <c r="B2540" s="232" t="str">
        <f>IF(AND(A2540&lt;&gt;"",ISNUMBER(A2540)),VLOOKUP(A2540,Studies!A:BR,2,FALSE),"")</f>
        <v>Acocella 1977</v>
      </c>
      <c r="C2540" s="232" t="str">
        <f>IF(AND(A2540&lt;&gt;"",ISNUMBER(A2540)),VLOOKUP(A2540,Studies!A:BR,3,FALSE),"")</f>
        <v>https://www.ncbi.nlm.nih.gov/pubmed/578447</v>
      </c>
      <c r="D2540" s="232" t="str">
        <f>IF(AND(A2540&lt;&gt;"",ISNUMBER(A2540)),VLOOKUP(A2540,Studies!A:BR,4,FALSE),"")</f>
        <v>Subject 13 (600 mg MD)</v>
      </c>
      <c r="E2540" s="206" t="str">
        <f>IF(AND(A2540&lt;&gt;"",ISNUMBER(A2540)),VLOOKUP(A2540,Studies!A:BR,5,FALSE),"")</f>
        <v>Rifampicin</v>
      </c>
      <c r="F2540" s="207" t="str">
        <f>IF(AND(A2540&lt;&gt;"",ISNUMBER(A2540)),VLOOKUP(A2540,Studies!A:BR,6,FALSE),"")</f>
        <v>Serum</v>
      </c>
      <c r="G2540" s="194">
        <v>80</v>
      </c>
      <c r="H2540" s="194" t="s">
        <v>60</v>
      </c>
      <c r="I2540" s="187">
        <v>2.35</v>
      </c>
      <c r="J2540" s="187" t="s">
        <v>1054</v>
      </c>
      <c r="K2540" s="187" t="s">
        <v>264</v>
      </c>
      <c r="L2540" s="195"/>
      <c r="M2540" s="195"/>
      <c r="N2540" s="195"/>
      <c r="O2540" s="199"/>
      <c r="P2540" s="188"/>
      <c r="Q2540" s="174">
        <f>IF(ISNUMBER(VLOOKUP(A2540,NotghiID!A:A,1,FALSE)),1,0)</f>
        <v>0</v>
      </c>
    </row>
    <row r="2541" spans="1:17" ht="14.25" x14ac:dyDescent="0.2">
      <c r="A2541" s="183">
        <f t="shared" si="6"/>
        <v>21</v>
      </c>
      <c r="B2541" s="232" t="str">
        <f>IF(AND(A2541&lt;&gt;"",ISNUMBER(A2541)),VLOOKUP(A2541,Studies!A:BR,2,FALSE),"")</f>
        <v>Acocella 1977</v>
      </c>
      <c r="C2541" s="232" t="str">
        <f>IF(AND(A2541&lt;&gt;"",ISNUMBER(A2541)),VLOOKUP(A2541,Studies!A:BR,3,FALSE),"")</f>
        <v>https://www.ncbi.nlm.nih.gov/pubmed/578447</v>
      </c>
      <c r="D2541" s="232" t="str">
        <f>IF(AND(A2541&lt;&gt;"",ISNUMBER(A2541)),VLOOKUP(A2541,Studies!A:BR,4,FALSE),"")</f>
        <v>Subject 13 (600 mg MD)</v>
      </c>
      <c r="E2541" s="206" t="str">
        <f>IF(AND(A2541&lt;&gt;"",ISNUMBER(A2541)),VLOOKUP(A2541,Studies!A:BR,5,FALSE),"")</f>
        <v>Rifampicin</v>
      </c>
      <c r="F2541" s="207" t="str">
        <f>IF(AND(A2541&lt;&gt;"",ISNUMBER(A2541)),VLOOKUP(A2541,Studies!A:BR,6,FALSE),"")</f>
        <v>Serum</v>
      </c>
      <c r="G2541" s="194">
        <v>144</v>
      </c>
      <c r="H2541" s="194" t="s">
        <v>60</v>
      </c>
      <c r="I2541" s="187">
        <v>0</v>
      </c>
      <c r="J2541" s="187" t="s">
        <v>1054</v>
      </c>
      <c r="K2541" s="187" t="s">
        <v>264</v>
      </c>
      <c r="L2541" s="195"/>
      <c r="M2541" s="195"/>
      <c r="N2541" s="195"/>
      <c r="O2541" s="199"/>
      <c r="P2541" s="188"/>
      <c r="Q2541" s="174">
        <f>IF(ISNUMBER(VLOOKUP(A2541,NotghiID!A:A,1,FALSE)),1,0)</f>
        <v>0</v>
      </c>
    </row>
    <row r="2542" spans="1:17" ht="14.25" x14ac:dyDescent="0.2">
      <c r="A2542" s="183">
        <f t="shared" si="6"/>
        <v>21</v>
      </c>
      <c r="B2542" s="232" t="str">
        <f>IF(AND(A2542&lt;&gt;"",ISNUMBER(A2542)),VLOOKUP(A2542,Studies!A:BR,2,FALSE),"")</f>
        <v>Acocella 1977</v>
      </c>
      <c r="C2542" s="232" t="str">
        <f>IF(AND(A2542&lt;&gt;"",ISNUMBER(A2542)),VLOOKUP(A2542,Studies!A:BR,3,FALSE),"")</f>
        <v>https://www.ncbi.nlm.nih.gov/pubmed/578447</v>
      </c>
      <c r="D2542" s="232" t="str">
        <f>IF(AND(A2542&lt;&gt;"",ISNUMBER(A2542)),VLOOKUP(A2542,Studies!A:BR,4,FALSE),"")</f>
        <v>Subject 13 (600 mg MD)</v>
      </c>
      <c r="E2542" s="206" t="str">
        <f>IF(AND(A2542&lt;&gt;"",ISNUMBER(A2542)),VLOOKUP(A2542,Studies!A:BR,5,FALSE),"")</f>
        <v>Rifampicin</v>
      </c>
      <c r="F2542" s="207" t="str">
        <f>IF(AND(A2542&lt;&gt;"",ISNUMBER(A2542)),VLOOKUP(A2542,Studies!A:BR,6,FALSE),"")</f>
        <v>Serum</v>
      </c>
      <c r="G2542" s="194">
        <v>144.5</v>
      </c>
      <c r="H2542" s="194" t="s">
        <v>60</v>
      </c>
      <c r="I2542" s="187">
        <v>8.98</v>
      </c>
      <c r="J2542" s="187" t="s">
        <v>1054</v>
      </c>
      <c r="K2542" s="187" t="s">
        <v>264</v>
      </c>
      <c r="L2542" s="195"/>
      <c r="M2542" s="195"/>
      <c r="N2542" s="195"/>
      <c r="O2542" s="199"/>
      <c r="P2542" s="188"/>
      <c r="Q2542" s="174">
        <f>IF(ISNUMBER(VLOOKUP(A2542,NotghiID!A:A,1,FALSE)),1,0)</f>
        <v>0</v>
      </c>
    </row>
    <row r="2543" spans="1:17" ht="14.25" x14ac:dyDescent="0.2">
      <c r="A2543" s="183">
        <f t="shared" si="6"/>
        <v>21</v>
      </c>
      <c r="B2543" s="232" t="str">
        <f>IF(AND(A2543&lt;&gt;"",ISNUMBER(A2543)),VLOOKUP(A2543,Studies!A:BR,2,FALSE),"")</f>
        <v>Acocella 1977</v>
      </c>
      <c r="C2543" s="232" t="str">
        <f>IF(AND(A2543&lt;&gt;"",ISNUMBER(A2543)),VLOOKUP(A2543,Studies!A:BR,3,FALSE),"")</f>
        <v>https://www.ncbi.nlm.nih.gov/pubmed/578447</v>
      </c>
      <c r="D2543" s="232" t="str">
        <f>IF(AND(A2543&lt;&gt;"",ISNUMBER(A2543)),VLOOKUP(A2543,Studies!A:BR,4,FALSE),"")</f>
        <v>Subject 13 (600 mg MD)</v>
      </c>
      <c r="E2543" s="206" t="str">
        <f>IF(AND(A2543&lt;&gt;"",ISNUMBER(A2543)),VLOOKUP(A2543,Studies!A:BR,5,FALSE),"")</f>
        <v>Rifampicin</v>
      </c>
      <c r="F2543" s="207" t="str">
        <f>IF(AND(A2543&lt;&gt;"",ISNUMBER(A2543)),VLOOKUP(A2543,Studies!A:BR,6,FALSE),"")</f>
        <v>Serum</v>
      </c>
      <c r="G2543" s="194">
        <v>145</v>
      </c>
      <c r="H2543" s="194" t="s">
        <v>60</v>
      </c>
      <c r="I2543" s="187">
        <v>14.3</v>
      </c>
      <c r="J2543" s="187" t="s">
        <v>1054</v>
      </c>
      <c r="K2543" s="187" t="s">
        <v>264</v>
      </c>
      <c r="L2543" s="195"/>
      <c r="M2543" s="195"/>
      <c r="N2543" s="195"/>
      <c r="O2543" s="199"/>
      <c r="P2543" s="188"/>
      <c r="Q2543" s="174">
        <f>IF(ISNUMBER(VLOOKUP(A2543,NotghiID!A:A,1,FALSE)),1,0)</f>
        <v>0</v>
      </c>
    </row>
    <row r="2544" spans="1:17" ht="14.25" x14ac:dyDescent="0.2">
      <c r="A2544" s="183">
        <f t="shared" si="6"/>
        <v>21</v>
      </c>
      <c r="B2544" s="232" t="str">
        <f>IF(AND(A2544&lt;&gt;"",ISNUMBER(A2544)),VLOOKUP(A2544,Studies!A:BR,2,FALSE),"")</f>
        <v>Acocella 1977</v>
      </c>
      <c r="C2544" s="232" t="str">
        <f>IF(AND(A2544&lt;&gt;"",ISNUMBER(A2544)),VLOOKUP(A2544,Studies!A:BR,3,FALSE),"")</f>
        <v>https://www.ncbi.nlm.nih.gov/pubmed/578447</v>
      </c>
      <c r="D2544" s="232" t="str">
        <f>IF(AND(A2544&lt;&gt;"",ISNUMBER(A2544)),VLOOKUP(A2544,Studies!A:BR,4,FALSE),"")</f>
        <v>Subject 13 (600 mg MD)</v>
      </c>
      <c r="E2544" s="206" t="str">
        <f>IF(AND(A2544&lt;&gt;"",ISNUMBER(A2544)),VLOOKUP(A2544,Studies!A:BR,5,FALSE),"")</f>
        <v>Rifampicin</v>
      </c>
      <c r="F2544" s="207" t="str">
        <f>IF(AND(A2544&lt;&gt;"",ISNUMBER(A2544)),VLOOKUP(A2544,Studies!A:BR,6,FALSE),"")</f>
        <v>Serum</v>
      </c>
      <c r="G2544" s="194">
        <v>146</v>
      </c>
      <c r="H2544" s="194" t="s">
        <v>60</v>
      </c>
      <c r="I2544" s="187">
        <v>11.08</v>
      </c>
      <c r="J2544" s="187" t="s">
        <v>1054</v>
      </c>
      <c r="K2544" s="187" t="s">
        <v>264</v>
      </c>
      <c r="L2544" s="195"/>
      <c r="M2544" s="195"/>
      <c r="N2544" s="195"/>
      <c r="O2544" s="199"/>
      <c r="P2544" s="188"/>
      <c r="Q2544" s="174">
        <f>IF(ISNUMBER(VLOOKUP(A2544,NotghiID!A:A,1,FALSE)),1,0)</f>
        <v>0</v>
      </c>
    </row>
    <row r="2545" spans="1:17" ht="14.25" x14ac:dyDescent="0.2">
      <c r="A2545" s="183">
        <f t="shared" si="6"/>
        <v>21</v>
      </c>
      <c r="B2545" s="232" t="str">
        <f>IF(AND(A2545&lt;&gt;"",ISNUMBER(A2545)),VLOOKUP(A2545,Studies!A:BR,2,FALSE),"")</f>
        <v>Acocella 1977</v>
      </c>
      <c r="C2545" s="232" t="str">
        <f>IF(AND(A2545&lt;&gt;"",ISNUMBER(A2545)),VLOOKUP(A2545,Studies!A:BR,3,FALSE),"")</f>
        <v>https://www.ncbi.nlm.nih.gov/pubmed/578447</v>
      </c>
      <c r="D2545" s="232" t="str">
        <f>IF(AND(A2545&lt;&gt;"",ISNUMBER(A2545)),VLOOKUP(A2545,Studies!A:BR,4,FALSE),"")</f>
        <v>Subject 13 (600 mg MD)</v>
      </c>
      <c r="E2545" s="206" t="str">
        <f>IF(AND(A2545&lt;&gt;"",ISNUMBER(A2545)),VLOOKUP(A2545,Studies!A:BR,5,FALSE),"")</f>
        <v>Rifampicin</v>
      </c>
      <c r="F2545" s="207" t="str">
        <f>IF(AND(A2545&lt;&gt;"",ISNUMBER(A2545)),VLOOKUP(A2545,Studies!A:BR,6,FALSE),"")</f>
        <v>Serum</v>
      </c>
      <c r="G2545" s="194">
        <v>148</v>
      </c>
      <c r="H2545" s="194" t="s">
        <v>60</v>
      </c>
      <c r="I2545" s="187">
        <v>8.68</v>
      </c>
      <c r="J2545" s="187" t="s">
        <v>1054</v>
      </c>
      <c r="K2545" s="187" t="s">
        <v>264</v>
      </c>
      <c r="L2545" s="195"/>
      <c r="M2545" s="195"/>
      <c r="N2545" s="195"/>
      <c r="O2545" s="199"/>
      <c r="P2545" s="188"/>
      <c r="Q2545" s="174">
        <f>IF(ISNUMBER(VLOOKUP(A2545,NotghiID!A:A,1,FALSE)),1,0)</f>
        <v>0</v>
      </c>
    </row>
    <row r="2546" spans="1:17" ht="14.25" x14ac:dyDescent="0.2">
      <c r="A2546" s="183">
        <f t="shared" si="6"/>
        <v>21</v>
      </c>
      <c r="B2546" s="232" t="str">
        <f>IF(AND(A2546&lt;&gt;"",ISNUMBER(A2546)),VLOOKUP(A2546,Studies!A:BR,2,FALSE),"")</f>
        <v>Acocella 1977</v>
      </c>
      <c r="C2546" s="232" t="str">
        <f>IF(AND(A2546&lt;&gt;"",ISNUMBER(A2546)),VLOOKUP(A2546,Studies!A:BR,3,FALSE),"")</f>
        <v>https://www.ncbi.nlm.nih.gov/pubmed/578447</v>
      </c>
      <c r="D2546" s="232" t="str">
        <f>IF(AND(A2546&lt;&gt;"",ISNUMBER(A2546)),VLOOKUP(A2546,Studies!A:BR,4,FALSE),"")</f>
        <v>Subject 13 (600 mg MD)</v>
      </c>
      <c r="E2546" s="206" t="str">
        <f>IF(AND(A2546&lt;&gt;"",ISNUMBER(A2546)),VLOOKUP(A2546,Studies!A:BR,5,FALSE),"")</f>
        <v>Rifampicin</v>
      </c>
      <c r="F2546" s="207" t="str">
        <f>IF(AND(A2546&lt;&gt;"",ISNUMBER(A2546)),VLOOKUP(A2546,Studies!A:BR,6,FALSE),"")</f>
        <v>Serum</v>
      </c>
      <c r="G2546" s="194">
        <v>152</v>
      </c>
      <c r="H2546" s="194" t="s">
        <v>60</v>
      </c>
      <c r="I2546" s="187">
        <v>1.77</v>
      </c>
      <c r="J2546" s="187" t="s">
        <v>1054</v>
      </c>
      <c r="K2546" s="187" t="s">
        <v>264</v>
      </c>
      <c r="L2546" s="195"/>
      <c r="M2546" s="195"/>
      <c r="N2546" s="195"/>
      <c r="O2546" s="199"/>
      <c r="P2546" s="188"/>
      <c r="Q2546" s="174">
        <f>IF(ISNUMBER(VLOOKUP(A2546,NotghiID!A:A,1,FALSE)),1,0)</f>
        <v>0</v>
      </c>
    </row>
    <row r="2547" spans="1:17" ht="14.25" x14ac:dyDescent="0.2">
      <c r="A2547" s="183">
        <f t="shared" si="6"/>
        <v>22</v>
      </c>
      <c r="B2547" s="232" t="str">
        <f>IF(AND(A2547&lt;&gt;"",ISNUMBER(A2547)),VLOOKUP(A2547,Studies!A:BR,2,FALSE),"")</f>
        <v>Acocella 1977</v>
      </c>
      <c r="C2547" s="232" t="str">
        <f>IF(AND(A2547&lt;&gt;"",ISNUMBER(A2547)),VLOOKUP(A2547,Studies!A:BR,3,FALSE),"")</f>
        <v>https://www.ncbi.nlm.nih.gov/pubmed/578447</v>
      </c>
      <c r="D2547" s="232" t="str">
        <f>IF(AND(A2547&lt;&gt;"",ISNUMBER(A2547)),VLOOKUP(A2547,Studies!A:BR,4,FALSE),"")</f>
        <v>Subject 14 (600 mg MD)</v>
      </c>
      <c r="E2547" s="206" t="str">
        <f>IF(AND(A2547&lt;&gt;"",ISNUMBER(A2547)),VLOOKUP(A2547,Studies!A:BR,5,FALSE),"")</f>
        <v>Rifampicin</v>
      </c>
      <c r="F2547" s="207" t="str">
        <f>IF(AND(A2547&lt;&gt;"",ISNUMBER(A2547)),VLOOKUP(A2547,Studies!A:BR,6,FALSE),"")</f>
        <v>Serum</v>
      </c>
      <c r="G2547" s="194">
        <v>0</v>
      </c>
      <c r="H2547" s="194" t="s">
        <v>60</v>
      </c>
      <c r="I2547" s="187">
        <v>0</v>
      </c>
      <c r="J2547" s="187" t="s">
        <v>1054</v>
      </c>
      <c r="K2547" s="187" t="s">
        <v>264</v>
      </c>
      <c r="L2547" s="195"/>
      <c r="M2547" s="195"/>
      <c r="N2547" s="195"/>
      <c r="O2547" s="199"/>
      <c r="P2547" s="188"/>
      <c r="Q2547" s="174">
        <f>IF(ISNUMBER(VLOOKUP(A2547,NotghiID!A:A,1,FALSE)),1,0)</f>
        <v>0</v>
      </c>
    </row>
    <row r="2548" spans="1:17" ht="14.25" x14ac:dyDescent="0.2">
      <c r="A2548" s="183">
        <f t="shared" si="6"/>
        <v>22</v>
      </c>
      <c r="B2548" s="232" t="str">
        <f>IF(AND(A2548&lt;&gt;"",ISNUMBER(A2548)),VLOOKUP(A2548,Studies!A:BR,2,FALSE),"")</f>
        <v>Acocella 1977</v>
      </c>
      <c r="C2548" s="232" t="str">
        <f>IF(AND(A2548&lt;&gt;"",ISNUMBER(A2548)),VLOOKUP(A2548,Studies!A:BR,3,FALSE),"")</f>
        <v>https://www.ncbi.nlm.nih.gov/pubmed/578447</v>
      </c>
      <c r="D2548" s="232" t="str">
        <f>IF(AND(A2548&lt;&gt;"",ISNUMBER(A2548)),VLOOKUP(A2548,Studies!A:BR,4,FALSE),"")</f>
        <v>Subject 14 (600 mg MD)</v>
      </c>
      <c r="E2548" s="206" t="str">
        <f>IF(AND(A2548&lt;&gt;"",ISNUMBER(A2548)),VLOOKUP(A2548,Studies!A:BR,5,FALSE),"")</f>
        <v>Rifampicin</v>
      </c>
      <c r="F2548" s="207" t="str">
        <f>IF(AND(A2548&lt;&gt;"",ISNUMBER(A2548)),VLOOKUP(A2548,Studies!A:BR,6,FALSE),"")</f>
        <v>Serum</v>
      </c>
      <c r="G2548" s="194">
        <v>0.5</v>
      </c>
      <c r="H2548" s="194" t="s">
        <v>60</v>
      </c>
      <c r="I2548" s="187">
        <v>3.47</v>
      </c>
      <c r="J2548" s="187" t="s">
        <v>1054</v>
      </c>
      <c r="K2548" s="187" t="s">
        <v>264</v>
      </c>
      <c r="L2548" s="195"/>
      <c r="M2548" s="195"/>
      <c r="N2548" s="195"/>
      <c r="O2548" s="199"/>
      <c r="P2548" s="188"/>
      <c r="Q2548" s="174">
        <f>IF(ISNUMBER(VLOOKUP(A2548,NotghiID!A:A,1,FALSE)),1,0)</f>
        <v>0</v>
      </c>
    </row>
    <row r="2549" spans="1:17" ht="14.25" x14ac:dyDescent="0.2">
      <c r="A2549" s="183">
        <f t="shared" si="6"/>
        <v>22</v>
      </c>
      <c r="B2549" s="232" t="str">
        <f>IF(AND(A2549&lt;&gt;"",ISNUMBER(A2549)),VLOOKUP(A2549,Studies!A:BR,2,FALSE),"")</f>
        <v>Acocella 1977</v>
      </c>
      <c r="C2549" s="232" t="str">
        <f>IF(AND(A2549&lt;&gt;"",ISNUMBER(A2549)),VLOOKUP(A2549,Studies!A:BR,3,FALSE),"")</f>
        <v>https://www.ncbi.nlm.nih.gov/pubmed/578447</v>
      </c>
      <c r="D2549" s="232" t="str">
        <f>IF(AND(A2549&lt;&gt;"",ISNUMBER(A2549)),VLOOKUP(A2549,Studies!A:BR,4,FALSE),"")</f>
        <v>Subject 14 (600 mg MD)</v>
      </c>
      <c r="E2549" s="206" t="str">
        <f>IF(AND(A2549&lt;&gt;"",ISNUMBER(A2549)),VLOOKUP(A2549,Studies!A:BR,5,FALSE),"")</f>
        <v>Rifampicin</v>
      </c>
      <c r="F2549" s="207" t="str">
        <f>IF(AND(A2549&lt;&gt;"",ISNUMBER(A2549)),VLOOKUP(A2549,Studies!A:BR,6,FALSE),"")</f>
        <v>Serum</v>
      </c>
      <c r="G2549" s="194">
        <v>1</v>
      </c>
      <c r="H2549" s="194" t="s">
        <v>60</v>
      </c>
      <c r="I2549" s="187">
        <v>5.43</v>
      </c>
      <c r="J2549" s="187" t="s">
        <v>1054</v>
      </c>
      <c r="K2549" s="187" t="s">
        <v>264</v>
      </c>
      <c r="L2549" s="195"/>
      <c r="M2549" s="195"/>
      <c r="N2549" s="195"/>
      <c r="O2549" s="199"/>
      <c r="P2549" s="188"/>
      <c r="Q2549" s="174">
        <f>IF(ISNUMBER(VLOOKUP(A2549,NotghiID!A:A,1,FALSE)),1,0)</f>
        <v>0</v>
      </c>
    </row>
    <row r="2550" spans="1:17" ht="14.25" x14ac:dyDescent="0.2">
      <c r="A2550" s="183">
        <f t="shared" si="6"/>
        <v>22</v>
      </c>
      <c r="B2550" s="232" t="str">
        <f>IF(AND(A2550&lt;&gt;"",ISNUMBER(A2550)),VLOOKUP(A2550,Studies!A:BR,2,FALSE),"")</f>
        <v>Acocella 1977</v>
      </c>
      <c r="C2550" s="232" t="str">
        <f>IF(AND(A2550&lt;&gt;"",ISNUMBER(A2550)),VLOOKUP(A2550,Studies!A:BR,3,FALSE),"")</f>
        <v>https://www.ncbi.nlm.nih.gov/pubmed/578447</v>
      </c>
      <c r="D2550" s="232" t="str">
        <f>IF(AND(A2550&lt;&gt;"",ISNUMBER(A2550)),VLOOKUP(A2550,Studies!A:BR,4,FALSE),"")</f>
        <v>Subject 14 (600 mg MD)</v>
      </c>
      <c r="E2550" s="206" t="str">
        <f>IF(AND(A2550&lt;&gt;"",ISNUMBER(A2550)),VLOOKUP(A2550,Studies!A:BR,5,FALSE),"")</f>
        <v>Rifampicin</v>
      </c>
      <c r="F2550" s="207" t="str">
        <f>IF(AND(A2550&lt;&gt;"",ISNUMBER(A2550)),VLOOKUP(A2550,Studies!A:BR,6,FALSE),"")</f>
        <v>Serum</v>
      </c>
      <c r="G2550" s="194">
        <v>2</v>
      </c>
      <c r="H2550" s="194" t="s">
        <v>60</v>
      </c>
      <c r="I2550" s="187">
        <v>10.02</v>
      </c>
      <c r="J2550" s="187" t="s">
        <v>1054</v>
      </c>
      <c r="K2550" s="187" t="s">
        <v>264</v>
      </c>
      <c r="L2550" s="195"/>
      <c r="M2550" s="195"/>
      <c r="N2550" s="195"/>
      <c r="O2550" s="199"/>
      <c r="P2550" s="188"/>
      <c r="Q2550" s="174">
        <f>IF(ISNUMBER(VLOOKUP(A2550,NotghiID!A:A,1,FALSE)),1,0)</f>
        <v>0</v>
      </c>
    </row>
    <row r="2551" spans="1:17" ht="14.25" x14ac:dyDescent="0.2">
      <c r="A2551" s="183">
        <f t="shared" si="6"/>
        <v>22</v>
      </c>
      <c r="B2551" s="232" t="str">
        <f>IF(AND(A2551&lt;&gt;"",ISNUMBER(A2551)),VLOOKUP(A2551,Studies!A:BR,2,FALSE),"")</f>
        <v>Acocella 1977</v>
      </c>
      <c r="C2551" s="232" t="str">
        <f>IF(AND(A2551&lt;&gt;"",ISNUMBER(A2551)),VLOOKUP(A2551,Studies!A:BR,3,FALSE),"")</f>
        <v>https://www.ncbi.nlm.nih.gov/pubmed/578447</v>
      </c>
      <c r="D2551" s="232" t="str">
        <f>IF(AND(A2551&lt;&gt;"",ISNUMBER(A2551)),VLOOKUP(A2551,Studies!A:BR,4,FALSE),"")</f>
        <v>Subject 14 (600 mg MD)</v>
      </c>
      <c r="E2551" s="206" t="str">
        <f>IF(AND(A2551&lt;&gt;"",ISNUMBER(A2551)),VLOOKUP(A2551,Studies!A:BR,5,FALSE),"")</f>
        <v>Rifampicin</v>
      </c>
      <c r="F2551" s="207" t="str">
        <f>IF(AND(A2551&lt;&gt;"",ISNUMBER(A2551)),VLOOKUP(A2551,Studies!A:BR,6,FALSE),"")</f>
        <v>Serum</v>
      </c>
      <c r="G2551" s="194">
        <v>4</v>
      </c>
      <c r="H2551" s="194" t="s">
        <v>60</v>
      </c>
      <c r="I2551" s="187">
        <v>6.71</v>
      </c>
      <c r="J2551" s="187" t="s">
        <v>1054</v>
      </c>
      <c r="K2551" s="187" t="s">
        <v>264</v>
      </c>
      <c r="L2551" s="195"/>
      <c r="M2551" s="195"/>
      <c r="N2551" s="195"/>
      <c r="O2551" s="199"/>
      <c r="P2551" s="188"/>
      <c r="Q2551" s="174">
        <f>IF(ISNUMBER(VLOOKUP(A2551,NotghiID!A:A,1,FALSE)),1,0)</f>
        <v>0</v>
      </c>
    </row>
    <row r="2552" spans="1:17" ht="14.25" x14ac:dyDescent="0.2">
      <c r="A2552" s="183">
        <f t="shared" si="6"/>
        <v>22</v>
      </c>
      <c r="B2552" s="232" t="str">
        <f>IF(AND(A2552&lt;&gt;"",ISNUMBER(A2552)),VLOOKUP(A2552,Studies!A:BR,2,FALSE),"")</f>
        <v>Acocella 1977</v>
      </c>
      <c r="C2552" s="232" t="str">
        <f>IF(AND(A2552&lt;&gt;"",ISNUMBER(A2552)),VLOOKUP(A2552,Studies!A:BR,3,FALSE),"")</f>
        <v>https://www.ncbi.nlm.nih.gov/pubmed/578447</v>
      </c>
      <c r="D2552" s="232" t="str">
        <f>IF(AND(A2552&lt;&gt;"",ISNUMBER(A2552)),VLOOKUP(A2552,Studies!A:BR,4,FALSE),"")</f>
        <v>Subject 14 (600 mg MD)</v>
      </c>
      <c r="E2552" s="206" t="str">
        <f>IF(AND(A2552&lt;&gt;"",ISNUMBER(A2552)),VLOOKUP(A2552,Studies!A:BR,5,FALSE),"")</f>
        <v>Rifampicin</v>
      </c>
      <c r="F2552" s="207" t="str">
        <f>IF(AND(A2552&lt;&gt;"",ISNUMBER(A2552)),VLOOKUP(A2552,Studies!A:BR,6,FALSE),"")</f>
        <v>Serum</v>
      </c>
      <c r="G2552" s="194">
        <v>8</v>
      </c>
      <c r="H2552" s="194" t="s">
        <v>60</v>
      </c>
      <c r="I2552" s="187">
        <v>3.26</v>
      </c>
      <c r="J2552" s="187" t="s">
        <v>1054</v>
      </c>
      <c r="K2552" s="187" t="s">
        <v>264</v>
      </c>
      <c r="L2552" s="195"/>
      <c r="M2552" s="195"/>
      <c r="N2552" s="195"/>
      <c r="O2552" s="199"/>
      <c r="P2552" s="188"/>
      <c r="Q2552" s="174">
        <f>IF(ISNUMBER(VLOOKUP(A2552,NotghiID!A:A,1,FALSE)),1,0)</f>
        <v>0</v>
      </c>
    </row>
    <row r="2553" spans="1:17" ht="14.25" x14ac:dyDescent="0.2">
      <c r="A2553" s="183">
        <f t="shared" si="6"/>
        <v>22</v>
      </c>
      <c r="B2553" s="232" t="str">
        <f>IF(AND(A2553&lt;&gt;"",ISNUMBER(A2553)),VLOOKUP(A2553,Studies!A:BR,2,FALSE),"")</f>
        <v>Acocella 1977</v>
      </c>
      <c r="C2553" s="232" t="str">
        <f>IF(AND(A2553&lt;&gt;"",ISNUMBER(A2553)),VLOOKUP(A2553,Studies!A:BR,3,FALSE),"")</f>
        <v>https://www.ncbi.nlm.nih.gov/pubmed/578447</v>
      </c>
      <c r="D2553" s="232" t="str">
        <f>IF(AND(A2553&lt;&gt;"",ISNUMBER(A2553)),VLOOKUP(A2553,Studies!A:BR,4,FALSE),"")</f>
        <v>Subject 14 (600 mg MD)</v>
      </c>
      <c r="E2553" s="206" t="str">
        <f>IF(AND(A2553&lt;&gt;"",ISNUMBER(A2553)),VLOOKUP(A2553,Studies!A:BR,5,FALSE),"")</f>
        <v>Rifampicin</v>
      </c>
      <c r="F2553" s="207" t="str">
        <f>IF(AND(A2553&lt;&gt;"",ISNUMBER(A2553)),VLOOKUP(A2553,Studies!A:BR,6,FALSE),"")</f>
        <v>Serum</v>
      </c>
      <c r="G2553" s="194">
        <v>72</v>
      </c>
      <c r="H2553" s="194" t="s">
        <v>60</v>
      </c>
      <c r="I2553" s="187">
        <v>0</v>
      </c>
      <c r="J2553" s="187" t="s">
        <v>1054</v>
      </c>
      <c r="K2553" s="187" t="s">
        <v>264</v>
      </c>
      <c r="L2553" s="195"/>
      <c r="M2553" s="195"/>
      <c r="N2553" s="195"/>
      <c r="O2553" s="199"/>
      <c r="P2553" s="188"/>
      <c r="Q2553" s="174">
        <f>IF(ISNUMBER(VLOOKUP(A2553,NotghiID!A:A,1,FALSE)),1,0)</f>
        <v>0</v>
      </c>
    </row>
    <row r="2554" spans="1:17" ht="14.25" x14ac:dyDescent="0.2">
      <c r="A2554" s="183">
        <f t="shared" si="6"/>
        <v>22</v>
      </c>
      <c r="B2554" s="232" t="str">
        <f>IF(AND(A2554&lt;&gt;"",ISNUMBER(A2554)),VLOOKUP(A2554,Studies!A:BR,2,FALSE),"")</f>
        <v>Acocella 1977</v>
      </c>
      <c r="C2554" s="232" t="str">
        <f>IF(AND(A2554&lt;&gt;"",ISNUMBER(A2554)),VLOOKUP(A2554,Studies!A:BR,3,FALSE),"")</f>
        <v>https://www.ncbi.nlm.nih.gov/pubmed/578447</v>
      </c>
      <c r="D2554" s="232" t="str">
        <f>IF(AND(A2554&lt;&gt;"",ISNUMBER(A2554)),VLOOKUP(A2554,Studies!A:BR,4,FALSE),"")</f>
        <v>Subject 14 (600 mg MD)</v>
      </c>
      <c r="E2554" s="206" t="str">
        <f>IF(AND(A2554&lt;&gt;"",ISNUMBER(A2554)),VLOOKUP(A2554,Studies!A:BR,5,FALSE),"")</f>
        <v>Rifampicin</v>
      </c>
      <c r="F2554" s="207" t="str">
        <f>IF(AND(A2554&lt;&gt;"",ISNUMBER(A2554)),VLOOKUP(A2554,Studies!A:BR,6,FALSE),"")</f>
        <v>Serum</v>
      </c>
      <c r="G2554" s="194">
        <v>72.5</v>
      </c>
      <c r="H2554" s="194" t="s">
        <v>60</v>
      </c>
      <c r="I2554" s="187">
        <v>3.36</v>
      </c>
      <c r="J2554" s="187" t="s">
        <v>1054</v>
      </c>
      <c r="K2554" s="187" t="s">
        <v>264</v>
      </c>
      <c r="L2554" s="195"/>
      <c r="M2554" s="195"/>
      <c r="N2554" s="195"/>
      <c r="O2554" s="199"/>
      <c r="P2554" s="188"/>
      <c r="Q2554" s="174">
        <f>IF(ISNUMBER(VLOOKUP(A2554,NotghiID!A:A,1,FALSE)),1,0)</f>
        <v>0</v>
      </c>
    </row>
    <row r="2555" spans="1:17" ht="14.25" x14ac:dyDescent="0.2">
      <c r="A2555" s="183">
        <f t="shared" si="6"/>
        <v>22</v>
      </c>
      <c r="B2555" s="232" t="str">
        <f>IF(AND(A2555&lt;&gt;"",ISNUMBER(A2555)),VLOOKUP(A2555,Studies!A:BR,2,FALSE),"")</f>
        <v>Acocella 1977</v>
      </c>
      <c r="C2555" s="232" t="str">
        <f>IF(AND(A2555&lt;&gt;"",ISNUMBER(A2555)),VLOOKUP(A2555,Studies!A:BR,3,FALSE),"")</f>
        <v>https://www.ncbi.nlm.nih.gov/pubmed/578447</v>
      </c>
      <c r="D2555" s="232" t="str">
        <f>IF(AND(A2555&lt;&gt;"",ISNUMBER(A2555)),VLOOKUP(A2555,Studies!A:BR,4,FALSE),"")</f>
        <v>Subject 14 (600 mg MD)</v>
      </c>
      <c r="E2555" s="206" t="str">
        <f>IF(AND(A2555&lt;&gt;"",ISNUMBER(A2555)),VLOOKUP(A2555,Studies!A:BR,5,FALSE),"")</f>
        <v>Rifampicin</v>
      </c>
      <c r="F2555" s="207" t="str">
        <f>IF(AND(A2555&lt;&gt;"",ISNUMBER(A2555)),VLOOKUP(A2555,Studies!A:BR,6,FALSE),"")</f>
        <v>Serum</v>
      </c>
      <c r="G2555" s="194">
        <v>73</v>
      </c>
      <c r="H2555" s="194" t="s">
        <v>60</v>
      </c>
      <c r="I2555" s="187">
        <v>6.05</v>
      </c>
      <c r="J2555" s="187" t="s">
        <v>1054</v>
      </c>
      <c r="K2555" s="187" t="s">
        <v>264</v>
      </c>
      <c r="L2555" s="195"/>
      <c r="M2555" s="195"/>
      <c r="N2555" s="195"/>
      <c r="O2555" s="199"/>
      <c r="P2555" s="188"/>
      <c r="Q2555" s="174">
        <f>IF(ISNUMBER(VLOOKUP(A2555,NotghiID!A:A,1,FALSE)),1,0)</f>
        <v>0</v>
      </c>
    </row>
    <row r="2556" spans="1:17" ht="14.25" x14ac:dyDescent="0.2">
      <c r="A2556" s="183">
        <f t="shared" si="6"/>
        <v>22</v>
      </c>
      <c r="B2556" s="232" t="str">
        <f>IF(AND(A2556&lt;&gt;"",ISNUMBER(A2556)),VLOOKUP(A2556,Studies!A:BR,2,FALSE),"")</f>
        <v>Acocella 1977</v>
      </c>
      <c r="C2556" s="232" t="str">
        <f>IF(AND(A2556&lt;&gt;"",ISNUMBER(A2556)),VLOOKUP(A2556,Studies!A:BR,3,FALSE),"")</f>
        <v>https://www.ncbi.nlm.nih.gov/pubmed/578447</v>
      </c>
      <c r="D2556" s="232" t="str">
        <f>IF(AND(A2556&lt;&gt;"",ISNUMBER(A2556)),VLOOKUP(A2556,Studies!A:BR,4,FALSE),"")</f>
        <v>Subject 14 (600 mg MD)</v>
      </c>
      <c r="E2556" s="206" t="str">
        <f>IF(AND(A2556&lt;&gt;"",ISNUMBER(A2556)),VLOOKUP(A2556,Studies!A:BR,5,FALSE),"")</f>
        <v>Rifampicin</v>
      </c>
      <c r="F2556" s="207" t="str">
        <f>IF(AND(A2556&lt;&gt;"",ISNUMBER(A2556)),VLOOKUP(A2556,Studies!A:BR,6,FALSE),"")</f>
        <v>Serum</v>
      </c>
      <c r="G2556" s="194">
        <v>74</v>
      </c>
      <c r="H2556" s="194" t="s">
        <v>60</v>
      </c>
      <c r="I2556" s="187">
        <v>9.7100000000000009</v>
      </c>
      <c r="J2556" s="187" t="s">
        <v>1054</v>
      </c>
      <c r="K2556" s="187" t="s">
        <v>264</v>
      </c>
      <c r="L2556" s="195"/>
      <c r="M2556" s="195"/>
      <c r="N2556" s="195"/>
      <c r="O2556" s="199"/>
      <c r="P2556" s="188"/>
      <c r="Q2556" s="174">
        <f>IF(ISNUMBER(VLOOKUP(A2556,NotghiID!A:A,1,FALSE)),1,0)</f>
        <v>0</v>
      </c>
    </row>
    <row r="2557" spans="1:17" ht="14.25" x14ac:dyDescent="0.2">
      <c r="A2557" s="183">
        <f t="shared" si="6"/>
        <v>22</v>
      </c>
      <c r="B2557" s="232" t="str">
        <f>IF(AND(A2557&lt;&gt;"",ISNUMBER(A2557)),VLOOKUP(A2557,Studies!A:BR,2,FALSE),"")</f>
        <v>Acocella 1977</v>
      </c>
      <c r="C2557" s="232" t="str">
        <f>IF(AND(A2557&lt;&gt;"",ISNUMBER(A2557)),VLOOKUP(A2557,Studies!A:BR,3,FALSE),"")</f>
        <v>https://www.ncbi.nlm.nih.gov/pubmed/578447</v>
      </c>
      <c r="D2557" s="232" t="str">
        <f>IF(AND(A2557&lt;&gt;"",ISNUMBER(A2557)),VLOOKUP(A2557,Studies!A:BR,4,FALSE),"")</f>
        <v>Subject 14 (600 mg MD)</v>
      </c>
      <c r="E2557" s="206" t="str">
        <f>IF(AND(A2557&lt;&gt;"",ISNUMBER(A2557)),VLOOKUP(A2557,Studies!A:BR,5,FALSE),"")</f>
        <v>Rifampicin</v>
      </c>
      <c r="F2557" s="207" t="str">
        <f>IF(AND(A2557&lt;&gt;"",ISNUMBER(A2557)),VLOOKUP(A2557,Studies!A:BR,6,FALSE),"")</f>
        <v>Serum</v>
      </c>
      <c r="G2557" s="194">
        <v>76</v>
      </c>
      <c r="H2557" s="194" t="s">
        <v>60</v>
      </c>
      <c r="I2557" s="187">
        <v>6.61</v>
      </c>
      <c r="J2557" s="187" t="s">
        <v>1054</v>
      </c>
      <c r="K2557" s="187" t="s">
        <v>264</v>
      </c>
      <c r="L2557" s="195"/>
      <c r="M2557" s="195"/>
      <c r="N2557" s="195"/>
      <c r="O2557" s="199"/>
      <c r="P2557" s="188"/>
      <c r="Q2557" s="174">
        <f>IF(ISNUMBER(VLOOKUP(A2557,NotghiID!A:A,1,FALSE)),1,0)</f>
        <v>0</v>
      </c>
    </row>
    <row r="2558" spans="1:17" ht="14.25" x14ac:dyDescent="0.2">
      <c r="A2558" s="183">
        <f t="shared" ref="A2558:A2582" si="7">A2540+1</f>
        <v>22</v>
      </c>
      <c r="B2558" s="232" t="str">
        <f>IF(AND(A2558&lt;&gt;"",ISNUMBER(A2558)),VLOOKUP(A2558,Studies!A:BR,2,FALSE),"")</f>
        <v>Acocella 1977</v>
      </c>
      <c r="C2558" s="232" t="str">
        <f>IF(AND(A2558&lt;&gt;"",ISNUMBER(A2558)),VLOOKUP(A2558,Studies!A:BR,3,FALSE),"")</f>
        <v>https://www.ncbi.nlm.nih.gov/pubmed/578447</v>
      </c>
      <c r="D2558" s="232" t="str">
        <f>IF(AND(A2558&lt;&gt;"",ISNUMBER(A2558)),VLOOKUP(A2558,Studies!A:BR,4,FALSE),"")</f>
        <v>Subject 14 (600 mg MD)</v>
      </c>
      <c r="E2558" s="206" t="str">
        <f>IF(AND(A2558&lt;&gt;"",ISNUMBER(A2558)),VLOOKUP(A2558,Studies!A:BR,5,FALSE),"")</f>
        <v>Rifampicin</v>
      </c>
      <c r="F2558" s="207" t="str">
        <f>IF(AND(A2558&lt;&gt;"",ISNUMBER(A2558)),VLOOKUP(A2558,Studies!A:BR,6,FALSE),"")</f>
        <v>Serum</v>
      </c>
      <c r="G2558" s="194">
        <v>80</v>
      </c>
      <c r="H2558" s="194" t="s">
        <v>60</v>
      </c>
      <c r="I2558" s="187">
        <v>2.98</v>
      </c>
      <c r="J2558" s="187" t="s">
        <v>1054</v>
      </c>
      <c r="K2558" s="187" t="s">
        <v>264</v>
      </c>
      <c r="L2558" s="195"/>
      <c r="M2558" s="195"/>
      <c r="N2558" s="195"/>
      <c r="O2558" s="199"/>
      <c r="P2558" s="188"/>
      <c r="Q2558" s="174">
        <f>IF(ISNUMBER(VLOOKUP(A2558,NotghiID!A:A,1,FALSE)),1,0)</f>
        <v>0</v>
      </c>
    </row>
    <row r="2559" spans="1:17" ht="14.25" x14ac:dyDescent="0.2">
      <c r="A2559" s="183">
        <f t="shared" si="7"/>
        <v>22</v>
      </c>
      <c r="B2559" s="232" t="str">
        <f>IF(AND(A2559&lt;&gt;"",ISNUMBER(A2559)),VLOOKUP(A2559,Studies!A:BR,2,FALSE),"")</f>
        <v>Acocella 1977</v>
      </c>
      <c r="C2559" s="232" t="str">
        <f>IF(AND(A2559&lt;&gt;"",ISNUMBER(A2559)),VLOOKUP(A2559,Studies!A:BR,3,FALSE),"")</f>
        <v>https://www.ncbi.nlm.nih.gov/pubmed/578447</v>
      </c>
      <c r="D2559" s="232" t="str">
        <f>IF(AND(A2559&lt;&gt;"",ISNUMBER(A2559)),VLOOKUP(A2559,Studies!A:BR,4,FALSE),"")</f>
        <v>Subject 14 (600 mg MD)</v>
      </c>
      <c r="E2559" s="206" t="str">
        <f>IF(AND(A2559&lt;&gt;"",ISNUMBER(A2559)),VLOOKUP(A2559,Studies!A:BR,5,FALSE),"")</f>
        <v>Rifampicin</v>
      </c>
      <c r="F2559" s="207" t="str">
        <f>IF(AND(A2559&lt;&gt;"",ISNUMBER(A2559)),VLOOKUP(A2559,Studies!A:BR,6,FALSE),"")</f>
        <v>Serum</v>
      </c>
      <c r="G2559" s="194">
        <v>144</v>
      </c>
      <c r="H2559" s="194" t="s">
        <v>60</v>
      </c>
      <c r="I2559" s="187">
        <v>0</v>
      </c>
      <c r="J2559" s="187" t="s">
        <v>1054</v>
      </c>
      <c r="K2559" s="187" t="s">
        <v>264</v>
      </c>
      <c r="L2559" s="195"/>
      <c r="M2559" s="195"/>
      <c r="N2559" s="195"/>
      <c r="O2559" s="199"/>
      <c r="P2559" s="188"/>
      <c r="Q2559" s="174">
        <f>IF(ISNUMBER(VLOOKUP(A2559,NotghiID!A:A,1,FALSE)),1,0)</f>
        <v>0</v>
      </c>
    </row>
    <row r="2560" spans="1:17" ht="14.25" x14ac:dyDescent="0.2">
      <c r="A2560" s="183">
        <f t="shared" si="7"/>
        <v>22</v>
      </c>
      <c r="B2560" s="232" t="str">
        <f>IF(AND(A2560&lt;&gt;"",ISNUMBER(A2560)),VLOOKUP(A2560,Studies!A:BR,2,FALSE),"")</f>
        <v>Acocella 1977</v>
      </c>
      <c r="C2560" s="232" t="str">
        <f>IF(AND(A2560&lt;&gt;"",ISNUMBER(A2560)),VLOOKUP(A2560,Studies!A:BR,3,FALSE),"")</f>
        <v>https://www.ncbi.nlm.nih.gov/pubmed/578447</v>
      </c>
      <c r="D2560" s="232" t="str">
        <f>IF(AND(A2560&lt;&gt;"",ISNUMBER(A2560)),VLOOKUP(A2560,Studies!A:BR,4,FALSE),"")</f>
        <v>Subject 14 (600 mg MD)</v>
      </c>
      <c r="E2560" s="206" t="str">
        <f>IF(AND(A2560&lt;&gt;"",ISNUMBER(A2560)),VLOOKUP(A2560,Studies!A:BR,5,FALSE),"")</f>
        <v>Rifampicin</v>
      </c>
      <c r="F2560" s="207" t="str">
        <f>IF(AND(A2560&lt;&gt;"",ISNUMBER(A2560)),VLOOKUP(A2560,Studies!A:BR,6,FALSE),"")</f>
        <v>Serum</v>
      </c>
      <c r="G2560" s="194">
        <v>144.5</v>
      </c>
      <c r="H2560" s="194" t="s">
        <v>60</v>
      </c>
      <c r="I2560" s="187">
        <v>3.48</v>
      </c>
      <c r="J2560" s="187" t="s">
        <v>1054</v>
      </c>
      <c r="K2560" s="187" t="s">
        <v>264</v>
      </c>
      <c r="L2560" s="195"/>
      <c r="M2560" s="195"/>
      <c r="N2560" s="195"/>
      <c r="O2560" s="199"/>
      <c r="P2560" s="188"/>
      <c r="Q2560" s="174">
        <f>IF(ISNUMBER(VLOOKUP(A2560,NotghiID!A:A,1,FALSE)),1,0)</f>
        <v>0</v>
      </c>
    </row>
    <row r="2561" spans="1:17" ht="14.25" x14ac:dyDescent="0.2">
      <c r="A2561" s="183">
        <f t="shared" si="7"/>
        <v>22</v>
      </c>
      <c r="B2561" s="232" t="str">
        <f>IF(AND(A2561&lt;&gt;"",ISNUMBER(A2561)),VLOOKUP(A2561,Studies!A:BR,2,FALSE),"")</f>
        <v>Acocella 1977</v>
      </c>
      <c r="C2561" s="232" t="str">
        <f>IF(AND(A2561&lt;&gt;"",ISNUMBER(A2561)),VLOOKUP(A2561,Studies!A:BR,3,FALSE),"")</f>
        <v>https://www.ncbi.nlm.nih.gov/pubmed/578447</v>
      </c>
      <c r="D2561" s="232" t="str">
        <f>IF(AND(A2561&lt;&gt;"",ISNUMBER(A2561)),VLOOKUP(A2561,Studies!A:BR,4,FALSE),"")</f>
        <v>Subject 14 (600 mg MD)</v>
      </c>
      <c r="E2561" s="206" t="str">
        <f>IF(AND(A2561&lt;&gt;"",ISNUMBER(A2561)),VLOOKUP(A2561,Studies!A:BR,5,FALSE),"")</f>
        <v>Rifampicin</v>
      </c>
      <c r="F2561" s="207" t="str">
        <f>IF(AND(A2561&lt;&gt;"",ISNUMBER(A2561)),VLOOKUP(A2561,Studies!A:BR,6,FALSE),"")</f>
        <v>Serum</v>
      </c>
      <c r="G2561" s="194">
        <v>145</v>
      </c>
      <c r="H2561" s="194" t="s">
        <v>60</v>
      </c>
      <c r="I2561" s="187">
        <v>4.9800000000000004</v>
      </c>
      <c r="J2561" s="187" t="s">
        <v>1054</v>
      </c>
      <c r="K2561" s="187" t="s">
        <v>264</v>
      </c>
      <c r="L2561" s="195"/>
      <c r="M2561" s="195"/>
      <c r="N2561" s="195"/>
      <c r="O2561" s="199"/>
      <c r="P2561" s="188"/>
      <c r="Q2561" s="174">
        <f>IF(ISNUMBER(VLOOKUP(A2561,NotghiID!A:A,1,FALSE)),1,0)</f>
        <v>0</v>
      </c>
    </row>
    <row r="2562" spans="1:17" ht="14.25" x14ac:dyDescent="0.2">
      <c r="A2562" s="183">
        <f t="shared" si="7"/>
        <v>22</v>
      </c>
      <c r="B2562" s="232" t="str">
        <f>IF(AND(A2562&lt;&gt;"",ISNUMBER(A2562)),VLOOKUP(A2562,Studies!A:BR,2,FALSE),"")</f>
        <v>Acocella 1977</v>
      </c>
      <c r="C2562" s="232" t="str">
        <f>IF(AND(A2562&lt;&gt;"",ISNUMBER(A2562)),VLOOKUP(A2562,Studies!A:BR,3,FALSE),"")</f>
        <v>https://www.ncbi.nlm.nih.gov/pubmed/578447</v>
      </c>
      <c r="D2562" s="232" t="str">
        <f>IF(AND(A2562&lt;&gt;"",ISNUMBER(A2562)),VLOOKUP(A2562,Studies!A:BR,4,FALSE),"")</f>
        <v>Subject 14 (600 mg MD)</v>
      </c>
      <c r="E2562" s="206" t="str">
        <f>IF(AND(A2562&lt;&gt;"",ISNUMBER(A2562)),VLOOKUP(A2562,Studies!A:BR,5,FALSE),"")</f>
        <v>Rifampicin</v>
      </c>
      <c r="F2562" s="207" t="str">
        <f>IF(AND(A2562&lt;&gt;"",ISNUMBER(A2562)),VLOOKUP(A2562,Studies!A:BR,6,FALSE),"")</f>
        <v>Serum</v>
      </c>
      <c r="G2562" s="194">
        <v>146</v>
      </c>
      <c r="H2562" s="194" t="s">
        <v>60</v>
      </c>
      <c r="I2562" s="187">
        <v>9.6199999999999992</v>
      </c>
      <c r="J2562" s="187" t="s">
        <v>1054</v>
      </c>
      <c r="K2562" s="187" t="s">
        <v>264</v>
      </c>
      <c r="L2562" s="195"/>
      <c r="M2562" s="195"/>
      <c r="N2562" s="195"/>
      <c r="O2562" s="199"/>
      <c r="P2562" s="188"/>
      <c r="Q2562" s="174">
        <f>IF(ISNUMBER(VLOOKUP(A2562,NotghiID!A:A,1,FALSE)),1,0)</f>
        <v>0</v>
      </c>
    </row>
    <row r="2563" spans="1:17" ht="14.25" x14ac:dyDescent="0.2">
      <c r="A2563" s="183">
        <f t="shared" si="7"/>
        <v>22</v>
      </c>
      <c r="B2563" s="232" t="str">
        <f>IF(AND(A2563&lt;&gt;"",ISNUMBER(A2563)),VLOOKUP(A2563,Studies!A:BR,2,FALSE),"")</f>
        <v>Acocella 1977</v>
      </c>
      <c r="C2563" s="232" t="str">
        <f>IF(AND(A2563&lt;&gt;"",ISNUMBER(A2563)),VLOOKUP(A2563,Studies!A:BR,3,FALSE),"")</f>
        <v>https://www.ncbi.nlm.nih.gov/pubmed/578447</v>
      </c>
      <c r="D2563" s="232" t="str">
        <f>IF(AND(A2563&lt;&gt;"",ISNUMBER(A2563)),VLOOKUP(A2563,Studies!A:BR,4,FALSE),"")</f>
        <v>Subject 14 (600 mg MD)</v>
      </c>
      <c r="E2563" s="206" t="str">
        <f>IF(AND(A2563&lt;&gt;"",ISNUMBER(A2563)),VLOOKUP(A2563,Studies!A:BR,5,FALSE),"")</f>
        <v>Rifampicin</v>
      </c>
      <c r="F2563" s="207" t="str">
        <f>IF(AND(A2563&lt;&gt;"",ISNUMBER(A2563)),VLOOKUP(A2563,Studies!A:BR,6,FALSE),"")</f>
        <v>Serum</v>
      </c>
      <c r="G2563" s="194">
        <v>148</v>
      </c>
      <c r="H2563" s="194" t="s">
        <v>60</v>
      </c>
      <c r="I2563" s="187">
        <v>6.97</v>
      </c>
      <c r="J2563" s="187" t="s">
        <v>1054</v>
      </c>
      <c r="K2563" s="187" t="s">
        <v>264</v>
      </c>
      <c r="L2563" s="195"/>
      <c r="M2563" s="195"/>
      <c r="N2563" s="195"/>
      <c r="O2563" s="199"/>
      <c r="P2563" s="188"/>
      <c r="Q2563" s="174">
        <f>IF(ISNUMBER(VLOOKUP(A2563,NotghiID!A:A,1,FALSE)),1,0)</f>
        <v>0</v>
      </c>
    </row>
    <row r="2564" spans="1:17" ht="14.25" x14ac:dyDescent="0.2">
      <c r="A2564" s="183">
        <f t="shared" si="7"/>
        <v>22</v>
      </c>
      <c r="B2564" s="232" t="str">
        <f>IF(AND(A2564&lt;&gt;"",ISNUMBER(A2564)),VLOOKUP(A2564,Studies!A:BR,2,FALSE),"")</f>
        <v>Acocella 1977</v>
      </c>
      <c r="C2564" s="232" t="str">
        <f>IF(AND(A2564&lt;&gt;"",ISNUMBER(A2564)),VLOOKUP(A2564,Studies!A:BR,3,FALSE),"")</f>
        <v>https://www.ncbi.nlm.nih.gov/pubmed/578447</v>
      </c>
      <c r="D2564" s="232" t="str">
        <f>IF(AND(A2564&lt;&gt;"",ISNUMBER(A2564)),VLOOKUP(A2564,Studies!A:BR,4,FALSE),"")</f>
        <v>Subject 14 (600 mg MD)</v>
      </c>
      <c r="E2564" s="206" t="str">
        <f>IF(AND(A2564&lt;&gt;"",ISNUMBER(A2564)),VLOOKUP(A2564,Studies!A:BR,5,FALSE),"")</f>
        <v>Rifampicin</v>
      </c>
      <c r="F2564" s="207" t="str">
        <f>IF(AND(A2564&lt;&gt;"",ISNUMBER(A2564)),VLOOKUP(A2564,Studies!A:BR,6,FALSE),"")</f>
        <v>Serum</v>
      </c>
      <c r="G2564" s="194">
        <v>152</v>
      </c>
      <c r="H2564" s="194" t="s">
        <v>60</v>
      </c>
      <c r="I2564" s="187">
        <v>1.69</v>
      </c>
      <c r="J2564" s="187" t="s">
        <v>1054</v>
      </c>
      <c r="K2564" s="187" t="s">
        <v>264</v>
      </c>
      <c r="L2564" s="195"/>
      <c r="M2564" s="195"/>
      <c r="N2564" s="195"/>
      <c r="O2564" s="199"/>
      <c r="P2564" s="188"/>
      <c r="Q2564" s="174">
        <f>IF(ISNUMBER(VLOOKUP(A2564,NotghiID!A:A,1,FALSE)),1,0)</f>
        <v>0</v>
      </c>
    </row>
    <row r="2565" spans="1:17" ht="14.25" x14ac:dyDescent="0.2">
      <c r="A2565" s="183">
        <f t="shared" si="7"/>
        <v>23</v>
      </c>
      <c r="B2565" s="232" t="str">
        <f>IF(AND(A2565&lt;&gt;"",ISNUMBER(A2565)),VLOOKUP(A2565,Studies!A:BR,2,FALSE),"")</f>
        <v>Acocella 1977</v>
      </c>
      <c r="C2565" s="232" t="str">
        <f>IF(AND(A2565&lt;&gt;"",ISNUMBER(A2565)),VLOOKUP(A2565,Studies!A:BR,3,FALSE),"")</f>
        <v>https://www.ncbi.nlm.nih.gov/pubmed/578447</v>
      </c>
      <c r="D2565" s="232" t="str">
        <f>IF(AND(A2565&lt;&gt;"",ISNUMBER(A2565)),VLOOKUP(A2565,Studies!A:BR,4,FALSE),"")</f>
        <v>mean 600 mg MD</v>
      </c>
      <c r="E2565" s="206" t="str">
        <f>IF(AND(A2565&lt;&gt;"",ISNUMBER(A2565)),VLOOKUP(A2565,Studies!A:BR,5,FALSE),"")</f>
        <v>Rifampicin</v>
      </c>
      <c r="F2565" s="207" t="str">
        <f>IF(AND(A2565&lt;&gt;"",ISNUMBER(A2565)),VLOOKUP(A2565,Studies!A:BR,6,FALSE),"")</f>
        <v>Serum</v>
      </c>
      <c r="G2565" s="194">
        <v>0</v>
      </c>
      <c r="H2565" s="194" t="s">
        <v>60</v>
      </c>
      <c r="I2565" s="187">
        <v>0</v>
      </c>
      <c r="J2565" s="187" t="s">
        <v>1054</v>
      </c>
      <c r="K2565" s="187" t="s">
        <v>116</v>
      </c>
      <c r="L2565" s="195">
        <v>0</v>
      </c>
      <c r="M2565" s="195" t="s">
        <v>1054</v>
      </c>
      <c r="N2565" s="195" t="s">
        <v>1034</v>
      </c>
      <c r="O2565" s="199"/>
      <c r="P2565" s="188"/>
      <c r="Q2565" s="174">
        <f>IF(ISNUMBER(VLOOKUP(A2565,NotghiID!A:A,1,FALSE)),1,0)</f>
        <v>0</v>
      </c>
    </row>
    <row r="2566" spans="1:17" ht="14.25" x14ac:dyDescent="0.2">
      <c r="A2566" s="183">
        <f t="shared" si="7"/>
        <v>23</v>
      </c>
      <c r="B2566" s="232" t="str">
        <f>IF(AND(A2566&lt;&gt;"",ISNUMBER(A2566)),VLOOKUP(A2566,Studies!A:BR,2,FALSE),"")</f>
        <v>Acocella 1977</v>
      </c>
      <c r="C2566" s="232" t="str">
        <f>IF(AND(A2566&lt;&gt;"",ISNUMBER(A2566)),VLOOKUP(A2566,Studies!A:BR,3,FALSE),"")</f>
        <v>https://www.ncbi.nlm.nih.gov/pubmed/578447</v>
      </c>
      <c r="D2566" s="232" t="str">
        <f>IF(AND(A2566&lt;&gt;"",ISNUMBER(A2566)),VLOOKUP(A2566,Studies!A:BR,4,FALSE),"")</f>
        <v>mean 600 mg MD</v>
      </c>
      <c r="E2566" s="206" t="str">
        <f>IF(AND(A2566&lt;&gt;"",ISNUMBER(A2566)),VLOOKUP(A2566,Studies!A:BR,5,FALSE),"")</f>
        <v>Rifampicin</v>
      </c>
      <c r="F2566" s="207" t="str">
        <f>IF(AND(A2566&lt;&gt;"",ISNUMBER(A2566)),VLOOKUP(A2566,Studies!A:BR,6,FALSE),"")</f>
        <v>Serum</v>
      </c>
      <c r="G2566" s="194">
        <v>0.5</v>
      </c>
      <c r="H2566" s="194" t="s">
        <v>60</v>
      </c>
      <c r="I2566" s="187">
        <v>3.06</v>
      </c>
      <c r="J2566" s="187" t="s">
        <v>1054</v>
      </c>
      <c r="K2566" s="187" t="s">
        <v>116</v>
      </c>
      <c r="L2566" s="195">
        <v>0.46</v>
      </c>
      <c r="M2566" s="195" t="s">
        <v>1054</v>
      </c>
      <c r="N2566" s="195" t="s">
        <v>1034</v>
      </c>
      <c r="O2566" s="199"/>
      <c r="P2566" s="188"/>
      <c r="Q2566" s="174">
        <f>IF(ISNUMBER(VLOOKUP(A2566,NotghiID!A:A,1,FALSE)),1,0)</f>
        <v>0</v>
      </c>
    </row>
    <row r="2567" spans="1:17" ht="14.25" x14ac:dyDescent="0.2">
      <c r="A2567" s="183">
        <f t="shared" si="7"/>
        <v>23</v>
      </c>
      <c r="B2567" s="232" t="str">
        <f>IF(AND(A2567&lt;&gt;"",ISNUMBER(A2567)),VLOOKUP(A2567,Studies!A:BR,2,FALSE),"")</f>
        <v>Acocella 1977</v>
      </c>
      <c r="C2567" s="232" t="str">
        <f>IF(AND(A2567&lt;&gt;"",ISNUMBER(A2567)),VLOOKUP(A2567,Studies!A:BR,3,FALSE),"")</f>
        <v>https://www.ncbi.nlm.nih.gov/pubmed/578447</v>
      </c>
      <c r="D2567" s="232" t="str">
        <f>IF(AND(A2567&lt;&gt;"",ISNUMBER(A2567)),VLOOKUP(A2567,Studies!A:BR,4,FALSE),"")</f>
        <v>mean 600 mg MD</v>
      </c>
      <c r="E2567" s="206" t="str">
        <f>IF(AND(A2567&lt;&gt;"",ISNUMBER(A2567)),VLOOKUP(A2567,Studies!A:BR,5,FALSE),"")</f>
        <v>Rifampicin</v>
      </c>
      <c r="F2567" s="207" t="str">
        <f>IF(AND(A2567&lt;&gt;"",ISNUMBER(A2567)),VLOOKUP(A2567,Studies!A:BR,6,FALSE),"")</f>
        <v>Serum</v>
      </c>
      <c r="G2567" s="194">
        <v>1</v>
      </c>
      <c r="H2567" s="194" t="s">
        <v>60</v>
      </c>
      <c r="I2567" s="187">
        <v>6</v>
      </c>
      <c r="J2567" s="187" t="s">
        <v>1054</v>
      </c>
      <c r="K2567" s="187" t="s">
        <v>116</v>
      </c>
      <c r="L2567" s="195">
        <v>0.74</v>
      </c>
      <c r="M2567" s="195" t="s">
        <v>1054</v>
      </c>
      <c r="N2567" s="195" t="s">
        <v>1034</v>
      </c>
      <c r="O2567" s="199"/>
      <c r="P2567" s="188"/>
      <c r="Q2567" s="174">
        <f>IF(ISNUMBER(VLOOKUP(A2567,NotghiID!A:A,1,FALSE)),1,0)</f>
        <v>0</v>
      </c>
    </row>
    <row r="2568" spans="1:17" ht="14.25" x14ac:dyDescent="0.2">
      <c r="A2568" s="183">
        <f t="shared" si="7"/>
        <v>23</v>
      </c>
      <c r="B2568" s="232" t="str">
        <f>IF(AND(A2568&lt;&gt;"",ISNUMBER(A2568)),VLOOKUP(A2568,Studies!A:BR,2,FALSE),"")</f>
        <v>Acocella 1977</v>
      </c>
      <c r="C2568" s="232" t="str">
        <f>IF(AND(A2568&lt;&gt;"",ISNUMBER(A2568)),VLOOKUP(A2568,Studies!A:BR,3,FALSE),"")</f>
        <v>https://www.ncbi.nlm.nih.gov/pubmed/578447</v>
      </c>
      <c r="D2568" s="232" t="str">
        <f>IF(AND(A2568&lt;&gt;"",ISNUMBER(A2568)),VLOOKUP(A2568,Studies!A:BR,4,FALSE),"")</f>
        <v>mean 600 mg MD</v>
      </c>
      <c r="E2568" s="206" t="str">
        <f>IF(AND(A2568&lt;&gt;"",ISNUMBER(A2568)),VLOOKUP(A2568,Studies!A:BR,5,FALSE),"")</f>
        <v>Rifampicin</v>
      </c>
      <c r="F2568" s="207" t="str">
        <f>IF(AND(A2568&lt;&gt;"",ISNUMBER(A2568)),VLOOKUP(A2568,Studies!A:BR,6,FALSE),"")</f>
        <v>Serum</v>
      </c>
      <c r="G2568" s="194">
        <v>2</v>
      </c>
      <c r="H2568" s="194" t="s">
        <v>60</v>
      </c>
      <c r="I2568" s="187">
        <v>9.67</v>
      </c>
      <c r="J2568" s="187" t="s">
        <v>1054</v>
      </c>
      <c r="K2568" s="187" t="s">
        <v>116</v>
      </c>
      <c r="L2568" s="195">
        <v>0.43</v>
      </c>
      <c r="M2568" s="195" t="s">
        <v>1054</v>
      </c>
      <c r="N2568" s="195" t="s">
        <v>1034</v>
      </c>
      <c r="O2568" s="199"/>
      <c r="P2568" s="188"/>
      <c r="Q2568" s="174">
        <f>IF(ISNUMBER(VLOOKUP(A2568,NotghiID!A:A,1,FALSE)),1,0)</f>
        <v>0</v>
      </c>
    </row>
    <row r="2569" spans="1:17" ht="14.25" x14ac:dyDescent="0.2">
      <c r="A2569" s="183">
        <f t="shared" si="7"/>
        <v>23</v>
      </c>
      <c r="B2569" s="232" t="str">
        <f>IF(AND(A2569&lt;&gt;"",ISNUMBER(A2569)),VLOOKUP(A2569,Studies!A:BR,2,FALSE),"")</f>
        <v>Acocella 1977</v>
      </c>
      <c r="C2569" s="232" t="str">
        <f>IF(AND(A2569&lt;&gt;"",ISNUMBER(A2569)),VLOOKUP(A2569,Studies!A:BR,3,FALSE),"")</f>
        <v>https://www.ncbi.nlm.nih.gov/pubmed/578447</v>
      </c>
      <c r="D2569" s="232" t="str">
        <f>IF(AND(A2569&lt;&gt;"",ISNUMBER(A2569)),VLOOKUP(A2569,Studies!A:BR,4,FALSE),"")</f>
        <v>mean 600 mg MD</v>
      </c>
      <c r="E2569" s="206" t="str">
        <f>IF(AND(A2569&lt;&gt;"",ISNUMBER(A2569)),VLOOKUP(A2569,Studies!A:BR,5,FALSE),"")</f>
        <v>Rifampicin</v>
      </c>
      <c r="F2569" s="207" t="str">
        <f>IF(AND(A2569&lt;&gt;"",ISNUMBER(A2569)),VLOOKUP(A2569,Studies!A:BR,6,FALSE),"")</f>
        <v>Serum</v>
      </c>
      <c r="G2569" s="194">
        <v>4</v>
      </c>
      <c r="H2569" s="194" t="s">
        <v>60</v>
      </c>
      <c r="I2569" s="187">
        <v>10.61</v>
      </c>
      <c r="J2569" s="187" t="s">
        <v>1054</v>
      </c>
      <c r="K2569" s="187" t="s">
        <v>116</v>
      </c>
      <c r="L2569" s="195">
        <v>1.58</v>
      </c>
      <c r="M2569" s="195" t="s">
        <v>1054</v>
      </c>
      <c r="N2569" s="195" t="s">
        <v>1034</v>
      </c>
      <c r="O2569" s="199"/>
      <c r="P2569" s="188"/>
      <c r="Q2569" s="174">
        <f>IF(ISNUMBER(VLOOKUP(A2569,NotghiID!A:A,1,FALSE)),1,0)</f>
        <v>0</v>
      </c>
    </row>
    <row r="2570" spans="1:17" ht="14.25" x14ac:dyDescent="0.2">
      <c r="A2570" s="183">
        <f t="shared" si="7"/>
        <v>23</v>
      </c>
      <c r="B2570" s="232" t="str">
        <f>IF(AND(A2570&lt;&gt;"",ISNUMBER(A2570)),VLOOKUP(A2570,Studies!A:BR,2,FALSE),"")</f>
        <v>Acocella 1977</v>
      </c>
      <c r="C2570" s="232" t="str">
        <f>IF(AND(A2570&lt;&gt;"",ISNUMBER(A2570)),VLOOKUP(A2570,Studies!A:BR,3,FALSE),"")</f>
        <v>https://www.ncbi.nlm.nih.gov/pubmed/578447</v>
      </c>
      <c r="D2570" s="232" t="str">
        <f>IF(AND(A2570&lt;&gt;"",ISNUMBER(A2570)),VLOOKUP(A2570,Studies!A:BR,4,FALSE),"")</f>
        <v>mean 600 mg MD</v>
      </c>
      <c r="E2570" s="206" t="str">
        <f>IF(AND(A2570&lt;&gt;"",ISNUMBER(A2570)),VLOOKUP(A2570,Studies!A:BR,5,FALSE),"")</f>
        <v>Rifampicin</v>
      </c>
      <c r="F2570" s="207" t="str">
        <f>IF(AND(A2570&lt;&gt;"",ISNUMBER(A2570)),VLOOKUP(A2570,Studies!A:BR,6,FALSE),"")</f>
        <v>Serum</v>
      </c>
      <c r="G2570" s="194">
        <v>8</v>
      </c>
      <c r="H2570" s="194" t="s">
        <v>60</v>
      </c>
      <c r="I2570" s="187">
        <v>5.81</v>
      </c>
      <c r="J2570" s="187" t="s">
        <v>1054</v>
      </c>
      <c r="K2570" s="187" t="s">
        <v>116</v>
      </c>
      <c r="L2570" s="195">
        <v>1.51</v>
      </c>
      <c r="M2570" s="195" t="s">
        <v>1054</v>
      </c>
      <c r="N2570" s="195" t="s">
        <v>1034</v>
      </c>
      <c r="O2570" s="199"/>
      <c r="P2570" s="188"/>
      <c r="Q2570" s="174">
        <f>IF(ISNUMBER(VLOOKUP(A2570,NotghiID!A:A,1,FALSE)),1,0)</f>
        <v>0</v>
      </c>
    </row>
    <row r="2571" spans="1:17" ht="14.25" x14ac:dyDescent="0.2">
      <c r="A2571" s="183">
        <f t="shared" si="7"/>
        <v>23</v>
      </c>
      <c r="B2571" s="232" t="str">
        <f>IF(AND(A2571&lt;&gt;"",ISNUMBER(A2571)),VLOOKUP(A2571,Studies!A:BR,2,FALSE),"")</f>
        <v>Acocella 1977</v>
      </c>
      <c r="C2571" s="232" t="str">
        <f>IF(AND(A2571&lt;&gt;"",ISNUMBER(A2571)),VLOOKUP(A2571,Studies!A:BR,3,FALSE),"")</f>
        <v>https://www.ncbi.nlm.nih.gov/pubmed/578447</v>
      </c>
      <c r="D2571" s="232" t="str">
        <f>IF(AND(A2571&lt;&gt;"",ISNUMBER(A2571)),VLOOKUP(A2571,Studies!A:BR,4,FALSE),"")</f>
        <v>mean 600 mg MD</v>
      </c>
      <c r="E2571" s="206" t="str">
        <f>IF(AND(A2571&lt;&gt;"",ISNUMBER(A2571)),VLOOKUP(A2571,Studies!A:BR,5,FALSE),"")</f>
        <v>Rifampicin</v>
      </c>
      <c r="F2571" s="207" t="str">
        <f>IF(AND(A2571&lt;&gt;"",ISNUMBER(A2571)),VLOOKUP(A2571,Studies!A:BR,6,FALSE),"")</f>
        <v>Serum</v>
      </c>
      <c r="G2571" s="194">
        <v>72</v>
      </c>
      <c r="H2571" s="194" t="s">
        <v>60</v>
      </c>
      <c r="I2571" s="187">
        <v>9.6000000000000002E-2</v>
      </c>
      <c r="J2571" s="187" t="s">
        <v>1054</v>
      </c>
      <c r="K2571" s="187" t="s">
        <v>116</v>
      </c>
      <c r="L2571" s="195">
        <v>9.6000000000000002E-2</v>
      </c>
      <c r="M2571" s="195" t="s">
        <v>1054</v>
      </c>
      <c r="N2571" s="195" t="s">
        <v>1034</v>
      </c>
      <c r="O2571" s="199"/>
      <c r="P2571" s="188"/>
      <c r="Q2571" s="174">
        <f>IF(ISNUMBER(VLOOKUP(A2571,NotghiID!A:A,1,FALSE)),1,0)</f>
        <v>0</v>
      </c>
    </row>
    <row r="2572" spans="1:17" ht="14.25" x14ac:dyDescent="0.2">
      <c r="A2572" s="183">
        <f t="shared" si="7"/>
        <v>23</v>
      </c>
      <c r="B2572" s="232" t="str">
        <f>IF(AND(A2572&lt;&gt;"",ISNUMBER(A2572)),VLOOKUP(A2572,Studies!A:BR,2,FALSE),"")</f>
        <v>Acocella 1977</v>
      </c>
      <c r="C2572" s="232" t="str">
        <f>IF(AND(A2572&lt;&gt;"",ISNUMBER(A2572)),VLOOKUP(A2572,Studies!A:BR,3,FALSE),"")</f>
        <v>https://www.ncbi.nlm.nih.gov/pubmed/578447</v>
      </c>
      <c r="D2572" s="232" t="str">
        <f>IF(AND(A2572&lt;&gt;"",ISNUMBER(A2572)),VLOOKUP(A2572,Studies!A:BR,4,FALSE),"")</f>
        <v>mean 600 mg MD</v>
      </c>
      <c r="E2572" s="206" t="str">
        <f>IF(AND(A2572&lt;&gt;"",ISNUMBER(A2572)),VLOOKUP(A2572,Studies!A:BR,5,FALSE),"")</f>
        <v>Rifampicin</v>
      </c>
      <c r="F2572" s="207" t="str">
        <f>IF(AND(A2572&lt;&gt;"",ISNUMBER(A2572)),VLOOKUP(A2572,Studies!A:BR,6,FALSE),"")</f>
        <v>Serum</v>
      </c>
      <c r="G2572" s="194">
        <v>72.5</v>
      </c>
      <c r="H2572" s="194" t="s">
        <v>60</v>
      </c>
      <c r="I2572" s="187">
        <v>3.53</v>
      </c>
      <c r="J2572" s="187" t="s">
        <v>1054</v>
      </c>
      <c r="K2572" s="187" t="s">
        <v>116</v>
      </c>
      <c r="L2572" s="195">
        <v>0.86</v>
      </c>
      <c r="M2572" s="195" t="s">
        <v>1054</v>
      </c>
      <c r="N2572" s="195" t="s">
        <v>1034</v>
      </c>
      <c r="O2572" s="199"/>
      <c r="P2572" s="188"/>
      <c r="Q2572" s="174">
        <f>IF(ISNUMBER(VLOOKUP(A2572,NotghiID!A:A,1,FALSE)),1,0)</f>
        <v>0</v>
      </c>
    </row>
    <row r="2573" spans="1:17" ht="14.25" x14ac:dyDescent="0.2">
      <c r="A2573" s="183">
        <f t="shared" si="7"/>
        <v>23</v>
      </c>
      <c r="B2573" s="232" t="str">
        <f>IF(AND(A2573&lt;&gt;"",ISNUMBER(A2573)),VLOOKUP(A2573,Studies!A:BR,2,FALSE),"")</f>
        <v>Acocella 1977</v>
      </c>
      <c r="C2573" s="232" t="str">
        <f>IF(AND(A2573&lt;&gt;"",ISNUMBER(A2573)),VLOOKUP(A2573,Studies!A:BR,3,FALSE),"")</f>
        <v>https://www.ncbi.nlm.nih.gov/pubmed/578447</v>
      </c>
      <c r="D2573" s="232" t="str">
        <f>IF(AND(A2573&lt;&gt;"",ISNUMBER(A2573)),VLOOKUP(A2573,Studies!A:BR,4,FALSE),"")</f>
        <v>mean 600 mg MD</v>
      </c>
      <c r="E2573" s="206" t="str">
        <f>IF(AND(A2573&lt;&gt;"",ISNUMBER(A2573)),VLOOKUP(A2573,Studies!A:BR,5,FALSE),"")</f>
        <v>Rifampicin</v>
      </c>
      <c r="F2573" s="207" t="str">
        <f>IF(AND(A2573&lt;&gt;"",ISNUMBER(A2573)),VLOOKUP(A2573,Studies!A:BR,6,FALSE),"")</f>
        <v>Serum</v>
      </c>
      <c r="G2573" s="194">
        <v>73</v>
      </c>
      <c r="H2573" s="194" t="s">
        <v>60</v>
      </c>
      <c r="I2573" s="187">
        <v>5.91</v>
      </c>
      <c r="J2573" s="187" t="s">
        <v>1054</v>
      </c>
      <c r="K2573" s="187" t="s">
        <v>116</v>
      </c>
      <c r="L2573" s="195">
        <v>1.0900000000000001</v>
      </c>
      <c r="M2573" s="195" t="s">
        <v>1054</v>
      </c>
      <c r="N2573" s="195" t="s">
        <v>1034</v>
      </c>
      <c r="O2573" s="199"/>
      <c r="P2573" s="188"/>
      <c r="Q2573" s="174">
        <f>IF(ISNUMBER(VLOOKUP(A2573,NotghiID!A:A,1,FALSE)),1,0)</f>
        <v>0</v>
      </c>
    </row>
    <row r="2574" spans="1:17" ht="14.25" x14ac:dyDescent="0.2">
      <c r="A2574" s="183">
        <f t="shared" si="7"/>
        <v>23</v>
      </c>
      <c r="B2574" s="232" t="str">
        <f>IF(AND(A2574&lt;&gt;"",ISNUMBER(A2574)),VLOOKUP(A2574,Studies!A:BR,2,FALSE),"")</f>
        <v>Acocella 1977</v>
      </c>
      <c r="C2574" s="232" t="str">
        <f>IF(AND(A2574&lt;&gt;"",ISNUMBER(A2574)),VLOOKUP(A2574,Studies!A:BR,3,FALSE),"")</f>
        <v>https://www.ncbi.nlm.nih.gov/pubmed/578447</v>
      </c>
      <c r="D2574" s="232" t="str">
        <f>IF(AND(A2574&lt;&gt;"",ISNUMBER(A2574)),VLOOKUP(A2574,Studies!A:BR,4,FALSE),"")</f>
        <v>mean 600 mg MD</v>
      </c>
      <c r="E2574" s="206" t="str">
        <f>IF(AND(A2574&lt;&gt;"",ISNUMBER(A2574)),VLOOKUP(A2574,Studies!A:BR,5,FALSE),"")</f>
        <v>Rifampicin</v>
      </c>
      <c r="F2574" s="207" t="str">
        <f>IF(AND(A2574&lt;&gt;"",ISNUMBER(A2574)),VLOOKUP(A2574,Studies!A:BR,6,FALSE),"")</f>
        <v>Serum</v>
      </c>
      <c r="G2574" s="194">
        <v>74</v>
      </c>
      <c r="H2574" s="194" t="s">
        <v>60</v>
      </c>
      <c r="I2574" s="187">
        <v>9.94</v>
      </c>
      <c r="J2574" s="187" t="s">
        <v>1054</v>
      </c>
      <c r="K2574" s="187" t="s">
        <v>116</v>
      </c>
      <c r="L2574" s="195">
        <v>1.79</v>
      </c>
      <c r="M2574" s="195" t="s">
        <v>1054</v>
      </c>
      <c r="N2574" s="195" t="s">
        <v>1034</v>
      </c>
      <c r="O2574" s="199"/>
      <c r="P2574" s="188"/>
      <c r="Q2574" s="174">
        <f>IF(ISNUMBER(VLOOKUP(A2574,NotghiID!A:A,1,FALSE)),1,0)</f>
        <v>0</v>
      </c>
    </row>
    <row r="2575" spans="1:17" ht="14.25" x14ac:dyDescent="0.2">
      <c r="A2575" s="183">
        <f t="shared" si="7"/>
        <v>23</v>
      </c>
      <c r="B2575" s="232" t="str">
        <f>IF(AND(A2575&lt;&gt;"",ISNUMBER(A2575)),VLOOKUP(A2575,Studies!A:BR,2,FALSE),"")</f>
        <v>Acocella 1977</v>
      </c>
      <c r="C2575" s="232" t="str">
        <f>IF(AND(A2575&lt;&gt;"",ISNUMBER(A2575)),VLOOKUP(A2575,Studies!A:BR,3,FALSE),"")</f>
        <v>https://www.ncbi.nlm.nih.gov/pubmed/578447</v>
      </c>
      <c r="D2575" s="232" t="str">
        <f>IF(AND(A2575&lt;&gt;"",ISNUMBER(A2575)),VLOOKUP(A2575,Studies!A:BR,4,FALSE),"")</f>
        <v>mean 600 mg MD</v>
      </c>
      <c r="E2575" s="206" t="str">
        <f>IF(AND(A2575&lt;&gt;"",ISNUMBER(A2575)),VLOOKUP(A2575,Studies!A:BR,5,FALSE),"")</f>
        <v>Rifampicin</v>
      </c>
      <c r="F2575" s="207" t="str">
        <f>IF(AND(A2575&lt;&gt;"",ISNUMBER(A2575)),VLOOKUP(A2575,Studies!A:BR,6,FALSE),"")</f>
        <v>Serum</v>
      </c>
      <c r="G2575" s="194">
        <v>76</v>
      </c>
      <c r="H2575" s="194" t="s">
        <v>60</v>
      </c>
      <c r="I2575" s="187">
        <v>9.52</v>
      </c>
      <c r="J2575" s="187" t="s">
        <v>1054</v>
      </c>
      <c r="K2575" s="187" t="s">
        <v>116</v>
      </c>
      <c r="L2575" s="195">
        <v>3.12</v>
      </c>
      <c r="M2575" s="195" t="s">
        <v>1054</v>
      </c>
      <c r="N2575" s="195" t="s">
        <v>1034</v>
      </c>
      <c r="O2575" s="199"/>
      <c r="P2575" s="188"/>
      <c r="Q2575" s="174">
        <f>IF(ISNUMBER(VLOOKUP(A2575,NotghiID!A:A,1,FALSE)),1,0)</f>
        <v>0</v>
      </c>
    </row>
    <row r="2576" spans="1:17" ht="14.25" x14ac:dyDescent="0.2">
      <c r="A2576" s="183">
        <f t="shared" si="7"/>
        <v>23</v>
      </c>
      <c r="B2576" s="232" t="str">
        <f>IF(AND(A2576&lt;&gt;"",ISNUMBER(A2576)),VLOOKUP(A2576,Studies!A:BR,2,FALSE),"")</f>
        <v>Acocella 1977</v>
      </c>
      <c r="C2576" s="232" t="str">
        <f>IF(AND(A2576&lt;&gt;"",ISNUMBER(A2576)),VLOOKUP(A2576,Studies!A:BR,3,FALSE),"")</f>
        <v>https://www.ncbi.nlm.nih.gov/pubmed/578447</v>
      </c>
      <c r="D2576" s="232" t="str">
        <f>IF(AND(A2576&lt;&gt;"",ISNUMBER(A2576)),VLOOKUP(A2576,Studies!A:BR,4,FALSE),"")</f>
        <v>mean 600 mg MD</v>
      </c>
      <c r="E2576" s="206" t="str">
        <f>IF(AND(A2576&lt;&gt;"",ISNUMBER(A2576)),VLOOKUP(A2576,Studies!A:BR,5,FALSE),"")</f>
        <v>Rifampicin</v>
      </c>
      <c r="F2576" s="207" t="str">
        <f>IF(AND(A2576&lt;&gt;"",ISNUMBER(A2576)),VLOOKUP(A2576,Studies!A:BR,6,FALSE),"")</f>
        <v>Serum</v>
      </c>
      <c r="G2576" s="194">
        <v>80</v>
      </c>
      <c r="H2576" s="194" t="s">
        <v>60</v>
      </c>
      <c r="I2576" s="187">
        <v>3.59</v>
      </c>
      <c r="J2576" s="187" t="s">
        <v>1054</v>
      </c>
      <c r="K2576" s="187" t="s">
        <v>116</v>
      </c>
      <c r="L2576" s="195">
        <v>1.32</v>
      </c>
      <c r="M2576" s="195" t="s">
        <v>1054</v>
      </c>
      <c r="N2576" s="195" t="s">
        <v>1034</v>
      </c>
      <c r="O2576" s="199"/>
      <c r="P2576" s="188"/>
      <c r="Q2576" s="174">
        <f>IF(ISNUMBER(VLOOKUP(A2576,NotghiID!A:A,1,FALSE)),1,0)</f>
        <v>0</v>
      </c>
    </row>
    <row r="2577" spans="1:17" ht="14.25" x14ac:dyDescent="0.2">
      <c r="A2577" s="183">
        <f t="shared" si="7"/>
        <v>23</v>
      </c>
      <c r="B2577" s="232" t="str">
        <f>IF(AND(A2577&lt;&gt;"",ISNUMBER(A2577)),VLOOKUP(A2577,Studies!A:BR,2,FALSE),"")</f>
        <v>Acocella 1977</v>
      </c>
      <c r="C2577" s="232" t="str">
        <f>IF(AND(A2577&lt;&gt;"",ISNUMBER(A2577)),VLOOKUP(A2577,Studies!A:BR,3,FALSE),"")</f>
        <v>https://www.ncbi.nlm.nih.gov/pubmed/578447</v>
      </c>
      <c r="D2577" s="232" t="str">
        <f>IF(AND(A2577&lt;&gt;"",ISNUMBER(A2577)),VLOOKUP(A2577,Studies!A:BR,4,FALSE),"")</f>
        <v>mean 600 mg MD</v>
      </c>
      <c r="E2577" s="206" t="str">
        <f>IF(AND(A2577&lt;&gt;"",ISNUMBER(A2577)),VLOOKUP(A2577,Studies!A:BR,5,FALSE),"")</f>
        <v>Rifampicin</v>
      </c>
      <c r="F2577" s="207" t="str">
        <f>IF(AND(A2577&lt;&gt;"",ISNUMBER(A2577)),VLOOKUP(A2577,Studies!A:BR,6,FALSE),"")</f>
        <v>Serum</v>
      </c>
      <c r="G2577" s="194">
        <v>144</v>
      </c>
      <c r="H2577" s="194" t="s">
        <v>60</v>
      </c>
      <c r="I2577" s="187">
        <v>8.4000000000000005E-2</v>
      </c>
      <c r="J2577" s="187" t="s">
        <v>1054</v>
      </c>
      <c r="K2577" s="187" t="s">
        <v>116</v>
      </c>
      <c r="L2577" s="195">
        <v>8.4000000000000005E-2</v>
      </c>
      <c r="M2577" s="195" t="s">
        <v>1054</v>
      </c>
      <c r="N2577" s="195" t="s">
        <v>1034</v>
      </c>
      <c r="O2577" s="199"/>
      <c r="P2577" s="188"/>
      <c r="Q2577" s="174">
        <f>IF(ISNUMBER(VLOOKUP(A2577,NotghiID!A:A,1,FALSE)),1,0)</f>
        <v>0</v>
      </c>
    </row>
    <row r="2578" spans="1:17" ht="14.25" x14ac:dyDescent="0.2">
      <c r="A2578" s="183">
        <f t="shared" si="7"/>
        <v>23</v>
      </c>
      <c r="B2578" s="232" t="str">
        <f>IF(AND(A2578&lt;&gt;"",ISNUMBER(A2578)),VLOOKUP(A2578,Studies!A:BR,2,FALSE),"")</f>
        <v>Acocella 1977</v>
      </c>
      <c r="C2578" s="232" t="str">
        <f>IF(AND(A2578&lt;&gt;"",ISNUMBER(A2578)),VLOOKUP(A2578,Studies!A:BR,3,FALSE),"")</f>
        <v>https://www.ncbi.nlm.nih.gov/pubmed/578447</v>
      </c>
      <c r="D2578" s="232" t="str">
        <f>IF(AND(A2578&lt;&gt;"",ISNUMBER(A2578)),VLOOKUP(A2578,Studies!A:BR,4,FALSE),"")</f>
        <v>mean 600 mg MD</v>
      </c>
      <c r="E2578" s="206" t="str">
        <f>IF(AND(A2578&lt;&gt;"",ISNUMBER(A2578)),VLOOKUP(A2578,Studies!A:BR,5,FALSE),"")</f>
        <v>Rifampicin</v>
      </c>
      <c r="F2578" s="207" t="str">
        <f>IF(AND(A2578&lt;&gt;"",ISNUMBER(A2578)),VLOOKUP(A2578,Studies!A:BR,6,FALSE),"")</f>
        <v>Serum</v>
      </c>
      <c r="G2578" s="194">
        <v>144.5</v>
      </c>
      <c r="H2578" s="194" t="s">
        <v>60</v>
      </c>
      <c r="I2578" s="187">
        <v>3.46</v>
      </c>
      <c r="J2578" s="187" t="s">
        <v>1054</v>
      </c>
      <c r="K2578" s="187" t="s">
        <v>116</v>
      </c>
      <c r="L2578" s="195">
        <v>1.43</v>
      </c>
      <c r="M2578" s="195" t="s">
        <v>1054</v>
      </c>
      <c r="N2578" s="195" t="s">
        <v>1034</v>
      </c>
      <c r="O2578" s="199"/>
      <c r="P2578" s="188"/>
      <c r="Q2578" s="174">
        <f>IF(ISNUMBER(VLOOKUP(A2578,NotghiID!A:A,1,FALSE)),1,0)</f>
        <v>0</v>
      </c>
    </row>
    <row r="2579" spans="1:17" ht="14.25" x14ac:dyDescent="0.2">
      <c r="A2579" s="183">
        <f t="shared" si="7"/>
        <v>23</v>
      </c>
      <c r="B2579" s="232" t="str">
        <f>IF(AND(A2579&lt;&gt;"",ISNUMBER(A2579)),VLOOKUP(A2579,Studies!A:BR,2,FALSE),"")</f>
        <v>Acocella 1977</v>
      </c>
      <c r="C2579" s="232" t="str">
        <f>IF(AND(A2579&lt;&gt;"",ISNUMBER(A2579)),VLOOKUP(A2579,Studies!A:BR,3,FALSE),"")</f>
        <v>https://www.ncbi.nlm.nih.gov/pubmed/578447</v>
      </c>
      <c r="D2579" s="232" t="str">
        <f>IF(AND(A2579&lt;&gt;"",ISNUMBER(A2579)),VLOOKUP(A2579,Studies!A:BR,4,FALSE),"")</f>
        <v>mean 600 mg MD</v>
      </c>
      <c r="E2579" s="206" t="str">
        <f>IF(AND(A2579&lt;&gt;"",ISNUMBER(A2579)),VLOOKUP(A2579,Studies!A:BR,5,FALSE),"")</f>
        <v>Rifampicin</v>
      </c>
      <c r="F2579" s="207" t="str">
        <f>IF(AND(A2579&lt;&gt;"",ISNUMBER(A2579)),VLOOKUP(A2579,Studies!A:BR,6,FALSE),"")</f>
        <v>Serum</v>
      </c>
      <c r="G2579" s="194">
        <v>145</v>
      </c>
      <c r="H2579" s="194" t="s">
        <v>60</v>
      </c>
      <c r="I2579" s="187">
        <v>7.47</v>
      </c>
      <c r="J2579" s="187" t="s">
        <v>1054</v>
      </c>
      <c r="K2579" s="187" t="s">
        <v>116</v>
      </c>
      <c r="L2579" s="195">
        <v>2.09</v>
      </c>
      <c r="M2579" s="195" t="s">
        <v>1054</v>
      </c>
      <c r="N2579" s="195" t="s">
        <v>1034</v>
      </c>
      <c r="O2579" s="199"/>
      <c r="P2579" s="188"/>
      <c r="Q2579" s="174">
        <f>IF(ISNUMBER(VLOOKUP(A2579,NotghiID!A:A,1,FALSE)),1,0)</f>
        <v>0</v>
      </c>
    </row>
    <row r="2580" spans="1:17" ht="14.25" x14ac:dyDescent="0.2">
      <c r="A2580" s="183">
        <f t="shared" si="7"/>
        <v>23</v>
      </c>
      <c r="B2580" s="232" t="str">
        <f>IF(AND(A2580&lt;&gt;"",ISNUMBER(A2580)),VLOOKUP(A2580,Studies!A:BR,2,FALSE),"")</f>
        <v>Acocella 1977</v>
      </c>
      <c r="C2580" s="232" t="str">
        <f>IF(AND(A2580&lt;&gt;"",ISNUMBER(A2580)),VLOOKUP(A2580,Studies!A:BR,3,FALSE),"")</f>
        <v>https://www.ncbi.nlm.nih.gov/pubmed/578447</v>
      </c>
      <c r="D2580" s="232" t="str">
        <f>IF(AND(A2580&lt;&gt;"",ISNUMBER(A2580)),VLOOKUP(A2580,Studies!A:BR,4,FALSE),"")</f>
        <v>mean 600 mg MD</v>
      </c>
      <c r="E2580" s="206" t="str">
        <f>IF(AND(A2580&lt;&gt;"",ISNUMBER(A2580)),VLOOKUP(A2580,Studies!A:BR,5,FALSE),"")</f>
        <v>Rifampicin</v>
      </c>
      <c r="F2580" s="207" t="str">
        <f>IF(AND(A2580&lt;&gt;"",ISNUMBER(A2580)),VLOOKUP(A2580,Studies!A:BR,6,FALSE),"")</f>
        <v>Serum</v>
      </c>
      <c r="G2580" s="194">
        <v>146</v>
      </c>
      <c r="H2580" s="194" t="s">
        <v>60</v>
      </c>
      <c r="I2580" s="187">
        <v>8.4700000000000006</v>
      </c>
      <c r="J2580" s="187" t="s">
        <v>1054</v>
      </c>
      <c r="K2580" s="187" t="s">
        <v>116</v>
      </c>
      <c r="L2580" s="195">
        <v>0.86</v>
      </c>
      <c r="M2580" s="195" t="s">
        <v>1054</v>
      </c>
      <c r="N2580" s="195" t="s">
        <v>1034</v>
      </c>
      <c r="O2580" s="199"/>
      <c r="P2580" s="188"/>
      <c r="Q2580" s="174">
        <f>IF(ISNUMBER(VLOOKUP(A2580,NotghiID!A:A,1,FALSE)),1,0)</f>
        <v>0</v>
      </c>
    </row>
    <row r="2581" spans="1:17" ht="14.25" x14ac:dyDescent="0.2">
      <c r="A2581" s="183">
        <f t="shared" si="7"/>
        <v>23</v>
      </c>
      <c r="B2581" s="232" t="str">
        <f>IF(AND(A2581&lt;&gt;"",ISNUMBER(A2581)),VLOOKUP(A2581,Studies!A:BR,2,FALSE),"")</f>
        <v>Acocella 1977</v>
      </c>
      <c r="C2581" s="232" t="str">
        <f>IF(AND(A2581&lt;&gt;"",ISNUMBER(A2581)),VLOOKUP(A2581,Studies!A:BR,3,FALSE),"")</f>
        <v>https://www.ncbi.nlm.nih.gov/pubmed/578447</v>
      </c>
      <c r="D2581" s="232" t="str">
        <f>IF(AND(A2581&lt;&gt;"",ISNUMBER(A2581)),VLOOKUP(A2581,Studies!A:BR,4,FALSE),"")</f>
        <v>mean 600 mg MD</v>
      </c>
      <c r="E2581" s="206" t="str">
        <f>IF(AND(A2581&lt;&gt;"",ISNUMBER(A2581)),VLOOKUP(A2581,Studies!A:BR,5,FALSE),"")</f>
        <v>Rifampicin</v>
      </c>
      <c r="F2581" s="207" t="str">
        <f>IF(AND(A2581&lt;&gt;"",ISNUMBER(A2581)),VLOOKUP(A2581,Studies!A:BR,6,FALSE),"")</f>
        <v>Serum</v>
      </c>
      <c r="G2581" s="194">
        <v>148</v>
      </c>
      <c r="H2581" s="194" t="s">
        <v>60</v>
      </c>
      <c r="I2581" s="187">
        <v>8.94</v>
      </c>
      <c r="J2581" s="187" t="s">
        <v>1054</v>
      </c>
      <c r="K2581" s="187" t="s">
        <v>116</v>
      </c>
      <c r="L2581" s="195">
        <v>1.26</v>
      </c>
      <c r="M2581" s="195" t="s">
        <v>1054</v>
      </c>
      <c r="N2581" s="195" t="s">
        <v>1034</v>
      </c>
      <c r="O2581" s="199"/>
      <c r="P2581" s="188"/>
      <c r="Q2581" s="174">
        <f>IF(ISNUMBER(VLOOKUP(A2581,NotghiID!A:A,1,FALSE)),1,0)</f>
        <v>0</v>
      </c>
    </row>
    <row r="2582" spans="1:17" ht="14.25" x14ac:dyDescent="0.2">
      <c r="A2582" s="183">
        <f t="shared" si="7"/>
        <v>23</v>
      </c>
      <c r="B2582" s="232" t="str">
        <f>IF(AND(A2582&lt;&gt;"",ISNUMBER(A2582)),VLOOKUP(A2582,Studies!A:BR,2,FALSE),"")</f>
        <v>Acocella 1977</v>
      </c>
      <c r="C2582" s="232" t="str">
        <f>IF(AND(A2582&lt;&gt;"",ISNUMBER(A2582)),VLOOKUP(A2582,Studies!A:BR,3,FALSE),"")</f>
        <v>https://www.ncbi.nlm.nih.gov/pubmed/578447</v>
      </c>
      <c r="D2582" s="232" t="str">
        <f>IF(AND(A2582&lt;&gt;"",ISNUMBER(A2582)),VLOOKUP(A2582,Studies!A:BR,4,FALSE),"")</f>
        <v>mean 600 mg MD</v>
      </c>
      <c r="E2582" s="206" t="str">
        <f>IF(AND(A2582&lt;&gt;"",ISNUMBER(A2582)),VLOOKUP(A2582,Studies!A:BR,5,FALSE),"")</f>
        <v>Rifampicin</v>
      </c>
      <c r="F2582" s="207" t="str">
        <f>IF(AND(A2582&lt;&gt;"",ISNUMBER(A2582)),VLOOKUP(A2582,Studies!A:BR,6,FALSE),"")</f>
        <v>Serum</v>
      </c>
      <c r="G2582" s="194">
        <v>152</v>
      </c>
      <c r="H2582" s="194" t="s">
        <v>60</v>
      </c>
      <c r="I2582" s="187">
        <v>2.61</v>
      </c>
      <c r="J2582" s="187" t="s">
        <v>1054</v>
      </c>
      <c r="K2582" s="187" t="s">
        <v>116</v>
      </c>
      <c r="L2582" s="195">
        <v>0.84</v>
      </c>
      <c r="M2582" s="195" t="s">
        <v>1054</v>
      </c>
      <c r="N2582" s="195" t="s">
        <v>1034</v>
      </c>
      <c r="O2582" s="199"/>
      <c r="P2582" s="188"/>
      <c r="Q2582" s="174">
        <f>IF(ISNUMBER(VLOOKUP(A2582,NotghiID!A:A,1,FALSE)),1,0)</f>
        <v>0</v>
      </c>
    </row>
    <row r="2583" spans="1:17" ht="14.25" x14ac:dyDescent="0.2">
      <c r="A2583" s="183">
        <v>24</v>
      </c>
      <c r="B2583" s="232" t="str">
        <f>IF(AND(A2583&lt;&gt;"",ISNUMBER(A2583)),VLOOKUP(A2583,Studies!A:BR,2,FALSE),"")</f>
        <v>Acocella 1977</v>
      </c>
      <c r="C2583" s="232" t="str">
        <f>IF(AND(A2583&lt;&gt;"",ISNUMBER(A2583)),VLOOKUP(A2583,Studies!A:BR,3,FALSE),"")</f>
        <v>https://www.ncbi.nlm.nih.gov/pubmed/578447</v>
      </c>
      <c r="D2583" s="232" t="str">
        <f>IF(AND(A2583&lt;&gt;"",ISNUMBER(A2583)),VLOOKUP(A2583,Studies!A:BR,4,FALSE),"")</f>
        <v>Subject 10 (600 mg MD)</v>
      </c>
      <c r="E2583" s="206" t="str">
        <f>IF(AND(A2583&lt;&gt;"",ISNUMBER(A2583)),VLOOKUP(A2583,Studies!A:BR,5,FALSE),"")</f>
        <v>Rifampicin</v>
      </c>
      <c r="F2583" s="207" t="str">
        <f>IF(AND(A2583&lt;&gt;"",ISNUMBER(A2583)),VLOOKUP(A2583,Studies!A:BR,6,FALSE),"")</f>
        <v>Urine</v>
      </c>
      <c r="G2583" s="194">
        <v>24</v>
      </c>
      <c r="H2583" s="194" t="s">
        <v>60</v>
      </c>
      <c r="I2583" s="187">
        <v>71.069999999999993</v>
      </c>
      <c r="J2583" s="187" t="s">
        <v>58</v>
      </c>
      <c r="K2583" s="187" t="s">
        <v>264</v>
      </c>
      <c r="L2583" s="195"/>
      <c r="M2583" s="195"/>
      <c r="N2583" s="195"/>
      <c r="O2583" s="199"/>
      <c r="P2583" s="188"/>
      <c r="Q2583" s="174">
        <f>IF(ISNUMBER(VLOOKUP(A2583,NotghiID!A:A,1,FALSE)),1,0)</f>
        <v>0</v>
      </c>
    </row>
    <row r="2584" spans="1:17" ht="14.25" x14ac:dyDescent="0.2">
      <c r="A2584" s="183">
        <v>24</v>
      </c>
      <c r="B2584" s="232" t="str">
        <f>IF(AND(A2584&lt;&gt;"",ISNUMBER(A2584)),VLOOKUP(A2584,Studies!A:BR,2,FALSE),"")</f>
        <v>Acocella 1977</v>
      </c>
      <c r="C2584" s="232" t="str">
        <f>IF(AND(A2584&lt;&gt;"",ISNUMBER(A2584)),VLOOKUP(A2584,Studies!A:BR,3,FALSE),"")</f>
        <v>https://www.ncbi.nlm.nih.gov/pubmed/578447</v>
      </c>
      <c r="D2584" s="232" t="str">
        <f>IF(AND(A2584&lt;&gt;"",ISNUMBER(A2584)),VLOOKUP(A2584,Studies!A:BR,4,FALSE),"")</f>
        <v>Subject 10 (600 mg MD)</v>
      </c>
      <c r="E2584" s="206" t="str">
        <f>IF(AND(A2584&lt;&gt;"",ISNUMBER(A2584)),VLOOKUP(A2584,Studies!A:BR,5,FALSE),"")</f>
        <v>Rifampicin</v>
      </c>
      <c r="F2584" s="207" t="str">
        <f>IF(AND(A2584&lt;&gt;"",ISNUMBER(A2584)),VLOOKUP(A2584,Studies!A:BR,6,FALSE),"")</f>
        <v>Urine</v>
      </c>
      <c r="G2584" s="194">
        <v>96</v>
      </c>
      <c r="H2584" s="194" t="s">
        <v>60</v>
      </c>
      <c r="I2584" s="187">
        <v>58.71</v>
      </c>
      <c r="J2584" s="187" t="s">
        <v>58</v>
      </c>
      <c r="K2584" s="187" t="s">
        <v>264</v>
      </c>
      <c r="L2584" s="195"/>
      <c r="M2584" s="195"/>
      <c r="N2584" s="195"/>
      <c r="O2584" s="199"/>
      <c r="P2584" s="188"/>
      <c r="Q2584" s="174">
        <f>IF(ISNUMBER(VLOOKUP(A2584,NotghiID!A:A,1,FALSE)),1,0)</f>
        <v>0</v>
      </c>
    </row>
    <row r="2585" spans="1:17" ht="14.25" x14ac:dyDescent="0.2">
      <c r="A2585" s="183">
        <v>24</v>
      </c>
      <c r="B2585" s="232" t="str">
        <f>IF(AND(A2585&lt;&gt;"",ISNUMBER(A2585)),VLOOKUP(A2585,Studies!A:BR,2,FALSE),"")</f>
        <v>Acocella 1977</v>
      </c>
      <c r="C2585" s="232" t="str">
        <f>IF(AND(A2585&lt;&gt;"",ISNUMBER(A2585)),VLOOKUP(A2585,Studies!A:BR,3,FALSE),"")</f>
        <v>https://www.ncbi.nlm.nih.gov/pubmed/578447</v>
      </c>
      <c r="D2585" s="232" t="str">
        <f>IF(AND(A2585&lt;&gt;"",ISNUMBER(A2585)),VLOOKUP(A2585,Studies!A:BR,4,FALSE),"")</f>
        <v>Subject 10 (600 mg MD)</v>
      </c>
      <c r="E2585" s="206" t="str">
        <f>IF(AND(A2585&lt;&gt;"",ISNUMBER(A2585)),VLOOKUP(A2585,Studies!A:BR,5,FALSE),"")</f>
        <v>Rifampicin</v>
      </c>
      <c r="F2585" s="207" t="str">
        <f>IF(AND(A2585&lt;&gt;"",ISNUMBER(A2585)),VLOOKUP(A2585,Studies!A:BR,6,FALSE),"")</f>
        <v>Urine</v>
      </c>
      <c r="G2585" s="194">
        <v>168</v>
      </c>
      <c r="H2585" s="194" t="s">
        <v>60</v>
      </c>
      <c r="I2585" s="187">
        <v>23.38</v>
      </c>
      <c r="J2585" s="187" t="s">
        <v>58</v>
      </c>
      <c r="K2585" s="187" t="s">
        <v>264</v>
      </c>
      <c r="L2585" s="195"/>
      <c r="M2585" s="195"/>
      <c r="N2585" s="195"/>
      <c r="O2585" s="199"/>
      <c r="P2585" s="188"/>
      <c r="Q2585" s="174">
        <f>IF(ISNUMBER(VLOOKUP(A2585,NotghiID!A:A,1,FALSE)),1,0)</f>
        <v>0</v>
      </c>
    </row>
    <row r="2586" spans="1:17" ht="14.25" x14ac:dyDescent="0.2">
      <c r="A2586" s="183">
        <f>A2583+1</f>
        <v>25</v>
      </c>
      <c r="B2586" s="232" t="str">
        <f>IF(AND(A2586&lt;&gt;"",ISNUMBER(A2586)),VLOOKUP(A2586,Studies!A:BR,2,FALSE),"")</f>
        <v>Acocella 1977</v>
      </c>
      <c r="C2586" s="232" t="str">
        <f>IF(AND(A2586&lt;&gt;"",ISNUMBER(A2586)),VLOOKUP(A2586,Studies!A:BR,3,FALSE),"")</f>
        <v>https://www.ncbi.nlm.nih.gov/pubmed/578447</v>
      </c>
      <c r="D2586" s="232" t="str">
        <f>IF(AND(A2586&lt;&gt;"",ISNUMBER(A2586)),VLOOKUP(A2586,Studies!A:BR,4,FALSE),"")</f>
        <v>Subject 11 (600 mg MD)</v>
      </c>
      <c r="E2586" s="206" t="str">
        <f>IF(AND(A2586&lt;&gt;"",ISNUMBER(A2586)),VLOOKUP(A2586,Studies!A:BR,5,FALSE),"")</f>
        <v>Rifampicin</v>
      </c>
      <c r="F2586" s="207" t="str">
        <f>IF(AND(A2586&lt;&gt;"",ISNUMBER(A2586)),VLOOKUP(A2586,Studies!A:BR,6,FALSE),"")</f>
        <v>Urine</v>
      </c>
      <c r="G2586" s="194">
        <v>24</v>
      </c>
      <c r="H2586" s="194" t="s">
        <v>60</v>
      </c>
      <c r="I2586" s="187">
        <v>79.75</v>
      </c>
      <c r="J2586" s="187" t="s">
        <v>58</v>
      </c>
      <c r="K2586" s="187" t="s">
        <v>264</v>
      </c>
      <c r="L2586" s="195"/>
      <c r="M2586" s="195"/>
      <c r="N2586" s="195"/>
      <c r="O2586" s="199"/>
      <c r="P2586" s="188"/>
      <c r="Q2586" s="174">
        <f>IF(ISNUMBER(VLOOKUP(A2586,NotghiID!A:A,1,FALSE)),1,0)</f>
        <v>0</v>
      </c>
    </row>
    <row r="2587" spans="1:17" ht="14.25" x14ac:dyDescent="0.2">
      <c r="A2587" s="183">
        <f t="shared" ref="A2587:A2600" si="8">A2584+1</f>
        <v>25</v>
      </c>
      <c r="B2587" s="232" t="str">
        <f>IF(AND(A2587&lt;&gt;"",ISNUMBER(A2587)),VLOOKUP(A2587,Studies!A:BR,2,FALSE),"")</f>
        <v>Acocella 1977</v>
      </c>
      <c r="C2587" s="232" t="str">
        <f>IF(AND(A2587&lt;&gt;"",ISNUMBER(A2587)),VLOOKUP(A2587,Studies!A:BR,3,FALSE),"")</f>
        <v>https://www.ncbi.nlm.nih.gov/pubmed/578447</v>
      </c>
      <c r="D2587" s="232" t="str">
        <f>IF(AND(A2587&lt;&gt;"",ISNUMBER(A2587)),VLOOKUP(A2587,Studies!A:BR,4,FALSE),"")</f>
        <v>Subject 11 (600 mg MD)</v>
      </c>
      <c r="E2587" s="206" t="str">
        <f>IF(AND(A2587&lt;&gt;"",ISNUMBER(A2587)),VLOOKUP(A2587,Studies!A:BR,5,FALSE),"")</f>
        <v>Rifampicin</v>
      </c>
      <c r="F2587" s="207" t="str">
        <f>IF(AND(A2587&lt;&gt;"",ISNUMBER(A2587)),VLOOKUP(A2587,Studies!A:BR,6,FALSE),"")</f>
        <v>Urine</v>
      </c>
      <c r="G2587" s="194">
        <v>96</v>
      </c>
      <c r="H2587" s="194" t="s">
        <v>60</v>
      </c>
      <c r="I2587" s="187">
        <v>44.31</v>
      </c>
      <c r="J2587" s="187" t="s">
        <v>58</v>
      </c>
      <c r="K2587" s="187" t="s">
        <v>264</v>
      </c>
      <c r="L2587" s="195"/>
      <c r="M2587" s="195"/>
      <c r="N2587" s="195"/>
      <c r="O2587" s="199"/>
      <c r="P2587" s="188"/>
      <c r="Q2587" s="174">
        <f>IF(ISNUMBER(VLOOKUP(A2587,NotghiID!A:A,1,FALSE)),1,0)</f>
        <v>0</v>
      </c>
    </row>
    <row r="2588" spans="1:17" ht="14.25" x14ac:dyDescent="0.2">
      <c r="A2588" s="183">
        <f t="shared" si="8"/>
        <v>25</v>
      </c>
      <c r="B2588" s="232" t="str">
        <f>IF(AND(A2588&lt;&gt;"",ISNUMBER(A2588)),VLOOKUP(A2588,Studies!A:BR,2,FALSE),"")</f>
        <v>Acocella 1977</v>
      </c>
      <c r="C2588" s="232" t="str">
        <f>IF(AND(A2588&lt;&gt;"",ISNUMBER(A2588)),VLOOKUP(A2588,Studies!A:BR,3,FALSE),"")</f>
        <v>https://www.ncbi.nlm.nih.gov/pubmed/578447</v>
      </c>
      <c r="D2588" s="232" t="str">
        <f>IF(AND(A2588&lt;&gt;"",ISNUMBER(A2588)),VLOOKUP(A2588,Studies!A:BR,4,FALSE),"")</f>
        <v>Subject 11 (600 mg MD)</v>
      </c>
      <c r="E2588" s="206" t="str">
        <f>IF(AND(A2588&lt;&gt;"",ISNUMBER(A2588)),VLOOKUP(A2588,Studies!A:BR,5,FALSE),"")</f>
        <v>Rifampicin</v>
      </c>
      <c r="F2588" s="207" t="str">
        <f>IF(AND(A2588&lt;&gt;"",ISNUMBER(A2588)),VLOOKUP(A2588,Studies!A:BR,6,FALSE),"")</f>
        <v>Urine</v>
      </c>
      <c r="G2588" s="194">
        <v>168</v>
      </c>
      <c r="H2588" s="194" t="s">
        <v>60</v>
      </c>
      <c r="I2588" s="187">
        <v>15.47</v>
      </c>
      <c r="J2588" s="187" t="s">
        <v>58</v>
      </c>
      <c r="K2588" s="187" t="s">
        <v>264</v>
      </c>
      <c r="L2588" s="195"/>
      <c r="M2588" s="195"/>
      <c r="N2588" s="195"/>
      <c r="O2588" s="199"/>
      <c r="P2588" s="188"/>
      <c r="Q2588" s="174">
        <f>IF(ISNUMBER(VLOOKUP(A2588,NotghiID!A:A,1,FALSE)),1,0)</f>
        <v>0</v>
      </c>
    </row>
    <row r="2589" spans="1:17" ht="14.25" x14ac:dyDescent="0.2">
      <c r="A2589" s="183">
        <f t="shared" si="8"/>
        <v>26</v>
      </c>
      <c r="B2589" s="232" t="str">
        <f>IF(AND(A2589&lt;&gt;"",ISNUMBER(A2589)),VLOOKUP(A2589,Studies!A:BR,2,FALSE),"")</f>
        <v>Acocella 1977</v>
      </c>
      <c r="C2589" s="232" t="str">
        <f>IF(AND(A2589&lt;&gt;"",ISNUMBER(A2589)),VLOOKUP(A2589,Studies!A:BR,3,FALSE),"")</f>
        <v>https://www.ncbi.nlm.nih.gov/pubmed/578447</v>
      </c>
      <c r="D2589" s="232" t="str">
        <f>IF(AND(A2589&lt;&gt;"",ISNUMBER(A2589)),VLOOKUP(A2589,Studies!A:BR,4,FALSE),"")</f>
        <v>Subject 12 (600 mg MD)</v>
      </c>
      <c r="E2589" s="206" t="str">
        <f>IF(AND(A2589&lt;&gt;"",ISNUMBER(A2589)),VLOOKUP(A2589,Studies!A:BR,5,FALSE),"")</f>
        <v>Rifampicin</v>
      </c>
      <c r="F2589" s="207" t="str">
        <f>IF(AND(A2589&lt;&gt;"",ISNUMBER(A2589)),VLOOKUP(A2589,Studies!A:BR,6,FALSE),"")</f>
        <v>Urine</v>
      </c>
      <c r="G2589" s="194">
        <v>24</v>
      </c>
      <c r="H2589" s="194" t="s">
        <v>60</v>
      </c>
      <c r="I2589" s="187">
        <v>51.79</v>
      </c>
      <c r="J2589" s="187" t="s">
        <v>58</v>
      </c>
      <c r="K2589" s="187" t="s">
        <v>264</v>
      </c>
      <c r="L2589" s="195"/>
      <c r="M2589" s="195"/>
      <c r="N2589" s="195"/>
      <c r="O2589" s="199"/>
      <c r="P2589" s="188"/>
      <c r="Q2589" s="174">
        <f>IF(ISNUMBER(VLOOKUP(A2589,NotghiID!A:A,1,FALSE)),1,0)</f>
        <v>0</v>
      </c>
    </row>
    <row r="2590" spans="1:17" ht="14.25" x14ac:dyDescent="0.2">
      <c r="A2590" s="183">
        <f t="shared" si="8"/>
        <v>26</v>
      </c>
      <c r="B2590" s="232" t="str">
        <f>IF(AND(A2590&lt;&gt;"",ISNUMBER(A2590)),VLOOKUP(A2590,Studies!A:BR,2,FALSE),"")</f>
        <v>Acocella 1977</v>
      </c>
      <c r="C2590" s="232" t="str">
        <f>IF(AND(A2590&lt;&gt;"",ISNUMBER(A2590)),VLOOKUP(A2590,Studies!A:BR,3,FALSE),"")</f>
        <v>https://www.ncbi.nlm.nih.gov/pubmed/578447</v>
      </c>
      <c r="D2590" s="232" t="str">
        <f>IF(AND(A2590&lt;&gt;"",ISNUMBER(A2590)),VLOOKUP(A2590,Studies!A:BR,4,FALSE),"")</f>
        <v>Subject 12 (600 mg MD)</v>
      </c>
      <c r="E2590" s="206" t="str">
        <f>IF(AND(A2590&lt;&gt;"",ISNUMBER(A2590)),VLOOKUP(A2590,Studies!A:BR,5,FALSE),"")</f>
        <v>Rifampicin</v>
      </c>
      <c r="F2590" s="207" t="str">
        <f>IF(AND(A2590&lt;&gt;"",ISNUMBER(A2590)),VLOOKUP(A2590,Studies!A:BR,6,FALSE),"")</f>
        <v>Urine</v>
      </c>
      <c r="G2590" s="194">
        <v>96</v>
      </c>
      <c r="H2590" s="194" t="s">
        <v>60</v>
      </c>
      <c r="I2590" s="187">
        <v>29.42</v>
      </c>
      <c r="J2590" s="187" t="s">
        <v>58</v>
      </c>
      <c r="K2590" s="187" t="s">
        <v>264</v>
      </c>
      <c r="L2590" s="195"/>
      <c r="M2590" s="195"/>
      <c r="N2590" s="195"/>
      <c r="O2590" s="199"/>
      <c r="P2590" s="188"/>
      <c r="Q2590" s="174">
        <f>IF(ISNUMBER(VLOOKUP(A2590,NotghiID!A:A,1,FALSE)),1,0)</f>
        <v>0</v>
      </c>
    </row>
    <row r="2591" spans="1:17" ht="14.25" x14ac:dyDescent="0.2">
      <c r="A2591" s="183">
        <f t="shared" si="8"/>
        <v>26</v>
      </c>
      <c r="B2591" s="232" t="str">
        <f>IF(AND(A2591&lt;&gt;"",ISNUMBER(A2591)),VLOOKUP(A2591,Studies!A:BR,2,FALSE),"")</f>
        <v>Acocella 1977</v>
      </c>
      <c r="C2591" s="232" t="str">
        <f>IF(AND(A2591&lt;&gt;"",ISNUMBER(A2591)),VLOOKUP(A2591,Studies!A:BR,3,FALSE),"")</f>
        <v>https://www.ncbi.nlm.nih.gov/pubmed/578447</v>
      </c>
      <c r="D2591" s="232" t="str">
        <f>IF(AND(A2591&lt;&gt;"",ISNUMBER(A2591)),VLOOKUP(A2591,Studies!A:BR,4,FALSE),"")</f>
        <v>Subject 12 (600 mg MD)</v>
      </c>
      <c r="E2591" s="206" t="str">
        <f>IF(AND(A2591&lt;&gt;"",ISNUMBER(A2591)),VLOOKUP(A2591,Studies!A:BR,5,FALSE),"")</f>
        <v>Rifampicin</v>
      </c>
      <c r="F2591" s="207" t="str">
        <f>IF(AND(A2591&lt;&gt;"",ISNUMBER(A2591)),VLOOKUP(A2591,Studies!A:BR,6,FALSE),"")</f>
        <v>Urine</v>
      </c>
      <c r="G2591" s="194">
        <v>168</v>
      </c>
      <c r="H2591" s="194" t="s">
        <v>60</v>
      </c>
      <c r="I2591" s="187">
        <v>95.84</v>
      </c>
      <c r="J2591" s="187" t="s">
        <v>58</v>
      </c>
      <c r="K2591" s="187" t="s">
        <v>264</v>
      </c>
      <c r="L2591" s="195"/>
      <c r="M2591" s="195"/>
      <c r="N2591" s="195"/>
      <c r="O2591" s="199"/>
      <c r="P2591" s="188"/>
      <c r="Q2591" s="174">
        <f>IF(ISNUMBER(VLOOKUP(A2591,NotghiID!A:A,1,FALSE)),1,0)</f>
        <v>0</v>
      </c>
    </row>
    <row r="2592" spans="1:17" ht="14.25" x14ac:dyDescent="0.2">
      <c r="A2592" s="183">
        <f t="shared" si="8"/>
        <v>27</v>
      </c>
      <c r="B2592" s="232" t="str">
        <f>IF(AND(A2592&lt;&gt;"",ISNUMBER(A2592)),VLOOKUP(A2592,Studies!A:BR,2,FALSE),"")</f>
        <v>Acocella 1977</v>
      </c>
      <c r="C2592" s="232" t="str">
        <f>IF(AND(A2592&lt;&gt;"",ISNUMBER(A2592)),VLOOKUP(A2592,Studies!A:BR,3,FALSE),"")</f>
        <v>https://www.ncbi.nlm.nih.gov/pubmed/578447</v>
      </c>
      <c r="D2592" s="232" t="str">
        <f>IF(AND(A2592&lt;&gt;"",ISNUMBER(A2592)),VLOOKUP(A2592,Studies!A:BR,4,FALSE),"")</f>
        <v>Subject 13 (600 mg MD)</v>
      </c>
      <c r="E2592" s="206" t="str">
        <f>IF(AND(A2592&lt;&gt;"",ISNUMBER(A2592)),VLOOKUP(A2592,Studies!A:BR,5,FALSE),"")</f>
        <v>Rifampicin</v>
      </c>
      <c r="F2592" s="207" t="str">
        <f>IF(AND(A2592&lt;&gt;"",ISNUMBER(A2592)),VLOOKUP(A2592,Studies!A:BR,6,FALSE),"")</f>
        <v>Urine</v>
      </c>
      <c r="G2592" s="194">
        <v>24</v>
      </c>
      <c r="H2592" s="194" t="s">
        <v>60</v>
      </c>
      <c r="I2592" s="187">
        <v>51.83</v>
      </c>
      <c r="J2592" s="187" t="s">
        <v>58</v>
      </c>
      <c r="K2592" s="187" t="s">
        <v>264</v>
      </c>
      <c r="L2592" s="195"/>
      <c r="M2592" s="195"/>
      <c r="N2592" s="195"/>
      <c r="O2592" s="199"/>
      <c r="P2592" s="188"/>
      <c r="Q2592" s="174">
        <f>IF(ISNUMBER(VLOOKUP(A2592,NotghiID!A:A,1,FALSE)),1,0)</f>
        <v>0</v>
      </c>
    </row>
    <row r="2593" spans="1:17" ht="14.25" x14ac:dyDescent="0.2">
      <c r="A2593" s="183">
        <f t="shared" si="8"/>
        <v>27</v>
      </c>
      <c r="B2593" s="232" t="str">
        <f>IF(AND(A2593&lt;&gt;"",ISNUMBER(A2593)),VLOOKUP(A2593,Studies!A:BR,2,FALSE),"")</f>
        <v>Acocella 1977</v>
      </c>
      <c r="C2593" s="232" t="str">
        <f>IF(AND(A2593&lt;&gt;"",ISNUMBER(A2593)),VLOOKUP(A2593,Studies!A:BR,3,FALSE),"")</f>
        <v>https://www.ncbi.nlm.nih.gov/pubmed/578447</v>
      </c>
      <c r="D2593" s="232" t="str">
        <f>IF(AND(A2593&lt;&gt;"",ISNUMBER(A2593)),VLOOKUP(A2593,Studies!A:BR,4,FALSE),"")</f>
        <v>Subject 13 (600 mg MD)</v>
      </c>
      <c r="E2593" s="206" t="str">
        <f>IF(AND(A2593&lt;&gt;"",ISNUMBER(A2593)),VLOOKUP(A2593,Studies!A:BR,5,FALSE),"")</f>
        <v>Rifampicin</v>
      </c>
      <c r="F2593" s="207" t="str">
        <f>IF(AND(A2593&lt;&gt;"",ISNUMBER(A2593)),VLOOKUP(A2593,Studies!A:BR,6,FALSE),"")</f>
        <v>Urine</v>
      </c>
      <c r="G2593" s="194">
        <v>96</v>
      </c>
      <c r="H2593" s="194" t="s">
        <v>60</v>
      </c>
      <c r="I2593" s="187">
        <v>63.61</v>
      </c>
      <c r="J2593" s="187" t="s">
        <v>58</v>
      </c>
      <c r="K2593" s="187" t="s">
        <v>264</v>
      </c>
      <c r="L2593" s="195"/>
      <c r="M2593" s="195"/>
      <c r="N2593" s="195"/>
      <c r="O2593" s="199"/>
      <c r="P2593" s="188"/>
      <c r="Q2593" s="174">
        <f>IF(ISNUMBER(VLOOKUP(A2593,NotghiID!A:A,1,FALSE)),1,0)</f>
        <v>0</v>
      </c>
    </row>
    <row r="2594" spans="1:17" ht="14.25" x14ac:dyDescent="0.2">
      <c r="A2594" s="183">
        <f t="shared" si="8"/>
        <v>27</v>
      </c>
      <c r="B2594" s="232" t="str">
        <f>IF(AND(A2594&lt;&gt;"",ISNUMBER(A2594)),VLOOKUP(A2594,Studies!A:BR,2,FALSE),"")</f>
        <v>Acocella 1977</v>
      </c>
      <c r="C2594" s="232" t="str">
        <f>IF(AND(A2594&lt;&gt;"",ISNUMBER(A2594)),VLOOKUP(A2594,Studies!A:BR,3,FALSE),"")</f>
        <v>https://www.ncbi.nlm.nih.gov/pubmed/578447</v>
      </c>
      <c r="D2594" s="232" t="str">
        <f>IF(AND(A2594&lt;&gt;"",ISNUMBER(A2594)),VLOOKUP(A2594,Studies!A:BR,4,FALSE),"")</f>
        <v>Subject 13 (600 mg MD)</v>
      </c>
      <c r="E2594" s="206" t="str">
        <f>IF(AND(A2594&lt;&gt;"",ISNUMBER(A2594)),VLOOKUP(A2594,Studies!A:BR,5,FALSE),"")</f>
        <v>Rifampicin</v>
      </c>
      <c r="F2594" s="207" t="str">
        <f>IF(AND(A2594&lt;&gt;"",ISNUMBER(A2594)),VLOOKUP(A2594,Studies!A:BR,6,FALSE),"")</f>
        <v>Urine</v>
      </c>
      <c r="G2594" s="194">
        <v>168</v>
      </c>
      <c r="H2594" s="194" t="s">
        <v>60</v>
      </c>
      <c r="I2594" s="187">
        <v>56.88</v>
      </c>
      <c r="J2594" s="187" t="s">
        <v>58</v>
      </c>
      <c r="K2594" s="187" t="s">
        <v>264</v>
      </c>
      <c r="L2594" s="195"/>
      <c r="M2594" s="195"/>
      <c r="N2594" s="195"/>
      <c r="O2594" s="199"/>
      <c r="P2594" s="188"/>
      <c r="Q2594" s="174">
        <f>IF(ISNUMBER(VLOOKUP(A2594,NotghiID!A:A,1,FALSE)),1,0)</f>
        <v>0</v>
      </c>
    </row>
    <row r="2595" spans="1:17" ht="14.25" x14ac:dyDescent="0.2">
      <c r="A2595" s="183">
        <f t="shared" si="8"/>
        <v>28</v>
      </c>
      <c r="B2595" s="232" t="str">
        <f>IF(AND(A2595&lt;&gt;"",ISNUMBER(A2595)),VLOOKUP(A2595,Studies!A:BR,2,FALSE),"")</f>
        <v>Acocella 1977</v>
      </c>
      <c r="C2595" s="232" t="str">
        <f>IF(AND(A2595&lt;&gt;"",ISNUMBER(A2595)),VLOOKUP(A2595,Studies!A:BR,3,FALSE),"")</f>
        <v>https://www.ncbi.nlm.nih.gov/pubmed/578447</v>
      </c>
      <c r="D2595" s="232" t="str">
        <f>IF(AND(A2595&lt;&gt;"",ISNUMBER(A2595)),VLOOKUP(A2595,Studies!A:BR,4,FALSE),"")</f>
        <v>Subject 14 (600 mg MD)</v>
      </c>
      <c r="E2595" s="206" t="str">
        <f>IF(AND(A2595&lt;&gt;"",ISNUMBER(A2595)),VLOOKUP(A2595,Studies!A:BR,5,FALSE),"")</f>
        <v>Rifampicin</v>
      </c>
      <c r="F2595" s="207" t="str">
        <f>IF(AND(A2595&lt;&gt;"",ISNUMBER(A2595)),VLOOKUP(A2595,Studies!A:BR,6,FALSE),"")</f>
        <v>Urine</v>
      </c>
      <c r="G2595" s="194">
        <v>24</v>
      </c>
      <c r="H2595" s="194" t="s">
        <v>60</v>
      </c>
      <c r="I2595" s="187">
        <v>90.09</v>
      </c>
      <c r="J2595" s="187" t="s">
        <v>58</v>
      </c>
      <c r="K2595" s="187" t="s">
        <v>264</v>
      </c>
      <c r="L2595" s="195"/>
      <c r="M2595" s="195"/>
      <c r="N2595" s="195"/>
      <c r="O2595" s="199"/>
      <c r="P2595" s="188"/>
      <c r="Q2595" s="174">
        <f>IF(ISNUMBER(VLOOKUP(A2595,NotghiID!A:A,1,FALSE)),1,0)</f>
        <v>0</v>
      </c>
    </row>
    <row r="2596" spans="1:17" ht="14.25" x14ac:dyDescent="0.2">
      <c r="A2596" s="183">
        <f t="shared" si="8"/>
        <v>28</v>
      </c>
      <c r="B2596" s="232" t="str">
        <f>IF(AND(A2596&lt;&gt;"",ISNUMBER(A2596)),VLOOKUP(A2596,Studies!A:BR,2,FALSE),"")</f>
        <v>Acocella 1977</v>
      </c>
      <c r="C2596" s="232" t="str">
        <f>IF(AND(A2596&lt;&gt;"",ISNUMBER(A2596)),VLOOKUP(A2596,Studies!A:BR,3,FALSE),"")</f>
        <v>https://www.ncbi.nlm.nih.gov/pubmed/578447</v>
      </c>
      <c r="D2596" s="232" t="str">
        <f>IF(AND(A2596&lt;&gt;"",ISNUMBER(A2596)),VLOOKUP(A2596,Studies!A:BR,4,FALSE),"")</f>
        <v>Subject 14 (600 mg MD)</v>
      </c>
      <c r="E2596" s="206" t="str">
        <f>IF(AND(A2596&lt;&gt;"",ISNUMBER(A2596)),VLOOKUP(A2596,Studies!A:BR,5,FALSE),"")</f>
        <v>Rifampicin</v>
      </c>
      <c r="F2596" s="207" t="str">
        <f>IF(AND(A2596&lt;&gt;"",ISNUMBER(A2596)),VLOOKUP(A2596,Studies!A:BR,6,FALSE),"")</f>
        <v>Urine</v>
      </c>
      <c r="G2596" s="194">
        <v>96</v>
      </c>
      <c r="H2596" s="194" t="s">
        <v>60</v>
      </c>
      <c r="I2596" s="187">
        <v>74.97</v>
      </c>
      <c r="J2596" s="187" t="s">
        <v>58</v>
      </c>
      <c r="K2596" s="187" t="s">
        <v>264</v>
      </c>
      <c r="L2596" s="195"/>
      <c r="M2596" s="195"/>
      <c r="N2596" s="195"/>
      <c r="O2596" s="199"/>
      <c r="P2596" s="188"/>
      <c r="Q2596" s="174">
        <f>IF(ISNUMBER(VLOOKUP(A2596,NotghiID!A:A,1,FALSE)),1,0)</f>
        <v>0</v>
      </c>
    </row>
    <row r="2597" spans="1:17" ht="14.25" x14ac:dyDescent="0.2">
      <c r="A2597" s="183">
        <f t="shared" si="8"/>
        <v>28</v>
      </c>
      <c r="B2597" s="232" t="str">
        <f>IF(AND(A2597&lt;&gt;"",ISNUMBER(A2597)),VLOOKUP(A2597,Studies!A:BR,2,FALSE),"")</f>
        <v>Acocella 1977</v>
      </c>
      <c r="C2597" s="232" t="str">
        <f>IF(AND(A2597&lt;&gt;"",ISNUMBER(A2597)),VLOOKUP(A2597,Studies!A:BR,3,FALSE),"")</f>
        <v>https://www.ncbi.nlm.nih.gov/pubmed/578447</v>
      </c>
      <c r="D2597" s="232" t="str">
        <f>IF(AND(A2597&lt;&gt;"",ISNUMBER(A2597)),VLOOKUP(A2597,Studies!A:BR,4,FALSE),"")</f>
        <v>Subject 14 (600 mg MD)</v>
      </c>
      <c r="E2597" s="206" t="str">
        <f>IF(AND(A2597&lt;&gt;"",ISNUMBER(A2597)),VLOOKUP(A2597,Studies!A:BR,5,FALSE),"")</f>
        <v>Rifampicin</v>
      </c>
      <c r="F2597" s="207" t="str">
        <f>IF(AND(A2597&lt;&gt;"",ISNUMBER(A2597)),VLOOKUP(A2597,Studies!A:BR,6,FALSE),"")</f>
        <v>Urine</v>
      </c>
      <c r="G2597" s="194">
        <v>168</v>
      </c>
      <c r="H2597" s="194" t="s">
        <v>60</v>
      </c>
      <c r="I2597" s="187">
        <v>80.11</v>
      </c>
      <c r="J2597" s="187" t="s">
        <v>58</v>
      </c>
      <c r="K2597" s="187" t="s">
        <v>264</v>
      </c>
      <c r="L2597" s="195"/>
      <c r="M2597" s="195"/>
      <c r="N2597" s="195"/>
      <c r="O2597" s="199"/>
      <c r="P2597" s="188"/>
      <c r="Q2597" s="174">
        <f>IF(ISNUMBER(VLOOKUP(A2597,NotghiID!A:A,1,FALSE)),1,0)</f>
        <v>0</v>
      </c>
    </row>
    <row r="2598" spans="1:17" ht="14.25" x14ac:dyDescent="0.2">
      <c r="A2598" s="183">
        <f t="shared" si="8"/>
        <v>29</v>
      </c>
      <c r="B2598" s="232" t="str">
        <f>IF(AND(A2598&lt;&gt;"",ISNUMBER(A2598)),VLOOKUP(A2598,Studies!A:BR,2,FALSE),"")</f>
        <v>Acocella 1977</v>
      </c>
      <c r="C2598" s="232" t="str">
        <f>IF(AND(A2598&lt;&gt;"",ISNUMBER(A2598)),VLOOKUP(A2598,Studies!A:BR,3,FALSE),"")</f>
        <v>https://www.ncbi.nlm.nih.gov/pubmed/578447</v>
      </c>
      <c r="D2598" s="232" t="str">
        <f>IF(AND(A2598&lt;&gt;"",ISNUMBER(A2598)),VLOOKUP(A2598,Studies!A:BR,4,FALSE),"")</f>
        <v>mean 600 mg MD</v>
      </c>
      <c r="E2598" s="206" t="str">
        <f>IF(AND(A2598&lt;&gt;"",ISNUMBER(A2598)),VLOOKUP(A2598,Studies!A:BR,5,FALSE),"")</f>
        <v>Rifampicin</v>
      </c>
      <c r="F2598" s="207" t="str">
        <f>IF(AND(A2598&lt;&gt;"",ISNUMBER(A2598)),VLOOKUP(A2598,Studies!A:BR,6,FALSE),"")</f>
        <v>Urine</v>
      </c>
      <c r="G2598" s="194">
        <v>24</v>
      </c>
      <c r="H2598" s="194" t="s">
        <v>60</v>
      </c>
      <c r="I2598" s="187">
        <v>68.91</v>
      </c>
      <c r="J2598" s="187" t="s">
        <v>58</v>
      </c>
      <c r="K2598" s="187" t="s">
        <v>116</v>
      </c>
      <c r="L2598" s="195">
        <v>7.6</v>
      </c>
      <c r="M2598" s="195" t="s">
        <v>58</v>
      </c>
      <c r="N2598" s="195" t="s">
        <v>1034</v>
      </c>
      <c r="O2598" s="199"/>
      <c r="P2598" s="188"/>
      <c r="Q2598" s="174">
        <f>IF(ISNUMBER(VLOOKUP(A2598,NotghiID!A:A,1,FALSE)),1,0)</f>
        <v>0</v>
      </c>
    </row>
    <row r="2599" spans="1:17" ht="14.25" x14ac:dyDescent="0.2">
      <c r="A2599" s="183">
        <f t="shared" si="8"/>
        <v>29</v>
      </c>
      <c r="B2599" s="232" t="str">
        <f>IF(AND(A2599&lt;&gt;"",ISNUMBER(A2599)),VLOOKUP(A2599,Studies!A:BR,2,FALSE),"")</f>
        <v>Acocella 1977</v>
      </c>
      <c r="C2599" s="232" t="str">
        <f>IF(AND(A2599&lt;&gt;"",ISNUMBER(A2599)),VLOOKUP(A2599,Studies!A:BR,3,FALSE),"")</f>
        <v>https://www.ncbi.nlm.nih.gov/pubmed/578447</v>
      </c>
      <c r="D2599" s="232" t="str">
        <f>IF(AND(A2599&lt;&gt;"",ISNUMBER(A2599)),VLOOKUP(A2599,Studies!A:BR,4,FALSE),"")</f>
        <v>mean 600 mg MD</v>
      </c>
      <c r="E2599" s="206" t="str">
        <f>IF(AND(A2599&lt;&gt;"",ISNUMBER(A2599)),VLOOKUP(A2599,Studies!A:BR,5,FALSE),"")</f>
        <v>Rifampicin</v>
      </c>
      <c r="F2599" s="207" t="str">
        <f>IF(AND(A2599&lt;&gt;"",ISNUMBER(A2599)),VLOOKUP(A2599,Studies!A:BR,6,FALSE),"")</f>
        <v>Urine</v>
      </c>
      <c r="G2599" s="194">
        <v>96</v>
      </c>
      <c r="H2599" s="194" t="s">
        <v>60</v>
      </c>
      <c r="I2599" s="187">
        <v>54.2</v>
      </c>
      <c r="J2599" s="187" t="s">
        <v>58</v>
      </c>
      <c r="K2599" s="187" t="s">
        <v>116</v>
      </c>
      <c r="L2599" s="195">
        <v>7.91</v>
      </c>
      <c r="M2599" s="195" t="s">
        <v>58</v>
      </c>
      <c r="N2599" s="195" t="s">
        <v>1034</v>
      </c>
      <c r="O2599" s="199"/>
      <c r="P2599" s="188"/>
      <c r="Q2599" s="174">
        <f>IF(ISNUMBER(VLOOKUP(A2599,NotghiID!A:A,1,FALSE)),1,0)</f>
        <v>0</v>
      </c>
    </row>
    <row r="2600" spans="1:17" ht="14.25" x14ac:dyDescent="0.2">
      <c r="A2600" s="183">
        <f t="shared" si="8"/>
        <v>29</v>
      </c>
      <c r="B2600" s="232" t="str">
        <f>IF(AND(A2600&lt;&gt;"",ISNUMBER(A2600)),VLOOKUP(A2600,Studies!A:BR,2,FALSE),"")</f>
        <v>Acocella 1977</v>
      </c>
      <c r="C2600" s="232" t="str">
        <f>IF(AND(A2600&lt;&gt;"",ISNUMBER(A2600)),VLOOKUP(A2600,Studies!A:BR,3,FALSE),"")</f>
        <v>https://www.ncbi.nlm.nih.gov/pubmed/578447</v>
      </c>
      <c r="D2600" s="232" t="str">
        <f>IF(AND(A2600&lt;&gt;"",ISNUMBER(A2600)),VLOOKUP(A2600,Studies!A:BR,4,FALSE),"")</f>
        <v>mean 600 mg MD</v>
      </c>
      <c r="E2600" s="206" t="str">
        <f>IF(AND(A2600&lt;&gt;"",ISNUMBER(A2600)),VLOOKUP(A2600,Studies!A:BR,5,FALSE),"")</f>
        <v>Rifampicin</v>
      </c>
      <c r="F2600" s="207" t="str">
        <f>IF(AND(A2600&lt;&gt;"",ISNUMBER(A2600)),VLOOKUP(A2600,Studies!A:BR,6,FALSE),"")</f>
        <v>Urine</v>
      </c>
      <c r="G2600" s="194">
        <v>168</v>
      </c>
      <c r="H2600" s="194" t="s">
        <v>60</v>
      </c>
      <c r="I2600" s="187">
        <v>54.34</v>
      </c>
      <c r="J2600" s="187" t="s">
        <v>58</v>
      </c>
      <c r="K2600" s="187" t="s">
        <v>116</v>
      </c>
      <c r="L2600" s="195">
        <v>15.6</v>
      </c>
      <c r="M2600" s="195" t="s">
        <v>58</v>
      </c>
      <c r="N2600" s="195" t="s">
        <v>1034</v>
      </c>
      <c r="O2600" s="199"/>
      <c r="P2600" s="188"/>
      <c r="Q2600" s="174">
        <f>IF(ISNUMBER(VLOOKUP(A2600,NotghiID!A:A,1,FALSE)),1,0)</f>
        <v>0</v>
      </c>
    </row>
    <row r="2601" spans="1:17" ht="14.25" x14ac:dyDescent="0.2">
      <c r="A2601" s="189">
        <v>53</v>
      </c>
      <c r="B2601" s="232" t="str">
        <f>IF(AND(A2601&lt;&gt;"",ISNUMBER(A2601)),VLOOKUP(A2601,Studies!A:BR,2,FALSE),"")</f>
        <v>Backman 1996</v>
      </c>
      <c r="C2601" s="232" t="str">
        <f>IF(AND(A2601&lt;&gt;"",ISNUMBER(A2601)),VLOOKUP(A2601,Studies!A:BR,3,FALSE),"")</f>
        <v>https://www.ncbi.nlm.nih.gov/pubmed/8549036</v>
      </c>
      <c r="D2601" s="232" t="str">
        <f>IF(AND(A2601&lt;&gt;"",ISNUMBER(A2601)),VLOOKUP(A2601,Studies!A:BR,4,FALSE),"")</f>
        <v>Control (Perpetrator Placebo)</v>
      </c>
      <c r="E2601" s="206" t="str">
        <f>IF(AND(A2601&lt;&gt;"",ISNUMBER(A2601)),VLOOKUP(A2601,Studies!A:BR,5,FALSE),"")</f>
        <v>Midazolam</v>
      </c>
      <c r="F2601" s="207" t="str">
        <f>IF(AND(A2601&lt;&gt;"",ISNUMBER(A2601)),VLOOKUP(A2601,Studies!A:BR,6,FALSE),"")</f>
        <v>Plasma</v>
      </c>
      <c r="G2601" s="194">
        <v>0.5</v>
      </c>
      <c r="H2601" s="194" t="s">
        <v>60</v>
      </c>
      <c r="I2601" s="187">
        <v>8.5871560000000002</v>
      </c>
      <c r="J2601" s="187" t="s">
        <v>1026</v>
      </c>
      <c r="K2601" s="187" t="s">
        <v>116</v>
      </c>
      <c r="L2601" s="195">
        <v>3.1926600000000001</v>
      </c>
      <c r="M2601" s="195" t="s">
        <v>1090</v>
      </c>
      <c r="N2601" s="195" t="s">
        <v>1034</v>
      </c>
      <c r="O2601" s="199">
        <v>0.1</v>
      </c>
      <c r="P2601" s="188"/>
      <c r="Q2601" s="174">
        <f>IF(ISNUMBER(VLOOKUP(A2601,NotghiID!A:A,1,FALSE)),1,0)</f>
        <v>1</v>
      </c>
    </row>
    <row r="2602" spans="1:17" ht="14.25" x14ac:dyDescent="0.2">
      <c r="A2602" s="189">
        <v>53</v>
      </c>
      <c r="B2602" s="232" t="str">
        <f>IF(AND(A2602&lt;&gt;"",ISNUMBER(A2602)),VLOOKUP(A2602,Studies!A:BR,2,FALSE),"")</f>
        <v>Backman 1996</v>
      </c>
      <c r="C2602" s="232" t="str">
        <f>IF(AND(A2602&lt;&gt;"",ISNUMBER(A2602)),VLOOKUP(A2602,Studies!A:BR,3,FALSE),"")</f>
        <v>https://www.ncbi.nlm.nih.gov/pubmed/8549036</v>
      </c>
      <c r="D2602" s="232" t="str">
        <f>IF(AND(A2602&lt;&gt;"",ISNUMBER(A2602)),VLOOKUP(A2602,Studies!A:BR,4,FALSE),"")</f>
        <v>Control (Perpetrator Placebo)</v>
      </c>
      <c r="E2602" s="206" t="str">
        <f>IF(AND(A2602&lt;&gt;"",ISNUMBER(A2602)),VLOOKUP(A2602,Studies!A:BR,5,FALSE),"")</f>
        <v>Midazolam</v>
      </c>
      <c r="F2602" s="207" t="str">
        <f>IF(AND(A2602&lt;&gt;"",ISNUMBER(A2602)),VLOOKUP(A2602,Studies!A:BR,6,FALSE),"")</f>
        <v>Plasma</v>
      </c>
      <c r="G2602" s="194">
        <v>1</v>
      </c>
      <c r="H2602" s="194" t="s">
        <v>60</v>
      </c>
      <c r="I2602" s="187">
        <v>46.568809999999999</v>
      </c>
      <c r="J2602" s="187" t="s">
        <v>1026</v>
      </c>
      <c r="K2602" s="187" t="s">
        <v>116</v>
      </c>
      <c r="L2602" s="195">
        <v>7.5963289999999999</v>
      </c>
      <c r="M2602" s="195" t="s">
        <v>1090</v>
      </c>
      <c r="N2602" s="195" t="s">
        <v>1034</v>
      </c>
      <c r="O2602" s="199">
        <v>0.1</v>
      </c>
      <c r="P2602" s="188"/>
      <c r="Q2602" s="174">
        <f>IF(ISNUMBER(VLOOKUP(A2602,NotghiID!A:A,1,FALSE)),1,0)</f>
        <v>1</v>
      </c>
    </row>
    <row r="2603" spans="1:17" ht="14.25" x14ac:dyDescent="0.2">
      <c r="A2603" s="189">
        <v>53</v>
      </c>
      <c r="B2603" s="232" t="str">
        <f>IF(AND(A2603&lt;&gt;"",ISNUMBER(A2603)),VLOOKUP(A2603,Studies!A:BR,2,FALSE),"")</f>
        <v>Backman 1996</v>
      </c>
      <c r="C2603" s="232" t="str">
        <f>IF(AND(A2603&lt;&gt;"",ISNUMBER(A2603)),VLOOKUP(A2603,Studies!A:BR,3,FALSE),"")</f>
        <v>https://www.ncbi.nlm.nih.gov/pubmed/8549036</v>
      </c>
      <c r="D2603" s="232" t="str">
        <f>IF(AND(A2603&lt;&gt;"",ISNUMBER(A2603)),VLOOKUP(A2603,Studies!A:BR,4,FALSE),"")</f>
        <v>Control (Perpetrator Placebo)</v>
      </c>
      <c r="E2603" s="206" t="str">
        <f>IF(AND(A2603&lt;&gt;"",ISNUMBER(A2603)),VLOOKUP(A2603,Studies!A:BR,5,FALSE),"")</f>
        <v>Midazolam</v>
      </c>
      <c r="F2603" s="207" t="str">
        <f>IF(AND(A2603&lt;&gt;"",ISNUMBER(A2603)),VLOOKUP(A2603,Studies!A:BR,6,FALSE),"")</f>
        <v>Plasma</v>
      </c>
      <c r="G2603" s="194">
        <v>1.5</v>
      </c>
      <c r="H2603" s="194" t="s">
        <v>60</v>
      </c>
      <c r="I2603" s="187">
        <v>43.486240000000002</v>
      </c>
      <c r="J2603" s="187" t="s">
        <v>1026</v>
      </c>
      <c r="K2603" s="187" t="s">
        <v>116</v>
      </c>
      <c r="L2603" s="195">
        <v>4.6238520000000003</v>
      </c>
      <c r="M2603" s="195" t="s">
        <v>1090</v>
      </c>
      <c r="N2603" s="195" t="s">
        <v>1034</v>
      </c>
      <c r="O2603" s="199">
        <v>0.1</v>
      </c>
      <c r="P2603" s="188"/>
      <c r="Q2603" s="174">
        <f>IF(ISNUMBER(VLOOKUP(A2603,NotghiID!A:A,1,FALSE)),1,0)</f>
        <v>1</v>
      </c>
    </row>
    <row r="2604" spans="1:17" ht="14.25" x14ac:dyDescent="0.2">
      <c r="A2604" s="189">
        <v>53</v>
      </c>
      <c r="B2604" s="232" t="str">
        <f>IF(AND(A2604&lt;&gt;"",ISNUMBER(A2604)),VLOOKUP(A2604,Studies!A:BR,2,FALSE),"")</f>
        <v>Backman 1996</v>
      </c>
      <c r="C2604" s="232" t="str">
        <f>IF(AND(A2604&lt;&gt;"",ISNUMBER(A2604)),VLOOKUP(A2604,Studies!A:BR,3,FALSE),"")</f>
        <v>https://www.ncbi.nlm.nih.gov/pubmed/8549036</v>
      </c>
      <c r="D2604" s="232" t="str">
        <f>IF(AND(A2604&lt;&gt;"",ISNUMBER(A2604)),VLOOKUP(A2604,Studies!A:BR,4,FALSE),"")</f>
        <v>Control (Perpetrator Placebo)</v>
      </c>
      <c r="E2604" s="206" t="str">
        <f>IF(AND(A2604&lt;&gt;"",ISNUMBER(A2604)),VLOOKUP(A2604,Studies!A:BR,5,FALSE),"")</f>
        <v>Midazolam</v>
      </c>
      <c r="F2604" s="207" t="str">
        <f>IF(AND(A2604&lt;&gt;"",ISNUMBER(A2604)),VLOOKUP(A2604,Studies!A:BR,6,FALSE),"")</f>
        <v>Plasma</v>
      </c>
      <c r="G2604" s="194">
        <v>2</v>
      </c>
      <c r="H2604" s="194" t="s">
        <v>60</v>
      </c>
      <c r="I2604" s="187">
        <v>37.431190000000001</v>
      </c>
      <c r="J2604" s="187" t="s">
        <v>1026</v>
      </c>
      <c r="K2604" s="187" t="s">
        <v>116</v>
      </c>
      <c r="L2604" s="195">
        <v>2.9724810000000002</v>
      </c>
      <c r="M2604" s="195" t="s">
        <v>1090</v>
      </c>
      <c r="N2604" s="195" t="s">
        <v>1034</v>
      </c>
      <c r="O2604" s="199">
        <v>0.1</v>
      </c>
      <c r="P2604" s="188"/>
      <c r="Q2604" s="174">
        <f>IF(ISNUMBER(VLOOKUP(A2604,NotghiID!A:A,1,FALSE)),1,0)</f>
        <v>1</v>
      </c>
    </row>
    <row r="2605" spans="1:17" ht="14.25" x14ac:dyDescent="0.2">
      <c r="A2605" s="189">
        <v>53</v>
      </c>
      <c r="B2605" s="232" t="str">
        <f>IF(AND(A2605&lt;&gt;"",ISNUMBER(A2605)),VLOOKUP(A2605,Studies!A:BR,2,FALSE),"")</f>
        <v>Backman 1996</v>
      </c>
      <c r="C2605" s="232" t="str">
        <f>IF(AND(A2605&lt;&gt;"",ISNUMBER(A2605)),VLOOKUP(A2605,Studies!A:BR,3,FALSE),"")</f>
        <v>https://www.ncbi.nlm.nih.gov/pubmed/8549036</v>
      </c>
      <c r="D2605" s="232" t="str">
        <f>IF(AND(A2605&lt;&gt;"",ISNUMBER(A2605)),VLOOKUP(A2605,Studies!A:BR,4,FALSE),"")</f>
        <v>Control (Perpetrator Placebo)</v>
      </c>
      <c r="E2605" s="206" t="str">
        <f>IF(AND(A2605&lt;&gt;"",ISNUMBER(A2605)),VLOOKUP(A2605,Studies!A:BR,5,FALSE),"")</f>
        <v>Midazolam</v>
      </c>
      <c r="F2605" s="207" t="str">
        <f>IF(AND(A2605&lt;&gt;"",ISNUMBER(A2605)),VLOOKUP(A2605,Studies!A:BR,6,FALSE),"")</f>
        <v>Plasma</v>
      </c>
      <c r="G2605" s="194">
        <v>3</v>
      </c>
      <c r="H2605" s="194" t="s">
        <v>60</v>
      </c>
      <c r="I2605" s="187">
        <v>23.669730000000001</v>
      </c>
      <c r="J2605" s="187" t="s">
        <v>1026</v>
      </c>
      <c r="K2605" s="187" t="s">
        <v>116</v>
      </c>
      <c r="L2605" s="195">
        <v>3.0825629999999999</v>
      </c>
      <c r="M2605" s="195" t="s">
        <v>1090</v>
      </c>
      <c r="N2605" s="195" t="s">
        <v>1034</v>
      </c>
      <c r="O2605" s="199">
        <v>0.1</v>
      </c>
      <c r="P2605" s="188"/>
      <c r="Q2605" s="174">
        <f>IF(ISNUMBER(VLOOKUP(A2605,NotghiID!A:A,1,FALSE)),1,0)</f>
        <v>1</v>
      </c>
    </row>
    <row r="2606" spans="1:17" ht="14.25" x14ac:dyDescent="0.2">
      <c r="A2606" s="189">
        <v>53</v>
      </c>
      <c r="B2606" s="232" t="str">
        <f>IF(AND(A2606&lt;&gt;"",ISNUMBER(A2606)),VLOOKUP(A2606,Studies!A:BR,2,FALSE),"")</f>
        <v>Backman 1996</v>
      </c>
      <c r="C2606" s="232" t="str">
        <f>IF(AND(A2606&lt;&gt;"",ISNUMBER(A2606)),VLOOKUP(A2606,Studies!A:BR,3,FALSE),"")</f>
        <v>https://www.ncbi.nlm.nih.gov/pubmed/8549036</v>
      </c>
      <c r="D2606" s="232" t="str">
        <f>IF(AND(A2606&lt;&gt;"",ISNUMBER(A2606)),VLOOKUP(A2606,Studies!A:BR,4,FALSE),"")</f>
        <v>Control (Perpetrator Placebo)</v>
      </c>
      <c r="E2606" s="206" t="str">
        <f>IF(AND(A2606&lt;&gt;"",ISNUMBER(A2606)),VLOOKUP(A2606,Studies!A:BR,5,FALSE),"")</f>
        <v>Midazolam</v>
      </c>
      <c r="F2606" s="207" t="str">
        <f>IF(AND(A2606&lt;&gt;"",ISNUMBER(A2606)),VLOOKUP(A2606,Studies!A:BR,6,FALSE),"")</f>
        <v>Plasma</v>
      </c>
      <c r="G2606" s="194">
        <v>4</v>
      </c>
      <c r="H2606" s="194" t="s">
        <v>60</v>
      </c>
      <c r="I2606" s="187">
        <v>17.064219999999999</v>
      </c>
      <c r="J2606" s="187" t="s">
        <v>1026</v>
      </c>
      <c r="K2606" s="187" t="s">
        <v>116</v>
      </c>
      <c r="L2606" s="195">
        <v>2.6422020000000002</v>
      </c>
      <c r="M2606" s="195" t="s">
        <v>1090</v>
      </c>
      <c r="N2606" s="195" t="s">
        <v>1034</v>
      </c>
      <c r="O2606" s="199">
        <v>0.1</v>
      </c>
      <c r="P2606" s="188"/>
      <c r="Q2606" s="174">
        <f>IF(ISNUMBER(VLOOKUP(A2606,NotghiID!A:A,1,FALSE)),1,0)</f>
        <v>1</v>
      </c>
    </row>
    <row r="2607" spans="1:17" ht="14.25" x14ac:dyDescent="0.2">
      <c r="A2607" s="189">
        <v>53</v>
      </c>
      <c r="B2607" s="232" t="str">
        <f>IF(AND(A2607&lt;&gt;"",ISNUMBER(A2607)),VLOOKUP(A2607,Studies!A:BR,2,FALSE),"")</f>
        <v>Backman 1996</v>
      </c>
      <c r="C2607" s="232" t="str">
        <f>IF(AND(A2607&lt;&gt;"",ISNUMBER(A2607)),VLOOKUP(A2607,Studies!A:BR,3,FALSE),"")</f>
        <v>https://www.ncbi.nlm.nih.gov/pubmed/8549036</v>
      </c>
      <c r="D2607" s="232" t="str">
        <f>IF(AND(A2607&lt;&gt;"",ISNUMBER(A2607)),VLOOKUP(A2607,Studies!A:BR,4,FALSE),"")</f>
        <v>Control (Perpetrator Placebo)</v>
      </c>
      <c r="E2607" s="206" t="str">
        <f>IF(AND(A2607&lt;&gt;"",ISNUMBER(A2607)),VLOOKUP(A2607,Studies!A:BR,5,FALSE),"")</f>
        <v>Midazolam</v>
      </c>
      <c r="F2607" s="207" t="str">
        <f>IF(AND(A2607&lt;&gt;"",ISNUMBER(A2607)),VLOOKUP(A2607,Studies!A:BR,6,FALSE),"")</f>
        <v>Plasma</v>
      </c>
      <c r="G2607" s="194">
        <v>5</v>
      </c>
      <c r="H2607" s="194" t="s">
        <v>60</v>
      </c>
      <c r="I2607" s="187">
        <v>10.45872</v>
      </c>
      <c r="J2607" s="187" t="s">
        <v>1026</v>
      </c>
      <c r="K2607" s="187" t="s">
        <v>116</v>
      </c>
      <c r="L2607" s="195">
        <v>1.6513720000000001</v>
      </c>
      <c r="M2607" s="195" t="s">
        <v>1090</v>
      </c>
      <c r="N2607" s="195" t="s">
        <v>1034</v>
      </c>
      <c r="O2607" s="199">
        <v>0.1</v>
      </c>
      <c r="P2607" s="188"/>
      <c r="Q2607" s="174">
        <f>IF(ISNUMBER(VLOOKUP(A2607,NotghiID!A:A,1,FALSE)),1,0)</f>
        <v>1</v>
      </c>
    </row>
    <row r="2608" spans="1:17" ht="14.25" x14ac:dyDescent="0.2">
      <c r="A2608" s="189">
        <v>53</v>
      </c>
      <c r="B2608" s="232" t="str">
        <f>IF(AND(A2608&lt;&gt;"",ISNUMBER(A2608)),VLOOKUP(A2608,Studies!A:BR,2,FALSE),"")</f>
        <v>Backman 1996</v>
      </c>
      <c r="C2608" s="232" t="str">
        <f>IF(AND(A2608&lt;&gt;"",ISNUMBER(A2608)),VLOOKUP(A2608,Studies!A:BR,3,FALSE),"")</f>
        <v>https://www.ncbi.nlm.nih.gov/pubmed/8549036</v>
      </c>
      <c r="D2608" s="232" t="str">
        <f>IF(AND(A2608&lt;&gt;"",ISNUMBER(A2608)),VLOOKUP(A2608,Studies!A:BR,4,FALSE),"")</f>
        <v>Control (Perpetrator Placebo)</v>
      </c>
      <c r="E2608" s="206" t="str">
        <f>IF(AND(A2608&lt;&gt;"",ISNUMBER(A2608)),VLOOKUP(A2608,Studies!A:BR,5,FALSE),"")</f>
        <v>Midazolam</v>
      </c>
      <c r="F2608" s="207" t="str">
        <f>IF(AND(A2608&lt;&gt;"",ISNUMBER(A2608)),VLOOKUP(A2608,Studies!A:BR,6,FALSE),"")</f>
        <v>Plasma</v>
      </c>
      <c r="G2608" s="194">
        <v>6</v>
      </c>
      <c r="H2608" s="194" t="s">
        <v>60</v>
      </c>
      <c r="I2608" s="187">
        <v>7.4862380000000002</v>
      </c>
      <c r="J2608" s="187" t="s">
        <v>1026</v>
      </c>
      <c r="K2608" s="187" t="s">
        <v>116</v>
      </c>
      <c r="L2608" s="195">
        <v>1.1009180000000001</v>
      </c>
      <c r="M2608" s="195" t="s">
        <v>1090</v>
      </c>
      <c r="N2608" s="195" t="s">
        <v>1034</v>
      </c>
      <c r="O2608" s="199">
        <v>0.1</v>
      </c>
      <c r="P2608" s="188"/>
      <c r="Q2608" s="174">
        <f>IF(ISNUMBER(VLOOKUP(A2608,NotghiID!A:A,1,FALSE)),1,0)</f>
        <v>1</v>
      </c>
    </row>
    <row r="2609" spans="1:17" ht="14.25" x14ac:dyDescent="0.2">
      <c r="A2609" s="189">
        <v>53</v>
      </c>
      <c r="B2609" s="232" t="str">
        <f>IF(AND(A2609&lt;&gt;"",ISNUMBER(A2609)),VLOOKUP(A2609,Studies!A:BR,2,FALSE),"")</f>
        <v>Backman 1996</v>
      </c>
      <c r="C2609" s="232" t="str">
        <f>IF(AND(A2609&lt;&gt;"",ISNUMBER(A2609)),VLOOKUP(A2609,Studies!A:BR,3,FALSE),"")</f>
        <v>https://www.ncbi.nlm.nih.gov/pubmed/8549036</v>
      </c>
      <c r="D2609" s="232" t="str">
        <f>IF(AND(A2609&lt;&gt;"",ISNUMBER(A2609)),VLOOKUP(A2609,Studies!A:BR,4,FALSE),"")</f>
        <v>Control (Perpetrator Placebo)</v>
      </c>
      <c r="E2609" s="206" t="str">
        <f>IF(AND(A2609&lt;&gt;"",ISNUMBER(A2609)),VLOOKUP(A2609,Studies!A:BR,5,FALSE),"")</f>
        <v>Midazolam</v>
      </c>
      <c r="F2609" s="207" t="str">
        <f>IF(AND(A2609&lt;&gt;"",ISNUMBER(A2609)),VLOOKUP(A2609,Studies!A:BR,6,FALSE),"")</f>
        <v>Plasma</v>
      </c>
      <c r="G2609" s="194">
        <v>8</v>
      </c>
      <c r="H2609" s="194" t="s">
        <v>60</v>
      </c>
      <c r="I2609" s="187">
        <v>5.0642199999999997</v>
      </c>
      <c r="J2609" s="187" t="s">
        <v>1026</v>
      </c>
      <c r="K2609" s="187" t="s">
        <v>116</v>
      </c>
      <c r="L2609" s="195"/>
      <c r="M2609" s="195"/>
      <c r="N2609" s="195"/>
      <c r="O2609" s="199">
        <v>0.1</v>
      </c>
      <c r="P2609" s="188"/>
      <c r="Q2609" s="174">
        <f>IF(ISNUMBER(VLOOKUP(A2609,NotghiID!A:A,1,FALSE)),1,0)</f>
        <v>1</v>
      </c>
    </row>
    <row r="2610" spans="1:17" ht="14.25" x14ac:dyDescent="0.2">
      <c r="A2610" s="189">
        <v>53</v>
      </c>
      <c r="B2610" s="232" t="str">
        <f>IF(AND(A2610&lt;&gt;"",ISNUMBER(A2610)),VLOOKUP(A2610,Studies!A:BR,2,FALSE),"")</f>
        <v>Backman 1996</v>
      </c>
      <c r="C2610" s="232" t="str">
        <f>IF(AND(A2610&lt;&gt;"",ISNUMBER(A2610)),VLOOKUP(A2610,Studies!A:BR,3,FALSE),"")</f>
        <v>https://www.ncbi.nlm.nih.gov/pubmed/8549036</v>
      </c>
      <c r="D2610" s="232" t="str">
        <f>IF(AND(A2610&lt;&gt;"",ISNUMBER(A2610)),VLOOKUP(A2610,Studies!A:BR,4,FALSE),"")</f>
        <v>Control (Perpetrator Placebo)</v>
      </c>
      <c r="E2610" s="206" t="str">
        <f>IF(AND(A2610&lt;&gt;"",ISNUMBER(A2610)),VLOOKUP(A2610,Studies!A:BR,5,FALSE),"")</f>
        <v>Midazolam</v>
      </c>
      <c r="F2610" s="207" t="str">
        <f>IF(AND(A2610&lt;&gt;"",ISNUMBER(A2610)),VLOOKUP(A2610,Studies!A:BR,6,FALSE),"")</f>
        <v>Plasma</v>
      </c>
      <c r="G2610" s="194">
        <v>10</v>
      </c>
      <c r="H2610" s="194" t="s">
        <v>60</v>
      </c>
      <c r="I2610" s="187">
        <v>3.3027519999999999</v>
      </c>
      <c r="J2610" s="187" t="s">
        <v>1026</v>
      </c>
      <c r="K2610" s="187" t="s">
        <v>116</v>
      </c>
      <c r="L2610" s="195"/>
      <c r="M2610" s="195"/>
      <c r="N2610" s="195"/>
      <c r="O2610" s="199">
        <v>0.1</v>
      </c>
      <c r="P2610" s="188"/>
      <c r="Q2610" s="174">
        <f>IF(ISNUMBER(VLOOKUP(A2610,NotghiID!A:A,1,FALSE)),1,0)</f>
        <v>1</v>
      </c>
    </row>
    <row r="2611" spans="1:17" ht="14.25" x14ac:dyDescent="0.2">
      <c r="A2611" s="189">
        <v>54</v>
      </c>
      <c r="B2611" s="232" t="str">
        <f>IF(AND(A2611&lt;&gt;"",ISNUMBER(A2611)),VLOOKUP(A2611,Studies!A:BR,2,FALSE),"")</f>
        <v>Backman 1996</v>
      </c>
      <c r="C2611" s="232" t="str">
        <f>IF(AND(A2611&lt;&gt;"",ISNUMBER(A2611)),VLOOKUP(A2611,Studies!A:BR,3,FALSE),"")</f>
        <v>https://www.ncbi.nlm.nih.gov/pubmed/8549036</v>
      </c>
      <c r="D2611" s="232" t="str">
        <f>IF(AND(A2611&lt;&gt;"",ISNUMBER(A2611)),VLOOKUP(A2611,Studies!A:BR,4,FALSE),"")</f>
        <v>with Perpetrator (Rifampicin)</v>
      </c>
      <c r="E2611" s="206" t="str">
        <f>IF(AND(A2611&lt;&gt;"",ISNUMBER(A2611)),VLOOKUP(A2611,Studies!A:BR,5,FALSE),"")</f>
        <v>Midazolam</v>
      </c>
      <c r="F2611" s="207" t="str">
        <f>IF(AND(A2611&lt;&gt;"",ISNUMBER(A2611)),VLOOKUP(A2611,Studies!A:BR,6,FALSE),"")</f>
        <v>Plasma</v>
      </c>
      <c r="G2611" s="194">
        <f>113+0.5</f>
        <v>113.5</v>
      </c>
      <c r="H2611" s="194" t="s">
        <v>60</v>
      </c>
      <c r="I2611" s="187">
        <v>1.9816510000000001</v>
      </c>
      <c r="J2611" s="187" t="s">
        <v>1026</v>
      </c>
      <c r="K2611" s="187" t="s">
        <v>116</v>
      </c>
      <c r="L2611" s="195"/>
      <c r="M2611" s="195"/>
      <c r="N2611" s="195"/>
      <c r="O2611" s="199">
        <v>0.1</v>
      </c>
      <c r="P2611" s="188"/>
      <c r="Q2611" s="174">
        <f>IF(ISNUMBER(VLOOKUP(A2611,NotghiID!A:A,1,FALSE)),1,0)</f>
        <v>1</v>
      </c>
    </row>
    <row r="2612" spans="1:17" ht="14.25" x14ac:dyDescent="0.2">
      <c r="A2612" s="189">
        <v>54</v>
      </c>
      <c r="B2612" s="232" t="str">
        <f>IF(AND(A2612&lt;&gt;"",ISNUMBER(A2612)),VLOOKUP(A2612,Studies!A:BR,2,FALSE),"")</f>
        <v>Backman 1996</v>
      </c>
      <c r="C2612" s="232" t="str">
        <f>IF(AND(A2612&lt;&gt;"",ISNUMBER(A2612)),VLOOKUP(A2612,Studies!A:BR,3,FALSE),"")</f>
        <v>https://www.ncbi.nlm.nih.gov/pubmed/8549036</v>
      </c>
      <c r="D2612" s="232" t="str">
        <f>IF(AND(A2612&lt;&gt;"",ISNUMBER(A2612)),VLOOKUP(A2612,Studies!A:BR,4,FALSE),"")</f>
        <v>with Perpetrator (Rifampicin)</v>
      </c>
      <c r="E2612" s="206" t="str">
        <f>IF(AND(A2612&lt;&gt;"",ISNUMBER(A2612)),VLOOKUP(A2612,Studies!A:BR,5,FALSE),"")</f>
        <v>Midazolam</v>
      </c>
      <c r="F2612" s="207" t="str">
        <f>IF(AND(A2612&lt;&gt;"",ISNUMBER(A2612)),VLOOKUP(A2612,Studies!A:BR,6,FALSE),"")</f>
        <v>Plasma</v>
      </c>
      <c r="G2612" s="194">
        <f>113+1</f>
        <v>114</v>
      </c>
      <c r="H2612" s="194" t="s">
        <v>60</v>
      </c>
      <c r="I2612" s="187">
        <v>2.201835</v>
      </c>
      <c r="J2612" s="187" t="s">
        <v>1026</v>
      </c>
      <c r="K2612" s="187" t="s">
        <v>116</v>
      </c>
      <c r="L2612" s="195"/>
      <c r="M2612" s="195"/>
      <c r="N2612" s="195"/>
      <c r="O2612" s="199">
        <v>0.1</v>
      </c>
      <c r="P2612" s="188"/>
      <c r="Q2612" s="174">
        <f>IF(ISNUMBER(VLOOKUP(A2612,NotghiID!A:A,1,FALSE)),1,0)</f>
        <v>1</v>
      </c>
    </row>
    <row r="2613" spans="1:17" ht="14.25" x14ac:dyDescent="0.2">
      <c r="A2613" s="189">
        <v>54</v>
      </c>
      <c r="B2613" s="232" t="str">
        <f>IF(AND(A2613&lt;&gt;"",ISNUMBER(A2613)),VLOOKUP(A2613,Studies!A:BR,2,FALSE),"")</f>
        <v>Backman 1996</v>
      </c>
      <c r="C2613" s="232" t="str">
        <f>IF(AND(A2613&lt;&gt;"",ISNUMBER(A2613)),VLOOKUP(A2613,Studies!A:BR,3,FALSE),"")</f>
        <v>https://www.ncbi.nlm.nih.gov/pubmed/8549036</v>
      </c>
      <c r="D2613" s="232" t="str">
        <f>IF(AND(A2613&lt;&gt;"",ISNUMBER(A2613)),VLOOKUP(A2613,Studies!A:BR,4,FALSE),"")</f>
        <v>with Perpetrator (Rifampicin)</v>
      </c>
      <c r="E2613" s="206" t="str">
        <f>IF(AND(A2613&lt;&gt;"",ISNUMBER(A2613)),VLOOKUP(A2613,Studies!A:BR,5,FALSE),"")</f>
        <v>Midazolam</v>
      </c>
      <c r="F2613" s="207" t="str">
        <f>IF(AND(A2613&lt;&gt;"",ISNUMBER(A2613)),VLOOKUP(A2613,Studies!A:BR,6,FALSE),"")</f>
        <v>Plasma</v>
      </c>
      <c r="G2613" s="194">
        <f>113+1.5</f>
        <v>114.5</v>
      </c>
      <c r="H2613" s="194" t="s">
        <v>60</v>
      </c>
      <c r="I2613" s="187">
        <v>2.201835</v>
      </c>
      <c r="J2613" s="187" t="s">
        <v>1026</v>
      </c>
      <c r="K2613" s="187" t="s">
        <v>116</v>
      </c>
      <c r="L2613" s="195"/>
      <c r="M2613" s="195"/>
      <c r="N2613" s="195"/>
      <c r="O2613" s="199">
        <v>0.1</v>
      </c>
      <c r="P2613" s="188"/>
      <c r="Q2613" s="174">
        <f>IF(ISNUMBER(VLOOKUP(A2613,NotghiID!A:A,1,FALSE)),1,0)</f>
        <v>1</v>
      </c>
    </row>
    <row r="2614" spans="1:17" ht="14.25" x14ac:dyDescent="0.2">
      <c r="A2614" s="189">
        <v>54</v>
      </c>
      <c r="B2614" s="232" t="str">
        <f>IF(AND(A2614&lt;&gt;"",ISNUMBER(A2614)),VLOOKUP(A2614,Studies!A:BR,2,FALSE),"")</f>
        <v>Backman 1996</v>
      </c>
      <c r="C2614" s="232" t="str">
        <f>IF(AND(A2614&lt;&gt;"",ISNUMBER(A2614)),VLOOKUP(A2614,Studies!A:BR,3,FALSE),"")</f>
        <v>https://www.ncbi.nlm.nih.gov/pubmed/8549036</v>
      </c>
      <c r="D2614" s="232" t="str">
        <f>IF(AND(A2614&lt;&gt;"",ISNUMBER(A2614)),VLOOKUP(A2614,Studies!A:BR,4,FALSE),"")</f>
        <v>with Perpetrator (Rifampicin)</v>
      </c>
      <c r="E2614" s="206" t="str">
        <f>IF(AND(A2614&lt;&gt;"",ISNUMBER(A2614)),VLOOKUP(A2614,Studies!A:BR,5,FALSE),"")</f>
        <v>Midazolam</v>
      </c>
      <c r="F2614" s="207" t="str">
        <f>IF(AND(A2614&lt;&gt;"",ISNUMBER(A2614)),VLOOKUP(A2614,Studies!A:BR,6,FALSE),"")</f>
        <v>Plasma</v>
      </c>
      <c r="G2614" s="194">
        <f>113+2</f>
        <v>115</v>
      </c>
      <c r="H2614" s="194" t="s">
        <v>60</v>
      </c>
      <c r="I2614" s="187">
        <v>1.761468</v>
      </c>
      <c r="J2614" s="187" t="s">
        <v>1026</v>
      </c>
      <c r="K2614" s="187" t="s">
        <v>116</v>
      </c>
      <c r="L2614" s="195"/>
      <c r="M2614" s="195"/>
      <c r="N2614" s="195"/>
      <c r="O2614" s="199">
        <v>0.1</v>
      </c>
      <c r="P2614" s="188"/>
      <c r="Q2614" s="174">
        <f>IF(ISNUMBER(VLOOKUP(A2614,NotghiID!A:A,1,FALSE)),1,0)</f>
        <v>1</v>
      </c>
    </row>
    <row r="2615" spans="1:17" ht="14.25" x14ac:dyDescent="0.2">
      <c r="A2615" s="189">
        <v>54</v>
      </c>
      <c r="B2615" s="232" t="str">
        <f>IF(AND(A2615&lt;&gt;"",ISNUMBER(A2615)),VLOOKUP(A2615,Studies!A:BR,2,FALSE),"")</f>
        <v>Backman 1996</v>
      </c>
      <c r="C2615" s="232" t="str">
        <f>IF(AND(A2615&lt;&gt;"",ISNUMBER(A2615)),VLOOKUP(A2615,Studies!A:BR,3,FALSE),"")</f>
        <v>https://www.ncbi.nlm.nih.gov/pubmed/8549036</v>
      </c>
      <c r="D2615" s="232" t="str">
        <f>IF(AND(A2615&lt;&gt;"",ISNUMBER(A2615)),VLOOKUP(A2615,Studies!A:BR,4,FALSE),"")</f>
        <v>with Perpetrator (Rifampicin)</v>
      </c>
      <c r="E2615" s="206" t="str">
        <f>IF(AND(A2615&lt;&gt;"",ISNUMBER(A2615)),VLOOKUP(A2615,Studies!A:BR,5,FALSE),"")</f>
        <v>Midazolam</v>
      </c>
      <c r="F2615" s="207" t="str">
        <f>IF(AND(A2615&lt;&gt;"",ISNUMBER(A2615)),VLOOKUP(A2615,Studies!A:BR,6,FALSE),"")</f>
        <v>Plasma</v>
      </c>
      <c r="G2615" s="194">
        <f>113+3</f>
        <v>116</v>
      </c>
      <c r="H2615" s="194" t="s">
        <v>60</v>
      </c>
      <c r="I2615" s="187">
        <v>0.99082570000000003</v>
      </c>
      <c r="J2615" s="187" t="s">
        <v>1026</v>
      </c>
      <c r="K2615" s="187" t="s">
        <v>116</v>
      </c>
      <c r="L2615" s="195"/>
      <c r="M2615" s="195"/>
      <c r="N2615" s="195"/>
      <c r="O2615" s="199">
        <v>0.1</v>
      </c>
      <c r="P2615" s="188"/>
      <c r="Q2615" s="174">
        <f>IF(ISNUMBER(VLOOKUP(A2615,NotghiID!A:A,1,FALSE)),1,0)</f>
        <v>1</v>
      </c>
    </row>
    <row r="2616" spans="1:17" ht="14.25" x14ac:dyDescent="0.2">
      <c r="A2616" s="189">
        <v>54</v>
      </c>
      <c r="B2616" s="232" t="str">
        <f>IF(AND(A2616&lt;&gt;"",ISNUMBER(A2616)),VLOOKUP(A2616,Studies!A:BR,2,FALSE),"")</f>
        <v>Backman 1996</v>
      </c>
      <c r="C2616" s="232" t="str">
        <f>IF(AND(A2616&lt;&gt;"",ISNUMBER(A2616)),VLOOKUP(A2616,Studies!A:BR,3,FALSE),"")</f>
        <v>https://www.ncbi.nlm.nih.gov/pubmed/8549036</v>
      </c>
      <c r="D2616" s="232" t="str">
        <f>IF(AND(A2616&lt;&gt;"",ISNUMBER(A2616)),VLOOKUP(A2616,Studies!A:BR,4,FALSE),"")</f>
        <v>with Perpetrator (Rifampicin)</v>
      </c>
      <c r="E2616" s="206" t="str">
        <f>IF(AND(A2616&lt;&gt;"",ISNUMBER(A2616)),VLOOKUP(A2616,Studies!A:BR,5,FALSE),"")</f>
        <v>Midazolam</v>
      </c>
      <c r="F2616" s="207" t="str">
        <f>IF(AND(A2616&lt;&gt;"",ISNUMBER(A2616)),VLOOKUP(A2616,Studies!A:BR,6,FALSE),"")</f>
        <v>Plasma</v>
      </c>
      <c r="G2616" s="194">
        <f>113+4</f>
        <v>117</v>
      </c>
      <c r="H2616" s="194" t="s">
        <v>60</v>
      </c>
      <c r="I2616" s="187">
        <v>0.66055050000000004</v>
      </c>
      <c r="J2616" s="187" t="s">
        <v>1026</v>
      </c>
      <c r="K2616" s="187" t="s">
        <v>116</v>
      </c>
      <c r="L2616" s="195"/>
      <c r="M2616" s="195"/>
      <c r="N2616" s="195"/>
      <c r="O2616" s="199">
        <v>0.1</v>
      </c>
      <c r="P2616" s="188"/>
      <c r="Q2616" s="174">
        <f>IF(ISNUMBER(VLOOKUP(A2616,NotghiID!A:A,1,FALSE)),1,0)</f>
        <v>1</v>
      </c>
    </row>
    <row r="2617" spans="1:17" ht="14.25" x14ac:dyDescent="0.2">
      <c r="A2617" s="189">
        <v>54</v>
      </c>
      <c r="B2617" s="232" t="str">
        <f>IF(AND(A2617&lt;&gt;"",ISNUMBER(A2617)),VLOOKUP(A2617,Studies!A:BR,2,FALSE),"")</f>
        <v>Backman 1996</v>
      </c>
      <c r="C2617" s="232" t="str">
        <f>IF(AND(A2617&lt;&gt;"",ISNUMBER(A2617)),VLOOKUP(A2617,Studies!A:BR,3,FALSE),"")</f>
        <v>https://www.ncbi.nlm.nih.gov/pubmed/8549036</v>
      </c>
      <c r="D2617" s="232" t="str">
        <f>IF(AND(A2617&lt;&gt;"",ISNUMBER(A2617)),VLOOKUP(A2617,Studies!A:BR,4,FALSE),"")</f>
        <v>with Perpetrator (Rifampicin)</v>
      </c>
      <c r="E2617" s="206" t="str">
        <f>IF(AND(A2617&lt;&gt;"",ISNUMBER(A2617)),VLOOKUP(A2617,Studies!A:BR,5,FALSE),"")</f>
        <v>Midazolam</v>
      </c>
      <c r="F2617" s="207" t="str">
        <f>IF(AND(A2617&lt;&gt;"",ISNUMBER(A2617)),VLOOKUP(A2617,Studies!A:BR,6,FALSE),"")</f>
        <v>Plasma</v>
      </c>
      <c r="G2617" s="194">
        <f>113+5</f>
        <v>118</v>
      </c>
      <c r="H2617" s="194" t="s">
        <v>60</v>
      </c>
      <c r="I2617" s="187">
        <v>0.33027519999999999</v>
      </c>
      <c r="J2617" s="187" t="s">
        <v>1026</v>
      </c>
      <c r="K2617" s="187" t="s">
        <v>116</v>
      </c>
      <c r="L2617" s="195"/>
      <c r="M2617" s="195"/>
      <c r="N2617" s="195"/>
      <c r="O2617" s="199">
        <v>0.1</v>
      </c>
      <c r="P2617" s="188"/>
      <c r="Q2617" s="174">
        <f>IF(ISNUMBER(VLOOKUP(A2617,NotghiID!A:A,1,FALSE)),1,0)</f>
        <v>1</v>
      </c>
    </row>
    <row r="2618" spans="1:17" ht="14.25" x14ac:dyDescent="0.2">
      <c r="A2618" s="189">
        <v>54</v>
      </c>
      <c r="B2618" s="232" t="str">
        <f>IF(AND(A2618&lt;&gt;"",ISNUMBER(A2618)),VLOOKUP(A2618,Studies!A:BR,2,FALSE),"")</f>
        <v>Backman 1996</v>
      </c>
      <c r="C2618" s="232" t="str">
        <f>IF(AND(A2618&lt;&gt;"",ISNUMBER(A2618)),VLOOKUP(A2618,Studies!A:BR,3,FALSE),"")</f>
        <v>https://www.ncbi.nlm.nih.gov/pubmed/8549036</v>
      </c>
      <c r="D2618" s="232" t="str">
        <f>IF(AND(A2618&lt;&gt;"",ISNUMBER(A2618)),VLOOKUP(A2618,Studies!A:BR,4,FALSE),"")</f>
        <v>with Perpetrator (Rifampicin)</v>
      </c>
      <c r="E2618" s="206" t="str">
        <f>IF(AND(A2618&lt;&gt;"",ISNUMBER(A2618)),VLOOKUP(A2618,Studies!A:BR,5,FALSE),"")</f>
        <v>Midazolam</v>
      </c>
      <c r="F2618" s="207" t="str">
        <f>IF(AND(A2618&lt;&gt;"",ISNUMBER(A2618)),VLOOKUP(A2618,Studies!A:BR,6,FALSE),"")</f>
        <v>Plasma</v>
      </c>
      <c r="G2618" s="194">
        <f>113+6</f>
        <v>119</v>
      </c>
      <c r="H2618" s="194" t="s">
        <v>60</v>
      </c>
      <c r="I2618" s="187">
        <v>0.2201835</v>
      </c>
      <c r="J2618" s="187" t="s">
        <v>1026</v>
      </c>
      <c r="K2618" s="187" t="s">
        <v>116</v>
      </c>
      <c r="L2618" s="195"/>
      <c r="M2618" s="195"/>
      <c r="N2618" s="195"/>
      <c r="O2618" s="199">
        <v>0.1</v>
      </c>
      <c r="P2618" s="188"/>
      <c r="Q2618" s="174">
        <f>IF(ISNUMBER(VLOOKUP(A2618,NotghiID!A:A,1,FALSE)),1,0)</f>
        <v>1</v>
      </c>
    </row>
    <row r="2619" spans="1:17" ht="14.25" x14ac:dyDescent="0.2">
      <c r="A2619" s="189">
        <v>54</v>
      </c>
      <c r="B2619" s="232" t="str">
        <f>IF(AND(A2619&lt;&gt;"",ISNUMBER(A2619)),VLOOKUP(A2619,Studies!A:BR,2,FALSE),"")</f>
        <v>Backman 1996</v>
      </c>
      <c r="C2619" s="232" t="str">
        <f>IF(AND(A2619&lt;&gt;"",ISNUMBER(A2619)),VLOOKUP(A2619,Studies!A:BR,3,FALSE),"")</f>
        <v>https://www.ncbi.nlm.nih.gov/pubmed/8549036</v>
      </c>
      <c r="D2619" s="232" t="str">
        <f>IF(AND(A2619&lt;&gt;"",ISNUMBER(A2619)),VLOOKUP(A2619,Studies!A:BR,4,FALSE),"")</f>
        <v>with Perpetrator (Rifampicin)</v>
      </c>
      <c r="E2619" s="206" t="str">
        <f>IF(AND(A2619&lt;&gt;"",ISNUMBER(A2619)),VLOOKUP(A2619,Studies!A:BR,5,FALSE),"")</f>
        <v>Midazolam</v>
      </c>
      <c r="F2619" s="207" t="str">
        <f>IF(AND(A2619&lt;&gt;"",ISNUMBER(A2619)),VLOOKUP(A2619,Studies!A:BR,6,FALSE),"")</f>
        <v>Plasma</v>
      </c>
      <c r="G2619" s="194">
        <f>113+8</f>
        <v>121</v>
      </c>
      <c r="H2619" s="194" t="s">
        <v>60</v>
      </c>
      <c r="I2619" s="187">
        <v>0</v>
      </c>
      <c r="J2619" s="187" t="s">
        <v>1026</v>
      </c>
      <c r="K2619" s="187" t="s">
        <v>116</v>
      </c>
      <c r="L2619" s="195"/>
      <c r="M2619" s="195"/>
      <c r="N2619" s="195"/>
      <c r="O2619" s="199">
        <v>0.1</v>
      </c>
      <c r="P2619" s="188"/>
      <c r="Q2619" s="174">
        <f>IF(ISNUMBER(VLOOKUP(A2619,NotghiID!A:A,1,FALSE)),1,0)</f>
        <v>1</v>
      </c>
    </row>
    <row r="2620" spans="1:17" ht="14.25" x14ac:dyDescent="0.2">
      <c r="A2620" s="189">
        <v>54</v>
      </c>
      <c r="B2620" s="232" t="str">
        <f>IF(AND(A2620&lt;&gt;"",ISNUMBER(A2620)),VLOOKUP(A2620,Studies!A:BR,2,FALSE),"")</f>
        <v>Backman 1996</v>
      </c>
      <c r="C2620" s="232" t="str">
        <f>IF(AND(A2620&lt;&gt;"",ISNUMBER(A2620)),VLOOKUP(A2620,Studies!A:BR,3,FALSE),"")</f>
        <v>https://www.ncbi.nlm.nih.gov/pubmed/8549036</v>
      </c>
      <c r="D2620" s="232" t="str">
        <f>IF(AND(A2620&lt;&gt;"",ISNUMBER(A2620)),VLOOKUP(A2620,Studies!A:BR,4,FALSE),"")</f>
        <v>with Perpetrator (Rifampicin)</v>
      </c>
      <c r="E2620" s="206" t="str">
        <f>IF(AND(A2620&lt;&gt;"",ISNUMBER(A2620)),VLOOKUP(A2620,Studies!A:BR,5,FALSE),"")</f>
        <v>Midazolam</v>
      </c>
      <c r="F2620" s="207" t="str">
        <f>IF(AND(A2620&lt;&gt;"",ISNUMBER(A2620)),VLOOKUP(A2620,Studies!A:BR,6,FALSE),"")</f>
        <v>Plasma</v>
      </c>
      <c r="G2620" s="194">
        <f>113+10</f>
        <v>123</v>
      </c>
      <c r="H2620" s="194" t="s">
        <v>60</v>
      </c>
      <c r="I2620" s="187">
        <v>0</v>
      </c>
      <c r="J2620" s="187" t="s">
        <v>1026</v>
      </c>
      <c r="K2620" s="187" t="s">
        <v>116</v>
      </c>
      <c r="L2620" s="195"/>
      <c r="M2620" s="195"/>
      <c r="N2620" s="195"/>
      <c r="O2620" s="199">
        <v>0.1</v>
      </c>
      <c r="P2620" s="188"/>
      <c r="Q2620" s="174">
        <f>IF(ISNUMBER(VLOOKUP(A2620,NotghiID!A:A,1,FALSE)),1,0)</f>
        <v>1</v>
      </c>
    </row>
    <row r="2621" spans="1:17" ht="14.25" x14ac:dyDescent="0.2">
      <c r="A2621" s="189">
        <v>5</v>
      </c>
      <c r="B2621" s="232" t="str">
        <f>IF(AND(A2621&lt;&gt;"",ISNUMBER(A2621)),VLOOKUP(A2621,Studies!A:BR,2,FALSE),"")</f>
        <v>Acocella 1972b</v>
      </c>
      <c r="C2621" s="232" t="str">
        <f>IF(AND(A2621&lt;&gt;"",ISNUMBER(A2621)),VLOOKUP(A2621,Studies!A:BR,3,FALSE),"")</f>
        <v>https://www.ncbi.nlm.nih.gov/pubmed/5060669</v>
      </c>
      <c r="D2621" s="232" t="str">
        <f>IF(AND(A2621&lt;&gt;"",ISNUMBER(A2621)),VLOOKUP(A2621,Studies!A:BR,4,FALSE),"")</f>
        <v>normal subjects</v>
      </c>
      <c r="E2621" s="206" t="str">
        <f>IF(AND(A2621&lt;&gt;"",ISNUMBER(A2621)),VLOOKUP(A2621,Studies!A:BR,5,FALSE),"")</f>
        <v>Rifampicin</v>
      </c>
      <c r="F2621" s="207" t="str">
        <f>IF(AND(A2621&lt;&gt;"",ISNUMBER(A2621)),VLOOKUP(A2621,Studies!A:BR,6,FALSE),"")</f>
        <v>Serum</v>
      </c>
      <c r="G2621" s="194">
        <v>2</v>
      </c>
      <c r="H2621" s="194" t="s">
        <v>60</v>
      </c>
      <c r="I2621" s="187">
        <v>8.4782609999999998</v>
      </c>
      <c r="J2621" s="187" t="s">
        <v>1126</v>
      </c>
      <c r="K2621" s="187" t="s">
        <v>116</v>
      </c>
      <c r="L2621" s="195">
        <v>1.0852170000000001</v>
      </c>
      <c r="M2621" s="195" t="s">
        <v>1126</v>
      </c>
      <c r="N2621" s="195" t="s">
        <v>1034</v>
      </c>
      <c r="O2621" s="199"/>
      <c r="P2621" s="188"/>
      <c r="Q2621" s="174">
        <f>IF(ISNUMBER(VLOOKUP(A2621,NotghiID!A:A,1,FALSE)),1,0)</f>
        <v>1</v>
      </c>
    </row>
    <row r="2622" spans="1:17" ht="14.25" x14ac:dyDescent="0.2">
      <c r="A2622" s="189">
        <v>5</v>
      </c>
      <c r="B2622" s="232" t="str">
        <f>IF(AND(A2622&lt;&gt;"",ISNUMBER(A2622)),VLOOKUP(A2622,Studies!A:BR,2,FALSE),"")</f>
        <v>Acocella 1972b</v>
      </c>
      <c r="C2622" s="232" t="str">
        <f>IF(AND(A2622&lt;&gt;"",ISNUMBER(A2622)),VLOOKUP(A2622,Studies!A:BR,3,FALSE),"")</f>
        <v>https://www.ncbi.nlm.nih.gov/pubmed/5060669</v>
      </c>
      <c r="D2622" s="232" t="str">
        <f>IF(AND(A2622&lt;&gt;"",ISNUMBER(A2622)),VLOOKUP(A2622,Studies!A:BR,4,FALSE),"")</f>
        <v>normal subjects</v>
      </c>
      <c r="E2622" s="206" t="str">
        <f>IF(AND(A2622&lt;&gt;"",ISNUMBER(A2622)),VLOOKUP(A2622,Studies!A:BR,5,FALSE),"")</f>
        <v>Rifampicin</v>
      </c>
      <c r="F2622" s="207" t="str">
        <f>IF(AND(A2622&lt;&gt;"",ISNUMBER(A2622)),VLOOKUP(A2622,Studies!A:BR,6,FALSE),"")</f>
        <v>Serum</v>
      </c>
      <c r="G2622" s="194">
        <v>4</v>
      </c>
      <c r="H2622" s="194" t="s">
        <v>60</v>
      </c>
      <c r="I2622" s="187">
        <v>7.5739130000000001</v>
      </c>
      <c r="J2622" s="187" t="s">
        <v>1126</v>
      </c>
      <c r="K2622" s="187" t="s">
        <v>116</v>
      </c>
      <c r="L2622" s="195">
        <v>0.81391290000000005</v>
      </c>
      <c r="M2622" s="195" t="s">
        <v>1126</v>
      </c>
      <c r="N2622" s="195" t="s">
        <v>1034</v>
      </c>
      <c r="O2622" s="199"/>
      <c r="P2622" s="188"/>
      <c r="Q2622" s="174">
        <f>IF(ISNUMBER(VLOOKUP(A2622,NotghiID!A:A,1,FALSE)),1,0)</f>
        <v>1</v>
      </c>
    </row>
    <row r="2623" spans="1:17" ht="14.25" x14ac:dyDescent="0.2">
      <c r="A2623" s="189">
        <v>5</v>
      </c>
      <c r="B2623" s="232" t="str">
        <f>IF(AND(A2623&lt;&gt;"",ISNUMBER(A2623)),VLOOKUP(A2623,Studies!A:BR,2,FALSE),"")</f>
        <v>Acocella 1972b</v>
      </c>
      <c r="C2623" s="232" t="str">
        <f>IF(AND(A2623&lt;&gt;"",ISNUMBER(A2623)),VLOOKUP(A2623,Studies!A:BR,3,FALSE),"")</f>
        <v>https://www.ncbi.nlm.nih.gov/pubmed/5060669</v>
      </c>
      <c r="D2623" s="232" t="str">
        <f>IF(AND(A2623&lt;&gt;"",ISNUMBER(A2623)),VLOOKUP(A2623,Studies!A:BR,4,FALSE),"")</f>
        <v>normal subjects</v>
      </c>
      <c r="E2623" s="206" t="str">
        <f>IF(AND(A2623&lt;&gt;"",ISNUMBER(A2623)),VLOOKUP(A2623,Studies!A:BR,5,FALSE),"")</f>
        <v>Rifampicin</v>
      </c>
      <c r="F2623" s="207" t="str">
        <f>IF(AND(A2623&lt;&gt;"",ISNUMBER(A2623)),VLOOKUP(A2623,Studies!A:BR,6,FALSE),"")</f>
        <v>Serum</v>
      </c>
      <c r="G2623" s="194">
        <v>8</v>
      </c>
      <c r="H2623" s="194" t="s">
        <v>60</v>
      </c>
      <c r="I2623" s="187">
        <v>4.092174</v>
      </c>
      <c r="J2623" s="187" t="s">
        <v>1126</v>
      </c>
      <c r="K2623" s="187" t="s">
        <v>116</v>
      </c>
      <c r="L2623" s="195">
        <v>0.49739119999999998</v>
      </c>
      <c r="M2623" s="195" t="s">
        <v>1126</v>
      </c>
      <c r="N2623" s="195" t="s">
        <v>1034</v>
      </c>
      <c r="O2623" s="199"/>
      <c r="P2623" s="188"/>
      <c r="Q2623" s="174">
        <f>IF(ISNUMBER(VLOOKUP(A2623,NotghiID!A:A,1,FALSE)),1,0)</f>
        <v>1</v>
      </c>
    </row>
    <row r="2624" spans="1:17" ht="14.25" x14ac:dyDescent="0.2">
      <c r="A2624" s="189">
        <v>5</v>
      </c>
      <c r="B2624" s="232" t="str">
        <f>IF(AND(A2624&lt;&gt;"",ISNUMBER(A2624)),VLOOKUP(A2624,Studies!A:BR,2,FALSE),"")</f>
        <v>Acocella 1972b</v>
      </c>
      <c r="C2624" s="232" t="str">
        <f>IF(AND(A2624&lt;&gt;"",ISNUMBER(A2624)),VLOOKUP(A2624,Studies!A:BR,3,FALSE),"")</f>
        <v>https://www.ncbi.nlm.nih.gov/pubmed/5060669</v>
      </c>
      <c r="D2624" s="232" t="str">
        <f>IF(AND(A2624&lt;&gt;"",ISNUMBER(A2624)),VLOOKUP(A2624,Studies!A:BR,4,FALSE),"")</f>
        <v>normal subjects</v>
      </c>
      <c r="E2624" s="206" t="str">
        <f>IF(AND(A2624&lt;&gt;"",ISNUMBER(A2624)),VLOOKUP(A2624,Studies!A:BR,5,FALSE),"")</f>
        <v>Rifampicin</v>
      </c>
      <c r="F2624" s="207" t="str">
        <f>IF(AND(A2624&lt;&gt;"",ISNUMBER(A2624)),VLOOKUP(A2624,Studies!A:BR,6,FALSE),"")</f>
        <v>Serum</v>
      </c>
      <c r="G2624" s="194">
        <v>12</v>
      </c>
      <c r="H2624" s="194" t="s">
        <v>60</v>
      </c>
      <c r="I2624" s="187">
        <v>1.6504350000000001</v>
      </c>
      <c r="J2624" s="187" t="s">
        <v>1126</v>
      </c>
      <c r="K2624" s="187" t="s">
        <v>116</v>
      </c>
      <c r="L2624" s="195">
        <v>0.42956499999999997</v>
      </c>
      <c r="M2624" s="195" t="s">
        <v>1126</v>
      </c>
      <c r="N2624" s="195" t="s">
        <v>1034</v>
      </c>
      <c r="O2624" s="199"/>
      <c r="P2624" s="188"/>
      <c r="Q2624" s="174">
        <f>IF(ISNUMBER(VLOOKUP(A2624,NotghiID!A:A,1,FALSE)),1,0)</f>
        <v>1</v>
      </c>
    </row>
    <row r="2625" spans="1:17" ht="14.25" x14ac:dyDescent="0.2">
      <c r="A2625" s="189">
        <v>6</v>
      </c>
      <c r="B2625" s="232" t="str">
        <f>IF(AND(A2625&lt;&gt;"",ISNUMBER(A2625)),VLOOKUP(A2625,Studies!A:BR,2,FALSE),"")</f>
        <v>Acocella 1972b</v>
      </c>
      <c r="C2625" s="232" t="str">
        <f>IF(AND(A2625&lt;&gt;"",ISNUMBER(A2625)),VLOOKUP(A2625,Studies!A:BR,3,FALSE),"")</f>
        <v>https://www.ncbi.nlm.nih.gov/pubmed/5060669</v>
      </c>
      <c r="D2625" s="232" t="str">
        <f>IF(AND(A2625&lt;&gt;"",ISNUMBER(A2625)),VLOOKUP(A2625,Studies!A:BR,4,FALSE),"")</f>
        <v>patients with liver disease</v>
      </c>
      <c r="E2625" s="206" t="str">
        <f>IF(AND(A2625&lt;&gt;"",ISNUMBER(A2625)),VLOOKUP(A2625,Studies!A:BR,5,FALSE),"")</f>
        <v>Rifampicin</v>
      </c>
      <c r="F2625" s="207" t="str">
        <f>IF(AND(A2625&lt;&gt;"",ISNUMBER(A2625)),VLOOKUP(A2625,Studies!A:BR,6,FALSE),"")</f>
        <v>Serum</v>
      </c>
      <c r="G2625" s="194">
        <v>2</v>
      </c>
      <c r="H2625" s="194" t="s">
        <v>60</v>
      </c>
      <c r="I2625" s="187">
        <v>10.35478</v>
      </c>
      <c r="J2625" s="187" t="s">
        <v>1126</v>
      </c>
      <c r="K2625" s="187" t="s">
        <v>116</v>
      </c>
      <c r="L2625" s="195">
        <v>2.5321760000000002</v>
      </c>
      <c r="M2625" s="195" t="s">
        <v>1126</v>
      </c>
      <c r="N2625" s="195" t="s">
        <v>1034</v>
      </c>
      <c r="O2625" s="199"/>
      <c r="P2625" s="188"/>
      <c r="Q2625" s="174">
        <f>IF(ISNUMBER(VLOOKUP(A2625,NotghiID!A:A,1,FALSE)),1,0)</f>
        <v>1</v>
      </c>
    </row>
    <row r="2626" spans="1:17" ht="14.25" x14ac:dyDescent="0.2">
      <c r="A2626" s="189">
        <v>6</v>
      </c>
      <c r="B2626" s="232" t="str">
        <f>IF(AND(A2626&lt;&gt;"",ISNUMBER(A2626)),VLOOKUP(A2626,Studies!A:BR,2,FALSE),"")</f>
        <v>Acocella 1972b</v>
      </c>
      <c r="C2626" s="232" t="str">
        <f>IF(AND(A2626&lt;&gt;"",ISNUMBER(A2626)),VLOOKUP(A2626,Studies!A:BR,3,FALSE),"")</f>
        <v>https://www.ncbi.nlm.nih.gov/pubmed/5060669</v>
      </c>
      <c r="D2626" s="232" t="str">
        <f>IF(AND(A2626&lt;&gt;"",ISNUMBER(A2626)),VLOOKUP(A2626,Studies!A:BR,4,FALSE),"")</f>
        <v>patients with liver disease</v>
      </c>
      <c r="E2626" s="206" t="str">
        <f>IF(AND(A2626&lt;&gt;"",ISNUMBER(A2626)),VLOOKUP(A2626,Studies!A:BR,5,FALSE),"")</f>
        <v>Rifampicin</v>
      </c>
      <c r="F2626" s="207" t="str">
        <f>IF(AND(A2626&lt;&gt;"",ISNUMBER(A2626)),VLOOKUP(A2626,Studies!A:BR,6,FALSE),"")</f>
        <v>Serum</v>
      </c>
      <c r="G2626" s="194">
        <v>4</v>
      </c>
      <c r="H2626" s="194" t="s">
        <v>60</v>
      </c>
      <c r="I2626" s="187">
        <v>11.982609999999999</v>
      </c>
      <c r="J2626" s="187" t="s">
        <v>1126</v>
      </c>
      <c r="K2626" s="187" t="s">
        <v>116</v>
      </c>
      <c r="L2626" s="195">
        <v>1.1078250000000001</v>
      </c>
      <c r="M2626" s="195" t="s">
        <v>1126</v>
      </c>
      <c r="N2626" s="195" t="s">
        <v>1034</v>
      </c>
      <c r="O2626" s="199"/>
      <c r="P2626" s="188"/>
      <c r="Q2626" s="174">
        <f>IF(ISNUMBER(VLOOKUP(A2626,NotghiID!A:A,1,FALSE)),1,0)</f>
        <v>1</v>
      </c>
    </row>
    <row r="2627" spans="1:17" ht="14.25" x14ac:dyDescent="0.2">
      <c r="A2627" s="189">
        <v>6</v>
      </c>
      <c r="B2627" s="232" t="str">
        <f>IF(AND(A2627&lt;&gt;"",ISNUMBER(A2627)),VLOOKUP(A2627,Studies!A:BR,2,FALSE),"")</f>
        <v>Acocella 1972b</v>
      </c>
      <c r="C2627" s="232" t="str">
        <f>IF(AND(A2627&lt;&gt;"",ISNUMBER(A2627)),VLOOKUP(A2627,Studies!A:BR,3,FALSE),"")</f>
        <v>https://www.ncbi.nlm.nih.gov/pubmed/5060669</v>
      </c>
      <c r="D2627" s="232" t="str">
        <f>IF(AND(A2627&lt;&gt;"",ISNUMBER(A2627)),VLOOKUP(A2627,Studies!A:BR,4,FALSE),"")</f>
        <v>patients with liver disease</v>
      </c>
      <c r="E2627" s="206" t="str">
        <f>IF(AND(A2627&lt;&gt;"",ISNUMBER(A2627)),VLOOKUP(A2627,Studies!A:BR,5,FALSE),"")</f>
        <v>Rifampicin</v>
      </c>
      <c r="F2627" s="207" t="str">
        <f>IF(AND(A2627&lt;&gt;"",ISNUMBER(A2627)),VLOOKUP(A2627,Studies!A:BR,6,FALSE),"")</f>
        <v>Serum</v>
      </c>
      <c r="G2627" s="194">
        <v>8</v>
      </c>
      <c r="H2627" s="194" t="s">
        <v>60</v>
      </c>
      <c r="I2627" s="187">
        <v>8.5913050000000002</v>
      </c>
      <c r="J2627" s="187" t="s">
        <v>1126</v>
      </c>
      <c r="K2627" s="187" t="s">
        <v>116</v>
      </c>
      <c r="L2627" s="195">
        <v>0.97217370000000003</v>
      </c>
      <c r="M2627" s="195" t="s">
        <v>1126</v>
      </c>
      <c r="N2627" s="195" t="s">
        <v>1034</v>
      </c>
      <c r="O2627" s="199"/>
      <c r="P2627" s="188"/>
      <c r="Q2627" s="174">
        <f>IF(ISNUMBER(VLOOKUP(A2627,NotghiID!A:A,1,FALSE)),1,0)</f>
        <v>1</v>
      </c>
    </row>
    <row r="2628" spans="1:17" ht="14.25" x14ac:dyDescent="0.2">
      <c r="A2628" s="189">
        <v>6</v>
      </c>
      <c r="B2628" s="232" t="str">
        <f>IF(AND(A2628&lt;&gt;"",ISNUMBER(A2628)),VLOOKUP(A2628,Studies!A:BR,2,FALSE),"")</f>
        <v>Acocella 1972b</v>
      </c>
      <c r="C2628" s="232" t="str">
        <f>IF(AND(A2628&lt;&gt;"",ISNUMBER(A2628)),VLOOKUP(A2628,Studies!A:BR,3,FALSE),"")</f>
        <v>https://www.ncbi.nlm.nih.gov/pubmed/5060669</v>
      </c>
      <c r="D2628" s="232" t="str">
        <f>IF(AND(A2628&lt;&gt;"",ISNUMBER(A2628)),VLOOKUP(A2628,Studies!A:BR,4,FALSE),"")</f>
        <v>patients with liver disease</v>
      </c>
      <c r="E2628" s="206" t="str">
        <f>IF(AND(A2628&lt;&gt;"",ISNUMBER(A2628)),VLOOKUP(A2628,Studies!A:BR,5,FALSE),"")</f>
        <v>Rifampicin</v>
      </c>
      <c r="F2628" s="207" t="str">
        <f>IF(AND(A2628&lt;&gt;"",ISNUMBER(A2628)),VLOOKUP(A2628,Studies!A:BR,6,FALSE),"")</f>
        <v>Serum</v>
      </c>
      <c r="G2628" s="194">
        <v>12</v>
      </c>
      <c r="H2628" s="194" t="s">
        <v>60</v>
      </c>
      <c r="I2628" s="187">
        <v>6.9860870000000004</v>
      </c>
      <c r="J2628" s="187" t="s">
        <v>1126</v>
      </c>
      <c r="K2628" s="187" t="s">
        <v>116</v>
      </c>
      <c r="L2628" s="195">
        <v>0.99478290000000003</v>
      </c>
      <c r="M2628" s="195" t="s">
        <v>1126</v>
      </c>
      <c r="N2628" s="195" t="s">
        <v>1034</v>
      </c>
      <c r="O2628" s="199"/>
      <c r="P2628" s="188"/>
      <c r="Q2628" s="174">
        <f>IF(ISNUMBER(VLOOKUP(A2628,NotghiID!A:A,1,FALSE)),1,0)</f>
        <v>1</v>
      </c>
    </row>
    <row r="2629" spans="1:17" ht="14.25" x14ac:dyDescent="0.2">
      <c r="A2629" s="189">
        <v>7</v>
      </c>
      <c r="B2629" s="232" t="str">
        <f>IF(AND(A2629&lt;&gt;"",ISNUMBER(A2629)),VLOOKUP(A2629,Studies!A:BR,2,FALSE),"")</f>
        <v>Acocella 1972b</v>
      </c>
      <c r="C2629" s="232" t="str">
        <f>IF(AND(A2629&lt;&gt;"",ISNUMBER(A2629)),VLOOKUP(A2629,Studies!A:BR,3,FALSE),"")</f>
        <v>https://www.ncbi.nlm.nih.gov/pubmed/5060669</v>
      </c>
      <c r="D2629" s="232" t="str">
        <f>IF(AND(A2629&lt;&gt;"",ISNUMBER(A2629)),VLOOKUP(A2629,Studies!A:BR,4,FALSE),"")</f>
        <v>normal subjects</v>
      </c>
      <c r="E2629" s="206" t="str">
        <f>IF(AND(A2629&lt;&gt;"",ISNUMBER(A2629)),VLOOKUP(A2629,Studies!A:BR,5,FALSE),"")</f>
        <v>Rifampicin</v>
      </c>
      <c r="F2629" s="207" t="str">
        <f>IF(AND(A2629&lt;&gt;"",ISNUMBER(A2629)),VLOOKUP(A2629,Studies!A:BR,6,FALSE),"")</f>
        <v>Urine</v>
      </c>
      <c r="G2629" s="194">
        <v>24</v>
      </c>
      <c r="H2629" s="194" t="s">
        <v>60</v>
      </c>
      <c r="I2629" s="187">
        <v>89.7</v>
      </c>
      <c r="J2629" s="187" t="s">
        <v>58</v>
      </c>
      <c r="K2629" s="187" t="s">
        <v>116</v>
      </c>
      <c r="L2629" s="195">
        <v>6.7</v>
      </c>
      <c r="M2629" s="195" t="s">
        <v>58</v>
      </c>
      <c r="N2629" s="195" t="s">
        <v>1034</v>
      </c>
      <c r="O2629" s="199"/>
      <c r="P2629" s="188"/>
      <c r="Q2629" s="174">
        <f>IF(ISNUMBER(VLOOKUP(A2629,NotghiID!A:A,1,FALSE)),1,0)</f>
        <v>1</v>
      </c>
    </row>
    <row r="2630" spans="1:17" ht="14.25" x14ac:dyDescent="0.2">
      <c r="A2630" s="189">
        <v>8</v>
      </c>
      <c r="B2630" s="232" t="str">
        <f>IF(AND(A2630&lt;&gt;"",ISNUMBER(A2630)),VLOOKUP(A2630,Studies!A:BR,2,FALSE),"")</f>
        <v>Acocella 1972b</v>
      </c>
      <c r="C2630" s="232" t="str">
        <f>IF(AND(A2630&lt;&gt;"",ISNUMBER(A2630)),VLOOKUP(A2630,Studies!A:BR,3,FALSE),"")</f>
        <v>https://www.ncbi.nlm.nih.gov/pubmed/5060669</v>
      </c>
      <c r="D2630" s="232" t="str">
        <f>IF(AND(A2630&lt;&gt;"",ISNUMBER(A2630)),VLOOKUP(A2630,Studies!A:BR,4,FALSE),"")</f>
        <v>patients with liver disease</v>
      </c>
      <c r="E2630" s="206" t="str">
        <f>IF(AND(A2630&lt;&gt;"",ISNUMBER(A2630)),VLOOKUP(A2630,Studies!A:BR,5,FALSE),"")</f>
        <v>Rifampicin</v>
      </c>
      <c r="F2630" s="207" t="str">
        <f>IF(AND(A2630&lt;&gt;"",ISNUMBER(A2630)),VLOOKUP(A2630,Studies!A:BR,6,FALSE),"")</f>
        <v>Urine</v>
      </c>
      <c r="G2630" s="194">
        <v>24</v>
      </c>
      <c r="H2630" s="194" t="s">
        <v>60</v>
      </c>
      <c r="I2630" s="187">
        <v>101.4</v>
      </c>
      <c r="J2630" s="187" t="s">
        <v>58</v>
      </c>
      <c r="K2630" s="187" t="s">
        <v>116</v>
      </c>
      <c r="L2630" s="195">
        <v>19.2</v>
      </c>
      <c r="M2630" s="195" t="s">
        <v>58</v>
      </c>
      <c r="N2630" s="195" t="s">
        <v>1034</v>
      </c>
      <c r="O2630" s="199"/>
      <c r="P2630" s="188"/>
      <c r="Q2630" s="174">
        <f>IF(ISNUMBER(VLOOKUP(A2630,NotghiID!A:A,1,FALSE)),1,0)</f>
        <v>1</v>
      </c>
    </row>
    <row r="2631" spans="1:17" ht="14.25" x14ac:dyDescent="0.2">
      <c r="A2631" s="189">
        <v>109</v>
      </c>
      <c r="B2631" s="232" t="str">
        <f>IF(AND(A2631&lt;&gt;"",ISNUMBER(A2631)),VLOOKUP(A2631,Studies!A:BR,2,FALSE),"")</f>
        <v>Burger 2006</v>
      </c>
      <c r="C2631" s="232" t="str">
        <f>IF(AND(A2631&lt;&gt;"",ISNUMBER(A2631)),VLOOKUP(A2631,Studies!A:BR,3,FALSE),"")</f>
        <v>https://www.ncbi.nlm.nih.gov/pubmed/17005814</v>
      </c>
      <c r="D2631" s="232" t="str">
        <f>IF(AND(A2631&lt;&gt;"",ISNUMBER(A2631)),VLOOKUP(A2631,Studies!A:BR,4,FALSE),"")</f>
        <v>Rifampin alone</v>
      </c>
      <c r="E2631" s="206" t="str">
        <f>IF(AND(A2631&lt;&gt;"",ISNUMBER(A2631)),VLOOKUP(A2631,Studies!A:BR,5,FALSE),"")</f>
        <v>Rifampicin</v>
      </c>
      <c r="F2631" s="207" t="str">
        <f>IF(AND(A2631&lt;&gt;"",ISNUMBER(A2631)),VLOOKUP(A2631,Studies!A:BR,6,FALSE),"")</f>
        <v>Plasma</v>
      </c>
      <c r="G2631" s="194">
        <f>216+1</f>
        <v>217</v>
      </c>
      <c r="H2631" s="194" t="s">
        <v>60</v>
      </c>
      <c r="I2631" s="221">
        <v>1333.521</v>
      </c>
      <c r="J2631" s="187" t="s">
        <v>1026</v>
      </c>
      <c r="K2631" s="187" t="s">
        <v>1091</v>
      </c>
      <c r="L2631" s="195"/>
      <c r="M2631" s="195"/>
      <c r="N2631" s="195"/>
      <c r="O2631" s="199">
        <v>50</v>
      </c>
      <c r="P2631" s="188"/>
      <c r="Q2631" s="174">
        <f>IF(ISNUMBER(VLOOKUP(A2631,NotghiID!A:A,1,FALSE)),1,0)</f>
        <v>1</v>
      </c>
    </row>
    <row r="2632" spans="1:17" ht="14.25" x14ac:dyDescent="0.2">
      <c r="A2632" s="189">
        <v>109</v>
      </c>
      <c r="B2632" s="232" t="str">
        <f>IF(AND(A2632&lt;&gt;"",ISNUMBER(A2632)),VLOOKUP(A2632,Studies!A:BR,2,FALSE),"")</f>
        <v>Burger 2006</v>
      </c>
      <c r="C2632" s="232" t="str">
        <f>IF(AND(A2632&lt;&gt;"",ISNUMBER(A2632)),VLOOKUP(A2632,Studies!A:BR,3,FALSE),"")</f>
        <v>https://www.ncbi.nlm.nih.gov/pubmed/17005814</v>
      </c>
      <c r="D2632" s="232" t="str">
        <f>IF(AND(A2632&lt;&gt;"",ISNUMBER(A2632)),VLOOKUP(A2632,Studies!A:BR,4,FALSE),"")</f>
        <v>Rifampin alone</v>
      </c>
      <c r="E2632" s="206" t="str">
        <f>IF(AND(A2632&lt;&gt;"",ISNUMBER(A2632)),VLOOKUP(A2632,Studies!A:BR,5,FALSE),"")</f>
        <v>Rifampicin</v>
      </c>
      <c r="F2632" s="207" t="str">
        <f>IF(AND(A2632&lt;&gt;"",ISNUMBER(A2632)),VLOOKUP(A2632,Studies!A:BR,6,FALSE),"")</f>
        <v>Plasma</v>
      </c>
      <c r="G2632" s="194">
        <f>216+1.5</f>
        <v>217.5</v>
      </c>
      <c r="H2632" s="194" t="s">
        <v>60</v>
      </c>
      <c r="I2632" s="221">
        <v>4823.1790000000001</v>
      </c>
      <c r="J2632" s="187" t="s">
        <v>1026</v>
      </c>
      <c r="K2632" s="187" t="s">
        <v>1091</v>
      </c>
      <c r="L2632" s="195"/>
      <c r="M2632" s="195"/>
      <c r="N2632" s="195"/>
      <c r="O2632" s="199">
        <v>50</v>
      </c>
      <c r="P2632" s="188"/>
      <c r="Q2632" s="174">
        <f>IF(ISNUMBER(VLOOKUP(A2632,NotghiID!A:A,1,FALSE)),1,0)</f>
        <v>1</v>
      </c>
    </row>
    <row r="2633" spans="1:17" ht="14.25" x14ac:dyDescent="0.2">
      <c r="A2633" s="189">
        <v>109</v>
      </c>
      <c r="B2633" s="232" t="str">
        <f>IF(AND(A2633&lt;&gt;"",ISNUMBER(A2633)),VLOOKUP(A2633,Studies!A:BR,2,FALSE),"")</f>
        <v>Burger 2006</v>
      </c>
      <c r="C2633" s="232" t="str">
        <f>IF(AND(A2633&lt;&gt;"",ISNUMBER(A2633)),VLOOKUP(A2633,Studies!A:BR,3,FALSE),"")</f>
        <v>https://www.ncbi.nlm.nih.gov/pubmed/17005814</v>
      </c>
      <c r="D2633" s="232" t="str">
        <f>IF(AND(A2633&lt;&gt;"",ISNUMBER(A2633)),VLOOKUP(A2633,Studies!A:BR,4,FALSE),"")</f>
        <v>Rifampin alone</v>
      </c>
      <c r="E2633" s="206" t="str">
        <f>IF(AND(A2633&lt;&gt;"",ISNUMBER(A2633)),VLOOKUP(A2633,Studies!A:BR,5,FALSE),"")</f>
        <v>Rifampicin</v>
      </c>
      <c r="F2633" s="207" t="str">
        <f>IF(AND(A2633&lt;&gt;"",ISNUMBER(A2633)),VLOOKUP(A2633,Studies!A:BR,6,FALSE),"")</f>
        <v>Plasma</v>
      </c>
      <c r="G2633" s="194">
        <f>216+2</f>
        <v>218</v>
      </c>
      <c r="H2633" s="194" t="s">
        <v>60</v>
      </c>
      <c r="I2633" s="221">
        <v>6072.0219999999999</v>
      </c>
      <c r="J2633" s="187" t="s">
        <v>1026</v>
      </c>
      <c r="K2633" s="187" t="s">
        <v>1091</v>
      </c>
      <c r="L2633" s="195"/>
      <c r="M2633" s="195"/>
      <c r="N2633" s="195"/>
      <c r="O2633" s="199">
        <v>50</v>
      </c>
      <c r="P2633" s="188"/>
      <c r="Q2633" s="174">
        <f>IF(ISNUMBER(VLOOKUP(A2633,NotghiID!A:A,1,FALSE)),1,0)</f>
        <v>1</v>
      </c>
    </row>
    <row r="2634" spans="1:17" ht="14.25" x14ac:dyDescent="0.2">
      <c r="A2634" s="189">
        <v>109</v>
      </c>
      <c r="B2634" s="232" t="str">
        <f>IF(AND(A2634&lt;&gt;"",ISNUMBER(A2634)),VLOOKUP(A2634,Studies!A:BR,2,FALSE),"")</f>
        <v>Burger 2006</v>
      </c>
      <c r="C2634" s="232" t="str">
        <f>IF(AND(A2634&lt;&gt;"",ISNUMBER(A2634)),VLOOKUP(A2634,Studies!A:BR,3,FALSE),"")</f>
        <v>https://www.ncbi.nlm.nih.gov/pubmed/17005814</v>
      </c>
      <c r="D2634" s="232" t="str">
        <f>IF(AND(A2634&lt;&gt;"",ISNUMBER(A2634)),VLOOKUP(A2634,Studies!A:BR,4,FALSE),"")</f>
        <v>Rifampin alone</v>
      </c>
      <c r="E2634" s="206" t="str">
        <f>IF(AND(A2634&lt;&gt;"",ISNUMBER(A2634)),VLOOKUP(A2634,Studies!A:BR,5,FALSE),"")</f>
        <v>Rifampicin</v>
      </c>
      <c r="F2634" s="207" t="str">
        <f>IF(AND(A2634&lt;&gt;"",ISNUMBER(A2634)),VLOOKUP(A2634,Studies!A:BR,6,FALSE),"")</f>
        <v>Plasma</v>
      </c>
      <c r="G2634" s="194">
        <f>216+2.5</f>
        <v>218.5</v>
      </c>
      <c r="H2634" s="194" t="s">
        <v>60</v>
      </c>
      <c r="I2634" s="221">
        <v>6812.9210000000003</v>
      </c>
      <c r="J2634" s="187" t="s">
        <v>1026</v>
      </c>
      <c r="K2634" s="187" t="s">
        <v>1091</v>
      </c>
      <c r="L2634" s="195"/>
      <c r="M2634" s="195"/>
      <c r="N2634" s="195"/>
      <c r="O2634" s="199">
        <v>50</v>
      </c>
      <c r="P2634" s="188"/>
      <c r="Q2634" s="174">
        <f>IF(ISNUMBER(VLOOKUP(A2634,NotghiID!A:A,1,FALSE)),1,0)</f>
        <v>1</v>
      </c>
    </row>
    <row r="2635" spans="1:17" ht="14.25" x14ac:dyDescent="0.2">
      <c r="A2635" s="189">
        <v>109</v>
      </c>
      <c r="B2635" s="232" t="str">
        <f>IF(AND(A2635&lt;&gt;"",ISNUMBER(A2635)),VLOOKUP(A2635,Studies!A:BR,2,FALSE),"")</f>
        <v>Burger 2006</v>
      </c>
      <c r="C2635" s="232" t="str">
        <f>IF(AND(A2635&lt;&gt;"",ISNUMBER(A2635)),VLOOKUP(A2635,Studies!A:BR,3,FALSE),"")</f>
        <v>https://www.ncbi.nlm.nih.gov/pubmed/17005814</v>
      </c>
      <c r="D2635" s="232" t="str">
        <f>IF(AND(A2635&lt;&gt;"",ISNUMBER(A2635)),VLOOKUP(A2635,Studies!A:BR,4,FALSE),"")</f>
        <v>Rifampin alone</v>
      </c>
      <c r="E2635" s="206" t="str">
        <f>IF(AND(A2635&lt;&gt;"",ISNUMBER(A2635)),VLOOKUP(A2635,Studies!A:BR,5,FALSE),"")</f>
        <v>Rifampicin</v>
      </c>
      <c r="F2635" s="207" t="str">
        <f>IF(AND(A2635&lt;&gt;"",ISNUMBER(A2635)),VLOOKUP(A2635,Studies!A:BR,6,FALSE),"")</f>
        <v>Plasma</v>
      </c>
      <c r="G2635" s="194">
        <f>216+3</f>
        <v>219</v>
      </c>
      <c r="H2635" s="194" t="s">
        <v>60</v>
      </c>
      <c r="I2635" s="221">
        <v>7079.4579999999996</v>
      </c>
      <c r="J2635" s="187" t="s">
        <v>1026</v>
      </c>
      <c r="K2635" s="187" t="s">
        <v>1091</v>
      </c>
      <c r="L2635" s="195"/>
      <c r="M2635" s="195"/>
      <c r="N2635" s="195"/>
      <c r="O2635" s="199">
        <v>50</v>
      </c>
      <c r="P2635" s="188"/>
      <c r="Q2635" s="174">
        <f>IF(ISNUMBER(VLOOKUP(A2635,NotghiID!A:A,1,FALSE)),1,0)</f>
        <v>1</v>
      </c>
    </row>
    <row r="2636" spans="1:17" ht="14.25" x14ac:dyDescent="0.2">
      <c r="A2636" s="189">
        <v>109</v>
      </c>
      <c r="B2636" s="232" t="str">
        <f>IF(AND(A2636&lt;&gt;"",ISNUMBER(A2636)),VLOOKUP(A2636,Studies!A:BR,2,FALSE),"")</f>
        <v>Burger 2006</v>
      </c>
      <c r="C2636" s="232" t="str">
        <f>IF(AND(A2636&lt;&gt;"",ISNUMBER(A2636)),VLOOKUP(A2636,Studies!A:BR,3,FALSE),"")</f>
        <v>https://www.ncbi.nlm.nih.gov/pubmed/17005814</v>
      </c>
      <c r="D2636" s="232" t="str">
        <f>IF(AND(A2636&lt;&gt;"",ISNUMBER(A2636)),VLOOKUP(A2636,Studies!A:BR,4,FALSE),"")</f>
        <v>Rifampin alone</v>
      </c>
      <c r="E2636" s="206" t="str">
        <f>IF(AND(A2636&lt;&gt;"",ISNUMBER(A2636)),VLOOKUP(A2636,Studies!A:BR,5,FALSE),"")</f>
        <v>Rifampicin</v>
      </c>
      <c r="F2636" s="207" t="str">
        <f>IF(AND(A2636&lt;&gt;"",ISNUMBER(A2636)),VLOOKUP(A2636,Studies!A:BR,6,FALSE),"")</f>
        <v>Plasma</v>
      </c>
      <c r="G2636" s="194">
        <f>216+4</f>
        <v>220</v>
      </c>
      <c r="H2636" s="194" t="s">
        <v>60</v>
      </c>
      <c r="I2636" s="221">
        <v>6309.5730000000003</v>
      </c>
      <c r="J2636" s="187" t="s">
        <v>1026</v>
      </c>
      <c r="K2636" s="187" t="s">
        <v>1091</v>
      </c>
      <c r="L2636" s="195"/>
      <c r="M2636" s="195"/>
      <c r="N2636" s="195"/>
      <c r="O2636" s="199">
        <v>50</v>
      </c>
      <c r="P2636" s="188"/>
      <c r="Q2636" s="174">
        <f>IF(ISNUMBER(VLOOKUP(A2636,NotghiID!A:A,1,FALSE)),1,0)</f>
        <v>1</v>
      </c>
    </row>
    <row r="2637" spans="1:17" ht="14.25" x14ac:dyDescent="0.2">
      <c r="A2637" s="189">
        <v>109</v>
      </c>
      <c r="B2637" s="232" t="str">
        <f>IF(AND(A2637&lt;&gt;"",ISNUMBER(A2637)),VLOOKUP(A2637,Studies!A:BR,2,FALSE),"")</f>
        <v>Burger 2006</v>
      </c>
      <c r="C2637" s="232" t="str">
        <f>IF(AND(A2637&lt;&gt;"",ISNUMBER(A2637)),VLOOKUP(A2637,Studies!A:BR,3,FALSE),"")</f>
        <v>https://www.ncbi.nlm.nih.gov/pubmed/17005814</v>
      </c>
      <c r="D2637" s="232" t="str">
        <f>IF(AND(A2637&lt;&gt;"",ISNUMBER(A2637)),VLOOKUP(A2637,Studies!A:BR,4,FALSE),"")</f>
        <v>Rifampin alone</v>
      </c>
      <c r="E2637" s="206" t="str">
        <f>IF(AND(A2637&lt;&gt;"",ISNUMBER(A2637)),VLOOKUP(A2637,Studies!A:BR,5,FALSE),"")</f>
        <v>Rifampicin</v>
      </c>
      <c r="F2637" s="207" t="str">
        <f>IF(AND(A2637&lt;&gt;"",ISNUMBER(A2637)),VLOOKUP(A2637,Studies!A:BR,6,FALSE),"")</f>
        <v>Plasma</v>
      </c>
      <c r="G2637" s="194">
        <f>216+5</f>
        <v>221</v>
      </c>
      <c r="H2637" s="194" t="s">
        <v>60</v>
      </c>
      <c r="I2637" s="221">
        <v>4381.942</v>
      </c>
      <c r="J2637" s="187" t="s">
        <v>1026</v>
      </c>
      <c r="K2637" s="187" t="s">
        <v>1091</v>
      </c>
      <c r="L2637" s="195"/>
      <c r="M2637" s="195"/>
      <c r="N2637" s="195"/>
      <c r="O2637" s="199">
        <v>50</v>
      </c>
      <c r="P2637" s="188"/>
      <c r="Q2637" s="174">
        <f>IF(ISNUMBER(VLOOKUP(A2637,NotghiID!A:A,1,FALSE)),1,0)</f>
        <v>1</v>
      </c>
    </row>
    <row r="2638" spans="1:17" ht="14.25" x14ac:dyDescent="0.2">
      <c r="A2638" s="189">
        <v>109</v>
      </c>
      <c r="B2638" s="232" t="str">
        <f>IF(AND(A2638&lt;&gt;"",ISNUMBER(A2638)),VLOOKUP(A2638,Studies!A:BR,2,FALSE),"")</f>
        <v>Burger 2006</v>
      </c>
      <c r="C2638" s="232" t="str">
        <f>IF(AND(A2638&lt;&gt;"",ISNUMBER(A2638)),VLOOKUP(A2638,Studies!A:BR,3,FALSE),"")</f>
        <v>https://www.ncbi.nlm.nih.gov/pubmed/17005814</v>
      </c>
      <c r="D2638" s="232" t="str">
        <f>IF(AND(A2638&lt;&gt;"",ISNUMBER(A2638)),VLOOKUP(A2638,Studies!A:BR,4,FALSE),"")</f>
        <v>Rifampin alone</v>
      </c>
      <c r="E2638" s="206" t="str">
        <f>IF(AND(A2638&lt;&gt;"",ISNUMBER(A2638)),VLOOKUP(A2638,Studies!A:BR,5,FALSE),"")</f>
        <v>Rifampicin</v>
      </c>
      <c r="F2638" s="207" t="str">
        <f>IF(AND(A2638&lt;&gt;"",ISNUMBER(A2638)),VLOOKUP(A2638,Studies!A:BR,6,FALSE),"")</f>
        <v>Plasma</v>
      </c>
      <c r="G2638" s="194">
        <f>216+6</f>
        <v>222</v>
      </c>
      <c r="H2638" s="194" t="s">
        <v>60</v>
      </c>
      <c r="I2638" s="221">
        <v>2928.645</v>
      </c>
      <c r="J2638" s="187" t="s">
        <v>1026</v>
      </c>
      <c r="K2638" s="187" t="s">
        <v>1091</v>
      </c>
      <c r="L2638" s="195"/>
      <c r="M2638" s="195"/>
      <c r="N2638" s="195"/>
      <c r="O2638" s="199">
        <v>50</v>
      </c>
      <c r="P2638" s="188"/>
      <c r="Q2638" s="174">
        <f>IF(ISNUMBER(VLOOKUP(A2638,NotghiID!A:A,1,FALSE)),1,0)</f>
        <v>1</v>
      </c>
    </row>
    <row r="2639" spans="1:17" ht="14.25" x14ac:dyDescent="0.2">
      <c r="A2639" s="189">
        <v>109</v>
      </c>
      <c r="B2639" s="232" t="str">
        <f>IF(AND(A2639&lt;&gt;"",ISNUMBER(A2639)),VLOOKUP(A2639,Studies!A:BR,2,FALSE),"")</f>
        <v>Burger 2006</v>
      </c>
      <c r="C2639" s="232" t="str">
        <f>IF(AND(A2639&lt;&gt;"",ISNUMBER(A2639)),VLOOKUP(A2639,Studies!A:BR,3,FALSE),"")</f>
        <v>https://www.ncbi.nlm.nih.gov/pubmed/17005814</v>
      </c>
      <c r="D2639" s="232" t="str">
        <f>IF(AND(A2639&lt;&gt;"",ISNUMBER(A2639)),VLOOKUP(A2639,Studies!A:BR,4,FALSE),"")</f>
        <v>Rifampin alone</v>
      </c>
      <c r="E2639" s="206" t="str">
        <f>IF(AND(A2639&lt;&gt;"",ISNUMBER(A2639)),VLOOKUP(A2639,Studies!A:BR,5,FALSE),"")</f>
        <v>Rifampicin</v>
      </c>
      <c r="F2639" s="207" t="str">
        <f>IF(AND(A2639&lt;&gt;"",ISNUMBER(A2639)),VLOOKUP(A2639,Studies!A:BR,6,FALSE),"")</f>
        <v>Plasma</v>
      </c>
      <c r="G2639" s="194">
        <f>216+8</f>
        <v>224</v>
      </c>
      <c r="H2639" s="194" t="s">
        <v>60</v>
      </c>
      <c r="I2639" s="221">
        <v>1439.903</v>
      </c>
      <c r="J2639" s="187" t="s">
        <v>1026</v>
      </c>
      <c r="K2639" s="187" t="s">
        <v>1091</v>
      </c>
      <c r="L2639" s="195"/>
      <c r="M2639" s="195"/>
      <c r="N2639" s="195"/>
      <c r="O2639" s="199">
        <v>50</v>
      </c>
      <c r="P2639" s="188"/>
      <c r="Q2639" s="174">
        <f>IF(ISNUMBER(VLOOKUP(A2639,NotghiID!A:A,1,FALSE)),1,0)</f>
        <v>1</v>
      </c>
    </row>
    <row r="2640" spans="1:17" ht="14.25" x14ac:dyDescent="0.2">
      <c r="A2640" s="189">
        <v>109</v>
      </c>
      <c r="B2640" s="232" t="str">
        <f>IF(AND(A2640&lt;&gt;"",ISNUMBER(A2640)),VLOOKUP(A2640,Studies!A:BR,2,FALSE),"")</f>
        <v>Burger 2006</v>
      </c>
      <c r="C2640" s="232" t="str">
        <f>IF(AND(A2640&lt;&gt;"",ISNUMBER(A2640)),VLOOKUP(A2640,Studies!A:BR,3,FALSE),"")</f>
        <v>https://www.ncbi.nlm.nih.gov/pubmed/17005814</v>
      </c>
      <c r="D2640" s="232" t="str">
        <f>IF(AND(A2640&lt;&gt;"",ISNUMBER(A2640)),VLOOKUP(A2640,Studies!A:BR,4,FALSE),"")</f>
        <v>Rifampin alone</v>
      </c>
      <c r="E2640" s="206" t="str">
        <f>IF(AND(A2640&lt;&gt;"",ISNUMBER(A2640)),VLOOKUP(A2640,Studies!A:BR,5,FALSE),"")</f>
        <v>Rifampicin</v>
      </c>
      <c r="F2640" s="207" t="str">
        <f>IF(AND(A2640&lt;&gt;"",ISNUMBER(A2640)),VLOOKUP(A2640,Studies!A:BR,6,FALSE),"")</f>
        <v>Plasma</v>
      </c>
      <c r="G2640" s="194">
        <f>216+12</f>
        <v>228</v>
      </c>
      <c r="H2640" s="194" t="s">
        <v>60</v>
      </c>
      <c r="I2640" s="221">
        <v>271.22730000000001</v>
      </c>
      <c r="J2640" s="187" t="s">
        <v>1026</v>
      </c>
      <c r="K2640" s="187" t="s">
        <v>1091</v>
      </c>
      <c r="L2640" s="195"/>
      <c r="M2640" s="195"/>
      <c r="N2640" s="195"/>
      <c r="O2640" s="199">
        <v>50</v>
      </c>
      <c r="P2640" s="188"/>
      <c r="Q2640" s="174">
        <f>IF(ISNUMBER(VLOOKUP(A2640,NotghiID!A:A,1,FALSE)),1,0)</f>
        <v>1</v>
      </c>
    </row>
    <row r="2641" spans="1:17" ht="14.25" x14ac:dyDescent="0.2">
      <c r="A2641" s="189">
        <v>109</v>
      </c>
      <c r="B2641" s="232" t="str">
        <f>IF(AND(A2641&lt;&gt;"",ISNUMBER(A2641)),VLOOKUP(A2641,Studies!A:BR,2,FALSE),"")</f>
        <v>Burger 2006</v>
      </c>
      <c r="C2641" s="232" t="str">
        <f>IF(AND(A2641&lt;&gt;"",ISNUMBER(A2641)),VLOOKUP(A2641,Studies!A:BR,3,FALSE),"")</f>
        <v>https://www.ncbi.nlm.nih.gov/pubmed/17005814</v>
      </c>
      <c r="D2641" s="232" t="str">
        <f>IF(AND(A2641&lt;&gt;"",ISNUMBER(A2641)),VLOOKUP(A2641,Studies!A:BR,4,FALSE),"")</f>
        <v>Rifampin alone</v>
      </c>
      <c r="E2641" s="206" t="str">
        <f>IF(AND(A2641&lt;&gt;"",ISNUMBER(A2641)),VLOOKUP(A2641,Studies!A:BR,5,FALSE),"")</f>
        <v>Rifampicin</v>
      </c>
      <c r="F2641" s="207" t="str">
        <f>IF(AND(A2641&lt;&gt;"",ISNUMBER(A2641)),VLOOKUP(A2641,Studies!A:BR,6,FALSE),"")</f>
        <v>Plasma</v>
      </c>
      <c r="G2641" s="194">
        <f>216+16</f>
        <v>232</v>
      </c>
      <c r="H2641" s="194" t="s">
        <v>60</v>
      </c>
      <c r="I2641" s="221">
        <v>98.099469999999997</v>
      </c>
      <c r="J2641" s="187" t="s">
        <v>1026</v>
      </c>
      <c r="K2641" s="187" t="s">
        <v>1091</v>
      </c>
      <c r="L2641" s="195"/>
      <c r="M2641" s="195"/>
      <c r="N2641" s="195"/>
      <c r="O2641" s="199">
        <v>50</v>
      </c>
      <c r="P2641" s="188"/>
      <c r="Q2641" s="174">
        <f>IF(ISNUMBER(VLOOKUP(A2641,NotghiID!A:A,1,FALSE)),1,0)</f>
        <v>1</v>
      </c>
    </row>
    <row r="2642" spans="1:17" ht="14.25" x14ac:dyDescent="0.2">
      <c r="A2642" s="189">
        <v>190</v>
      </c>
      <c r="B2642" s="232" t="str">
        <f>IF(AND(A2642&lt;&gt;"",ISNUMBER(A2642)),VLOOKUP(A2642,Studies!A:BR,2,FALSE),"")</f>
        <v>Greiner 1999</v>
      </c>
      <c r="C2642" s="232" t="str">
        <f>IF(AND(A2642&lt;&gt;"",ISNUMBER(A2642)),VLOOKUP(A2642,Studies!A:BR,3,FALSE),"")</f>
        <v>https://www.ncbi.nlm.nih.gov/pubmed/10411543</v>
      </c>
      <c r="D2642" s="232" t="str">
        <f>IF(AND(A2642&lt;&gt;"",ISNUMBER(A2642)),VLOOKUP(A2642,Studies!A:BR,4,FALSE),"")</f>
        <v>po Control (Perpetrator Placebo)</v>
      </c>
      <c r="E2642" s="206" t="str">
        <f>IF(AND(A2642&lt;&gt;"",ISNUMBER(A2642)),VLOOKUP(A2642,Studies!A:BR,5,FALSE),"")</f>
        <v>Digoxin</v>
      </c>
      <c r="F2642" s="207" t="str">
        <f>IF(AND(A2642&lt;&gt;"",ISNUMBER(A2642)),VLOOKUP(A2642,Studies!A:BR,6,FALSE),"")</f>
        <v>Plasma</v>
      </c>
      <c r="G2642" s="194">
        <v>0</v>
      </c>
      <c r="H2642" s="194" t="s">
        <v>60</v>
      </c>
      <c r="I2642" s="187" t="s">
        <v>1127</v>
      </c>
      <c r="J2642" s="187" t="s">
        <v>1090</v>
      </c>
      <c r="K2642" s="187" t="s">
        <v>116</v>
      </c>
      <c r="L2642" s="195"/>
      <c r="M2642" s="195"/>
      <c r="N2642" s="195"/>
      <c r="O2642" s="199">
        <v>0.1</v>
      </c>
      <c r="P2642" s="188"/>
      <c r="Q2642" s="174">
        <f>IF(ISNUMBER(VLOOKUP(A2642,NotghiID!A:A,1,FALSE)),1,0)</f>
        <v>1</v>
      </c>
    </row>
    <row r="2643" spans="1:17" ht="14.25" x14ac:dyDescent="0.2">
      <c r="A2643" s="189">
        <v>190</v>
      </c>
      <c r="B2643" s="232" t="str">
        <f>IF(AND(A2643&lt;&gt;"",ISNUMBER(A2643)),VLOOKUP(A2643,Studies!A:BR,2,FALSE),"")</f>
        <v>Greiner 1999</v>
      </c>
      <c r="C2643" s="232" t="str">
        <f>IF(AND(A2643&lt;&gt;"",ISNUMBER(A2643)),VLOOKUP(A2643,Studies!A:BR,3,FALSE),"")</f>
        <v>https://www.ncbi.nlm.nih.gov/pubmed/10411543</v>
      </c>
      <c r="D2643" s="232" t="str">
        <f>IF(AND(A2643&lt;&gt;"",ISNUMBER(A2643)),VLOOKUP(A2643,Studies!A:BR,4,FALSE),"")</f>
        <v>po Control (Perpetrator Placebo)</v>
      </c>
      <c r="E2643" s="206" t="str">
        <f>IF(AND(A2643&lt;&gt;"",ISNUMBER(A2643)),VLOOKUP(A2643,Studies!A:BR,5,FALSE),"")</f>
        <v>Digoxin</v>
      </c>
      <c r="F2643" s="207" t="str">
        <f>IF(AND(A2643&lt;&gt;"",ISNUMBER(A2643)),VLOOKUP(A2643,Studies!A:BR,6,FALSE),"")</f>
        <v>Plasma</v>
      </c>
      <c r="G2643" s="194">
        <v>0.17</v>
      </c>
      <c r="H2643" s="194" t="s">
        <v>60</v>
      </c>
      <c r="I2643" s="187">
        <v>1.491444</v>
      </c>
      <c r="J2643" s="187" t="s">
        <v>1090</v>
      </c>
      <c r="K2643" s="187" t="s">
        <v>116</v>
      </c>
      <c r="L2643" s="195">
        <v>1.343261</v>
      </c>
      <c r="M2643" s="195" t="s">
        <v>1090</v>
      </c>
      <c r="N2643" s="195" t="s">
        <v>117</v>
      </c>
      <c r="O2643" s="199">
        <v>0.1</v>
      </c>
      <c r="P2643" s="188"/>
      <c r="Q2643" s="174">
        <f>IF(ISNUMBER(VLOOKUP(A2643,NotghiID!A:A,1,FALSE)),1,0)</f>
        <v>1</v>
      </c>
    </row>
    <row r="2644" spans="1:17" ht="14.25" x14ac:dyDescent="0.2">
      <c r="A2644" s="189">
        <v>190</v>
      </c>
      <c r="B2644" s="232" t="str">
        <f>IF(AND(A2644&lt;&gt;"",ISNUMBER(A2644)),VLOOKUP(A2644,Studies!A:BR,2,FALSE),"")</f>
        <v>Greiner 1999</v>
      </c>
      <c r="C2644" s="232" t="str">
        <f>IF(AND(A2644&lt;&gt;"",ISNUMBER(A2644)),VLOOKUP(A2644,Studies!A:BR,3,FALSE),"")</f>
        <v>https://www.ncbi.nlm.nih.gov/pubmed/10411543</v>
      </c>
      <c r="D2644" s="232" t="str">
        <f>IF(AND(A2644&lt;&gt;"",ISNUMBER(A2644)),VLOOKUP(A2644,Studies!A:BR,4,FALSE),"")</f>
        <v>po Control (Perpetrator Placebo)</v>
      </c>
      <c r="E2644" s="206" t="str">
        <f>IF(AND(A2644&lt;&gt;"",ISNUMBER(A2644)),VLOOKUP(A2644,Studies!A:BR,5,FALSE),"")</f>
        <v>Digoxin</v>
      </c>
      <c r="F2644" s="207" t="str">
        <f>IF(AND(A2644&lt;&gt;"",ISNUMBER(A2644)),VLOOKUP(A2644,Studies!A:BR,6,FALSE),"")</f>
        <v>Plasma</v>
      </c>
      <c r="G2644" s="194">
        <v>0.33</v>
      </c>
      <c r="H2644" s="194" t="s">
        <v>60</v>
      </c>
      <c r="I2644" s="187">
        <v>3.7889339999999998</v>
      </c>
      <c r="J2644" s="187" t="s">
        <v>1090</v>
      </c>
      <c r="K2644" s="187" t="s">
        <v>116</v>
      </c>
      <c r="L2644" s="195">
        <v>2.6118969999999999</v>
      </c>
      <c r="M2644" s="195" t="s">
        <v>1090</v>
      </c>
      <c r="N2644" s="195" t="s">
        <v>117</v>
      </c>
      <c r="O2644" s="199">
        <v>0.1</v>
      </c>
      <c r="P2644" s="188"/>
      <c r="Q2644" s="174">
        <f>IF(ISNUMBER(VLOOKUP(A2644,NotghiID!A:A,1,FALSE)),1,0)</f>
        <v>1</v>
      </c>
    </row>
    <row r="2645" spans="1:17" ht="14.25" x14ac:dyDescent="0.2">
      <c r="A2645" s="189">
        <v>190</v>
      </c>
      <c r="B2645" s="232" t="str">
        <f>IF(AND(A2645&lt;&gt;"",ISNUMBER(A2645)),VLOOKUP(A2645,Studies!A:BR,2,FALSE),"")</f>
        <v>Greiner 1999</v>
      </c>
      <c r="C2645" s="232" t="str">
        <f>IF(AND(A2645&lt;&gt;"",ISNUMBER(A2645)),VLOOKUP(A2645,Studies!A:BR,3,FALSE),"")</f>
        <v>https://www.ncbi.nlm.nih.gov/pubmed/10411543</v>
      </c>
      <c r="D2645" s="232" t="str">
        <f>IF(AND(A2645&lt;&gt;"",ISNUMBER(A2645)),VLOOKUP(A2645,Studies!A:BR,4,FALSE),"")</f>
        <v>po Control (Perpetrator Placebo)</v>
      </c>
      <c r="E2645" s="206" t="str">
        <f>IF(AND(A2645&lt;&gt;"",ISNUMBER(A2645)),VLOOKUP(A2645,Studies!A:BR,5,FALSE),"")</f>
        <v>Digoxin</v>
      </c>
      <c r="F2645" s="207" t="str">
        <f>IF(AND(A2645&lt;&gt;"",ISNUMBER(A2645)),VLOOKUP(A2645,Studies!A:BR,6,FALSE),"")</f>
        <v>Plasma</v>
      </c>
      <c r="G2645" s="194">
        <v>0.5</v>
      </c>
      <c r="H2645" s="194" t="s">
        <v>60</v>
      </c>
      <c r="I2645" s="187">
        <v>4.6236280000000001</v>
      </c>
      <c r="J2645" s="187" t="s">
        <v>1090</v>
      </c>
      <c r="K2645" s="187" t="s">
        <v>116</v>
      </c>
      <c r="L2645" s="195">
        <v>2.343289</v>
      </c>
      <c r="M2645" s="195" t="s">
        <v>1090</v>
      </c>
      <c r="N2645" s="195" t="s">
        <v>117</v>
      </c>
      <c r="O2645" s="199">
        <v>0.1</v>
      </c>
      <c r="P2645" s="188"/>
      <c r="Q2645" s="174">
        <f>IF(ISNUMBER(VLOOKUP(A2645,NotghiID!A:A,1,FALSE)),1,0)</f>
        <v>1</v>
      </c>
    </row>
    <row r="2646" spans="1:17" ht="14.25" x14ac:dyDescent="0.2">
      <c r="A2646" s="189">
        <v>190</v>
      </c>
      <c r="B2646" s="232" t="str">
        <f>IF(AND(A2646&lt;&gt;"",ISNUMBER(A2646)),VLOOKUP(A2646,Studies!A:BR,2,FALSE),"")</f>
        <v>Greiner 1999</v>
      </c>
      <c r="C2646" s="232" t="str">
        <f>IF(AND(A2646&lt;&gt;"",ISNUMBER(A2646)),VLOOKUP(A2646,Studies!A:BR,3,FALSE),"")</f>
        <v>https://www.ncbi.nlm.nih.gov/pubmed/10411543</v>
      </c>
      <c r="D2646" s="232" t="str">
        <f>IF(AND(A2646&lt;&gt;"",ISNUMBER(A2646)),VLOOKUP(A2646,Studies!A:BR,4,FALSE),"")</f>
        <v>po Control (Perpetrator Placebo)</v>
      </c>
      <c r="E2646" s="206" t="str">
        <f>IF(AND(A2646&lt;&gt;"",ISNUMBER(A2646)),VLOOKUP(A2646,Studies!A:BR,5,FALSE),"")</f>
        <v>Digoxin</v>
      </c>
      <c r="F2646" s="207" t="str">
        <f>IF(AND(A2646&lt;&gt;"",ISNUMBER(A2646)),VLOOKUP(A2646,Studies!A:BR,6,FALSE),"")</f>
        <v>Plasma</v>
      </c>
      <c r="G2646" s="194">
        <v>0.57999999999999996</v>
      </c>
      <c r="H2646" s="194" t="s">
        <v>60</v>
      </c>
      <c r="I2646" s="187">
        <v>4.9813419999999997</v>
      </c>
      <c r="J2646" s="187" t="s">
        <v>1090</v>
      </c>
      <c r="K2646" s="187" t="s">
        <v>116</v>
      </c>
      <c r="L2646" s="195">
        <v>2.1193680000000001</v>
      </c>
      <c r="M2646" s="195" t="s">
        <v>1090</v>
      </c>
      <c r="N2646" s="195" t="s">
        <v>117</v>
      </c>
      <c r="O2646" s="199">
        <v>0.1</v>
      </c>
      <c r="P2646" s="188"/>
      <c r="Q2646" s="174">
        <f>IF(ISNUMBER(VLOOKUP(A2646,NotghiID!A:A,1,FALSE)),1,0)</f>
        <v>1</v>
      </c>
    </row>
    <row r="2647" spans="1:17" ht="14.25" x14ac:dyDescent="0.2">
      <c r="A2647" s="189">
        <v>190</v>
      </c>
      <c r="B2647" s="232" t="str">
        <f>IF(AND(A2647&lt;&gt;"",ISNUMBER(A2647)),VLOOKUP(A2647,Studies!A:BR,2,FALSE),"")</f>
        <v>Greiner 1999</v>
      </c>
      <c r="C2647" s="232" t="str">
        <f>IF(AND(A2647&lt;&gt;"",ISNUMBER(A2647)),VLOOKUP(A2647,Studies!A:BR,3,FALSE),"")</f>
        <v>https://www.ncbi.nlm.nih.gov/pubmed/10411543</v>
      </c>
      <c r="D2647" s="232" t="str">
        <f>IF(AND(A2647&lt;&gt;"",ISNUMBER(A2647)),VLOOKUP(A2647,Studies!A:BR,4,FALSE),"")</f>
        <v>po Control (Perpetrator Placebo)</v>
      </c>
      <c r="E2647" s="206" t="str">
        <f>IF(AND(A2647&lt;&gt;"",ISNUMBER(A2647)),VLOOKUP(A2647,Studies!A:BR,5,FALSE),"")</f>
        <v>Digoxin</v>
      </c>
      <c r="F2647" s="207" t="str">
        <f>IF(AND(A2647&lt;&gt;"",ISNUMBER(A2647)),VLOOKUP(A2647,Studies!A:BR,6,FALSE),"")</f>
        <v>Plasma</v>
      </c>
      <c r="G2647" s="194">
        <v>0.67</v>
      </c>
      <c r="H2647" s="194" t="s">
        <v>60</v>
      </c>
      <c r="I2647" s="187">
        <v>4.9509569999999998</v>
      </c>
      <c r="J2647" s="187" t="s">
        <v>1090</v>
      </c>
      <c r="K2647" s="187" t="s">
        <v>116</v>
      </c>
      <c r="L2647" s="195">
        <v>1.8655969999999999</v>
      </c>
      <c r="M2647" s="195" t="s">
        <v>1090</v>
      </c>
      <c r="N2647" s="195" t="s">
        <v>117</v>
      </c>
      <c r="O2647" s="199">
        <v>0.1</v>
      </c>
      <c r="P2647" s="188"/>
      <c r="Q2647" s="174">
        <f>IF(ISNUMBER(VLOOKUP(A2647,NotghiID!A:A,1,FALSE)),1,0)</f>
        <v>1</v>
      </c>
    </row>
    <row r="2648" spans="1:17" ht="14.25" x14ac:dyDescent="0.2">
      <c r="A2648" s="189">
        <v>190</v>
      </c>
      <c r="B2648" s="232" t="str">
        <f>IF(AND(A2648&lt;&gt;"",ISNUMBER(A2648)),VLOOKUP(A2648,Studies!A:BR,2,FALSE),"")</f>
        <v>Greiner 1999</v>
      </c>
      <c r="C2648" s="232" t="str">
        <f>IF(AND(A2648&lt;&gt;"",ISNUMBER(A2648)),VLOOKUP(A2648,Studies!A:BR,3,FALSE),"")</f>
        <v>https://www.ncbi.nlm.nih.gov/pubmed/10411543</v>
      </c>
      <c r="D2648" s="232" t="str">
        <f>IF(AND(A2648&lt;&gt;"",ISNUMBER(A2648)),VLOOKUP(A2648,Studies!A:BR,4,FALSE),"")</f>
        <v>po Control (Perpetrator Placebo)</v>
      </c>
      <c r="E2648" s="206" t="str">
        <f>IF(AND(A2648&lt;&gt;"",ISNUMBER(A2648)),VLOOKUP(A2648,Studies!A:BR,5,FALSE),"")</f>
        <v>Digoxin</v>
      </c>
      <c r="F2648" s="207" t="str">
        <f>IF(AND(A2648&lt;&gt;"",ISNUMBER(A2648)),VLOOKUP(A2648,Studies!A:BR,6,FALSE),"")</f>
        <v>Plasma</v>
      </c>
      <c r="G2648" s="194">
        <v>0.75</v>
      </c>
      <c r="H2648" s="194" t="s">
        <v>60</v>
      </c>
      <c r="I2648" s="187">
        <v>4.8608729999999998</v>
      </c>
      <c r="J2648" s="187" t="s">
        <v>1090</v>
      </c>
      <c r="K2648" s="187" t="s">
        <v>116</v>
      </c>
      <c r="L2648" s="195">
        <v>1.6865380000000001</v>
      </c>
      <c r="M2648" s="195" t="s">
        <v>1090</v>
      </c>
      <c r="N2648" s="195" t="s">
        <v>117</v>
      </c>
      <c r="O2648" s="199">
        <v>0.1</v>
      </c>
      <c r="P2648" s="188"/>
      <c r="Q2648" s="174">
        <f>IF(ISNUMBER(VLOOKUP(A2648,NotghiID!A:A,1,FALSE)),1,0)</f>
        <v>1</v>
      </c>
    </row>
    <row r="2649" spans="1:17" ht="14.25" x14ac:dyDescent="0.2">
      <c r="A2649" s="189">
        <v>190</v>
      </c>
      <c r="B2649" s="232" t="str">
        <f>IF(AND(A2649&lt;&gt;"",ISNUMBER(A2649)),VLOOKUP(A2649,Studies!A:BR,2,FALSE),"")</f>
        <v>Greiner 1999</v>
      </c>
      <c r="C2649" s="232" t="str">
        <f>IF(AND(A2649&lt;&gt;"",ISNUMBER(A2649)),VLOOKUP(A2649,Studies!A:BR,3,FALSE),"")</f>
        <v>https://www.ncbi.nlm.nih.gov/pubmed/10411543</v>
      </c>
      <c r="D2649" s="232" t="str">
        <f>IF(AND(A2649&lt;&gt;"",ISNUMBER(A2649)),VLOOKUP(A2649,Studies!A:BR,4,FALSE),"")</f>
        <v>po Control (Perpetrator Placebo)</v>
      </c>
      <c r="E2649" s="206" t="str">
        <f>IF(AND(A2649&lt;&gt;"",ISNUMBER(A2649)),VLOOKUP(A2649,Studies!A:BR,5,FALSE),"")</f>
        <v>Digoxin</v>
      </c>
      <c r="F2649" s="207" t="str">
        <f>IF(AND(A2649&lt;&gt;"",ISNUMBER(A2649)),VLOOKUP(A2649,Studies!A:BR,6,FALSE),"")</f>
        <v>Plasma</v>
      </c>
      <c r="G2649" s="194">
        <v>1</v>
      </c>
      <c r="H2649" s="194" t="s">
        <v>60</v>
      </c>
      <c r="I2649" s="187">
        <v>4.3816220000000001</v>
      </c>
      <c r="J2649" s="187" t="s">
        <v>1090</v>
      </c>
      <c r="K2649" s="187" t="s">
        <v>116</v>
      </c>
      <c r="L2649" s="195">
        <v>1.26868</v>
      </c>
      <c r="M2649" s="195" t="s">
        <v>1090</v>
      </c>
      <c r="N2649" s="195" t="s">
        <v>117</v>
      </c>
      <c r="O2649" s="199">
        <v>0.1</v>
      </c>
      <c r="P2649" s="188"/>
      <c r="Q2649" s="174">
        <f>IF(ISNUMBER(VLOOKUP(A2649,NotghiID!A:A,1,FALSE)),1,0)</f>
        <v>1</v>
      </c>
    </row>
    <row r="2650" spans="1:17" ht="14.25" x14ac:dyDescent="0.2">
      <c r="A2650" s="189">
        <v>190</v>
      </c>
      <c r="B2650" s="232" t="str">
        <f>IF(AND(A2650&lt;&gt;"",ISNUMBER(A2650)),VLOOKUP(A2650,Studies!A:BR,2,FALSE),"")</f>
        <v>Greiner 1999</v>
      </c>
      <c r="C2650" s="232" t="str">
        <f>IF(AND(A2650&lt;&gt;"",ISNUMBER(A2650)),VLOOKUP(A2650,Studies!A:BR,3,FALSE),"")</f>
        <v>https://www.ncbi.nlm.nih.gov/pubmed/10411543</v>
      </c>
      <c r="D2650" s="232" t="str">
        <f>IF(AND(A2650&lt;&gt;"",ISNUMBER(A2650)),VLOOKUP(A2650,Studies!A:BR,4,FALSE),"")</f>
        <v>po Control (Perpetrator Placebo)</v>
      </c>
      <c r="E2650" s="206" t="str">
        <f>IF(AND(A2650&lt;&gt;"",ISNUMBER(A2650)),VLOOKUP(A2650,Studies!A:BR,5,FALSE),"")</f>
        <v>Digoxin</v>
      </c>
      <c r="F2650" s="207" t="str">
        <f>IF(AND(A2650&lt;&gt;"",ISNUMBER(A2650)),VLOOKUP(A2650,Studies!A:BR,6,FALSE),"")</f>
        <v>Plasma</v>
      </c>
      <c r="G2650" s="194">
        <v>1.25</v>
      </c>
      <c r="H2650" s="194" t="s">
        <v>60</v>
      </c>
      <c r="I2650" s="187">
        <v>3.7083889999999999</v>
      </c>
      <c r="J2650" s="187" t="s">
        <v>1090</v>
      </c>
      <c r="K2650" s="187" t="s">
        <v>116</v>
      </c>
      <c r="L2650" s="195">
        <v>0.88058210000000003</v>
      </c>
      <c r="M2650" s="195" t="s">
        <v>1090</v>
      </c>
      <c r="N2650" s="195" t="s">
        <v>117</v>
      </c>
      <c r="O2650" s="199">
        <v>0.1</v>
      </c>
      <c r="P2650" s="188"/>
      <c r="Q2650" s="174">
        <f>IF(ISNUMBER(VLOOKUP(A2650,NotghiID!A:A,1,FALSE)),1,0)</f>
        <v>1</v>
      </c>
    </row>
    <row r="2651" spans="1:17" ht="14.25" x14ac:dyDescent="0.2">
      <c r="A2651" s="189">
        <v>190</v>
      </c>
      <c r="B2651" s="232" t="str">
        <f>IF(AND(A2651&lt;&gt;"",ISNUMBER(A2651)),VLOOKUP(A2651,Studies!A:BR,2,FALSE),"")</f>
        <v>Greiner 1999</v>
      </c>
      <c r="C2651" s="232" t="str">
        <f>IF(AND(A2651&lt;&gt;"",ISNUMBER(A2651)),VLOOKUP(A2651,Studies!A:BR,3,FALSE),"")</f>
        <v>https://www.ncbi.nlm.nih.gov/pubmed/10411543</v>
      </c>
      <c r="D2651" s="232" t="str">
        <f>IF(AND(A2651&lt;&gt;"",ISNUMBER(A2651)),VLOOKUP(A2651,Studies!A:BR,4,FALSE),"")</f>
        <v>po Control (Perpetrator Placebo)</v>
      </c>
      <c r="E2651" s="206" t="str">
        <f>IF(AND(A2651&lt;&gt;"",ISNUMBER(A2651)),VLOOKUP(A2651,Studies!A:BR,5,FALSE),"")</f>
        <v>Digoxin</v>
      </c>
      <c r="F2651" s="207" t="str">
        <f>IF(AND(A2651&lt;&gt;"",ISNUMBER(A2651)),VLOOKUP(A2651,Studies!A:BR,6,FALSE),"")</f>
        <v>Plasma</v>
      </c>
      <c r="G2651" s="194">
        <v>1.5</v>
      </c>
      <c r="H2651" s="194" t="s">
        <v>60</v>
      </c>
      <c r="I2651" s="187">
        <v>3.2441080000000002</v>
      </c>
      <c r="J2651" s="187" t="s">
        <v>1090</v>
      </c>
      <c r="K2651" s="187" t="s">
        <v>116</v>
      </c>
      <c r="L2651" s="195">
        <v>0.77615089999999998</v>
      </c>
      <c r="M2651" s="195" t="s">
        <v>1090</v>
      </c>
      <c r="N2651" s="195" t="s">
        <v>117</v>
      </c>
      <c r="O2651" s="199">
        <v>0.1</v>
      </c>
      <c r="P2651" s="188"/>
      <c r="Q2651" s="174">
        <f>IF(ISNUMBER(VLOOKUP(A2651,NotghiID!A:A,1,FALSE)),1,0)</f>
        <v>1</v>
      </c>
    </row>
    <row r="2652" spans="1:17" ht="14.25" x14ac:dyDescent="0.2">
      <c r="A2652" s="189">
        <v>190</v>
      </c>
      <c r="B2652" s="232" t="str">
        <f>IF(AND(A2652&lt;&gt;"",ISNUMBER(A2652)),VLOOKUP(A2652,Studies!A:BR,2,FALSE),"")</f>
        <v>Greiner 1999</v>
      </c>
      <c r="C2652" s="232" t="str">
        <f>IF(AND(A2652&lt;&gt;"",ISNUMBER(A2652)),VLOOKUP(A2652,Studies!A:BR,3,FALSE),"")</f>
        <v>https://www.ncbi.nlm.nih.gov/pubmed/10411543</v>
      </c>
      <c r="D2652" s="232" t="str">
        <f>IF(AND(A2652&lt;&gt;"",ISNUMBER(A2652)),VLOOKUP(A2652,Studies!A:BR,4,FALSE),"")</f>
        <v>po Control (Perpetrator Placebo)</v>
      </c>
      <c r="E2652" s="206" t="str">
        <f>IF(AND(A2652&lt;&gt;"",ISNUMBER(A2652)),VLOOKUP(A2652,Studies!A:BR,5,FALSE),"")</f>
        <v>Digoxin</v>
      </c>
      <c r="F2652" s="207" t="str">
        <f>IF(AND(A2652&lt;&gt;"",ISNUMBER(A2652)),VLOOKUP(A2652,Studies!A:BR,6,FALSE),"")</f>
        <v>Plasma</v>
      </c>
      <c r="G2652" s="194">
        <v>2</v>
      </c>
      <c r="H2652" s="194" t="s">
        <v>60</v>
      </c>
      <c r="I2652" s="187">
        <v>2.449872</v>
      </c>
      <c r="J2652" s="187" t="s">
        <v>1090</v>
      </c>
      <c r="K2652" s="187" t="s">
        <v>116</v>
      </c>
      <c r="L2652" s="195">
        <v>0.62685469999999999</v>
      </c>
      <c r="M2652" s="195" t="s">
        <v>1090</v>
      </c>
      <c r="N2652" s="195" t="s">
        <v>117</v>
      </c>
      <c r="O2652" s="199">
        <v>0.1</v>
      </c>
      <c r="P2652" s="188"/>
      <c r="Q2652" s="174">
        <f>IF(ISNUMBER(VLOOKUP(A2652,NotghiID!A:A,1,FALSE)),1,0)</f>
        <v>1</v>
      </c>
    </row>
    <row r="2653" spans="1:17" ht="14.25" x14ac:dyDescent="0.2">
      <c r="A2653" s="189">
        <v>190</v>
      </c>
      <c r="B2653" s="232" t="str">
        <f>IF(AND(A2653&lt;&gt;"",ISNUMBER(A2653)),VLOOKUP(A2653,Studies!A:BR,2,FALSE),"")</f>
        <v>Greiner 1999</v>
      </c>
      <c r="C2653" s="232" t="str">
        <f>IF(AND(A2653&lt;&gt;"",ISNUMBER(A2653)),VLOOKUP(A2653,Studies!A:BR,3,FALSE),"")</f>
        <v>https://www.ncbi.nlm.nih.gov/pubmed/10411543</v>
      </c>
      <c r="D2653" s="232" t="str">
        <f>IF(AND(A2653&lt;&gt;"",ISNUMBER(A2653)),VLOOKUP(A2653,Studies!A:BR,4,FALSE),"")</f>
        <v>po Control (Perpetrator Placebo)</v>
      </c>
      <c r="E2653" s="206" t="str">
        <f>IF(AND(A2653&lt;&gt;"",ISNUMBER(A2653)),VLOOKUP(A2653,Studies!A:BR,5,FALSE),"")</f>
        <v>Digoxin</v>
      </c>
      <c r="F2653" s="207" t="str">
        <f>IF(AND(A2653&lt;&gt;"",ISNUMBER(A2653)),VLOOKUP(A2653,Studies!A:BR,6,FALSE),"")</f>
        <v>Plasma</v>
      </c>
      <c r="G2653" s="194">
        <v>3</v>
      </c>
      <c r="H2653" s="194" t="s">
        <v>60</v>
      </c>
      <c r="I2653" s="187">
        <v>1.6076550000000001</v>
      </c>
      <c r="J2653" s="187" t="s">
        <v>1090</v>
      </c>
      <c r="K2653" s="187" t="s">
        <v>116</v>
      </c>
      <c r="L2653" s="195">
        <v>0.32835320000000001</v>
      </c>
      <c r="M2653" s="195" t="s">
        <v>1090</v>
      </c>
      <c r="N2653" s="195" t="s">
        <v>117</v>
      </c>
      <c r="O2653" s="199">
        <v>0.1</v>
      </c>
      <c r="P2653" s="188"/>
      <c r="Q2653" s="174">
        <f>IF(ISNUMBER(VLOOKUP(A2653,NotghiID!A:A,1,FALSE)),1,0)</f>
        <v>1</v>
      </c>
    </row>
    <row r="2654" spans="1:17" ht="14.25" x14ac:dyDescent="0.2">
      <c r="A2654" s="189">
        <v>190</v>
      </c>
      <c r="B2654" s="232" t="str">
        <f>IF(AND(A2654&lt;&gt;"",ISNUMBER(A2654)),VLOOKUP(A2654,Studies!A:BR,2,FALSE),"")</f>
        <v>Greiner 1999</v>
      </c>
      <c r="C2654" s="232" t="str">
        <f>IF(AND(A2654&lt;&gt;"",ISNUMBER(A2654)),VLOOKUP(A2654,Studies!A:BR,3,FALSE),"")</f>
        <v>https://www.ncbi.nlm.nih.gov/pubmed/10411543</v>
      </c>
      <c r="D2654" s="232" t="str">
        <f>IF(AND(A2654&lt;&gt;"",ISNUMBER(A2654)),VLOOKUP(A2654,Studies!A:BR,4,FALSE),"")</f>
        <v>po Control (Perpetrator Placebo)</v>
      </c>
      <c r="E2654" s="206" t="str">
        <f>IF(AND(A2654&lt;&gt;"",ISNUMBER(A2654)),VLOOKUP(A2654,Studies!A:BR,5,FALSE),"")</f>
        <v>Digoxin</v>
      </c>
      <c r="F2654" s="207" t="str">
        <f>IF(AND(A2654&lt;&gt;"",ISNUMBER(A2654)),VLOOKUP(A2654,Studies!A:BR,6,FALSE),"")</f>
        <v>Plasma</v>
      </c>
      <c r="G2654" s="194">
        <v>5</v>
      </c>
      <c r="H2654" s="194" t="s">
        <v>60</v>
      </c>
      <c r="I2654" s="187">
        <v>0.98290690000000003</v>
      </c>
      <c r="J2654" s="187" t="s">
        <v>1090</v>
      </c>
      <c r="K2654" s="187" t="s">
        <v>116</v>
      </c>
      <c r="L2654" s="195"/>
      <c r="M2654" s="195"/>
      <c r="N2654" s="195"/>
      <c r="O2654" s="199">
        <v>0.1</v>
      </c>
      <c r="P2654" s="188"/>
      <c r="Q2654" s="174">
        <f>IF(ISNUMBER(VLOOKUP(A2654,NotghiID!A:A,1,FALSE)),1,0)</f>
        <v>1</v>
      </c>
    </row>
    <row r="2655" spans="1:17" ht="14.25" x14ac:dyDescent="0.2">
      <c r="A2655" s="189">
        <v>190</v>
      </c>
      <c r="B2655" s="232" t="str">
        <f>IF(AND(A2655&lt;&gt;"",ISNUMBER(A2655)),VLOOKUP(A2655,Studies!A:BR,2,FALSE),"")</f>
        <v>Greiner 1999</v>
      </c>
      <c r="C2655" s="232" t="str">
        <f>IF(AND(A2655&lt;&gt;"",ISNUMBER(A2655)),VLOOKUP(A2655,Studies!A:BR,3,FALSE),"")</f>
        <v>https://www.ncbi.nlm.nih.gov/pubmed/10411543</v>
      </c>
      <c r="D2655" s="232" t="str">
        <f>IF(AND(A2655&lt;&gt;"",ISNUMBER(A2655)),VLOOKUP(A2655,Studies!A:BR,4,FALSE),"")</f>
        <v>po Control (Perpetrator Placebo)</v>
      </c>
      <c r="E2655" s="206" t="str">
        <f>IF(AND(A2655&lt;&gt;"",ISNUMBER(A2655)),VLOOKUP(A2655,Studies!A:BR,5,FALSE),"")</f>
        <v>Digoxin</v>
      </c>
      <c r="F2655" s="207" t="str">
        <f>IF(AND(A2655&lt;&gt;"",ISNUMBER(A2655)),VLOOKUP(A2655,Studies!A:BR,6,FALSE),"")</f>
        <v>Plasma</v>
      </c>
      <c r="G2655" s="194">
        <v>7</v>
      </c>
      <c r="H2655" s="194" t="s">
        <v>60</v>
      </c>
      <c r="I2655" s="187">
        <v>0.73133110000000001</v>
      </c>
      <c r="J2655" s="187" t="s">
        <v>1090</v>
      </c>
      <c r="K2655" s="187" t="s">
        <v>116</v>
      </c>
      <c r="L2655" s="195"/>
      <c r="M2655" s="195"/>
      <c r="N2655" s="195"/>
      <c r="O2655" s="199">
        <v>0.1</v>
      </c>
      <c r="P2655" s="188"/>
      <c r="Q2655" s="174">
        <f>IF(ISNUMBER(VLOOKUP(A2655,NotghiID!A:A,1,FALSE)),1,0)</f>
        <v>1</v>
      </c>
    </row>
    <row r="2656" spans="1:17" ht="14.25" x14ac:dyDescent="0.2">
      <c r="A2656" s="189">
        <v>191</v>
      </c>
      <c r="B2656" s="232" t="str">
        <f>IF(AND(A2656&lt;&gt;"",ISNUMBER(A2656)),VLOOKUP(A2656,Studies!A:BR,2,FALSE),"")</f>
        <v>Greiner 1999</v>
      </c>
      <c r="C2656" s="232" t="str">
        <f>IF(AND(A2656&lt;&gt;"",ISNUMBER(A2656)),VLOOKUP(A2656,Studies!A:BR,3,FALSE),"")</f>
        <v>https://www.ncbi.nlm.nih.gov/pubmed/10411543</v>
      </c>
      <c r="D2656" s="232" t="str">
        <f>IF(AND(A2656&lt;&gt;"",ISNUMBER(A2656)),VLOOKUP(A2656,Studies!A:BR,4,FALSE),"")</f>
        <v>po with Perpetrator (Rifampicin)</v>
      </c>
      <c r="E2656" s="206" t="str">
        <f>IF(AND(A2656&lt;&gt;"",ISNUMBER(A2656)),VLOOKUP(A2656,Studies!A:BR,5,FALSE),"")</f>
        <v>Digoxin</v>
      </c>
      <c r="F2656" s="207" t="str">
        <f>IF(AND(A2656&lt;&gt;"",ISNUMBER(A2656)),VLOOKUP(A2656,Studies!A:BR,6,FALSE),"")</f>
        <v>Plasma</v>
      </c>
      <c r="G2656" s="194">
        <f>240+0</f>
        <v>240</v>
      </c>
      <c r="H2656" s="194" t="s">
        <v>60</v>
      </c>
      <c r="I2656" s="187" t="s">
        <v>1127</v>
      </c>
      <c r="J2656" s="187" t="s">
        <v>1090</v>
      </c>
      <c r="K2656" s="187" t="s">
        <v>116</v>
      </c>
      <c r="L2656" s="195"/>
      <c r="M2656" s="195"/>
      <c r="N2656" s="195"/>
      <c r="O2656" s="199">
        <v>0.1</v>
      </c>
      <c r="P2656" s="188"/>
      <c r="Q2656" s="174">
        <f>IF(ISNUMBER(VLOOKUP(A2656,NotghiID!A:A,1,FALSE)),1,0)</f>
        <v>1</v>
      </c>
    </row>
    <row r="2657" spans="1:17" ht="14.25" x14ac:dyDescent="0.2">
      <c r="A2657" s="189">
        <v>191</v>
      </c>
      <c r="B2657" s="232" t="str">
        <f>IF(AND(A2657&lt;&gt;"",ISNUMBER(A2657)),VLOOKUP(A2657,Studies!A:BR,2,FALSE),"")</f>
        <v>Greiner 1999</v>
      </c>
      <c r="C2657" s="232" t="str">
        <f>IF(AND(A2657&lt;&gt;"",ISNUMBER(A2657)),VLOOKUP(A2657,Studies!A:BR,3,FALSE),"")</f>
        <v>https://www.ncbi.nlm.nih.gov/pubmed/10411543</v>
      </c>
      <c r="D2657" s="232" t="str">
        <f>IF(AND(A2657&lt;&gt;"",ISNUMBER(A2657)),VLOOKUP(A2657,Studies!A:BR,4,FALSE),"")</f>
        <v>po with Perpetrator (Rifampicin)</v>
      </c>
      <c r="E2657" s="206" t="str">
        <f>IF(AND(A2657&lt;&gt;"",ISNUMBER(A2657)),VLOOKUP(A2657,Studies!A:BR,5,FALSE),"")</f>
        <v>Digoxin</v>
      </c>
      <c r="F2657" s="207" t="str">
        <f>IF(AND(A2657&lt;&gt;"",ISNUMBER(A2657)),VLOOKUP(A2657,Studies!A:BR,6,FALSE),"")</f>
        <v>Plasma</v>
      </c>
      <c r="G2657" s="194">
        <f>240+0.17</f>
        <v>240.17</v>
      </c>
      <c r="H2657" s="194" t="s">
        <v>60</v>
      </c>
      <c r="I2657" s="187">
        <v>0.4019102</v>
      </c>
      <c r="J2657" s="187" t="s">
        <v>1090</v>
      </c>
      <c r="K2657" s="187" t="s">
        <v>116</v>
      </c>
      <c r="L2657" s="195">
        <v>0.25372709999999998</v>
      </c>
      <c r="M2657" s="195" t="s">
        <v>1090</v>
      </c>
      <c r="N2657" s="195" t="s">
        <v>117</v>
      </c>
      <c r="O2657" s="199">
        <v>0.1</v>
      </c>
      <c r="P2657" s="188"/>
      <c r="Q2657" s="174">
        <f>IF(ISNUMBER(VLOOKUP(A2657,NotghiID!A:A,1,FALSE)),1,0)</f>
        <v>1</v>
      </c>
    </row>
    <row r="2658" spans="1:17" ht="14.25" x14ac:dyDescent="0.2">
      <c r="A2658" s="189">
        <v>191</v>
      </c>
      <c r="B2658" s="232" t="str">
        <f>IF(AND(A2658&lt;&gt;"",ISNUMBER(A2658)),VLOOKUP(A2658,Studies!A:BR,2,FALSE),"")</f>
        <v>Greiner 1999</v>
      </c>
      <c r="C2658" s="232" t="str">
        <f>IF(AND(A2658&lt;&gt;"",ISNUMBER(A2658)),VLOOKUP(A2658,Studies!A:BR,3,FALSE),"")</f>
        <v>https://www.ncbi.nlm.nih.gov/pubmed/10411543</v>
      </c>
      <c r="D2658" s="232" t="str">
        <f>IF(AND(A2658&lt;&gt;"",ISNUMBER(A2658)),VLOOKUP(A2658,Studies!A:BR,4,FALSE),"")</f>
        <v>po with Perpetrator (Rifampicin)</v>
      </c>
      <c r="E2658" s="206" t="str">
        <f>IF(AND(A2658&lt;&gt;"",ISNUMBER(A2658)),VLOOKUP(A2658,Studies!A:BR,5,FALSE),"")</f>
        <v>Digoxin</v>
      </c>
      <c r="F2658" s="207" t="str">
        <f>IF(AND(A2658&lt;&gt;"",ISNUMBER(A2658)),VLOOKUP(A2658,Studies!A:BR,6,FALSE),"")</f>
        <v>Plasma</v>
      </c>
      <c r="G2658" s="194">
        <f>240+0.33</f>
        <v>240.33</v>
      </c>
      <c r="H2658" s="194" t="s">
        <v>60</v>
      </c>
      <c r="I2658" s="187">
        <v>1.475495</v>
      </c>
      <c r="J2658" s="187" t="s">
        <v>1090</v>
      </c>
      <c r="K2658" s="187" t="s">
        <v>116</v>
      </c>
      <c r="L2658" s="195">
        <v>0.77610610000000002</v>
      </c>
      <c r="M2658" s="195" t="s">
        <v>1090</v>
      </c>
      <c r="N2658" s="195" t="s">
        <v>117</v>
      </c>
      <c r="O2658" s="199">
        <v>0.1</v>
      </c>
      <c r="P2658" s="188"/>
      <c r="Q2658" s="174">
        <f>IF(ISNUMBER(VLOOKUP(A2658,NotghiID!A:A,1,FALSE)),1,0)</f>
        <v>1</v>
      </c>
    </row>
    <row r="2659" spans="1:17" ht="14.25" x14ac:dyDescent="0.2">
      <c r="A2659" s="189">
        <v>191</v>
      </c>
      <c r="B2659" s="232" t="str">
        <f>IF(AND(A2659&lt;&gt;"",ISNUMBER(A2659)),VLOOKUP(A2659,Studies!A:BR,2,FALSE),"")</f>
        <v>Greiner 1999</v>
      </c>
      <c r="C2659" s="232" t="str">
        <f>IF(AND(A2659&lt;&gt;"",ISNUMBER(A2659)),VLOOKUP(A2659,Studies!A:BR,3,FALSE),"")</f>
        <v>https://www.ncbi.nlm.nih.gov/pubmed/10411543</v>
      </c>
      <c r="D2659" s="232" t="str">
        <f>IF(AND(A2659&lt;&gt;"",ISNUMBER(A2659)),VLOOKUP(A2659,Studies!A:BR,4,FALSE),"")</f>
        <v>po with Perpetrator (Rifampicin)</v>
      </c>
      <c r="E2659" s="206" t="str">
        <f>IF(AND(A2659&lt;&gt;"",ISNUMBER(A2659)),VLOOKUP(A2659,Studies!A:BR,5,FALSE),"")</f>
        <v>Digoxin</v>
      </c>
      <c r="F2659" s="207" t="str">
        <f>IF(AND(A2659&lt;&gt;"",ISNUMBER(A2659)),VLOOKUP(A2659,Studies!A:BR,6,FALSE),"")</f>
        <v>Plasma</v>
      </c>
      <c r="G2659" s="194">
        <f>240+0.5</f>
        <v>240.5</v>
      </c>
      <c r="H2659" s="194" t="s">
        <v>60</v>
      </c>
      <c r="I2659" s="187">
        <v>1.996807</v>
      </c>
      <c r="J2659" s="187" t="s">
        <v>1090</v>
      </c>
      <c r="K2659" s="187" t="s">
        <v>116</v>
      </c>
      <c r="L2659" s="195">
        <v>0.73137609999999997</v>
      </c>
      <c r="M2659" s="195" t="s">
        <v>1090</v>
      </c>
      <c r="N2659" s="195" t="s">
        <v>117</v>
      </c>
      <c r="O2659" s="199">
        <v>0.1</v>
      </c>
      <c r="P2659" s="188"/>
      <c r="Q2659" s="174">
        <f>IF(ISNUMBER(VLOOKUP(A2659,NotghiID!A:A,1,FALSE)),1,0)</f>
        <v>1</v>
      </c>
    </row>
    <row r="2660" spans="1:17" ht="14.25" x14ac:dyDescent="0.2">
      <c r="A2660" s="189">
        <v>191</v>
      </c>
      <c r="B2660" s="232" t="str">
        <f>IF(AND(A2660&lt;&gt;"",ISNUMBER(A2660)),VLOOKUP(A2660,Studies!A:BR,2,FALSE),"")</f>
        <v>Greiner 1999</v>
      </c>
      <c r="C2660" s="232" t="str">
        <f>IF(AND(A2660&lt;&gt;"",ISNUMBER(A2660)),VLOOKUP(A2660,Studies!A:BR,3,FALSE),"")</f>
        <v>https://www.ncbi.nlm.nih.gov/pubmed/10411543</v>
      </c>
      <c r="D2660" s="232" t="str">
        <f>IF(AND(A2660&lt;&gt;"",ISNUMBER(A2660)),VLOOKUP(A2660,Studies!A:BR,4,FALSE),"")</f>
        <v>po with Perpetrator (Rifampicin)</v>
      </c>
      <c r="E2660" s="206" t="str">
        <f>IF(AND(A2660&lt;&gt;"",ISNUMBER(A2660)),VLOOKUP(A2660,Studies!A:BR,5,FALSE),"")</f>
        <v>Digoxin</v>
      </c>
      <c r="F2660" s="207" t="str">
        <f>IF(AND(A2660&lt;&gt;"",ISNUMBER(A2660)),VLOOKUP(A2660,Studies!A:BR,6,FALSE),"")</f>
        <v>Plasma</v>
      </c>
      <c r="G2660" s="194">
        <f>240+0.58</f>
        <v>240.58</v>
      </c>
      <c r="H2660" s="194" t="s">
        <v>60</v>
      </c>
      <c r="I2660" s="187">
        <v>2.1753740000000001</v>
      </c>
      <c r="J2660" s="187" t="s">
        <v>1090</v>
      </c>
      <c r="K2660" s="187" t="s">
        <v>116</v>
      </c>
      <c r="L2660" s="195">
        <v>0.77610659999999998</v>
      </c>
      <c r="M2660" s="195" t="s">
        <v>1090</v>
      </c>
      <c r="N2660" s="195" t="s">
        <v>117</v>
      </c>
      <c r="O2660" s="199">
        <v>0.1</v>
      </c>
      <c r="P2660" s="188"/>
      <c r="Q2660" s="174">
        <f>IF(ISNUMBER(VLOOKUP(A2660,NotghiID!A:A,1,FALSE)),1,0)</f>
        <v>1</v>
      </c>
    </row>
    <row r="2661" spans="1:17" ht="14.25" x14ac:dyDescent="0.2">
      <c r="A2661" s="189">
        <v>191</v>
      </c>
      <c r="B2661" s="232" t="str">
        <f>IF(AND(A2661&lt;&gt;"",ISNUMBER(A2661)),VLOOKUP(A2661,Studies!A:BR,2,FALSE),"")</f>
        <v>Greiner 1999</v>
      </c>
      <c r="C2661" s="232" t="str">
        <f>IF(AND(A2661&lt;&gt;"",ISNUMBER(A2661)),VLOOKUP(A2661,Studies!A:BR,3,FALSE),"")</f>
        <v>https://www.ncbi.nlm.nih.gov/pubmed/10411543</v>
      </c>
      <c r="D2661" s="232" t="str">
        <f>IF(AND(A2661&lt;&gt;"",ISNUMBER(A2661)),VLOOKUP(A2661,Studies!A:BR,4,FALSE),"")</f>
        <v>po with Perpetrator (Rifampicin)</v>
      </c>
      <c r="E2661" s="206" t="str">
        <f>IF(AND(A2661&lt;&gt;"",ISNUMBER(A2661)),VLOOKUP(A2661,Studies!A:BR,5,FALSE),"")</f>
        <v>Digoxin</v>
      </c>
      <c r="F2661" s="207" t="str">
        <f>IF(AND(A2661&lt;&gt;"",ISNUMBER(A2661)),VLOOKUP(A2661,Studies!A:BR,6,FALSE),"")</f>
        <v>Plasma</v>
      </c>
      <c r="G2661" s="194">
        <f>240+0.67</f>
        <v>240.67</v>
      </c>
      <c r="H2661" s="194" t="s">
        <v>60</v>
      </c>
      <c r="I2661" s="187">
        <v>2.3091210000000002</v>
      </c>
      <c r="J2661" s="187" t="s">
        <v>1090</v>
      </c>
      <c r="K2661" s="187" t="s">
        <v>116</v>
      </c>
      <c r="L2661" s="195">
        <v>0.83580639999999995</v>
      </c>
      <c r="M2661" s="195" t="s">
        <v>1090</v>
      </c>
      <c r="N2661" s="195" t="s">
        <v>117</v>
      </c>
      <c r="O2661" s="199">
        <v>0.1</v>
      </c>
      <c r="P2661" s="188"/>
      <c r="Q2661" s="174">
        <f>IF(ISNUMBER(VLOOKUP(A2661,NotghiID!A:A,1,FALSE)),1,0)</f>
        <v>1</v>
      </c>
    </row>
    <row r="2662" spans="1:17" ht="14.25" x14ac:dyDescent="0.2">
      <c r="A2662" s="189">
        <v>191</v>
      </c>
      <c r="B2662" s="232" t="str">
        <f>IF(AND(A2662&lt;&gt;"",ISNUMBER(A2662)),VLOOKUP(A2662,Studies!A:BR,2,FALSE),"")</f>
        <v>Greiner 1999</v>
      </c>
      <c r="C2662" s="232" t="str">
        <f>IF(AND(A2662&lt;&gt;"",ISNUMBER(A2662)),VLOOKUP(A2662,Studies!A:BR,3,FALSE),"")</f>
        <v>https://www.ncbi.nlm.nih.gov/pubmed/10411543</v>
      </c>
      <c r="D2662" s="232" t="str">
        <f>IF(AND(A2662&lt;&gt;"",ISNUMBER(A2662)),VLOOKUP(A2662,Studies!A:BR,4,FALSE),"")</f>
        <v>po with Perpetrator (Rifampicin)</v>
      </c>
      <c r="E2662" s="206" t="str">
        <f>IF(AND(A2662&lt;&gt;"",ISNUMBER(A2662)),VLOOKUP(A2662,Studies!A:BR,5,FALSE),"")</f>
        <v>Digoxin</v>
      </c>
      <c r="F2662" s="207" t="str">
        <f>IF(AND(A2662&lt;&gt;"",ISNUMBER(A2662)),VLOOKUP(A2662,Studies!A:BR,6,FALSE),"")</f>
        <v>Plasma</v>
      </c>
      <c r="G2662" s="194">
        <f>240+0.75</f>
        <v>240.75</v>
      </c>
      <c r="H2662" s="194" t="s">
        <v>60</v>
      </c>
      <c r="I2662" s="187">
        <v>2.2340059999999999</v>
      </c>
      <c r="J2662" s="187" t="s">
        <v>1090</v>
      </c>
      <c r="K2662" s="187" t="s">
        <v>116</v>
      </c>
      <c r="L2662" s="195">
        <v>0.59700470000000005</v>
      </c>
      <c r="M2662" s="195" t="s">
        <v>1090</v>
      </c>
      <c r="N2662" s="195" t="s">
        <v>117</v>
      </c>
      <c r="O2662" s="199">
        <v>0.1</v>
      </c>
      <c r="P2662" s="188"/>
      <c r="Q2662" s="174">
        <f>IF(ISNUMBER(VLOOKUP(A2662,NotghiID!A:A,1,FALSE)),1,0)</f>
        <v>1</v>
      </c>
    </row>
    <row r="2663" spans="1:17" ht="14.25" x14ac:dyDescent="0.2">
      <c r="A2663" s="189">
        <v>191</v>
      </c>
      <c r="B2663" s="232" t="str">
        <f>IF(AND(A2663&lt;&gt;"",ISNUMBER(A2663)),VLOOKUP(A2663,Studies!A:BR,2,FALSE),"")</f>
        <v>Greiner 1999</v>
      </c>
      <c r="C2663" s="232" t="str">
        <f>IF(AND(A2663&lt;&gt;"",ISNUMBER(A2663)),VLOOKUP(A2663,Studies!A:BR,3,FALSE),"")</f>
        <v>https://www.ncbi.nlm.nih.gov/pubmed/10411543</v>
      </c>
      <c r="D2663" s="232" t="str">
        <f>IF(AND(A2663&lt;&gt;"",ISNUMBER(A2663)),VLOOKUP(A2663,Studies!A:BR,4,FALSE),"")</f>
        <v>po with Perpetrator (Rifampicin)</v>
      </c>
      <c r="E2663" s="206" t="str">
        <f>IF(AND(A2663&lt;&gt;"",ISNUMBER(A2663)),VLOOKUP(A2663,Studies!A:BR,5,FALSE),"")</f>
        <v>Digoxin</v>
      </c>
      <c r="F2663" s="207" t="str">
        <f>IF(AND(A2663&lt;&gt;"",ISNUMBER(A2663)),VLOOKUP(A2663,Studies!A:BR,6,FALSE),"")</f>
        <v>Plasma</v>
      </c>
      <c r="G2663" s="194">
        <f>240+1</f>
        <v>241</v>
      </c>
      <c r="H2663" s="194" t="s">
        <v>60</v>
      </c>
      <c r="I2663" s="187">
        <v>2.262254</v>
      </c>
      <c r="J2663" s="187" t="s">
        <v>1090</v>
      </c>
      <c r="K2663" s="187" t="s">
        <v>116</v>
      </c>
      <c r="L2663" s="195">
        <v>0.64178009999999996</v>
      </c>
      <c r="M2663" s="195" t="s">
        <v>1090</v>
      </c>
      <c r="N2663" s="195" t="s">
        <v>117</v>
      </c>
      <c r="O2663" s="199">
        <v>0.1</v>
      </c>
      <c r="P2663" s="188"/>
      <c r="Q2663" s="174">
        <f>IF(ISNUMBER(VLOOKUP(A2663,NotghiID!A:A,1,FALSE)),1,0)</f>
        <v>1</v>
      </c>
    </row>
    <row r="2664" spans="1:17" ht="14.25" x14ac:dyDescent="0.2">
      <c r="A2664" s="189">
        <v>191</v>
      </c>
      <c r="B2664" s="232" t="str">
        <f>IF(AND(A2664&lt;&gt;"",ISNUMBER(A2664)),VLOOKUP(A2664,Studies!A:BR,2,FALSE),"")</f>
        <v>Greiner 1999</v>
      </c>
      <c r="C2664" s="232" t="str">
        <f>IF(AND(A2664&lt;&gt;"",ISNUMBER(A2664)),VLOOKUP(A2664,Studies!A:BR,3,FALSE),"")</f>
        <v>https://www.ncbi.nlm.nih.gov/pubmed/10411543</v>
      </c>
      <c r="D2664" s="232" t="str">
        <f>IF(AND(A2664&lt;&gt;"",ISNUMBER(A2664)),VLOOKUP(A2664,Studies!A:BR,4,FALSE),"")</f>
        <v>po with Perpetrator (Rifampicin)</v>
      </c>
      <c r="E2664" s="206" t="str">
        <f>IF(AND(A2664&lt;&gt;"",ISNUMBER(A2664)),VLOOKUP(A2664,Studies!A:BR,5,FALSE),"")</f>
        <v>Digoxin</v>
      </c>
      <c r="F2664" s="207" t="str">
        <f>IF(AND(A2664&lt;&gt;"",ISNUMBER(A2664)),VLOOKUP(A2664,Studies!A:BR,6,FALSE),"")</f>
        <v>Plasma</v>
      </c>
      <c r="G2664" s="194">
        <f>240+1.25</f>
        <v>241.25</v>
      </c>
      <c r="H2664" s="194" t="s">
        <v>60</v>
      </c>
      <c r="I2664" s="187">
        <v>2.0666250000000002</v>
      </c>
      <c r="J2664" s="187" t="s">
        <v>1090</v>
      </c>
      <c r="K2664" s="187" t="s">
        <v>116</v>
      </c>
      <c r="L2664" s="195">
        <v>0.53730429999999996</v>
      </c>
      <c r="M2664" s="195" t="s">
        <v>1090</v>
      </c>
      <c r="N2664" s="195" t="s">
        <v>117</v>
      </c>
      <c r="O2664" s="199">
        <v>0.1</v>
      </c>
      <c r="P2664" s="188"/>
      <c r="Q2664" s="174">
        <f>IF(ISNUMBER(VLOOKUP(A2664,NotghiID!A:A,1,FALSE)),1,0)</f>
        <v>1</v>
      </c>
    </row>
    <row r="2665" spans="1:17" ht="14.25" x14ac:dyDescent="0.2">
      <c r="A2665" s="189">
        <v>191</v>
      </c>
      <c r="B2665" s="232" t="str">
        <f>IF(AND(A2665&lt;&gt;"",ISNUMBER(A2665)),VLOOKUP(A2665,Studies!A:BR,2,FALSE),"")</f>
        <v>Greiner 1999</v>
      </c>
      <c r="C2665" s="232" t="str">
        <f>IF(AND(A2665&lt;&gt;"",ISNUMBER(A2665)),VLOOKUP(A2665,Studies!A:BR,3,FALSE),"")</f>
        <v>https://www.ncbi.nlm.nih.gov/pubmed/10411543</v>
      </c>
      <c r="D2665" s="232" t="str">
        <f>IF(AND(A2665&lt;&gt;"",ISNUMBER(A2665)),VLOOKUP(A2665,Studies!A:BR,4,FALSE),"")</f>
        <v>po with Perpetrator (Rifampicin)</v>
      </c>
      <c r="E2665" s="206" t="str">
        <f>IF(AND(A2665&lt;&gt;"",ISNUMBER(A2665)),VLOOKUP(A2665,Studies!A:BR,5,FALSE),"")</f>
        <v>Digoxin</v>
      </c>
      <c r="F2665" s="207" t="str">
        <f>IF(AND(A2665&lt;&gt;"",ISNUMBER(A2665)),VLOOKUP(A2665,Studies!A:BR,6,FALSE),"")</f>
        <v>Plasma</v>
      </c>
      <c r="G2665" s="194">
        <f>240+1.5</f>
        <v>241.5</v>
      </c>
      <c r="H2665" s="194" t="s">
        <v>60</v>
      </c>
      <c r="I2665" s="187">
        <v>1.915772</v>
      </c>
      <c r="J2665" s="187" t="s">
        <v>1090</v>
      </c>
      <c r="K2665" s="187" t="s">
        <v>116</v>
      </c>
      <c r="L2665" s="195">
        <v>0.50745450000000003</v>
      </c>
      <c r="M2665" s="195" t="s">
        <v>1090</v>
      </c>
      <c r="N2665" s="195" t="s">
        <v>117</v>
      </c>
      <c r="O2665" s="199">
        <v>0.1</v>
      </c>
      <c r="P2665" s="188"/>
      <c r="Q2665" s="174">
        <f>IF(ISNUMBER(VLOOKUP(A2665,NotghiID!A:A,1,FALSE)),1,0)</f>
        <v>1</v>
      </c>
    </row>
    <row r="2666" spans="1:17" ht="14.25" x14ac:dyDescent="0.2">
      <c r="A2666" s="189">
        <v>191</v>
      </c>
      <c r="B2666" s="232" t="str">
        <f>IF(AND(A2666&lt;&gt;"",ISNUMBER(A2666)),VLOOKUP(A2666,Studies!A:BR,2,FALSE),"")</f>
        <v>Greiner 1999</v>
      </c>
      <c r="C2666" s="232" t="str">
        <f>IF(AND(A2666&lt;&gt;"",ISNUMBER(A2666)),VLOOKUP(A2666,Studies!A:BR,3,FALSE),"")</f>
        <v>https://www.ncbi.nlm.nih.gov/pubmed/10411543</v>
      </c>
      <c r="D2666" s="232" t="str">
        <f>IF(AND(A2666&lt;&gt;"",ISNUMBER(A2666)),VLOOKUP(A2666,Studies!A:BR,4,FALSE),"")</f>
        <v>po with Perpetrator (Rifampicin)</v>
      </c>
      <c r="E2666" s="206" t="str">
        <f>IF(AND(A2666&lt;&gt;"",ISNUMBER(A2666)),VLOOKUP(A2666,Studies!A:BR,5,FALSE),"")</f>
        <v>Digoxin</v>
      </c>
      <c r="F2666" s="207" t="str">
        <f>IF(AND(A2666&lt;&gt;"",ISNUMBER(A2666)),VLOOKUP(A2666,Studies!A:BR,6,FALSE),"")</f>
        <v>Plasma</v>
      </c>
      <c r="G2666" s="194">
        <f>240+2</f>
        <v>242</v>
      </c>
      <c r="H2666" s="194" t="s">
        <v>60</v>
      </c>
      <c r="I2666" s="187">
        <v>1.6140650000000001</v>
      </c>
      <c r="J2666" s="187" t="s">
        <v>1090</v>
      </c>
      <c r="K2666" s="187" t="s">
        <v>116</v>
      </c>
      <c r="L2666" s="195">
        <v>0.46267930000000002</v>
      </c>
      <c r="M2666" s="195" t="s">
        <v>1090</v>
      </c>
      <c r="N2666" s="195" t="s">
        <v>117</v>
      </c>
      <c r="O2666" s="199">
        <v>0.1</v>
      </c>
      <c r="P2666" s="188"/>
      <c r="Q2666" s="174">
        <f>IF(ISNUMBER(VLOOKUP(A2666,NotghiID!A:A,1,FALSE)),1,0)</f>
        <v>1</v>
      </c>
    </row>
    <row r="2667" spans="1:17" ht="14.25" x14ac:dyDescent="0.2">
      <c r="A2667" s="189">
        <v>191</v>
      </c>
      <c r="B2667" s="232" t="str">
        <f>IF(AND(A2667&lt;&gt;"",ISNUMBER(A2667)),VLOOKUP(A2667,Studies!A:BR,2,FALSE),"")</f>
        <v>Greiner 1999</v>
      </c>
      <c r="C2667" s="232" t="str">
        <f>IF(AND(A2667&lt;&gt;"",ISNUMBER(A2667)),VLOOKUP(A2667,Studies!A:BR,3,FALSE),"")</f>
        <v>https://www.ncbi.nlm.nih.gov/pubmed/10411543</v>
      </c>
      <c r="D2667" s="232" t="str">
        <f>IF(AND(A2667&lt;&gt;"",ISNUMBER(A2667)),VLOOKUP(A2667,Studies!A:BR,4,FALSE),"")</f>
        <v>po with Perpetrator (Rifampicin)</v>
      </c>
      <c r="E2667" s="206" t="str">
        <f>IF(AND(A2667&lt;&gt;"",ISNUMBER(A2667)),VLOOKUP(A2667,Studies!A:BR,5,FALSE),"")</f>
        <v>Digoxin</v>
      </c>
      <c r="F2667" s="207" t="str">
        <f>IF(AND(A2667&lt;&gt;"",ISNUMBER(A2667)),VLOOKUP(A2667,Studies!A:BR,6,FALSE),"")</f>
        <v>Plasma</v>
      </c>
      <c r="G2667" s="194">
        <f>240+3</f>
        <v>243</v>
      </c>
      <c r="H2667" s="194" t="s">
        <v>60</v>
      </c>
      <c r="I2667" s="187">
        <v>1.413629</v>
      </c>
      <c r="J2667" s="187" t="s">
        <v>1090</v>
      </c>
      <c r="K2667" s="187" t="s">
        <v>116</v>
      </c>
      <c r="L2667" s="195">
        <v>0.40297850000000002</v>
      </c>
      <c r="M2667" s="195" t="s">
        <v>1090</v>
      </c>
      <c r="N2667" s="195" t="s">
        <v>117</v>
      </c>
      <c r="O2667" s="199">
        <v>0.1</v>
      </c>
      <c r="P2667" s="188"/>
      <c r="Q2667" s="174">
        <f>IF(ISNUMBER(VLOOKUP(A2667,NotghiID!A:A,1,FALSE)),1,0)</f>
        <v>1</v>
      </c>
    </row>
    <row r="2668" spans="1:17" ht="14.25" x14ac:dyDescent="0.2">
      <c r="A2668" s="189">
        <v>191</v>
      </c>
      <c r="B2668" s="232" t="str">
        <f>IF(AND(A2668&lt;&gt;"",ISNUMBER(A2668)),VLOOKUP(A2668,Studies!A:BR,2,FALSE),"")</f>
        <v>Greiner 1999</v>
      </c>
      <c r="C2668" s="232" t="str">
        <f>IF(AND(A2668&lt;&gt;"",ISNUMBER(A2668)),VLOOKUP(A2668,Studies!A:BR,3,FALSE),"")</f>
        <v>https://www.ncbi.nlm.nih.gov/pubmed/10411543</v>
      </c>
      <c r="D2668" s="232" t="str">
        <f>IF(AND(A2668&lt;&gt;"",ISNUMBER(A2668)),VLOOKUP(A2668,Studies!A:BR,4,FALSE),"")</f>
        <v>po with Perpetrator (Rifampicin)</v>
      </c>
      <c r="E2668" s="206" t="str">
        <f>IF(AND(A2668&lt;&gt;"",ISNUMBER(A2668)),VLOOKUP(A2668,Studies!A:BR,5,FALSE),"")</f>
        <v>Digoxin</v>
      </c>
      <c r="F2668" s="207" t="str">
        <f>IF(AND(A2668&lt;&gt;"",ISNUMBER(A2668)),VLOOKUP(A2668,Studies!A:BR,6,FALSE),"")</f>
        <v>Plasma</v>
      </c>
      <c r="G2668" s="194">
        <f>240+5</f>
        <v>245</v>
      </c>
      <c r="H2668" s="194" t="s">
        <v>60</v>
      </c>
      <c r="I2668" s="187">
        <v>0.80380549999999995</v>
      </c>
      <c r="J2668" s="187" t="s">
        <v>1090</v>
      </c>
      <c r="K2668" s="187" t="s">
        <v>116</v>
      </c>
      <c r="L2668" s="195">
        <v>0.23880199999999999</v>
      </c>
      <c r="M2668" s="195" t="s">
        <v>1090</v>
      </c>
      <c r="N2668" s="195" t="s">
        <v>117</v>
      </c>
      <c r="O2668" s="199">
        <v>0.1</v>
      </c>
      <c r="P2668" s="188"/>
      <c r="Q2668" s="174">
        <f>IF(ISNUMBER(VLOOKUP(A2668,NotghiID!A:A,1,FALSE)),1,0)</f>
        <v>1</v>
      </c>
    </row>
    <row r="2669" spans="1:17" ht="14.25" x14ac:dyDescent="0.2">
      <c r="A2669" s="189">
        <v>191</v>
      </c>
      <c r="B2669" s="232" t="str">
        <f>IF(AND(A2669&lt;&gt;"",ISNUMBER(A2669)),VLOOKUP(A2669,Studies!A:BR,2,FALSE),"")</f>
        <v>Greiner 1999</v>
      </c>
      <c r="C2669" s="232" t="str">
        <f>IF(AND(A2669&lt;&gt;"",ISNUMBER(A2669)),VLOOKUP(A2669,Studies!A:BR,3,FALSE),"")</f>
        <v>https://www.ncbi.nlm.nih.gov/pubmed/10411543</v>
      </c>
      <c r="D2669" s="232" t="str">
        <f>IF(AND(A2669&lt;&gt;"",ISNUMBER(A2669)),VLOOKUP(A2669,Studies!A:BR,4,FALSE),"")</f>
        <v>po with Perpetrator (Rifampicin)</v>
      </c>
      <c r="E2669" s="206" t="str">
        <f>IF(AND(A2669&lt;&gt;"",ISNUMBER(A2669)),VLOOKUP(A2669,Studies!A:BR,5,FALSE),"")</f>
        <v>Digoxin</v>
      </c>
      <c r="F2669" s="207" t="str">
        <f>IF(AND(A2669&lt;&gt;"",ISNUMBER(A2669)),VLOOKUP(A2669,Studies!A:BR,6,FALSE),"")</f>
        <v>Plasma</v>
      </c>
      <c r="G2669" s="194">
        <f>240+7</f>
        <v>247</v>
      </c>
      <c r="H2669" s="194" t="s">
        <v>60</v>
      </c>
      <c r="I2669" s="187">
        <v>0.58207980000000004</v>
      </c>
      <c r="J2669" s="187" t="s">
        <v>1090</v>
      </c>
      <c r="K2669" s="187" t="s">
        <v>116</v>
      </c>
      <c r="L2669" s="195"/>
      <c r="M2669" s="195"/>
      <c r="N2669" s="195"/>
      <c r="O2669" s="199">
        <v>0.1</v>
      </c>
      <c r="P2669" s="188"/>
      <c r="Q2669" s="174">
        <f>IF(ISNUMBER(VLOOKUP(A2669,NotghiID!A:A,1,FALSE)),1,0)</f>
        <v>1</v>
      </c>
    </row>
    <row r="2670" spans="1:17" ht="14.25" x14ac:dyDescent="0.2">
      <c r="A2670" s="189">
        <v>192</v>
      </c>
      <c r="B2670" s="232" t="str">
        <f>IF(AND(A2670&lt;&gt;"",ISNUMBER(A2670)),VLOOKUP(A2670,Studies!A:BR,2,FALSE),"")</f>
        <v>Greiner 1999</v>
      </c>
      <c r="C2670" s="232" t="str">
        <f>IF(AND(A2670&lt;&gt;"",ISNUMBER(A2670)),VLOOKUP(A2670,Studies!A:BR,3,FALSE),"")</f>
        <v>https://www.ncbi.nlm.nih.gov/pubmed/10411543</v>
      </c>
      <c r="D2670" s="232" t="str">
        <f>IF(AND(A2670&lt;&gt;"",ISNUMBER(A2670)),VLOOKUP(A2670,Studies!A:BR,4,FALSE),"")</f>
        <v>iv Control (Perpetrator Placebo)</v>
      </c>
      <c r="E2670" s="206" t="str">
        <f>IF(AND(A2670&lt;&gt;"",ISNUMBER(A2670)),VLOOKUP(A2670,Studies!A:BR,5,FALSE),"")</f>
        <v>Digoxin</v>
      </c>
      <c r="F2670" s="207" t="str">
        <f>IF(AND(A2670&lt;&gt;"",ISNUMBER(A2670)),VLOOKUP(A2670,Studies!A:BR,6,FALSE),"")</f>
        <v>Plasma</v>
      </c>
      <c r="G2670" s="194">
        <v>0</v>
      </c>
      <c r="H2670" s="194" t="s">
        <v>60</v>
      </c>
      <c r="I2670" s="187" t="s">
        <v>1127</v>
      </c>
      <c r="J2670" s="187" t="s">
        <v>1090</v>
      </c>
      <c r="K2670" s="187" t="s">
        <v>116</v>
      </c>
      <c r="L2670" s="195"/>
      <c r="M2670" s="195"/>
      <c r="N2670" s="195"/>
      <c r="O2670" s="199">
        <v>0.1</v>
      </c>
      <c r="P2670" s="188"/>
      <c r="Q2670" s="174">
        <f>IF(ISNUMBER(VLOOKUP(A2670,NotghiID!A:A,1,FALSE)),1,0)</f>
        <v>1</v>
      </c>
    </row>
    <row r="2671" spans="1:17" ht="14.25" x14ac:dyDescent="0.2">
      <c r="A2671" s="189">
        <v>192</v>
      </c>
      <c r="B2671" s="232" t="str">
        <f>IF(AND(A2671&lt;&gt;"",ISNUMBER(A2671)),VLOOKUP(A2671,Studies!A:BR,2,FALSE),"")</f>
        <v>Greiner 1999</v>
      </c>
      <c r="C2671" s="232" t="str">
        <f>IF(AND(A2671&lt;&gt;"",ISNUMBER(A2671)),VLOOKUP(A2671,Studies!A:BR,3,FALSE),"")</f>
        <v>https://www.ncbi.nlm.nih.gov/pubmed/10411543</v>
      </c>
      <c r="D2671" s="232" t="str">
        <f>IF(AND(A2671&lt;&gt;"",ISNUMBER(A2671)),VLOOKUP(A2671,Studies!A:BR,4,FALSE),"")</f>
        <v>iv Control (Perpetrator Placebo)</v>
      </c>
      <c r="E2671" s="206" t="str">
        <f>IF(AND(A2671&lt;&gt;"",ISNUMBER(A2671)),VLOOKUP(A2671,Studies!A:BR,5,FALSE),"")</f>
        <v>Digoxin</v>
      </c>
      <c r="F2671" s="207" t="str">
        <f>IF(AND(A2671&lt;&gt;"",ISNUMBER(A2671)),VLOOKUP(A2671,Studies!A:BR,6,FALSE),"")</f>
        <v>Plasma</v>
      </c>
      <c r="G2671" s="194">
        <f>0.5+0.17</f>
        <v>0.67</v>
      </c>
      <c r="H2671" s="194" t="s">
        <v>60</v>
      </c>
      <c r="I2671" s="187">
        <v>12.30303</v>
      </c>
      <c r="J2671" s="187" t="s">
        <v>1090</v>
      </c>
      <c r="K2671" s="187" t="s">
        <v>116</v>
      </c>
      <c r="L2671" s="195">
        <v>2.0606059999999999</v>
      </c>
      <c r="M2671" s="195" t="s">
        <v>1090</v>
      </c>
      <c r="N2671" s="195"/>
      <c r="O2671" s="199">
        <v>0.1</v>
      </c>
      <c r="P2671" s="188"/>
      <c r="Q2671" s="174">
        <f>IF(ISNUMBER(VLOOKUP(A2671,NotghiID!A:A,1,FALSE)),1,0)</f>
        <v>1</v>
      </c>
    </row>
    <row r="2672" spans="1:17" ht="14.25" x14ac:dyDescent="0.2">
      <c r="A2672" s="189">
        <v>192</v>
      </c>
      <c r="B2672" s="232" t="str">
        <f>IF(AND(A2672&lt;&gt;"",ISNUMBER(A2672)),VLOOKUP(A2672,Studies!A:BR,2,FALSE),"")</f>
        <v>Greiner 1999</v>
      </c>
      <c r="C2672" s="232" t="str">
        <f>IF(AND(A2672&lt;&gt;"",ISNUMBER(A2672)),VLOOKUP(A2672,Studies!A:BR,3,FALSE),"")</f>
        <v>https://www.ncbi.nlm.nih.gov/pubmed/10411543</v>
      </c>
      <c r="D2672" s="232" t="str">
        <f>IF(AND(A2672&lt;&gt;"",ISNUMBER(A2672)),VLOOKUP(A2672,Studies!A:BR,4,FALSE),"")</f>
        <v>iv Control (Perpetrator Placebo)</v>
      </c>
      <c r="E2672" s="206" t="str">
        <f>IF(AND(A2672&lt;&gt;"",ISNUMBER(A2672)),VLOOKUP(A2672,Studies!A:BR,5,FALSE),"")</f>
        <v>Digoxin</v>
      </c>
      <c r="F2672" s="207" t="str">
        <f>IF(AND(A2672&lt;&gt;"",ISNUMBER(A2672)),VLOOKUP(A2672,Studies!A:BR,6,FALSE),"")</f>
        <v>Plasma</v>
      </c>
      <c r="G2672" s="194">
        <f>0.5+0.33</f>
        <v>0.83000000000000007</v>
      </c>
      <c r="H2672" s="194" t="s">
        <v>60</v>
      </c>
      <c r="I2672" s="187">
        <v>18.545449999999999</v>
      </c>
      <c r="J2672" s="187" t="s">
        <v>1090</v>
      </c>
      <c r="K2672" s="187" t="s">
        <v>116</v>
      </c>
      <c r="L2672" s="195">
        <v>1.3939440000000001</v>
      </c>
      <c r="M2672" s="195" t="s">
        <v>1090</v>
      </c>
      <c r="N2672" s="195"/>
      <c r="O2672" s="199">
        <v>0.1</v>
      </c>
      <c r="P2672" s="188"/>
      <c r="Q2672" s="174">
        <f>IF(ISNUMBER(VLOOKUP(A2672,NotghiID!A:A,1,FALSE)),1,0)</f>
        <v>1</v>
      </c>
    </row>
    <row r="2673" spans="1:17" ht="14.25" x14ac:dyDescent="0.2">
      <c r="A2673" s="189">
        <v>192</v>
      </c>
      <c r="B2673" s="232" t="str">
        <f>IF(AND(A2673&lt;&gt;"",ISNUMBER(A2673)),VLOOKUP(A2673,Studies!A:BR,2,FALSE),"")</f>
        <v>Greiner 1999</v>
      </c>
      <c r="C2673" s="232" t="str">
        <f>IF(AND(A2673&lt;&gt;"",ISNUMBER(A2673)),VLOOKUP(A2673,Studies!A:BR,3,FALSE),"")</f>
        <v>https://www.ncbi.nlm.nih.gov/pubmed/10411543</v>
      </c>
      <c r="D2673" s="232" t="str">
        <f>IF(AND(A2673&lt;&gt;"",ISNUMBER(A2673)),VLOOKUP(A2673,Studies!A:BR,4,FALSE),"")</f>
        <v>iv Control (Perpetrator Placebo)</v>
      </c>
      <c r="E2673" s="206" t="str">
        <f>IF(AND(A2673&lt;&gt;"",ISNUMBER(A2673)),VLOOKUP(A2673,Studies!A:BR,5,FALSE),"")</f>
        <v>Digoxin</v>
      </c>
      <c r="F2673" s="207" t="str">
        <f>IF(AND(A2673&lt;&gt;"",ISNUMBER(A2673)),VLOOKUP(A2673,Studies!A:BR,6,FALSE),"")</f>
        <v>Plasma</v>
      </c>
      <c r="G2673" s="194">
        <f>0.5+0.5</f>
        <v>1</v>
      </c>
      <c r="H2673" s="194" t="s">
        <v>60</v>
      </c>
      <c r="I2673" s="187">
        <v>24.606059999999999</v>
      </c>
      <c r="J2673" s="187" t="s">
        <v>1090</v>
      </c>
      <c r="K2673" s="187" t="s">
        <v>116</v>
      </c>
      <c r="L2673" s="195">
        <v>5.2727279999999999</v>
      </c>
      <c r="M2673" s="195" t="s">
        <v>1090</v>
      </c>
      <c r="N2673" s="195"/>
      <c r="O2673" s="199">
        <v>0.1</v>
      </c>
      <c r="P2673" s="188"/>
      <c r="Q2673" s="174">
        <f>IF(ISNUMBER(VLOOKUP(A2673,NotghiID!A:A,1,FALSE)),1,0)</f>
        <v>1</v>
      </c>
    </row>
    <row r="2674" spans="1:17" ht="14.25" x14ac:dyDescent="0.2">
      <c r="A2674" s="189">
        <v>192</v>
      </c>
      <c r="B2674" s="232" t="str">
        <f>IF(AND(A2674&lt;&gt;"",ISNUMBER(A2674)),VLOOKUP(A2674,Studies!A:BR,2,FALSE),"")</f>
        <v>Greiner 1999</v>
      </c>
      <c r="C2674" s="232" t="str">
        <f>IF(AND(A2674&lt;&gt;"",ISNUMBER(A2674)),VLOOKUP(A2674,Studies!A:BR,3,FALSE),"")</f>
        <v>https://www.ncbi.nlm.nih.gov/pubmed/10411543</v>
      </c>
      <c r="D2674" s="232" t="str">
        <f>IF(AND(A2674&lt;&gt;"",ISNUMBER(A2674)),VLOOKUP(A2674,Studies!A:BR,4,FALSE),"")</f>
        <v>iv Control (Perpetrator Placebo)</v>
      </c>
      <c r="E2674" s="206" t="str">
        <f>IF(AND(A2674&lt;&gt;"",ISNUMBER(A2674)),VLOOKUP(A2674,Studies!A:BR,5,FALSE),"")</f>
        <v>Digoxin</v>
      </c>
      <c r="F2674" s="207" t="str">
        <f>IF(AND(A2674&lt;&gt;"",ISNUMBER(A2674)),VLOOKUP(A2674,Studies!A:BR,6,FALSE),"")</f>
        <v>Plasma</v>
      </c>
      <c r="G2674" s="194">
        <f>0.5+0.58</f>
        <v>1.08</v>
      </c>
      <c r="H2674" s="194" t="s">
        <v>60</v>
      </c>
      <c r="I2674" s="187">
        <v>16.484850000000002</v>
      </c>
      <c r="J2674" s="187" t="s">
        <v>1090</v>
      </c>
      <c r="K2674" s="187" t="s">
        <v>116</v>
      </c>
      <c r="L2674" s="195">
        <v>1.8181799999999999</v>
      </c>
      <c r="M2674" s="195" t="s">
        <v>1090</v>
      </c>
      <c r="N2674" s="195"/>
      <c r="O2674" s="199">
        <v>0.1</v>
      </c>
      <c r="P2674" s="188"/>
      <c r="Q2674" s="174">
        <f>IF(ISNUMBER(VLOOKUP(A2674,NotghiID!A:A,1,FALSE)),1,0)</f>
        <v>1</v>
      </c>
    </row>
    <row r="2675" spans="1:17" ht="14.25" x14ac:dyDescent="0.2">
      <c r="A2675" s="189">
        <v>192</v>
      </c>
      <c r="B2675" s="232" t="str">
        <f>IF(AND(A2675&lt;&gt;"",ISNUMBER(A2675)),VLOOKUP(A2675,Studies!A:BR,2,FALSE),"")</f>
        <v>Greiner 1999</v>
      </c>
      <c r="C2675" s="232" t="str">
        <f>IF(AND(A2675&lt;&gt;"",ISNUMBER(A2675)),VLOOKUP(A2675,Studies!A:BR,3,FALSE),"")</f>
        <v>https://www.ncbi.nlm.nih.gov/pubmed/10411543</v>
      </c>
      <c r="D2675" s="232" t="str">
        <f>IF(AND(A2675&lt;&gt;"",ISNUMBER(A2675)),VLOOKUP(A2675,Studies!A:BR,4,FALSE),"")</f>
        <v>iv Control (Perpetrator Placebo)</v>
      </c>
      <c r="E2675" s="206" t="str">
        <f>IF(AND(A2675&lt;&gt;"",ISNUMBER(A2675)),VLOOKUP(A2675,Studies!A:BR,5,FALSE),"")</f>
        <v>Digoxin</v>
      </c>
      <c r="F2675" s="207" t="str">
        <f>IF(AND(A2675&lt;&gt;"",ISNUMBER(A2675)),VLOOKUP(A2675,Studies!A:BR,6,FALSE),"")</f>
        <v>Plasma</v>
      </c>
      <c r="G2675" s="194">
        <f>0.5+0.67</f>
        <v>1.17</v>
      </c>
      <c r="H2675" s="194" t="s">
        <v>60</v>
      </c>
      <c r="I2675" s="187">
        <v>14</v>
      </c>
      <c r="J2675" s="187" t="s">
        <v>1090</v>
      </c>
      <c r="K2675" s="187" t="s">
        <v>116</v>
      </c>
      <c r="L2675" s="195">
        <v>1.454545</v>
      </c>
      <c r="M2675" s="195" t="s">
        <v>1090</v>
      </c>
      <c r="N2675" s="195"/>
      <c r="O2675" s="199">
        <v>0.1</v>
      </c>
      <c r="P2675" s="188"/>
      <c r="Q2675" s="174">
        <f>IF(ISNUMBER(VLOOKUP(A2675,NotghiID!A:A,1,FALSE)),1,0)</f>
        <v>1</v>
      </c>
    </row>
    <row r="2676" spans="1:17" ht="14.25" x14ac:dyDescent="0.2">
      <c r="A2676" s="189">
        <v>192</v>
      </c>
      <c r="B2676" s="232" t="str">
        <f>IF(AND(A2676&lt;&gt;"",ISNUMBER(A2676)),VLOOKUP(A2676,Studies!A:BR,2,FALSE),"")</f>
        <v>Greiner 1999</v>
      </c>
      <c r="C2676" s="232" t="str">
        <f>IF(AND(A2676&lt;&gt;"",ISNUMBER(A2676)),VLOOKUP(A2676,Studies!A:BR,3,FALSE),"")</f>
        <v>https://www.ncbi.nlm.nih.gov/pubmed/10411543</v>
      </c>
      <c r="D2676" s="232" t="str">
        <f>IF(AND(A2676&lt;&gt;"",ISNUMBER(A2676)),VLOOKUP(A2676,Studies!A:BR,4,FALSE),"")</f>
        <v>iv Control (Perpetrator Placebo)</v>
      </c>
      <c r="E2676" s="206" t="str">
        <f>IF(AND(A2676&lt;&gt;"",ISNUMBER(A2676)),VLOOKUP(A2676,Studies!A:BR,5,FALSE),"")</f>
        <v>Digoxin</v>
      </c>
      <c r="F2676" s="207" t="str">
        <f>IF(AND(A2676&lt;&gt;"",ISNUMBER(A2676)),VLOOKUP(A2676,Studies!A:BR,6,FALSE),"")</f>
        <v>Plasma</v>
      </c>
      <c r="G2676" s="194">
        <f>0.5+0.75</f>
        <v>1.25</v>
      </c>
      <c r="H2676" s="194" t="s">
        <v>60</v>
      </c>
      <c r="I2676" s="187">
        <v>12</v>
      </c>
      <c r="J2676" s="187" t="s">
        <v>1090</v>
      </c>
      <c r="K2676" s="187" t="s">
        <v>116</v>
      </c>
      <c r="L2676" s="195">
        <v>1.1515150000000001</v>
      </c>
      <c r="M2676" s="195" t="s">
        <v>1090</v>
      </c>
      <c r="N2676" s="195"/>
      <c r="O2676" s="199">
        <v>0.1</v>
      </c>
      <c r="P2676" s="188"/>
      <c r="Q2676" s="174">
        <f>IF(ISNUMBER(VLOOKUP(A2676,NotghiID!A:A,1,FALSE)),1,0)</f>
        <v>1</v>
      </c>
    </row>
    <row r="2677" spans="1:17" ht="14.25" x14ac:dyDescent="0.2">
      <c r="A2677" s="189">
        <v>192</v>
      </c>
      <c r="B2677" s="232" t="str">
        <f>IF(AND(A2677&lt;&gt;"",ISNUMBER(A2677)),VLOOKUP(A2677,Studies!A:BR,2,FALSE),"")</f>
        <v>Greiner 1999</v>
      </c>
      <c r="C2677" s="232" t="str">
        <f>IF(AND(A2677&lt;&gt;"",ISNUMBER(A2677)),VLOOKUP(A2677,Studies!A:BR,3,FALSE),"")</f>
        <v>https://www.ncbi.nlm.nih.gov/pubmed/10411543</v>
      </c>
      <c r="D2677" s="232" t="str">
        <f>IF(AND(A2677&lt;&gt;"",ISNUMBER(A2677)),VLOOKUP(A2677,Studies!A:BR,4,FALSE),"")</f>
        <v>iv Control (Perpetrator Placebo)</v>
      </c>
      <c r="E2677" s="206" t="str">
        <f>IF(AND(A2677&lt;&gt;"",ISNUMBER(A2677)),VLOOKUP(A2677,Studies!A:BR,5,FALSE),"")</f>
        <v>Digoxin</v>
      </c>
      <c r="F2677" s="207" t="str">
        <f>IF(AND(A2677&lt;&gt;"",ISNUMBER(A2677)),VLOOKUP(A2677,Studies!A:BR,6,FALSE),"")</f>
        <v>Plasma</v>
      </c>
      <c r="G2677" s="194">
        <f>0.5+1</f>
        <v>1.5</v>
      </c>
      <c r="H2677" s="194" t="s">
        <v>60</v>
      </c>
      <c r="I2677" s="187">
        <v>8.2424239999999998</v>
      </c>
      <c r="J2677" s="187" t="s">
        <v>1090</v>
      </c>
      <c r="K2677" s="187" t="s">
        <v>116</v>
      </c>
      <c r="L2677" s="195">
        <v>1.030303</v>
      </c>
      <c r="M2677" s="195" t="s">
        <v>1090</v>
      </c>
      <c r="N2677" s="195"/>
      <c r="O2677" s="199">
        <v>0.1</v>
      </c>
      <c r="P2677" s="188"/>
      <c r="Q2677" s="174">
        <f>IF(ISNUMBER(VLOOKUP(A2677,NotghiID!A:A,1,FALSE)),1,0)</f>
        <v>1</v>
      </c>
    </row>
    <row r="2678" spans="1:17" ht="14.25" x14ac:dyDescent="0.2">
      <c r="A2678" s="189">
        <v>192</v>
      </c>
      <c r="B2678" s="232" t="str">
        <f>IF(AND(A2678&lt;&gt;"",ISNUMBER(A2678)),VLOOKUP(A2678,Studies!A:BR,2,FALSE),"")</f>
        <v>Greiner 1999</v>
      </c>
      <c r="C2678" s="232" t="str">
        <f>IF(AND(A2678&lt;&gt;"",ISNUMBER(A2678)),VLOOKUP(A2678,Studies!A:BR,3,FALSE),"")</f>
        <v>https://www.ncbi.nlm.nih.gov/pubmed/10411543</v>
      </c>
      <c r="D2678" s="232" t="str">
        <f>IF(AND(A2678&lt;&gt;"",ISNUMBER(A2678)),VLOOKUP(A2678,Studies!A:BR,4,FALSE),"")</f>
        <v>iv Control (Perpetrator Placebo)</v>
      </c>
      <c r="E2678" s="206" t="str">
        <f>IF(AND(A2678&lt;&gt;"",ISNUMBER(A2678)),VLOOKUP(A2678,Studies!A:BR,5,FALSE),"")</f>
        <v>Digoxin</v>
      </c>
      <c r="F2678" s="207" t="str">
        <f>IF(AND(A2678&lt;&gt;"",ISNUMBER(A2678)),VLOOKUP(A2678,Studies!A:BR,6,FALSE),"")</f>
        <v>Plasma</v>
      </c>
      <c r="G2678" s="194">
        <f>0.5+1.25</f>
        <v>1.75</v>
      </c>
      <c r="H2678" s="194" t="s">
        <v>60</v>
      </c>
      <c r="I2678" s="187">
        <v>6.3636359999999996</v>
      </c>
      <c r="J2678" s="187" t="s">
        <v>1090</v>
      </c>
      <c r="K2678" s="187" t="s">
        <v>116</v>
      </c>
      <c r="L2678" s="195">
        <v>0.90909150000000005</v>
      </c>
      <c r="M2678" s="195" t="s">
        <v>1090</v>
      </c>
      <c r="N2678" s="195"/>
      <c r="O2678" s="199">
        <v>0.1</v>
      </c>
      <c r="P2678" s="188"/>
      <c r="Q2678" s="174">
        <f>IF(ISNUMBER(VLOOKUP(A2678,NotghiID!A:A,1,FALSE)),1,0)</f>
        <v>1</v>
      </c>
    </row>
    <row r="2679" spans="1:17" ht="14.25" x14ac:dyDescent="0.2">
      <c r="A2679" s="189">
        <v>192</v>
      </c>
      <c r="B2679" s="232" t="str">
        <f>IF(AND(A2679&lt;&gt;"",ISNUMBER(A2679)),VLOOKUP(A2679,Studies!A:BR,2,FALSE),"")</f>
        <v>Greiner 1999</v>
      </c>
      <c r="C2679" s="232" t="str">
        <f>IF(AND(A2679&lt;&gt;"",ISNUMBER(A2679)),VLOOKUP(A2679,Studies!A:BR,3,FALSE),"")</f>
        <v>https://www.ncbi.nlm.nih.gov/pubmed/10411543</v>
      </c>
      <c r="D2679" s="232" t="str">
        <f>IF(AND(A2679&lt;&gt;"",ISNUMBER(A2679)),VLOOKUP(A2679,Studies!A:BR,4,FALSE),"")</f>
        <v>iv Control (Perpetrator Placebo)</v>
      </c>
      <c r="E2679" s="206" t="str">
        <f>IF(AND(A2679&lt;&gt;"",ISNUMBER(A2679)),VLOOKUP(A2679,Studies!A:BR,5,FALSE),"")</f>
        <v>Digoxin</v>
      </c>
      <c r="F2679" s="207" t="str">
        <f>IF(AND(A2679&lt;&gt;"",ISNUMBER(A2679)),VLOOKUP(A2679,Studies!A:BR,6,FALSE),"")</f>
        <v>Plasma</v>
      </c>
      <c r="G2679" s="194">
        <f>0.5+1.5</f>
        <v>2</v>
      </c>
      <c r="H2679" s="194" t="s">
        <v>60</v>
      </c>
      <c r="I2679" s="187">
        <v>5.1515149999999998</v>
      </c>
      <c r="J2679" s="187" t="s">
        <v>1090</v>
      </c>
      <c r="K2679" s="187" t="s">
        <v>116</v>
      </c>
      <c r="L2679" s="195"/>
      <c r="M2679" s="195"/>
      <c r="N2679" s="195"/>
      <c r="O2679" s="199">
        <v>0.1</v>
      </c>
      <c r="P2679" s="188"/>
      <c r="Q2679" s="174">
        <f>IF(ISNUMBER(VLOOKUP(A2679,NotghiID!A:A,1,FALSE)),1,0)</f>
        <v>1</v>
      </c>
    </row>
    <row r="2680" spans="1:17" ht="14.25" x14ac:dyDescent="0.2">
      <c r="A2680" s="189">
        <v>192</v>
      </c>
      <c r="B2680" s="232" t="str">
        <f>IF(AND(A2680&lt;&gt;"",ISNUMBER(A2680)),VLOOKUP(A2680,Studies!A:BR,2,FALSE),"")</f>
        <v>Greiner 1999</v>
      </c>
      <c r="C2680" s="232" t="str">
        <f>IF(AND(A2680&lt;&gt;"",ISNUMBER(A2680)),VLOOKUP(A2680,Studies!A:BR,3,FALSE),"")</f>
        <v>https://www.ncbi.nlm.nih.gov/pubmed/10411543</v>
      </c>
      <c r="D2680" s="232" t="str">
        <f>IF(AND(A2680&lt;&gt;"",ISNUMBER(A2680)),VLOOKUP(A2680,Studies!A:BR,4,FALSE),"")</f>
        <v>iv Control (Perpetrator Placebo)</v>
      </c>
      <c r="E2680" s="206" t="str">
        <f>IF(AND(A2680&lt;&gt;"",ISNUMBER(A2680)),VLOOKUP(A2680,Studies!A:BR,5,FALSE),"")</f>
        <v>Digoxin</v>
      </c>
      <c r="F2680" s="207" t="str">
        <f>IF(AND(A2680&lt;&gt;"",ISNUMBER(A2680)),VLOOKUP(A2680,Studies!A:BR,6,FALSE),"")</f>
        <v>Plasma</v>
      </c>
      <c r="G2680" s="194">
        <f>0.5+2</f>
        <v>2.5</v>
      </c>
      <c r="H2680" s="194" t="s">
        <v>60</v>
      </c>
      <c r="I2680" s="187">
        <v>3.6969699999999999</v>
      </c>
      <c r="J2680" s="187" t="s">
        <v>1090</v>
      </c>
      <c r="K2680" s="187" t="s">
        <v>116</v>
      </c>
      <c r="L2680" s="195"/>
      <c r="M2680" s="195"/>
      <c r="N2680" s="195"/>
      <c r="O2680" s="199">
        <v>0.1</v>
      </c>
      <c r="P2680" s="188"/>
      <c r="Q2680" s="174">
        <f>IF(ISNUMBER(VLOOKUP(A2680,NotghiID!A:A,1,FALSE)),1,0)</f>
        <v>1</v>
      </c>
    </row>
    <row r="2681" spans="1:17" ht="14.25" x14ac:dyDescent="0.2">
      <c r="A2681" s="189">
        <v>192</v>
      </c>
      <c r="B2681" s="232" t="str">
        <f>IF(AND(A2681&lt;&gt;"",ISNUMBER(A2681)),VLOOKUP(A2681,Studies!A:BR,2,FALSE),"")</f>
        <v>Greiner 1999</v>
      </c>
      <c r="C2681" s="232" t="str">
        <f>IF(AND(A2681&lt;&gt;"",ISNUMBER(A2681)),VLOOKUP(A2681,Studies!A:BR,3,FALSE),"")</f>
        <v>https://www.ncbi.nlm.nih.gov/pubmed/10411543</v>
      </c>
      <c r="D2681" s="232" t="str">
        <f>IF(AND(A2681&lt;&gt;"",ISNUMBER(A2681)),VLOOKUP(A2681,Studies!A:BR,4,FALSE),"")</f>
        <v>iv Control (Perpetrator Placebo)</v>
      </c>
      <c r="E2681" s="206" t="str">
        <f>IF(AND(A2681&lt;&gt;"",ISNUMBER(A2681)),VLOOKUP(A2681,Studies!A:BR,5,FALSE),"")</f>
        <v>Digoxin</v>
      </c>
      <c r="F2681" s="207" t="str">
        <f>IF(AND(A2681&lt;&gt;"",ISNUMBER(A2681)),VLOOKUP(A2681,Studies!A:BR,6,FALSE),"")</f>
        <v>Plasma</v>
      </c>
      <c r="G2681" s="194">
        <f>0.5+3</f>
        <v>3.5</v>
      </c>
      <c r="H2681" s="194" t="s">
        <v>60</v>
      </c>
      <c r="I2681" s="187">
        <v>1.9393940000000001</v>
      </c>
      <c r="J2681" s="187" t="s">
        <v>1090</v>
      </c>
      <c r="K2681" s="187" t="s">
        <v>116</v>
      </c>
      <c r="L2681" s="195"/>
      <c r="M2681" s="195"/>
      <c r="N2681" s="195"/>
      <c r="O2681" s="199">
        <v>0.1</v>
      </c>
      <c r="P2681" s="188"/>
      <c r="Q2681" s="174">
        <f>IF(ISNUMBER(VLOOKUP(A2681,NotghiID!A:A,1,FALSE)),1,0)</f>
        <v>1</v>
      </c>
    </row>
    <row r="2682" spans="1:17" ht="14.25" x14ac:dyDescent="0.2">
      <c r="A2682" s="189">
        <v>192</v>
      </c>
      <c r="B2682" s="232" t="str">
        <f>IF(AND(A2682&lt;&gt;"",ISNUMBER(A2682)),VLOOKUP(A2682,Studies!A:BR,2,FALSE),"")</f>
        <v>Greiner 1999</v>
      </c>
      <c r="C2682" s="232" t="str">
        <f>IF(AND(A2682&lt;&gt;"",ISNUMBER(A2682)),VLOOKUP(A2682,Studies!A:BR,3,FALSE),"")</f>
        <v>https://www.ncbi.nlm.nih.gov/pubmed/10411543</v>
      </c>
      <c r="D2682" s="232" t="str">
        <f>IF(AND(A2682&lt;&gt;"",ISNUMBER(A2682)),VLOOKUP(A2682,Studies!A:BR,4,FALSE),"")</f>
        <v>iv Control (Perpetrator Placebo)</v>
      </c>
      <c r="E2682" s="206" t="str">
        <f>IF(AND(A2682&lt;&gt;"",ISNUMBER(A2682)),VLOOKUP(A2682,Studies!A:BR,5,FALSE),"")</f>
        <v>Digoxin</v>
      </c>
      <c r="F2682" s="207" t="str">
        <f>IF(AND(A2682&lt;&gt;"",ISNUMBER(A2682)),VLOOKUP(A2682,Studies!A:BR,6,FALSE),"")</f>
        <v>Plasma</v>
      </c>
      <c r="G2682" s="194">
        <f>0.5+5</f>
        <v>5.5</v>
      </c>
      <c r="H2682" s="194" t="s">
        <v>60</v>
      </c>
      <c r="I2682" s="187">
        <v>1.212121</v>
      </c>
      <c r="J2682" s="187" t="s">
        <v>1090</v>
      </c>
      <c r="K2682" s="187" t="s">
        <v>116</v>
      </c>
      <c r="L2682" s="195"/>
      <c r="M2682" s="195"/>
      <c r="N2682" s="195"/>
      <c r="O2682" s="199">
        <v>0.1</v>
      </c>
      <c r="P2682" s="188"/>
      <c r="Q2682" s="174">
        <f>IF(ISNUMBER(VLOOKUP(A2682,NotghiID!A:A,1,FALSE)),1,0)</f>
        <v>1</v>
      </c>
    </row>
    <row r="2683" spans="1:17" ht="14.25" x14ac:dyDescent="0.2">
      <c r="A2683" s="189">
        <v>192</v>
      </c>
      <c r="B2683" s="232" t="str">
        <f>IF(AND(A2683&lt;&gt;"",ISNUMBER(A2683)),VLOOKUP(A2683,Studies!A:BR,2,FALSE),"")</f>
        <v>Greiner 1999</v>
      </c>
      <c r="C2683" s="232" t="str">
        <f>IF(AND(A2683&lt;&gt;"",ISNUMBER(A2683)),VLOOKUP(A2683,Studies!A:BR,3,FALSE),"")</f>
        <v>https://www.ncbi.nlm.nih.gov/pubmed/10411543</v>
      </c>
      <c r="D2683" s="232" t="str">
        <f>IF(AND(A2683&lt;&gt;"",ISNUMBER(A2683)),VLOOKUP(A2683,Studies!A:BR,4,FALSE),"")</f>
        <v>iv Control (Perpetrator Placebo)</v>
      </c>
      <c r="E2683" s="206" t="str">
        <f>IF(AND(A2683&lt;&gt;"",ISNUMBER(A2683)),VLOOKUP(A2683,Studies!A:BR,5,FALSE),"")</f>
        <v>Digoxin</v>
      </c>
      <c r="F2683" s="207" t="str">
        <f>IF(AND(A2683&lt;&gt;"",ISNUMBER(A2683)),VLOOKUP(A2683,Studies!A:BR,6,FALSE),"")</f>
        <v>Plasma</v>
      </c>
      <c r="G2683" s="194">
        <f>0.5+7</f>
        <v>7.5</v>
      </c>
      <c r="H2683" s="194" t="s">
        <v>60</v>
      </c>
      <c r="I2683" s="187">
        <v>0.96969700000000003</v>
      </c>
      <c r="J2683" s="187" t="s">
        <v>1090</v>
      </c>
      <c r="K2683" s="187" t="s">
        <v>116</v>
      </c>
      <c r="L2683" s="195"/>
      <c r="M2683" s="195"/>
      <c r="N2683" s="195"/>
      <c r="O2683" s="199">
        <v>0.1</v>
      </c>
      <c r="P2683" s="188"/>
      <c r="Q2683" s="174">
        <f>IF(ISNUMBER(VLOOKUP(A2683,NotghiID!A:A,1,FALSE)),1,0)</f>
        <v>1</v>
      </c>
    </row>
    <row r="2684" spans="1:17" ht="14.25" x14ac:dyDescent="0.2">
      <c r="A2684" s="189">
        <v>193</v>
      </c>
      <c r="B2684" s="232" t="str">
        <f>IF(AND(A2684&lt;&gt;"",ISNUMBER(A2684)),VLOOKUP(A2684,Studies!A:BR,2,FALSE),"")</f>
        <v>Greiner 1999</v>
      </c>
      <c r="C2684" s="232" t="str">
        <f>IF(AND(A2684&lt;&gt;"",ISNUMBER(A2684)),VLOOKUP(A2684,Studies!A:BR,3,FALSE),"")</f>
        <v>https://www.ncbi.nlm.nih.gov/pubmed/10411543</v>
      </c>
      <c r="D2684" s="232" t="str">
        <f>IF(AND(A2684&lt;&gt;"",ISNUMBER(A2684)),VLOOKUP(A2684,Studies!A:BR,4,FALSE),"")</f>
        <v>iv with Perpetrator (Rifampicin)</v>
      </c>
      <c r="E2684" s="206" t="str">
        <f>IF(AND(A2684&lt;&gt;"",ISNUMBER(A2684)),VLOOKUP(A2684,Studies!A:BR,5,FALSE),"")</f>
        <v>Digoxin</v>
      </c>
      <c r="F2684" s="207" t="str">
        <f>IF(AND(A2684&lt;&gt;"",ISNUMBER(A2684)),VLOOKUP(A2684,Studies!A:BR,6,FALSE),"")</f>
        <v>Plasma</v>
      </c>
      <c r="G2684" s="194">
        <f>240+0</f>
        <v>240</v>
      </c>
      <c r="H2684" s="194" t="s">
        <v>60</v>
      </c>
      <c r="I2684" s="187" t="s">
        <v>1127</v>
      </c>
      <c r="J2684" s="187" t="s">
        <v>1090</v>
      </c>
      <c r="K2684" s="187" t="s">
        <v>116</v>
      </c>
      <c r="L2684" s="195"/>
      <c r="M2684" s="195"/>
      <c r="N2684" s="195"/>
      <c r="O2684" s="199">
        <v>0.1</v>
      </c>
      <c r="P2684" s="188"/>
      <c r="Q2684" s="174">
        <f>IF(ISNUMBER(VLOOKUP(A2684,NotghiID!A:A,1,FALSE)),1,0)</f>
        <v>1</v>
      </c>
    </row>
    <row r="2685" spans="1:17" ht="14.25" x14ac:dyDescent="0.2">
      <c r="A2685" s="189">
        <v>193</v>
      </c>
      <c r="B2685" s="232" t="str">
        <f>IF(AND(A2685&lt;&gt;"",ISNUMBER(A2685)),VLOOKUP(A2685,Studies!A:BR,2,FALSE),"")</f>
        <v>Greiner 1999</v>
      </c>
      <c r="C2685" s="232" t="str">
        <f>IF(AND(A2685&lt;&gt;"",ISNUMBER(A2685)),VLOOKUP(A2685,Studies!A:BR,3,FALSE),"")</f>
        <v>https://www.ncbi.nlm.nih.gov/pubmed/10411543</v>
      </c>
      <c r="D2685" s="232" t="str">
        <f>IF(AND(A2685&lt;&gt;"",ISNUMBER(A2685)),VLOOKUP(A2685,Studies!A:BR,4,FALSE),"")</f>
        <v>iv with Perpetrator (Rifampicin)</v>
      </c>
      <c r="E2685" s="206" t="str">
        <f>IF(AND(A2685&lt;&gt;"",ISNUMBER(A2685)),VLOOKUP(A2685,Studies!A:BR,5,FALSE),"")</f>
        <v>Digoxin</v>
      </c>
      <c r="F2685" s="207" t="str">
        <f>IF(AND(A2685&lt;&gt;"",ISNUMBER(A2685)),VLOOKUP(A2685,Studies!A:BR,6,FALSE),"")</f>
        <v>Plasma</v>
      </c>
      <c r="G2685" s="194">
        <f>0.5+240+0.17</f>
        <v>240.67</v>
      </c>
      <c r="H2685" s="194" t="s">
        <v>60</v>
      </c>
      <c r="I2685" s="187">
        <v>13.0303</v>
      </c>
      <c r="J2685" s="187" t="s">
        <v>1090</v>
      </c>
      <c r="K2685" s="187" t="s">
        <v>116</v>
      </c>
      <c r="L2685" s="195">
        <v>1.8787849999999999</v>
      </c>
      <c r="M2685" s="195" t="s">
        <v>1090</v>
      </c>
      <c r="N2685" s="195"/>
      <c r="O2685" s="199">
        <v>0.1</v>
      </c>
      <c r="P2685" s="188"/>
      <c r="Q2685" s="174">
        <f>IF(ISNUMBER(VLOOKUP(A2685,NotghiID!A:A,1,FALSE)),1,0)</f>
        <v>1</v>
      </c>
    </row>
    <row r="2686" spans="1:17" ht="14.25" x14ac:dyDescent="0.2">
      <c r="A2686" s="189">
        <v>193</v>
      </c>
      <c r="B2686" s="232" t="str">
        <f>IF(AND(A2686&lt;&gt;"",ISNUMBER(A2686)),VLOOKUP(A2686,Studies!A:BR,2,FALSE),"")</f>
        <v>Greiner 1999</v>
      </c>
      <c r="C2686" s="232" t="str">
        <f>IF(AND(A2686&lt;&gt;"",ISNUMBER(A2686)),VLOOKUP(A2686,Studies!A:BR,3,FALSE),"")</f>
        <v>https://www.ncbi.nlm.nih.gov/pubmed/10411543</v>
      </c>
      <c r="D2686" s="232" t="str">
        <f>IF(AND(A2686&lt;&gt;"",ISNUMBER(A2686)),VLOOKUP(A2686,Studies!A:BR,4,FALSE),"")</f>
        <v>iv with Perpetrator (Rifampicin)</v>
      </c>
      <c r="E2686" s="206" t="str">
        <f>IF(AND(A2686&lt;&gt;"",ISNUMBER(A2686)),VLOOKUP(A2686,Studies!A:BR,5,FALSE),"")</f>
        <v>Digoxin</v>
      </c>
      <c r="F2686" s="207" t="str">
        <f>IF(AND(A2686&lt;&gt;"",ISNUMBER(A2686)),VLOOKUP(A2686,Studies!A:BR,6,FALSE),"")</f>
        <v>Plasma</v>
      </c>
      <c r="G2686" s="194">
        <f>0.5+240+0.33</f>
        <v>240.83</v>
      </c>
      <c r="H2686" s="194" t="s">
        <v>60</v>
      </c>
      <c r="I2686" s="187">
        <v>17.393940000000001</v>
      </c>
      <c r="J2686" s="187" t="s">
        <v>1090</v>
      </c>
      <c r="K2686" s="187" t="s">
        <v>116</v>
      </c>
      <c r="L2686" s="195">
        <v>1.757576</v>
      </c>
      <c r="M2686" s="195" t="s">
        <v>1090</v>
      </c>
      <c r="N2686" s="195"/>
      <c r="O2686" s="199">
        <v>0.1</v>
      </c>
      <c r="P2686" s="188"/>
      <c r="Q2686" s="174">
        <f>IF(ISNUMBER(VLOOKUP(A2686,NotghiID!A:A,1,FALSE)),1,0)</f>
        <v>1</v>
      </c>
    </row>
    <row r="2687" spans="1:17" ht="14.25" x14ac:dyDescent="0.2">
      <c r="A2687" s="189">
        <v>193</v>
      </c>
      <c r="B2687" s="232" t="str">
        <f>IF(AND(A2687&lt;&gt;"",ISNUMBER(A2687)),VLOOKUP(A2687,Studies!A:BR,2,FALSE),"")</f>
        <v>Greiner 1999</v>
      </c>
      <c r="C2687" s="232" t="str">
        <f>IF(AND(A2687&lt;&gt;"",ISNUMBER(A2687)),VLOOKUP(A2687,Studies!A:BR,3,FALSE),"")</f>
        <v>https://www.ncbi.nlm.nih.gov/pubmed/10411543</v>
      </c>
      <c r="D2687" s="232" t="str">
        <f>IF(AND(A2687&lt;&gt;"",ISNUMBER(A2687)),VLOOKUP(A2687,Studies!A:BR,4,FALSE),"")</f>
        <v>iv with Perpetrator (Rifampicin)</v>
      </c>
      <c r="E2687" s="206" t="str">
        <f>IF(AND(A2687&lt;&gt;"",ISNUMBER(A2687)),VLOOKUP(A2687,Studies!A:BR,5,FALSE),"")</f>
        <v>Digoxin</v>
      </c>
      <c r="F2687" s="207" t="str">
        <f>IF(AND(A2687&lt;&gt;"",ISNUMBER(A2687)),VLOOKUP(A2687,Studies!A:BR,6,FALSE),"")</f>
        <v>Plasma</v>
      </c>
      <c r="G2687" s="194">
        <f>0.5+240+0.5</f>
        <v>241</v>
      </c>
      <c r="H2687" s="194" t="s">
        <v>60</v>
      </c>
      <c r="I2687" s="187">
        <v>20.848479999999999</v>
      </c>
      <c r="J2687" s="187" t="s">
        <v>1090</v>
      </c>
      <c r="K2687" s="187" t="s">
        <v>116</v>
      </c>
      <c r="L2687" s="195">
        <v>1.9393899999999999</v>
      </c>
      <c r="M2687" s="195" t="s">
        <v>1090</v>
      </c>
      <c r="N2687" s="195"/>
      <c r="O2687" s="199">
        <v>0.1</v>
      </c>
      <c r="P2687" s="188"/>
      <c r="Q2687" s="174">
        <f>IF(ISNUMBER(VLOOKUP(A2687,NotghiID!A:A,1,FALSE)),1,0)</f>
        <v>1</v>
      </c>
    </row>
    <row r="2688" spans="1:17" ht="14.25" x14ac:dyDescent="0.2">
      <c r="A2688" s="189">
        <v>193</v>
      </c>
      <c r="B2688" s="232" t="str">
        <f>IF(AND(A2688&lt;&gt;"",ISNUMBER(A2688)),VLOOKUP(A2688,Studies!A:BR,2,FALSE),"")</f>
        <v>Greiner 1999</v>
      </c>
      <c r="C2688" s="232" t="str">
        <f>IF(AND(A2688&lt;&gt;"",ISNUMBER(A2688)),VLOOKUP(A2688,Studies!A:BR,3,FALSE),"")</f>
        <v>https://www.ncbi.nlm.nih.gov/pubmed/10411543</v>
      </c>
      <c r="D2688" s="232" t="str">
        <f>IF(AND(A2688&lt;&gt;"",ISNUMBER(A2688)),VLOOKUP(A2688,Studies!A:BR,4,FALSE),"")</f>
        <v>iv with Perpetrator (Rifampicin)</v>
      </c>
      <c r="E2688" s="206" t="str">
        <f>IF(AND(A2688&lt;&gt;"",ISNUMBER(A2688)),VLOOKUP(A2688,Studies!A:BR,5,FALSE),"")</f>
        <v>Digoxin</v>
      </c>
      <c r="F2688" s="207" t="str">
        <f>IF(AND(A2688&lt;&gt;"",ISNUMBER(A2688)),VLOOKUP(A2688,Studies!A:BR,6,FALSE),"")</f>
        <v>Plasma</v>
      </c>
      <c r="G2688" s="194">
        <f>0.5+240+0.58</f>
        <v>241.08</v>
      </c>
      <c r="H2688" s="194" t="s">
        <v>60</v>
      </c>
      <c r="I2688" s="187">
        <v>15.212120000000001</v>
      </c>
      <c r="J2688" s="187" t="s">
        <v>1090</v>
      </c>
      <c r="K2688" s="187" t="s">
        <v>116</v>
      </c>
      <c r="L2688" s="195">
        <v>1.2121200000000001</v>
      </c>
      <c r="M2688" s="195" t="s">
        <v>1090</v>
      </c>
      <c r="N2688" s="195"/>
      <c r="O2688" s="199">
        <v>0.1</v>
      </c>
      <c r="P2688" s="188"/>
      <c r="Q2688" s="174">
        <f>IF(ISNUMBER(VLOOKUP(A2688,NotghiID!A:A,1,FALSE)),1,0)</f>
        <v>1</v>
      </c>
    </row>
    <row r="2689" spans="1:17" ht="14.25" x14ac:dyDescent="0.2">
      <c r="A2689" s="189">
        <v>193</v>
      </c>
      <c r="B2689" s="232" t="str">
        <f>IF(AND(A2689&lt;&gt;"",ISNUMBER(A2689)),VLOOKUP(A2689,Studies!A:BR,2,FALSE),"")</f>
        <v>Greiner 1999</v>
      </c>
      <c r="C2689" s="232" t="str">
        <f>IF(AND(A2689&lt;&gt;"",ISNUMBER(A2689)),VLOOKUP(A2689,Studies!A:BR,3,FALSE),"")</f>
        <v>https://www.ncbi.nlm.nih.gov/pubmed/10411543</v>
      </c>
      <c r="D2689" s="232" t="str">
        <f>IF(AND(A2689&lt;&gt;"",ISNUMBER(A2689)),VLOOKUP(A2689,Studies!A:BR,4,FALSE),"")</f>
        <v>iv with Perpetrator (Rifampicin)</v>
      </c>
      <c r="E2689" s="206" t="str">
        <f>IF(AND(A2689&lt;&gt;"",ISNUMBER(A2689)),VLOOKUP(A2689,Studies!A:BR,5,FALSE),"")</f>
        <v>Digoxin</v>
      </c>
      <c r="F2689" s="207" t="str">
        <f>IF(AND(A2689&lt;&gt;"",ISNUMBER(A2689)),VLOOKUP(A2689,Studies!A:BR,6,FALSE),"")</f>
        <v>Plasma</v>
      </c>
      <c r="G2689" s="194">
        <f>0.5+240+0.67</f>
        <v>241.17</v>
      </c>
      <c r="H2689" s="194" t="s">
        <v>60</v>
      </c>
      <c r="I2689" s="187">
        <v>12.48485</v>
      </c>
      <c r="J2689" s="187" t="s">
        <v>1090</v>
      </c>
      <c r="K2689" s="187" t="s">
        <v>116</v>
      </c>
      <c r="L2689" s="195">
        <v>1.3333349999999999</v>
      </c>
      <c r="M2689" s="195" t="s">
        <v>1090</v>
      </c>
      <c r="N2689" s="195"/>
      <c r="O2689" s="199">
        <v>0.1</v>
      </c>
      <c r="P2689" s="188"/>
      <c r="Q2689" s="174">
        <f>IF(ISNUMBER(VLOOKUP(A2689,NotghiID!A:A,1,FALSE)),1,0)</f>
        <v>1</v>
      </c>
    </row>
    <row r="2690" spans="1:17" ht="14.25" x14ac:dyDescent="0.2">
      <c r="A2690" s="189">
        <v>193</v>
      </c>
      <c r="B2690" s="232" t="str">
        <f>IF(AND(A2690&lt;&gt;"",ISNUMBER(A2690)),VLOOKUP(A2690,Studies!A:BR,2,FALSE),"")</f>
        <v>Greiner 1999</v>
      </c>
      <c r="C2690" s="232" t="str">
        <f>IF(AND(A2690&lt;&gt;"",ISNUMBER(A2690)),VLOOKUP(A2690,Studies!A:BR,3,FALSE),"")</f>
        <v>https://www.ncbi.nlm.nih.gov/pubmed/10411543</v>
      </c>
      <c r="D2690" s="232" t="str">
        <f>IF(AND(A2690&lt;&gt;"",ISNUMBER(A2690)),VLOOKUP(A2690,Studies!A:BR,4,FALSE),"")</f>
        <v>iv with Perpetrator (Rifampicin)</v>
      </c>
      <c r="E2690" s="206" t="str">
        <f>IF(AND(A2690&lt;&gt;"",ISNUMBER(A2690)),VLOOKUP(A2690,Studies!A:BR,5,FALSE),"")</f>
        <v>Digoxin</v>
      </c>
      <c r="F2690" s="207" t="str">
        <f>IF(AND(A2690&lt;&gt;"",ISNUMBER(A2690)),VLOOKUP(A2690,Studies!A:BR,6,FALSE),"")</f>
        <v>Plasma</v>
      </c>
      <c r="G2690" s="194">
        <f>0.5+240+0.75</f>
        <v>241.25</v>
      </c>
      <c r="H2690" s="194" t="s">
        <v>60</v>
      </c>
      <c r="I2690" s="187">
        <v>10.727270000000001</v>
      </c>
      <c r="J2690" s="187" t="s">
        <v>1090</v>
      </c>
      <c r="K2690" s="187" t="s">
        <v>116</v>
      </c>
      <c r="L2690" s="195">
        <v>1.0303</v>
      </c>
      <c r="M2690" s="195" t="s">
        <v>1090</v>
      </c>
      <c r="N2690" s="195"/>
      <c r="O2690" s="199">
        <v>0.1</v>
      </c>
      <c r="P2690" s="188"/>
      <c r="Q2690" s="174">
        <f>IF(ISNUMBER(VLOOKUP(A2690,NotghiID!A:A,1,FALSE)),1,0)</f>
        <v>1</v>
      </c>
    </row>
    <row r="2691" spans="1:17" ht="14.25" x14ac:dyDescent="0.2">
      <c r="A2691" s="189">
        <v>193</v>
      </c>
      <c r="B2691" s="232" t="str">
        <f>IF(AND(A2691&lt;&gt;"",ISNUMBER(A2691)),VLOOKUP(A2691,Studies!A:BR,2,FALSE),"")</f>
        <v>Greiner 1999</v>
      </c>
      <c r="C2691" s="232" t="str">
        <f>IF(AND(A2691&lt;&gt;"",ISNUMBER(A2691)),VLOOKUP(A2691,Studies!A:BR,3,FALSE),"")</f>
        <v>https://www.ncbi.nlm.nih.gov/pubmed/10411543</v>
      </c>
      <c r="D2691" s="232" t="str">
        <f>IF(AND(A2691&lt;&gt;"",ISNUMBER(A2691)),VLOOKUP(A2691,Studies!A:BR,4,FALSE),"")</f>
        <v>iv with Perpetrator (Rifampicin)</v>
      </c>
      <c r="E2691" s="206" t="str">
        <f>IF(AND(A2691&lt;&gt;"",ISNUMBER(A2691)),VLOOKUP(A2691,Studies!A:BR,5,FALSE),"")</f>
        <v>Digoxin</v>
      </c>
      <c r="F2691" s="207" t="str">
        <f>IF(AND(A2691&lt;&gt;"",ISNUMBER(A2691)),VLOOKUP(A2691,Studies!A:BR,6,FALSE),"")</f>
        <v>Plasma</v>
      </c>
      <c r="G2691" s="194">
        <f>0.5+240+1</f>
        <v>241.5</v>
      </c>
      <c r="H2691" s="194" t="s">
        <v>60</v>
      </c>
      <c r="I2691" s="187">
        <v>7.9393940000000001</v>
      </c>
      <c r="J2691" s="187" t="s">
        <v>1090</v>
      </c>
      <c r="K2691" s="187" t="s">
        <v>116</v>
      </c>
      <c r="L2691" s="195">
        <v>0.84848500000000004</v>
      </c>
      <c r="M2691" s="195" t="s">
        <v>1090</v>
      </c>
      <c r="N2691" s="195"/>
      <c r="O2691" s="199">
        <v>0.1</v>
      </c>
      <c r="P2691" s="188"/>
      <c r="Q2691" s="174">
        <f>IF(ISNUMBER(VLOOKUP(A2691,NotghiID!A:A,1,FALSE)),1,0)</f>
        <v>1</v>
      </c>
    </row>
    <row r="2692" spans="1:17" ht="14.25" x14ac:dyDescent="0.2">
      <c r="A2692" s="189">
        <v>193</v>
      </c>
      <c r="B2692" s="232" t="str">
        <f>IF(AND(A2692&lt;&gt;"",ISNUMBER(A2692)),VLOOKUP(A2692,Studies!A:BR,2,FALSE),"")</f>
        <v>Greiner 1999</v>
      </c>
      <c r="C2692" s="232" t="str">
        <f>IF(AND(A2692&lt;&gt;"",ISNUMBER(A2692)),VLOOKUP(A2692,Studies!A:BR,3,FALSE),"")</f>
        <v>https://www.ncbi.nlm.nih.gov/pubmed/10411543</v>
      </c>
      <c r="D2692" s="232" t="str">
        <f>IF(AND(A2692&lt;&gt;"",ISNUMBER(A2692)),VLOOKUP(A2692,Studies!A:BR,4,FALSE),"")</f>
        <v>iv with Perpetrator (Rifampicin)</v>
      </c>
      <c r="E2692" s="206" t="str">
        <f>IF(AND(A2692&lt;&gt;"",ISNUMBER(A2692)),VLOOKUP(A2692,Studies!A:BR,5,FALSE),"")</f>
        <v>Digoxin</v>
      </c>
      <c r="F2692" s="207" t="str">
        <f>IF(AND(A2692&lt;&gt;"",ISNUMBER(A2692)),VLOOKUP(A2692,Studies!A:BR,6,FALSE),"")</f>
        <v>Plasma</v>
      </c>
      <c r="G2692" s="194">
        <f>0.5+240+1.25</f>
        <v>241.75</v>
      </c>
      <c r="H2692" s="194" t="s">
        <v>60</v>
      </c>
      <c r="I2692" s="187">
        <v>5.8787880000000001</v>
      </c>
      <c r="J2692" s="187" t="s">
        <v>1090</v>
      </c>
      <c r="K2692" s="187" t="s">
        <v>116</v>
      </c>
      <c r="L2692" s="195"/>
      <c r="M2692" s="195"/>
      <c r="N2692" s="195"/>
      <c r="O2692" s="199">
        <v>0.1</v>
      </c>
      <c r="P2692" s="188"/>
      <c r="Q2692" s="174">
        <f>IF(ISNUMBER(VLOOKUP(A2692,NotghiID!A:A,1,FALSE)),1,0)</f>
        <v>1</v>
      </c>
    </row>
    <row r="2693" spans="1:17" ht="14.25" x14ac:dyDescent="0.2">
      <c r="A2693" s="189">
        <v>193</v>
      </c>
      <c r="B2693" s="232" t="str">
        <f>IF(AND(A2693&lt;&gt;"",ISNUMBER(A2693)),VLOOKUP(A2693,Studies!A:BR,2,FALSE),"")</f>
        <v>Greiner 1999</v>
      </c>
      <c r="C2693" s="232" t="str">
        <f>IF(AND(A2693&lt;&gt;"",ISNUMBER(A2693)),VLOOKUP(A2693,Studies!A:BR,3,FALSE),"")</f>
        <v>https://www.ncbi.nlm.nih.gov/pubmed/10411543</v>
      </c>
      <c r="D2693" s="232" t="str">
        <f>IF(AND(A2693&lt;&gt;"",ISNUMBER(A2693)),VLOOKUP(A2693,Studies!A:BR,4,FALSE),"")</f>
        <v>iv with Perpetrator (Rifampicin)</v>
      </c>
      <c r="E2693" s="206" t="str">
        <f>IF(AND(A2693&lt;&gt;"",ISNUMBER(A2693)),VLOOKUP(A2693,Studies!A:BR,5,FALSE),"")</f>
        <v>Digoxin</v>
      </c>
      <c r="F2693" s="207" t="str">
        <f>IF(AND(A2693&lt;&gt;"",ISNUMBER(A2693)),VLOOKUP(A2693,Studies!A:BR,6,FALSE),"")</f>
        <v>Plasma</v>
      </c>
      <c r="G2693" s="194">
        <f>0.5+240+1.5</f>
        <v>242</v>
      </c>
      <c r="H2693" s="194" t="s">
        <v>60</v>
      </c>
      <c r="I2693" s="187">
        <v>4.7272730000000003</v>
      </c>
      <c r="J2693" s="187" t="s">
        <v>1090</v>
      </c>
      <c r="K2693" s="187" t="s">
        <v>116</v>
      </c>
      <c r="L2693" s="195"/>
      <c r="M2693" s="195"/>
      <c r="N2693" s="195"/>
      <c r="O2693" s="199">
        <v>0.1</v>
      </c>
      <c r="P2693" s="188"/>
      <c r="Q2693" s="174">
        <f>IF(ISNUMBER(VLOOKUP(A2693,NotghiID!A:A,1,FALSE)),1,0)</f>
        <v>1</v>
      </c>
    </row>
    <row r="2694" spans="1:17" ht="14.25" x14ac:dyDescent="0.2">
      <c r="A2694" s="189">
        <v>193</v>
      </c>
      <c r="B2694" s="232" t="str">
        <f>IF(AND(A2694&lt;&gt;"",ISNUMBER(A2694)),VLOOKUP(A2694,Studies!A:BR,2,FALSE),"")</f>
        <v>Greiner 1999</v>
      </c>
      <c r="C2694" s="232" t="str">
        <f>IF(AND(A2694&lt;&gt;"",ISNUMBER(A2694)),VLOOKUP(A2694,Studies!A:BR,3,FALSE),"")</f>
        <v>https://www.ncbi.nlm.nih.gov/pubmed/10411543</v>
      </c>
      <c r="D2694" s="232" t="str">
        <f>IF(AND(A2694&lt;&gt;"",ISNUMBER(A2694)),VLOOKUP(A2694,Studies!A:BR,4,FALSE),"")</f>
        <v>iv with Perpetrator (Rifampicin)</v>
      </c>
      <c r="E2694" s="206" t="str">
        <f>IF(AND(A2694&lt;&gt;"",ISNUMBER(A2694)),VLOOKUP(A2694,Studies!A:BR,5,FALSE),"")</f>
        <v>Digoxin</v>
      </c>
      <c r="F2694" s="207" t="str">
        <f>IF(AND(A2694&lt;&gt;"",ISNUMBER(A2694)),VLOOKUP(A2694,Studies!A:BR,6,FALSE),"")</f>
        <v>Plasma</v>
      </c>
      <c r="G2694" s="194">
        <f>0.5+240+2</f>
        <v>242.5</v>
      </c>
      <c r="H2694" s="194" t="s">
        <v>60</v>
      </c>
      <c r="I2694" s="187">
        <v>3.2727270000000002</v>
      </c>
      <c r="J2694" s="187" t="s">
        <v>1090</v>
      </c>
      <c r="K2694" s="187" t="s">
        <v>116</v>
      </c>
      <c r="L2694" s="195"/>
      <c r="M2694" s="195"/>
      <c r="N2694" s="195"/>
      <c r="O2694" s="199">
        <v>0.1</v>
      </c>
      <c r="P2694" s="188"/>
      <c r="Q2694" s="174">
        <f>IF(ISNUMBER(VLOOKUP(A2694,NotghiID!A:A,1,FALSE)),1,0)</f>
        <v>1</v>
      </c>
    </row>
    <row r="2695" spans="1:17" ht="14.25" x14ac:dyDescent="0.2">
      <c r="A2695" s="189">
        <v>193</v>
      </c>
      <c r="B2695" s="232" t="str">
        <f>IF(AND(A2695&lt;&gt;"",ISNUMBER(A2695)),VLOOKUP(A2695,Studies!A:BR,2,FALSE),"")</f>
        <v>Greiner 1999</v>
      </c>
      <c r="C2695" s="232" t="str">
        <f>IF(AND(A2695&lt;&gt;"",ISNUMBER(A2695)),VLOOKUP(A2695,Studies!A:BR,3,FALSE),"")</f>
        <v>https://www.ncbi.nlm.nih.gov/pubmed/10411543</v>
      </c>
      <c r="D2695" s="232" t="str">
        <f>IF(AND(A2695&lt;&gt;"",ISNUMBER(A2695)),VLOOKUP(A2695,Studies!A:BR,4,FALSE),"")</f>
        <v>iv with Perpetrator (Rifampicin)</v>
      </c>
      <c r="E2695" s="206" t="str">
        <f>IF(AND(A2695&lt;&gt;"",ISNUMBER(A2695)),VLOOKUP(A2695,Studies!A:BR,5,FALSE),"")</f>
        <v>Digoxin</v>
      </c>
      <c r="F2695" s="207" t="str">
        <f>IF(AND(A2695&lt;&gt;"",ISNUMBER(A2695)),VLOOKUP(A2695,Studies!A:BR,6,FALSE),"")</f>
        <v>Plasma</v>
      </c>
      <c r="G2695" s="194">
        <f>0.5+240+3</f>
        <v>243.5</v>
      </c>
      <c r="H2695" s="194" t="s">
        <v>60</v>
      </c>
      <c r="I2695" s="187">
        <v>1.6969700000000001</v>
      </c>
      <c r="J2695" s="187" t="s">
        <v>1090</v>
      </c>
      <c r="K2695" s="187" t="s">
        <v>116</v>
      </c>
      <c r="L2695" s="195"/>
      <c r="M2695" s="195"/>
      <c r="N2695" s="195"/>
      <c r="O2695" s="199">
        <v>0.1</v>
      </c>
      <c r="P2695" s="188"/>
      <c r="Q2695" s="174">
        <f>IF(ISNUMBER(VLOOKUP(A2695,NotghiID!A:A,1,FALSE)),1,0)</f>
        <v>1</v>
      </c>
    </row>
    <row r="2696" spans="1:17" ht="14.25" x14ac:dyDescent="0.2">
      <c r="A2696" s="189">
        <v>193</v>
      </c>
      <c r="B2696" s="232" t="str">
        <f>IF(AND(A2696&lt;&gt;"",ISNUMBER(A2696)),VLOOKUP(A2696,Studies!A:BR,2,FALSE),"")</f>
        <v>Greiner 1999</v>
      </c>
      <c r="C2696" s="232" t="str">
        <f>IF(AND(A2696&lt;&gt;"",ISNUMBER(A2696)),VLOOKUP(A2696,Studies!A:BR,3,FALSE),"")</f>
        <v>https://www.ncbi.nlm.nih.gov/pubmed/10411543</v>
      </c>
      <c r="D2696" s="232" t="str">
        <f>IF(AND(A2696&lt;&gt;"",ISNUMBER(A2696)),VLOOKUP(A2696,Studies!A:BR,4,FALSE),"")</f>
        <v>iv with Perpetrator (Rifampicin)</v>
      </c>
      <c r="E2696" s="206" t="str">
        <f>IF(AND(A2696&lt;&gt;"",ISNUMBER(A2696)),VLOOKUP(A2696,Studies!A:BR,5,FALSE),"")</f>
        <v>Digoxin</v>
      </c>
      <c r="F2696" s="207" t="str">
        <f>IF(AND(A2696&lt;&gt;"",ISNUMBER(A2696)),VLOOKUP(A2696,Studies!A:BR,6,FALSE),"")</f>
        <v>Plasma</v>
      </c>
      <c r="G2696" s="194">
        <f>0.5+240+5</f>
        <v>245.5</v>
      </c>
      <c r="H2696" s="194" t="s">
        <v>60</v>
      </c>
      <c r="I2696" s="187">
        <v>0.96969700000000003</v>
      </c>
      <c r="J2696" s="187" t="s">
        <v>1090</v>
      </c>
      <c r="K2696" s="187" t="s">
        <v>116</v>
      </c>
      <c r="L2696" s="195"/>
      <c r="M2696" s="195"/>
      <c r="N2696" s="195"/>
      <c r="O2696" s="199">
        <v>0.1</v>
      </c>
      <c r="P2696" s="188"/>
      <c r="Q2696" s="174">
        <f>IF(ISNUMBER(VLOOKUP(A2696,NotghiID!A:A,1,FALSE)),1,0)</f>
        <v>1</v>
      </c>
    </row>
    <row r="2697" spans="1:17" ht="14.25" x14ac:dyDescent="0.2">
      <c r="A2697" s="189">
        <v>193</v>
      </c>
      <c r="B2697" s="232" t="str">
        <f>IF(AND(A2697&lt;&gt;"",ISNUMBER(A2697)),VLOOKUP(A2697,Studies!A:BR,2,FALSE),"")</f>
        <v>Greiner 1999</v>
      </c>
      <c r="C2697" s="232" t="str">
        <f>IF(AND(A2697&lt;&gt;"",ISNUMBER(A2697)),VLOOKUP(A2697,Studies!A:BR,3,FALSE),"")</f>
        <v>https://www.ncbi.nlm.nih.gov/pubmed/10411543</v>
      </c>
      <c r="D2697" s="232" t="str">
        <f>IF(AND(A2697&lt;&gt;"",ISNUMBER(A2697)),VLOOKUP(A2697,Studies!A:BR,4,FALSE),"")</f>
        <v>iv with Perpetrator (Rifampicin)</v>
      </c>
      <c r="E2697" s="206" t="str">
        <f>IF(AND(A2697&lt;&gt;"",ISNUMBER(A2697)),VLOOKUP(A2697,Studies!A:BR,5,FALSE),"")</f>
        <v>Digoxin</v>
      </c>
      <c r="F2697" s="207" t="str">
        <f>IF(AND(A2697&lt;&gt;"",ISNUMBER(A2697)),VLOOKUP(A2697,Studies!A:BR,6,FALSE),"")</f>
        <v>Plasma</v>
      </c>
      <c r="G2697" s="194">
        <f>0.5+240+7</f>
        <v>247.5</v>
      </c>
      <c r="H2697" s="194" t="s">
        <v>60</v>
      </c>
      <c r="I2697" s="187">
        <v>0.84848489999999999</v>
      </c>
      <c r="J2697" s="187" t="s">
        <v>1090</v>
      </c>
      <c r="K2697" s="187" t="s">
        <v>116</v>
      </c>
      <c r="L2697" s="195"/>
      <c r="M2697" s="195"/>
      <c r="N2697" s="195"/>
      <c r="O2697" s="199">
        <v>0.1</v>
      </c>
      <c r="P2697" s="188"/>
      <c r="Q2697" s="174">
        <f>IF(ISNUMBER(VLOOKUP(A2697,NotghiID!A:A,1,FALSE)),1,0)</f>
        <v>1</v>
      </c>
    </row>
    <row r="2698" spans="1:17" ht="14.25" x14ac:dyDescent="0.2">
      <c r="A2698" s="189">
        <v>423</v>
      </c>
      <c r="B2698" s="232" t="str">
        <f>IF(AND(A2698&lt;&gt;"",ISNUMBER(A2698)),VLOOKUP(A2698,Studies!A:BR,2,FALSE),"")</f>
        <v>Templeton 2010</v>
      </c>
      <c r="C2698" s="232" t="str">
        <f>IF(AND(A2698&lt;&gt;"",ISNUMBER(A2698)),VLOOKUP(A2698,Studies!A:BR,3,FALSE),"")</f>
        <v>https://www.ncbi.nlm.nih.gov/pubmed/20739919</v>
      </c>
      <c r="D2698" s="232" t="str">
        <f>IF(AND(A2698&lt;&gt;"",ISNUMBER(A2698)),VLOOKUP(A2698,Studies!A:BR,4,FALSE),"")</f>
        <v>Control (Perpetrator Placebo)</v>
      </c>
      <c r="E2698" s="206" t="str">
        <f>IF(AND(A2698&lt;&gt;"",ISNUMBER(A2698)),VLOOKUP(A2698,Studies!A:BR,5,FALSE),"")</f>
        <v>Midazolam</v>
      </c>
      <c r="F2698" s="207" t="str">
        <f>IF(AND(A2698&lt;&gt;"",ISNUMBER(A2698)),VLOOKUP(A2698,Studies!A:BR,6,FALSE),"")</f>
        <v>Plasma</v>
      </c>
      <c r="G2698" s="194">
        <v>0</v>
      </c>
      <c r="H2698" s="194" t="s">
        <v>60</v>
      </c>
      <c r="I2698" s="187" t="s">
        <v>1128</v>
      </c>
      <c r="J2698" s="187" t="s">
        <v>1129</v>
      </c>
      <c r="K2698" s="187" t="s">
        <v>116</v>
      </c>
      <c r="L2698" s="195"/>
      <c r="M2698" s="195"/>
      <c r="N2698" s="195"/>
      <c r="O2698" s="199">
        <v>1</v>
      </c>
      <c r="P2698" s="189" t="s">
        <v>1130</v>
      </c>
      <c r="Q2698" s="174">
        <f>IF(ISNUMBER(VLOOKUP(A2698,NotghiID!A:A,1,FALSE)),1,0)</f>
        <v>1</v>
      </c>
    </row>
    <row r="2699" spans="1:17" ht="14.25" x14ac:dyDescent="0.2">
      <c r="A2699" s="189">
        <v>423</v>
      </c>
      <c r="B2699" s="232" t="str">
        <f>IF(AND(A2699&lt;&gt;"",ISNUMBER(A2699)),VLOOKUP(A2699,Studies!A:BR,2,FALSE),"")</f>
        <v>Templeton 2010</v>
      </c>
      <c r="C2699" s="232" t="str">
        <f>IF(AND(A2699&lt;&gt;"",ISNUMBER(A2699)),VLOOKUP(A2699,Studies!A:BR,3,FALSE),"")</f>
        <v>https://www.ncbi.nlm.nih.gov/pubmed/20739919</v>
      </c>
      <c r="D2699" s="232" t="str">
        <f>IF(AND(A2699&lt;&gt;"",ISNUMBER(A2699)),VLOOKUP(A2699,Studies!A:BR,4,FALSE),"")</f>
        <v>Control (Perpetrator Placebo)</v>
      </c>
      <c r="E2699" s="206" t="str">
        <f>IF(AND(A2699&lt;&gt;"",ISNUMBER(A2699)),VLOOKUP(A2699,Studies!A:BR,5,FALSE),"")</f>
        <v>Midazolam</v>
      </c>
      <c r="F2699" s="207" t="str">
        <f>IF(AND(A2699&lt;&gt;"",ISNUMBER(A2699)),VLOOKUP(A2699,Studies!A:BR,6,FALSE),"")</f>
        <v>Plasma</v>
      </c>
      <c r="G2699" s="194">
        <v>0.5</v>
      </c>
      <c r="H2699" s="194" t="s">
        <v>60</v>
      </c>
      <c r="I2699" s="187">
        <v>19.918369999999999</v>
      </c>
      <c r="J2699" s="187" t="s">
        <v>1129</v>
      </c>
      <c r="K2699" s="187" t="s">
        <v>116</v>
      </c>
      <c r="L2699" s="195"/>
      <c r="M2699" s="195"/>
      <c r="N2699" s="195"/>
      <c r="O2699" s="199">
        <v>1</v>
      </c>
      <c r="P2699" s="188"/>
      <c r="Q2699" s="174">
        <f>IF(ISNUMBER(VLOOKUP(A2699,NotghiID!A:A,1,FALSE)),1,0)</f>
        <v>1</v>
      </c>
    </row>
    <row r="2700" spans="1:17" ht="14.25" x14ac:dyDescent="0.2">
      <c r="A2700" s="189">
        <v>423</v>
      </c>
      <c r="B2700" s="232" t="str">
        <f>IF(AND(A2700&lt;&gt;"",ISNUMBER(A2700)),VLOOKUP(A2700,Studies!A:BR,2,FALSE),"")</f>
        <v>Templeton 2010</v>
      </c>
      <c r="C2700" s="232" t="str">
        <f>IF(AND(A2700&lt;&gt;"",ISNUMBER(A2700)),VLOOKUP(A2700,Studies!A:BR,3,FALSE),"")</f>
        <v>https://www.ncbi.nlm.nih.gov/pubmed/20739919</v>
      </c>
      <c r="D2700" s="232" t="str">
        <f>IF(AND(A2700&lt;&gt;"",ISNUMBER(A2700)),VLOOKUP(A2700,Studies!A:BR,4,FALSE),"")</f>
        <v>Control (Perpetrator Placebo)</v>
      </c>
      <c r="E2700" s="206" t="str">
        <f>IF(AND(A2700&lt;&gt;"",ISNUMBER(A2700)),VLOOKUP(A2700,Studies!A:BR,5,FALSE),"")</f>
        <v>Midazolam</v>
      </c>
      <c r="F2700" s="207" t="str">
        <f>IF(AND(A2700&lt;&gt;"",ISNUMBER(A2700)),VLOOKUP(A2700,Studies!A:BR,6,FALSE),"")</f>
        <v>Plasma</v>
      </c>
      <c r="G2700" s="194">
        <v>1</v>
      </c>
      <c r="H2700" s="194" t="s">
        <v>60</v>
      </c>
      <c r="I2700" s="187">
        <v>16.979590000000002</v>
      </c>
      <c r="J2700" s="187" t="s">
        <v>1129</v>
      </c>
      <c r="K2700" s="187" t="s">
        <v>116</v>
      </c>
      <c r="L2700" s="195"/>
      <c r="M2700" s="195"/>
      <c r="N2700" s="195"/>
      <c r="O2700" s="199">
        <v>1</v>
      </c>
      <c r="P2700" s="188"/>
      <c r="Q2700" s="174">
        <f>IF(ISNUMBER(VLOOKUP(A2700,NotghiID!A:A,1,FALSE)),1,0)</f>
        <v>1</v>
      </c>
    </row>
    <row r="2701" spans="1:17" ht="14.25" x14ac:dyDescent="0.2">
      <c r="A2701" s="189">
        <v>423</v>
      </c>
      <c r="B2701" s="232" t="str">
        <f>IF(AND(A2701&lt;&gt;"",ISNUMBER(A2701)),VLOOKUP(A2701,Studies!A:BR,2,FALSE),"")</f>
        <v>Templeton 2010</v>
      </c>
      <c r="C2701" s="232" t="str">
        <f>IF(AND(A2701&lt;&gt;"",ISNUMBER(A2701)),VLOOKUP(A2701,Studies!A:BR,3,FALSE),"")</f>
        <v>https://www.ncbi.nlm.nih.gov/pubmed/20739919</v>
      </c>
      <c r="D2701" s="232" t="str">
        <f>IF(AND(A2701&lt;&gt;"",ISNUMBER(A2701)),VLOOKUP(A2701,Studies!A:BR,4,FALSE),"")</f>
        <v>Control (Perpetrator Placebo)</v>
      </c>
      <c r="E2701" s="206" t="str">
        <f>IF(AND(A2701&lt;&gt;"",ISNUMBER(A2701)),VLOOKUP(A2701,Studies!A:BR,5,FALSE),"")</f>
        <v>Midazolam</v>
      </c>
      <c r="F2701" s="207" t="str">
        <f>IF(AND(A2701&lt;&gt;"",ISNUMBER(A2701)),VLOOKUP(A2701,Studies!A:BR,6,FALSE),"")</f>
        <v>Plasma</v>
      </c>
      <c r="G2701" s="194">
        <v>2</v>
      </c>
      <c r="H2701" s="194" t="s">
        <v>60</v>
      </c>
      <c r="I2701" s="187">
        <v>10.775510000000001</v>
      </c>
      <c r="J2701" s="187" t="s">
        <v>1129</v>
      </c>
      <c r="K2701" s="187" t="s">
        <v>116</v>
      </c>
      <c r="L2701" s="195"/>
      <c r="M2701" s="195"/>
      <c r="N2701" s="195"/>
      <c r="O2701" s="199">
        <v>1</v>
      </c>
      <c r="P2701" s="188"/>
      <c r="Q2701" s="174">
        <f>IF(ISNUMBER(VLOOKUP(A2701,NotghiID!A:A,1,FALSE)),1,0)</f>
        <v>1</v>
      </c>
    </row>
    <row r="2702" spans="1:17" ht="14.25" x14ac:dyDescent="0.2">
      <c r="A2702" s="189">
        <v>423</v>
      </c>
      <c r="B2702" s="232" t="str">
        <f>IF(AND(A2702&lt;&gt;"",ISNUMBER(A2702)),VLOOKUP(A2702,Studies!A:BR,2,FALSE),"")</f>
        <v>Templeton 2010</v>
      </c>
      <c r="C2702" s="232" t="str">
        <f>IF(AND(A2702&lt;&gt;"",ISNUMBER(A2702)),VLOOKUP(A2702,Studies!A:BR,3,FALSE),"")</f>
        <v>https://www.ncbi.nlm.nih.gov/pubmed/20739919</v>
      </c>
      <c r="D2702" s="232" t="str">
        <f>IF(AND(A2702&lt;&gt;"",ISNUMBER(A2702)),VLOOKUP(A2702,Studies!A:BR,4,FALSE),"")</f>
        <v>Control (Perpetrator Placebo)</v>
      </c>
      <c r="E2702" s="206" t="str">
        <f>IF(AND(A2702&lt;&gt;"",ISNUMBER(A2702)),VLOOKUP(A2702,Studies!A:BR,5,FALSE),"")</f>
        <v>Midazolam</v>
      </c>
      <c r="F2702" s="207" t="str">
        <f>IF(AND(A2702&lt;&gt;"",ISNUMBER(A2702)),VLOOKUP(A2702,Studies!A:BR,6,FALSE),"")</f>
        <v>Plasma</v>
      </c>
      <c r="G2702" s="194">
        <v>3</v>
      </c>
      <c r="H2702" s="194" t="s">
        <v>60</v>
      </c>
      <c r="I2702" s="187">
        <v>6.3673469999999996</v>
      </c>
      <c r="J2702" s="187" t="s">
        <v>1129</v>
      </c>
      <c r="K2702" s="187" t="s">
        <v>116</v>
      </c>
      <c r="L2702" s="195"/>
      <c r="M2702" s="195"/>
      <c r="N2702" s="195"/>
      <c r="O2702" s="199">
        <v>1</v>
      </c>
      <c r="P2702" s="188"/>
      <c r="Q2702" s="174">
        <f>IF(ISNUMBER(VLOOKUP(A2702,NotghiID!A:A,1,FALSE)),1,0)</f>
        <v>1</v>
      </c>
    </row>
    <row r="2703" spans="1:17" ht="14.25" x14ac:dyDescent="0.2">
      <c r="A2703" s="189">
        <v>423</v>
      </c>
      <c r="B2703" s="232" t="str">
        <f>IF(AND(A2703&lt;&gt;"",ISNUMBER(A2703)),VLOOKUP(A2703,Studies!A:BR,2,FALSE),"")</f>
        <v>Templeton 2010</v>
      </c>
      <c r="C2703" s="232" t="str">
        <f>IF(AND(A2703&lt;&gt;"",ISNUMBER(A2703)),VLOOKUP(A2703,Studies!A:BR,3,FALSE),"")</f>
        <v>https://www.ncbi.nlm.nih.gov/pubmed/20739919</v>
      </c>
      <c r="D2703" s="232" t="str">
        <f>IF(AND(A2703&lt;&gt;"",ISNUMBER(A2703)),VLOOKUP(A2703,Studies!A:BR,4,FALSE),"")</f>
        <v>Control (Perpetrator Placebo)</v>
      </c>
      <c r="E2703" s="206" t="str">
        <f>IF(AND(A2703&lt;&gt;"",ISNUMBER(A2703)),VLOOKUP(A2703,Studies!A:BR,5,FALSE),"")</f>
        <v>Midazolam</v>
      </c>
      <c r="F2703" s="207" t="str">
        <f>IF(AND(A2703&lt;&gt;"",ISNUMBER(A2703)),VLOOKUP(A2703,Studies!A:BR,6,FALSE),"")</f>
        <v>Plasma</v>
      </c>
      <c r="G2703" s="194">
        <v>4</v>
      </c>
      <c r="H2703" s="194" t="s">
        <v>60</v>
      </c>
      <c r="I2703" s="187">
        <v>4.0816330000000001</v>
      </c>
      <c r="J2703" s="187" t="s">
        <v>1129</v>
      </c>
      <c r="K2703" s="187" t="s">
        <v>116</v>
      </c>
      <c r="L2703" s="195"/>
      <c r="M2703" s="195"/>
      <c r="N2703" s="195"/>
      <c r="O2703" s="199">
        <v>1</v>
      </c>
      <c r="P2703" s="188"/>
      <c r="Q2703" s="174">
        <f>IF(ISNUMBER(VLOOKUP(A2703,NotghiID!A:A,1,FALSE)),1,0)</f>
        <v>1</v>
      </c>
    </row>
    <row r="2704" spans="1:17" ht="14.25" x14ac:dyDescent="0.2">
      <c r="A2704" s="189">
        <v>423</v>
      </c>
      <c r="B2704" s="232" t="str">
        <f>IF(AND(A2704&lt;&gt;"",ISNUMBER(A2704)),VLOOKUP(A2704,Studies!A:BR,2,FALSE),"")</f>
        <v>Templeton 2010</v>
      </c>
      <c r="C2704" s="232" t="str">
        <f>IF(AND(A2704&lt;&gt;"",ISNUMBER(A2704)),VLOOKUP(A2704,Studies!A:BR,3,FALSE),"")</f>
        <v>https://www.ncbi.nlm.nih.gov/pubmed/20739919</v>
      </c>
      <c r="D2704" s="232" t="str">
        <f>IF(AND(A2704&lt;&gt;"",ISNUMBER(A2704)),VLOOKUP(A2704,Studies!A:BR,4,FALSE),"")</f>
        <v>Control (Perpetrator Placebo)</v>
      </c>
      <c r="E2704" s="206" t="str">
        <f>IF(AND(A2704&lt;&gt;"",ISNUMBER(A2704)),VLOOKUP(A2704,Studies!A:BR,5,FALSE),"")</f>
        <v>Midazolam</v>
      </c>
      <c r="F2704" s="207" t="str">
        <f>IF(AND(A2704&lt;&gt;"",ISNUMBER(A2704)),VLOOKUP(A2704,Studies!A:BR,6,FALSE),"")</f>
        <v>Plasma</v>
      </c>
      <c r="G2704" s="194">
        <v>6</v>
      </c>
      <c r="H2704" s="194" t="s">
        <v>60</v>
      </c>
      <c r="I2704" s="187">
        <v>2.6122450000000002</v>
      </c>
      <c r="J2704" s="187" t="s">
        <v>1129</v>
      </c>
      <c r="K2704" s="187" t="s">
        <v>116</v>
      </c>
      <c r="L2704" s="195"/>
      <c r="M2704" s="195"/>
      <c r="N2704" s="195"/>
      <c r="O2704" s="199">
        <v>1</v>
      </c>
      <c r="P2704" s="188"/>
      <c r="Q2704" s="174">
        <f>IF(ISNUMBER(VLOOKUP(A2704,NotghiID!A:A,1,FALSE)),1,0)</f>
        <v>1</v>
      </c>
    </row>
    <row r="2705" spans="1:17" ht="14.25" x14ac:dyDescent="0.2">
      <c r="A2705" s="189">
        <v>423</v>
      </c>
      <c r="B2705" s="232" t="str">
        <f>IF(AND(A2705&lt;&gt;"",ISNUMBER(A2705)),VLOOKUP(A2705,Studies!A:BR,2,FALSE),"")</f>
        <v>Templeton 2010</v>
      </c>
      <c r="C2705" s="232" t="str">
        <f>IF(AND(A2705&lt;&gt;"",ISNUMBER(A2705)),VLOOKUP(A2705,Studies!A:BR,3,FALSE),"")</f>
        <v>https://www.ncbi.nlm.nih.gov/pubmed/20739919</v>
      </c>
      <c r="D2705" s="232" t="str">
        <f>IF(AND(A2705&lt;&gt;"",ISNUMBER(A2705)),VLOOKUP(A2705,Studies!A:BR,4,FALSE),"")</f>
        <v>Control (Perpetrator Placebo)</v>
      </c>
      <c r="E2705" s="206" t="str">
        <f>IF(AND(A2705&lt;&gt;"",ISNUMBER(A2705)),VLOOKUP(A2705,Studies!A:BR,5,FALSE),"")</f>
        <v>Midazolam</v>
      </c>
      <c r="F2705" s="207" t="str">
        <f>IF(AND(A2705&lt;&gt;"",ISNUMBER(A2705)),VLOOKUP(A2705,Studies!A:BR,6,FALSE),"")</f>
        <v>Plasma</v>
      </c>
      <c r="G2705" s="194">
        <v>8</v>
      </c>
      <c r="H2705" s="194" t="s">
        <v>60</v>
      </c>
      <c r="I2705" s="187">
        <v>1.306122</v>
      </c>
      <c r="J2705" s="187" t="s">
        <v>1129</v>
      </c>
      <c r="K2705" s="187" t="s">
        <v>116</v>
      </c>
      <c r="L2705" s="195"/>
      <c r="M2705" s="195"/>
      <c r="N2705" s="195"/>
      <c r="O2705" s="199">
        <v>1</v>
      </c>
      <c r="P2705" s="188" t="s">
        <v>1131</v>
      </c>
      <c r="Q2705" s="174">
        <f>IF(ISNUMBER(VLOOKUP(A2705,NotghiID!A:A,1,FALSE)),1,0)</f>
        <v>1</v>
      </c>
    </row>
    <row r="2706" spans="1:17" ht="14.25" x14ac:dyDescent="0.2">
      <c r="A2706" s="189">
        <v>423</v>
      </c>
      <c r="B2706" s="232" t="str">
        <f>IF(AND(A2706&lt;&gt;"",ISNUMBER(A2706)),VLOOKUP(A2706,Studies!A:BR,2,FALSE),"")</f>
        <v>Templeton 2010</v>
      </c>
      <c r="C2706" s="232" t="str">
        <f>IF(AND(A2706&lt;&gt;"",ISNUMBER(A2706)),VLOOKUP(A2706,Studies!A:BR,3,FALSE),"")</f>
        <v>https://www.ncbi.nlm.nih.gov/pubmed/20739919</v>
      </c>
      <c r="D2706" s="232" t="str">
        <f>IF(AND(A2706&lt;&gt;"",ISNUMBER(A2706)),VLOOKUP(A2706,Studies!A:BR,4,FALSE),"")</f>
        <v>Control (Perpetrator Placebo)</v>
      </c>
      <c r="E2706" s="206" t="str">
        <f>IF(AND(A2706&lt;&gt;"",ISNUMBER(A2706)),VLOOKUP(A2706,Studies!A:BR,5,FALSE),"")</f>
        <v>Midazolam</v>
      </c>
      <c r="F2706" s="207" t="str">
        <f>IF(AND(A2706&lt;&gt;"",ISNUMBER(A2706)),VLOOKUP(A2706,Studies!A:BR,6,FALSE),"")</f>
        <v>Plasma</v>
      </c>
      <c r="G2706" s="189">
        <v>12</v>
      </c>
      <c r="H2706" s="194" t="s">
        <v>60</v>
      </c>
      <c r="I2706" s="187">
        <v>1.142857</v>
      </c>
      <c r="J2706" s="187" t="s">
        <v>1129</v>
      </c>
      <c r="K2706" s="187" t="s">
        <v>116</v>
      </c>
      <c r="L2706" s="195"/>
      <c r="M2706" s="195"/>
      <c r="N2706" s="195"/>
      <c r="O2706" s="199">
        <v>1</v>
      </c>
      <c r="P2706" s="189" t="s">
        <v>1132</v>
      </c>
      <c r="Q2706" s="174">
        <f>IF(ISNUMBER(VLOOKUP(A2706,NotghiID!A:A,1,FALSE)),1,0)</f>
        <v>1</v>
      </c>
    </row>
    <row r="2707" spans="1:17" ht="14.25" x14ac:dyDescent="0.2">
      <c r="A2707" s="189">
        <v>423</v>
      </c>
      <c r="B2707" s="232" t="str">
        <f>IF(AND(A2707&lt;&gt;"",ISNUMBER(A2707)),VLOOKUP(A2707,Studies!A:BR,2,FALSE),"")</f>
        <v>Templeton 2010</v>
      </c>
      <c r="C2707" s="232" t="str">
        <f>IF(AND(A2707&lt;&gt;"",ISNUMBER(A2707)),VLOOKUP(A2707,Studies!A:BR,3,FALSE),"")</f>
        <v>https://www.ncbi.nlm.nih.gov/pubmed/20739919</v>
      </c>
      <c r="D2707" s="232" t="str">
        <f>IF(AND(A2707&lt;&gt;"",ISNUMBER(A2707)),VLOOKUP(A2707,Studies!A:BR,4,FALSE),"")</f>
        <v>Control (Perpetrator Placebo)</v>
      </c>
      <c r="E2707" s="206" t="str">
        <f>IF(AND(A2707&lt;&gt;"",ISNUMBER(A2707)),VLOOKUP(A2707,Studies!A:BR,5,FALSE),"")</f>
        <v>Midazolam</v>
      </c>
      <c r="F2707" s="207" t="str">
        <f>IF(AND(A2707&lt;&gt;"",ISNUMBER(A2707)),VLOOKUP(A2707,Studies!A:BR,6,FALSE),"")</f>
        <v>Plasma</v>
      </c>
      <c r="G2707" s="194">
        <v>20</v>
      </c>
      <c r="H2707" s="194" t="s">
        <v>60</v>
      </c>
      <c r="I2707" s="187">
        <v>0.1632653</v>
      </c>
      <c r="J2707" s="187" t="s">
        <v>1129</v>
      </c>
      <c r="K2707" s="187" t="s">
        <v>116</v>
      </c>
      <c r="L2707" s="195"/>
      <c r="M2707" s="195"/>
      <c r="N2707" s="195"/>
      <c r="O2707" s="199">
        <v>1</v>
      </c>
      <c r="P2707" s="188"/>
      <c r="Q2707" s="174">
        <f>IF(ISNUMBER(VLOOKUP(A2707,NotghiID!A:A,1,FALSE)),1,0)</f>
        <v>1</v>
      </c>
    </row>
    <row r="2708" spans="1:17" ht="14.25" x14ac:dyDescent="0.2">
      <c r="A2708" s="189">
        <v>424</v>
      </c>
      <c r="B2708" s="232" t="str">
        <f>IF(AND(A2708&lt;&gt;"",ISNUMBER(A2708)),VLOOKUP(A2708,Studies!A:BR,2,FALSE),"")</f>
        <v>Templeton 2010</v>
      </c>
      <c r="C2708" s="232" t="str">
        <f>IF(AND(A2708&lt;&gt;"",ISNUMBER(A2708)),VLOOKUP(A2708,Studies!A:BR,3,FALSE),"")</f>
        <v>https://www.ncbi.nlm.nih.gov/pubmed/20739919</v>
      </c>
      <c r="D2708" s="232" t="str">
        <f>IF(AND(A2708&lt;&gt;"",ISNUMBER(A2708)),VLOOKUP(A2708,Studies!A:BR,4,FALSE),"")</f>
        <v>with Perpetrator (Itraconazole @ 50 mg)</v>
      </c>
      <c r="E2708" s="206" t="str">
        <f>IF(AND(A2708&lt;&gt;"",ISNUMBER(A2708)),VLOOKUP(A2708,Studies!A:BR,5,FALSE),"")</f>
        <v>Midazolam</v>
      </c>
      <c r="F2708" s="207" t="str">
        <f>IF(AND(A2708&lt;&gt;"",ISNUMBER(A2708)),VLOOKUP(A2708,Studies!A:BR,6,FALSE),"")</f>
        <v>Plasma</v>
      </c>
      <c r="G2708" s="194">
        <v>4</v>
      </c>
      <c r="H2708" s="194" t="s">
        <v>60</v>
      </c>
      <c r="I2708" s="187" t="s">
        <v>1128</v>
      </c>
      <c r="J2708" s="187" t="s">
        <v>1129</v>
      </c>
      <c r="K2708" s="187" t="s">
        <v>116</v>
      </c>
      <c r="L2708" s="195"/>
      <c r="M2708" s="195"/>
      <c r="N2708" s="195"/>
      <c r="O2708" s="199">
        <v>1</v>
      </c>
      <c r="P2708" s="188" t="s">
        <v>1133</v>
      </c>
      <c r="Q2708" s="174">
        <f>IF(ISNUMBER(VLOOKUP(A2708,NotghiID!A:A,1,FALSE)),1,0)</f>
        <v>1</v>
      </c>
    </row>
    <row r="2709" spans="1:17" ht="14.25" x14ac:dyDescent="0.2">
      <c r="A2709" s="189">
        <v>424</v>
      </c>
      <c r="B2709" s="232" t="str">
        <f>IF(AND(A2709&lt;&gt;"",ISNUMBER(A2709)),VLOOKUP(A2709,Studies!A:BR,2,FALSE),"")</f>
        <v>Templeton 2010</v>
      </c>
      <c r="C2709" s="232" t="str">
        <f>IF(AND(A2709&lt;&gt;"",ISNUMBER(A2709)),VLOOKUP(A2709,Studies!A:BR,3,FALSE),"")</f>
        <v>https://www.ncbi.nlm.nih.gov/pubmed/20739919</v>
      </c>
      <c r="D2709" s="232" t="str">
        <f>IF(AND(A2709&lt;&gt;"",ISNUMBER(A2709)),VLOOKUP(A2709,Studies!A:BR,4,FALSE),"")</f>
        <v>with Perpetrator (Itraconazole @ 50 mg)</v>
      </c>
      <c r="E2709" s="206" t="str">
        <f>IF(AND(A2709&lt;&gt;"",ISNUMBER(A2709)),VLOOKUP(A2709,Studies!A:BR,5,FALSE),"")</f>
        <v>Midazolam</v>
      </c>
      <c r="F2709" s="207" t="str">
        <f>IF(AND(A2709&lt;&gt;"",ISNUMBER(A2709)),VLOOKUP(A2709,Studies!A:BR,6,FALSE),"")</f>
        <v>Plasma</v>
      </c>
      <c r="G2709" s="194">
        <v>4.5</v>
      </c>
      <c r="H2709" s="194" t="s">
        <v>60</v>
      </c>
      <c r="I2709" s="187">
        <v>29.551020000000001</v>
      </c>
      <c r="J2709" s="187" t="s">
        <v>1129</v>
      </c>
      <c r="K2709" s="187" t="s">
        <v>116</v>
      </c>
      <c r="L2709" s="195"/>
      <c r="M2709" s="195"/>
      <c r="N2709" s="195"/>
      <c r="O2709" s="199">
        <v>1</v>
      </c>
      <c r="P2709" s="188" t="s">
        <v>1134</v>
      </c>
      <c r="Q2709" s="174">
        <f>IF(ISNUMBER(VLOOKUP(A2709,NotghiID!A:A,1,FALSE)),1,0)</f>
        <v>1</v>
      </c>
    </row>
    <row r="2710" spans="1:17" ht="14.25" x14ac:dyDescent="0.2">
      <c r="A2710" s="189">
        <v>424</v>
      </c>
      <c r="B2710" s="232" t="str">
        <f>IF(AND(A2710&lt;&gt;"",ISNUMBER(A2710)),VLOOKUP(A2710,Studies!A:BR,2,FALSE),"")</f>
        <v>Templeton 2010</v>
      </c>
      <c r="C2710" s="232" t="str">
        <f>IF(AND(A2710&lt;&gt;"",ISNUMBER(A2710)),VLOOKUP(A2710,Studies!A:BR,3,FALSE),"")</f>
        <v>https://www.ncbi.nlm.nih.gov/pubmed/20739919</v>
      </c>
      <c r="D2710" s="232" t="str">
        <f>IF(AND(A2710&lt;&gt;"",ISNUMBER(A2710)),VLOOKUP(A2710,Studies!A:BR,4,FALSE),"")</f>
        <v>with Perpetrator (Itraconazole @ 50 mg)</v>
      </c>
      <c r="E2710" s="206" t="str">
        <f>IF(AND(A2710&lt;&gt;"",ISNUMBER(A2710)),VLOOKUP(A2710,Studies!A:BR,5,FALSE),"")</f>
        <v>Midazolam</v>
      </c>
      <c r="F2710" s="207" t="str">
        <f>IF(AND(A2710&lt;&gt;"",ISNUMBER(A2710)),VLOOKUP(A2710,Studies!A:BR,6,FALSE),"")</f>
        <v>Plasma</v>
      </c>
      <c r="G2710" s="194">
        <v>5</v>
      </c>
      <c r="H2710" s="194" t="s">
        <v>60</v>
      </c>
      <c r="I2710" s="187">
        <v>29.877549999999999</v>
      </c>
      <c r="J2710" s="187" t="s">
        <v>1129</v>
      </c>
      <c r="K2710" s="187" t="s">
        <v>116</v>
      </c>
      <c r="L2710" s="195"/>
      <c r="M2710" s="195"/>
      <c r="N2710" s="195"/>
      <c r="O2710" s="199">
        <v>1</v>
      </c>
      <c r="P2710" s="188" t="s">
        <v>1135</v>
      </c>
      <c r="Q2710" s="174">
        <f>IF(ISNUMBER(VLOOKUP(A2710,NotghiID!A:A,1,FALSE)),1,0)</f>
        <v>1</v>
      </c>
    </row>
    <row r="2711" spans="1:17" ht="14.25" x14ac:dyDescent="0.2">
      <c r="A2711" s="189">
        <v>424</v>
      </c>
      <c r="B2711" s="232" t="str">
        <f>IF(AND(A2711&lt;&gt;"",ISNUMBER(A2711)),VLOOKUP(A2711,Studies!A:BR,2,FALSE),"")</f>
        <v>Templeton 2010</v>
      </c>
      <c r="C2711" s="232" t="str">
        <f>IF(AND(A2711&lt;&gt;"",ISNUMBER(A2711)),VLOOKUP(A2711,Studies!A:BR,3,FALSE),"")</f>
        <v>https://www.ncbi.nlm.nih.gov/pubmed/20739919</v>
      </c>
      <c r="D2711" s="232" t="str">
        <f>IF(AND(A2711&lt;&gt;"",ISNUMBER(A2711)),VLOOKUP(A2711,Studies!A:BR,4,FALSE),"")</f>
        <v>with Perpetrator (Itraconazole @ 50 mg)</v>
      </c>
      <c r="E2711" s="206" t="str">
        <f>IF(AND(A2711&lt;&gt;"",ISNUMBER(A2711)),VLOOKUP(A2711,Studies!A:BR,5,FALSE),"")</f>
        <v>Midazolam</v>
      </c>
      <c r="F2711" s="207" t="str">
        <f>IF(AND(A2711&lt;&gt;"",ISNUMBER(A2711)),VLOOKUP(A2711,Studies!A:BR,6,FALSE),"")</f>
        <v>Plasma</v>
      </c>
      <c r="G2711" s="194">
        <v>6</v>
      </c>
      <c r="H2711" s="194" t="s">
        <v>60</v>
      </c>
      <c r="I2711" s="187">
        <v>21.061219999999999</v>
      </c>
      <c r="J2711" s="187" t="s">
        <v>1129</v>
      </c>
      <c r="K2711" s="187" t="s">
        <v>116</v>
      </c>
      <c r="L2711" s="195"/>
      <c r="M2711" s="195"/>
      <c r="N2711" s="195"/>
      <c r="O2711" s="199">
        <v>1</v>
      </c>
      <c r="P2711" s="188" t="s">
        <v>1136</v>
      </c>
      <c r="Q2711" s="174">
        <f>IF(ISNUMBER(VLOOKUP(A2711,NotghiID!A:A,1,FALSE)),1,0)</f>
        <v>1</v>
      </c>
    </row>
    <row r="2712" spans="1:17" ht="14.25" x14ac:dyDescent="0.2">
      <c r="A2712" s="189">
        <v>424</v>
      </c>
      <c r="B2712" s="232" t="str">
        <f>IF(AND(A2712&lt;&gt;"",ISNUMBER(A2712)),VLOOKUP(A2712,Studies!A:BR,2,FALSE),"")</f>
        <v>Templeton 2010</v>
      </c>
      <c r="C2712" s="232" t="str">
        <f>IF(AND(A2712&lt;&gt;"",ISNUMBER(A2712)),VLOOKUP(A2712,Studies!A:BR,3,FALSE),"")</f>
        <v>https://www.ncbi.nlm.nih.gov/pubmed/20739919</v>
      </c>
      <c r="D2712" s="232" t="str">
        <f>IF(AND(A2712&lt;&gt;"",ISNUMBER(A2712)),VLOOKUP(A2712,Studies!A:BR,4,FALSE),"")</f>
        <v>with Perpetrator (Itraconazole @ 50 mg)</v>
      </c>
      <c r="E2712" s="206" t="str">
        <f>IF(AND(A2712&lt;&gt;"",ISNUMBER(A2712)),VLOOKUP(A2712,Studies!A:BR,5,FALSE),"")</f>
        <v>Midazolam</v>
      </c>
      <c r="F2712" s="207" t="str">
        <f>IF(AND(A2712&lt;&gt;"",ISNUMBER(A2712)),VLOOKUP(A2712,Studies!A:BR,6,FALSE),"")</f>
        <v>Plasma</v>
      </c>
      <c r="G2712" s="194">
        <v>7</v>
      </c>
      <c r="H2712" s="194" t="s">
        <v>60</v>
      </c>
      <c r="I2712" s="187">
        <v>12.244899999999999</v>
      </c>
      <c r="J2712" s="187" t="s">
        <v>1129</v>
      </c>
      <c r="K2712" s="187" t="s">
        <v>116</v>
      </c>
      <c r="L2712" s="195"/>
      <c r="M2712" s="195"/>
      <c r="N2712" s="195"/>
      <c r="O2712" s="199">
        <v>1</v>
      </c>
      <c r="P2712" s="188" t="s">
        <v>1137</v>
      </c>
      <c r="Q2712" s="174">
        <f>IF(ISNUMBER(VLOOKUP(A2712,NotghiID!A:A,1,FALSE)),1,0)</f>
        <v>1</v>
      </c>
    </row>
    <row r="2713" spans="1:17" ht="14.25" x14ac:dyDescent="0.2">
      <c r="A2713" s="189">
        <v>424</v>
      </c>
      <c r="B2713" s="232" t="str">
        <f>IF(AND(A2713&lt;&gt;"",ISNUMBER(A2713)),VLOOKUP(A2713,Studies!A:BR,2,FALSE),"")</f>
        <v>Templeton 2010</v>
      </c>
      <c r="C2713" s="232" t="str">
        <f>IF(AND(A2713&lt;&gt;"",ISNUMBER(A2713)),VLOOKUP(A2713,Studies!A:BR,3,FALSE),"")</f>
        <v>https://www.ncbi.nlm.nih.gov/pubmed/20739919</v>
      </c>
      <c r="D2713" s="232" t="str">
        <f>IF(AND(A2713&lt;&gt;"",ISNUMBER(A2713)),VLOOKUP(A2713,Studies!A:BR,4,FALSE),"")</f>
        <v>with Perpetrator (Itraconazole @ 50 mg)</v>
      </c>
      <c r="E2713" s="206" t="str">
        <f>IF(AND(A2713&lt;&gt;"",ISNUMBER(A2713)),VLOOKUP(A2713,Studies!A:BR,5,FALSE),"")</f>
        <v>Midazolam</v>
      </c>
      <c r="F2713" s="207" t="str">
        <f>IF(AND(A2713&lt;&gt;"",ISNUMBER(A2713)),VLOOKUP(A2713,Studies!A:BR,6,FALSE),"")</f>
        <v>Plasma</v>
      </c>
      <c r="G2713" s="194">
        <v>8</v>
      </c>
      <c r="H2713" s="194" t="s">
        <v>60</v>
      </c>
      <c r="I2713" s="187">
        <v>8.6530609999999992</v>
      </c>
      <c r="J2713" s="187" t="s">
        <v>1129</v>
      </c>
      <c r="K2713" s="187" t="s">
        <v>116</v>
      </c>
      <c r="L2713" s="195"/>
      <c r="M2713" s="195"/>
      <c r="N2713" s="195"/>
      <c r="O2713" s="199">
        <v>1</v>
      </c>
      <c r="P2713" s="188" t="s">
        <v>1138</v>
      </c>
      <c r="Q2713" s="174">
        <f>IF(ISNUMBER(VLOOKUP(A2713,NotghiID!A:A,1,FALSE)),1,0)</f>
        <v>1</v>
      </c>
    </row>
    <row r="2714" spans="1:17" ht="14.25" x14ac:dyDescent="0.2">
      <c r="A2714" s="189">
        <v>424</v>
      </c>
      <c r="B2714" s="232" t="str">
        <f>IF(AND(A2714&lt;&gt;"",ISNUMBER(A2714)),VLOOKUP(A2714,Studies!A:BR,2,FALSE),"")</f>
        <v>Templeton 2010</v>
      </c>
      <c r="C2714" s="232" t="str">
        <f>IF(AND(A2714&lt;&gt;"",ISNUMBER(A2714)),VLOOKUP(A2714,Studies!A:BR,3,FALSE),"")</f>
        <v>https://www.ncbi.nlm.nih.gov/pubmed/20739919</v>
      </c>
      <c r="D2714" s="232" t="str">
        <f>IF(AND(A2714&lt;&gt;"",ISNUMBER(A2714)),VLOOKUP(A2714,Studies!A:BR,4,FALSE),"")</f>
        <v>with Perpetrator (Itraconazole @ 50 mg)</v>
      </c>
      <c r="E2714" s="206" t="str">
        <f>IF(AND(A2714&lt;&gt;"",ISNUMBER(A2714)),VLOOKUP(A2714,Studies!A:BR,5,FALSE),"")</f>
        <v>Midazolam</v>
      </c>
      <c r="F2714" s="207" t="str">
        <f>IF(AND(A2714&lt;&gt;"",ISNUMBER(A2714)),VLOOKUP(A2714,Studies!A:BR,6,FALSE),"")</f>
        <v>Plasma</v>
      </c>
      <c r="G2714" s="194">
        <v>10</v>
      </c>
      <c r="H2714" s="194" t="s">
        <v>60</v>
      </c>
      <c r="I2714" s="187">
        <v>5.5510210000000004</v>
      </c>
      <c r="J2714" s="187" t="s">
        <v>1129</v>
      </c>
      <c r="K2714" s="187" t="s">
        <v>116</v>
      </c>
      <c r="L2714" s="195"/>
      <c r="M2714" s="195"/>
      <c r="N2714" s="195"/>
      <c r="O2714" s="199">
        <v>1</v>
      </c>
      <c r="P2714" s="188" t="s">
        <v>1139</v>
      </c>
      <c r="Q2714" s="174">
        <f>IF(ISNUMBER(VLOOKUP(A2714,NotghiID!A:A,1,FALSE)),1,0)</f>
        <v>1</v>
      </c>
    </row>
    <row r="2715" spans="1:17" ht="14.25" x14ac:dyDescent="0.2">
      <c r="A2715" s="189">
        <v>424</v>
      </c>
      <c r="B2715" s="232" t="str">
        <f>IF(AND(A2715&lt;&gt;"",ISNUMBER(A2715)),VLOOKUP(A2715,Studies!A:BR,2,FALSE),"")</f>
        <v>Templeton 2010</v>
      </c>
      <c r="C2715" s="232" t="str">
        <f>IF(AND(A2715&lt;&gt;"",ISNUMBER(A2715)),VLOOKUP(A2715,Studies!A:BR,3,FALSE),"")</f>
        <v>https://www.ncbi.nlm.nih.gov/pubmed/20739919</v>
      </c>
      <c r="D2715" s="232" t="str">
        <f>IF(AND(A2715&lt;&gt;"",ISNUMBER(A2715)),VLOOKUP(A2715,Studies!A:BR,4,FALSE),"")</f>
        <v>with Perpetrator (Itraconazole @ 50 mg)</v>
      </c>
      <c r="E2715" s="206" t="str">
        <f>IF(AND(A2715&lt;&gt;"",ISNUMBER(A2715)),VLOOKUP(A2715,Studies!A:BR,5,FALSE),"")</f>
        <v>Midazolam</v>
      </c>
      <c r="F2715" s="207" t="str">
        <f>IF(AND(A2715&lt;&gt;"",ISNUMBER(A2715)),VLOOKUP(A2715,Studies!A:BR,6,FALSE),"")</f>
        <v>Plasma</v>
      </c>
      <c r="G2715" s="194">
        <v>12</v>
      </c>
      <c r="H2715" s="194" t="s">
        <v>60</v>
      </c>
      <c r="I2715" s="187">
        <v>3.2653059999999998</v>
      </c>
      <c r="J2715" s="187" t="s">
        <v>1129</v>
      </c>
      <c r="K2715" s="187" t="s">
        <v>116</v>
      </c>
      <c r="L2715" s="195"/>
      <c r="M2715" s="195"/>
      <c r="N2715" s="195"/>
      <c r="O2715" s="199">
        <v>1</v>
      </c>
      <c r="P2715" s="188" t="s">
        <v>1140</v>
      </c>
      <c r="Q2715" s="174">
        <f>IF(ISNUMBER(VLOOKUP(A2715,NotghiID!A:A,1,FALSE)),1,0)</f>
        <v>1</v>
      </c>
    </row>
    <row r="2716" spans="1:17" ht="14.25" x14ac:dyDescent="0.2">
      <c r="A2716" s="189">
        <v>424</v>
      </c>
      <c r="B2716" s="232" t="str">
        <f>IF(AND(A2716&lt;&gt;"",ISNUMBER(A2716)),VLOOKUP(A2716,Studies!A:BR,2,FALSE),"")</f>
        <v>Templeton 2010</v>
      </c>
      <c r="C2716" s="232" t="str">
        <f>IF(AND(A2716&lt;&gt;"",ISNUMBER(A2716)),VLOOKUP(A2716,Studies!A:BR,3,FALSE),"")</f>
        <v>https://www.ncbi.nlm.nih.gov/pubmed/20739919</v>
      </c>
      <c r="D2716" s="232" t="str">
        <f>IF(AND(A2716&lt;&gt;"",ISNUMBER(A2716)),VLOOKUP(A2716,Studies!A:BR,4,FALSE),"")</f>
        <v>with Perpetrator (Itraconazole @ 50 mg)</v>
      </c>
      <c r="E2716" s="206" t="str">
        <f>IF(AND(A2716&lt;&gt;"",ISNUMBER(A2716)),VLOOKUP(A2716,Studies!A:BR,5,FALSE),"")</f>
        <v>Midazolam</v>
      </c>
      <c r="F2716" s="207" t="str">
        <f>IF(AND(A2716&lt;&gt;"",ISNUMBER(A2716)),VLOOKUP(A2716,Studies!A:BR,6,FALSE),"")</f>
        <v>Plasma</v>
      </c>
      <c r="G2716" s="194">
        <v>16</v>
      </c>
      <c r="H2716" s="194" t="s">
        <v>60</v>
      </c>
      <c r="I2716" s="187">
        <v>1.6326529999999999</v>
      </c>
      <c r="J2716" s="187" t="s">
        <v>1129</v>
      </c>
      <c r="K2716" s="187" t="s">
        <v>116</v>
      </c>
      <c r="L2716" s="195"/>
      <c r="M2716" s="195"/>
      <c r="N2716" s="195"/>
      <c r="O2716" s="199">
        <v>1</v>
      </c>
      <c r="P2716" s="188" t="s">
        <v>1141</v>
      </c>
      <c r="Q2716" s="174">
        <f>IF(ISNUMBER(VLOOKUP(A2716,NotghiID!A:A,1,FALSE)),1,0)</f>
        <v>1</v>
      </c>
    </row>
    <row r="2717" spans="1:17" ht="14.25" x14ac:dyDescent="0.2">
      <c r="A2717" s="189">
        <v>424</v>
      </c>
      <c r="B2717" s="232" t="str">
        <f>IF(AND(A2717&lt;&gt;"",ISNUMBER(A2717)),VLOOKUP(A2717,Studies!A:BR,2,FALSE),"")</f>
        <v>Templeton 2010</v>
      </c>
      <c r="C2717" s="232" t="str">
        <f>IF(AND(A2717&lt;&gt;"",ISNUMBER(A2717)),VLOOKUP(A2717,Studies!A:BR,3,FALSE),"")</f>
        <v>https://www.ncbi.nlm.nih.gov/pubmed/20739919</v>
      </c>
      <c r="D2717" s="232" t="str">
        <f>IF(AND(A2717&lt;&gt;"",ISNUMBER(A2717)),VLOOKUP(A2717,Studies!A:BR,4,FALSE),"")</f>
        <v>with Perpetrator (Itraconazole @ 50 mg)</v>
      </c>
      <c r="E2717" s="206" t="str">
        <f>IF(AND(A2717&lt;&gt;"",ISNUMBER(A2717)),VLOOKUP(A2717,Studies!A:BR,5,FALSE),"")</f>
        <v>Midazolam</v>
      </c>
      <c r="F2717" s="207" t="str">
        <f>IF(AND(A2717&lt;&gt;"",ISNUMBER(A2717)),VLOOKUP(A2717,Studies!A:BR,6,FALSE),"")</f>
        <v>Plasma</v>
      </c>
      <c r="G2717" s="194">
        <v>24</v>
      </c>
      <c r="H2717" s="194" t="s">
        <v>60</v>
      </c>
      <c r="I2717" s="187">
        <v>0.81632660000000001</v>
      </c>
      <c r="J2717" s="187" t="s">
        <v>1129</v>
      </c>
      <c r="K2717" s="187" t="s">
        <v>116</v>
      </c>
      <c r="L2717" s="195"/>
      <c r="M2717" s="195"/>
      <c r="N2717" s="195"/>
      <c r="O2717" s="199">
        <v>1</v>
      </c>
      <c r="P2717" s="188" t="s">
        <v>1142</v>
      </c>
      <c r="Q2717" s="174">
        <f>IF(ISNUMBER(VLOOKUP(A2717,NotghiID!A:A,1,FALSE)),1,0)</f>
        <v>1</v>
      </c>
    </row>
    <row r="2718" spans="1:17" ht="14.25" x14ac:dyDescent="0.2">
      <c r="A2718" s="189">
        <v>425</v>
      </c>
      <c r="B2718" s="232" t="str">
        <f>IF(AND(A2718&lt;&gt;"",ISNUMBER(A2718)),VLOOKUP(A2718,Studies!A:BR,2,FALSE),"")</f>
        <v>Templeton 2010</v>
      </c>
      <c r="C2718" s="232" t="str">
        <f>IF(AND(A2718&lt;&gt;"",ISNUMBER(A2718)),VLOOKUP(A2718,Studies!A:BR,3,FALSE),"")</f>
        <v>https://www.ncbi.nlm.nih.gov/pubmed/20739919</v>
      </c>
      <c r="D2718" s="232" t="str">
        <f>IF(AND(A2718&lt;&gt;"",ISNUMBER(A2718)),VLOOKUP(A2718,Studies!A:BR,4,FALSE),"")</f>
        <v>with Perpetrator (Itraconazole @ 200 mg)</v>
      </c>
      <c r="E2718" s="206" t="str">
        <f>IF(AND(A2718&lt;&gt;"",ISNUMBER(A2718)),VLOOKUP(A2718,Studies!A:BR,5,FALSE),"")</f>
        <v>Midazolam</v>
      </c>
      <c r="F2718" s="207" t="str">
        <f>IF(AND(A2718&lt;&gt;"",ISNUMBER(A2718)),VLOOKUP(A2718,Studies!A:BR,6,FALSE),"")</f>
        <v>Plasma</v>
      </c>
      <c r="G2718" s="194">
        <v>4</v>
      </c>
      <c r="H2718" s="194" t="s">
        <v>60</v>
      </c>
      <c r="I2718" s="187" t="s">
        <v>1128</v>
      </c>
      <c r="J2718" s="187" t="s">
        <v>1129</v>
      </c>
      <c r="K2718" s="187" t="s">
        <v>116</v>
      </c>
      <c r="L2718" s="195"/>
      <c r="M2718" s="195"/>
      <c r="N2718" s="195"/>
      <c r="O2718" s="199">
        <v>1</v>
      </c>
      <c r="P2718" s="188" t="s">
        <v>1133</v>
      </c>
      <c r="Q2718" s="174">
        <f>IF(ISNUMBER(VLOOKUP(A2718,NotghiID!A:A,1,FALSE)),1,0)</f>
        <v>1</v>
      </c>
    </row>
    <row r="2719" spans="1:17" ht="14.25" x14ac:dyDescent="0.2">
      <c r="A2719" s="189">
        <v>425</v>
      </c>
      <c r="B2719" s="232" t="str">
        <f>IF(AND(A2719&lt;&gt;"",ISNUMBER(A2719)),VLOOKUP(A2719,Studies!A:BR,2,FALSE),"")</f>
        <v>Templeton 2010</v>
      </c>
      <c r="C2719" s="232" t="str">
        <f>IF(AND(A2719&lt;&gt;"",ISNUMBER(A2719)),VLOOKUP(A2719,Studies!A:BR,3,FALSE),"")</f>
        <v>https://www.ncbi.nlm.nih.gov/pubmed/20739919</v>
      </c>
      <c r="D2719" s="232" t="str">
        <f>IF(AND(A2719&lt;&gt;"",ISNUMBER(A2719)),VLOOKUP(A2719,Studies!A:BR,4,FALSE),"")</f>
        <v>with Perpetrator (Itraconazole @ 200 mg)</v>
      </c>
      <c r="E2719" s="206" t="str">
        <f>IF(AND(A2719&lt;&gt;"",ISNUMBER(A2719)),VLOOKUP(A2719,Studies!A:BR,5,FALSE),"")</f>
        <v>Midazolam</v>
      </c>
      <c r="F2719" s="207" t="str">
        <f>IF(AND(A2719&lt;&gt;"",ISNUMBER(A2719)),VLOOKUP(A2719,Studies!A:BR,6,FALSE),"")</f>
        <v>Plasma</v>
      </c>
      <c r="G2719" s="194">
        <v>4.5</v>
      </c>
      <c r="H2719" s="194" t="s">
        <v>60</v>
      </c>
      <c r="I2719" s="187">
        <v>49.795920000000002</v>
      </c>
      <c r="J2719" s="187" t="s">
        <v>1129</v>
      </c>
      <c r="K2719" s="187" t="s">
        <v>116</v>
      </c>
      <c r="L2719" s="195"/>
      <c r="M2719" s="195"/>
      <c r="N2719" s="195"/>
      <c r="O2719" s="199">
        <v>1</v>
      </c>
      <c r="P2719" s="188" t="s">
        <v>1134</v>
      </c>
      <c r="Q2719" s="174">
        <f>IF(ISNUMBER(VLOOKUP(A2719,NotghiID!A:A,1,FALSE)),1,0)</f>
        <v>1</v>
      </c>
    </row>
    <row r="2720" spans="1:17" ht="14.25" x14ac:dyDescent="0.2">
      <c r="A2720" s="189">
        <v>425</v>
      </c>
      <c r="B2720" s="232" t="str">
        <f>IF(AND(A2720&lt;&gt;"",ISNUMBER(A2720)),VLOOKUP(A2720,Studies!A:BR,2,FALSE),"")</f>
        <v>Templeton 2010</v>
      </c>
      <c r="C2720" s="232" t="str">
        <f>IF(AND(A2720&lt;&gt;"",ISNUMBER(A2720)),VLOOKUP(A2720,Studies!A:BR,3,FALSE),"")</f>
        <v>https://www.ncbi.nlm.nih.gov/pubmed/20739919</v>
      </c>
      <c r="D2720" s="232" t="str">
        <f>IF(AND(A2720&lt;&gt;"",ISNUMBER(A2720)),VLOOKUP(A2720,Studies!A:BR,4,FALSE),"")</f>
        <v>with Perpetrator (Itraconazole @ 200 mg)</v>
      </c>
      <c r="E2720" s="206" t="str">
        <f>IF(AND(A2720&lt;&gt;"",ISNUMBER(A2720)),VLOOKUP(A2720,Studies!A:BR,5,FALSE),"")</f>
        <v>Midazolam</v>
      </c>
      <c r="F2720" s="207" t="str">
        <f>IF(AND(A2720&lt;&gt;"",ISNUMBER(A2720)),VLOOKUP(A2720,Studies!A:BR,6,FALSE),"")</f>
        <v>Plasma</v>
      </c>
      <c r="G2720" s="194">
        <v>5</v>
      </c>
      <c r="H2720" s="194" t="s">
        <v>60</v>
      </c>
      <c r="I2720" s="187">
        <v>48.163269999999997</v>
      </c>
      <c r="J2720" s="187" t="s">
        <v>1129</v>
      </c>
      <c r="K2720" s="187" t="s">
        <v>116</v>
      </c>
      <c r="L2720" s="195"/>
      <c r="M2720" s="195"/>
      <c r="N2720" s="195"/>
      <c r="O2720" s="199">
        <v>1</v>
      </c>
      <c r="P2720" s="188" t="s">
        <v>1135</v>
      </c>
      <c r="Q2720" s="174">
        <f>IF(ISNUMBER(VLOOKUP(A2720,NotghiID!A:A,1,FALSE)),1,0)</f>
        <v>1</v>
      </c>
    </row>
    <row r="2721" spans="1:17" ht="14.25" x14ac:dyDescent="0.2">
      <c r="A2721" s="189">
        <v>425</v>
      </c>
      <c r="B2721" s="232" t="str">
        <f>IF(AND(A2721&lt;&gt;"",ISNUMBER(A2721)),VLOOKUP(A2721,Studies!A:BR,2,FALSE),"")</f>
        <v>Templeton 2010</v>
      </c>
      <c r="C2721" s="232" t="str">
        <f>IF(AND(A2721&lt;&gt;"",ISNUMBER(A2721)),VLOOKUP(A2721,Studies!A:BR,3,FALSE),"")</f>
        <v>https://www.ncbi.nlm.nih.gov/pubmed/20739919</v>
      </c>
      <c r="D2721" s="232" t="str">
        <f>IF(AND(A2721&lt;&gt;"",ISNUMBER(A2721)),VLOOKUP(A2721,Studies!A:BR,4,FALSE),"")</f>
        <v>with Perpetrator (Itraconazole @ 200 mg)</v>
      </c>
      <c r="E2721" s="206" t="str">
        <f>IF(AND(A2721&lt;&gt;"",ISNUMBER(A2721)),VLOOKUP(A2721,Studies!A:BR,5,FALSE),"")</f>
        <v>Midazolam</v>
      </c>
      <c r="F2721" s="207" t="str">
        <f>IF(AND(A2721&lt;&gt;"",ISNUMBER(A2721)),VLOOKUP(A2721,Studies!A:BR,6,FALSE),"")</f>
        <v>Plasma</v>
      </c>
      <c r="G2721" s="194">
        <v>6</v>
      </c>
      <c r="H2721" s="194" t="s">
        <v>60</v>
      </c>
      <c r="I2721" s="187">
        <v>34.448979999999999</v>
      </c>
      <c r="J2721" s="187" t="s">
        <v>1129</v>
      </c>
      <c r="K2721" s="187" t="s">
        <v>116</v>
      </c>
      <c r="L2721" s="195"/>
      <c r="M2721" s="195"/>
      <c r="N2721" s="195"/>
      <c r="O2721" s="199">
        <v>1</v>
      </c>
      <c r="P2721" s="188" t="s">
        <v>1136</v>
      </c>
      <c r="Q2721" s="174">
        <f>IF(ISNUMBER(VLOOKUP(A2721,NotghiID!A:A,1,FALSE)),1,0)</f>
        <v>1</v>
      </c>
    </row>
    <row r="2722" spans="1:17" ht="14.25" x14ac:dyDescent="0.2">
      <c r="A2722" s="189">
        <v>425</v>
      </c>
      <c r="B2722" s="232" t="str">
        <f>IF(AND(A2722&lt;&gt;"",ISNUMBER(A2722)),VLOOKUP(A2722,Studies!A:BR,2,FALSE),"")</f>
        <v>Templeton 2010</v>
      </c>
      <c r="C2722" s="232" t="str">
        <f>IF(AND(A2722&lt;&gt;"",ISNUMBER(A2722)),VLOOKUP(A2722,Studies!A:BR,3,FALSE),"")</f>
        <v>https://www.ncbi.nlm.nih.gov/pubmed/20739919</v>
      </c>
      <c r="D2722" s="232" t="str">
        <f>IF(AND(A2722&lt;&gt;"",ISNUMBER(A2722)),VLOOKUP(A2722,Studies!A:BR,4,FALSE),"")</f>
        <v>with Perpetrator (Itraconazole @ 200 mg)</v>
      </c>
      <c r="E2722" s="206" t="str">
        <f>IF(AND(A2722&lt;&gt;"",ISNUMBER(A2722)),VLOOKUP(A2722,Studies!A:BR,5,FALSE),"")</f>
        <v>Midazolam</v>
      </c>
      <c r="F2722" s="207" t="str">
        <f>IF(AND(A2722&lt;&gt;"",ISNUMBER(A2722)),VLOOKUP(A2722,Studies!A:BR,6,FALSE),"")</f>
        <v>Plasma</v>
      </c>
      <c r="G2722" s="194">
        <v>7</v>
      </c>
      <c r="H2722" s="194" t="s">
        <v>60</v>
      </c>
      <c r="I2722" s="187">
        <v>22.69388</v>
      </c>
      <c r="J2722" s="187" t="s">
        <v>1129</v>
      </c>
      <c r="K2722" s="187" t="s">
        <v>116</v>
      </c>
      <c r="L2722" s="195"/>
      <c r="M2722" s="195"/>
      <c r="N2722" s="195"/>
      <c r="O2722" s="199">
        <v>1</v>
      </c>
      <c r="P2722" s="188" t="s">
        <v>1137</v>
      </c>
      <c r="Q2722" s="174">
        <f>IF(ISNUMBER(VLOOKUP(A2722,NotghiID!A:A,1,FALSE)),1,0)</f>
        <v>1</v>
      </c>
    </row>
    <row r="2723" spans="1:17" ht="14.25" x14ac:dyDescent="0.2">
      <c r="A2723" s="189">
        <v>425</v>
      </c>
      <c r="B2723" s="232" t="str">
        <f>IF(AND(A2723&lt;&gt;"",ISNUMBER(A2723)),VLOOKUP(A2723,Studies!A:BR,2,FALSE),"")</f>
        <v>Templeton 2010</v>
      </c>
      <c r="C2723" s="232" t="str">
        <f>IF(AND(A2723&lt;&gt;"",ISNUMBER(A2723)),VLOOKUP(A2723,Studies!A:BR,3,FALSE),"")</f>
        <v>https://www.ncbi.nlm.nih.gov/pubmed/20739919</v>
      </c>
      <c r="D2723" s="232" t="str">
        <f>IF(AND(A2723&lt;&gt;"",ISNUMBER(A2723)),VLOOKUP(A2723,Studies!A:BR,4,FALSE),"")</f>
        <v>with Perpetrator (Itraconazole @ 200 mg)</v>
      </c>
      <c r="E2723" s="206" t="str">
        <f>IF(AND(A2723&lt;&gt;"",ISNUMBER(A2723)),VLOOKUP(A2723,Studies!A:BR,5,FALSE),"")</f>
        <v>Midazolam</v>
      </c>
      <c r="F2723" s="207" t="str">
        <f>IF(AND(A2723&lt;&gt;"",ISNUMBER(A2723)),VLOOKUP(A2723,Studies!A:BR,6,FALSE),"")</f>
        <v>Plasma</v>
      </c>
      <c r="G2723" s="194">
        <v>8</v>
      </c>
      <c r="H2723" s="194" t="s">
        <v>60</v>
      </c>
      <c r="I2723" s="187">
        <v>16.489799999999999</v>
      </c>
      <c r="J2723" s="187" t="s">
        <v>1129</v>
      </c>
      <c r="K2723" s="187" t="s">
        <v>116</v>
      </c>
      <c r="L2723" s="195"/>
      <c r="M2723" s="195"/>
      <c r="N2723" s="195"/>
      <c r="O2723" s="199">
        <v>1</v>
      </c>
      <c r="P2723" s="188" t="s">
        <v>1138</v>
      </c>
      <c r="Q2723" s="174">
        <f>IF(ISNUMBER(VLOOKUP(A2723,NotghiID!A:A,1,FALSE)),1,0)</f>
        <v>1</v>
      </c>
    </row>
    <row r="2724" spans="1:17" ht="14.25" x14ac:dyDescent="0.2">
      <c r="A2724" s="189">
        <v>425</v>
      </c>
      <c r="B2724" s="232" t="str">
        <f>IF(AND(A2724&lt;&gt;"",ISNUMBER(A2724)),VLOOKUP(A2724,Studies!A:BR,2,FALSE),"")</f>
        <v>Templeton 2010</v>
      </c>
      <c r="C2724" s="232" t="str">
        <f>IF(AND(A2724&lt;&gt;"",ISNUMBER(A2724)),VLOOKUP(A2724,Studies!A:BR,3,FALSE),"")</f>
        <v>https://www.ncbi.nlm.nih.gov/pubmed/20739919</v>
      </c>
      <c r="D2724" s="232" t="str">
        <f>IF(AND(A2724&lt;&gt;"",ISNUMBER(A2724)),VLOOKUP(A2724,Studies!A:BR,4,FALSE),"")</f>
        <v>with Perpetrator (Itraconazole @ 200 mg)</v>
      </c>
      <c r="E2724" s="206" t="str">
        <f>IF(AND(A2724&lt;&gt;"",ISNUMBER(A2724)),VLOOKUP(A2724,Studies!A:BR,5,FALSE),"")</f>
        <v>Midazolam</v>
      </c>
      <c r="F2724" s="207" t="str">
        <f>IF(AND(A2724&lt;&gt;"",ISNUMBER(A2724)),VLOOKUP(A2724,Studies!A:BR,6,FALSE),"")</f>
        <v>Plasma</v>
      </c>
      <c r="G2724" s="194">
        <v>10</v>
      </c>
      <c r="H2724" s="194" t="s">
        <v>60</v>
      </c>
      <c r="I2724" s="187">
        <v>13.38776</v>
      </c>
      <c r="J2724" s="187" t="s">
        <v>1129</v>
      </c>
      <c r="K2724" s="187" t="s">
        <v>116</v>
      </c>
      <c r="L2724" s="195"/>
      <c r="M2724" s="195"/>
      <c r="N2724" s="195"/>
      <c r="O2724" s="199">
        <v>1</v>
      </c>
      <c r="P2724" s="188" t="s">
        <v>1139</v>
      </c>
      <c r="Q2724" s="174">
        <f>IF(ISNUMBER(VLOOKUP(A2724,NotghiID!A:A,1,FALSE)),1,0)</f>
        <v>1</v>
      </c>
    </row>
    <row r="2725" spans="1:17" ht="14.25" x14ac:dyDescent="0.2">
      <c r="A2725" s="189">
        <v>425</v>
      </c>
      <c r="B2725" s="232" t="str">
        <f>IF(AND(A2725&lt;&gt;"",ISNUMBER(A2725)),VLOOKUP(A2725,Studies!A:BR,2,FALSE),"")</f>
        <v>Templeton 2010</v>
      </c>
      <c r="C2725" s="232" t="str">
        <f>IF(AND(A2725&lt;&gt;"",ISNUMBER(A2725)),VLOOKUP(A2725,Studies!A:BR,3,FALSE),"")</f>
        <v>https://www.ncbi.nlm.nih.gov/pubmed/20739919</v>
      </c>
      <c r="D2725" s="232" t="str">
        <f>IF(AND(A2725&lt;&gt;"",ISNUMBER(A2725)),VLOOKUP(A2725,Studies!A:BR,4,FALSE),"")</f>
        <v>with Perpetrator (Itraconazole @ 200 mg)</v>
      </c>
      <c r="E2725" s="206" t="str">
        <f>IF(AND(A2725&lt;&gt;"",ISNUMBER(A2725)),VLOOKUP(A2725,Studies!A:BR,5,FALSE),"")</f>
        <v>Midazolam</v>
      </c>
      <c r="F2725" s="207" t="str">
        <f>IF(AND(A2725&lt;&gt;"",ISNUMBER(A2725)),VLOOKUP(A2725,Studies!A:BR,6,FALSE),"")</f>
        <v>Plasma</v>
      </c>
      <c r="G2725" s="194">
        <v>12</v>
      </c>
      <c r="H2725" s="194" t="s">
        <v>60</v>
      </c>
      <c r="I2725" s="187">
        <v>9.9591840000000005</v>
      </c>
      <c r="J2725" s="187" t="s">
        <v>1129</v>
      </c>
      <c r="K2725" s="187" t="s">
        <v>116</v>
      </c>
      <c r="L2725" s="195"/>
      <c r="M2725" s="195"/>
      <c r="N2725" s="195"/>
      <c r="O2725" s="199">
        <v>1</v>
      </c>
      <c r="P2725" s="188" t="s">
        <v>1140</v>
      </c>
      <c r="Q2725" s="174">
        <f>IF(ISNUMBER(VLOOKUP(A2725,NotghiID!A:A,1,FALSE)),1,0)</f>
        <v>1</v>
      </c>
    </row>
    <row r="2726" spans="1:17" ht="14.25" x14ac:dyDescent="0.2">
      <c r="A2726" s="189">
        <v>425</v>
      </c>
      <c r="B2726" s="232" t="str">
        <f>IF(AND(A2726&lt;&gt;"",ISNUMBER(A2726)),VLOOKUP(A2726,Studies!A:BR,2,FALSE),"")</f>
        <v>Templeton 2010</v>
      </c>
      <c r="C2726" s="232" t="str">
        <f>IF(AND(A2726&lt;&gt;"",ISNUMBER(A2726)),VLOOKUP(A2726,Studies!A:BR,3,FALSE),"")</f>
        <v>https://www.ncbi.nlm.nih.gov/pubmed/20739919</v>
      </c>
      <c r="D2726" s="232" t="str">
        <f>IF(AND(A2726&lt;&gt;"",ISNUMBER(A2726)),VLOOKUP(A2726,Studies!A:BR,4,FALSE),"")</f>
        <v>with Perpetrator (Itraconazole @ 200 mg)</v>
      </c>
      <c r="E2726" s="206" t="str">
        <f>IF(AND(A2726&lt;&gt;"",ISNUMBER(A2726)),VLOOKUP(A2726,Studies!A:BR,5,FALSE),"")</f>
        <v>Midazolam</v>
      </c>
      <c r="F2726" s="207" t="str">
        <f>IF(AND(A2726&lt;&gt;"",ISNUMBER(A2726)),VLOOKUP(A2726,Studies!A:BR,6,FALSE),"")</f>
        <v>Plasma</v>
      </c>
      <c r="G2726" s="194">
        <v>16</v>
      </c>
      <c r="H2726" s="194" t="s">
        <v>60</v>
      </c>
      <c r="I2726" s="187">
        <v>6.0408160000000004</v>
      </c>
      <c r="J2726" s="187" t="s">
        <v>1129</v>
      </c>
      <c r="K2726" s="187" t="s">
        <v>116</v>
      </c>
      <c r="L2726" s="195"/>
      <c r="M2726" s="195"/>
      <c r="N2726" s="195"/>
      <c r="O2726" s="199">
        <v>1</v>
      </c>
      <c r="P2726" s="188" t="s">
        <v>1141</v>
      </c>
      <c r="Q2726" s="174">
        <f>IF(ISNUMBER(VLOOKUP(A2726,NotghiID!A:A,1,FALSE)),1,0)</f>
        <v>1</v>
      </c>
    </row>
    <row r="2727" spans="1:17" ht="14.25" x14ac:dyDescent="0.2">
      <c r="A2727" s="189">
        <v>425</v>
      </c>
      <c r="B2727" s="232" t="str">
        <f>IF(AND(A2727&lt;&gt;"",ISNUMBER(A2727)),VLOOKUP(A2727,Studies!A:BR,2,FALSE),"")</f>
        <v>Templeton 2010</v>
      </c>
      <c r="C2727" s="232" t="str">
        <f>IF(AND(A2727&lt;&gt;"",ISNUMBER(A2727)),VLOOKUP(A2727,Studies!A:BR,3,FALSE),"")</f>
        <v>https://www.ncbi.nlm.nih.gov/pubmed/20739919</v>
      </c>
      <c r="D2727" s="232" t="str">
        <f>IF(AND(A2727&lt;&gt;"",ISNUMBER(A2727)),VLOOKUP(A2727,Studies!A:BR,4,FALSE),"")</f>
        <v>with Perpetrator (Itraconazole @ 200 mg)</v>
      </c>
      <c r="E2727" s="206" t="str">
        <f>IF(AND(A2727&lt;&gt;"",ISNUMBER(A2727)),VLOOKUP(A2727,Studies!A:BR,5,FALSE),"")</f>
        <v>Midazolam</v>
      </c>
      <c r="F2727" s="207" t="str">
        <f>IF(AND(A2727&lt;&gt;"",ISNUMBER(A2727)),VLOOKUP(A2727,Studies!A:BR,6,FALSE),"")</f>
        <v>Plasma</v>
      </c>
      <c r="G2727" s="194">
        <v>24</v>
      </c>
      <c r="H2727" s="194" t="s">
        <v>60</v>
      </c>
      <c r="I2727" s="187">
        <v>3.1020409999999998</v>
      </c>
      <c r="J2727" s="187" t="s">
        <v>1129</v>
      </c>
      <c r="K2727" s="187" t="s">
        <v>116</v>
      </c>
      <c r="L2727" s="195"/>
      <c r="M2727" s="195"/>
      <c r="N2727" s="195"/>
      <c r="O2727" s="199">
        <v>1</v>
      </c>
      <c r="P2727" s="188" t="s">
        <v>1142</v>
      </c>
      <c r="Q2727" s="174">
        <f>IF(ISNUMBER(VLOOKUP(A2727,NotghiID!A:A,1,FALSE)),1,0)</f>
        <v>1</v>
      </c>
    </row>
    <row r="2728" spans="1:17" ht="14.25" x14ac:dyDescent="0.2">
      <c r="A2728" s="189">
        <v>426</v>
      </c>
      <c r="B2728" s="232" t="str">
        <f>IF(AND(A2728&lt;&gt;"",ISNUMBER(A2728)),VLOOKUP(A2728,Studies!A:BR,2,FALSE),"")</f>
        <v>Templeton 2010</v>
      </c>
      <c r="C2728" s="232" t="str">
        <f>IF(AND(A2728&lt;&gt;"",ISNUMBER(A2728)),VLOOKUP(A2728,Studies!A:BR,3,FALSE),"")</f>
        <v>https://www.ncbi.nlm.nih.gov/pubmed/20739919</v>
      </c>
      <c r="D2728" s="232" t="str">
        <f>IF(AND(A2728&lt;&gt;"",ISNUMBER(A2728)),VLOOKUP(A2728,Studies!A:BR,4,FALSE),"")</f>
        <v>with Perpetrator (Itraconazole @ 400 mg)</v>
      </c>
      <c r="E2728" s="206" t="str">
        <f>IF(AND(A2728&lt;&gt;"",ISNUMBER(A2728)),VLOOKUP(A2728,Studies!A:BR,5,FALSE),"")</f>
        <v>Midazolam</v>
      </c>
      <c r="F2728" s="207" t="str">
        <f>IF(AND(A2728&lt;&gt;"",ISNUMBER(A2728)),VLOOKUP(A2728,Studies!A:BR,6,FALSE),"")</f>
        <v>Plasma</v>
      </c>
      <c r="G2728" s="194">
        <v>4</v>
      </c>
      <c r="H2728" s="194" t="s">
        <v>60</v>
      </c>
      <c r="I2728" s="187" t="s">
        <v>1128</v>
      </c>
      <c r="J2728" s="187" t="s">
        <v>1129</v>
      </c>
      <c r="K2728" s="187" t="s">
        <v>116</v>
      </c>
      <c r="L2728" s="195"/>
      <c r="M2728" s="195"/>
      <c r="N2728" s="195"/>
      <c r="O2728" s="199">
        <v>1</v>
      </c>
      <c r="P2728" s="188" t="s">
        <v>1133</v>
      </c>
      <c r="Q2728" s="174">
        <f>IF(ISNUMBER(VLOOKUP(A2728,NotghiID!A:A,1,FALSE)),1,0)</f>
        <v>1</v>
      </c>
    </row>
    <row r="2729" spans="1:17" ht="14.25" x14ac:dyDescent="0.2">
      <c r="A2729" s="189">
        <v>426</v>
      </c>
      <c r="B2729" s="232" t="str">
        <f>IF(AND(A2729&lt;&gt;"",ISNUMBER(A2729)),VLOOKUP(A2729,Studies!A:BR,2,FALSE),"")</f>
        <v>Templeton 2010</v>
      </c>
      <c r="C2729" s="232" t="str">
        <f>IF(AND(A2729&lt;&gt;"",ISNUMBER(A2729)),VLOOKUP(A2729,Studies!A:BR,3,FALSE),"")</f>
        <v>https://www.ncbi.nlm.nih.gov/pubmed/20739919</v>
      </c>
      <c r="D2729" s="232" t="str">
        <f>IF(AND(A2729&lt;&gt;"",ISNUMBER(A2729)),VLOOKUP(A2729,Studies!A:BR,4,FALSE),"")</f>
        <v>with Perpetrator (Itraconazole @ 400 mg)</v>
      </c>
      <c r="E2729" s="206" t="str">
        <f>IF(AND(A2729&lt;&gt;"",ISNUMBER(A2729)),VLOOKUP(A2729,Studies!A:BR,5,FALSE),"")</f>
        <v>Midazolam</v>
      </c>
      <c r="F2729" s="207" t="str">
        <f>IF(AND(A2729&lt;&gt;"",ISNUMBER(A2729)),VLOOKUP(A2729,Studies!A:BR,6,FALSE),"")</f>
        <v>Plasma</v>
      </c>
      <c r="G2729" s="194">
        <v>4.5</v>
      </c>
      <c r="H2729" s="194" t="s">
        <v>60</v>
      </c>
      <c r="I2729" s="187">
        <v>41.469389999999997</v>
      </c>
      <c r="J2729" s="187" t="s">
        <v>1129</v>
      </c>
      <c r="K2729" s="187" t="s">
        <v>116</v>
      </c>
      <c r="L2729" s="195"/>
      <c r="M2729" s="195"/>
      <c r="N2729" s="195"/>
      <c r="O2729" s="199">
        <v>1</v>
      </c>
      <c r="P2729" s="188" t="s">
        <v>1134</v>
      </c>
      <c r="Q2729" s="174">
        <f>IF(ISNUMBER(VLOOKUP(A2729,NotghiID!A:A,1,FALSE)),1,0)</f>
        <v>1</v>
      </c>
    </row>
    <row r="2730" spans="1:17" ht="14.25" x14ac:dyDescent="0.2">
      <c r="A2730" s="189">
        <v>426</v>
      </c>
      <c r="B2730" s="232" t="str">
        <f>IF(AND(A2730&lt;&gt;"",ISNUMBER(A2730)),VLOOKUP(A2730,Studies!A:BR,2,FALSE),"")</f>
        <v>Templeton 2010</v>
      </c>
      <c r="C2730" s="232" t="str">
        <f>IF(AND(A2730&lt;&gt;"",ISNUMBER(A2730)),VLOOKUP(A2730,Studies!A:BR,3,FALSE),"")</f>
        <v>https://www.ncbi.nlm.nih.gov/pubmed/20739919</v>
      </c>
      <c r="D2730" s="232" t="str">
        <f>IF(AND(A2730&lt;&gt;"",ISNUMBER(A2730)),VLOOKUP(A2730,Studies!A:BR,4,FALSE),"")</f>
        <v>with Perpetrator (Itraconazole @ 400 mg)</v>
      </c>
      <c r="E2730" s="206" t="str">
        <f>IF(AND(A2730&lt;&gt;"",ISNUMBER(A2730)),VLOOKUP(A2730,Studies!A:BR,5,FALSE),"")</f>
        <v>Midazolam</v>
      </c>
      <c r="F2730" s="207" t="str">
        <f>IF(AND(A2730&lt;&gt;"",ISNUMBER(A2730)),VLOOKUP(A2730,Studies!A:BR,6,FALSE),"")</f>
        <v>Plasma</v>
      </c>
      <c r="G2730" s="194">
        <v>5</v>
      </c>
      <c r="H2730" s="194" t="s">
        <v>60</v>
      </c>
      <c r="I2730" s="187">
        <v>53.061230000000002</v>
      </c>
      <c r="J2730" s="187" t="s">
        <v>1129</v>
      </c>
      <c r="K2730" s="187" t="s">
        <v>116</v>
      </c>
      <c r="L2730" s="195"/>
      <c r="M2730" s="195"/>
      <c r="N2730" s="195"/>
      <c r="O2730" s="199">
        <v>1</v>
      </c>
      <c r="P2730" s="188" t="s">
        <v>1135</v>
      </c>
      <c r="Q2730" s="174">
        <f>IF(ISNUMBER(VLOOKUP(A2730,NotghiID!A:A,1,FALSE)),1,0)</f>
        <v>1</v>
      </c>
    </row>
    <row r="2731" spans="1:17" ht="14.25" x14ac:dyDescent="0.2">
      <c r="A2731" s="189">
        <v>426</v>
      </c>
      <c r="B2731" s="232" t="str">
        <f>IF(AND(A2731&lt;&gt;"",ISNUMBER(A2731)),VLOOKUP(A2731,Studies!A:BR,2,FALSE),"")</f>
        <v>Templeton 2010</v>
      </c>
      <c r="C2731" s="232" t="str">
        <f>IF(AND(A2731&lt;&gt;"",ISNUMBER(A2731)),VLOOKUP(A2731,Studies!A:BR,3,FALSE),"")</f>
        <v>https://www.ncbi.nlm.nih.gov/pubmed/20739919</v>
      </c>
      <c r="D2731" s="232" t="str">
        <f>IF(AND(A2731&lt;&gt;"",ISNUMBER(A2731)),VLOOKUP(A2731,Studies!A:BR,4,FALSE),"")</f>
        <v>with Perpetrator (Itraconazole @ 400 mg)</v>
      </c>
      <c r="E2731" s="206" t="str">
        <f>IF(AND(A2731&lt;&gt;"",ISNUMBER(A2731)),VLOOKUP(A2731,Studies!A:BR,5,FALSE),"")</f>
        <v>Midazolam</v>
      </c>
      <c r="F2731" s="207" t="str">
        <f>IF(AND(A2731&lt;&gt;"",ISNUMBER(A2731)),VLOOKUP(A2731,Studies!A:BR,6,FALSE),"")</f>
        <v>Plasma</v>
      </c>
      <c r="G2731" s="194">
        <v>6</v>
      </c>
      <c r="H2731" s="194" t="s">
        <v>60</v>
      </c>
      <c r="I2731" s="187">
        <v>39.836730000000003</v>
      </c>
      <c r="J2731" s="187" t="s">
        <v>1129</v>
      </c>
      <c r="K2731" s="187" t="s">
        <v>116</v>
      </c>
      <c r="L2731" s="195"/>
      <c r="M2731" s="195"/>
      <c r="N2731" s="195"/>
      <c r="O2731" s="199">
        <v>1</v>
      </c>
      <c r="P2731" s="188" t="s">
        <v>1136</v>
      </c>
      <c r="Q2731" s="174">
        <f>IF(ISNUMBER(VLOOKUP(A2731,NotghiID!A:A,1,FALSE)),1,0)</f>
        <v>1</v>
      </c>
    </row>
    <row r="2732" spans="1:17" ht="14.25" x14ac:dyDescent="0.2">
      <c r="A2732" s="189">
        <v>426</v>
      </c>
      <c r="B2732" s="232" t="str">
        <f>IF(AND(A2732&lt;&gt;"",ISNUMBER(A2732)),VLOOKUP(A2732,Studies!A:BR,2,FALSE),"")</f>
        <v>Templeton 2010</v>
      </c>
      <c r="C2732" s="232" t="str">
        <f>IF(AND(A2732&lt;&gt;"",ISNUMBER(A2732)),VLOOKUP(A2732,Studies!A:BR,3,FALSE),"")</f>
        <v>https://www.ncbi.nlm.nih.gov/pubmed/20739919</v>
      </c>
      <c r="D2732" s="232" t="str">
        <f>IF(AND(A2732&lt;&gt;"",ISNUMBER(A2732)),VLOOKUP(A2732,Studies!A:BR,4,FALSE),"")</f>
        <v>with Perpetrator (Itraconazole @ 400 mg)</v>
      </c>
      <c r="E2732" s="206" t="str">
        <f>IF(AND(A2732&lt;&gt;"",ISNUMBER(A2732)),VLOOKUP(A2732,Studies!A:BR,5,FALSE),"")</f>
        <v>Midazolam</v>
      </c>
      <c r="F2732" s="207" t="str">
        <f>IF(AND(A2732&lt;&gt;"",ISNUMBER(A2732)),VLOOKUP(A2732,Studies!A:BR,6,FALSE),"")</f>
        <v>Plasma</v>
      </c>
      <c r="G2732" s="194">
        <v>7</v>
      </c>
      <c r="H2732" s="194" t="s">
        <v>60</v>
      </c>
      <c r="I2732" s="187">
        <v>25.632650000000002</v>
      </c>
      <c r="J2732" s="187" t="s">
        <v>1129</v>
      </c>
      <c r="K2732" s="187" t="s">
        <v>116</v>
      </c>
      <c r="L2732" s="195"/>
      <c r="M2732" s="195"/>
      <c r="N2732" s="195"/>
      <c r="O2732" s="199">
        <v>1</v>
      </c>
      <c r="P2732" s="188" t="s">
        <v>1137</v>
      </c>
      <c r="Q2732" s="174">
        <f>IF(ISNUMBER(VLOOKUP(A2732,NotghiID!A:A,1,FALSE)),1,0)</f>
        <v>1</v>
      </c>
    </row>
    <row r="2733" spans="1:17" ht="14.25" x14ac:dyDescent="0.2">
      <c r="A2733" s="189">
        <v>426</v>
      </c>
      <c r="B2733" s="232" t="str">
        <f>IF(AND(A2733&lt;&gt;"",ISNUMBER(A2733)),VLOOKUP(A2733,Studies!A:BR,2,FALSE),"")</f>
        <v>Templeton 2010</v>
      </c>
      <c r="C2733" s="232" t="str">
        <f>IF(AND(A2733&lt;&gt;"",ISNUMBER(A2733)),VLOOKUP(A2733,Studies!A:BR,3,FALSE),"")</f>
        <v>https://www.ncbi.nlm.nih.gov/pubmed/20739919</v>
      </c>
      <c r="D2733" s="232" t="str">
        <f>IF(AND(A2733&lt;&gt;"",ISNUMBER(A2733)),VLOOKUP(A2733,Studies!A:BR,4,FALSE),"")</f>
        <v>with Perpetrator (Itraconazole @ 400 mg)</v>
      </c>
      <c r="E2733" s="206" t="str">
        <f>IF(AND(A2733&lt;&gt;"",ISNUMBER(A2733)),VLOOKUP(A2733,Studies!A:BR,5,FALSE),"")</f>
        <v>Midazolam</v>
      </c>
      <c r="F2733" s="207" t="str">
        <f>IF(AND(A2733&lt;&gt;"",ISNUMBER(A2733)),VLOOKUP(A2733,Studies!A:BR,6,FALSE),"")</f>
        <v>Plasma</v>
      </c>
      <c r="G2733" s="194">
        <v>8</v>
      </c>
      <c r="H2733" s="194" t="s">
        <v>60</v>
      </c>
      <c r="I2733" s="187">
        <v>20.408159999999999</v>
      </c>
      <c r="J2733" s="187" t="s">
        <v>1129</v>
      </c>
      <c r="K2733" s="187" t="s">
        <v>116</v>
      </c>
      <c r="L2733" s="195"/>
      <c r="M2733" s="195"/>
      <c r="N2733" s="195"/>
      <c r="O2733" s="199">
        <v>1</v>
      </c>
      <c r="P2733" s="188" t="s">
        <v>1138</v>
      </c>
      <c r="Q2733" s="174">
        <f>IF(ISNUMBER(VLOOKUP(A2733,NotghiID!A:A,1,FALSE)),1,0)</f>
        <v>1</v>
      </c>
    </row>
    <row r="2734" spans="1:17" ht="14.25" x14ac:dyDescent="0.2">
      <c r="A2734" s="189">
        <v>426</v>
      </c>
      <c r="B2734" s="232" t="str">
        <f>IF(AND(A2734&lt;&gt;"",ISNUMBER(A2734)),VLOOKUP(A2734,Studies!A:BR,2,FALSE),"")</f>
        <v>Templeton 2010</v>
      </c>
      <c r="C2734" s="232" t="str">
        <f>IF(AND(A2734&lt;&gt;"",ISNUMBER(A2734)),VLOOKUP(A2734,Studies!A:BR,3,FALSE),"")</f>
        <v>https://www.ncbi.nlm.nih.gov/pubmed/20739919</v>
      </c>
      <c r="D2734" s="232" t="str">
        <f>IF(AND(A2734&lt;&gt;"",ISNUMBER(A2734)),VLOOKUP(A2734,Studies!A:BR,4,FALSE),"")</f>
        <v>with Perpetrator (Itraconazole @ 400 mg)</v>
      </c>
      <c r="E2734" s="206" t="str">
        <f>IF(AND(A2734&lt;&gt;"",ISNUMBER(A2734)),VLOOKUP(A2734,Studies!A:BR,5,FALSE),"")</f>
        <v>Midazolam</v>
      </c>
      <c r="F2734" s="207" t="str">
        <f>IF(AND(A2734&lt;&gt;"",ISNUMBER(A2734)),VLOOKUP(A2734,Studies!A:BR,6,FALSE),"")</f>
        <v>Plasma</v>
      </c>
      <c r="G2734" s="194">
        <v>10</v>
      </c>
      <c r="H2734" s="194" t="s">
        <v>60</v>
      </c>
      <c r="I2734" s="187">
        <v>15.183669999999999</v>
      </c>
      <c r="J2734" s="187" t="s">
        <v>1129</v>
      </c>
      <c r="K2734" s="187" t="s">
        <v>116</v>
      </c>
      <c r="L2734" s="195"/>
      <c r="M2734" s="195"/>
      <c r="N2734" s="195"/>
      <c r="O2734" s="199">
        <v>1</v>
      </c>
      <c r="P2734" s="188" t="s">
        <v>1139</v>
      </c>
      <c r="Q2734" s="174">
        <f>IF(ISNUMBER(VLOOKUP(A2734,NotghiID!A:A,1,FALSE)),1,0)</f>
        <v>1</v>
      </c>
    </row>
    <row r="2735" spans="1:17" ht="14.25" x14ac:dyDescent="0.2">
      <c r="A2735" s="189">
        <v>426</v>
      </c>
      <c r="B2735" s="232" t="str">
        <f>IF(AND(A2735&lt;&gt;"",ISNUMBER(A2735)),VLOOKUP(A2735,Studies!A:BR,2,FALSE),"")</f>
        <v>Templeton 2010</v>
      </c>
      <c r="C2735" s="232" t="str">
        <f>IF(AND(A2735&lt;&gt;"",ISNUMBER(A2735)),VLOOKUP(A2735,Studies!A:BR,3,FALSE),"")</f>
        <v>https://www.ncbi.nlm.nih.gov/pubmed/20739919</v>
      </c>
      <c r="D2735" s="232" t="str">
        <f>IF(AND(A2735&lt;&gt;"",ISNUMBER(A2735)),VLOOKUP(A2735,Studies!A:BR,4,FALSE),"")</f>
        <v>with Perpetrator (Itraconazole @ 400 mg)</v>
      </c>
      <c r="E2735" s="206" t="str">
        <f>IF(AND(A2735&lt;&gt;"",ISNUMBER(A2735)),VLOOKUP(A2735,Studies!A:BR,5,FALSE),"")</f>
        <v>Midazolam</v>
      </c>
      <c r="F2735" s="207" t="str">
        <f>IF(AND(A2735&lt;&gt;"",ISNUMBER(A2735)),VLOOKUP(A2735,Studies!A:BR,6,FALSE),"")</f>
        <v>Plasma</v>
      </c>
      <c r="G2735" s="194">
        <v>12</v>
      </c>
      <c r="H2735" s="194" t="s">
        <v>60</v>
      </c>
      <c r="I2735" s="187">
        <v>11.755100000000001</v>
      </c>
      <c r="J2735" s="187" t="s">
        <v>1129</v>
      </c>
      <c r="K2735" s="187" t="s">
        <v>116</v>
      </c>
      <c r="L2735" s="195"/>
      <c r="M2735" s="195"/>
      <c r="N2735" s="195"/>
      <c r="O2735" s="199">
        <v>1</v>
      </c>
      <c r="P2735" s="188" t="s">
        <v>1143</v>
      </c>
      <c r="Q2735" s="174">
        <f>IF(ISNUMBER(VLOOKUP(A2735,NotghiID!A:A,1,FALSE)),1,0)</f>
        <v>1</v>
      </c>
    </row>
    <row r="2736" spans="1:17" ht="14.25" x14ac:dyDescent="0.2">
      <c r="A2736" s="189">
        <v>426</v>
      </c>
      <c r="B2736" s="232" t="str">
        <f>IF(AND(A2736&lt;&gt;"",ISNUMBER(A2736)),VLOOKUP(A2736,Studies!A:BR,2,FALSE),"")</f>
        <v>Templeton 2010</v>
      </c>
      <c r="C2736" s="232" t="str">
        <f>IF(AND(A2736&lt;&gt;"",ISNUMBER(A2736)),VLOOKUP(A2736,Studies!A:BR,3,FALSE),"")</f>
        <v>https://www.ncbi.nlm.nih.gov/pubmed/20739919</v>
      </c>
      <c r="D2736" s="232" t="str">
        <f>IF(AND(A2736&lt;&gt;"",ISNUMBER(A2736)),VLOOKUP(A2736,Studies!A:BR,4,FALSE),"")</f>
        <v>with Perpetrator (Itraconazole @ 400 mg)</v>
      </c>
      <c r="E2736" s="206" t="str">
        <f>IF(AND(A2736&lt;&gt;"",ISNUMBER(A2736)),VLOOKUP(A2736,Studies!A:BR,5,FALSE),"")</f>
        <v>Midazolam</v>
      </c>
      <c r="F2736" s="207" t="str">
        <f>IF(AND(A2736&lt;&gt;"",ISNUMBER(A2736)),VLOOKUP(A2736,Studies!A:BR,6,FALSE),"")</f>
        <v>Plasma</v>
      </c>
      <c r="G2736" s="194">
        <v>16</v>
      </c>
      <c r="H2736" s="194" t="s">
        <v>60</v>
      </c>
      <c r="I2736" s="187">
        <v>8.4897960000000001</v>
      </c>
      <c r="J2736" s="187" t="s">
        <v>1129</v>
      </c>
      <c r="K2736" s="187" t="s">
        <v>116</v>
      </c>
      <c r="L2736" s="195"/>
      <c r="M2736" s="195"/>
      <c r="N2736" s="195"/>
      <c r="O2736" s="199">
        <v>1</v>
      </c>
      <c r="P2736" s="188" t="s">
        <v>1141</v>
      </c>
      <c r="Q2736" s="174">
        <f>IF(ISNUMBER(VLOOKUP(A2736,NotghiID!A:A,1,FALSE)),1,0)</f>
        <v>1</v>
      </c>
    </row>
    <row r="2737" spans="1:18" ht="14.25" x14ac:dyDescent="0.2">
      <c r="A2737" s="189">
        <v>426</v>
      </c>
      <c r="B2737" s="232" t="str">
        <f>IF(AND(A2737&lt;&gt;"",ISNUMBER(A2737)),VLOOKUP(A2737,Studies!A:BR,2,FALSE),"")</f>
        <v>Templeton 2010</v>
      </c>
      <c r="C2737" s="232" t="str">
        <f>IF(AND(A2737&lt;&gt;"",ISNUMBER(A2737)),VLOOKUP(A2737,Studies!A:BR,3,FALSE),"")</f>
        <v>https://www.ncbi.nlm.nih.gov/pubmed/20739919</v>
      </c>
      <c r="D2737" s="232" t="str">
        <f>IF(AND(A2737&lt;&gt;"",ISNUMBER(A2737)),VLOOKUP(A2737,Studies!A:BR,4,FALSE),"")</f>
        <v>with Perpetrator (Itraconazole @ 400 mg)</v>
      </c>
      <c r="E2737" s="206" t="str">
        <f>IF(AND(A2737&lt;&gt;"",ISNUMBER(A2737)),VLOOKUP(A2737,Studies!A:BR,5,FALSE),"")</f>
        <v>Midazolam</v>
      </c>
      <c r="F2737" s="207" t="str">
        <f>IF(AND(A2737&lt;&gt;"",ISNUMBER(A2737)),VLOOKUP(A2737,Studies!A:BR,6,FALSE),"")</f>
        <v>Plasma</v>
      </c>
      <c r="G2737" s="194">
        <v>24</v>
      </c>
      <c r="H2737" s="194" t="s">
        <v>60</v>
      </c>
      <c r="I2737" s="187">
        <v>5.0612240000000002</v>
      </c>
      <c r="J2737" s="187" t="s">
        <v>1129</v>
      </c>
      <c r="K2737" s="187" t="s">
        <v>116</v>
      </c>
      <c r="L2737" s="195"/>
      <c r="M2737" s="195"/>
      <c r="N2737" s="195"/>
      <c r="O2737" s="199">
        <v>1</v>
      </c>
      <c r="P2737" s="188" t="s">
        <v>1142</v>
      </c>
      <c r="Q2737" s="174">
        <f>IF(ISNUMBER(VLOOKUP(A2737,NotghiID!A:A,1,FALSE)),1,0)</f>
        <v>1</v>
      </c>
      <c r="R2737" s="183"/>
    </row>
    <row r="2738" spans="1:18" ht="14.25" x14ac:dyDescent="0.2">
      <c r="A2738" s="213">
        <v>214</v>
      </c>
      <c r="B2738" s="232" t="str">
        <f>IF(AND(A2738&lt;&gt;"",ISNUMBER(A2738)),VLOOKUP(A2738,Studies!A:BR,2,FALSE),"")</f>
        <v>Gurley 2006</v>
      </c>
      <c r="C2738" s="232" t="str">
        <f>IF(AND(A2738&lt;&gt;"",ISNUMBER(A2738)),VLOOKUP(A2738,Studies!A:BR,3,FALSE),"")</f>
        <v>https://www.ncbi.nlm.nih.gov/pubmed/16432272</v>
      </c>
      <c r="D2738" s="232" t="str">
        <f>IF(AND(A2738&lt;&gt;"",ISNUMBER(A2738)),VLOOKUP(A2738,Studies!A:BR,4,FALSE),"")</f>
        <v>Control pre-Rifampicin (Perpetrator Placebo)</v>
      </c>
      <c r="E2738" s="206" t="str">
        <f>IF(AND(A2738&lt;&gt;"",ISNUMBER(A2738)),VLOOKUP(A2738,Studies!A:BR,5,FALSE),"")</f>
        <v>Midazolam</v>
      </c>
      <c r="F2738" s="207" t="str">
        <f>IF(AND(A2738&lt;&gt;"",ISNUMBER(A2738)),VLOOKUP(A2738,Studies!A:BR,6,FALSE),"")</f>
        <v>Plasma</v>
      </c>
      <c r="G2738" s="194">
        <v>0</v>
      </c>
      <c r="H2738" s="194" t="s">
        <v>60</v>
      </c>
      <c r="I2738" s="187" t="s">
        <v>1127</v>
      </c>
      <c r="J2738" s="187" t="s">
        <v>1026</v>
      </c>
      <c r="K2738" s="187" t="s">
        <v>116</v>
      </c>
      <c r="L2738" s="145"/>
      <c r="M2738" s="145"/>
      <c r="N2738" s="145"/>
      <c r="O2738" s="199">
        <v>0.1</v>
      </c>
      <c r="P2738" s="188"/>
      <c r="Q2738" s="174">
        <f>IF(ISNUMBER(VLOOKUP(A2738,NotghiID!A:A,1,FALSE)),1,0)</f>
        <v>1</v>
      </c>
      <c r="R2738" s="183"/>
    </row>
    <row r="2739" spans="1:18" ht="14.25" x14ac:dyDescent="0.2">
      <c r="A2739" s="213">
        <v>214</v>
      </c>
      <c r="B2739" s="232" t="str">
        <f>IF(AND(A2739&lt;&gt;"",ISNUMBER(A2739)),VLOOKUP(A2739,Studies!A:BR,2,FALSE),"")</f>
        <v>Gurley 2006</v>
      </c>
      <c r="C2739" s="232" t="str">
        <f>IF(AND(A2739&lt;&gt;"",ISNUMBER(A2739)),VLOOKUP(A2739,Studies!A:BR,3,FALSE),"")</f>
        <v>https://www.ncbi.nlm.nih.gov/pubmed/16432272</v>
      </c>
      <c r="D2739" s="232" t="str">
        <f>IF(AND(A2739&lt;&gt;"",ISNUMBER(A2739)),VLOOKUP(A2739,Studies!A:BR,4,FALSE),"")</f>
        <v>Control pre-Rifampicin (Perpetrator Placebo)</v>
      </c>
      <c r="E2739" s="206" t="str">
        <f>IF(AND(A2739&lt;&gt;"",ISNUMBER(A2739)),VLOOKUP(A2739,Studies!A:BR,5,FALSE),"")</f>
        <v>Midazolam</v>
      </c>
      <c r="F2739" s="207" t="str">
        <f>IF(AND(A2739&lt;&gt;"",ISNUMBER(A2739)),VLOOKUP(A2739,Studies!A:BR,6,FALSE),"")</f>
        <v>Plasma</v>
      </c>
      <c r="G2739" s="194">
        <v>0.25</v>
      </c>
      <c r="H2739" s="194" t="s">
        <v>60</v>
      </c>
      <c r="I2739" s="187">
        <v>22.007449999999999</v>
      </c>
      <c r="J2739" s="187" t="s">
        <v>1026</v>
      </c>
      <c r="K2739" s="187" t="s">
        <v>116</v>
      </c>
      <c r="L2739" s="195">
        <v>9.6080880000000004</v>
      </c>
      <c r="M2739" s="195" t="s">
        <v>1026</v>
      </c>
      <c r="N2739" s="195" t="s">
        <v>117</v>
      </c>
      <c r="O2739" s="199">
        <v>0.1</v>
      </c>
      <c r="P2739" s="188"/>
      <c r="Q2739" s="174">
        <f>IF(ISNUMBER(VLOOKUP(A2739,NotghiID!A:A,1,FALSE)),1,0)</f>
        <v>1</v>
      </c>
      <c r="R2739" s="183"/>
    </row>
    <row r="2740" spans="1:18" ht="14.25" x14ac:dyDescent="0.2">
      <c r="A2740" s="213">
        <v>214</v>
      </c>
      <c r="B2740" s="232" t="str">
        <f>IF(AND(A2740&lt;&gt;"",ISNUMBER(A2740)),VLOOKUP(A2740,Studies!A:BR,2,FALSE),"")</f>
        <v>Gurley 2006</v>
      </c>
      <c r="C2740" s="232" t="str">
        <f>IF(AND(A2740&lt;&gt;"",ISNUMBER(A2740)),VLOOKUP(A2740,Studies!A:BR,3,FALSE),"")</f>
        <v>https://www.ncbi.nlm.nih.gov/pubmed/16432272</v>
      </c>
      <c r="D2740" s="232" t="str">
        <f>IF(AND(A2740&lt;&gt;"",ISNUMBER(A2740)),VLOOKUP(A2740,Studies!A:BR,4,FALSE),"")</f>
        <v>Control pre-Rifampicin (Perpetrator Placebo)</v>
      </c>
      <c r="E2740" s="206" t="str">
        <f>IF(AND(A2740&lt;&gt;"",ISNUMBER(A2740)),VLOOKUP(A2740,Studies!A:BR,5,FALSE),"")</f>
        <v>Midazolam</v>
      </c>
      <c r="F2740" s="207" t="str">
        <f>IF(AND(A2740&lt;&gt;"",ISNUMBER(A2740)),VLOOKUP(A2740,Studies!A:BR,6,FALSE),"")</f>
        <v>Plasma</v>
      </c>
      <c r="G2740" s="194">
        <v>0.5</v>
      </c>
      <c r="H2740" s="194" t="s">
        <v>60</v>
      </c>
      <c r="I2740" s="187">
        <v>23.367450000000002</v>
      </c>
      <c r="J2740" s="187" t="s">
        <v>1026</v>
      </c>
      <c r="K2740" s="187" t="s">
        <v>116</v>
      </c>
      <c r="L2740" s="195">
        <v>10.22137</v>
      </c>
      <c r="M2740" s="195" t="s">
        <v>1026</v>
      </c>
      <c r="N2740" s="195" t="s">
        <v>117</v>
      </c>
      <c r="O2740" s="199">
        <v>0.1</v>
      </c>
      <c r="P2740" s="188"/>
      <c r="Q2740" s="174">
        <f>IF(ISNUMBER(VLOOKUP(A2740,NotghiID!A:A,1,FALSE)),1,0)</f>
        <v>1</v>
      </c>
      <c r="R2740" s="183"/>
    </row>
    <row r="2741" spans="1:18" ht="14.25" x14ac:dyDescent="0.2">
      <c r="A2741" s="213">
        <v>214</v>
      </c>
      <c r="B2741" s="232" t="str">
        <f>IF(AND(A2741&lt;&gt;"",ISNUMBER(A2741)),VLOOKUP(A2741,Studies!A:BR,2,FALSE),"")</f>
        <v>Gurley 2006</v>
      </c>
      <c r="C2741" s="232" t="str">
        <f>IF(AND(A2741&lt;&gt;"",ISNUMBER(A2741)),VLOOKUP(A2741,Studies!A:BR,3,FALSE),"")</f>
        <v>https://www.ncbi.nlm.nih.gov/pubmed/16432272</v>
      </c>
      <c r="D2741" s="232" t="str">
        <f>IF(AND(A2741&lt;&gt;"",ISNUMBER(A2741)),VLOOKUP(A2741,Studies!A:BR,4,FALSE),"")</f>
        <v>Control pre-Rifampicin (Perpetrator Placebo)</v>
      </c>
      <c r="E2741" s="206" t="str">
        <f>IF(AND(A2741&lt;&gt;"",ISNUMBER(A2741)),VLOOKUP(A2741,Studies!A:BR,5,FALSE),"")</f>
        <v>Midazolam</v>
      </c>
      <c r="F2741" s="207" t="str">
        <f>IF(AND(A2741&lt;&gt;"",ISNUMBER(A2741)),VLOOKUP(A2741,Studies!A:BR,6,FALSE),"")</f>
        <v>Plasma</v>
      </c>
      <c r="G2741" s="194">
        <v>0.75</v>
      </c>
      <c r="H2741" s="194" t="s">
        <v>60</v>
      </c>
      <c r="I2741" s="187">
        <v>24.591159999999999</v>
      </c>
      <c r="J2741" s="187" t="s">
        <v>1026</v>
      </c>
      <c r="K2741" s="187" t="s">
        <v>116</v>
      </c>
      <c r="L2741" s="195">
        <v>9.5399480000000008</v>
      </c>
      <c r="M2741" s="195" t="s">
        <v>1026</v>
      </c>
      <c r="N2741" s="195" t="s">
        <v>117</v>
      </c>
      <c r="O2741" s="199">
        <v>0.1</v>
      </c>
      <c r="P2741" s="188"/>
      <c r="Q2741" s="174">
        <f>IF(ISNUMBER(VLOOKUP(A2741,NotghiID!A:A,1,FALSE)),1,0)</f>
        <v>1</v>
      </c>
      <c r="R2741" s="183"/>
    </row>
    <row r="2742" spans="1:18" ht="14.25" x14ac:dyDescent="0.2">
      <c r="A2742" s="213">
        <v>214</v>
      </c>
      <c r="B2742" s="232" t="str">
        <f>IF(AND(A2742&lt;&gt;"",ISNUMBER(A2742)),VLOOKUP(A2742,Studies!A:BR,2,FALSE),"")</f>
        <v>Gurley 2006</v>
      </c>
      <c r="C2742" s="232" t="str">
        <f>IF(AND(A2742&lt;&gt;"",ISNUMBER(A2742)),VLOOKUP(A2742,Studies!A:BR,3,FALSE),"")</f>
        <v>https://www.ncbi.nlm.nih.gov/pubmed/16432272</v>
      </c>
      <c r="D2742" s="232" t="str">
        <f>IF(AND(A2742&lt;&gt;"",ISNUMBER(A2742)),VLOOKUP(A2742,Studies!A:BR,4,FALSE),"")</f>
        <v>Control pre-Rifampicin (Perpetrator Placebo)</v>
      </c>
      <c r="E2742" s="206" t="str">
        <f>IF(AND(A2742&lt;&gt;"",ISNUMBER(A2742)),VLOOKUP(A2742,Studies!A:BR,5,FALSE),"")</f>
        <v>Midazolam</v>
      </c>
      <c r="F2742" s="207" t="str">
        <f>IF(AND(A2742&lt;&gt;"",ISNUMBER(A2742)),VLOOKUP(A2742,Studies!A:BR,6,FALSE),"")</f>
        <v>Plasma</v>
      </c>
      <c r="G2742" s="194">
        <v>1</v>
      </c>
      <c r="H2742" s="194" t="s">
        <v>60</v>
      </c>
      <c r="I2742" s="187">
        <v>20.840520000000001</v>
      </c>
      <c r="J2742" s="187" t="s">
        <v>1026</v>
      </c>
      <c r="K2742" s="187" t="s">
        <v>116</v>
      </c>
      <c r="L2742" s="195">
        <v>7.0186500000000001</v>
      </c>
      <c r="M2742" s="195" t="s">
        <v>1026</v>
      </c>
      <c r="N2742" s="195" t="s">
        <v>117</v>
      </c>
      <c r="O2742" s="199">
        <v>0.1</v>
      </c>
      <c r="P2742" s="188"/>
      <c r="Q2742" s="174">
        <f>IF(ISNUMBER(VLOOKUP(A2742,NotghiID!A:A,1,FALSE)),1,0)</f>
        <v>1</v>
      </c>
      <c r="R2742" s="183"/>
    </row>
    <row r="2743" spans="1:18" ht="14.25" x14ac:dyDescent="0.2">
      <c r="A2743" s="213">
        <v>214</v>
      </c>
      <c r="B2743" s="232" t="str">
        <f>IF(AND(A2743&lt;&gt;"",ISNUMBER(A2743)),VLOOKUP(A2743,Studies!A:BR,2,FALSE),"")</f>
        <v>Gurley 2006</v>
      </c>
      <c r="C2743" s="232" t="str">
        <f>IF(AND(A2743&lt;&gt;"",ISNUMBER(A2743)),VLOOKUP(A2743,Studies!A:BR,3,FALSE),"")</f>
        <v>https://www.ncbi.nlm.nih.gov/pubmed/16432272</v>
      </c>
      <c r="D2743" s="232" t="str">
        <f>IF(AND(A2743&lt;&gt;"",ISNUMBER(A2743)),VLOOKUP(A2743,Studies!A:BR,4,FALSE),"")</f>
        <v>Control pre-Rifampicin (Perpetrator Placebo)</v>
      </c>
      <c r="E2743" s="206" t="str">
        <f>IF(AND(A2743&lt;&gt;"",ISNUMBER(A2743)),VLOOKUP(A2743,Studies!A:BR,5,FALSE),"")</f>
        <v>Midazolam</v>
      </c>
      <c r="F2743" s="207" t="str">
        <f>IF(AND(A2743&lt;&gt;"",ISNUMBER(A2743)),VLOOKUP(A2743,Studies!A:BR,6,FALSE),"")</f>
        <v>Plasma</v>
      </c>
      <c r="G2743" s="194">
        <v>1.5</v>
      </c>
      <c r="H2743" s="194" t="s">
        <v>60</v>
      </c>
      <c r="I2743" s="187">
        <v>17.291360000000001</v>
      </c>
      <c r="J2743" s="187" t="s">
        <v>1026</v>
      </c>
      <c r="K2743" s="187" t="s">
        <v>116</v>
      </c>
      <c r="L2743" s="195">
        <v>5.7240159999999998</v>
      </c>
      <c r="M2743" s="195" t="s">
        <v>1026</v>
      </c>
      <c r="N2743" s="195" t="s">
        <v>117</v>
      </c>
      <c r="O2743" s="199">
        <v>0.1</v>
      </c>
      <c r="P2743" s="188"/>
      <c r="Q2743" s="174">
        <f>IF(ISNUMBER(VLOOKUP(A2743,NotghiID!A:A,1,FALSE)),1,0)</f>
        <v>1</v>
      </c>
      <c r="R2743" s="183"/>
    </row>
    <row r="2744" spans="1:18" ht="14.25" x14ac:dyDescent="0.2">
      <c r="A2744" s="213">
        <v>214</v>
      </c>
      <c r="B2744" s="232" t="str">
        <f>IF(AND(A2744&lt;&gt;"",ISNUMBER(A2744)),VLOOKUP(A2744,Studies!A:BR,2,FALSE),"")</f>
        <v>Gurley 2006</v>
      </c>
      <c r="C2744" s="232" t="str">
        <f>IF(AND(A2744&lt;&gt;"",ISNUMBER(A2744)),VLOOKUP(A2744,Studies!A:BR,3,FALSE),"")</f>
        <v>https://www.ncbi.nlm.nih.gov/pubmed/16432272</v>
      </c>
      <c r="D2744" s="232" t="str">
        <f>IF(AND(A2744&lt;&gt;"",ISNUMBER(A2744)),VLOOKUP(A2744,Studies!A:BR,4,FALSE),"")</f>
        <v>Control pre-Rifampicin (Perpetrator Placebo)</v>
      </c>
      <c r="E2744" s="206" t="str">
        <f>IF(AND(A2744&lt;&gt;"",ISNUMBER(A2744)),VLOOKUP(A2744,Studies!A:BR,5,FALSE),"")</f>
        <v>Midazolam</v>
      </c>
      <c r="F2744" s="207" t="str">
        <f>IF(AND(A2744&lt;&gt;"",ISNUMBER(A2744)),VLOOKUP(A2744,Studies!A:BR,6,FALSE),"")</f>
        <v>Plasma</v>
      </c>
      <c r="G2744" s="194">
        <v>2</v>
      </c>
      <c r="H2744" s="194" t="s">
        <v>60</v>
      </c>
      <c r="I2744" s="187">
        <v>13.946709999999999</v>
      </c>
      <c r="J2744" s="187" t="s">
        <v>1026</v>
      </c>
      <c r="K2744" s="187" t="s">
        <v>116</v>
      </c>
      <c r="L2744" s="195">
        <v>4.9063040000000004</v>
      </c>
      <c r="M2744" s="195" t="s">
        <v>1026</v>
      </c>
      <c r="N2744" s="195" t="s">
        <v>117</v>
      </c>
      <c r="O2744" s="199">
        <v>0.1</v>
      </c>
      <c r="P2744" s="188"/>
      <c r="Q2744" s="174">
        <f>IF(ISNUMBER(VLOOKUP(A2744,NotghiID!A:A,1,FALSE)),1,0)</f>
        <v>1</v>
      </c>
      <c r="R2744" s="183"/>
    </row>
    <row r="2745" spans="1:18" ht="14.25" x14ac:dyDescent="0.2">
      <c r="A2745" s="213">
        <v>214</v>
      </c>
      <c r="B2745" s="232" t="str">
        <f>IF(AND(A2745&lt;&gt;"",ISNUMBER(A2745)),VLOOKUP(A2745,Studies!A:BR,2,FALSE),"")</f>
        <v>Gurley 2006</v>
      </c>
      <c r="C2745" s="232" t="str">
        <f>IF(AND(A2745&lt;&gt;"",ISNUMBER(A2745)),VLOOKUP(A2745,Studies!A:BR,3,FALSE),"")</f>
        <v>https://www.ncbi.nlm.nih.gov/pubmed/16432272</v>
      </c>
      <c r="D2745" s="232" t="str">
        <f>IF(AND(A2745&lt;&gt;"",ISNUMBER(A2745)),VLOOKUP(A2745,Studies!A:BR,4,FALSE),"")</f>
        <v>Control pre-Rifampicin (Perpetrator Placebo)</v>
      </c>
      <c r="E2745" s="206" t="str">
        <f>IF(AND(A2745&lt;&gt;"",ISNUMBER(A2745)),VLOOKUP(A2745,Studies!A:BR,5,FALSE),"")</f>
        <v>Midazolam</v>
      </c>
      <c r="F2745" s="207" t="str">
        <f>IF(AND(A2745&lt;&gt;"",ISNUMBER(A2745)),VLOOKUP(A2745,Studies!A:BR,6,FALSE),"")</f>
        <v>Plasma</v>
      </c>
      <c r="G2745" s="194">
        <v>3</v>
      </c>
      <c r="H2745" s="194" t="s">
        <v>60</v>
      </c>
      <c r="I2745" s="187">
        <v>8.2794760000000007</v>
      </c>
      <c r="J2745" s="187" t="s">
        <v>1026</v>
      </c>
      <c r="K2745" s="187" t="s">
        <v>116</v>
      </c>
      <c r="L2745" s="195">
        <v>2.5893489999999999</v>
      </c>
      <c r="M2745" s="195" t="s">
        <v>1026</v>
      </c>
      <c r="N2745" s="195" t="s">
        <v>117</v>
      </c>
      <c r="O2745" s="199">
        <v>0.1</v>
      </c>
      <c r="P2745" s="188"/>
      <c r="Q2745" s="174">
        <f>IF(ISNUMBER(VLOOKUP(A2745,NotghiID!A:A,1,FALSE)),1,0)</f>
        <v>1</v>
      </c>
      <c r="R2745" s="183"/>
    </row>
    <row r="2746" spans="1:18" ht="14.25" x14ac:dyDescent="0.2">
      <c r="A2746" s="213">
        <v>214</v>
      </c>
      <c r="B2746" s="232" t="str">
        <f>IF(AND(A2746&lt;&gt;"",ISNUMBER(A2746)),VLOOKUP(A2746,Studies!A:BR,2,FALSE),"")</f>
        <v>Gurley 2006</v>
      </c>
      <c r="C2746" s="232" t="str">
        <f>IF(AND(A2746&lt;&gt;"",ISNUMBER(A2746)),VLOOKUP(A2746,Studies!A:BR,3,FALSE),"")</f>
        <v>https://www.ncbi.nlm.nih.gov/pubmed/16432272</v>
      </c>
      <c r="D2746" s="232" t="str">
        <f>IF(AND(A2746&lt;&gt;"",ISNUMBER(A2746)),VLOOKUP(A2746,Studies!A:BR,4,FALSE),"")</f>
        <v>Control pre-Rifampicin (Perpetrator Placebo)</v>
      </c>
      <c r="E2746" s="206" t="str">
        <f>IF(AND(A2746&lt;&gt;"",ISNUMBER(A2746)),VLOOKUP(A2746,Studies!A:BR,5,FALSE),"")</f>
        <v>Midazolam</v>
      </c>
      <c r="F2746" s="207" t="str">
        <f>IF(AND(A2746&lt;&gt;"",ISNUMBER(A2746)),VLOOKUP(A2746,Studies!A:BR,6,FALSE),"")</f>
        <v>Plasma</v>
      </c>
      <c r="G2746" s="194">
        <v>4</v>
      </c>
      <c r="H2746" s="194" t="s">
        <v>60</v>
      </c>
      <c r="I2746" s="187">
        <v>5.4742519999999999</v>
      </c>
      <c r="J2746" s="187" t="s">
        <v>1026</v>
      </c>
      <c r="K2746" s="187" t="s">
        <v>116</v>
      </c>
      <c r="L2746" s="195">
        <v>1.9080060000000001</v>
      </c>
      <c r="M2746" s="195" t="s">
        <v>1026</v>
      </c>
      <c r="N2746" s="195" t="s">
        <v>117</v>
      </c>
      <c r="O2746" s="199">
        <v>0.1</v>
      </c>
      <c r="P2746" s="188"/>
      <c r="Q2746" s="174">
        <f>IF(ISNUMBER(VLOOKUP(A2746,NotghiID!A:A,1,FALSE)),1,0)</f>
        <v>1</v>
      </c>
      <c r="R2746" s="183"/>
    </row>
    <row r="2747" spans="1:18" ht="14.25" x14ac:dyDescent="0.2">
      <c r="A2747" s="213">
        <v>214</v>
      </c>
      <c r="B2747" s="232" t="str">
        <f>IF(AND(A2747&lt;&gt;"",ISNUMBER(A2747)),VLOOKUP(A2747,Studies!A:BR,2,FALSE),"")</f>
        <v>Gurley 2006</v>
      </c>
      <c r="C2747" s="232" t="str">
        <f>IF(AND(A2747&lt;&gt;"",ISNUMBER(A2747)),VLOOKUP(A2747,Studies!A:BR,3,FALSE),"")</f>
        <v>https://www.ncbi.nlm.nih.gov/pubmed/16432272</v>
      </c>
      <c r="D2747" s="232" t="str">
        <f>IF(AND(A2747&lt;&gt;"",ISNUMBER(A2747)),VLOOKUP(A2747,Studies!A:BR,4,FALSE),"")</f>
        <v>Control pre-Rifampicin (Perpetrator Placebo)</v>
      </c>
      <c r="E2747" s="206" t="str">
        <f>IF(AND(A2747&lt;&gt;"",ISNUMBER(A2747)),VLOOKUP(A2747,Studies!A:BR,5,FALSE),"")</f>
        <v>Midazolam</v>
      </c>
      <c r="F2747" s="207" t="str">
        <f>IF(AND(A2747&lt;&gt;"",ISNUMBER(A2747)),VLOOKUP(A2747,Studies!A:BR,6,FALSE),"")</f>
        <v>Plasma</v>
      </c>
      <c r="G2747" s="194">
        <v>5</v>
      </c>
      <c r="H2747" s="194" t="s">
        <v>60</v>
      </c>
      <c r="I2747" s="187">
        <v>3.8956930000000001</v>
      </c>
      <c r="J2747" s="187" t="s">
        <v>1026</v>
      </c>
      <c r="K2747" s="187" t="s">
        <v>116</v>
      </c>
      <c r="L2747" s="195">
        <v>1.839774</v>
      </c>
      <c r="M2747" s="195" t="s">
        <v>1026</v>
      </c>
      <c r="N2747" s="195" t="s">
        <v>117</v>
      </c>
      <c r="O2747" s="199">
        <v>0.1</v>
      </c>
      <c r="P2747" s="188"/>
      <c r="Q2747" s="174">
        <f>IF(ISNUMBER(VLOOKUP(A2747,NotghiID!A:A,1,FALSE)),1,0)</f>
        <v>1</v>
      </c>
      <c r="R2747" s="183"/>
    </row>
    <row r="2748" spans="1:18" ht="14.25" x14ac:dyDescent="0.2">
      <c r="A2748" s="213">
        <v>214</v>
      </c>
      <c r="B2748" s="232" t="str">
        <f>IF(AND(A2748&lt;&gt;"",ISNUMBER(A2748)),VLOOKUP(A2748,Studies!A:BR,2,FALSE),"")</f>
        <v>Gurley 2006</v>
      </c>
      <c r="C2748" s="232" t="str">
        <f>IF(AND(A2748&lt;&gt;"",ISNUMBER(A2748)),VLOOKUP(A2748,Studies!A:BR,3,FALSE),"")</f>
        <v>https://www.ncbi.nlm.nih.gov/pubmed/16432272</v>
      </c>
      <c r="D2748" s="232" t="str">
        <f>IF(AND(A2748&lt;&gt;"",ISNUMBER(A2748)),VLOOKUP(A2748,Studies!A:BR,4,FALSE),"")</f>
        <v>Control pre-Rifampicin (Perpetrator Placebo)</v>
      </c>
      <c r="E2748" s="206" t="str">
        <f>IF(AND(A2748&lt;&gt;"",ISNUMBER(A2748)),VLOOKUP(A2748,Studies!A:BR,5,FALSE),"")</f>
        <v>Midazolam</v>
      </c>
      <c r="F2748" s="207" t="str">
        <f>IF(AND(A2748&lt;&gt;"",ISNUMBER(A2748)),VLOOKUP(A2748,Studies!A:BR,6,FALSE),"")</f>
        <v>Plasma</v>
      </c>
      <c r="G2748" s="194">
        <v>6</v>
      </c>
      <c r="H2748" s="194" t="s">
        <v>60</v>
      </c>
      <c r="I2748" s="187">
        <v>2.9302429999999999</v>
      </c>
      <c r="J2748" s="187" t="s">
        <v>1026</v>
      </c>
      <c r="K2748" s="187" t="s">
        <v>116</v>
      </c>
      <c r="L2748" s="195">
        <v>1.362862</v>
      </c>
      <c r="M2748" s="195" t="s">
        <v>1026</v>
      </c>
      <c r="N2748" s="195" t="s">
        <v>117</v>
      </c>
      <c r="O2748" s="199">
        <v>0.1</v>
      </c>
      <c r="P2748" s="188"/>
      <c r="Q2748" s="174">
        <f>IF(ISNUMBER(VLOOKUP(A2748,NotghiID!A:A,1,FALSE)),1,0)</f>
        <v>1</v>
      </c>
      <c r="R2748" s="183"/>
    </row>
    <row r="2749" spans="1:18" ht="14.25" x14ac:dyDescent="0.2">
      <c r="A2749" s="189">
        <v>215</v>
      </c>
      <c r="B2749" s="232" t="str">
        <f>IF(AND(A2749&lt;&gt;"",ISNUMBER(A2749)),VLOOKUP(A2749,Studies!A:BR,2,FALSE),"")</f>
        <v>Gurley 2006</v>
      </c>
      <c r="C2749" s="232" t="str">
        <f>IF(AND(A2749&lt;&gt;"",ISNUMBER(A2749)),VLOOKUP(A2749,Studies!A:BR,3,FALSE),"")</f>
        <v>https://www.ncbi.nlm.nih.gov/pubmed/16432272</v>
      </c>
      <c r="D2749" s="232" t="str">
        <f>IF(AND(A2749&lt;&gt;"",ISNUMBER(A2749)),VLOOKUP(A2749,Studies!A:BR,4,FALSE),"")</f>
        <v>with Perpetrator (Rifampicin)</v>
      </c>
      <c r="E2749" s="206" t="str">
        <f>IF(AND(A2749&lt;&gt;"",ISNUMBER(A2749)),VLOOKUP(A2749,Studies!A:BR,5,FALSE),"")</f>
        <v>Midazolam</v>
      </c>
      <c r="F2749" s="207" t="str">
        <f>IF(AND(A2749&lt;&gt;"",ISNUMBER(A2749)),VLOOKUP(A2749,Studies!A:BR,6,FALSE),"")</f>
        <v>Plasma</v>
      </c>
      <c r="G2749" s="194">
        <v>146</v>
      </c>
      <c r="H2749" s="194" t="s">
        <v>60</v>
      </c>
      <c r="I2749" s="187" t="s">
        <v>1127</v>
      </c>
      <c r="J2749" s="187" t="s">
        <v>1026</v>
      </c>
      <c r="K2749" s="187" t="s">
        <v>116</v>
      </c>
      <c r="L2749" s="145"/>
      <c r="M2749" s="145"/>
      <c r="N2749" s="145"/>
      <c r="O2749" s="199">
        <v>0.1</v>
      </c>
      <c r="P2749" s="188"/>
      <c r="Q2749" s="174">
        <f>IF(ISNUMBER(VLOOKUP(A2749,NotghiID!A:A,1,FALSE)),1,0)</f>
        <v>1</v>
      </c>
      <c r="R2749" s="183"/>
    </row>
    <row r="2750" spans="1:18" ht="14.25" x14ac:dyDescent="0.2">
      <c r="A2750" s="189">
        <v>215</v>
      </c>
      <c r="B2750" s="232" t="str">
        <f>IF(AND(A2750&lt;&gt;"",ISNUMBER(A2750)),VLOOKUP(A2750,Studies!A:BR,2,FALSE),"")</f>
        <v>Gurley 2006</v>
      </c>
      <c r="C2750" s="232" t="str">
        <f>IF(AND(A2750&lt;&gt;"",ISNUMBER(A2750)),VLOOKUP(A2750,Studies!A:BR,3,FALSE),"")</f>
        <v>https://www.ncbi.nlm.nih.gov/pubmed/16432272</v>
      </c>
      <c r="D2750" s="232" t="str">
        <f>IF(AND(A2750&lt;&gt;"",ISNUMBER(A2750)),VLOOKUP(A2750,Studies!A:BR,4,FALSE),"")</f>
        <v>with Perpetrator (Rifampicin)</v>
      </c>
      <c r="E2750" s="206" t="str">
        <f>IF(AND(A2750&lt;&gt;"",ISNUMBER(A2750)),VLOOKUP(A2750,Studies!A:BR,5,FALSE),"")</f>
        <v>Midazolam</v>
      </c>
      <c r="F2750" s="207" t="str">
        <f>IF(AND(A2750&lt;&gt;"",ISNUMBER(A2750)),VLOOKUP(A2750,Studies!A:BR,6,FALSE),"")</f>
        <v>Plasma</v>
      </c>
      <c r="G2750" s="194">
        <v>146.25</v>
      </c>
      <c r="H2750" s="194" t="s">
        <v>60</v>
      </c>
      <c r="I2750" s="187">
        <v>2.927381</v>
      </c>
      <c r="J2750" s="187" t="s">
        <v>1026</v>
      </c>
      <c r="K2750" s="187" t="s">
        <v>116</v>
      </c>
      <c r="L2750" s="195">
        <v>2.5894379999999999</v>
      </c>
      <c r="M2750" s="195" t="s">
        <v>1026</v>
      </c>
      <c r="N2750" s="195" t="s">
        <v>117</v>
      </c>
      <c r="O2750" s="199">
        <v>0.1</v>
      </c>
      <c r="P2750" s="188"/>
      <c r="Q2750" s="174">
        <f>IF(ISNUMBER(VLOOKUP(A2750,NotghiID!A:A,1,FALSE)),1,0)</f>
        <v>1</v>
      </c>
      <c r="R2750" s="183"/>
    </row>
    <row r="2751" spans="1:18" ht="14.25" x14ac:dyDescent="0.2">
      <c r="A2751" s="189">
        <v>215</v>
      </c>
      <c r="B2751" s="232" t="str">
        <f>IF(AND(A2751&lt;&gt;"",ISNUMBER(A2751)),VLOOKUP(A2751,Studies!A:BR,2,FALSE),"")</f>
        <v>Gurley 2006</v>
      </c>
      <c r="C2751" s="232" t="str">
        <f>IF(AND(A2751&lt;&gt;"",ISNUMBER(A2751)),VLOOKUP(A2751,Studies!A:BR,3,FALSE),"")</f>
        <v>https://www.ncbi.nlm.nih.gov/pubmed/16432272</v>
      </c>
      <c r="D2751" s="232" t="str">
        <f>IF(AND(A2751&lt;&gt;"",ISNUMBER(A2751)),VLOOKUP(A2751,Studies!A:BR,4,FALSE),"")</f>
        <v>with Perpetrator (Rifampicin)</v>
      </c>
      <c r="E2751" s="206" t="str">
        <f>IF(AND(A2751&lt;&gt;"",ISNUMBER(A2751)),VLOOKUP(A2751,Studies!A:BR,5,FALSE),"")</f>
        <v>Midazolam</v>
      </c>
      <c r="F2751" s="207" t="str">
        <f>IF(AND(A2751&lt;&gt;"",ISNUMBER(A2751)),VLOOKUP(A2751,Studies!A:BR,6,FALSE),"")</f>
        <v>Plasma</v>
      </c>
      <c r="G2751" s="194">
        <v>146.5</v>
      </c>
      <c r="H2751" s="194" t="s">
        <v>60</v>
      </c>
      <c r="I2751" s="187">
        <v>3.0608059999999999</v>
      </c>
      <c r="J2751" s="187" t="s">
        <v>1026</v>
      </c>
      <c r="K2751" s="187" t="s">
        <v>116</v>
      </c>
      <c r="L2751" s="195">
        <v>2.5212949999999998</v>
      </c>
      <c r="M2751" s="195" t="s">
        <v>1026</v>
      </c>
      <c r="N2751" s="195" t="s">
        <v>117</v>
      </c>
      <c r="O2751" s="199">
        <v>0.1</v>
      </c>
      <c r="P2751" s="188"/>
      <c r="Q2751" s="174">
        <f>IF(ISNUMBER(VLOOKUP(A2751,NotghiID!A:A,1,FALSE)),1,0)</f>
        <v>1</v>
      </c>
      <c r="R2751" s="183"/>
    </row>
    <row r="2752" spans="1:18" ht="14.25" x14ac:dyDescent="0.2">
      <c r="A2752" s="189">
        <v>215</v>
      </c>
      <c r="B2752" s="232" t="str">
        <f>IF(AND(A2752&lt;&gt;"",ISNUMBER(A2752)),VLOOKUP(A2752,Studies!A:BR,2,FALSE),"")</f>
        <v>Gurley 2006</v>
      </c>
      <c r="C2752" s="232" t="str">
        <f>IF(AND(A2752&lt;&gt;"",ISNUMBER(A2752)),VLOOKUP(A2752,Studies!A:BR,3,FALSE),"")</f>
        <v>https://www.ncbi.nlm.nih.gov/pubmed/16432272</v>
      </c>
      <c r="D2752" s="232" t="str">
        <f>IF(AND(A2752&lt;&gt;"",ISNUMBER(A2752)),VLOOKUP(A2752,Studies!A:BR,4,FALSE),"")</f>
        <v>with Perpetrator (Rifampicin)</v>
      </c>
      <c r="E2752" s="206" t="str">
        <f>IF(AND(A2752&lt;&gt;"",ISNUMBER(A2752)),VLOOKUP(A2752,Studies!A:BR,5,FALSE),"")</f>
        <v>Midazolam</v>
      </c>
      <c r="F2752" s="207" t="str">
        <f>IF(AND(A2752&lt;&gt;"",ISNUMBER(A2752)),VLOOKUP(A2752,Studies!A:BR,6,FALSE),"")</f>
        <v>Plasma</v>
      </c>
      <c r="G2752" s="194">
        <v>146.75</v>
      </c>
      <c r="H2752" s="194" t="s">
        <v>60</v>
      </c>
      <c r="I2752" s="187">
        <v>2.0357980000000002</v>
      </c>
      <c r="J2752" s="187" t="s">
        <v>1026</v>
      </c>
      <c r="K2752" s="187" t="s">
        <v>116</v>
      </c>
      <c r="L2752" s="195">
        <v>1.0221469999999999</v>
      </c>
      <c r="M2752" s="195" t="s">
        <v>1026</v>
      </c>
      <c r="N2752" s="195" t="s">
        <v>117</v>
      </c>
      <c r="O2752" s="199">
        <v>0.1</v>
      </c>
      <c r="P2752" s="188"/>
      <c r="Q2752" s="174">
        <f>IF(ISNUMBER(VLOOKUP(A2752,NotghiID!A:A,1,FALSE)),1,0)</f>
        <v>1</v>
      </c>
      <c r="R2752" s="183"/>
    </row>
    <row r="2753" spans="1:18" ht="14.25" x14ac:dyDescent="0.2">
      <c r="A2753" s="189">
        <v>215</v>
      </c>
      <c r="B2753" s="232" t="str">
        <f>IF(AND(A2753&lt;&gt;"",ISNUMBER(A2753)),VLOOKUP(A2753,Studies!A:BR,2,FALSE),"")</f>
        <v>Gurley 2006</v>
      </c>
      <c r="C2753" s="232" t="str">
        <f>IF(AND(A2753&lt;&gt;"",ISNUMBER(A2753)),VLOOKUP(A2753,Studies!A:BR,3,FALSE),"")</f>
        <v>https://www.ncbi.nlm.nih.gov/pubmed/16432272</v>
      </c>
      <c r="D2753" s="232" t="str">
        <f>IF(AND(A2753&lt;&gt;"",ISNUMBER(A2753)),VLOOKUP(A2753,Studies!A:BR,4,FALSE),"")</f>
        <v>with Perpetrator (Rifampicin)</v>
      </c>
      <c r="E2753" s="206" t="str">
        <f>IF(AND(A2753&lt;&gt;"",ISNUMBER(A2753)),VLOOKUP(A2753,Studies!A:BR,5,FALSE),"")</f>
        <v>Midazolam</v>
      </c>
      <c r="F2753" s="207" t="str">
        <f>IF(AND(A2753&lt;&gt;"",ISNUMBER(A2753)),VLOOKUP(A2753,Studies!A:BR,6,FALSE),"")</f>
        <v>Plasma</v>
      </c>
      <c r="G2753" s="194">
        <v>147</v>
      </c>
      <c r="H2753" s="194" t="s">
        <v>60</v>
      </c>
      <c r="I2753" s="187">
        <v>1.4877910000000001</v>
      </c>
      <c r="J2753" s="187" t="s">
        <v>1026</v>
      </c>
      <c r="K2753" s="187" t="s">
        <v>116</v>
      </c>
      <c r="L2753" s="145"/>
      <c r="M2753" s="145"/>
      <c r="N2753" s="145"/>
      <c r="O2753" s="199">
        <v>0.1</v>
      </c>
      <c r="P2753" s="188"/>
      <c r="Q2753" s="174">
        <f>IF(ISNUMBER(VLOOKUP(A2753,NotghiID!A:A,1,FALSE)),1,0)</f>
        <v>1</v>
      </c>
      <c r="R2753" s="183"/>
    </row>
    <row r="2754" spans="1:18" ht="14.25" x14ac:dyDescent="0.2">
      <c r="A2754" s="189">
        <v>215</v>
      </c>
      <c r="B2754" s="232" t="str">
        <f>IF(AND(A2754&lt;&gt;"",ISNUMBER(A2754)),VLOOKUP(A2754,Studies!A:BR,2,FALSE),"")</f>
        <v>Gurley 2006</v>
      </c>
      <c r="C2754" s="232" t="str">
        <f>IF(AND(A2754&lt;&gt;"",ISNUMBER(A2754)),VLOOKUP(A2754,Studies!A:BR,3,FALSE),"")</f>
        <v>https://www.ncbi.nlm.nih.gov/pubmed/16432272</v>
      </c>
      <c r="D2754" s="232" t="str">
        <f>IF(AND(A2754&lt;&gt;"",ISNUMBER(A2754)),VLOOKUP(A2754,Studies!A:BR,4,FALSE),"")</f>
        <v>with Perpetrator (Rifampicin)</v>
      </c>
      <c r="E2754" s="206" t="str">
        <f>IF(AND(A2754&lt;&gt;"",ISNUMBER(A2754)),VLOOKUP(A2754,Studies!A:BR,5,FALSE),"")</f>
        <v>Midazolam</v>
      </c>
      <c r="F2754" s="207" t="str">
        <f>IF(AND(A2754&lt;&gt;"",ISNUMBER(A2754)),VLOOKUP(A2754,Studies!A:BR,6,FALSE),"")</f>
        <v>Plasma</v>
      </c>
      <c r="G2754" s="194">
        <v>147.5</v>
      </c>
      <c r="H2754" s="194" t="s">
        <v>60</v>
      </c>
      <c r="I2754" s="187">
        <v>1.345871</v>
      </c>
      <c r="J2754" s="187" t="s">
        <v>1026</v>
      </c>
      <c r="K2754" s="187" t="s">
        <v>116</v>
      </c>
      <c r="L2754" s="145"/>
      <c r="M2754" s="145"/>
      <c r="N2754" s="145"/>
      <c r="O2754" s="199">
        <v>0.1</v>
      </c>
      <c r="P2754" s="188"/>
      <c r="Q2754" s="174">
        <f>IF(ISNUMBER(VLOOKUP(A2754,NotghiID!A:A,1,FALSE)),1,0)</f>
        <v>1</v>
      </c>
      <c r="R2754" s="183"/>
    </row>
    <row r="2755" spans="1:18" ht="14.25" x14ac:dyDescent="0.2">
      <c r="A2755" s="189">
        <v>215</v>
      </c>
      <c r="B2755" s="232" t="str">
        <f>IF(AND(A2755&lt;&gt;"",ISNUMBER(A2755)),VLOOKUP(A2755,Studies!A:BR,2,FALSE),"")</f>
        <v>Gurley 2006</v>
      </c>
      <c r="C2755" s="232" t="str">
        <f>IF(AND(A2755&lt;&gt;"",ISNUMBER(A2755)),VLOOKUP(A2755,Studies!A:BR,3,FALSE),"")</f>
        <v>https://www.ncbi.nlm.nih.gov/pubmed/16432272</v>
      </c>
      <c r="D2755" s="232" t="str">
        <f>IF(AND(A2755&lt;&gt;"",ISNUMBER(A2755)),VLOOKUP(A2755,Studies!A:BR,4,FALSE),"")</f>
        <v>with Perpetrator (Rifampicin)</v>
      </c>
      <c r="E2755" s="206" t="str">
        <f>IF(AND(A2755&lt;&gt;"",ISNUMBER(A2755)),VLOOKUP(A2755,Studies!A:BR,5,FALSE),"")</f>
        <v>Midazolam</v>
      </c>
      <c r="F2755" s="207" t="str">
        <f>IF(AND(A2755&lt;&gt;"",ISNUMBER(A2755)),VLOOKUP(A2755,Studies!A:BR,6,FALSE),"")</f>
        <v>Plasma</v>
      </c>
      <c r="G2755" s="194">
        <v>148</v>
      </c>
      <c r="H2755" s="194" t="s">
        <v>60</v>
      </c>
      <c r="I2755" s="187">
        <v>0.86323539999999999</v>
      </c>
      <c r="J2755" s="187" t="s">
        <v>1026</v>
      </c>
      <c r="K2755" s="187" t="s">
        <v>116</v>
      </c>
      <c r="L2755" s="145"/>
      <c r="M2755" s="145"/>
      <c r="N2755" s="145"/>
      <c r="O2755" s="199">
        <v>0.1</v>
      </c>
      <c r="P2755" s="188"/>
      <c r="Q2755" s="174">
        <f>IF(ISNUMBER(VLOOKUP(A2755,NotghiID!A:A,1,FALSE)),1,0)</f>
        <v>1</v>
      </c>
      <c r="R2755" s="183"/>
    </row>
    <row r="2756" spans="1:18" ht="14.25" x14ac:dyDescent="0.2">
      <c r="A2756" s="189">
        <v>215</v>
      </c>
      <c r="B2756" s="232" t="str">
        <f>IF(AND(A2756&lt;&gt;"",ISNUMBER(A2756)),VLOOKUP(A2756,Studies!A:BR,2,FALSE),"")</f>
        <v>Gurley 2006</v>
      </c>
      <c r="C2756" s="232" t="str">
        <f>IF(AND(A2756&lt;&gt;"",ISNUMBER(A2756)),VLOOKUP(A2756,Studies!A:BR,3,FALSE),"")</f>
        <v>https://www.ncbi.nlm.nih.gov/pubmed/16432272</v>
      </c>
      <c r="D2756" s="232" t="str">
        <f>IF(AND(A2756&lt;&gt;"",ISNUMBER(A2756)),VLOOKUP(A2756,Studies!A:BR,4,FALSE),"")</f>
        <v>with Perpetrator (Rifampicin)</v>
      </c>
      <c r="E2756" s="206" t="str">
        <f>IF(AND(A2756&lt;&gt;"",ISNUMBER(A2756)),VLOOKUP(A2756,Studies!A:BR,5,FALSE),"")</f>
        <v>Midazolam</v>
      </c>
      <c r="F2756" s="207" t="str">
        <f>IF(AND(A2756&lt;&gt;"",ISNUMBER(A2756)),VLOOKUP(A2756,Studies!A:BR,6,FALSE),"")</f>
        <v>Plasma</v>
      </c>
      <c r="G2756" s="194">
        <v>149</v>
      </c>
      <c r="H2756" s="194" t="s">
        <v>60</v>
      </c>
      <c r="I2756" s="187">
        <v>0.37478709999999998</v>
      </c>
      <c r="J2756" s="187" t="s">
        <v>1026</v>
      </c>
      <c r="K2756" s="187" t="s">
        <v>116</v>
      </c>
      <c r="L2756" s="145"/>
      <c r="M2756" s="145"/>
      <c r="N2756" s="145"/>
      <c r="O2756" s="199">
        <v>0.1</v>
      </c>
      <c r="P2756" s="188"/>
      <c r="Q2756" s="174">
        <f>IF(ISNUMBER(VLOOKUP(A2756,NotghiID!A:A,1,FALSE)),1,0)</f>
        <v>1</v>
      </c>
      <c r="R2756" s="183"/>
    </row>
    <row r="2757" spans="1:18" ht="14.25" x14ac:dyDescent="0.2">
      <c r="A2757" s="189">
        <v>215</v>
      </c>
      <c r="B2757" s="232" t="str">
        <f>IF(AND(A2757&lt;&gt;"",ISNUMBER(A2757)),VLOOKUP(A2757,Studies!A:BR,2,FALSE),"")</f>
        <v>Gurley 2006</v>
      </c>
      <c r="C2757" s="232" t="str">
        <f>IF(AND(A2757&lt;&gt;"",ISNUMBER(A2757)),VLOOKUP(A2757,Studies!A:BR,3,FALSE),"")</f>
        <v>https://www.ncbi.nlm.nih.gov/pubmed/16432272</v>
      </c>
      <c r="D2757" s="232" t="str">
        <f>IF(AND(A2757&lt;&gt;"",ISNUMBER(A2757)),VLOOKUP(A2757,Studies!A:BR,4,FALSE),"")</f>
        <v>with Perpetrator (Rifampicin)</v>
      </c>
      <c r="E2757" s="206" t="str">
        <f>IF(AND(A2757&lt;&gt;"",ISNUMBER(A2757)),VLOOKUP(A2757,Studies!A:BR,5,FALSE),"")</f>
        <v>Midazolam</v>
      </c>
      <c r="F2757" s="207" t="str">
        <f>IF(AND(A2757&lt;&gt;"",ISNUMBER(A2757)),VLOOKUP(A2757,Studies!A:BR,6,FALSE),"")</f>
        <v>Plasma</v>
      </c>
      <c r="G2757" s="194">
        <v>150</v>
      </c>
      <c r="H2757" s="194" t="s">
        <v>60</v>
      </c>
      <c r="I2757" s="187">
        <v>0.29546559999999999</v>
      </c>
      <c r="J2757" s="187" t="s">
        <v>1026</v>
      </c>
      <c r="K2757" s="187" t="s">
        <v>116</v>
      </c>
      <c r="L2757" s="145"/>
      <c r="M2757" s="145"/>
      <c r="N2757" s="145"/>
      <c r="O2757" s="199">
        <v>0.1</v>
      </c>
      <c r="P2757" s="188"/>
      <c r="Q2757" s="174">
        <f>IF(ISNUMBER(VLOOKUP(A2757,NotghiID!A:A,1,FALSE)),1,0)</f>
        <v>1</v>
      </c>
      <c r="R2757" s="183"/>
    </row>
    <row r="2758" spans="1:18" ht="14.25" x14ac:dyDescent="0.2">
      <c r="A2758" s="189">
        <v>215</v>
      </c>
      <c r="B2758" s="232" t="str">
        <f>IF(AND(A2758&lt;&gt;"",ISNUMBER(A2758)),VLOOKUP(A2758,Studies!A:BR,2,FALSE),"")</f>
        <v>Gurley 2006</v>
      </c>
      <c r="C2758" s="232" t="str">
        <f>IF(AND(A2758&lt;&gt;"",ISNUMBER(A2758)),VLOOKUP(A2758,Studies!A:BR,3,FALSE),"")</f>
        <v>https://www.ncbi.nlm.nih.gov/pubmed/16432272</v>
      </c>
      <c r="D2758" s="232" t="str">
        <f>IF(AND(A2758&lt;&gt;"",ISNUMBER(A2758)),VLOOKUP(A2758,Studies!A:BR,4,FALSE),"")</f>
        <v>with Perpetrator (Rifampicin)</v>
      </c>
      <c r="E2758" s="206" t="str">
        <f>IF(AND(A2758&lt;&gt;"",ISNUMBER(A2758)),VLOOKUP(A2758,Studies!A:BR,5,FALSE),"")</f>
        <v>Midazolam</v>
      </c>
      <c r="F2758" s="207" t="str">
        <f>IF(AND(A2758&lt;&gt;"",ISNUMBER(A2758)),VLOOKUP(A2758,Studies!A:BR,6,FALSE),"")</f>
        <v>Plasma</v>
      </c>
      <c r="G2758" s="194">
        <v>151</v>
      </c>
      <c r="H2758" s="194" t="s">
        <v>60</v>
      </c>
      <c r="I2758" s="187">
        <v>0.1477328</v>
      </c>
      <c r="J2758" s="187" t="s">
        <v>1026</v>
      </c>
      <c r="K2758" s="187" t="s">
        <v>116</v>
      </c>
      <c r="L2758" s="145"/>
      <c r="M2758" s="145"/>
      <c r="N2758" s="145"/>
      <c r="O2758" s="199">
        <v>0.1</v>
      </c>
      <c r="P2758" s="188"/>
      <c r="Q2758" s="174">
        <f>IF(ISNUMBER(VLOOKUP(A2758,NotghiID!A:A,1,FALSE)),1,0)</f>
        <v>1</v>
      </c>
      <c r="R2758" s="183"/>
    </row>
    <row r="2759" spans="1:18" ht="14.25" x14ac:dyDescent="0.2">
      <c r="A2759" s="189">
        <v>215</v>
      </c>
      <c r="B2759" s="232" t="str">
        <f>IF(AND(A2759&lt;&gt;"",ISNUMBER(A2759)),VLOOKUP(A2759,Studies!A:BR,2,FALSE),"")</f>
        <v>Gurley 2006</v>
      </c>
      <c r="C2759" s="232" t="str">
        <f>IF(AND(A2759&lt;&gt;"",ISNUMBER(A2759)),VLOOKUP(A2759,Studies!A:BR,3,FALSE),"")</f>
        <v>https://www.ncbi.nlm.nih.gov/pubmed/16432272</v>
      </c>
      <c r="D2759" s="232" t="str">
        <f>IF(AND(A2759&lt;&gt;"",ISNUMBER(A2759)),VLOOKUP(A2759,Studies!A:BR,4,FALSE),"")</f>
        <v>with Perpetrator (Rifampicin)</v>
      </c>
      <c r="E2759" s="206" t="str">
        <f>IF(AND(A2759&lt;&gt;"",ISNUMBER(A2759)),VLOOKUP(A2759,Studies!A:BR,5,FALSE),"")</f>
        <v>Midazolam</v>
      </c>
      <c r="F2759" s="207" t="str">
        <f>IF(AND(A2759&lt;&gt;"",ISNUMBER(A2759)),VLOOKUP(A2759,Studies!A:BR,6,FALSE),"")</f>
        <v>Plasma</v>
      </c>
      <c r="G2759" s="194">
        <v>152</v>
      </c>
      <c r="H2759" s="194" t="s">
        <v>60</v>
      </c>
      <c r="I2759" s="187">
        <v>0.13637560000000001</v>
      </c>
      <c r="J2759" s="187" t="s">
        <v>1026</v>
      </c>
      <c r="K2759" s="187" t="s">
        <v>116</v>
      </c>
      <c r="L2759" s="145"/>
      <c r="M2759" s="145"/>
      <c r="N2759" s="145"/>
      <c r="O2759" s="199">
        <v>0.1</v>
      </c>
      <c r="P2759" s="188"/>
      <c r="Q2759" s="174">
        <f>IF(ISNUMBER(VLOOKUP(A2759,NotghiID!A:A,1,FALSE)),1,0)</f>
        <v>1</v>
      </c>
      <c r="R2759" s="183"/>
    </row>
    <row r="2760" spans="1:18" ht="14.25" x14ac:dyDescent="0.2">
      <c r="A2760" s="189">
        <v>216</v>
      </c>
      <c r="B2760" s="232" t="str">
        <f>IF(AND(A2760&lt;&gt;"",ISNUMBER(A2760)),VLOOKUP(A2760,Studies!A:BR,2,FALSE),"")</f>
        <v>Gurley 2006</v>
      </c>
      <c r="C2760" s="232" t="str">
        <f>IF(AND(A2760&lt;&gt;"",ISNUMBER(A2760)),VLOOKUP(A2760,Studies!A:BR,3,FALSE),"")</f>
        <v>https://www.ncbi.nlm.nih.gov/pubmed/16432272</v>
      </c>
      <c r="D2760" s="232" t="str">
        <f>IF(AND(A2760&lt;&gt;"",ISNUMBER(A2760)),VLOOKUP(A2760,Studies!A:BR,4,FALSE),"")</f>
        <v>Control pre-Clarithromycin (Perpetrator Placebo)</v>
      </c>
      <c r="E2760" s="206" t="str">
        <f>IF(AND(A2760&lt;&gt;"",ISNUMBER(A2760)),VLOOKUP(A2760,Studies!A:BR,5,FALSE),"")</f>
        <v>Midazolam</v>
      </c>
      <c r="F2760" s="207" t="str">
        <f>IF(AND(A2760&lt;&gt;"",ISNUMBER(A2760)),VLOOKUP(A2760,Studies!A:BR,6,FALSE),"")</f>
        <v>Plasma</v>
      </c>
      <c r="G2760" s="194">
        <v>0</v>
      </c>
      <c r="H2760" s="194" t="s">
        <v>60</v>
      </c>
      <c r="I2760" s="187" t="s">
        <v>1127</v>
      </c>
      <c r="J2760" s="187" t="s">
        <v>1026</v>
      </c>
      <c r="K2760" s="187" t="s">
        <v>116</v>
      </c>
      <c r="L2760" s="145"/>
      <c r="M2760" s="145"/>
      <c r="N2760" s="145"/>
      <c r="O2760" s="199">
        <v>0.1</v>
      </c>
      <c r="P2760" s="188"/>
      <c r="Q2760" s="174">
        <f>IF(ISNUMBER(VLOOKUP(A2760,NotghiID!A:A,1,FALSE)),1,0)</f>
        <v>1</v>
      </c>
      <c r="R2760" s="183"/>
    </row>
    <row r="2761" spans="1:18" ht="14.25" x14ac:dyDescent="0.2">
      <c r="A2761" s="189">
        <v>216</v>
      </c>
      <c r="B2761" s="232" t="str">
        <f>IF(AND(A2761&lt;&gt;"",ISNUMBER(A2761)),VLOOKUP(A2761,Studies!A:BR,2,FALSE),"")</f>
        <v>Gurley 2006</v>
      </c>
      <c r="C2761" s="232" t="str">
        <f>IF(AND(A2761&lt;&gt;"",ISNUMBER(A2761)),VLOOKUP(A2761,Studies!A:BR,3,FALSE),"")</f>
        <v>https://www.ncbi.nlm.nih.gov/pubmed/16432272</v>
      </c>
      <c r="D2761" s="232" t="str">
        <f>IF(AND(A2761&lt;&gt;"",ISNUMBER(A2761)),VLOOKUP(A2761,Studies!A:BR,4,FALSE),"")</f>
        <v>Control pre-Clarithromycin (Perpetrator Placebo)</v>
      </c>
      <c r="E2761" s="206" t="str">
        <f>IF(AND(A2761&lt;&gt;"",ISNUMBER(A2761)),VLOOKUP(A2761,Studies!A:BR,5,FALSE),"")</f>
        <v>Midazolam</v>
      </c>
      <c r="F2761" s="207" t="str">
        <f>IF(AND(A2761&lt;&gt;"",ISNUMBER(A2761)),VLOOKUP(A2761,Studies!A:BR,6,FALSE),"")</f>
        <v>Plasma</v>
      </c>
      <c r="G2761" s="194">
        <v>0.25</v>
      </c>
      <c r="H2761" s="194" t="s">
        <v>60</v>
      </c>
      <c r="I2761" s="187">
        <v>20.68027</v>
      </c>
      <c r="J2761" s="187" t="s">
        <v>1026</v>
      </c>
      <c r="K2761" s="187" t="s">
        <v>116</v>
      </c>
      <c r="L2761" s="195">
        <v>15.510199999999999</v>
      </c>
      <c r="M2761" s="195" t="s">
        <v>1026</v>
      </c>
      <c r="N2761" s="195" t="s">
        <v>117</v>
      </c>
      <c r="O2761" s="199">
        <v>0.1</v>
      </c>
      <c r="P2761" s="188"/>
      <c r="Q2761" s="174">
        <f>IF(ISNUMBER(VLOOKUP(A2761,NotghiID!A:A,1,FALSE)),1,0)</f>
        <v>1</v>
      </c>
      <c r="R2761" s="183"/>
    </row>
    <row r="2762" spans="1:18" ht="14.25" x14ac:dyDescent="0.2">
      <c r="A2762" s="189">
        <v>216</v>
      </c>
      <c r="B2762" s="232" t="str">
        <f>IF(AND(A2762&lt;&gt;"",ISNUMBER(A2762)),VLOOKUP(A2762,Studies!A:BR,2,FALSE),"")</f>
        <v>Gurley 2006</v>
      </c>
      <c r="C2762" s="232" t="str">
        <f>IF(AND(A2762&lt;&gt;"",ISNUMBER(A2762)),VLOOKUP(A2762,Studies!A:BR,3,FALSE),"")</f>
        <v>https://www.ncbi.nlm.nih.gov/pubmed/16432272</v>
      </c>
      <c r="D2762" s="232" t="str">
        <f>IF(AND(A2762&lt;&gt;"",ISNUMBER(A2762)),VLOOKUP(A2762,Studies!A:BR,4,FALSE),"")</f>
        <v>Control pre-Clarithromycin (Perpetrator Placebo)</v>
      </c>
      <c r="E2762" s="206" t="str">
        <f>IF(AND(A2762&lt;&gt;"",ISNUMBER(A2762)),VLOOKUP(A2762,Studies!A:BR,5,FALSE),"")</f>
        <v>Midazolam</v>
      </c>
      <c r="F2762" s="207" t="str">
        <f>IF(AND(A2762&lt;&gt;"",ISNUMBER(A2762)),VLOOKUP(A2762,Studies!A:BR,6,FALSE),"")</f>
        <v>Plasma</v>
      </c>
      <c r="G2762" s="194">
        <v>0.5</v>
      </c>
      <c r="H2762" s="194" t="s">
        <v>60</v>
      </c>
      <c r="I2762" s="187">
        <v>28.571429999999999</v>
      </c>
      <c r="J2762" s="187" t="s">
        <v>1026</v>
      </c>
      <c r="K2762" s="187" t="s">
        <v>116</v>
      </c>
      <c r="L2762" s="195">
        <v>13.06123</v>
      </c>
      <c r="M2762" s="195" t="s">
        <v>1026</v>
      </c>
      <c r="N2762" s="195" t="s">
        <v>117</v>
      </c>
      <c r="O2762" s="199">
        <v>0.1</v>
      </c>
      <c r="P2762" s="188"/>
      <c r="Q2762" s="174">
        <f>IF(ISNUMBER(VLOOKUP(A2762,NotghiID!A:A,1,FALSE)),1,0)</f>
        <v>1</v>
      </c>
      <c r="R2762" s="183"/>
    </row>
    <row r="2763" spans="1:18" ht="14.25" x14ac:dyDescent="0.2">
      <c r="A2763" s="189">
        <v>216</v>
      </c>
      <c r="B2763" s="232" t="str">
        <f>IF(AND(A2763&lt;&gt;"",ISNUMBER(A2763)),VLOOKUP(A2763,Studies!A:BR,2,FALSE),"")</f>
        <v>Gurley 2006</v>
      </c>
      <c r="C2763" s="232" t="str">
        <f>IF(AND(A2763&lt;&gt;"",ISNUMBER(A2763)),VLOOKUP(A2763,Studies!A:BR,3,FALSE),"")</f>
        <v>https://www.ncbi.nlm.nih.gov/pubmed/16432272</v>
      </c>
      <c r="D2763" s="232" t="str">
        <f>IF(AND(A2763&lt;&gt;"",ISNUMBER(A2763)),VLOOKUP(A2763,Studies!A:BR,4,FALSE),"")</f>
        <v>Control pre-Clarithromycin (Perpetrator Placebo)</v>
      </c>
      <c r="E2763" s="206" t="str">
        <f>IF(AND(A2763&lt;&gt;"",ISNUMBER(A2763)),VLOOKUP(A2763,Studies!A:BR,5,FALSE),"")</f>
        <v>Midazolam</v>
      </c>
      <c r="F2763" s="207" t="str">
        <f>IF(AND(A2763&lt;&gt;"",ISNUMBER(A2763)),VLOOKUP(A2763,Studies!A:BR,6,FALSE),"")</f>
        <v>Plasma</v>
      </c>
      <c r="G2763" s="194">
        <v>0.75</v>
      </c>
      <c r="H2763" s="194" t="s">
        <v>60</v>
      </c>
      <c r="I2763" s="187">
        <v>23.94558</v>
      </c>
      <c r="J2763" s="187" t="s">
        <v>1026</v>
      </c>
      <c r="K2763" s="187" t="s">
        <v>116</v>
      </c>
      <c r="L2763" s="195">
        <v>6.8027230000000003</v>
      </c>
      <c r="M2763" s="195" t="s">
        <v>1026</v>
      </c>
      <c r="N2763" s="195" t="s">
        <v>117</v>
      </c>
      <c r="O2763" s="199">
        <v>0.1</v>
      </c>
      <c r="P2763" s="188"/>
      <c r="Q2763" s="174">
        <f>IF(ISNUMBER(VLOOKUP(A2763,NotghiID!A:A,1,FALSE)),1,0)</f>
        <v>1</v>
      </c>
      <c r="R2763" s="183"/>
    </row>
    <row r="2764" spans="1:18" ht="14.25" x14ac:dyDescent="0.2">
      <c r="A2764" s="189">
        <v>216</v>
      </c>
      <c r="B2764" s="232" t="str">
        <f>IF(AND(A2764&lt;&gt;"",ISNUMBER(A2764)),VLOOKUP(A2764,Studies!A:BR,2,FALSE),"")</f>
        <v>Gurley 2006</v>
      </c>
      <c r="C2764" s="232" t="str">
        <f>IF(AND(A2764&lt;&gt;"",ISNUMBER(A2764)),VLOOKUP(A2764,Studies!A:BR,3,FALSE),"")</f>
        <v>https://www.ncbi.nlm.nih.gov/pubmed/16432272</v>
      </c>
      <c r="D2764" s="232" t="str">
        <f>IF(AND(A2764&lt;&gt;"",ISNUMBER(A2764)),VLOOKUP(A2764,Studies!A:BR,4,FALSE),"")</f>
        <v>Control pre-Clarithromycin (Perpetrator Placebo)</v>
      </c>
      <c r="E2764" s="206" t="str">
        <f>IF(AND(A2764&lt;&gt;"",ISNUMBER(A2764)),VLOOKUP(A2764,Studies!A:BR,5,FALSE),"")</f>
        <v>Midazolam</v>
      </c>
      <c r="F2764" s="207" t="str">
        <f>IF(AND(A2764&lt;&gt;"",ISNUMBER(A2764)),VLOOKUP(A2764,Studies!A:BR,6,FALSE),"")</f>
        <v>Plasma</v>
      </c>
      <c r="G2764" s="194">
        <v>1</v>
      </c>
      <c r="H2764" s="194" t="s">
        <v>60</v>
      </c>
      <c r="I2764" s="187">
        <v>22.857140000000001</v>
      </c>
      <c r="J2764" s="187" t="s">
        <v>1026</v>
      </c>
      <c r="K2764" s="187" t="s">
        <v>116</v>
      </c>
      <c r="L2764" s="195">
        <v>7.6190439999999997</v>
      </c>
      <c r="M2764" s="195" t="s">
        <v>1026</v>
      </c>
      <c r="N2764" s="195" t="s">
        <v>117</v>
      </c>
      <c r="O2764" s="199">
        <v>0.1</v>
      </c>
      <c r="P2764" s="188"/>
      <c r="Q2764" s="174">
        <f>IF(ISNUMBER(VLOOKUP(A2764,NotghiID!A:A,1,FALSE)),1,0)</f>
        <v>1</v>
      </c>
      <c r="R2764" s="183"/>
    </row>
    <row r="2765" spans="1:18" ht="14.25" x14ac:dyDescent="0.2">
      <c r="A2765" s="189">
        <v>216</v>
      </c>
      <c r="B2765" s="232" t="str">
        <f>IF(AND(A2765&lt;&gt;"",ISNUMBER(A2765)),VLOOKUP(A2765,Studies!A:BR,2,FALSE),"")</f>
        <v>Gurley 2006</v>
      </c>
      <c r="C2765" s="232" t="str">
        <f>IF(AND(A2765&lt;&gt;"",ISNUMBER(A2765)),VLOOKUP(A2765,Studies!A:BR,3,FALSE),"")</f>
        <v>https://www.ncbi.nlm.nih.gov/pubmed/16432272</v>
      </c>
      <c r="D2765" s="232" t="str">
        <f>IF(AND(A2765&lt;&gt;"",ISNUMBER(A2765)),VLOOKUP(A2765,Studies!A:BR,4,FALSE),"")</f>
        <v>Control pre-Clarithromycin (Perpetrator Placebo)</v>
      </c>
      <c r="E2765" s="206" t="str">
        <f>IF(AND(A2765&lt;&gt;"",ISNUMBER(A2765)),VLOOKUP(A2765,Studies!A:BR,5,FALSE),"")</f>
        <v>Midazolam</v>
      </c>
      <c r="F2765" s="207" t="str">
        <f>IF(AND(A2765&lt;&gt;"",ISNUMBER(A2765)),VLOOKUP(A2765,Studies!A:BR,6,FALSE),"")</f>
        <v>Plasma</v>
      </c>
      <c r="G2765" s="194">
        <v>1.5</v>
      </c>
      <c r="H2765" s="194" t="s">
        <v>60</v>
      </c>
      <c r="I2765" s="187">
        <v>17.95918</v>
      </c>
      <c r="J2765" s="187" t="s">
        <v>1026</v>
      </c>
      <c r="K2765" s="187" t="s">
        <v>116</v>
      </c>
      <c r="L2765" s="195">
        <v>6.2584999999999997</v>
      </c>
      <c r="M2765" s="195" t="s">
        <v>1026</v>
      </c>
      <c r="N2765" s="195" t="s">
        <v>117</v>
      </c>
      <c r="O2765" s="199">
        <v>0.1</v>
      </c>
      <c r="P2765" s="188"/>
      <c r="Q2765" s="174">
        <f>IF(ISNUMBER(VLOOKUP(A2765,NotghiID!A:A,1,FALSE)),1,0)</f>
        <v>1</v>
      </c>
      <c r="R2765" s="183"/>
    </row>
    <row r="2766" spans="1:18" ht="14.25" x14ac:dyDescent="0.2">
      <c r="A2766" s="189">
        <v>216</v>
      </c>
      <c r="B2766" s="232" t="str">
        <f>IF(AND(A2766&lt;&gt;"",ISNUMBER(A2766)),VLOOKUP(A2766,Studies!A:BR,2,FALSE),"")</f>
        <v>Gurley 2006</v>
      </c>
      <c r="C2766" s="232" t="str">
        <f>IF(AND(A2766&lt;&gt;"",ISNUMBER(A2766)),VLOOKUP(A2766,Studies!A:BR,3,FALSE),"")</f>
        <v>https://www.ncbi.nlm.nih.gov/pubmed/16432272</v>
      </c>
      <c r="D2766" s="232" t="str">
        <f>IF(AND(A2766&lt;&gt;"",ISNUMBER(A2766)),VLOOKUP(A2766,Studies!A:BR,4,FALSE),"")</f>
        <v>Control pre-Clarithromycin (Perpetrator Placebo)</v>
      </c>
      <c r="E2766" s="206" t="str">
        <f>IF(AND(A2766&lt;&gt;"",ISNUMBER(A2766)),VLOOKUP(A2766,Studies!A:BR,5,FALSE),"")</f>
        <v>Midazolam</v>
      </c>
      <c r="F2766" s="207" t="str">
        <f>IF(AND(A2766&lt;&gt;"",ISNUMBER(A2766)),VLOOKUP(A2766,Studies!A:BR,6,FALSE),"")</f>
        <v>Plasma</v>
      </c>
      <c r="G2766" s="194">
        <v>2</v>
      </c>
      <c r="H2766" s="194" t="s">
        <v>60</v>
      </c>
      <c r="I2766" s="187">
        <v>15.238099999999999</v>
      </c>
      <c r="J2766" s="187" t="s">
        <v>1026</v>
      </c>
      <c r="K2766" s="187" t="s">
        <v>116</v>
      </c>
      <c r="L2766" s="195">
        <v>5.9863999999999997</v>
      </c>
      <c r="M2766" s="195" t="s">
        <v>1026</v>
      </c>
      <c r="N2766" s="195" t="s">
        <v>117</v>
      </c>
      <c r="O2766" s="199">
        <v>0.1</v>
      </c>
      <c r="P2766" s="188"/>
      <c r="Q2766" s="174">
        <f>IF(ISNUMBER(VLOOKUP(A2766,NotghiID!A:A,1,FALSE)),1,0)</f>
        <v>1</v>
      </c>
      <c r="R2766" s="183"/>
    </row>
    <row r="2767" spans="1:18" ht="14.25" x14ac:dyDescent="0.2">
      <c r="A2767" s="189">
        <v>216</v>
      </c>
      <c r="B2767" s="232" t="str">
        <f>IF(AND(A2767&lt;&gt;"",ISNUMBER(A2767)),VLOOKUP(A2767,Studies!A:BR,2,FALSE),"")</f>
        <v>Gurley 2006</v>
      </c>
      <c r="C2767" s="232" t="str">
        <f>IF(AND(A2767&lt;&gt;"",ISNUMBER(A2767)),VLOOKUP(A2767,Studies!A:BR,3,FALSE),"")</f>
        <v>https://www.ncbi.nlm.nih.gov/pubmed/16432272</v>
      </c>
      <c r="D2767" s="232" t="str">
        <f>IF(AND(A2767&lt;&gt;"",ISNUMBER(A2767)),VLOOKUP(A2767,Studies!A:BR,4,FALSE),"")</f>
        <v>Control pre-Clarithromycin (Perpetrator Placebo)</v>
      </c>
      <c r="E2767" s="206" t="str">
        <f>IF(AND(A2767&lt;&gt;"",ISNUMBER(A2767)),VLOOKUP(A2767,Studies!A:BR,5,FALSE),"")</f>
        <v>Midazolam</v>
      </c>
      <c r="F2767" s="207" t="str">
        <f>IF(AND(A2767&lt;&gt;"",ISNUMBER(A2767)),VLOOKUP(A2767,Studies!A:BR,6,FALSE),"")</f>
        <v>Plasma</v>
      </c>
      <c r="G2767" s="194">
        <v>3</v>
      </c>
      <c r="H2767" s="194" t="s">
        <v>60</v>
      </c>
      <c r="I2767" s="187">
        <v>10.06803</v>
      </c>
      <c r="J2767" s="187" t="s">
        <v>1026</v>
      </c>
      <c r="K2767" s="187" t="s">
        <v>116</v>
      </c>
      <c r="L2767" s="195">
        <v>5.714289</v>
      </c>
      <c r="M2767" s="195" t="s">
        <v>1026</v>
      </c>
      <c r="N2767" s="195" t="s">
        <v>117</v>
      </c>
      <c r="O2767" s="199">
        <v>0.1</v>
      </c>
      <c r="P2767" s="188"/>
      <c r="Q2767" s="174">
        <f>IF(ISNUMBER(VLOOKUP(A2767,NotghiID!A:A,1,FALSE)),1,0)</f>
        <v>1</v>
      </c>
      <c r="R2767" s="183"/>
    </row>
    <row r="2768" spans="1:18" ht="14.25" x14ac:dyDescent="0.2">
      <c r="A2768" s="189">
        <v>216</v>
      </c>
      <c r="B2768" s="232" t="str">
        <f>IF(AND(A2768&lt;&gt;"",ISNUMBER(A2768)),VLOOKUP(A2768,Studies!A:BR,2,FALSE),"")</f>
        <v>Gurley 2006</v>
      </c>
      <c r="C2768" s="232" t="str">
        <f>IF(AND(A2768&lt;&gt;"",ISNUMBER(A2768)),VLOOKUP(A2768,Studies!A:BR,3,FALSE),"")</f>
        <v>https://www.ncbi.nlm.nih.gov/pubmed/16432272</v>
      </c>
      <c r="D2768" s="232" t="str">
        <f>IF(AND(A2768&lt;&gt;"",ISNUMBER(A2768)),VLOOKUP(A2768,Studies!A:BR,4,FALSE),"")</f>
        <v>Control pre-Clarithromycin (Perpetrator Placebo)</v>
      </c>
      <c r="E2768" s="206" t="str">
        <f>IF(AND(A2768&lt;&gt;"",ISNUMBER(A2768)),VLOOKUP(A2768,Studies!A:BR,5,FALSE),"")</f>
        <v>Midazolam</v>
      </c>
      <c r="F2768" s="207" t="str">
        <f>IF(AND(A2768&lt;&gt;"",ISNUMBER(A2768)),VLOOKUP(A2768,Studies!A:BR,6,FALSE),"")</f>
        <v>Plasma</v>
      </c>
      <c r="G2768" s="194">
        <v>4</v>
      </c>
      <c r="H2768" s="194" t="s">
        <v>60</v>
      </c>
      <c r="I2768" s="187">
        <v>7.3469389999999999</v>
      </c>
      <c r="J2768" s="187" t="s">
        <v>1026</v>
      </c>
      <c r="K2768" s="187" t="s">
        <v>116</v>
      </c>
      <c r="L2768" s="195">
        <v>3.8095240000000001</v>
      </c>
      <c r="M2768" s="195" t="s">
        <v>1026</v>
      </c>
      <c r="N2768" s="195" t="s">
        <v>117</v>
      </c>
      <c r="O2768" s="199">
        <v>0.1</v>
      </c>
      <c r="P2768" s="188"/>
      <c r="Q2768" s="174">
        <f>IF(ISNUMBER(VLOOKUP(A2768,NotghiID!A:A,1,FALSE)),1,0)</f>
        <v>1</v>
      </c>
      <c r="R2768" s="183"/>
    </row>
    <row r="2769" spans="1:18" ht="14.25" x14ac:dyDescent="0.2">
      <c r="A2769" s="189">
        <v>216</v>
      </c>
      <c r="B2769" s="232" t="str">
        <f>IF(AND(A2769&lt;&gt;"",ISNUMBER(A2769)),VLOOKUP(A2769,Studies!A:BR,2,FALSE),"")</f>
        <v>Gurley 2006</v>
      </c>
      <c r="C2769" s="232" t="str">
        <f>IF(AND(A2769&lt;&gt;"",ISNUMBER(A2769)),VLOOKUP(A2769,Studies!A:BR,3,FALSE),"")</f>
        <v>https://www.ncbi.nlm.nih.gov/pubmed/16432272</v>
      </c>
      <c r="D2769" s="232" t="str">
        <f>IF(AND(A2769&lt;&gt;"",ISNUMBER(A2769)),VLOOKUP(A2769,Studies!A:BR,4,FALSE),"")</f>
        <v>Control pre-Clarithromycin (Perpetrator Placebo)</v>
      </c>
      <c r="E2769" s="206" t="str">
        <f>IF(AND(A2769&lt;&gt;"",ISNUMBER(A2769)),VLOOKUP(A2769,Studies!A:BR,5,FALSE),"")</f>
        <v>Midazolam</v>
      </c>
      <c r="F2769" s="207" t="str">
        <f>IF(AND(A2769&lt;&gt;"",ISNUMBER(A2769)),VLOOKUP(A2769,Studies!A:BR,6,FALSE),"")</f>
        <v>Plasma</v>
      </c>
      <c r="G2769" s="194">
        <v>5</v>
      </c>
      <c r="H2769" s="194" t="s">
        <v>60</v>
      </c>
      <c r="I2769" s="187">
        <v>4.3537419999999996</v>
      </c>
      <c r="J2769" s="187" t="s">
        <v>1026</v>
      </c>
      <c r="K2769" s="187" t="s">
        <v>116</v>
      </c>
      <c r="L2769" s="145"/>
      <c r="M2769" s="145"/>
      <c r="N2769" s="145"/>
      <c r="O2769" s="199">
        <v>0.1</v>
      </c>
      <c r="P2769" s="188"/>
      <c r="Q2769" s="174">
        <f>IF(ISNUMBER(VLOOKUP(A2769,NotghiID!A:A,1,FALSE)),1,0)</f>
        <v>1</v>
      </c>
      <c r="R2769" s="183"/>
    </row>
    <row r="2770" spans="1:18" ht="14.25" x14ac:dyDescent="0.2">
      <c r="A2770" s="189">
        <v>216</v>
      </c>
      <c r="B2770" s="232" t="str">
        <f>IF(AND(A2770&lt;&gt;"",ISNUMBER(A2770)),VLOOKUP(A2770,Studies!A:BR,2,FALSE),"")</f>
        <v>Gurley 2006</v>
      </c>
      <c r="C2770" s="232" t="str">
        <f>IF(AND(A2770&lt;&gt;"",ISNUMBER(A2770)),VLOOKUP(A2770,Studies!A:BR,3,FALSE),"")</f>
        <v>https://www.ncbi.nlm.nih.gov/pubmed/16432272</v>
      </c>
      <c r="D2770" s="232" t="str">
        <f>IF(AND(A2770&lt;&gt;"",ISNUMBER(A2770)),VLOOKUP(A2770,Studies!A:BR,4,FALSE),"")</f>
        <v>Control pre-Clarithromycin (Perpetrator Placebo)</v>
      </c>
      <c r="E2770" s="206" t="str">
        <f>IF(AND(A2770&lt;&gt;"",ISNUMBER(A2770)),VLOOKUP(A2770,Studies!A:BR,5,FALSE),"")</f>
        <v>Midazolam</v>
      </c>
      <c r="F2770" s="207" t="str">
        <f>IF(AND(A2770&lt;&gt;"",ISNUMBER(A2770)),VLOOKUP(A2770,Studies!A:BR,6,FALSE),"")</f>
        <v>Plasma</v>
      </c>
      <c r="G2770" s="194">
        <v>6</v>
      </c>
      <c r="H2770" s="194" t="s">
        <v>60</v>
      </c>
      <c r="I2770" s="187">
        <v>3.5374150000000002</v>
      </c>
      <c r="J2770" s="187" t="s">
        <v>1026</v>
      </c>
      <c r="K2770" s="187" t="s">
        <v>116</v>
      </c>
      <c r="L2770" s="145"/>
      <c r="M2770" s="145"/>
      <c r="N2770" s="145"/>
      <c r="O2770" s="199">
        <v>0.1</v>
      </c>
      <c r="P2770" s="188"/>
      <c r="Q2770" s="174">
        <f>IF(ISNUMBER(VLOOKUP(A2770,NotghiID!A:A,1,FALSE)),1,0)</f>
        <v>1</v>
      </c>
      <c r="R2770" s="183"/>
    </row>
    <row r="2771" spans="1:18" ht="14.25" x14ac:dyDescent="0.2">
      <c r="A2771" s="189">
        <v>217</v>
      </c>
      <c r="B2771" s="232" t="str">
        <f>IF(AND(A2771&lt;&gt;"",ISNUMBER(A2771)),VLOOKUP(A2771,Studies!A:BR,2,FALSE),"")</f>
        <v>Gurley 2006</v>
      </c>
      <c r="C2771" s="232" t="str">
        <f>IF(AND(A2771&lt;&gt;"",ISNUMBER(A2771)),VLOOKUP(A2771,Studies!A:BR,3,FALSE),"")</f>
        <v>https://www.ncbi.nlm.nih.gov/pubmed/16432272</v>
      </c>
      <c r="D2771" s="232" t="str">
        <f>IF(AND(A2771&lt;&gt;"",ISNUMBER(A2771)),VLOOKUP(A2771,Studies!A:BR,4,FALSE),"")</f>
        <v>with Perpetrator (Clarithomycin)</v>
      </c>
      <c r="E2771" s="206" t="str">
        <f>IF(AND(A2771&lt;&gt;"",ISNUMBER(A2771)),VLOOKUP(A2771,Studies!A:BR,5,FALSE),"")</f>
        <v>Midazolam</v>
      </c>
      <c r="F2771" s="207" t="str">
        <f>IF(AND(A2771&lt;&gt;"",ISNUMBER(A2771)),VLOOKUP(A2771,Studies!A:BR,6,FALSE),"")</f>
        <v>Plasma</v>
      </c>
      <c r="G2771" s="194">
        <v>146</v>
      </c>
      <c r="H2771" s="194" t="s">
        <v>60</v>
      </c>
      <c r="I2771" s="187" t="s">
        <v>1127</v>
      </c>
      <c r="J2771" s="187" t="s">
        <v>1026</v>
      </c>
      <c r="K2771" s="187" t="s">
        <v>116</v>
      </c>
      <c r="L2771" s="145"/>
      <c r="M2771" s="145"/>
      <c r="N2771" s="145"/>
      <c r="O2771" s="199">
        <v>0.1</v>
      </c>
      <c r="P2771" s="188"/>
      <c r="Q2771" s="174">
        <f>IF(ISNUMBER(VLOOKUP(A2771,NotghiID!A:A,1,FALSE)),1,0)</f>
        <v>1</v>
      </c>
      <c r="R2771" s="183"/>
    </row>
    <row r="2772" spans="1:18" ht="14.25" x14ac:dyDescent="0.2">
      <c r="A2772" s="189">
        <v>217</v>
      </c>
      <c r="B2772" s="232" t="str">
        <f>IF(AND(A2772&lt;&gt;"",ISNUMBER(A2772)),VLOOKUP(A2772,Studies!A:BR,2,FALSE),"")</f>
        <v>Gurley 2006</v>
      </c>
      <c r="C2772" s="232" t="str">
        <f>IF(AND(A2772&lt;&gt;"",ISNUMBER(A2772)),VLOOKUP(A2772,Studies!A:BR,3,FALSE),"")</f>
        <v>https://www.ncbi.nlm.nih.gov/pubmed/16432272</v>
      </c>
      <c r="D2772" s="232" t="str">
        <f>IF(AND(A2772&lt;&gt;"",ISNUMBER(A2772)),VLOOKUP(A2772,Studies!A:BR,4,FALSE),"")</f>
        <v>with Perpetrator (Clarithomycin)</v>
      </c>
      <c r="E2772" s="206" t="str">
        <f>IF(AND(A2772&lt;&gt;"",ISNUMBER(A2772)),VLOOKUP(A2772,Studies!A:BR,5,FALSE),"")</f>
        <v>Midazolam</v>
      </c>
      <c r="F2772" s="207" t="str">
        <f>IF(AND(A2772&lt;&gt;"",ISNUMBER(A2772)),VLOOKUP(A2772,Studies!A:BR,6,FALSE),"")</f>
        <v>Plasma</v>
      </c>
      <c r="G2772" s="194">
        <v>146.25</v>
      </c>
      <c r="H2772" s="194" t="s">
        <v>60</v>
      </c>
      <c r="I2772" s="187">
        <v>87.619050000000001</v>
      </c>
      <c r="J2772" s="187" t="s">
        <v>1026</v>
      </c>
      <c r="K2772" s="187" t="s">
        <v>116</v>
      </c>
      <c r="L2772" s="195">
        <v>44.081629999999997</v>
      </c>
      <c r="M2772" s="195" t="s">
        <v>1026</v>
      </c>
      <c r="N2772" s="195" t="s">
        <v>117</v>
      </c>
      <c r="O2772" s="199">
        <v>0.1</v>
      </c>
      <c r="P2772" s="188"/>
      <c r="Q2772" s="174">
        <f>IF(ISNUMBER(VLOOKUP(A2772,NotghiID!A:A,1,FALSE)),1,0)</f>
        <v>1</v>
      </c>
      <c r="R2772" s="183"/>
    </row>
    <row r="2773" spans="1:18" ht="14.25" x14ac:dyDescent="0.2">
      <c r="A2773" s="189">
        <v>217</v>
      </c>
      <c r="B2773" s="232" t="str">
        <f>IF(AND(A2773&lt;&gt;"",ISNUMBER(A2773)),VLOOKUP(A2773,Studies!A:BR,2,FALSE),"")</f>
        <v>Gurley 2006</v>
      </c>
      <c r="C2773" s="232" t="str">
        <f>IF(AND(A2773&lt;&gt;"",ISNUMBER(A2773)),VLOOKUP(A2773,Studies!A:BR,3,FALSE),"")</f>
        <v>https://www.ncbi.nlm.nih.gov/pubmed/16432272</v>
      </c>
      <c r="D2773" s="232" t="str">
        <f>IF(AND(A2773&lt;&gt;"",ISNUMBER(A2773)),VLOOKUP(A2773,Studies!A:BR,4,FALSE),"")</f>
        <v>with Perpetrator (Clarithomycin)</v>
      </c>
      <c r="E2773" s="206" t="str">
        <f>IF(AND(A2773&lt;&gt;"",ISNUMBER(A2773)),VLOOKUP(A2773,Studies!A:BR,5,FALSE),"")</f>
        <v>Midazolam</v>
      </c>
      <c r="F2773" s="207" t="str">
        <f>IF(AND(A2773&lt;&gt;"",ISNUMBER(A2773)),VLOOKUP(A2773,Studies!A:BR,6,FALSE),"")</f>
        <v>Plasma</v>
      </c>
      <c r="G2773" s="194">
        <v>146.5</v>
      </c>
      <c r="H2773" s="194" t="s">
        <v>60</v>
      </c>
      <c r="I2773" s="187">
        <v>103.9456</v>
      </c>
      <c r="J2773" s="187" t="s">
        <v>1026</v>
      </c>
      <c r="K2773" s="187" t="s">
        <v>116</v>
      </c>
      <c r="L2773" s="195">
        <v>31.020389999999999</v>
      </c>
      <c r="M2773" s="195" t="s">
        <v>1026</v>
      </c>
      <c r="N2773" s="195" t="s">
        <v>117</v>
      </c>
      <c r="O2773" s="199">
        <v>0.1</v>
      </c>
      <c r="P2773" s="188"/>
      <c r="Q2773" s="174">
        <f>IF(ISNUMBER(VLOOKUP(A2773,NotghiID!A:A,1,FALSE)),1,0)</f>
        <v>1</v>
      </c>
      <c r="R2773" s="183"/>
    </row>
    <row r="2774" spans="1:18" ht="14.25" x14ac:dyDescent="0.2">
      <c r="A2774" s="189">
        <v>217</v>
      </c>
      <c r="B2774" s="232" t="str">
        <f>IF(AND(A2774&lt;&gt;"",ISNUMBER(A2774)),VLOOKUP(A2774,Studies!A:BR,2,FALSE),"")</f>
        <v>Gurley 2006</v>
      </c>
      <c r="C2774" s="232" t="str">
        <f>IF(AND(A2774&lt;&gt;"",ISNUMBER(A2774)),VLOOKUP(A2774,Studies!A:BR,3,FALSE),"")</f>
        <v>https://www.ncbi.nlm.nih.gov/pubmed/16432272</v>
      </c>
      <c r="D2774" s="232" t="str">
        <f>IF(AND(A2774&lt;&gt;"",ISNUMBER(A2774)),VLOOKUP(A2774,Studies!A:BR,4,FALSE),"")</f>
        <v>with Perpetrator (Clarithomycin)</v>
      </c>
      <c r="E2774" s="206" t="str">
        <f>IF(AND(A2774&lt;&gt;"",ISNUMBER(A2774)),VLOOKUP(A2774,Studies!A:BR,5,FALSE),"")</f>
        <v>Midazolam</v>
      </c>
      <c r="F2774" s="207" t="str">
        <f>IF(AND(A2774&lt;&gt;"",ISNUMBER(A2774)),VLOOKUP(A2774,Studies!A:BR,6,FALSE),"")</f>
        <v>Plasma</v>
      </c>
      <c r="G2774" s="194">
        <v>146.75</v>
      </c>
      <c r="H2774" s="194" t="s">
        <v>60</v>
      </c>
      <c r="I2774" s="187">
        <v>94.421769999999995</v>
      </c>
      <c r="J2774" s="187" t="s">
        <v>1026</v>
      </c>
      <c r="K2774" s="187" t="s">
        <v>116</v>
      </c>
      <c r="L2774" s="195">
        <v>31.564630000000001</v>
      </c>
      <c r="M2774" s="195" t="s">
        <v>1026</v>
      </c>
      <c r="N2774" s="195" t="s">
        <v>117</v>
      </c>
      <c r="O2774" s="199">
        <v>0.1</v>
      </c>
      <c r="P2774" s="188"/>
      <c r="Q2774" s="174">
        <f>IF(ISNUMBER(VLOOKUP(A2774,NotghiID!A:A,1,FALSE)),1,0)</f>
        <v>1</v>
      </c>
      <c r="R2774" s="183"/>
    </row>
    <row r="2775" spans="1:18" ht="14.25" x14ac:dyDescent="0.2">
      <c r="A2775" s="189">
        <v>217</v>
      </c>
      <c r="B2775" s="232" t="str">
        <f>IF(AND(A2775&lt;&gt;"",ISNUMBER(A2775)),VLOOKUP(A2775,Studies!A:BR,2,FALSE),"")</f>
        <v>Gurley 2006</v>
      </c>
      <c r="C2775" s="232" t="str">
        <f>IF(AND(A2775&lt;&gt;"",ISNUMBER(A2775)),VLOOKUP(A2775,Studies!A:BR,3,FALSE),"")</f>
        <v>https://www.ncbi.nlm.nih.gov/pubmed/16432272</v>
      </c>
      <c r="D2775" s="232" t="str">
        <f>IF(AND(A2775&lt;&gt;"",ISNUMBER(A2775)),VLOOKUP(A2775,Studies!A:BR,4,FALSE),"")</f>
        <v>with Perpetrator (Clarithomycin)</v>
      </c>
      <c r="E2775" s="206" t="str">
        <f>IF(AND(A2775&lt;&gt;"",ISNUMBER(A2775)),VLOOKUP(A2775,Studies!A:BR,5,FALSE),"")</f>
        <v>Midazolam</v>
      </c>
      <c r="F2775" s="207" t="str">
        <f>IF(AND(A2775&lt;&gt;"",ISNUMBER(A2775)),VLOOKUP(A2775,Studies!A:BR,6,FALSE),"")</f>
        <v>Plasma</v>
      </c>
      <c r="G2775" s="194">
        <v>147</v>
      </c>
      <c r="H2775" s="194" t="s">
        <v>60</v>
      </c>
      <c r="I2775" s="187">
        <v>90.61224</v>
      </c>
      <c r="J2775" s="187" t="s">
        <v>1026</v>
      </c>
      <c r="K2775" s="187" t="s">
        <v>116</v>
      </c>
      <c r="L2775" s="195">
        <v>19.863949999999999</v>
      </c>
      <c r="M2775" s="195" t="s">
        <v>1026</v>
      </c>
      <c r="N2775" s="195" t="s">
        <v>117</v>
      </c>
      <c r="O2775" s="199">
        <v>0.1</v>
      </c>
      <c r="P2775" s="188"/>
      <c r="Q2775" s="174">
        <f>IF(ISNUMBER(VLOOKUP(A2775,NotghiID!A:A,1,FALSE)),1,0)</f>
        <v>1</v>
      </c>
      <c r="R2775" s="183"/>
    </row>
    <row r="2776" spans="1:18" ht="14.25" x14ac:dyDescent="0.2">
      <c r="A2776" s="189">
        <v>217</v>
      </c>
      <c r="B2776" s="232" t="str">
        <f>IF(AND(A2776&lt;&gt;"",ISNUMBER(A2776)),VLOOKUP(A2776,Studies!A:BR,2,FALSE),"")</f>
        <v>Gurley 2006</v>
      </c>
      <c r="C2776" s="232" t="str">
        <f>IF(AND(A2776&lt;&gt;"",ISNUMBER(A2776)),VLOOKUP(A2776,Studies!A:BR,3,FALSE),"")</f>
        <v>https://www.ncbi.nlm.nih.gov/pubmed/16432272</v>
      </c>
      <c r="D2776" s="232" t="str">
        <f>IF(AND(A2776&lt;&gt;"",ISNUMBER(A2776)),VLOOKUP(A2776,Studies!A:BR,4,FALSE),"")</f>
        <v>with Perpetrator (Clarithomycin)</v>
      </c>
      <c r="E2776" s="206" t="str">
        <f>IF(AND(A2776&lt;&gt;"",ISNUMBER(A2776)),VLOOKUP(A2776,Studies!A:BR,5,FALSE),"")</f>
        <v>Midazolam</v>
      </c>
      <c r="F2776" s="207" t="str">
        <f>IF(AND(A2776&lt;&gt;"",ISNUMBER(A2776)),VLOOKUP(A2776,Studies!A:BR,6,FALSE),"")</f>
        <v>Plasma</v>
      </c>
      <c r="G2776" s="194">
        <v>147.5</v>
      </c>
      <c r="H2776" s="194" t="s">
        <v>60</v>
      </c>
      <c r="I2776" s="187">
        <v>79.727890000000002</v>
      </c>
      <c r="J2776" s="187" t="s">
        <v>1026</v>
      </c>
      <c r="K2776" s="187" t="s">
        <v>116</v>
      </c>
      <c r="L2776" s="195">
        <v>20.68027</v>
      </c>
      <c r="M2776" s="195" t="s">
        <v>1026</v>
      </c>
      <c r="N2776" s="195" t="s">
        <v>117</v>
      </c>
      <c r="O2776" s="199">
        <v>0.1</v>
      </c>
      <c r="P2776" s="188"/>
      <c r="Q2776" s="174">
        <f>IF(ISNUMBER(VLOOKUP(A2776,NotghiID!A:A,1,FALSE)),1,0)</f>
        <v>1</v>
      </c>
      <c r="R2776" s="183"/>
    </row>
    <row r="2777" spans="1:18" ht="14.25" x14ac:dyDescent="0.2">
      <c r="A2777" s="189">
        <v>217</v>
      </c>
      <c r="B2777" s="232" t="str">
        <f>IF(AND(A2777&lt;&gt;"",ISNUMBER(A2777)),VLOOKUP(A2777,Studies!A:BR,2,FALSE),"")</f>
        <v>Gurley 2006</v>
      </c>
      <c r="C2777" s="232" t="str">
        <f>IF(AND(A2777&lt;&gt;"",ISNUMBER(A2777)),VLOOKUP(A2777,Studies!A:BR,3,FALSE),"")</f>
        <v>https://www.ncbi.nlm.nih.gov/pubmed/16432272</v>
      </c>
      <c r="D2777" s="232" t="str">
        <f>IF(AND(A2777&lt;&gt;"",ISNUMBER(A2777)),VLOOKUP(A2777,Studies!A:BR,4,FALSE),"")</f>
        <v>with Perpetrator (Clarithomycin)</v>
      </c>
      <c r="E2777" s="206" t="str">
        <f>IF(AND(A2777&lt;&gt;"",ISNUMBER(A2777)),VLOOKUP(A2777,Studies!A:BR,5,FALSE),"")</f>
        <v>Midazolam</v>
      </c>
      <c r="F2777" s="207" t="str">
        <f>IF(AND(A2777&lt;&gt;"",ISNUMBER(A2777)),VLOOKUP(A2777,Studies!A:BR,6,FALSE),"")</f>
        <v>Plasma</v>
      </c>
      <c r="G2777" s="194">
        <v>148</v>
      </c>
      <c r="H2777" s="194" t="s">
        <v>60</v>
      </c>
      <c r="I2777" s="187">
        <v>68.843540000000004</v>
      </c>
      <c r="J2777" s="187" t="s">
        <v>1026</v>
      </c>
      <c r="K2777" s="187" t="s">
        <v>116</v>
      </c>
      <c r="L2777" s="195">
        <v>19.863949999999999</v>
      </c>
      <c r="M2777" s="195" t="s">
        <v>1026</v>
      </c>
      <c r="N2777" s="195" t="s">
        <v>117</v>
      </c>
      <c r="O2777" s="199">
        <v>0.1</v>
      </c>
      <c r="P2777" s="188"/>
      <c r="Q2777" s="174">
        <f>IF(ISNUMBER(VLOOKUP(A2777,NotghiID!A:A,1,FALSE)),1,0)</f>
        <v>1</v>
      </c>
      <c r="R2777" s="183"/>
    </row>
    <row r="2778" spans="1:18" ht="14.25" x14ac:dyDescent="0.2">
      <c r="A2778" s="189">
        <v>217</v>
      </c>
      <c r="B2778" s="232" t="str">
        <f>IF(AND(A2778&lt;&gt;"",ISNUMBER(A2778)),VLOOKUP(A2778,Studies!A:BR,2,FALSE),"")</f>
        <v>Gurley 2006</v>
      </c>
      <c r="C2778" s="232" t="str">
        <f>IF(AND(A2778&lt;&gt;"",ISNUMBER(A2778)),VLOOKUP(A2778,Studies!A:BR,3,FALSE),"")</f>
        <v>https://www.ncbi.nlm.nih.gov/pubmed/16432272</v>
      </c>
      <c r="D2778" s="232" t="str">
        <f>IF(AND(A2778&lt;&gt;"",ISNUMBER(A2778)),VLOOKUP(A2778,Studies!A:BR,4,FALSE),"")</f>
        <v>with Perpetrator (Clarithomycin)</v>
      </c>
      <c r="E2778" s="206" t="str">
        <f>IF(AND(A2778&lt;&gt;"",ISNUMBER(A2778)),VLOOKUP(A2778,Studies!A:BR,5,FALSE),"")</f>
        <v>Midazolam</v>
      </c>
      <c r="F2778" s="207" t="str">
        <f>IF(AND(A2778&lt;&gt;"",ISNUMBER(A2778)),VLOOKUP(A2778,Studies!A:BR,6,FALSE),"")</f>
        <v>Plasma</v>
      </c>
      <c r="G2778" s="194">
        <v>149</v>
      </c>
      <c r="H2778" s="194" t="s">
        <v>60</v>
      </c>
      <c r="I2778" s="187">
        <v>52.517009999999999</v>
      </c>
      <c r="J2778" s="187" t="s">
        <v>1026</v>
      </c>
      <c r="K2778" s="187" t="s">
        <v>116</v>
      </c>
      <c r="L2778" s="195">
        <v>15.510199999999999</v>
      </c>
      <c r="M2778" s="195" t="s">
        <v>1026</v>
      </c>
      <c r="N2778" s="195" t="s">
        <v>117</v>
      </c>
      <c r="O2778" s="199">
        <v>0.1</v>
      </c>
      <c r="P2778" s="188"/>
      <c r="Q2778" s="174">
        <f>IF(ISNUMBER(VLOOKUP(A2778,NotghiID!A:A,1,FALSE)),1,0)</f>
        <v>1</v>
      </c>
      <c r="R2778" s="183"/>
    </row>
    <row r="2779" spans="1:18" ht="14.25" x14ac:dyDescent="0.2">
      <c r="A2779" s="189">
        <v>217</v>
      </c>
      <c r="B2779" s="232" t="str">
        <f>IF(AND(A2779&lt;&gt;"",ISNUMBER(A2779)),VLOOKUP(A2779,Studies!A:BR,2,FALSE),"")</f>
        <v>Gurley 2006</v>
      </c>
      <c r="C2779" s="232" t="str">
        <f>IF(AND(A2779&lt;&gt;"",ISNUMBER(A2779)),VLOOKUP(A2779,Studies!A:BR,3,FALSE),"")</f>
        <v>https://www.ncbi.nlm.nih.gov/pubmed/16432272</v>
      </c>
      <c r="D2779" s="232" t="str">
        <f>IF(AND(A2779&lt;&gt;"",ISNUMBER(A2779)),VLOOKUP(A2779,Studies!A:BR,4,FALSE),"")</f>
        <v>with Perpetrator (Clarithomycin)</v>
      </c>
      <c r="E2779" s="206" t="str">
        <f>IF(AND(A2779&lt;&gt;"",ISNUMBER(A2779)),VLOOKUP(A2779,Studies!A:BR,5,FALSE),"")</f>
        <v>Midazolam</v>
      </c>
      <c r="F2779" s="207" t="str">
        <f>IF(AND(A2779&lt;&gt;"",ISNUMBER(A2779)),VLOOKUP(A2779,Studies!A:BR,6,FALSE),"")</f>
        <v>Plasma</v>
      </c>
      <c r="G2779" s="194">
        <v>150</v>
      </c>
      <c r="H2779" s="194" t="s">
        <v>60</v>
      </c>
      <c r="I2779" s="187">
        <v>42.993200000000002</v>
      </c>
      <c r="J2779" s="187" t="s">
        <v>1026</v>
      </c>
      <c r="K2779" s="187" t="s">
        <v>116</v>
      </c>
      <c r="L2779" s="195">
        <v>13.06122</v>
      </c>
      <c r="M2779" s="195" t="s">
        <v>1026</v>
      </c>
      <c r="N2779" s="195" t="s">
        <v>117</v>
      </c>
      <c r="O2779" s="199">
        <v>0.1</v>
      </c>
      <c r="P2779" s="188"/>
      <c r="Q2779" s="174">
        <f>IF(ISNUMBER(VLOOKUP(A2779,NotghiID!A:A,1,FALSE)),1,0)</f>
        <v>1</v>
      </c>
      <c r="R2779" s="183"/>
    </row>
    <row r="2780" spans="1:18" ht="14.25" x14ac:dyDescent="0.2">
      <c r="A2780" s="189">
        <v>217</v>
      </c>
      <c r="B2780" s="232" t="str">
        <f>IF(AND(A2780&lt;&gt;"",ISNUMBER(A2780)),VLOOKUP(A2780,Studies!A:BR,2,FALSE),"")</f>
        <v>Gurley 2006</v>
      </c>
      <c r="C2780" s="232" t="str">
        <f>IF(AND(A2780&lt;&gt;"",ISNUMBER(A2780)),VLOOKUP(A2780,Studies!A:BR,3,FALSE),"")</f>
        <v>https://www.ncbi.nlm.nih.gov/pubmed/16432272</v>
      </c>
      <c r="D2780" s="232" t="str">
        <f>IF(AND(A2780&lt;&gt;"",ISNUMBER(A2780)),VLOOKUP(A2780,Studies!A:BR,4,FALSE),"")</f>
        <v>with Perpetrator (Clarithomycin)</v>
      </c>
      <c r="E2780" s="206" t="str">
        <f>IF(AND(A2780&lt;&gt;"",ISNUMBER(A2780)),VLOOKUP(A2780,Studies!A:BR,5,FALSE),"")</f>
        <v>Midazolam</v>
      </c>
      <c r="F2780" s="207" t="str">
        <f>IF(AND(A2780&lt;&gt;"",ISNUMBER(A2780)),VLOOKUP(A2780,Studies!A:BR,6,FALSE),"")</f>
        <v>Plasma</v>
      </c>
      <c r="G2780" s="194">
        <v>151</v>
      </c>
      <c r="H2780" s="194" t="s">
        <v>60</v>
      </c>
      <c r="I2780" s="187">
        <v>35.646259999999998</v>
      </c>
      <c r="J2780" s="187" t="s">
        <v>1026</v>
      </c>
      <c r="K2780" s="187" t="s">
        <v>116</v>
      </c>
      <c r="L2780" s="195">
        <v>13.06122</v>
      </c>
      <c r="M2780" s="195" t="s">
        <v>1026</v>
      </c>
      <c r="N2780" s="195" t="s">
        <v>117</v>
      </c>
      <c r="O2780" s="199">
        <v>0.1</v>
      </c>
      <c r="P2780" s="188"/>
      <c r="Q2780" s="174">
        <f>IF(ISNUMBER(VLOOKUP(A2780,NotghiID!A:A,1,FALSE)),1,0)</f>
        <v>1</v>
      </c>
      <c r="R2780" s="183"/>
    </row>
    <row r="2781" spans="1:18" ht="14.25" x14ac:dyDescent="0.2">
      <c r="A2781" s="189">
        <v>217</v>
      </c>
      <c r="B2781" s="232" t="str">
        <f>IF(AND(A2781&lt;&gt;"",ISNUMBER(A2781)),VLOOKUP(A2781,Studies!A:BR,2,FALSE),"")</f>
        <v>Gurley 2006</v>
      </c>
      <c r="C2781" s="232" t="str">
        <f>IF(AND(A2781&lt;&gt;"",ISNUMBER(A2781)),VLOOKUP(A2781,Studies!A:BR,3,FALSE),"")</f>
        <v>https://www.ncbi.nlm.nih.gov/pubmed/16432272</v>
      </c>
      <c r="D2781" s="232" t="str">
        <f>IF(AND(A2781&lt;&gt;"",ISNUMBER(A2781)),VLOOKUP(A2781,Studies!A:BR,4,FALSE),"")</f>
        <v>with Perpetrator (Clarithomycin)</v>
      </c>
      <c r="E2781" s="206" t="str">
        <f>IF(AND(A2781&lt;&gt;"",ISNUMBER(A2781)),VLOOKUP(A2781,Studies!A:BR,5,FALSE),"")</f>
        <v>Midazolam</v>
      </c>
      <c r="F2781" s="207" t="str">
        <f>IF(AND(A2781&lt;&gt;"",ISNUMBER(A2781)),VLOOKUP(A2781,Studies!A:BR,6,FALSE),"")</f>
        <v>Plasma</v>
      </c>
      <c r="G2781" s="194">
        <v>152</v>
      </c>
      <c r="H2781" s="194" t="s">
        <v>60</v>
      </c>
      <c r="I2781" s="187">
        <v>30.7483</v>
      </c>
      <c r="J2781" s="187" t="s">
        <v>1026</v>
      </c>
      <c r="K2781" s="187" t="s">
        <v>116</v>
      </c>
      <c r="L2781" s="195">
        <v>11.97279</v>
      </c>
      <c r="M2781" s="195" t="s">
        <v>1026</v>
      </c>
      <c r="N2781" s="195" t="s">
        <v>117</v>
      </c>
      <c r="O2781" s="199">
        <v>0.1</v>
      </c>
      <c r="P2781" s="188"/>
      <c r="Q2781" s="174">
        <f>IF(ISNUMBER(VLOOKUP(A2781,NotghiID!A:A,1,FALSE)),1,0)</f>
        <v>1</v>
      </c>
      <c r="R2781" s="183"/>
    </row>
    <row r="2782" spans="1:18" ht="14.25" x14ac:dyDescent="0.2">
      <c r="A2782" s="189">
        <v>218</v>
      </c>
      <c r="B2782" s="232" t="str">
        <f>IF(AND(A2782&lt;&gt;"",ISNUMBER(A2782)),VLOOKUP(A2782,Studies!A:BR,2,FALSE),"")</f>
        <v>Gurley 2006</v>
      </c>
      <c r="C2782" s="232" t="str">
        <f>IF(AND(A2782&lt;&gt;"",ISNUMBER(A2782)),VLOOKUP(A2782,Studies!A:BR,3,FALSE),"")</f>
        <v>https://www.ncbi.nlm.nih.gov/pubmed/16432272</v>
      </c>
      <c r="D2782" s="232" t="str">
        <f>IF(AND(A2782&lt;&gt;"",ISNUMBER(A2782)),VLOOKUP(A2782,Studies!A:BR,4,FALSE),"")</f>
        <v>Control pre-Black cohosh (Perpetrator Placebo)</v>
      </c>
      <c r="E2782" s="206" t="str">
        <f>IF(AND(A2782&lt;&gt;"",ISNUMBER(A2782)),VLOOKUP(A2782,Studies!A:BR,5,FALSE),"")</f>
        <v>Midazolam</v>
      </c>
      <c r="F2782" s="207" t="str">
        <f>IF(AND(A2782&lt;&gt;"",ISNUMBER(A2782)),VLOOKUP(A2782,Studies!A:BR,6,FALSE),"")</f>
        <v>Plasma</v>
      </c>
      <c r="G2782" s="194">
        <v>0</v>
      </c>
      <c r="H2782" s="194" t="s">
        <v>60</v>
      </c>
      <c r="I2782" s="187" t="s">
        <v>1127</v>
      </c>
      <c r="J2782" s="187" t="s">
        <v>1026</v>
      </c>
      <c r="K2782" s="187" t="s">
        <v>116</v>
      </c>
      <c r="L2782" s="145"/>
      <c r="M2782" s="145"/>
      <c r="N2782" s="145"/>
      <c r="O2782" s="199">
        <v>0.1</v>
      </c>
      <c r="P2782" s="188"/>
      <c r="Q2782" s="174">
        <f>IF(ISNUMBER(VLOOKUP(A2782,NotghiID!A:A,1,FALSE)),1,0)</f>
        <v>1</v>
      </c>
      <c r="R2782" s="183"/>
    </row>
    <row r="2783" spans="1:18" ht="14.25" x14ac:dyDescent="0.2">
      <c r="A2783" s="189">
        <v>218</v>
      </c>
      <c r="B2783" s="232" t="str">
        <f>IF(AND(A2783&lt;&gt;"",ISNUMBER(A2783)),VLOOKUP(A2783,Studies!A:BR,2,FALSE),"")</f>
        <v>Gurley 2006</v>
      </c>
      <c r="C2783" s="232" t="str">
        <f>IF(AND(A2783&lt;&gt;"",ISNUMBER(A2783)),VLOOKUP(A2783,Studies!A:BR,3,FALSE),"")</f>
        <v>https://www.ncbi.nlm.nih.gov/pubmed/16432272</v>
      </c>
      <c r="D2783" s="232" t="str">
        <f>IF(AND(A2783&lt;&gt;"",ISNUMBER(A2783)),VLOOKUP(A2783,Studies!A:BR,4,FALSE),"")</f>
        <v>Control pre-Black cohosh (Perpetrator Placebo)</v>
      </c>
      <c r="E2783" s="206" t="str">
        <f>IF(AND(A2783&lt;&gt;"",ISNUMBER(A2783)),VLOOKUP(A2783,Studies!A:BR,5,FALSE),"")</f>
        <v>Midazolam</v>
      </c>
      <c r="F2783" s="207" t="str">
        <f>IF(AND(A2783&lt;&gt;"",ISNUMBER(A2783)),VLOOKUP(A2783,Studies!A:BR,6,FALSE),"")</f>
        <v>Plasma</v>
      </c>
      <c r="G2783" s="194">
        <v>0.25</v>
      </c>
      <c r="H2783" s="194" t="s">
        <v>60</v>
      </c>
      <c r="I2783" s="187">
        <v>20.136050000000001</v>
      </c>
      <c r="J2783" s="187" t="s">
        <v>1026</v>
      </c>
      <c r="K2783" s="187" t="s">
        <v>116</v>
      </c>
      <c r="L2783" s="195">
        <v>11.156459999999999</v>
      </c>
      <c r="M2783" s="195" t="s">
        <v>1026</v>
      </c>
      <c r="N2783" s="195" t="s">
        <v>117</v>
      </c>
      <c r="O2783" s="199">
        <v>0.1</v>
      </c>
      <c r="P2783" s="188"/>
      <c r="Q2783" s="174">
        <f>IF(ISNUMBER(VLOOKUP(A2783,NotghiID!A:A,1,FALSE)),1,0)</f>
        <v>1</v>
      </c>
      <c r="R2783" s="183"/>
    </row>
    <row r="2784" spans="1:18" ht="14.25" x14ac:dyDescent="0.2">
      <c r="A2784" s="189">
        <v>218</v>
      </c>
      <c r="B2784" s="232" t="str">
        <f>IF(AND(A2784&lt;&gt;"",ISNUMBER(A2784)),VLOOKUP(A2784,Studies!A:BR,2,FALSE),"")</f>
        <v>Gurley 2006</v>
      </c>
      <c r="C2784" s="232" t="str">
        <f>IF(AND(A2784&lt;&gt;"",ISNUMBER(A2784)),VLOOKUP(A2784,Studies!A:BR,3,FALSE),"")</f>
        <v>https://www.ncbi.nlm.nih.gov/pubmed/16432272</v>
      </c>
      <c r="D2784" s="232" t="str">
        <f>IF(AND(A2784&lt;&gt;"",ISNUMBER(A2784)),VLOOKUP(A2784,Studies!A:BR,4,FALSE),"")</f>
        <v>Control pre-Black cohosh (Perpetrator Placebo)</v>
      </c>
      <c r="E2784" s="206" t="str">
        <f>IF(AND(A2784&lt;&gt;"",ISNUMBER(A2784)),VLOOKUP(A2784,Studies!A:BR,5,FALSE),"")</f>
        <v>Midazolam</v>
      </c>
      <c r="F2784" s="207" t="str">
        <f>IF(AND(A2784&lt;&gt;"",ISNUMBER(A2784)),VLOOKUP(A2784,Studies!A:BR,6,FALSE),"")</f>
        <v>Plasma</v>
      </c>
      <c r="G2784" s="194">
        <v>0.5</v>
      </c>
      <c r="H2784" s="194" t="s">
        <v>60</v>
      </c>
      <c r="I2784" s="187">
        <v>27.823129999999999</v>
      </c>
      <c r="J2784" s="187" t="s">
        <v>1026</v>
      </c>
      <c r="K2784" s="187" t="s">
        <v>116</v>
      </c>
      <c r="L2784" s="195">
        <v>10.408160000000001</v>
      </c>
      <c r="M2784" s="195" t="s">
        <v>1026</v>
      </c>
      <c r="N2784" s="195" t="s">
        <v>117</v>
      </c>
      <c r="O2784" s="199">
        <v>0.1</v>
      </c>
      <c r="P2784" s="188"/>
      <c r="Q2784" s="174">
        <f>IF(ISNUMBER(VLOOKUP(A2784,NotghiID!A:A,1,FALSE)),1,0)</f>
        <v>1</v>
      </c>
      <c r="R2784" s="183"/>
    </row>
    <row r="2785" spans="1:18" ht="14.25" x14ac:dyDescent="0.2">
      <c r="A2785" s="189">
        <v>218</v>
      </c>
      <c r="B2785" s="232" t="str">
        <f>IF(AND(A2785&lt;&gt;"",ISNUMBER(A2785)),VLOOKUP(A2785,Studies!A:BR,2,FALSE),"")</f>
        <v>Gurley 2006</v>
      </c>
      <c r="C2785" s="232" t="str">
        <f>IF(AND(A2785&lt;&gt;"",ISNUMBER(A2785)),VLOOKUP(A2785,Studies!A:BR,3,FALSE),"")</f>
        <v>https://www.ncbi.nlm.nih.gov/pubmed/16432272</v>
      </c>
      <c r="D2785" s="232" t="str">
        <f>IF(AND(A2785&lt;&gt;"",ISNUMBER(A2785)),VLOOKUP(A2785,Studies!A:BR,4,FALSE),"")</f>
        <v>Control pre-Black cohosh (Perpetrator Placebo)</v>
      </c>
      <c r="E2785" s="206" t="str">
        <f>IF(AND(A2785&lt;&gt;"",ISNUMBER(A2785)),VLOOKUP(A2785,Studies!A:BR,5,FALSE),"")</f>
        <v>Midazolam</v>
      </c>
      <c r="F2785" s="207" t="str">
        <f>IF(AND(A2785&lt;&gt;"",ISNUMBER(A2785)),VLOOKUP(A2785,Studies!A:BR,6,FALSE),"")</f>
        <v>Plasma</v>
      </c>
      <c r="G2785" s="194">
        <v>0.75</v>
      </c>
      <c r="H2785" s="194" t="s">
        <v>60</v>
      </c>
      <c r="I2785" s="187">
        <v>25.102039999999999</v>
      </c>
      <c r="J2785" s="187" t="s">
        <v>1026</v>
      </c>
      <c r="K2785" s="187" t="s">
        <v>116</v>
      </c>
      <c r="L2785" s="195">
        <v>8.0272100000000002</v>
      </c>
      <c r="M2785" s="195" t="s">
        <v>1026</v>
      </c>
      <c r="N2785" s="195" t="s">
        <v>117</v>
      </c>
      <c r="O2785" s="199">
        <v>0.1</v>
      </c>
      <c r="P2785" s="188"/>
      <c r="Q2785" s="174">
        <f>IF(ISNUMBER(VLOOKUP(A2785,NotghiID!A:A,1,FALSE)),1,0)</f>
        <v>1</v>
      </c>
      <c r="R2785" s="183"/>
    </row>
    <row r="2786" spans="1:18" ht="14.25" x14ac:dyDescent="0.2">
      <c r="A2786" s="189">
        <v>218</v>
      </c>
      <c r="B2786" s="232" t="str">
        <f>IF(AND(A2786&lt;&gt;"",ISNUMBER(A2786)),VLOOKUP(A2786,Studies!A:BR,2,FALSE),"")</f>
        <v>Gurley 2006</v>
      </c>
      <c r="C2786" s="232" t="str">
        <f>IF(AND(A2786&lt;&gt;"",ISNUMBER(A2786)),VLOOKUP(A2786,Studies!A:BR,3,FALSE),"")</f>
        <v>https://www.ncbi.nlm.nih.gov/pubmed/16432272</v>
      </c>
      <c r="D2786" s="232" t="str">
        <f>IF(AND(A2786&lt;&gt;"",ISNUMBER(A2786)),VLOOKUP(A2786,Studies!A:BR,4,FALSE),"")</f>
        <v>Control pre-Black cohosh (Perpetrator Placebo)</v>
      </c>
      <c r="E2786" s="206" t="str">
        <f>IF(AND(A2786&lt;&gt;"",ISNUMBER(A2786)),VLOOKUP(A2786,Studies!A:BR,5,FALSE),"")</f>
        <v>Midazolam</v>
      </c>
      <c r="F2786" s="207" t="str">
        <f>IF(AND(A2786&lt;&gt;"",ISNUMBER(A2786)),VLOOKUP(A2786,Studies!A:BR,6,FALSE),"")</f>
        <v>Plasma</v>
      </c>
      <c r="G2786" s="194">
        <v>1</v>
      </c>
      <c r="H2786" s="194" t="s">
        <v>60</v>
      </c>
      <c r="I2786" s="187">
        <v>19.38775</v>
      </c>
      <c r="J2786" s="187" t="s">
        <v>1026</v>
      </c>
      <c r="K2786" s="187" t="s">
        <v>116</v>
      </c>
      <c r="L2786" s="195">
        <v>7.0067979999999999</v>
      </c>
      <c r="M2786" s="195" t="s">
        <v>1026</v>
      </c>
      <c r="N2786" s="195" t="s">
        <v>117</v>
      </c>
      <c r="O2786" s="199">
        <v>0.1</v>
      </c>
      <c r="P2786" s="188"/>
      <c r="Q2786" s="174">
        <f>IF(ISNUMBER(VLOOKUP(A2786,NotghiID!A:A,1,FALSE)),1,0)</f>
        <v>1</v>
      </c>
      <c r="R2786" s="183"/>
    </row>
    <row r="2787" spans="1:18" ht="14.25" x14ac:dyDescent="0.2">
      <c r="A2787" s="189">
        <v>218</v>
      </c>
      <c r="B2787" s="232" t="str">
        <f>IF(AND(A2787&lt;&gt;"",ISNUMBER(A2787)),VLOOKUP(A2787,Studies!A:BR,2,FALSE),"")</f>
        <v>Gurley 2006</v>
      </c>
      <c r="C2787" s="232" t="str">
        <f>IF(AND(A2787&lt;&gt;"",ISNUMBER(A2787)),VLOOKUP(A2787,Studies!A:BR,3,FALSE),"")</f>
        <v>https://www.ncbi.nlm.nih.gov/pubmed/16432272</v>
      </c>
      <c r="D2787" s="232" t="str">
        <f>IF(AND(A2787&lt;&gt;"",ISNUMBER(A2787)),VLOOKUP(A2787,Studies!A:BR,4,FALSE),"")</f>
        <v>Control pre-Black cohosh (Perpetrator Placebo)</v>
      </c>
      <c r="E2787" s="206" t="str">
        <f>IF(AND(A2787&lt;&gt;"",ISNUMBER(A2787)),VLOOKUP(A2787,Studies!A:BR,5,FALSE),"")</f>
        <v>Midazolam</v>
      </c>
      <c r="F2787" s="207" t="str">
        <f>IF(AND(A2787&lt;&gt;"",ISNUMBER(A2787)),VLOOKUP(A2787,Studies!A:BR,6,FALSE),"")</f>
        <v>Plasma</v>
      </c>
      <c r="G2787" s="194">
        <v>1.5</v>
      </c>
      <c r="H2787" s="194" t="s">
        <v>60</v>
      </c>
      <c r="I2787" s="187">
        <v>18.163270000000001</v>
      </c>
      <c r="J2787" s="187" t="s">
        <v>1026</v>
      </c>
      <c r="K2787" s="187" t="s">
        <v>116</v>
      </c>
      <c r="L2787" s="195">
        <v>6.0544269999999996</v>
      </c>
      <c r="M2787" s="195" t="s">
        <v>1026</v>
      </c>
      <c r="N2787" s="195" t="s">
        <v>117</v>
      </c>
      <c r="O2787" s="199">
        <v>0.1</v>
      </c>
      <c r="P2787" s="188"/>
      <c r="Q2787" s="174">
        <f>IF(ISNUMBER(VLOOKUP(A2787,NotghiID!A:A,1,FALSE)),1,0)</f>
        <v>1</v>
      </c>
      <c r="R2787" s="183"/>
    </row>
    <row r="2788" spans="1:18" ht="14.25" x14ac:dyDescent="0.2">
      <c r="A2788" s="189">
        <v>218</v>
      </c>
      <c r="B2788" s="232" t="str">
        <f>IF(AND(A2788&lt;&gt;"",ISNUMBER(A2788)),VLOOKUP(A2788,Studies!A:BR,2,FALSE),"")</f>
        <v>Gurley 2006</v>
      </c>
      <c r="C2788" s="232" t="str">
        <f>IF(AND(A2788&lt;&gt;"",ISNUMBER(A2788)),VLOOKUP(A2788,Studies!A:BR,3,FALSE),"")</f>
        <v>https://www.ncbi.nlm.nih.gov/pubmed/16432272</v>
      </c>
      <c r="D2788" s="232" t="str">
        <f>IF(AND(A2788&lt;&gt;"",ISNUMBER(A2788)),VLOOKUP(A2788,Studies!A:BR,4,FALSE),"")</f>
        <v>Control pre-Black cohosh (Perpetrator Placebo)</v>
      </c>
      <c r="E2788" s="206" t="str">
        <f>IF(AND(A2788&lt;&gt;"",ISNUMBER(A2788)),VLOOKUP(A2788,Studies!A:BR,5,FALSE),"")</f>
        <v>Midazolam</v>
      </c>
      <c r="F2788" s="207" t="str">
        <f>IF(AND(A2788&lt;&gt;"",ISNUMBER(A2788)),VLOOKUP(A2788,Studies!A:BR,6,FALSE),"")</f>
        <v>Plasma</v>
      </c>
      <c r="G2788" s="194">
        <v>2</v>
      </c>
      <c r="H2788" s="194" t="s">
        <v>60</v>
      </c>
      <c r="I2788" s="187">
        <v>15.37415</v>
      </c>
      <c r="J2788" s="187" t="s">
        <v>1026</v>
      </c>
      <c r="K2788" s="187" t="s">
        <v>116</v>
      </c>
      <c r="L2788" s="195">
        <v>4.9659870000000002</v>
      </c>
      <c r="M2788" s="195" t="s">
        <v>1026</v>
      </c>
      <c r="N2788" s="195" t="s">
        <v>117</v>
      </c>
      <c r="O2788" s="199">
        <v>0.1</v>
      </c>
      <c r="P2788" s="188"/>
      <c r="Q2788" s="174">
        <f>IF(ISNUMBER(VLOOKUP(A2788,NotghiID!A:A,1,FALSE)),1,0)</f>
        <v>1</v>
      </c>
      <c r="R2788" s="183"/>
    </row>
    <row r="2789" spans="1:18" ht="14.25" x14ac:dyDescent="0.2">
      <c r="A2789" s="189">
        <v>218</v>
      </c>
      <c r="B2789" s="232" t="str">
        <f>IF(AND(A2789&lt;&gt;"",ISNUMBER(A2789)),VLOOKUP(A2789,Studies!A:BR,2,FALSE),"")</f>
        <v>Gurley 2006</v>
      </c>
      <c r="C2789" s="232" t="str">
        <f>IF(AND(A2789&lt;&gt;"",ISNUMBER(A2789)),VLOOKUP(A2789,Studies!A:BR,3,FALSE),"")</f>
        <v>https://www.ncbi.nlm.nih.gov/pubmed/16432272</v>
      </c>
      <c r="D2789" s="232" t="str">
        <f>IF(AND(A2789&lt;&gt;"",ISNUMBER(A2789)),VLOOKUP(A2789,Studies!A:BR,4,FALSE),"")</f>
        <v>Control pre-Black cohosh (Perpetrator Placebo)</v>
      </c>
      <c r="E2789" s="206" t="str">
        <f>IF(AND(A2789&lt;&gt;"",ISNUMBER(A2789)),VLOOKUP(A2789,Studies!A:BR,5,FALSE),"")</f>
        <v>Midazolam</v>
      </c>
      <c r="F2789" s="207" t="str">
        <f>IF(AND(A2789&lt;&gt;"",ISNUMBER(A2789)),VLOOKUP(A2789,Studies!A:BR,6,FALSE),"")</f>
        <v>Plasma</v>
      </c>
      <c r="G2789" s="194">
        <v>3</v>
      </c>
      <c r="H2789" s="194" t="s">
        <v>60</v>
      </c>
      <c r="I2789" s="187">
        <v>10.34014</v>
      </c>
      <c r="J2789" s="187" t="s">
        <v>1026</v>
      </c>
      <c r="K2789" s="187" t="s">
        <v>116</v>
      </c>
      <c r="L2789" s="195">
        <v>3.5374189999999999</v>
      </c>
      <c r="M2789" s="195" t="s">
        <v>1026</v>
      </c>
      <c r="N2789" s="195" t="s">
        <v>117</v>
      </c>
      <c r="O2789" s="199">
        <v>0.1</v>
      </c>
      <c r="P2789" s="188"/>
      <c r="Q2789" s="174">
        <f>IF(ISNUMBER(VLOOKUP(A2789,NotghiID!A:A,1,FALSE)),1,0)</f>
        <v>1</v>
      </c>
      <c r="R2789" s="183"/>
    </row>
    <row r="2790" spans="1:18" ht="14.25" x14ac:dyDescent="0.2">
      <c r="A2790" s="189">
        <v>218</v>
      </c>
      <c r="B2790" s="232" t="str">
        <f>IF(AND(A2790&lt;&gt;"",ISNUMBER(A2790)),VLOOKUP(A2790,Studies!A:BR,2,FALSE),"")</f>
        <v>Gurley 2006</v>
      </c>
      <c r="C2790" s="232" t="str">
        <f>IF(AND(A2790&lt;&gt;"",ISNUMBER(A2790)),VLOOKUP(A2790,Studies!A:BR,3,FALSE),"")</f>
        <v>https://www.ncbi.nlm.nih.gov/pubmed/16432272</v>
      </c>
      <c r="D2790" s="232" t="str">
        <f>IF(AND(A2790&lt;&gt;"",ISNUMBER(A2790)),VLOOKUP(A2790,Studies!A:BR,4,FALSE),"")</f>
        <v>Control pre-Black cohosh (Perpetrator Placebo)</v>
      </c>
      <c r="E2790" s="206" t="str">
        <f>IF(AND(A2790&lt;&gt;"",ISNUMBER(A2790)),VLOOKUP(A2790,Studies!A:BR,5,FALSE),"")</f>
        <v>Midazolam</v>
      </c>
      <c r="F2790" s="207" t="str">
        <f>IF(AND(A2790&lt;&gt;"",ISNUMBER(A2790)),VLOOKUP(A2790,Studies!A:BR,6,FALSE),"")</f>
        <v>Plasma</v>
      </c>
      <c r="G2790" s="194">
        <v>4</v>
      </c>
      <c r="H2790" s="194" t="s">
        <v>60</v>
      </c>
      <c r="I2790" s="187">
        <v>7.278912</v>
      </c>
      <c r="J2790" s="187" t="s">
        <v>1026</v>
      </c>
      <c r="K2790" s="187" t="s">
        <v>116</v>
      </c>
      <c r="L2790" s="195">
        <v>2.8571430000000002</v>
      </c>
      <c r="M2790" s="195" t="s">
        <v>1026</v>
      </c>
      <c r="N2790" s="195" t="s">
        <v>117</v>
      </c>
      <c r="O2790" s="199">
        <v>0.1</v>
      </c>
      <c r="P2790" s="188"/>
      <c r="Q2790" s="174">
        <f>IF(ISNUMBER(VLOOKUP(A2790,NotghiID!A:A,1,FALSE)),1,0)</f>
        <v>1</v>
      </c>
      <c r="R2790" s="183"/>
    </row>
    <row r="2791" spans="1:18" ht="14.25" x14ac:dyDescent="0.2">
      <c r="A2791" s="189">
        <v>218</v>
      </c>
      <c r="B2791" s="232" t="str">
        <f>IF(AND(A2791&lt;&gt;"",ISNUMBER(A2791)),VLOOKUP(A2791,Studies!A:BR,2,FALSE),"")</f>
        <v>Gurley 2006</v>
      </c>
      <c r="C2791" s="232" t="str">
        <f>IF(AND(A2791&lt;&gt;"",ISNUMBER(A2791)),VLOOKUP(A2791,Studies!A:BR,3,FALSE),"")</f>
        <v>https://www.ncbi.nlm.nih.gov/pubmed/16432272</v>
      </c>
      <c r="D2791" s="232" t="str">
        <f>IF(AND(A2791&lt;&gt;"",ISNUMBER(A2791)),VLOOKUP(A2791,Studies!A:BR,4,FALSE),"")</f>
        <v>Control pre-Black cohosh (Perpetrator Placebo)</v>
      </c>
      <c r="E2791" s="206" t="str">
        <f>IF(AND(A2791&lt;&gt;"",ISNUMBER(A2791)),VLOOKUP(A2791,Studies!A:BR,5,FALSE),"")</f>
        <v>Midazolam</v>
      </c>
      <c r="F2791" s="207" t="str">
        <f>IF(AND(A2791&lt;&gt;"",ISNUMBER(A2791)),VLOOKUP(A2791,Studies!A:BR,6,FALSE),"")</f>
        <v>Plasma</v>
      </c>
      <c r="G2791" s="194">
        <v>5</v>
      </c>
      <c r="H2791" s="194" t="s">
        <v>60</v>
      </c>
      <c r="I2791" s="187">
        <v>4.8979590000000002</v>
      </c>
      <c r="J2791" s="187" t="s">
        <v>1026</v>
      </c>
      <c r="K2791" s="187" t="s">
        <v>116</v>
      </c>
      <c r="L2791" s="195">
        <v>2.6530610000000001</v>
      </c>
      <c r="M2791" s="195" t="s">
        <v>1026</v>
      </c>
      <c r="N2791" s="195" t="s">
        <v>117</v>
      </c>
      <c r="O2791" s="199">
        <v>0.1</v>
      </c>
      <c r="P2791" s="188"/>
      <c r="Q2791" s="174">
        <f>IF(ISNUMBER(VLOOKUP(A2791,NotghiID!A:A,1,FALSE)),1,0)</f>
        <v>1</v>
      </c>
      <c r="R2791" s="183"/>
    </row>
    <row r="2792" spans="1:18" ht="14.25" x14ac:dyDescent="0.2">
      <c r="A2792" s="189">
        <v>218</v>
      </c>
      <c r="B2792" s="232" t="str">
        <f>IF(AND(A2792&lt;&gt;"",ISNUMBER(A2792)),VLOOKUP(A2792,Studies!A:BR,2,FALSE),"")</f>
        <v>Gurley 2006</v>
      </c>
      <c r="C2792" s="232" t="str">
        <f>IF(AND(A2792&lt;&gt;"",ISNUMBER(A2792)),VLOOKUP(A2792,Studies!A:BR,3,FALSE),"")</f>
        <v>https://www.ncbi.nlm.nih.gov/pubmed/16432272</v>
      </c>
      <c r="D2792" s="232" t="str">
        <f>IF(AND(A2792&lt;&gt;"",ISNUMBER(A2792)),VLOOKUP(A2792,Studies!A:BR,4,FALSE),"")</f>
        <v>Control pre-Black cohosh (Perpetrator Placebo)</v>
      </c>
      <c r="E2792" s="206" t="str">
        <f>IF(AND(A2792&lt;&gt;"",ISNUMBER(A2792)),VLOOKUP(A2792,Studies!A:BR,5,FALSE),"")</f>
        <v>Midazolam</v>
      </c>
      <c r="F2792" s="207" t="str">
        <f>IF(AND(A2792&lt;&gt;"",ISNUMBER(A2792)),VLOOKUP(A2792,Studies!A:BR,6,FALSE),"")</f>
        <v>Plasma</v>
      </c>
      <c r="G2792" s="194">
        <v>6</v>
      </c>
      <c r="H2792" s="194" t="s">
        <v>60</v>
      </c>
      <c r="I2792" s="187">
        <v>3.8095240000000001</v>
      </c>
      <c r="J2792" s="187" t="s">
        <v>1026</v>
      </c>
      <c r="K2792" s="187" t="s">
        <v>116</v>
      </c>
      <c r="L2792" s="195">
        <v>1.836735</v>
      </c>
      <c r="M2792" s="195" t="s">
        <v>1026</v>
      </c>
      <c r="N2792" s="195" t="s">
        <v>117</v>
      </c>
      <c r="O2792" s="199">
        <v>0.1</v>
      </c>
      <c r="P2792" s="188"/>
      <c r="Q2792" s="174">
        <f>IF(ISNUMBER(VLOOKUP(A2792,NotghiID!A:A,1,FALSE)),1,0)</f>
        <v>1</v>
      </c>
      <c r="R2792" s="183"/>
    </row>
    <row r="2793" spans="1:18" ht="14.25" x14ac:dyDescent="0.2">
      <c r="A2793" s="189">
        <v>219</v>
      </c>
      <c r="B2793" s="232" t="str">
        <f>IF(AND(A2793&lt;&gt;"",ISNUMBER(A2793)),VLOOKUP(A2793,Studies!A:BR,2,FALSE),"")</f>
        <v>Gurley 2006</v>
      </c>
      <c r="C2793" s="232" t="str">
        <f>IF(AND(A2793&lt;&gt;"",ISNUMBER(A2793)),VLOOKUP(A2793,Studies!A:BR,3,FALSE),"")</f>
        <v>https://www.ncbi.nlm.nih.gov/pubmed/16432272</v>
      </c>
      <c r="D2793" s="232" t="str">
        <f>IF(AND(A2793&lt;&gt;"",ISNUMBER(A2793)),VLOOKUP(A2793,Studies!A:BR,4,FALSE),"")</f>
        <v>Control pre-Milk thistle (Perpetrator Placebo)</v>
      </c>
      <c r="E2793" s="206" t="str">
        <f>IF(AND(A2793&lt;&gt;"",ISNUMBER(A2793)),VLOOKUP(A2793,Studies!A:BR,5,FALSE),"")</f>
        <v>Midazolam</v>
      </c>
      <c r="F2793" s="207" t="str">
        <f>IF(AND(A2793&lt;&gt;"",ISNUMBER(A2793)),VLOOKUP(A2793,Studies!A:BR,6,FALSE),"")</f>
        <v>Plasma</v>
      </c>
      <c r="G2793" s="194">
        <v>0</v>
      </c>
      <c r="H2793" s="194" t="s">
        <v>60</v>
      </c>
      <c r="I2793" s="187" t="s">
        <v>1127</v>
      </c>
      <c r="J2793" s="187" t="s">
        <v>1026</v>
      </c>
      <c r="K2793" s="187" t="s">
        <v>116</v>
      </c>
      <c r="L2793" s="145"/>
      <c r="M2793" s="145"/>
      <c r="N2793" s="145"/>
      <c r="O2793" s="199">
        <v>0.1</v>
      </c>
      <c r="P2793" s="188"/>
      <c r="Q2793" s="174">
        <f>IF(ISNUMBER(VLOOKUP(A2793,NotghiID!A:A,1,FALSE)),1,0)</f>
        <v>1</v>
      </c>
      <c r="R2793" s="183"/>
    </row>
    <row r="2794" spans="1:18" ht="14.25" x14ac:dyDescent="0.2">
      <c r="A2794" s="189">
        <v>219</v>
      </c>
      <c r="B2794" s="232" t="str">
        <f>IF(AND(A2794&lt;&gt;"",ISNUMBER(A2794)),VLOOKUP(A2794,Studies!A:BR,2,FALSE),"")</f>
        <v>Gurley 2006</v>
      </c>
      <c r="C2794" s="232" t="str">
        <f>IF(AND(A2794&lt;&gt;"",ISNUMBER(A2794)),VLOOKUP(A2794,Studies!A:BR,3,FALSE),"")</f>
        <v>https://www.ncbi.nlm.nih.gov/pubmed/16432272</v>
      </c>
      <c r="D2794" s="232" t="str">
        <f>IF(AND(A2794&lt;&gt;"",ISNUMBER(A2794)),VLOOKUP(A2794,Studies!A:BR,4,FALSE),"")</f>
        <v>Control pre-Milk thistle (Perpetrator Placebo)</v>
      </c>
      <c r="E2794" s="206" t="str">
        <f>IF(AND(A2794&lt;&gt;"",ISNUMBER(A2794)),VLOOKUP(A2794,Studies!A:BR,5,FALSE),"")</f>
        <v>Midazolam</v>
      </c>
      <c r="F2794" s="207" t="str">
        <f>IF(AND(A2794&lt;&gt;"",ISNUMBER(A2794)),VLOOKUP(A2794,Studies!A:BR,6,FALSE),"")</f>
        <v>Plasma</v>
      </c>
      <c r="G2794" s="194">
        <v>0.25</v>
      </c>
      <c r="H2794" s="194" t="s">
        <v>60</v>
      </c>
      <c r="I2794" s="187">
        <v>27.393529999999998</v>
      </c>
      <c r="J2794" s="187" t="s">
        <v>1026</v>
      </c>
      <c r="K2794" s="187" t="s">
        <v>116</v>
      </c>
      <c r="L2794" s="195">
        <v>9.471895</v>
      </c>
      <c r="M2794" s="195" t="s">
        <v>1026</v>
      </c>
      <c r="N2794" s="195" t="s">
        <v>117</v>
      </c>
      <c r="O2794" s="199">
        <v>0.1</v>
      </c>
      <c r="P2794" s="188"/>
      <c r="Q2794" s="174">
        <f>IF(ISNUMBER(VLOOKUP(A2794,NotghiID!A:A,1,FALSE)),1,0)</f>
        <v>1</v>
      </c>
      <c r="R2794" s="183"/>
    </row>
    <row r="2795" spans="1:18" ht="14.25" x14ac:dyDescent="0.2">
      <c r="A2795" s="189">
        <v>219</v>
      </c>
      <c r="B2795" s="232" t="str">
        <f>IF(AND(A2795&lt;&gt;"",ISNUMBER(A2795)),VLOOKUP(A2795,Studies!A:BR,2,FALSE),"")</f>
        <v>Gurley 2006</v>
      </c>
      <c r="C2795" s="232" t="str">
        <f>IF(AND(A2795&lt;&gt;"",ISNUMBER(A2795)),VLOOKUP(A2795,Studies!A:BR,3,FALSE),"")</f>
        <v>https://www.ncbi.nlm.nih.gov/pubmed/16432272</v>
      </c>
      <c r="D2795" s="232" t="str">
        <f>IF(AND(A2795&lt;&gt;"",ISNUMBER(A2795)),VLOOKUP(A2795,Studies!A:BR,4,FALSE),"")</f>
        <v>Control pre-Milk thistle (Perpetrator Placebo)</v>
      </c>
      <c r="E2795" s="206" t="str">
        <f>IF(AND(A2795&lt;&gt;"",ISNUMBER(A2795)),VLOOKUP(A2795,Studies!A:BR,5,FALSE),"")</f>
        <v>Midazolam</v>
      </c>
      <c r="F2795" s="207" t="str">
        <f>IF(AND(A2795&lt;&gt;"",ISNUMBER(A2795)),VLOOKUP(A2795,Studies!A:BR,6,FALSE),"")</f>
        <v>Plasma</v>
      </c>
      <c r="G2795" s="194">
        <v>0.5</v>
      </c>
      <c r="H2795" s="194" t="s">
        <v>60</v>
      </c>
      <c r="I2795" s="187">
        <v>29.097100000000001</v>
      </c>
      <c r="J2795" s="187" t="s">
        <v>1026</v>
      </c>
      <c r="K2795" s="187" t="s">
        <v>116</v>
      </c>
      <c r="L2795" s="195">
        <v>9.0630279999999992</v>
      </c>
      <c r="M2795" s="195" t="s">
        <v>1026</v>
      </c>
      <c r="N2795" s="195" t="s">
        <v>117</v>
      </c>
      <c r="O2795" s="199">
        <v>0.1</v>
      </c>
      <c r="P2795" s="188"/>
      <c r="Q2795" s="174">
        <f>IF(ISNUMBER(VLOOKUP(A2795,NotghiID!A:A,1,FALSE)),1,0)</f>
        <v>1</v>
      </c>
      <c r="R2795" s="183"/>
    </row>
    <row r="2796" spans="1:18" ht="14.25" x14ac:dyDescent="0.2">
      <c r="A2796" s="189">
        <v>219</v>
      </c>
      <c r="B2796" s="232" t="str">
        <f>IF(AND(A2796&lt;&gt;"",ISNUMBER(A2796)),VLOOKUP(A2796,Studies!A:BR,2,FALSE),"")</f>
        <v>Gurley 2006</v>
      </c>
      <c r="C2796" s="232" t="str">
        <f>IF(AND(A2796&lt;&gt;"",ISNUMBER(A2796)),VLOOKUP(A2796,Studies!A:BR,3,FALSE),"")</f>
        <v>https://www.ncbi.nlm.nih.gov/pubmed/16432272</v>
      </c>
      <c r="D2796" s="232" t="str">
        <f>IF(AND(A2796&lt;&gt;"",ISNUMBER(A2796)),VLOOKUP(A2796,Studies!A:BR,4,FALSE),"")</f>
        <v>Control pre-Milk thistle (Perpetrator Placebo)</v>
      </c>
      <c r="E2796" s="206" t="str">
        <f>IF(AND(A2796&lt;&gt;"",ISNUMBER(A2796)),VLOOKUP(A2796,Studies!A:BR,5,FALSE),"")</f>
        <v>Midazolam</v>
      </c>
      <c r="F2796" s="207" t="str">
        <f>IF(AND(A2796&lt;&gt;"",ISNUMBER(A2796)),VLOOKUP(A2796,Studies!A:BR,6,FALSE),"")</f>
        <v>Plasma</v>
      </c>
      <c r="G2796" s="194">
        <v>0.75</v>
      </c>
      <c r="H2796" s="194" t="s">
        <v>60</v>
      </c>
      <c r="I2796" s="187">
        <v>24.872229999999998</v>
      </c>
      <c r="J2796" s="187" t="s">
        <v>1026</v>
      </c>
      <c r="K2796" s="187" t="s">
        <v>116</v>
      </c>
      <c r="L2796" s="195">
        <v>8.722315</v>
      </c>
      <c r="M2796" s="195" t="s">
        <v>1026</v>
      </c>
      <c r="N2796" s="195" t="s">
        <v>117</v>
      </c>
      <c r="O2796" s="199">
        <v>0.1</v>
      </c>
      <c r="P2796" s="188"/>
      <c r="Q2796" s="174">
        <f>IF(ISNUMBER(VLOOKUP(A2796,NotghiID!A:A,1,FALSE)),1,0)</f>
        <v>1</v>
      </c>
      <c r="R2796" s="183"/>
    </row>
    <row r="2797" spans="1:18" ht="14.25" x14ac:dyDescent="0.2">
      <c r="A2797" s="189">
        <v>219</v>
      </c>
      <c r="B2797" s="232" t="str">
        <f>IF(AND(A2797&lt;&gt;"",ISNUMBER(A2797)),VLOOKUP(A2797,Studies!A:BR,2,FALSE),"")</f>
        <v>Gurley 2006</v>
      </c>
      <c r="C2797" s="232" t="str">
        <f>IF(AND(A2797&lt;&gt;"",ISNUMBER(A2797)),VLOOKUP(A2797,Studies!A:BR,3,FALSE),"")</f>
        <v>https://www.ncbi.nlm.nih.gov/pubmed/16432272</v>
      </c>
      <c r="D2797" s="232" t="str">
        <f>IF(AND(A2797&lt;&gt;"",ISNUMBER(A2797)),VLOOKUP(A2797,Studies!A:BR,4,FALSE),"")</f>
        <v>Control pre-Milk thistle (Perpetrator Placebo)</v>
      </c>
      <c r="E2797" s="206" t="str">
        <f>IF(AND(A2797&lt;&gt;"",ISNUMBER(A2797)),VLOOKUP(A2797,Studies!A:BR,5,FALSE),"")</f>
        <v>Midazolam</v>
      </c>
      <c r="F2797" s="207" t="str">
        <f>IF(AND(A2797&lt;&gt;"",ISNUMBER(A2797)),VLOOKUP(A2797,Studies!A:BR,6,FALSE),"")</f>
        <v>Plasma</v>
      </c>
      <c r="G2797" s="194">
        <v>1</v>
      </c>
      <c r="H2797" s="194" t="s">
        <v>60</v>
      </c>
      <c r="I2797" s="187">
        <v>21.328790000000001</v>
      </c>
      <c r="J2797" s="187" t="s">
        <v>1026</v>
      </c>
      <c r="K2797" s="187" t="s">
        <v>116</v>
      </c>
      <c r="L2797" s="195">
        <v>8.9267459999999996</v>
      </c>
      <c r="M2797" s="195" t="s">
        <v>1026</v>
      </c>
      <c r="N2797" s="195" t="s">
        <v>117</v>
      </c>
      <c r="O2797" s="199">
        <v>0.1</v>
      </c>
      <c r="P2797" s="188"/>
      <c r="Q2797" s="174">
        <f>IF(ISNUMBER(VLOOKUP(A2797,NotghiID!A:A,1,FALSE)),1,0)</f>
        <v>1</v>
      </c>
      <c r="R2797" s="183"/>
    </row>
    <row r="2798" spans="1:18" ht="14.25" x14ac:dyDescent="0.2">
      <c r="A2798" s="189">
        <v>219</v>
      </c>
      <c r="B2798" s="232" t="str">
        <f>IF(AND(A2798&lt;&gt;"",ISNUMBER(A2798)),VLOOKUP(A2798,Studies!A:BR,2,FALSE),"")</f>
        <v>Gurley 2006</v>
      </c>
      <c r="C2798" s="232" t="str">
        <f>IF(AND(A2798&lt;&gt;"",ISNUMBER(A2798)),VLOOKUP(A2798,Studies!A:BR,3,FALSE),"")</f>
        <v>https://www.ncbi.nlm.nih.gov/pubmed/16432272</v>
      </c>
      <c r="D2798" s="232" t="str">
        <f>IF(AND(A2798&lt;&gt;"",ISNUMBER(A2798)),VLOOKUP(A2798,Studies!A:BR,4,FALSE),"")</f>
        <v>Control pre-Milk thistle (Perpetrator Placebo)</v>
      </c>
      <c r="E2798" s="206" t="str">
        <f>IF(AND(A2798&lt;&gt;"",ISNUMBER(A2798)),VLOOKUP(A2798,Studies!A:BR,5,FALSE),"")</f>
        <v>Midazolam</v>
      </c>
      <c r="F2798" s="207" t="str">
        <f>IF(AND(A2798&lt;&gt;"",ISNUMBER(A2798)),VLOOKUP(A2798,Studies!A:BR,6,FALSE),"")</f>
        <v>Plasma</v>
      </c>
      <c r="G2798" s="194">
        <v>1.5</v>
      </c>
      <c r="H2798" s="194" t="s">
        <v>60</v>
      </c>
      <c r="I2798" s="187">
        <v>16.626919999999998</v>
      </c>
      <c r="J2798" s="187" t="s">
        <v>1026</v>
      </c>
      <c r="K2798" s="187" t="s">
        <v>116</v>
      </c>
      <c r="L2798" s="195">
        <v>4.7700209999999998</v>
      </c>
      <c r="M2798" s="195" t="s">
        <v>1026</v>
      </c>
      <c r="N2798" s="195" t="s">
        <v>117</v>
      </c>
      <c r="O2798" s="199">
        <v>0.1</v>
      </c>
      <c r="P2798" s="188"/>
      <c r="Q2798" s="174">
        <f>IF(ISNUMBER(VLOOKUP(A2798,NotghiID!A:A,1,FALSE)),1,0)</f>
        <v>1</v>
      </c>
      <c r="R2798" s="183"/>
    </row>
    <row r="2799" spans="1:18" ht="14.25" x14ac:dyDescent="0.2">
      <c r="A2799" s="189">
        <v>219</v>
      </c>
      <c r="B2799" s="232" t="str">
        <f>IF(AND(A2799&lt;&gt;"",ISNUMBER(A2799)),VLOOKUP(A2799,Studies!A:BR,2,FALSE),"")</f>
        <v>Gurley 2006</v>
      </c>
      <c r="C2799" s="232" t="str">
        <f>IF(AND(A2799&lt;&gt;"",ISNUMBER(A2799)),VLOOKUP(A2799,Studies!A:BR,3,FALSE),"")</f>
        <v>https://www.ncbi.nlm.nih.gov/pubmed/16432272</v>
      </c>
      <c r="D2799" s="232" t="str">
        <f>IF(AND(A2799&lt;&gt;"",ISNUMBER(A2799)),VLOOKUP(A2799,Studies!A:BR,4,FALSE),"")</f>
        <v>Control pre-Milk thistle (Perpetrator Placebo)</v>
      </c>
      <c r="E2799" s="206" t="str">
        <f>IF(AND(A2799&lt;&gt;"",ISNUMBER(A2799)),VLOOKUP(A2799,Studies!A:BR,5,FALSE),"")</f>
        <v>Midazolam</v>
      </c>
      <c r="F2799" s="207" t="str">
        <f>IF(AND(A2799&lt;&gt;"",ISNUMBER(A2799)),VLOOKUP(A2799,Studies!A:BR,6,FALSE),"")</f>
        <v>Plasma</v>
      </c>
      <c r="G2799" s="194">
        <v>2</v>
      </c>
      <c r="H2799" s="194" t="s">
        <v>60</v>
      </c>
      <c r="I2799" s="187">
        <v>14.58262</v>
      </c>
      <c r="J2799" s="187" t="s">
        <v>1026</v>
      </c>
      <c r="K2799" s="187" t="s">
        <v>116</v>
      </c>
      <c r="L2799" s="195">
        <v>4.4974400000000001</v>
      </c>
      <c r="M2799" s="195" t="s">
        <v>1026</v>
      </c>
      <c r="N2799" s="195" t="s">
        <v>117</v>
      </c>
      <c r="O2799" s="199">
        <v>0.1</v>
      </c>
      <c r="P2799" s="188"/>
      <c r="Q2799" s="174">
        <f>IF(ISNUMBER(VLOOKUP(A2799,NotghiID!A:A,1,FALSE)),1,0)</f>
        <v>1</v>
      </c>
      <c r="R2799" s="183"/>
    </row>
    <row r="2800" spans="1:18" ht="14.25" x14ac:dyDescent="0.2">
      <c r="A2800" s="189">
        <v>219</v>
      </c>
      <c r="B2800" s="232" t="str">
        <f>IF(AND(A2800&lt;&gt;"",ISNUMBER(A2800)),VLOOKUP(A2800,Studies!A:BR,2,FALSE),"")</f>
        <v>Gurley 2006</v>
      </c>
      <c r="C2800" s="232" t="str">
        <f>IF(AND(A2800&lt;&gt;"",ISNUMBER(A2800)),VLOOKUP(A2800,Studies!A:BR,3,FALSE),"")</f>
        <v>https://www.ncbi.nlm.nih.gov/pubmed/16432272</v>
      </c>
      <c r="D2800" s="232" t="str">
        <f>IF(AND(A2800&lt;&gt;"",ISNUMBER(A2800)),VLOOKUP(A2800,Studies!A:BR,4,FALSE),"")</f>
        <v>Control pre-Milk thistle (Perpetrator Placebo)</v>
      </c>
      <c r="E2800" s="206" t="str">
        <f>IF(AND(A2800&lt;&gt;"",ISNUMBER(A2800)),VLOOKUP(A2800,Studies!A:BR,5,FALSE),"")</f>
        <v>Midazolam</v>
      </c>
      <c r="F2800" s="207" t="str">
        <f>IF(AND(A2800&lt;&gt;"",ISNUMBER(A2800)),VLOOKUP(A2800,Studies!A:BR,6,FALSE),"")</f>
        <v>Plasma</v>
      </c>
      <c r="G2800" s="194">
        <v>3</v>
      </c>
      <c r="H2800" s="194" t="s">
        <v>60</v>
      </c>
      <c r="I2800" s="187">
        <v>9.6763200000000005</v>
      </c>
      <c r="J2800" s="187" t="s">
        <v>1026</v>
      </c>
      <c r="K2800" s="187" t="s">
        <v>116</v>
      </c>
      <c r="L2800" s="195">
        <v>4.0204430000000002</v>
      </c>
      <c r="M2800" s="195" t="s">
        <v>1026</v>
      </c>
      <c r="N2800" s="195" t="s">
        <v>117</v>
      </c>
      <c r="O2800" s="199">
        <v>0.1</v>
      </c>
      <c r="P2800" s="188"/>
      <c r="Q2800" s="174">
        <f>IF(ISNUMBER(VLOOKUP(A2800,NotghiID!A:A,1,FALSE)),1,0)</f>
        <v>1</v>
      </c>
      <c r="R2800" s="183"/>
    </row>
    <row r="2801" spans="1:18" ht="14.25" x14ac:dyDescent="0.2">
      <c r="A2801" s="189">
        <v>219</v>
      </c>
      <c r="B2801" s="232" t="str">
        <f>IF(AND(A2801&lt;&gt;"",ISNUMBER(A2801)),VLOOKUP(A2801,Studies!A:BR,2,FALSE),"")</f>
        <v>Gurley 2006</v>
      </c>
      <c r="C2801" s="232" t="str">
        <f>IF(AND(A2801&lt;&gt;"",ISNUMBER(A2801)),VLOOKUP(A2801,Studies!A:BR,3,FALSE),"")</f>
        <v>https://www.ncbi.nlm.nih.gov/pubmed/16432272</v>
      </c>
      <c r="D2801" s="232" t="str">
        <f>IF(AND(A2801&lt;&gt;"",ISNUMBER(A2801)),VLOOKUP(A2801,Studies!A:BR,4,FALSE),"")</f>
        <v>Control pre-Milk thistle (Perpetrator Placebo)</v>
      </c>
      <c r="E2801" s="206" t="str">
        <f>IF(AND(A2801&lt;&gt;"",ISNUMBER(A2801)),VLOOKUP(A2801,Studies!A:BR,5,FALSE),"")</f>
        <v>Midazolam</v>
      </c>
      <c r="F2801" s="207" t="str">
        <f>IF(AND(A2801&lt;&gt;"",ISNUMBER(A2801)),VLOOKUP(A2801,Studies!A:BR,6,FALSE),"")</f>
        <v>Plasma</v>
      </c>
      <c r="G2801" s="194">
        <v>4</v>
      </c>
      <c r="H2801" s="194" t="s">
        <v>60</v>
      </c>
      <c r="I2801" s="187">
        <v>6.6098809999999997</v>
      </c>
      <c r="J2801" s="187" t="s">
        <v>1026</v>
      </c>
      <c r="K2801" s="187" t="s">
        <v>116</v>
      </c>
      <c r="L2801" s="195">
        <v>2.8620100000000002</v>
      </c>
      <c r="M2801" s="195" t="s">
        <v>1026</v>
      </c>
      <c r="N2801" s="195" t="s">
        <v>117</v>
      </c>
      <c r="O2801" s="199">
        <v>0.1</v>
      </c>
      <c r="P2801" s="188"/>
      <c r="Q2801" s="174">
        <f>IF(ISNUMBER(VLOOKUP(A2801,NotghiID!A:A,1,FALSE)),1,0)</f>
        <v>1</v>
      </c>
      <c r="R2801" s="183"/>
    </row>
    <row r="2802" spans="1:18" ht="14.25" x14ac:dyDescent="0.2">
      <c r="A2802" s="189">
        <v>219</v>
      </c>
      <c r="B2802" s="232" t="str">
        <f>IF(AND(A2802&lt;&gt;"",ISNUMBER(A2802)),VLOOKUP(A2802,Studies!A:BR,2,FALSE),"")</f>
        <v>Gurley 2006</v>
      </c>
      <c r="C2802" s="232" t="str">
        <f>IF(AND(A2802&lt;&gt;"",ISNUMBER(A2802)),VLOOKUP(A2802,Studies!A:BR,3,FALSE),"")</f>
        <v>https://www.ncbi.nlm.nih.gov/pubmed/16432272</v>
      </c>
      <c r="D2802" s="232" t="str">
        <f>IF(AND(A2802&lt;&gt;"",ISNUMBER(A2802)),VLOOKUP(A2802,Studies!A:BR,4,FALSE),"")</f>
        <v>Control pre-Milk thistle (Perpetrator Placebo)</v>
      </c>
      <c r="E2802" s="206" t="str">
        <f>IF(AND(A2802&lt;&gt;"",ISNUMBER(A2802)),VLOOKUP(A2802,Studies!A:BR,5,FALSE),"")</f>
        <v>Midazolam</v>
      </c>
      <c r="F2802" s="207" t="str">
        <f>IF(AND(A2802&lt;&gt;"",ISNUMBER(A2802)),VLOOKUP(A2802,Studies!A:BR,6,FALSE),"")</f>
        <v>Plasma</v>
      </c>
      <c r="G2802" s="194">
        <v>5</v>
      </c>
      <c r="H2802" s="194" t="s">
        <v>60</v>
      </c>
      <c r="I2802" s="187">
        <v>4.633731</v>
      </c>
      <c r="J2802" s="187" t="s">
        <v>1026</v>
      </c>
      <c r="K2802" s="187" t="s">
        <v>116</v>
      </c>
      <c r="L2802" s="195">
        <v>2.5212949999999998</v>
      </c>
      <c r="M2802" s="195" t="s">
        <v>1026</v>
      </c>
      <c r="N2802" s="195" t="s">
        <v>117</v>
      </c>
      <c r="O2802" s="199">
        <v>0.1</v>
      </c>
      <c r="P2802" s="188"/>
      <c r="Q2802" s="174">
        <f>IF(ISNUMBER(VLOOKUP(A2802,NotghiID!A:A,1,FALSE)),1,0)</f>
        <v>1</v>
      </c>
      <c r="R2802" s="183"/>
    </row>
    <row r="2803" spans="1:18" ht="14.25" x14ac:dyDescent="0.2">
      <c r="A2803" s="189">
        <v>219</v>
      </c>
      <c r="B2803" s="232" t="str">
        <f>IF(AND(A2803&lt;&gt;"",ISNUMBER(A2803)),VLOOKUP(A2803,Studies!A:BR,2,FALSE),"")</f>
        <v>Gurley 2006</v>
      </c>
      <c r="C2803" s="232" t="str">
        <f>IF(AND(A2803&lt;&gt;"",ISNUMBER(A2803)),VLOOKUP(A2803,Studies!A:BR,3,FALSE),"")</f>
        <v>https://www.ncbi.nlm.nih.gov/pubmed/16432272</v>
      </c>
      <c r="D2803" s="232" t="str">
        <f>IF(AND(A2803&lt;&gt;"",ISNUMBER(A2803)),VLOOKUP(A2803,Studies!A:BR,4,FALSE),"")</f>
        <v>Control pre-Milk thistle (Perpetrator Placebo)</v>
      </c>
      <c r="E2803" s="206" t="str">
        <f>IF(AND(A2803&lt;&gt;"",ISNUMBER(A2803)),VLOOKUP(A2803,Studies!A:BR,5,FALSE),"")</f>
        <v>Midazolam</v>
      </c>
      <c r="F2803" s="207" t="str">
        <f>IF(AND(A2803&lt;&gt;"",ISNUMBER(A2803)),VLOOKUP(A2803,Studies!A:BR,6,FALSE),"")</f>
        <v>Plasma</v>
      </c>
      <c r="G2803" s="194">
        <v>6</v>
      </c>
      <c r="H2803" s="194" t="s">
        <v>60</v>
      </c>
      <c r="I2803" s="187">
        <v>3.8841570000000001</v>
      </c>
      <c r="J2803" s="187" t="s">
        <v>1026</v>
      </c>
      <c r="K2803" s="187" t="s">
        <v>116</v>
      </c>
      <c r="L2803" s="195">
        <v>2.4531520000000002</v>
      </c>
      <c r="M2803" s="195" t="s">
        <v>1026</v>
      </c>
      <c r="N2803" s="195" t="s">
        <v>117</v>
      </c>
      <c r="O2803" s="199">
        <v>0.1</v>
      </c>
      <c r="P2803" s="188"/>
      <c r="Q2803" s="174">
        <f>IF(ISNUMBER(VLOOKUP(A2803,NotghiID!A:A,1,FALSE)),1,0)</f>
        <v>1</v>
      </c>
      <c r="R2803" s="183"/>
    </row>
    <row r="2804" spans="1:18" ht="14.25" x14ac:dyDescent="0.2">
      <c r="A2804" s="189">
        <v>220</v>
      </c>
      <c r="B2804" s="232" t="str">
        <f>IF(AND(A2804&lt;&gt;"",ISNUMBER(A2804)),VLOOKUP(A2804,Studies!A:BR,2,FALSE),"")</f>
        <v>Gurley 2008a</v>
      </c>
      <c r="C2804" s="232" t="str">
        <f>IF(AND(A2804&lt;&gt;"",ISNUMBER(A2804)),VLOOKUP(A2804,Studies!A:BR,3,FALSE),"")</f>
        <v>https://www.ncbi.nlm.nih.gov/pubmed/17495878</v>
      </c>
      <c r="D2804" s="232" t="str">
        <f>IF(AND(A2804&lt;&gt;"",ISNUMBER(A2804)),VLOOKUP(A2804,Studies!A:BR,4,FALSE),"")</f>
        <v>Control pre-Rifampicin (Perpetrator Placebo)</v>
      </c>
      <c r="E2804" s="206" t="str">
        <f>IF(AND(A2804&lt;&gt;"",ISNUMBER(A2804)),VLOOKUP(A2804,Studies!A:BR,5,FALSE),"")</f>
        <v>Midazolam</v>
      </c>
      <c r="F2804" s="207" t="str">
        <f>IF(AND(A2804&lt;&gt;"",ISNUMBER(A2804)),VLOOKUP(A2804,Studies!A:BR,6,FALSE),"")</f>
        <v>Plasma</v>
      </c>
      <c r="G2804" s="194">
        <v>0</v>
      </c>
      <c r="H2804" s="194" t="s">
        <v>60</v>
      </c>
      <c r="I2804" s="187">
        <v>0</v>
      </c>
      <c r="J2804" s="187" t="s">
        <v>1090</v>
      </c>
      <c r="K2804" s="187" t="s">
        <v>116</v>
      </c>
      <c r="L2804" s="145"/>
      <c r="M2804" s="145"/>
      <c r="N2804" s="145"/>
      <c r="O2804" s="199"/>
      <c r="P2804" s="188"/>
      <c r="Q2804" s="174">
        <f>IF(ISNUMBER(VLOOKUP(A2804,NotghiID!A:A,1,FALSE)),1,0)</f>
        <v>1</v>
      </c>
      <c r="R2804" s="183"/>
    </row>
    <row r="2805" spans="1:18" ht="14.25" x14ac:dyDescent="0.2">
      <c r="A2805" s="189">
        <v>220</v>
      </c>
      <c r="B2805" s="232" t="str">
        <f>IF(AND(A2805&lt;&gt;"",ISNUMBER(A2805)),VLOOKUP(A2805,Studies!A:BR,2,FALSE),"")</f>
        <v>Gurley 2008a</v>
      </c>
      <c r="C2805" s="232" t="str">
        <f>IF(AND(A2805&lt;&gt;"",ISNUMBER(A2805)),VLOOKUP(A2805,Studies!A:BR,3,FALSE),"")</f>
        <v>https://www.ncbi.nlm.nih.gov/pubmed/17495878</v>
      </c>
      <c r="D2805" s="232" t="str">
        <f>IF(AND(A2805&lt;&gt;"",ISNUMBER(A2805)),VLOOKUP(A2805,Studies!A:BR,4,FALSE),"")</f>
        <v>Control pre-Rifampicin (Perpetrator Placebo)</v>
      </c>
      <c r="E2805" s="206" t="str">
        <f>IF(AND(A2805&lt;&gt;"",ISNUMBER(A2805)),VLOOKUP(A2805,Studies!A:BR,5,FALSE),"")</f>
        <v>Midazolam</v>
      </c>
      <c r="F2805" s="207" t="str">
        <f>IF(AND(A2805&lt;&gt;"",ISNUMBER(A2805)),VLOOKUP(A2805,Studies!A:BR,6,FALSE),"")</f>
        <v>Plasma</v>
      </c>
      <c r="G2805" s="194">
        <v>0.25</v>
      </c>
      <c r="H2805" s="194" t="s">
        <v>60</v>
      </c>
      <c r="I2805" s="187">
        <v>28.183949999999999</v>
      </c>
      <c r="J2805" s="187" t="s">
        <v>1090</v>
      </c>
      <c r="K2805" s="187" t="s">
        <v>116</v>
      </c>
      <c r="L2805" s="195">
        <v>13.47522</v>
      </c>
      <c r="M2805" s="195" t="s">
        <v>1090</v>
      </c>
      <c r="N2805" s="195" t="s">
        <v>117</v>
      </c>
      <c r="O2805" s="199"/>
      <c r="P2805" s="188"/>
      <c r="Q2805" s="174">
        <f>IF(ISNUMBER(VLOOKUP(A2805,NotghiID!A:A,1,FALSE)),1,0)</f>
        <v>1</v>
      </c>
      <c r="R2805" s="183"/>
    </row>
    <row r="2806" spans="1:18" ht="14.25" x14ac:dyDescent="0.2">
      <c r="A2806" s="189">
        <v>220</v>
      </c>
      <c r="B2806" s="232" t="str">
        <f>IF(AND(A2806&lt;&gt;"",ISNUMBER(A2806)),VLOOKUP(A2806,Studies!A:BR,2,FALSE),"")</f>
        <v>Gurley 2008a</v>
      </c>
      <c r="C2806" s="232" t="str">
        <f>IF(AND(A2806&lt;&gt;"",ISNUMBER(A2806)),VLOOKUP(A2806,Studies!A:BR,3,FALSE),"")</f>
        <v>https://www.ncbi.nlm.nih.gov/pubmed/17495878</v>
      </c>
      <c r="D2806" s="232" t="str">
        <f>IF(AND(A2806&lt;&gt;"",ISNUMBER(A2806)),VLOOKUP(A2806,Studies!A:BR,4,FALSE),"")</f>
        <v>Control pre-Rifampicin (Perpetrator Placebo)</v>
      </c>
      <c r="E2806" s="206" t="str">
        <f>IF(AND(A2806&lt;&gt;"",ISNUMBER(A2806)),VLOOKUP(A2806,Studies!A:BR,5,FALSE),"")</f>
        <v>Midazolam</v>
      </c>
      <c r="F2806" s="207" t="str">
        <f>IF(AND(A2806&lt;&gt;"",ISNUMBER(A2806)),VLOOKUP(A2806,Studies!A:BR,6,FALSE),"")</f>
        <v>Plasma</v>
      </c>
      <c r="G2806" s="194">
        <v>0.5</v>
      </c>
      <c r="H2806" s="194" t="s">
        <v>60</v>
      </c>
      <c r="I2806" s="187">
        <v>37.396509999999999</v>
      </c>
      <c r="J2806" s="187" t="s">
        <v>1090</v>
      </c>
      <c r="K2806" s="187" t="s">
        <v>116</v>
      </c>
      <c r="L2806" s="195">
        <v>15.95749</v>
      </c>
      <c r="M2806" s="195" t="s">
        <v>1090</v>
      </c>
      <c r="N2806" s="195" t="s">
        <v>117</v>
      </c>
      <c r="O2806" s="199"/>
      <c r="P2806" s="188"/>
      <c r="Q2806" s="174">
        <f>IF(ISNUMBER(VLOOKUP(A2806,NotghiID!A:A,1,FALSE)),1,0)</f>
        <v>1</v>
      </c>
      <c r="R2806" s="183"/>
    </row>
    <row r="2807" spans="1:18" ht="14.25" x14ac:dyDescent="0.2">
      <c r="A2807" s="189">
        <v>220</v>
      </c>
      <c r="B2807" s="232" t="str">
        <f>IF(AND(A2807&lt;&gt;"",ISNUMBER(A2807)),VLOOKUP(A2807,Studies!A:BR,2,FALSE),"")</f>
        <v>Gurley 2008a</v>
      </c>
      <c r="C2807" s="232" t="str">
        <f>IF(AND(A2807&lt;&gt;"",ISNUMBER(A2807)),VLOOKUP(A2807,Studies!A:BR,3,FALSE),"")</f>
        <v>https://www.ncbi.nlm.nih.gov/pubmed/17495878</v>
      </c>
      <c r="D2807" s="232" t="str">
        <f>IF(AND(A2807&lt;&gt;"",ISNUMBER(A2807)),VLOOKUP(A2807,Studies!A:BR,4,FALSE),"")</f>
        <v>Control pre-Rifampicin (Perpetrator Placebo)</v>
      </c>
      <c r="E2807" s="206" t="str">
        <f>IF(AND(A2807&lt;&gt;"",ISNUMBER(A2807)),VLOOKUP(A2807,Studies!A:BR,5,FALSE),"")</f>
        <v>Midazolam</v>
      </c>
      <c r="F2807" s="207" t="str">
        <f>IF(AND(A2807&lt;&gt;"",ISNUMBER(A2807)),VLOOKUP(A2807,Studies!A:BR,6,FALSE),"")</f>
        <v>Plasma</v>
      </c>
      <c r="G2807" s="194">
        <v>0.75</v>
      </c>
      <c r="H2807" s="194" t="s">
        <v>60</v>
      </c>
      <c r="I2807" s="187">
        <v>32.424630000000001</v>
      </c>
      <c r="J2807" s="187" t="s">
        <v>1090</v>
      </c>
      <c r="K2807" s="187" t="s">
        <v>116</v>
      </c>
      <c r="L2807" s="195">
        <v>14.893660000000001</v>
      </c>
      <c r="M2807" s="195" t="s">
        <v>1090</v>
      </c>
      <c r="N2807" s="195" t="s">
        <v>117</v>
      </c>
      <c r="O2807" s="199"/>
      <c r="P2807" s="188"/>
      <c r="Q2807" s="174">
        <f>IF(ISNUMBER(VLOOKUP(A2807,NotghiID!A:A,1,FALSE)),1,0)</f>
        <v>1</v>
      </c>
      <c r="R2807" s="183"/>
    </row>
    <row r="2808" spans="1:18" ht="14.25" x14ac:dyDescent="0.2">
      <c r="A2808" s="189">
        <v>220</v>
      </c>
      <c r="B2808" s="232" t="str">
        <f>IF(AND(A2808&lt;&gt;"",ISNUMBER(A2808)),VLOOKUP(A2808,Studies!A:BR,2,FALSE),"")</f>
        <v>Gurley 2008a</v>
      </c>
      <c r="C2808" s="232" t="str">
        <f>IF(AND(A2808&lt;&gt;"",ISNUMBER(A2808)),VLOOKUP(A2808,Studies!A:BR,3,FALSE),"")</f>
        <v>https://www.ncbi.nlm.nih.gov/pubmed/17495878</v>
      </c>
      <c r="D2808" s="232" t="str">
        <f>IF(AND(A2808&lt;&gt;"",ISNUMBER(A2808)),VLOOKUP(A2808,Studies!A:BR,4,FALSE),"")</f>
        <v>Control pre-Rifampicin (Perpetrator Placebo)</v>
      </c>
      <c r="E2808" s="206" t="str">
        <f>IF(AND(A2808&lt;&gt;"",ISNUMBER(A2808)),VLOOKUP(A2808,Studies!A:BR,5,FALSE),"")</f>
        <v>Midazolam</v>
      </c>
      <c r="F2808" s="207" t="str">
        <f>IF(AND(A2808&lt;&gt;"",ISNUMBER(A2808)),VLOOKUP(A2808,Studies!A:BR,6,FALSE),"")</f>
        <v>Plasma</v>
      </c>
      <c r="G2808" s="194">
        <v>1</v>
      </c>
      <c r="H2808" s="194" t="s">
        <v>60</v>
      </c>
      <c r="I2808" s="187">
        <v>26.034310000000001</v>
      </c>
      <c r="J2808" s="187" t="s">
        <v>1090</v>
      </c>
      <c r="K2808" s="187" t="s">
        <v>116</v>
      </c>
      <c r="L2808" s="195">
        <v>15.07067</v>
      </c>
      <c r="M2808" s="195" t="s">
        <v>1090</v>
      </c>
      <c r="N2808" s="195" t="s">
        <v>117</v>
      </c>
      <c r="O2808" s="199"/>
      <c r="P2808" s="188"/>
      <c r="Q2808" s="174">
        <f>IF(ISNUMBER(VLOOKUP(A2808,NotghiID!A:A,1,FALSE)),1,0)</f>
        <v>1</v>
      </c>
      <c r="R2808" s="183"/>
    </row>
    <row r="2809" spans="1:18" ht="14.25" x14ac:dyDescent="0.2">
      <c r="A2809" s="189">
        <v>220</v>
      </c>
      <c r="B2809" s="232" t="str">
        <f>IF(AND(A2809&lt;&gt;"",ISNUMBER(A2809)),VLOOKUP(A2809,Studies!A:BR,2,FALSE),"")</f>
        <v>Gurley 2008a</v>
      </c>
      <c r="C2809" s="232" t="str">
        <f>IF(AND(A2809&lt;&gt;"",ISNUMBER(A2809)),VLOOKUP(A2809,Studies!A:BR,3,FALSE),"")</f>
        <v>https://www.ncbi.nlm.nih.gov/pubmed/17495878</v>
      </c>
      <c r="D2809" s="232" t="str">
        <f>IF(AND(A2809&lt;&gt;"",ISNUMBER(A2809)),VLOOKUP(A2809,Studies!A:BR,4,FALSE),"")</f>
        <v>Control pre-Rifampicin (Perpetrator Placebo)</v>
      </c>
      <c r="E2809" s="206" t="str">
        <f>IF(AND(A2809&lt;&gt;"",ISNUMBER(A2809)),VLOOKUP(A2809,Studies!A:BR,5,FALSE),"")</f>
        <v>Midazolam</v>
      </c>
      <c r="F2809" s="207" t="str">
        <f>IF(AND(A2809&lt;&gt;"",ISNUMBER(A2809)),VLOOKUP(A2809,Studies!A:BR,6,FALSE),"")</f>
        <v>Plasma</v>
      </c>
      <c r="G2809" s="194">
        <v>1.5</v>
      </c>
      <c r="H2809" s="194" t="s">
        <v>60</v>
      </c>
      <c r="I2809" s="187">
        <v>25.487439999999999</v>
      </c>
      <c r="J2809" s="187" t="s">
        <v>1090</v>
      </c>
      <c r="K2809" s="187" t="s">
        <v>116</v>
      </c>
      <c r="L2809" s="195">
        <v>15.42558</v>
      </c>
      <c r="M2809" s="195" t="s">
        <v>1090</v>
      </c>
      <c r="N2809" s="195" t="s">
        <v>117</v>
      </c>
      <c r="O2809" s="199"/>
      <c r="P2809" s="188"/>
      <c r="Q2809" s="174">
        <f>IF(ISNUMBER(VLOOKUP(A2809,NotghiID!A:A,1,FALSE)),1,0)</f>
        <v>1</v>
      </c>
      <c r="R2809" s="183"/>
    </row>
    <row r="2810" spans="1:18" ht="14.25" x14ac:dyDescent="0.2">
      <c r="A2810" s="189">
        <v>220</v>
      </c>
      <c r="B2810" s="232" t="str">
        <f>IF(AND(A2810&lt;&gt;"",ISNUMBER(A2810)),VLOOKUP(A2810,Studies!A:BR,2,FALSE),"")</f>
        <v>Gurley 2008a</v>
      </c>
      <c r="C2810" s="232" t="str">
        <f>IF(AND(A2810&lt;&gt;"",ISNUMBER(A2810)),VLOOKUP(A2810,Studies!A:BR,3,FALSE),"")</f>
        <v>https://www.ncbi.nlm.nih.gov/pubmed/17495878</v>
      </c>
      <c r="D2810" s="232" t="str">
        <f>IF(AND(A2810&lt;&gt;"",ISNUMBER(A2810)),VLOOKUP(A2810,Studies!A:BR,4,FALSE),"")</f>
        <v>Control pre-Rifampicin (Perpetrator Placebo)</v>
      </c>
      <c r="E2810" s="206" t="str">
        <f>IF(AND(A2810&lt;&gt;"",ISNUMBER(A2810)),VLOOKUP(A2810,Studies!A:BR,5,FALSE),"")</f>
        <v>Midazolam</v>
      </c>
      <c r="F2810" s="207" t="str">
        <f>IF(AND(A2810&lt;&gt;"",ISNUMBER(A2810)),VLOOKUP(A2810,Studies!A:BR,6,FALSE),"")</f>
        <v>Plasma</v>
      </c>
      <c r="G2810" s="194">
        <v>2</v>
      </c>
      <c r="H2810" s="194" t="s">
        <v>60</v>
      </c>
      <c r="I2810" s="187">
        <v>19.976320000000001</v>
      </c>
      <c r="J2810" s="187" t="s">
        <v>1090</v>
      </c>
      <c r="K2810" s="187" t="s">
        <v>116</v>
      </c>
      <c r="L2810" s="195">
        <v>9.2195909999999994</v>
      </c>
      <c r="M2810" s="195" t="s">
        <v>1090</v>
      </c>
      <c r="N2810" s="195" t="s">
        <v>117</v>
      </c>
      <c r="O2810" s="199"/>
      <c r="P2810" s="188"/>
      <c r="Q2810" s="174">
        <f>IF(ISNUMBER(VLOOKUP(A2810,NotghiID!A:A,1,FALSE)),1,0)</f>
        <v>1</v>
      </c>
      <c r="R2810" s="183"/>
    </row>
    <row r="2811" spans="1:18" ht="14.25" x14ac:dyDescent="0.2">
      <c r="A2811" s="189">
        <v>220</v>
      </c>
      <c r="B2811" s="232" t="str">
        <f>IF(AND(A2811&lt;&gt;"",ISNUMBER(A2811)),VLOOKUP(A2811,Studies!A:BR,2,FALSE),"")</f>
        <v>Gurley 2008a</v>
      </c>
      <c r="C2811" s="232" t="str">
        <f>IF(AND(A2811&lt;&gt;"",ISNUMBER(A2811)),VLOOKUP(A2811,Studies!A:BR,3,FALSE),"")</f>
        <v>https://www.ncbi.nlm.nih.gov/pubmed/17495878</v>
      </c>
      <c r="D2811" s="232" t="str">
        <f>IF(AND(A2811&lt;&gt;"",ISNUMBER(A2811)),VLOOKUP(A2811,Studies!A:BR,4,FALSE),"")</f>
        <v>Control pre-Rifampicin (Perpetrator Placebo)</v>
      </c>
      <c r="E2811" s="206" t="str">
        <f>IF(AND(A2811&lt;&gt;"",ISNUMBER(A2811)),VLOOKUP(A2811,Studies!A:BR,5,FALSE),"")</f>
        <v>Midazolam</v>
      </c>
      <c r="F2811" s="207" t="str">
        <f>IF(AND(A2811&lt;&gt;"",ISNUMBER(A2811)),VLOOKUP(A2811,Studies!A:BR,6,FALSE),"")</f>
        <v>Plasma</v>
      </c>
      <c r="G2811" s="194">
        <v>3</v>
      </c>
      <c r="H2811" s="194" t="s">
        <v>60</v>
      </c>
      <c r="I2811" s="187">
        <v>11.258459999999999</v>
      </c>
      <c r="J2811" s="187" t="s">
        <v>1090</v>
      </c>
      <c r="K2811" s="187" t="s">
        <v>116</v>
      </c>
      <c r="L2811" s="195">
        <v>5.14215</v>
      </c>
      <c r="M2811" s="195" t="s">
        <v>1090</v>
      </c>
      <c r="N2811" s="195" t="s">
        <v>117</v>
      </c>
      <c r="O2811" s="199"/>
      <c r="P2811" s="188"/>
      <c r="Q2811" s="174">
        <f>IF(ISNUMBER(VLOOKUP(A2811,NotghiID!A:A,1,FALSE)),1,0)</f>
        <v>1</v>
      </c>
      <c r="R2811" s="183"/>
    </row>
    <row r="2812" spans="1:18" ht="14.25" x14ac:dyDescent="0.2">
      <c r="A2812" s="189">
        <v>220</v>
      </c>
      <c r="B2812" s="232" t="str">
        <f>IF(AND(A2812&lt;&gt;"",ISNUMBER(A2812)),VLOOKUP(A2812,Studies!A:BR,2,FALSE),"")</f>
        <v>Gurley 2008a</v>
      </c>
      <c r="C2812" s="232" t="str">
        <f>IF(AND(A2812&lt;&gt;"",ISNUMBER(A2812)),VLOOKUP(A2812,Studies!A:BR,3,FALSE),"")</f>
        <v>https://www.ncbi.nlm.nih.gov/pubmed/17495878</v>
      </c>
      <c r="D2812" s="232" t="str">
        <f>IF(AND(A2812&lt;&gt;"",ISNUMBER(A2812)),VLOOKUP(A2812,Studies!A:BR,4,FALSE),"")</f>
        <v>Control pre-Rifampicin (Perpetrator Placebo)</v>
      </c>
      <c r="E2812" s="206" t="str">
        <f>IF(AND(A2812&lt;&gt;"",ISNUMBER(A2812)),VLOOKUP(A2812,Studies!A:BR,5,FALSE),"")</f>
        <v>Midazolam</v>
      </c>
      <c r="F2812" s="207" t="str">
        <f>IF(AND(A2812&lt;&gt;"",ISNUMBER(A2812)),VLOOKUP(A2812,Studies!A:BR,6,FALSE),"")</f>
        <v>Plasma</v>
      </c>
      <c r="G2812" s="194">
        <v>4</v>
      </c>
      <c r="H2812" s="194" t="s">
        <v>60</v>
      </c>
      <c r="I2812" s="187">
        <v>7.8603480000000001</v>
      </c>
      <c r="J2812" s="187" t="s">
        <v>1090</v>
      </c>
      <c r="K2812" s="187" t="s">
        <v>116</v>
      </c>
      <c r="L2812" s="195">
        <v>3.5461100000000001</v>
      </c>
      <c r="M2812" s="195" t="s">
        <v>1090</v>
      </c>
      <c r="N2812" s="195" t="s">
        <v>117</v>
      </c>
      <c r="O2812" s="199"/>
      <c r="P2812" s="188"/>
      <c r="Q2812" s="174">
        <f>IF(ISNUMBER(VLOOKUP(A2812,NotghiID!A:A,1,FALSE)),1,0)</f>
        <v>1</v>
      </c>
      <c r="R2812" s="183"/>
    </row>
    <row r="2813" spans="1:18" ht="14.25" x14ac:dyDescent="0.2">
      <c r="A2813" s="189">
        <v>220</v>
      </c>
      <c r="B2813" s="232" t="str">
        <f>IF(AND(A2813&lt;&gt;"",ISNUMBER(A2813)),VLOOKUP(A2813,Studies!A:BR,2,FALSE),"")</f>
        <v>Gurley 2008a</v>
      </c>
      <c r="C2813" s="232" t="str">
        <f>IF(AND(A2813&lt;&gt;"",ISNUMBER(A2813)),VLOOKUP(A2813,Studies!A:BR,3,FALSE),"")</f>
        <v>https://www.ncbi.nlm.nih.gov/pubmed/17495878</v>
      </c>
      <c r="D2813" s="232" t="str">
        <f>IF(AND(A2813&lt;&gt;"",ISNUMBER(A2813)),VLOOKUP(A2813,Studies!A:BR,4,FALSE),"")</f>
        <v>Control pre-Rifampicin (Perpetrator Placebo)</v>
      </c>
      <c r="E2813" s="206" t="str">
        <f>IF(AND(A2813&lt;&gt;"",ISNUMBER(A2813)),VLOOKUP(A2813,Studies!A:BR,5,FALSE),"")</f>
        <v>Midazolam</v>
      </c>
      <c r="F2813" s="207" t="str">
        <f>IF(AND(A2813&lt;&gt;"",ISNUMBER(A2813)),VLOOKUP(A2813,Studies!A:BR,6,FALSE),"")</f>
        <v>Plasma</v>
      </c>
      <c r="G2813" s="194">
        <v>5</v>
      </c>
      <c r="H2813" s="194" t="s">
        <v>60</v>
      </c>
      <c r="I2813" s="187">
        <v>5.1711660000000004</v>
      </c>
      <c r="J2813" s="187" t="s">
        <v>1090</v>
      </c>
      <c r="K2813" s="187" t="s">
        <v>116</v>
      </c>
      <c r="L2813" s="195">
        <v>2.3049710000000001</v>
      </c>
      <c r="M2813" s="195" t="s">
        <v>1090</v>
      </c>
      <c r="N2813" s="195" t="s">
        <v>117</v>
      </c>
      <c r="O2813" s="199"/>
      <c r="P2813" s="188"/>
      <c r="Q2813" s="174">
        <f>IF(ISNUMBER(VLOOKUP(A2813,NotghiID!A:A,1,FALSE)),1,0)</f>
        <v>1</v>
      </c>
      <c r="R2813" s="183"/>
    </row>
    <row r="2814" spans="1:18" ht="14.25" x14ac:dyDescent="0.2">
      <c r="A2814" s="189">
        <v>220</v>
      </c>
      <c r="B2814" s="232" t="str">
        <f>IF(AND(A2814&lt;&gt;"",ISNUMBER(A2814)),VLOOKUP(A2814,Studies!A:BR,2,FALSE),"")</f>
        <v>Gurley 2008a</v>
      </c>
      <c r="C2814" s="232" t="str">
        <f>IF(AND(A2814&lt;&gt;"",ISNUMBER(A2814)),VLOOKUP(A2814,Studies!A:BR,3,FALSE),"")</f>
        <v>https://www.ncbi.nlm.nih.gov/pubmed/17495878</v>
      </c>
      <c r="D2814" s="232" t="str">
        <f>IF(AND(A2814&lt;&gt;"",ISNUMBER(A2814)),VLOOKUP(A2814,Studies!A:BR,4,FALSE),"")</f>
        <v>Control pre-Rifampicin (Perpetrator Placebo)</v>
      </c>
      <c r="E2814" s="206" t="str">
        <f>IF(AND(A2814&lt;&gt;"",ISNUMBER(A2814)),VLOOKUP(A2814,Studies!A:BR,5,FALSE),"")</f>
        <v>Midazolam</v>
      </c>
      <c r="F2814" s="207" t="str">
        <f>IF(AND(A2814&lt;&gt;"",ISNUMBER(A2814)),VLOOKUP(A2814,Studies!A:BR,6,FALSE),"")</f>
        <v>Plasma</v>
      </c>
      <c r="G2814" s="194">
        <v>6</v>
      </c>
      <c r="H2814" s="194" t="s">
        <v>60</v>
      </c>
      <c r="I2814" s="187">
        <v>4.4326369999999997</v>
      </c>
      <c r="J2814" s="187" t="s">
        <v>1090</v>
      </c>
      <c r="K2814" s="187" t="s">
        <v>116</v>
      </c>
      <c r="L2814" s="195">
        <v>2.4822760000000001</v>
      </c>
      <c r="M2814" s="195" t="s">
        <v>1090</v>
      </c>
      <c r="N2814" s="195" t="s">
        <v>117</v>
      </c>
      <c r="O2814" s="199"/>
      <c r="P2814" s="188"/>
      <c r="Q2814" s="174">
        <f>IF(ISNUMBER(VLOOKUP(A2814,NotghiID!A:A,1,FALSE)),1,0)</f>
        <v>1</v>
      </c>
      <c r="R2814" s="183"/>
    </row>
    <row r="2815" spans="1:18" ht="14.25" x14ac:dyDescent="0.2">
      <c r="A2815" s="189">
        <v>221</v>
      </c>
      <c r="B2815" s="232" t="str">
        <f>IF(AND(A2815&lt;&gt;"",ISNUMBER(A2815)),VLOOKUP(A2815,Studies!A:BR,2,FALSE),"")</f>
        <v>Gurley 2008a</v>
      </c>
      <c r="C2815" s="232" t="str">
        <f>IF(AND(A2815&lt;&gt;"",ISNUMBER(A2815)),VLOOKUP(A2815,Studies!A:BR,3,FALSE),"")</f>
        <v>https://www.ncbi.nlm.nih.gov/pubmed/17495878</v>
      </c>
      <c r="D2815" s="232" t="str">
        <f>IF(AND(A2815&lt;&gt;"",ISNUMBER(A2815)),VLOOKUP(A2815,Studies!A:BR,4,FALSE),"")</f>
        <v>with Perpetrator (Rifampicin)</v>
      </c>
      <c r="E2815" s="206" t="str">
        <f>IF(AND(A2815&lt;&gt;"",ISNUMBER(A2815)),VLOOKUP(A2815,Studies!A:BR,5,FALSE),"")</f>
        <v>Midazolam</v>
      </c>
      <c r="F2815" s="207" t="str">
        <f>IF(AND(A2815&lt;&gt;"",ISNUMBER(A2815)),VLOOKUP(A2815,Studies!A:BR,6,FALSE),"")</f>
        <v>Plasma</v>
      </c>
      <c r="G2815" s="194">
        <v>146</v>
      </c>
      <c r="H2815" s="194" t="s">
        <v>60</v>
      </c>
      <c r="I2815" s="187">
        <v>0</v>
      </c>
      <c r="J2815" s="187" t="s">
        <v>1090</v>
      </c>
      <c r="K2815" s="187" t="s">
        <v>116</v>
      </c>
      <c r="L2815" s="145"/>
      <c r="M2815" s="145"/>
      <c r="N2815" s="145"/>
      <c r="O2815" s="199"/>
      <c r="P2815" s="188"/>
      <c r="Q2815" s="174">
        <f>IF(ISNUMBER(VLOOKUP(A2815,NotghiID!A:A,1,FALSE)),1,0)</f>
        <v>1</v>
      </c>
      <c r="R2815" s="183"/>
    </row>
    <row r="2816" spans="1:18" ht="14.25" x14ac:dyDescent="0.2">
      <c r="A2816" s="189">
        <v>221</v>
      </c>
      <c r="B2816" s="232" t="str">
        <f>IF(AND(A2816&lt;&gt;"",ISNUMBER(A2816)),VLOOKUP(A2816,Studies!A:BR,2,FALSE),"")</f>
        <v>Gurley 2008a</v>
      </c>
      <c r="C2816" s="232" t="str">
        <f>IF(AND(A2816&lt;&gt;"",ISNUMBER(A2816)),VLOOKUP(A2816,Studies!A:BR,3,FALSE),"")</f>
        <v>https://www.ncbi.nlm.nih.gov/pubmed/17495878</v>
      </c>
      <c r="D2816" s="232" t="str">
        <f>IF(AND(A2816&lt;&gt;"",ISNUMBER(A2816)),VLOOKUP(A2816,Studies!A:BR,4,FALSE),"")</f>
        <v>with Perpetrator (Rifampicin)</v>
      </c>
      <c r="E2816" s="206" t="str">
        <f>IF(AND(A2816&lt;&gt;"",ISNUMBER(A2816)),VLOOKUP(A2816,Studies!A:BR,5,FALSE),"")</f>
        <v>Midazolam</v>
      </c>
      <c r="F2816" s="207" t="str">
        <f>IF(AND(A2816&lt;&gt;"",ISNUMBER(A2816)),VLOOKUP(A2816,Studies!A:BR,6,FALSE),"")</f>
        <v>Plasma</v>
      </c>
      <c r="G2816" s="194">
        <v>146.25</v>
      </c>
      <c r="H2816" s="194" t="s">
        <v>60</v>
      </c>
      <c r="I2816" s="187">
        <v>5.134239</v>
      </c>
      <c r="J2816" s="187" t="s">
        <v>1090</v>
      </c>
      <c r="K2816" s="187" t="s">
        <v>116</v>
      </c>
      <c r="L2816" s="195">
        <v>4.4326369999999997</v>
      </c>
      <c r="M2816" s="195" t="s">
        <v>1090</v>
      </c>
      <c r="N2816" s="195" t="s">
        <v>117</v>
      </c>
      <c r="O2816" s="199"/>
      <c r="P2816" s="188"/>
      <c r="Q2816" s="174">
        <f>IF(ISNUMBER(VLOOKUP(A2816,NotghiID!A:A,1,FALSE)),1,0)</f>
        <v>1</v>
      </c>
      <c r="R2816" s="183"/>
    </row>
    <row r="2817" spans="1:18" ht="14.25" x14ac:dyDescent="0.2">
      <c r="A2817" s="189">
        <v>221</v>
      </c>
      <c r="B2817" s="232" t="str">
        <f>IF(AND(A2817&lt;&gt;"",ISNUMBER(A2817)),VLOOKUP(A2817,Studies!A:BR,2,FALSE),"")</f>
        <v>Gurley 2008a</v>
      </c>
      <c r="C2817" s="232" t="str">
        <f>IF(AND(A2817&lt;&gt;"",ISNUMBER(A2817)),VLOOKUP(A2817,Studies!A:BR,3,FALSE),"")</f>
        <v>https://www.ncbi.nlm.nih.gov/pubmed/17495878</v>
      </c>
      <c r="D2817" s="232" t="str">
        <f>IF(AND(A2817&lt;&gt;"",ISNUMBER(A2817)),VLOOKUP(A2817,Studies!A:BR,4,FALSE),"")</f>
        <v>with Perpetrator (Rifampicin)</v>
      </c>
      <c r="E2817" s="206" t="str">
        <f>IF(AND(A2817&lt;&gt;"",ISNUMBER(A2817)),VLOOKUP(A2817,Studies!A:BR,5,FALSE),"")</f>
        <v>Midazolam</v>
      </c>
      <c r="F2817" s="207" t="str">
        <f>IF(AND(A2817&lt;&gt;"",ISNUMBER(A2817)),VLOOKUP(A2817,Studies!A:BR,6,FALSE),"")</f>
        <v>Plasma</v>
      </c>
      <c r="G2817" s="194">
        <v>146.5</v>
      </c>
      <c r="H2817" s="194" t="s">
        <v>60</v>
      </c>
      <c r="I2817" s="187">
        <v>3.708469</v>
      </c>
      <c r="J2817" s="187" t="s">
        <v>1090</v>
      </c>
      <c r="K2817" s="187" t="s">
        <v>116</v>
      </c>
      <c r="L2817" s="195">
        <v>2.6595819999999999</v>
      </c>
      <c r="M2817" s="195" t="s">
        <v>1090</v>
      </c>
      <c r="N2817" s="195" t="s">
        <v>117</v>
      </c>
      <c r="O2817" s="199"/>
      <c r="P2817" s="188"/>
      <c r="Q2817" s="174">
        <f>IF(ISNUMBER(VLOOKUP(A2817,NotghiID!A:A,1,FALSE)),1,0)</f>
        <v>1</v>
      </c>
      <c r="R2817" s="183"/>
    </row>
    <row r="2818" spans="1:18" ht="14.25" x14ac:dyDescent="0.2">
      <c r="A2818" s="189">
        <v>221</v>
      </c>
      <c r="B2818" s="232" t="str">
        <f>IF(AND(A2818&lt;&gt;"",ISNUMBER(A2818)),VLOOKUP(A2818,Studies!A:BR,2,FALSE),"")</f>
        <v>Gurley 2008a</v>
      </c>
      <c r="C2818" s="232" t="str">
        <f>IF(AND(A2818&lt;&gt;"",ISNUMBER(A2818)),VLOOKUP(A2818,Studies!A:BR,3,FALSE),"")</f>
        <v>https://www.ncbi.nlm.nih.gov/pubmed/17495878</v>
      </c>
      <c r="D2818" s="232" t="str">
        <f>IF(AND(A2818&lt;&gt;"",ISNUMBER(A2818)),VLOOKUP(A2818,Studies!A:BR,4,FALSE),"")</f>
        <v>with Perpetrator (Rifampicin)</v>
      </c>
      <c r="E2818" s="206" t="str">
        <f>IF(AND(A2818&lt;&gt;"",ISNUMBER(A2818)),VLOOKUP(A2818,Studies!A:BR,5,FALSE),"")</f>
        <v>Midazolam</v>
      </c>
      <c r="F2818" s="207" t="str">
        <f>IF(AND(A2818&lt;&gt;"",ISNUMBER(A2818)),VLOOKUP(A2818,Studies!A:BR,6,FALSE),"")</f>
        <v>Plasma</v>
      </c>
      <c r="G2818" s="194">
        <v>146.75</v>
      </c>
      <c r="H2818" s="194" t="s">
        <v>60</v>
      </c>
      <c r="I2818" s="187">
        <v>2.8146149999999999</v>
      </c>
      <c r="J2818" s="187" t="s">
        <v>1090</v>
      </c>
      <c r="K2818" s="187" t="s">
        <v>116</v>
      </c>
      <c r="L2818" s="145"/>
      <c r="M2818" s="145"/>
      <c r="N2818" s="145"/>
      <c r="O2818" s="199"/>
      <c r="P2818" s="188"/>
      <c r="Q2818" s="174">
        <f>IF(ISNUMBER(VLOOKUP(A2818,NotghiID!A:A,1,FALSE)),1,0)</f>
        <v>1</v>
      </c>
      <c r="R2818" s="183"/>
    </row>
    <row r="2819" spans="1:18" ht="14.25" x14ac:dyDescent="0.2">
      <c r="A2819" s="189">
        <v>221</v>
      </c>
      <c r="B2819" s="232" t="str">
        <f>IF(AND(A2819&lt;&gt;"",ISNUMBER(A2819)),VLOOKUP(A2819,Studies!A:BR,2,FALSE),"")</f>
        <v>Gurley 2008a</v>
      </c>
      <c r="C2819" s="232" t="str">
        <f>IF(AND(A2819&lt;&gt;"",ISNUMBER(A2819)),VLOOKUP(A2819,Studies!A:BR,3,FALSE),"")</f>
        <v>https://www.ncbi.nlm.nih.gov/pubmed/17495878</v>
      </c>
      <c r="D2819" s="232" t="str">
        <f>IF(AND(A2819&lt;&gt;"",ISNUMBER(A2819)),VLOOKUP(A2819,Studies!A:BR,4,FALSE),"")</f>
        <v>with Perpetrator (Rifampicin)</v>
      </c>
      <c r="E2819" s="206" t="str">
        <f>IF(AND(A2819&lt;&gt;"",ISNUMBER(A2819)),VLOOKUP(A2819,Studies!A:BR,5,FALSE),"")</f>
        <v>Midazolam</v>
      </c>
      <c r="F2819" s="207" t="str">
        <f>IF(AND(A2819&lt;&gt;"",ISNUMBER(A2819)),VLOOKUP(A2819,Studies!A:BR,6,FALSE),"")</f>
        <v>Plasma</v>
      </c>
      <c r="G2819" s="194">
        <v>147</v>
      </c>
      <c r="H2819" s="194" t="s">
        <v>60</v>
      </c>
      <c r="I2819" s="187">
        <v>2.0980660000000002</v>
      </c>
      <c r="J2819" s="187" t="s">
        <v>1090</v>
      </c>
      <c r="K2819" s="187" t="s">
        <v>116</v>
      </c>
      <c r="L2819" s="145"/>
      <c r="M2819" s="145"/>
      <c r="N2819" s="145"/>
      <c r="O2819" s="199"/>
      <c r="P2819" s="188"/>
      <c r="Q2819" s="174">
        <f>IF(ISNUMBER(VLOOKUP(A2819,NotghiID!A:A,1,FALSE)),1,0)</f>
        <v>1</v>
      </c>
      <c r="R2819" s="183"/>
    </row>
    <row r="2820" spans="1:18" ht="14.25" x14ac:dyDescent="0.2">
      <c r="A2820" s="189">
        <v>221</v>
      </c>
      <c r="B2820" s="232" t="str">
        <f>IF(AND(A2820&lt;&gt;"",ISNUMBER(A2820)),VLOOKUP(A2820,Studies!A:BR,2,FALSE),"")</f>
        <v>Gurley 2008a</v>
      </c>
      <c r="C2820" s="232" t="str">
        <f>IF(AND(A2820&lt;&gt;"",ISNUMBER(A2820)),VLOOKUP(A2820,Studies!A:BR,3,FALSE),"")</f>
        <v>https://www.ncbi.nlm.nih.gov/pubmed/17495878</v>
      </c>
      <c r="D2820" s="232" t="str">
        <f>IF(AND(A2820&lt;&gt;"",ISNUMBER(A2820)),VLOOKUP(A2820,Studies!A:BR,4,FALSE),"")</f>
        <v>with Perpetrator (Rifampicin)</v>
      </c>
      <c r="E2820" s="206" t="str">
        <f>IF(AND(A2820&lt;&gt;"",ISNUMBER(A2820)),VLOOKUP(A2820,Studies!A:BR,5,FALSE),"")</f>
        <v>Midazolam</v>
      </c>
      <c r="F2820" s="207" t="str">
        <f>IF(AND(A2820&lt;&gt;"",ISNUMBER(A2820)),VLOOKUP(A2820,Studies!A:BR,6,FALSE),"")</f>
        <v>Plasma</v>
      </c>
      <c r="G2820" s="194">
        <v>147.5</v>
      </c>
      <c r="H2820" s="194" t="s">
        <v>60</v>
      </c>
      <c r="I2820" s="187">
        <v>1.7285090000000001</v>
      </c>
      <c r="J2820" s="187" t="s">
        <v>1090</v>
      </c>
      <c r="K2820" s="187" t="s">
        <v>116</v>
      </c>
      <c r="L2820" s="145"/>
      <c r="M2820" s="145"/>
      <c r="N2820" s="145"/>
      <c r="O2820" s="199"/>
      <c r="P2820" s="188"/>
      <c r="Q2820" s="174">
        <f>IF(ISNUMBER(VLOOKUP(A2820,NotghiID!A:A,1,FALSE)),1,0)</f>
        <v>1</v>
      </c>
      <c r="R2820" s="183"/>
    </row>
    <row r="2821" spans="1:18" ht="14.25" x14ac:dyDescent="0.2">
      <c r="A2821" s="189">
        <v>221</v>
      </c>
      <c r="B2821" s="232" t="str">
        <f>IF(AND(A2821&lt;&gt;"",ISNUMBER(A2821)),VLOOKUP(A2821,Studies!A:BR,2,FALSE),"")</f>
        <v>Gurley 2008a</v>
      </c>
      <c r="C2821" s="232" t="str">
        <f>IF(AND(A2821&lt;&gt;"",ISNUMBER(A2821)),VLOOKUP(A2821,Studies!A:BR,3,FALSE),"")</f>
        <v>https://www.ncbi.nlm.nih.gov/pubmed/17495878</v>
      </c>
      <c r="D2821" s="232" t="str">
        <f>IF(AND(A2821&lt;&gt;"",ISNUMBER(A2821)),VLOOKUP(A2821,Studies!A:BR,4,FALSE),"")</f>
        <v>with Perpetrator (Rifampicin)</v>
      </c>
      <c r="E2821" s="206" t="str">
        <f>IF(AND(A2821&lt;&gt;"",ISNUMBER(A2821)),VLOOKUP(A2821,Studies!A:BR,5,FALSE),"")</f>
        <v>Midazolam</v>
      </c>
      <c r="F2821" s="207" t="str">
        <f>IF(AND(A2821&lt;&gt;"",ISNUMBER(A2821)),VLOOKUP(A2821,Studies!A:BR,6,FALSE),"")</f>
        <v>Plasma</v>
      </c>
      <c r="G2821" s="194">
        <v>148</v>
      </c>
      <c r="H2821" s="194" t="s">
        <v>60</v>
      </c>
      <c r="I2821" s="187">
        <v>1.181646</v>
      </c>
      <c r="J2821" s="187" t="s">
        <v>1090</v>
      </c>
      <c r="K2821" s="187" t="s">
        <v>116</v>
      </c>
      <c r="L2821" s="145"/>
      <c r="M2821" s="145"/>
      <c r="N2821" s="145"/>
      <c r="O2821" s="199"/>
      <c r="P2821" s="188"/>
      <c r="Q2821" s="174">
        <f>IF(ISNUMBER(VLOOKUP(A2821,NotghiID!A:A,1,FALSE)),1,0)</f>
        <v>1</v>
      </c>
      <c r="R2821" s="183"/>
    </row>
    <row r="2822" spans="1:18" ht="14.25" x14ac:dyDescent="0.2">
      <c r="A2822" s="189">
        <v>221</v>
      </c>
      <c r="B2822" s="232" t="str">
        <f>IF(AND(A2822&lt;&gt;"",ISNUMBER(A2822)),VLOOKUP(A2822,Studies!A:BR,2,FALSE),"")</f>
        <v>Gurley 2008a</v>
      </c>
      <c r="C2822" s="232" t="str">
        <f>IF(AND(A2822&lt;&gt;"",ISNUMBER(A2822)),VLOOKUP(A2822,Studies!A:BR,3,FALSE),"")</f>
        <v>https://www.ncbi.nlm.nih.gov/pubmed/17495878</v>
      </c>
      <c r="D2822" s="232" t="str">
        <f>IF(AND(A2822&lt;&gt;"",ISNUMBER(A2822)),VLOOKUP(A2822,Studies!A:BR,4,FALSE),"")</f>
        <v>with Perpetrator (Rifampicin)</v>
      </c>
      <c r="E2822" s="206" t="str">
        <f>IF(AND(A2822&lt;&gt;"",ISNUMBER(A2822)),VLOOKUP(A2822,Studies!A:BR,5,FALSE),"")</f>
        <v>Midazolam</v>
      </c>
      <c r="F2822" s="207" t="str">
        <f>IF(AND(A2822&lt;&gt;"",ISNUMBER(A2822)),VLOOKUP(A2822,Studies!A:BR,6,FALSE),"")</f>
        <v>Plasma</v>
      </c>
      <c r="G2822" s="194">
        <v>149</v>
      </c>
      <c r="H2822" s="194" t="s">
        <v>60</v>
      </c>
      <c r="I2822" s="187">
        <v>0.62042269999999999</v>
      </c>
      <c r="J2822" s="187" t="s">
        <v>1090</v>
      </c>
      <c r="K2822" s="187" t="s">
        <v>116</v>
      </c>
      <c r="L2822" s="145"/>
      <c r="M2822" s="145"/>
      <c r="N2822" s="145"/>
      <c r="O2822" s="199"/>
      <c r="P2822" s="188"/>
      <c r="Q2822" s="174">
        <f>IF(ISNUMBER(VLOOKUP(A2822,NotghiID!A:A,1,FALSE)),1,0)</f>
        <v>1</v>
      </c>
      <c r="R2822" s="183"/>
    </row>
    <row r="2823" spans="1:18" ht="14.25" x14ac:dyDescent="0.2">
      <c r="A2823" s="189">
        <v>221</v>
      </c>
      <c r="B2823" s="232" t="str">
        <f>IF(AND(A2823&lt;&gt;"",ISNUMBER(A2823)),VLOOKUP(A2823,Studies!A:BR,2,FALSE),"")</f>
        <v>Gurley 2008a</v>
      </c>
      <c r="C2823" s="232" t="str">
        <f>IF(AND(A2823&lt;&gt;"",ISNUMBER(A2823)),VLOOKUP(A2823,Studies!A:BR,3,FALSE),"")</f>
        <v>https://www.ncbi.nlm.nih.gov/pubmed/17495878</v>
      </c>
      <c r="D2823" s="232" t="str">
        <f>IF(AND(A2823&lt;&gt;"",ISNUMBER(A2823)),VLOOKUP(A2823,Studies!A:BR,4,FALSE),"")</f>
        <v>with Perpetrator (Rifampicin)</v>
      </c>
      <c r="E2823" s="206" t="str">
        <f>IF(AND(A2823&lt;&gt;"",ISNUMBER(A2823)),VLOOKUP(A2823,Studies!A:BR,5,FALSE),"")</f>
        <v>Midazolam</v>
      </c>
      <c r="F2823" s="207" t="str">
        <f>IF(AND(A2823&lt;&gt;"",ISNUMBER(A2823)),VLOOKUP(A2823,Studies!A:BR,6,FALSE),"")</f>
        <v>Plasma</v>
      </c>
      <c r="G2823" s="194">
        <v>150</v>
      </c>
      <c r="H2823" s="194" t="s">
        <v>60</v>
      </c>
      <c r="I2823" s="187">
        <v>0.59082290000000004</v>
      </c>
      <c r="J2823" s="187" t="s">
        <v>1090</v>
      </c>
      <c r="K2823" s="187" t="s">
        <v>116</v>
      </c>
      <c r="L2823" s="145"/>
      <c r="M2823" s="145"/>
      <c r="N2823" s="145"/>
      <c r="O2823" s="199"/>
      <c r="P2823" s="188"/>
      <c r="Q2823" s="174">
        <f>IF(ISNUMBER(VLOOKUP(A2823,NotghiID!A:A,1,FALSE)),1,0)</f>
        <v>1</v>
      </c>
      <c r="R2823" s="183"/>
    </row>
    <row r="2824" spans="1:18" ht="14.25" x14ac:dyDescent="0.2">
      <c r="A2824" s="189">
        <v>221</v>
      </c>
      <c r="B2824" s="232" t="str">
        <f>IF(AND(A2824&lt;&gt;"",ISNUMBER(A2824)),VLOOKUP(A2824,Studies!A:BR,2,FALSE),"")</f>
        <v>Gurley 2008a</v>
      </c>
      <c r="C2824" s="232" t="str">
        <f>IF(AND(A2824&lt;&gt;"",ISNUMBER(A2824)),VLOOKUP(A2824,Studies!A:BR,3,FALSE),"")</f>
        <v>https://www.ncbi.nlm.nih.gov/pubmed/17495878</v>
      </c>
      <c r="D2824" s="232" t="str">
        <f>IF(AND(A2824&lt;&gt;"",ISNUMBER(A2824)),VLOOKUP(A2824,Studies!A:BR,4,FALSE),"")</f>
        <v>with Perpetrator (Rifampicin)</v>
      </c>
      <c r="E2824" s="206" t="str">
        <f>IF(AND(A2824&lt;&gt;"",ISNUMBER(A2824)),VLOOKUP(A2824,Studies!A:BR,5,FALSE),"")</f>
        <v>Midazolam</v>
      </c>
      <c r="F2824" s="207" t="str">
        <f>IF(AND(A2824&lt;&gt;"",ISNUMBER(A2824)),VLOOKUP(A2824,Studies!A:BR,6,FALSE),"")</f>
        <v>Plasma</v>
      </c>
      <c r="G2824" s="194">
        <v>151</v>
      </c>
      <c r="H2824" s="194" t="s">
        <v>60</v>
      </c>
      <c r="I2824" s="187">
        <v>0.38391769999999997</v>
      </c>
      <c r="J2824" s="187" t="s">
        <v>1090</v>
      </c>
      <c r="K2824" s="187" t="s">
        <v>116</v>
      </c>
      <c r="L2824" s="145"/>
      <c r="M2824" s="145"/>
      <c r="N2824" s="145"/>
      <c r="O2824" s="199"/>
      <c r="P2824" s="188"/>
      <c r="Q2824" s="174">
        <f>IF(ISNUMBER(VLOOKUP(A2824,NotghiID!A:A,1,FALSE)),1,0)</f>
        <v>1</v>
      </c>
      <c r="R2824" s="183"/>
    </row>
    <row r="2825" spans="1:18" ht="14.25" x14ac:dyDescent="0.2">
      <c r="A2825" s="189">
        <v>221</v>
      </c>
      <c r="B2825" s="232" t="str">
        <f>IF(AND(A2825&lt;&gt;"",ISNUMBER(A2825)),VLOOKUP(A2825,Studies!A:BR,2,FALSE),"")</f>
        <v>Gurley 2008a</v>
      </c>
      <c r="C2825" s="232" t="str">
        <f>IF(AND(A2825&lt;&gt;"",ISNUMBER(A2825)),VLOOKUP(A2825,Studies!A:BR,3,FALSE),"")</f>
        <v>https://www.ncbi.nlm.nih.gov/pubmed/17495878</v>
      </c>
      <c r="D2825" s="232" t="str">
        <f>IF(AND(A2825&lt;&gt;"",ISNUMBER(A2825)),VLOOKUP(A2825,Studies!A:BR,4,FALSE),"")</f>
        <v>with Perpetrator (Rifampicin)</v>
      </c>
      <c r="E2825" s="206" t="str">
        <f>IF(AND(A2825&lt;&gt;"",ISNUMBER(A2825)),VLOOKUP(A2825,Studies!A:BR,5,FALSE),"")</f>
        <v>Midazolam</v>
      </c>
      <c r="F2825" s="207" t="str">
        <f>IF(AND(A2825&lt;&gt;"",ISNUMBER(A2825)),VLOOKUP(A2825,Studies!A:BR,6,FALSE),"")</f>
        <v>Plasma</v>
      </c>
      <c r="G2825" s="194">
        <v>152</v>
      </c>
      <c r="H2825" s="194" t="s">
        <v>60</v>
      </c>
      <c r="I2825" s="187">
        <v>0.1773055</v>
      </c>
      <c r="J2825" s="187" t="s">
        <v>1090</v>
      </c>
      <c r="K2825" s="187" t="s">
        <v>116</v>
      </c>
      <c r="L2825" s="145"/>
      <c r="M2825" s="145"/>
      <c r="N2825" s="145"/>
      <c r="O2825" s="199"/>
      <c r="P2825" s="188"/>
      <c r="Q2825" s="174">
        <f>IF(ISNUMBER(VLOOKUP(A2825,NotghiID!A:A,1,FALSE)),1,0)</f>
        <v>1</v>
      </c>
      <c r="R2825" s="183"/>
    </row>
    <row r="2826" spans="1:18" ht="14.25" x14ac:dyDescent="0.2">
      <c r="A2826" s="189">
        <v>222</v>
      </c>
      <c r="B2826" s="232" t="str">
        <f>IF(AND(A2826&lt;&gt;"",ISNUMBER(A2826)),VLOOKUP(A2826,Studies!A:BR,2,FALSE),"")</f>
        <v>Gurley 2008a</v>
      </c>
      <c r="C2826" s="232" t="str">
        <f>IF(AND(A2826&lt;&gt;"",ISNUMBER(A2826)),VLOOKUP(A2826,Studies!A:BR,3,FALSE),"")</f>
        <v>https://www.ncbi.nlm.nih.gov/pubmed/17495878</v>
      </c>
      <c r="D2826" s="232" t="str">
        <f>IF(AND(A2826&lt;&gt;"",ISNUMBER(A2826)),VLOOKUP(A2826,Studies!A:BR,4,FALSE),"")</f>
        <v>Control pre-Clarithromycin (Perpetrator Placebo)</v>
      </c>
      <c r="E2826" s="206" t="str">
        <f>IF(AND(A2826&lt;&gt;"",ISNUMBER(A2826)),VLOOKUP(A2826,Studies!A:BR,5,FALSE),"")</f>
        <v>Midazolam</v>
      </c>
      <c r="F2826" s="207" t="str">
        <f>IF(AND(A2826&lt;&gt;"",ISNUMBER(A2826)),VLOOKUP(A2826,Studies!A:BR,6,FALSE),"")</f>
        <v>Plasma</v>
      </c>
      <c r="G2826" s="194">
        <v>0</v>
      </c>
      <c r="H2826" s="194" t="s">
        <v>60</v>
      </c>
      <c r="I2826" s="187">
        <v>0</v>
      </c>
      <c r="J2826" s="187" t="s">
        <v>1090</v>
      </c>
      <c r="K2826" s="187" t="s">
        <v>116</v>
      </c>
      <c r="L2826" s="145"/>
      <c r="M2826" s="145"/>
      <c r="N2826" s="145"/>
      <c r="O2826" s="199"/>
      <c r="P2826" s="188"/>
      <c r="Q2826" s="174">
        <f>IF(ISNUMBER(VLOOKUP(A2826,NotghiID!A:A,1,FALSE)),1,0)</f>
        <v>1</v>
      </c>
      <c r="R2826" s="183"/>
    </row>
    <row r="2827" spans="1:18" ht="14.25" x14ac:dyDescent="0.2">
      <c r="A2827" s="189">
        <v>222</v>
      </c>
      <c r="B2827" s="232" t="str">
        <f>IF(AND(A2827&lt;&gt;"",ISNUMBER(A2827)),VLOOKUP(A2827,Studies!A:BR,2,FALSE),"")</f>
        <v>Gurley 2008a</v>
      </c>
      <c r="C2827" s="232" t="str">
        <f>IF(AND(A2827&lt;&gt;"",ISNUMBER(A2827)),VLOOKUP(A2827,Studies!A:BR,3,FALSE),"")</f>
        <v>https://www.ncbi.nlm.nih.gov/pubmed/17495878</v>
      </c>
      <c r="D2827" s="232" t="str">
        <f>IF(AND(A2827&lt;&gt;"",ISNUMBER(A2827)),VLOOKUP(A2827,Studies!A:BR,4,FALSE),"")</f>
        <v>Control pre-Clarithromycin (Perpetrator Placebo)</v>
      </c>
      <c r="E2827" s="206" t="str">
        <f>IF(AND(A2827&lt;&gt;"",ISNUMBER(A2827)),VLOOKUP(A2827,Studies!A:BR,5,FALSE),"")</f>
        <v>Midazolam</v>
      </c>
      <c r="F2827" s="207" t="str">
        <f>IF(AND(A2827&lt;&gt;"",ISNUMBER(A2827)),VLOOKUP(A2827,Studies!A:BR,6,FALSE),"")</f>
        <v>Plasma</v>
      </c>
      <c r="G2827" s="194">
        <v>0.25</v>
      </c>
      <c r="H2827" s="194" t="s">
        <v>60</v>
      </c>
      <c r="I2827" s="187">
        <v>55.047649999999997</v>
      </c>
      <c r="J2827" s="187" t="s">
        <v>1090</v>
      </c>
      <c r="K2827" s="187" t="s">
        <v>116</v>
      </c>
      <c r="L2827" s="195">
        <v>40.142800000000001</v>
      </c>
      <c r="M2827" s="195" t="s">
        <v>1090</v>
      </c>
      <c r="N2827" s="195" t="s">
        <v>117</v>
      </c>
      <c r="O2827" s="199"/>
      <c r="P2827" s="188"/>
      <c r="Q2827" s="174">
        <f>IF(ISNUMBER(VLOOKUP(A2827,NotghiID!A:A,1,FALSE)),1,0)</f>
        <v>1</v>
      </c>
      <c r="R2827" s="183"/>
    </row>
    <row r="2828" spans="1:18" ht="14.25" x14ac:dyDescent="0.2">
      <c r="A2828" s="189">
        <v>222</v>
      </c>
      <c r="B2828" s="232" t="str">
        <f>IF(AND(A2828&lt;&gt;"",ISNUMBER(A2828)),VLOOKUP(A2828,Studies!A:BR,2,FALSE),"")</f>
        <v>Gurley 2008a</v>
      </c>
      <c r="C2828" s="232" t="str">
        <f>IF(AND(A2828&lt;&gt;"",ISNUMBER(A2828)),VLOOKUP(A2828,Studies!A:BR,3,FALSE),"")</f>
        <v>https://www.ncbi.nlm.nih.gov/pubmed/17495878</v>
      </c>
      <c r="D2828" s="232" t="str">
        <f>IF(AND(A2828&lt;&gt;"",ISNUMBER(A2828)),VLOOKUP(A2828,Studies!A:BR,4,FALSE),"")</f>
        <v>Control pre-Clarithromycin (Perpetrator Placebo)</v>
      </c>
      <c r="E2828" s="206" t="str">
        <f>IF(AND(A2828&lt;&gt;"",ISNUMBER(A2828)),VLOOKUP(A2828,Studies!A:BR,5,FALSE),"")</f>
        <v>Midazolam</v>
      </c>
      <c r="F2828" s="207" t="str">
        <f>IF(AND(A2828&lt;&gt;"",ISNUMBER(A2828)),VLOOKUP(A2828,Studies!A:BR,6,FALSE),"")</f>
        <v>Plasma</v>
      </c>
      <c r="G2828" s="194">
        <v>0.5</v>
      </c>
      <c r="H2828" s="194" t="s">
        <v>60</v>
      </c>
      <c r="I2828" s="187">
        <v>46.861840000000001</v>
      </c>
      <c r="J2828" s="187" t="s">
        <v>1090</v>
      </c>
      <c r="K2828" s="187" t="s">
        <v>116</v>
      </c>
      <c r="L2828" s="195">
        <v>23.445889999999999</v>
      </c>
      <c r="M2828" s="195" t="s">
        <v>1090</v>
      </c>
      <c r="N2828" s="195" t="s">
        <v>117</v>
      </c>
      <c r="O2828" s="199"/>
      <c r="P2828" s="188"/>
      <c r="Q2828" s="174">
        <f>IF(ISNUMBER(VLOOKUP(A2828,NotghiID!A:A,1,FALSE)),1,0)</f>
        <v>1</v>
      </c>
      <c r="R2828" s="183"/>
    </row>
    <row r="2829" spans="1:18" ht="14.25" x14ac:dyDescent="0.2">
      <c r="A2829" s="189">
        <v>222</v>
      </c>
      <c r="B2829" s="232" t="str">
        <f>IF(AND(A2829&lt;&gt;"",ISNUMBER(A2829)),VLOOKUP(A2829,Studies!A:BR,2,FALSE),"")</f>
        <v>Gurley 2008a</v>
      </c>
      <c r="C2829" s="232" t="str">
        <f>IF(AND(A2829&lt;&gt;"",ISNUMBER(A2829)),VLOOKUP(A2829,Studies!A:BR,3,FALSE),"")</f>
        <v>https://www.ncbi.nlm.nih.gov/pubmed/17495878</v>
      </c>
      <c r="D2829" s="232" t="str">
        <f>IF(AND(A2829&lt;&gt;"",ISNUMBER(A2829)),VLOOKUP(A2829,Studies!A:BR,4,FALSE),"")</f>
        <v>Control pre-Clarithromycin (Perpetrator Placebo)</v>
      </c>
      <c r="E2829" s="206" t="str">
        <f>IF(AND(A2829&lt;&gt;"",ISNUMBER(A2829)),VLOOKUP(A2829,Studies!A:BR,5,FALSE),"")</f>
        <v>Midazolam</v>
      </c>
      <c r="F2829" s="207" t="str">
        <f>IF(AND(A2829&lt;&gt;"",ISNUMBER(A2829)),VLOOKUP(A2829,Studies!A:BR,6,FALSE),"")</f>
        <v>Plasma</v>
      </c>
      <c r="G2829" s="194">
        <v>0.75</v>
      </c>
      <c r="H2829" s="194" t="s">
        <v>60</v>
      </c>
      <c r="I2829" s="187">
        <v>36.18994</v>
      </c>
      <c r="J2829" s="187" t="s">
        <v>1090</v>
      </c>
      <c r="K2829" s="187" t="s">
        <v>116</v>
      </c>
      <c r="L2829" s="195">
        <v>18.827770000000001</v>
      </c>
      <c r="M2829" s="195" t="s">
        <v>1090</v>
      </c>
      <c r="N2829" s="195" t="s">
        <v>117</v>
      </c>
      <c r="O2829" s="199"/>
      <c r="P2829" s="188"/>
      <c r="Q2829" s="174">
        <f>IF(ISNUMBER(VLOOKUP(A2829,NotghiID!A:A,1,FALSE)),1,0)</f>
        <v>1</v>
      </c>
      <c r="R2829" s="183"/>
    </row>
    <row r="2830" spans="1:18" ht="14.25" x14ac:dyDescent="0.2">
      <c r="A2830" s="189">
        <v>222</v>
      </c>
      <c r="B2830" s="232" t="str">
        <f>IF(AND(A2830&lt;&gt;"",ISNUMBER(A2830)),VLOOKUP(A2830,Studies!A:BR,2,FALSE),"")</f>
        <v>Gurley 2008a</v>
      </c>
      <c r="C2830" s="232" t="str">
        <f>IF(AND(A2830&lt;&gt;"",ISNUMBER(A2830)),VLOOKUP(A2830,Studies!A:BR,3,FALSE),"")</f>
        <v>https://www.ncbi.nlm.nih.gov/pubmed/17495878</v>
      </c>
      <c r="D2830" s="232" t="str">
        <f>IF(AND(A2830&lt;&gt;"",ISNUMBER(A2830)),VLOOKUP(A2830,Studies!A:BR,4,FALSE),"")</f>
        <v>Control pre-Clarithromycin (Perpetrator Placebo)</v>
      </c>
      <c r="E2830" s="206" t="str">
        <f>IF(AND(A2830&lt;&gt;"",ISNUMBER(A2830)),VLOOKUP(A2830,Studies!A:BR,5,FALSE),"")</f>
        <v>Midazolam</v>
      </c>
      <c r="F2830" s="207" t="str">
        <f>IF(AND(A2830&lt;&gt;"",ISNUMBER(A2830)),VLOOKUP(A2830,Studies!A:BR,6,FALSE),"")</f>
        <v>Plasma</v>
      </c>
      <c r="G2830" s="194">
        <v>1</v>
      </c>
      <c r="H2830" s="194" t="s">
        <v>60</v>
      </c>
      <c r="I2830" s="187">
        <v>28.715199999999999</v>
      </c>
      <c r="J2830" s="187" t="s">
        <v>1090</v>
      </c>
      <c r="K2830" s="187" t="s">
        <v>116</v>
      </c>
      <c r="L2830" s="195">
        <v>14.56546</v>
      </c>
      <c r="M2830" s="195" t="s">
        <v>1090</v>
      </c>
      <c r="N2830" s="195" t="s">
        <v>117</v>
      </c>
      <c r="O2830" s="199"/>
      <c r="P2830" s="188"/>
      <c r="Q2830" s="174">
        <f>IF(ISNUMBER(VLOOKUP(A2830,NotghiID!A:A,1,FALSE)),1,0)</f>
        <v>1</v>
      </c>
      <c r="R2830" s="183"/>
    </row>
    <row r="2831" spans="1:18" ht="14.25" x14ac:dyDescent="0.2">
      <c r="A2831" s="189">
        <v>222</v>
      </c>
      <c r="B2831" s="232" t="str">
        <f>IF(AND(A2831&lt;&gt;"",ISNUMBER(A2831)),VLOOKUP(A2831,Studies!A:BR,2,FALSE),"")</f>
        <v>Gurley 2008a</v>
      </c>
      <c r="C2831" s="232" t="str">
        <f>IF(AND(A2831&lt;&gt;"",ISNUMBER(A2831)),VLOOKUP(A2831,Studies!A:BR,3,FALSE),"")</f>
        <v>https://www.ncbi.nlm.nih.gov/pubmed/17495878</v>
      </c>
      <c r="D2831" s="232" t="str">
        <f>IF(AND(A2831&lt;&gt;"",ISNUMBER(A2831)),VLOOKUP(A2831,Studies!A:BR,4,FALSE),"")</f>
        <v>Control pre-Clarithromycin (Perpetrator Placebo)</v>
      </c>
      <c r="E2831" s="206" t="str">
        <f>IF(AND(A2831&lt;&gt;"",ISNUMBER(A2831)),VLOOKUP(A2831,Studies!A:BR,5,FALSE),"")</f>
        <v>Midazolam</v>
      </c>
      <c r="F2831" s="207" t="str">
        <f>IF(AND(A2831&lt;&gt;"",ISNUMBER(A2831)),VLOOKUP(A2831,Studies!A:BR,6,FALSE),"")</f>
        <v>Plasma</v>
      </c>
      <c r="G2831" s="194">
        <v>1.5</v>
      </c>
      <c r="H2831" s="194" t="s">
        <v>60</v>
      </c>
      <c r="I2831" s="187">
        <v>24.777609999999999</v>
      </c>
      <c r="J2831" s="187" t="s">
        <v>1090</v>
      </c>
      <c r="K2831" s="187" t="s">
        <v>116</v>
      </c>
      <c r="L2831" s="195">
        <v>12.43343</v>
      </c>
      <c r="M2831" s="195" t="s">
        <v>1090</v>
      </c>
      <c r="N2831" s="195" t="s">
        <v>117</v>
      </c>
      <c r="O2831" s="199"/>
      <c r="P2831" s="188"/>
      <c r="Q2831" s="174">
        <f>IF(ISNUMBER(VLOOKUP(A2831,NotghiID!A:A,1,FALSE)),1,0)</f>
        <v>1</v>
      </c>
      <c r="R2831" s="183"/>
    </row>
    <row r="2832" spans="1:18" ht="14.25" x14ac:dyDescent="0.2">
      <c r="A2832" s="189">
        <v>222</v>
      </c>
      <c r="B2832" s="232" t="str">
        <f>IF(AND(A2832&lt;&gt;"",ISNUMBER(A2832)),VLOOKUP(A2832,Studies!A:BR,2,FALSE),"")</f>
        <v>Gurley 2008a</v>
      </c>
      <c r="C2832" s="232" t="str">
        <f>IF(AND(A2832&lt;&gt;"",ISNUMBER(A2832)),VLOOKUP(A2832,Studies!A:BR,3,FALSE),"")</f>
        <v>https://www.ncbi.nlm.nih.gov/pubmed/17495878</v>
      </c>
      <c r="D2832" s="232" t="str">
        <f>IF(AND(A2832&lt;&gt;"",ISNUMBER(A2832)),VLOOKUP(A2832,Studies!A:BR,4,FALSE),"")</f>
        <v>Control pre-Clarithromycin (Perpetrator Placebo)</v>
      </c>
      <c r="E2832" s="206" t="str">
        <f>IF(AND(A2832&lt;&gt;"",ISNUMBER(A2832)),VLOOKUP(A2832,Studies!A:BR,5,FALSE),"")</f>
        <v>Midazolam</v>
      </c>
      <c r="F2832" s="207" t="str">
        <f>IF(AND(A2832&lt;&gt;"",ISNUMBER(A2832)),VLOOKUP(A2832,Studies!A:BR,6,FALSE),"")</f>
        <v>Plasma</v>
      </c>
      <c r="G2832" s="194">
        <v>2</v>
      </c>
      <c r="H2832" s="194" t="s">
        <v>60</v>
      </c>
      <c r="I2832" s="187">
        <v>18.709150000000001</v>
      </c>
      <c r="J2832" s="187" t="s">
        <v>1090</v>
      </c>
      <c r="K2832" s="187" t="s">
        <v>116</v>
      </c>
      <c r="L2832" s="195">
        <v>7.8152939999999997</v>
      </c>
      <c r="M2832" s="195" t="s">
        <v>1090</v>
      </c>
      <c r="N2832" s="195" t="s">
        <v>117</v>
      </c>
      <c r="O2832" s="199"/>
      <c r="P2832" s="188"/>
      <c r="Q2832" s="174">
        <f>IF(ISNUMBER(VLOOKUP(A2832,NotghiID!A:A,1,FALSE)),1,0)</f>
        <v>1</v>
      </c>
      <c r="R2832" s="183"/>
    </row>
    <row r="2833" spans="1:18" ht="14.25" x14ac:dyDescent="0.2">
      <c r="A2833" s="189">
        <v>222</v>
      </c>
      <c r="B2833" s="232" t="str">
        <f>IF(AND(A2833&lt;&gt;"",ISNUMBER(A2833)),VLOOKUP(A2833,Studies!A:BR,2,FALSE),"")</f>
        <v>Gurley 2008a</v>
      </c>
      <c r="C2833" s="232" t="str">
        <f>IF(AND(A2833&lt;&gt;"",ISNUMBER(A2833)),VLOOKUP(A2833,Studies!A:BR,3,FALSE),"")</f>
        <v>https://www.ncbi.nlm.nih.gov/pubmed/17495878</v>
      </c>
      <c r="D2833" s="232" t="str">
        <f>IF(AND(A2833&lt;&gt;"",ISNUMBER(A2833)),VLOOKUP(A2833,Studies!A:BR,4,FALSE),"")</f>
        <v>Control pre-Clarithromycin (Perpetrator Placebo)</v>
      </c>
      <c r="E2833" s="206" t="str">
        <f>IF(AND(A2833&lt;&gt;"",ISNUMBER(A2833)),VLOOKUP(A2833,Studies!A:BR,5,FALSE),"")</f>
        <v>Midazolam</v>
      </c>
      <c r="F2833" s="207" t="str">
        <f>IF(AND(A2833&lt;&gt;"",ISNUMBER(A2833)),VLOOKUP(A2833,Studies!A:BR,6,FALSE),"")</f>
        <v>Plasma</v>
      </c>
      <c r="G2833" s="194">
        <v>3</v>
      </c>
      <c r="H2833" s="194" t="s">
        <v>60</v>
      </c>
      <c r="I2833" s="187">
        <v>11.18979</v>
      </c>
      <c r="J2833" s="187" t="s">
        <v>1090</v>
      </c>
      <c r="K2833" s="187" t="s">
        <v>116</v>
      </c>
      <c r="L2833" s="195">
        <v>4.9733689999999999</v>
      </c>
      <c r="M2833" s="195" t="s">
        <v>1090</v>
      </c>
      <c r="N2833" s="195" t="s">
        <v>117</v>
      </c>
      <c r="O2833" s="199"/>
      <c r="P2833" s="188"/>
      <c r="Q2833" s="174">
        <f>IF(ISNUMBER(VLOOKUP(A2833,NotghiID!A:A,1,FALSE)),1,0)</f>
        <v>1</v>
      </c>
      <c r="R2833" s="183"/>
    </row>
    <row r="2834" spans="1:18" ht="14.25" x14ac:dyDescent="0.2">
      <c r="A2834" s="189">
        <v>222</v>
      </c>
      <c r="B2834" s="232" t="str">
        <f>IF(AND(A2834&lt;&gt;"",ISNUMBER(A2834)),VLOOKUP(A2834,Studies!A:BR,2,FALSE),"")</f>
        <v>Gurley 2008a</v>
      </c>
      <c r="C2834" s="232" t="str">
        <f>IF(AND(A2834&lt;&gt;"",ISNUMBER(A2834)),VLOOKUP(A2834,Studies!A:BR,3,FALSE),"")</f>
        <v>https://www.ncbi.nlm.nih.gov/pubmed/17495878</v>
      </c>
      <c r="D2834" s="232" t="str">
        <f>IF(AND(A2834&lt;&gt;"",ISNUMBER(A2834)),VLOOKUP(A2834,Studies!A:BR,4,FALSE),"")</f>
        <v>Control pre-Clarithromycin (Perpetrator Placebo)</v>
      </c>
      <c r="E2834" s="206" t="str">
        <f>IF(AND(A2834&lt;&gt;"",ISNUMBER(A2834)),VLOOKUP(A2834,Studies!A:BR,5,FALSE),"")</f>
        <v>Midazolam</v>
      </c>
      <c r="F2834" s="207" t="str">
        <f>IF(AND(A2834&lt;&gt;"",ISNUMBER(A2834)),VLOOKUP(A2834,Studies!A:BR,6,FALSE),"")</f>
        <v>Plasma</v>
      </c>
      <c r="G2834" s="194">
        <v>4</v>
      </c>
      <c r="H2834" s="194" t="s">
        <v>60</v>
      </c>
      <c r="I2834" s="187">
        <v>8.2891480000000008</v>
      </c>
      <c r="J2834" s="187" t="s">
        <v>1090</v>
      </c>
      <c r="K2834" s="187" t="s">
        <v>116</v>
      </c>
      <c r="L2834" s="195">
        <v>4.263477</v>
      </c>
      <c r="M2834" s="195" t="s">
        <v>1090</v>
      </c>
      <c r="N2834" s="195" t="s">
        <v>117</v>
      </c>
      <c r="O2834" s="199"/>
      <c r="P2834" s="188"/>
      <c r="Q2834" s="174">
        <f>IF(ISNUMBER(VLOOKUP(A2834,NotghiID!A:A,1,FALSE)),1,0)</f>
        <v>1</v>
      </c>
      <c r="R2834" s="183"/>
    </row>
    <row r="2835" spans="1:18" ht="14.25" x14ac:dyDescent="0.2">
      <c r="A2835" s="189">
        <v>222</v>
      </c>
      <c r="B2835" s="232" t="str">
        <f>IF(AND(A2835&lt;&gt;"",ISNUMBER(A2835)),VLOOKUP(A2835,Studies!A:BR,2,FALSE),"")</f>
        <v>Gurley 2008a</v>
      </c>
      <c r="C2835" s="232" t="str">
        <f>IF(AND(A2835&lt;&gt;"",ISNUMBER(A2835)),VLOOKUP(A2835,Studies!A:BR,3,FALSE),"")</f>
        <v>https://www.ncbi.nlm.nih.gov/pubmed/17495878</v>
      </c>
      <c r="D2835" s="232" t="str">
        <f>IF(AND(A2835&lt;&gt;"",ISNUMBER(A2835)),VLOOKUP(A2835,Studies!A:BR,4,FALSE),"")</f>
        <v>Control pre-Clarithromycin (Perpetrator Placebo)</v>
      </c>
      <c r="E2835" s="206" t="str">
        <f>IF(AND(A2835&lt;&gt;"",ISNUMBER(A2835)),VLOOKUP(A2835,Studies!A:BR,5,FALSE),"")</f>
        <v>Midazolam</v>
      </c>
      <c r="F2835" s="207" t="str">
        <f>IF(AND(A2835&lt;&gt;"",ISNUMBER(A2835)),VLOOKUP(A2835,Studies!A:BR,6,FALSE),"")</f>
        <v>Plasma</v>
      </c>
      <c r="G2835" s="194">
        <v>5</v>
      </c>
      <c r="H2835" s="194" t="s">
        <v>60</v>
      </c>
      <c r="I2835" s="187">
        <v>5.7431580000000002</v>
      </c>
      <c r="J2835" s="187" t="s">
        <v>1090</v>
      </c>
      <c r="K2835" s="187" t="s">
        <v>116</v>
      </c>
      <c r="L2835" s="145"/>
      <c r="M2835" s="145"/>
      <c r="N2835" s="145"/>
      <c r="O2835" s="199"/>
      <c r="P2835" s="188"/>
      <c r="Q2835" s="174">
        <f>IF(ISNUMBER(VLOOKUP(A2835,NotghiID!A:A,1,FALSE)),1,0)</f>
        <v>1</v>
      </c>
      <c r="R2835" s="183"/>
    </row>
    <row r="2836" spans="1:18" ht="14.25" x14ac:dyDescent="0.2">
      <c r="A2836" s="189">
        <v>222</v>
      </c>
      <c r="B2836" s="232" t="str">
        <f>IF(AND(A2836&lt;&gt;"",ISNUMBER(A2836)),VLOOKUP(A2836,Studies!A:BR,2,FALSE),"")</f>
        <v>Gurley 2008a</v>
      </c>
      <c r="C2836" s="232" t="str">
        <f>IF(AND(A2836&lt;&gt;"",ISNUMBER(A2836)),VLOOKUP(A2836,Studies!A:BR,3,FALSE),"")</f>
        <v>https://www.ncbi.nlm.nih.gov/pubmed/17495878</v>
      </c>
      <c r="D2836" s="232" t="str">
        <f>IF(AND(A2836&lt;&gt;"",ISNUMBER(A2836)),VLOOKUP(A2836,Studies!A:BR,4,FALSE),"")</f>
        <v>Control pre-Clarithromycin (Perpetrator Placebo)</v>
      </c>
      <c r="E2836" s="206" t="str">
        <f>IF(AND(A2836&lt;&gt;"",ISNUMBER(A2836)),VLOOKUP(A2836,Studies!A:BR,5,FALSE),"")</f>
        <v>Midazolam</v>
      </c>
      <c r="F2836" s="207" t="str">
        <f>IF(AND(A2836&lt;&gt;"",ISNUMBER(A2836)),VLOOKUP(A2836,Studies!A:BR,6,FALSE),"")</f>
        <v>Plasma</v>
      </c>
      <c r="G2836" s="194">
        <v>6</v>
      </c>
      <c r="H2836" s="194" t="s">
        <v>60</v>
      </c>
      <c r="I2836" s="187">
        <v>4.2628899999999996</v>
      </c>
      <c r="J2836" s="187" t="s">
        <v>1090</v>
      </c>
      <c r="K2836" s="187" t="s">
        <v>116</v>
      </c>
      <c r="L2836" s="145"/>
      <c r="M2836" s="145"/>
      <c r="N2836" s="145"/>
      <c r="O2836" s="199"/>
      <c r="P2836" s="188"/>
      <c r="Q2836" s="174">
        <f>IF(ISNUMBER(VLOOKUP(A2836,NotghiID!A:A,1,FALSE)),1,0)</f>
        <v>1</v>
      </c>
      <c r="R2836" s="183"/>
    </row>
    <row r="2837" spans="1:18" ht="14.25" x14ac:dyDescent="0.2">
      <c r="A2837" s="189">
        <v>223</v>
      </c>
      <c r="B2837" s="232" t="str">
        <f>IF(AND(A2837&lt;&gt;"",ISNUMBER(A2837)),VLOOKUP(A2837,Studies!A:BR,2,FALSE),"")</f>
        <v>Gurley 2008a</v>
      </c>
      <c r="C2837" s="232" t="str">
        <f>IF(AND(A2837&lt;&gt;"",ISNUMBER(A2837)),VLOOKUP(A2837,Studies!A:BR,3,FALSE),"")</f>
        <v>https://www.ncbi.nlm.nih.gov/pubmed/17495878</v>
      </c>
      <c r="D2837" s="232" t="str">
        <f>IF(AND(A2837&lt;&gt;"",ISNUMBER(A2837)),VLOOKUP(A2837,Studies!A:BR,4,FALSE),"")</f>
        <v>with Perpetrator (Clarithomycin)</v>
      </c>
      <c r="E2837" s="206" t="str">
        <f>IF(AND(A2837&lt;&gt;"",ISNUMBER(A2837)),VLOOKUP(A2837,Studies!A:BR,5,FALSE),"")</f>
        <v>Midazolam</v>
      </c>
      <c r="F2837" s="207" t="str">
        <f>IF(AND(A2837&lt;&gt;"",ISNUMBER(A2837)),VLOOKUP(A2837,Studies!A:BR,6,FALSE),"")</f>
        <v>Plasma</v>
      </c>
      <c r="G2837" s="194">
        <v>146</v>
      </c>
      <c r="H2837" s="194" t="s">
        <v>60</v>
      </c>
      <c r="I2837" s="187">
        <v>0</v>
      </c>
      <c r="J2837" s="187" t="s">
        <v>1090</v>
      </c>
      <c r="K2837" s="187" t="s">
        <v>116</v>
      </c>
      <c r="L2837" s="145"/>
      <c r="M2837" s="145"/>
      <c r="N2837" s="145"/>
      <c r="O2837" s="199"/>
      <c r="P2837" s="188"/>
      <c r="Q2837" s="174">
        <f>IF(ISNUMBER(VLOOKUP(A2837,NotghiID!A:A,1,FALSE)),1,0)</f>
        <v>1</v>
      </c>
      <c r="R2837" s="183"/>
    </row>
    <row r="2838" spans="1:18" ht="14.25" x14ac:dyDescent="0.2">
      <c r="A2838" s="189">
        <v>223</v>
      </c>
      <c r="B2838" s="232" t="str">
        <f>IF(AND(A2838&lt;&gt;"",ISNUMBER(A2838)),VLOOKUP(A2838,Studies!A:BR,2,FALSE),"")</f>
        <v>Gurley 2008a</v>
      </c>
      <c r="C2838" s="232" t="str">
        <f>IF(AND(A2838&lt;&gt;"",ISNUMBER(A2838)),VLOOKUP(A2838,Studies!A:BR,3,FALSE),"")</f>
        <v>https://www.ncbi.nlm.nih.gov/pubmed/17495878</v>
      </c>
      <c r="D2838" s="232" t="str">
        <f>IF(AND(A2838&lt;&gt;"",ISNUMBER(A2838)),VLOOKUP(A2838,Studies!A:BR,4,FALSE),"")</f>
        <v>with Perpetrator (Clarithomycin)</v>
      </c>
      <c r="E2838" s="206" t="str">
        <f>IF(AND(A2838&lt;&gt;"",ISNUMBER(A2838)),VLOOKUP(A2838,Studies!A:BR,5,FALSE),"")</f>
        <v>Midazolam</v>
      </c>
      <c r="F2838" s="207" t="str">
        <f>IF(AND(A2838&lt;&gt;"",ISNUMBER(A2838)),VLOOKUP(A2838,Studies!A:BR,6,FALSE),"")</f>
        <v>Plasma</v>
      </c>
      <c r="G2838" s="194">
        <v>146.25</v>
      </c>
      <c r="H2838" s="194" t="s">
        <v>60</v>
      </c>
      <c r="I2838" s="187">
        <v>116.50369999999999</v>
      </c>
      <c r="J2838" s="187" t="s">
        <v>1090</v>
      </c>
      <c r="K2838" s="187" t="s">
        <v>116</v>
      </c>
      <c r="L2838" s="195">
        <v>43.339410000000001</v>
      </c>
      <c r="M2838" s="195" t="s">
        <v>1090</v>
      </c>
      <c r="N2838" s="195" t="s">
        <v>117</v>
      </c>
      <c r="O2838" s="199"/>
      <c r="P2838" s="188"/>
      <c r="Q2838" s="174">
        <f>IF(ISNUMBER(VLOOKUP(A2838,NotghiID!A:A,1,FALSE)),1,0)</f>
        <v>1</v>
      </c>
      <c r="R2838" s="183"/>
    </row>
    <row r="2839" spans="1:18" ht="14.25" x14ac:dyDescent="0.2">
      <c r="A2839" s="189">
        <v>223</v>
      </c>
      <c r="B2839" s="232" t="str">
        <f>IF(AND(A2839&lt;&gt;"",ISNUMBER(A2839)),VLOOKUP(A2839,Studies!A:BR,2,FALSE),"")</f>
        <v>Gurley 2008a</v>
      </c>
      <c r="C2839" s="232" t="str">
        <f>IF(AND(A2839&lt;&gt;"",ISNUMBER(A2839)),VLOOKUP(A2839,Studies!A:BR,3,FALSE),"")</f>
        <v>https://www.ncbi.nlm.nih.gov/pubmed/17495878</v>
      </c>
      <c r="D2839" s="232" t="str">
        <f>IF(AND(A2839&lt;&gt;"",ISNUMBER(A2839)),VLOOKUP(A2839,Studies!A:BR,4,FALSE),"")</f>
        <v>with Perpetrator (Clarithomycin)</v>
      </c>
      <c r="E2839" s="206" t="str">
        <f>IF(AND(A2839&lt;&gt;"",ISNUMBER(A2839)),VLOOKUP(A2839,Studies!A:BR,5,FALSE),"")</f>
        <v>Midazolam</v>
      </c>
      <c r="F2839" s="207" t="str">
        <f>IF(AND(A2839&lt;&gt;"",ISNUMBER(A2839)),VLOOKUP(A2839,Studies!A:BR,6,FALSE),"")</f>
        <v>Plasma</v>
      </c>
      <c r="G2839" s="194">
        <v>146.5</v>
      </c>
      <c r="H2839" s="194" t="s">
        <v>60</v>
      </c>
      <c r="I2839" s="187">
        <v>153.7893</v>
      </c>
      <c r="J2839" s="187" t="s">
        <v>1090</v>
      </c>
      <c r="K2839" s="187" t="s">
        <v>116</v>
      </c>
      <c r="L2839" s="195">
        <v>41.20796</v>
      </c>
      <c r="M2839" s="195" t="s">
        <v>1090</v>
      </c>
      <c r="N2839" s="195" t="s">
        <v>117</v>
      </c>
      <c r="O2839" s="199"/>
      <c r="P2839" s="188"/>
      <c r="Q2839" s="174">
        <f>IF(ISNUMBER(VLOOKUP(A2839,NotghiID!A:A,1,FALSE)),1,0)</f>
        <v>1</v>
      </c>
      <c r="R2839" s="183"/>
    </row>
    <row r="2840" spans="1:18" ht="14.25" x14ac:dyDescent="0.2">
      <c r="A2840" s="189">
        <v>223</v>
      </c>
      <c r="B2840" s="232" t="str">
        <f>IF(AND(A2840&lt;&gt;"",ISNUMBER(A2840)),VLOOKUP(A2840,Studies!A:BR,2,FALSE),"")</f>
        <v>Gurley 2008a</v>
      </c>
      <c r="C2840" s="232" t="str">
        <f>IF(AND(A2840&lt;&gt;"",ISNUMBER(A2840)),VLOOKUP(A2840,Studies!A:BR,3,FALSE),"")</f>
        <v>https://www.ncbi.nlm.nih.gov/pubmed/17495878</v>
      </c>
      <c r="D2840" s="232" t="str">
        <f>IF(AND(A2840&lt;&gt;"",ISNUMBER(A2840)),VLOOKUP(A2840,Studies!A:BR,4,FALSE),"")</f>
        <v>with Perpetrator (Clarithomycin)</v>
      </c>
      <c r="E2840" s="206" t="str">
        <f>IF(AND(A2840&lt;&gt;"",ISNUMBER(A2840)),VLOOKUP(A2840,Studies!A:BR,5,FALSE),"")</f>
        <v>Midazolam</v>
      </c>
      <c r="F2840" s="207" t="str">
        <f>IF(AND(A2840&lt;&gt;"",ISNUMBER(A2840)),VLOOKUP(A2840,Studies!A:BR,6,FALSE),"")</f>
        <v>Plasma</v>
      </c>
      <c r="G2840" s="194">
        <v>146.75</v>
      </c>
      <c r="H2840" s="194" t="s">
        <v>60</v>
      </c>
      <c r="I2840" s="187">
        <v>139.565</v>
      </c>
      <c r="J2840" s="187" t="s">
        <v>1090</v>
      </c>
      <c r="K2840" s="187" t="s">
        <v>116</v>
      </c>
      <c r="L2840" s="195">
        <v>49.733730000000001</v>
      </c>
      <c r="M2840" s="195" t="s">
        <v>1090</v>
      </c>
      <c r="N2840" s="195" t="s">
        <v>117</v>
      </c>
      <c r="O2840" s="199"/>
      <c r="P2840" s="188"/>
      <c r="Q2840" s="174">
        <f>IF(ISNUMBER(VLOOKUP(A2840,NotghiID!A:A,1,FALSE)),1,0)</f>
        <v>1</v>
      </c>
      <c r="R2840" s="183"/>
    </row>
    <row r="2841" spans="1:18" ht="14.25" x14ac:dyDescent="0.2">
      <c r="A2841" s="189">
        <v>223</v>
      </c>
      <c r="B2841" s="232" t="str">
        <f>IF(AND(A2841&lt;&gt;"",ISNUMBER(A2841)),VLOOKUP(A2841,Studies!A:BR,2,FALSE),"")</f>
        <v>Gurley 2008a</v>
      </c>
      <c r="C2841" s="232" t="str">
        <f>IF(AND(A2841&lt;&gt;"",ISNUMBER(A2841)),VLOOKUP(A2841,Studies!A:BR,3,FALSE),"")</f>
        <v>https://www.ncbi.nlm.nih.gov/pubmed/17495878</v>
      </c>
      <c r="D2841" s="232" t="str">
        <f>IF(AND(A2841&lt;&gt;"",ISNUMBER(A2841)),VLOOKUP(A2841,Studies!A:BR,4,FALSE),"")</f>
        <v>with Perpetrator (Clarithomycin)</v>
      </c>
      <c r="E2841" s="206" t="str">
        <f>IF(AND(A2841&lt;&gt;"",ISNUMBER(A2841)),VLOOKUP(A2841,Studies!A:BR,5,FALSE),"")</f>
        <v>Midazolam</v>
      </c>
      <c r="F2841" s="207" t="str">
        <f>IF(AND(A2841&lt;&gt;"",ISNUMBER(A2841)),VLOOKUP(A2841,Studies!A:BR,6,FALSE),"")</f>
        <v>Plasma</v>
      </c>
      <c r="G2841" s="194">
        <v>147</v>
      </c>
      <c r="H2841" s="194" t="s">
        <v>60</v>
      </c>
      <c r="I2841" s="187">
        <v>118.5911</v>
      </c>
      <c r="J2841" s="187" t="s">
        <v>1090</v>
      </c>
      <c r="K2841" s="187" t="s">
        <v>116</v>
      </c>
      <c r="L2841" s="195">
        <v>41.562609999999999</v>
      </c>
      <c r="M2841" s="195" t="s">
        <v>1090</v>
      </c>
      <c r="N2841" s="195" t="s">
        <v>117</v>
      </c>
      <c r="O2841" s="199"/>
      <c r="P2841" s="188"/>
      <c r="Q2841" s="174">
        <f>IF(ISNUMBER(VLOOKUP(A2841,NotghiID!A:A,1,FALSE)),1,0)</f>
        <v>1</v>
      </c>
      <c r="R2841" s="183"/>
    </row>
    <row r="2842" spans="1:18" ht="14.25" x14ac:dyDescent="0.2">
      <c r="A2842" s="189">
        <v>223</v>
      </c>
      <c r="B2842" s="232" t="str">
        <f>IF(AND(A2842&lt;&gt;"",ISNUMBER(A2842)),VLOOKUP(A2842,Studies!A:BR,2,FALSE),"")</f>
        <v>Gurley 2008a</v>
      </c>
      <c r="C2842" s="232" t="str">
        <f>IF(AND(A2842&lt;&gt;"",ISNUMBER(A2842)),VLOOKUP(A2842,Studies!A:BR,3,FALSE),"")</f>
        <v>https://www.ncbi.nlm.nih.gov/pubmed/17495878</v>
      </c>
      <c r="D2842" s="232" t="str">
        <f>IF(AND(A2842&lt;&gt;"",ISNUMBER(A2842)),VLOOKUP(A2842,Studies!A:BR,4,FALSE),"")</f>
        <v>with Perpetrator (Clarithomycin)</v>
      </c>
      <c r="E2842" s="206" t="str">
        <f>IF(AND(A2842&lt;&gt;"",ISNUMBER(A2842)),VLOOKUP(A2842,Studies!A:BR,5,FALSE),"")</f>
        <v>Midazolam</v>
      </c>
      <c r="F2842" s="207" t="str">
        <f>IF(AND(A2842&lt;&gt;"",ISNUMBER(A2842)),VLOOKUP(A2842,Studies!A:BR,6,FALSE),"")</f>
        <v>Plasma</v>
      </c>
      <c r="G2842" s="194">
        <v>147.5</v>
      </c>
      <c r="H2842" s="194" t="s">
        <v>60</v>
      </c>
      <c r="I2842" s="187">
        <v>103.64109999999999</v>
      </c>
      <c r="J2842" s="187" t="s">
        <v>1090</v>
      </c>
      <c r="K2842" s="187" t="s">
        <v>116</v>
      </c>
      <c r="L2842" s="195">
        <v>30.905930000000001</v>
      </c>
      <c r="M2842" s="195" t="s">
        <v>1090</v>
      </c>
      <c r="N2842" s="195" t="s">
        <v>117</v>
      </c>
      <c r="O2842" s="199"/>
      <c r="P2842" s="188"/>
      <c r="Q2842" s="174">
        <f>IF(ISNUMBER(VLOOKUP(A2842,NotghiID!A:A,1,FALSE)),1,0)</f>
        <v>1</v>
      </c>
      <c r="R2842" s="183"/>
    </row>
    <row r="2843" spans="1:18" ht="14.25" x14ac:dyDescent="0.2">
      <c r="A2843" s="189">
        <v>223</v>
      </c>
      <c r="B2843" s="232" t="str">
        <f>IF(AND(A2843&lt;&gt;"",ISNUMBER(A2843)),VLOOKUP(A2843,Studies!A:BR,2,FALSE),"")</f>
        <v>Gurley 2008a</v>
      </c>
      <c r="C2843" s="232" t="str">
        <f>IF(AND(A2843&lt;&gt;"",ISNUMBER(A2843)),VLOOKUP(A2843,Studies!A:BR,3,FALSE),"")</f>
        <v>https://www.ncbi.nlm.nih.gov/pubmed/17495878</v>
      </c>
      <c r="D2843" s="232" t="str">
        <f>IF(AND(A2843&lt;&gt;"",ISNUMBER(A2843)),VLOOKUP(A2843,Studies!A:BR,4,FALSE),"")</f>
        <v>with Perpetrator (Clarithomycin)</v>
      </c>
      <c r="E2843" s="206" t="str">
        <f>IF(AND(A2843&lt;&gt;"",ISNUMBER(A2843)),VLOOKUP(A2843,Studies!A:BR,5,FALSE),"")</f>
        <v>Midazolam</v>
      </c>
      <c r="F2843" s="207" t="str">
        <f>IF(AND(A2843&lt;&gt;"",ISNUMBER(A2843)),VLOOKUP(A2843,Studies!A:BR,6,FALSE),"")</f>
        <v>Plasma</v>
      </c>
      <c r="G2843" s="194">
        <v>148</v>
      </c>
      <c r="H2843" s="194" t="s">
        <v>60</v>
      </c>
      <c r="I2843" s="187">
        <v>88.336359999999999</v>
      </c>
      <c r="J2843" s="187" t="s">
        <v>1090</v>
      </c>
      <c r="K2843" s="187" t="s">
        <v>116</v>
      </c>
      <c r="L2843" s="195">
        <v>23.445889999999999</v>
      </c>
      <c r="M2843" s="195" t="s">
        <v>1090</v>
      </c>
      <c r="N2843" s="195" t="s">
        <v>117</v>
      </c>
      <c r="O2843" s="199"/>
      <c r="P2843" s="188"/>
      <c r="Q2843" s="174">
        <f>IF(ISNUMBER(VLOOKUP(A2843,NotghiID!A:A,1,FALSE)),1,0)</f>
        <v>1</v>
      </c>
      <c r="R2843" s="183"/>
    </row>
    <row r="2844" spans="1:18" ht="14.25" x14ac:dyDescent="0.2">
      <c r="A2844" s="189">
        <v>223</v>
      </c>
      <c r="B2844" s="232" t="str">
        <f>IF(AND(A2844&lt;&gt;"",ISNUMBER(A2844)),VLOOKUP(A2844,Studies!A:BR,2,FALSE),"")</f>
        <v>Gurley 2008a</v>
      </c>
      <c r="C2844" s="232" t="str">
        <f>IF(AND(A2844&lt;&gt;"",ISNUMBER(A2844)),VLOOKUP(A2844,Studies!A:BR,3,FALSE),"")</f>
        <v>https://www.ncbi.nlm.nih.gov/pubmed/17495878</v>
      </c>
      <c r="D2844" s="232" t="str">
        <f>IF(AND(A2844&lt;&gt;"",ISNUMBER(A2844)),VLOOKUP(A2844,Studies!A:BR,4,FALSE),"")</f>
        <v>with Perpetrator (Clarithomycin)</v>
      </c>
      <c r="E2844" s="206" t="str">
        <f>IF(AND(A2844&lt;&gt;"",ISNUMBER(A2844)),VLOOKUP(A2844,Studies!A:BR,5,FALSE),"")</f>
        <v>Midazolam</v>
      </c>
      <c r="F2844" s="207" t="str">
        <f>IF(AND(A2844&lt;&gt;"",ISNUMBER(A2844)),VLOOKUP(A2844,Studies!A:BR,6,FALSE),"")</f>
        <v>Plasma</v>
      </c>
      <c r="G2844" s="194">
        <v>149</v>
      </c>
      <c r="H2844" s="194" t="s">
        <v>60</v>
      </c>
      <c r="I2844" s="187">
        <v>69.449290000000005</v>
      </c>
      <c r="J2844" s="187" t="s">
        <v>1090</v>
      </c>
      <c r="K2844" s="187" t="s">
        <v>116</v>
      </c>
      <c r="L2844" s="195">
        <v>15.98584</v>
      </c>
      <c r="M2844" s="195" t="s">
        <v>1090</v>
      </c>
      <c r="N2844" s="195" t="s">
        <v>117</v>
      </c>
      <c r="O2844" s="199"/>
      <c r="P2844" s="188"/>
      <c r="Q2844" s="174">
        <f>IF(ISNUMBER(VLOOKUP(A2844,NotghiID!A:A,1,FALSE)),1,0)</f>
        <v>1</v>
      </c>
      <c r="R2844" s="183"/>
    </row>
    <row r="2845" spans="1:18" ht="14.25" x14ac:dyDescent="0.2">
      <c r="A2845" s="189">
        <v>223</v>
      </c>
      <c r="B2845" s="232" t="str">
        <f>IF(AND(A2845&lt;&gt;"",ISNUMBER(A2845)),VLOOKUP(A2845,Studies!A:BR,2,FALSE),"")</f>
        <v>Gurley 2008a</v>
      </c>
      <c r="C2845" s="232" t="str">
        <f>IF(AND(A2845&lt;&gt;"",ISNUMBER(A2845)),VLOOKUP(A2845,Studies!A:BR,3,FALSE),"")</f>
        <v>https://www.ncbi.nlm.nih.gov/pubmed/17495878</v>
      </c>
      <c r="D2845" s="232" t="str">
        <f>IF(AND(A2845&lt;&gt;"",ISNUMBER(A2845)),VLOOKUP(A2845,Studies!A:BR,4,FALSE),"")</f>
        <v>with Perpetrator (Clarithomycin)</v>
      </c>
      <c r="E2845" s="206" t="str">
        <f>IF(AND(A2845&lt;&gt;"",ISNUMBER(A2845)),VLOOKUP(A2845,Studies!A:BR,5,FALSE),"")</f>
        <v>Midazolam</v>
      </c>
      <c r="F2845" s="207" t="str">
        <f>IF(AND(A2845&lt;&gt;"",ISNUMBER(A2845)),VLOOKUP(A2845,Studies!A:BR,6,FALSE),"")</f>
        <v>Plasma</v>
      </c>
      <c r="G2845" s="194">
        <v>150</v>
      </c>
      <c r="H2845" s="194" t="s">
        <v>60</v>
      </c>
      <c r="I2845" s="187">
        <v>53.404150000000001</v>
      </c>
      <c r="J2845" s="187" t="s">
        <v>1090</v>
      </c>
      <c r="K2845" s="187" t="s">
        <v>116</v>
      </c>
      <c r="L2845" s="195">
        <v>10.301399999999999</v>
      </c>
      <c r="M2845" s="195" t="s">
        <v>1090</v>
      </c>
      <c r="N2845" s="195" t="s">
        <v>117</v>
      </c>
      <c r="O2845" s="199"/>
      <c r="P2845" s="188"/>
      <c r="Q2845" s="174">
        <f>IF(ISNUMBER(VLOOKUP(A2845,NotghiID!A:A,1,FALSE)),1,0)</f>
        <v>1</v>
      </c>
      <c r="R2845" s="183"/>
    </row>
    <row r="2846" spans="1:18" ht="14.25" x14ac:dyDescent="0.2">
      <c r="A2846" s="189">
        <v>223</v>
      </c>
      <c r="B2846" s="232" t="str">
        <f>IF(AND(A2846&lt;&gt;"",ISNUMBER(A2846)),VLOOKUP(A2846,Studies!A:BR,2,FALSE),"")</f>
        <v>Gurley 2008a</v>
      </c>
      <c r="C2846" s="232" t="str">
        <f>IF(AND(A2846&lt;&gt;"",ISNUMBER(A2846)),VLOOKUP(A2846,Studies!A:BR,3,FALSE),"")</f>
        <v>https://www.ncbi.nlm.nih.gov/pubmed/17495878</v>
      </c>
      <c r="D2846" s="232" t="str">
        <f>IF(AND(A2846&lt;&gt;"",ISNUMBER(A2846)),VLOOKUP(A2846,Studies!A:BR,4,FALSE),"")</f>
        <v>with Perpetrator (Clarithomycin)</v>
      </c>
      <c r="E2846" s="206" t="str">
        <f>IF(AND(A2846&lt;&gt;"",ISNUMBER(A2846)),VLOOKUP(A2846,Studies!A:BR,5,FALSE),"")</f>
        <v>Midazolam</v>
      </c>
      <c r="F2846" s="207" t="str">
        <f>IF(AND(A2846&lt;&gt;"",ISNUMBER(A2846)),VLOOKUP(A2846,Studies!A:BR,6,FALSE),"")</f>
        <v>Plasma</v>
      </c>
      <c r="G2846" s="194">
        <v>151</v>
      </c>
      <c r="H2846" s="194" t="s">
        <v>60</v>
      </c>
      <c r="I2846" s="187">
        <v>42.688209999999998</v>
      </c>
      <c r="J2846" s="187" t="s">
        <v>1090</v>
      </c>
      <c r="K2846" s="187" t="s">
        <v>116</v>
      </c>
      <c r="L2846" s="195">
        <v>10.30139</v>
      </c>
      <c r="M2846" s="195" t="s">
        <v>1090</v>
      </c>
      <c r="N2846" s="195" t="s">
        <v>117</v>
      </c>
      <c r="O2846" s="199"/>
      <c r="P2846" s="188"/>
      <c r="Q2846" s="174">
        <f>IF(ISNUMBER(VLOOKUP(A2846,NotghiID!A:A,1,FALSE)),1,0)</f>
        <v>1</v>
      </c>
      <c r="R2846" s="183"/>
    </row>
    <row r="2847" spans="1:18" ht="14.25" x14ac:dyDescent="0.2">
      <c r="A2847" s="189">
        <v>223</v>
      </c>
      <c r="B2847" s="232" t="str">
        <f>IF(AND(A2847&lt;&gt;"",ISNUMBER(A2847)),VLOOKUP(A2847,Studies!A:BR,2,FALSE),"")</f>
        <v>Gurley 2008a</v>
      </c>
      <c r="C2847" s="232" t="str">
        <f>IF(AND(A2847&lt;&gt;"",ISNUMBER(A2847)),VLOOKUP(A2847,Studies!A:BR,3,FALSE),"")</f>
        <v>https://www.ncbi.nlm.nih.gov/pubmed/17495878</v>
      </c>
      <c r="D2847" s="232" t="str">
        <f>IF(AND(A2847&lt;&gt;"",ISNUMBER(A2847)),VLOOKUP(A2847,Studies!A:BR,4,FALSE),"")</f>
        <v>with Perpetrator (Clarithomycin)</v>
      </c>
      <c r="E2847" s="206" t="str">
        <f>IF(AND(A2847&lt;&gt;"",ISNUMBER(A2847)),VLOOKUP(A2847,Studies!A:BR,5,FALSE),"")</f>
        <v>Midazolam</v>
      </c>
      <c r="F2847" s="207" t="str">
        <f>IF(AND(A2847&lt;&gt;"",ISNUMBER(A2847)),VLOOKUP(A2847,Studies!A:BR,6,FALSE),"")</f>
        <v>Plasma</v>
      </c>
      <c r="G2847" s="194">
        <v>152</v>
      </c>
      <c r="H2847" s="194" t="s">
        <v>60</v>
      </c>
      <c r="I2847" s="187">
        <v>38.010770000000001</v>
      </c>
      <c r="J2847" s="187" t="s">
        <v>1090</v>
      </c>
      <c r="K2847" s="187" t="s">
        <v>116</v>
      </c>
      <c r="L2847" s="195">
        <v>8.5257799999999992</v>
      </c>
      <c r="M2847" s="195" t="s">
        <v>1090</v>
      </c>
      <c r="N2847" s="195" t="s">
        <v>117</v>
      </c>
      <c r="O2847" s="199"/>
      <c r="P2847" s="188"/>
      <c r="Q2847" s="174">
        <f>IF(ISNUMBER(VLOOKUP(A2847,NotghiID!A:A,1,FALSE)),1,0)</f>
        <v>1</v>
      </c>
      <c r="R2847" s="183"/>
    </row>
    <row r="2848" spans="1:18" ht="14.25" x14ac:dyDescent="0.2">
      <c r="A2848" s="189">
        <v>224</v>
      </c>
      <c r="B2848" s="232" t="str">
        <f>IF(AND(A2848&lt;&gt;"",ISNUMBER(A2848)),VLOOKUP(A2848,Studies!A:BR,2,FALSE),"")</f>
        <v>Gurley 2008a</v>
      </c>
      <c r="C2848" s="232" t="str">
        <f>IF(AND(A2848&lt;&gt;"",ISNUMBER(A2848)),VLOOKUP(A2848,Studies!A:BR,3,FALSE),"")</f>
        <v>https://www.ncbi.nlm.nih.gov/pubmed/17495878</v>
      </c>
      <c r="D2848" s="232" t="str">
        <f>IF(AND(A2848&lt;&gt;"",ISNUMBER(A2848)),VLOOKUP(A2848,Studies!A:BR,4,FALSE),"")</f>
        <v>Control pre-Goldenseal (Perpetrator Placebo)</v>
      </c>
      <c r="E2848" s="206" t="str">
        <f>IF(AND(A2848&lt;&gt;"",ISNUMBER(A2848)),VLOOKUP(A2848,Studies!A:BR,5,FALSE),"")</f>
        <v>Midazolam</v>
      </c>
      <c r="F2848" s="207" t="str">
        <f>IF(AND(A2848&lt;&gt;"",ISNUMBER(A2848)),VLOOKUP(A2848,Studies!A:BR,6,FALSE),"")</f>
        <v>Plasma</v>
      </c>
      <c r="G2848" s="194">
        <v>0</v>
      </c>
      <c r="H2848" s="194" t="s">
        <v>60</v>
      </c>
      <c r="I2848" s="187">
        <v>0</v>
      </c>
      <c r="J2848" s="187" t="s">
        <v>1090</v>
      </c>
      <c r="K2848" s="187" t="s">
        <v>116</v>
      </c>
      <c r="L2848" s="145"/>
      <c r="M2848" s="145"/>
      <c r="N2848" s="145"/>
      <c r="O2848" s="199"/>
      <c r="P2848" s="188"/>
      <c r="Q2848" s="174">
        <f>IF(ISNUMBER(VLOOKUP(A2848,NotghiID!A:A,1,FALSE)),1,0)</f>
        <v>1</v>
      </c>
      <c r="R2848" s="183"/>
    </row>
    <row r="2849" spans="1:18" ht="14.25" x14ac:dyDescent="0.2">
      <c r="A2849" s="189">
        <v>224</v>
      </c>
      <c r="B2849" s="232" t="str">
        <f>IF(AND(A2849&lt;&gt;"",ISNUMBER(A2849)),VLOOKUP(A2849,Studies!A:BR,2,FALSE),"")</f>
        <v>Gurley 2008a</v>
      </c>
      <c r="C2849" s="232" t="str">
        <f>IF(AND(A2849&lt;&gt;"",ISNUMBER(A2849)),VLOOKUP(A2849,Studies!A:BR,3,FALSE),"")</f>
        <v>https://www.ncbi.nlm.nih.gov/pubmed/17495878</v>
      </c>
      <c r="D2849" s="232" t="str">
        <f>IF(AND(A2849&lt;&gt;"",ISNUMBER(A2849)),VLOOKUP(A2849,Studies!A:BR,4,FALSE),"")</f>
        <v>Control pre-Goldenseal (Perpetrator Placebo)</v>
      </c>
      <c r="E2849" s="206" t="str">
        <f>IF(AND(A2849&lt;&gt;"",ISNUMBER(A2849)),VLOOKUP(A2849,Studies!A:BR,5,FALSE),"")</f>
        <v>Midazolam</v>
      </c>
      <c r="F2849" s="207" t="str">
        <f>IF(AND(A2849&lt;&gt;"",ISNUMBER(A2849)),VLOOKUP(A2849,Studies!A:BR,6,FALSE),"")</f>
        <v>Plasma</v>
      </c>
      <c r="G2849" s="194">
        <v>0.25</v>
      </c>
      <c r="H2849" s="194" t="s">
        <v>60</v>
      </c>
      <c r="I2849" s="187">
        <v>48.128340000000001</v>
      </c>
      <c r="J2849" s="187" t="s">
        <v>1090</v>
      </c>
      <c r="K2849" s="187" t="s">
        <v>116</v>
      </c>
      <c r="L2849" s="195">
        <v>20.32085</v>
      </c>
      <c r="M2849" s="195" t="s">
        <v>1090</v>
      </c>
      <c r="N2849" s="195" t="s">
        <v>117</v>
      </c>
      <c r="O2849" s="199"/>
      <c r="P2849" s="188"/>
      <c r="Q2849" s="174">
        <f>IF(ISNUMBER(VLOOKUP(A2849,NotghiID!A:A,1,FALSE)),1,0)</f>
        <v>1</v>
      </c>
      <c r="R2849" s="183"/>
    </row>
    <row r="2850" spans="1:18" ht="14.25" x14ac:dyDescent="0.2">
      <c r="A2850" s="189">
        <v>224</v>
      </c>
      <c r="B2850" s="232" t="str">
        <f>IF(AND(A2850&lt;&gt;"",ISNUMBER(A2850)),VLOOKUP(A2850,Studies!A:BR,2,FALSE),"")</f>
        <v>Gurley 2008a</v>
      </c>
      <c r="C2850" s="232" t="str">
        <f>IF(AND(A2850&lt;&gt;"",ISNUMBER(A2850)),VLOOKUP(A2850,Studies!A:BR,3,FALSE),"")</f>
        <v>https://www.ncbi.nlm.nih.gov/pubmed/17495878</v>
      </c>
      <c r="D2850" s="232" t="str">
        <f>IF(AND(A2850&lt;&gt;"",ISNUMBER(A2850)),VLOOKUP(A2850,Studies!A:BR,4,FALSE),"")</f>
        <v>Control pre-Goldenseal (Perpetrator Placebo)</v>
      </c>
      <c r="E2850" s="206" t="str">
        <f>IF(AND(A2850&lt;&gt;"",ISNUMBER(A2850)),VLOOKUP(A2850,Studies!A:BR,5,FALSE),"")</f>
        <v>Midazolam</v>
      </c>
      <c r="F2850" s="207" t="str">
        <f>IF(AND(A2850&lt;&gt;"",ISNUMBER(A2850)),VLOOKUP(A2850,Studies!A:BR,6,FALSE),"")</f>
        <v>Plasma</v>
      </c>
      <c r="G2850" s="194">
        <v>0.5</v>
      </c>
      <c r="H2850" s="194" t="s">
        <v>60</v>
      </c>
      <c r="I2850" s="187">
        <v>42.067740000000001</v>
      </c>
      <c r="J2850" s="187" t="s">
        <v>1090</v>
      </c>
      <c r="K2850" s="187" t="s">
        <v>116</v>
      </c>
      <c r="L2850" s="195">
        <v>17.825320000000001</v>
      </c>
      <c r="M2850" s="195" t="s">
        <v>1090</v>
      </c>
      <c r="N2850" s="195" t="s">
        <v>117</v>
      </c>
      <c r="O2850" s="199"/>
      <c r="P2850" s="188"/>
      <c r="Q2850" s="174">
        <f>IF(ISNUMBER(VLOOKUP(A2850,NotghiID!A:A,1,FALSE)),1,0)</f>
        <v>1</v>
      </c>
      <c r="R2850" s="183"/>
    </row>
    <row r="2851" spans="1:18" ht="14.25" x14ac:dyDescent="0.2">
      <c r="A2851" s="189">
        <v>224</v>
      </c>
      <c r="B2851" s="232" t="str">
        <f>IF(AND(A2851&lt;&gt;"",ISNUMBER(A2851)),VLOOKUP(A2851,Studies!A:BR,2,FALSE),"")</f>
        <v>Gurley 2008a</v>
      </c>
      <c r="C2851" s="232" t="str">
        <f>IF(AND(A2851&lt;&gt;"",ISNUMBER(A2851)),VLOOKUP(A2851,Studies!A:BR,3,FALSE),"")</f>
        <v>https://www.ncbi.nlm.nih.gov/pubmed/17495878</v>
      </c>
      <c r="D2851" s="232" t="str">
        <f>IF(AND(A2851&lt;&gt;"",ISNUMBER(A2851)),VLOOKUP(A2851,Studies!A:BR,4,FALSE),"")</f>
        <v>Control pre-Goldenseal (Perpetrator Placebo)</v>
      </c>
      <c r="E2851" s="206" t="str">
        <f>IF(AND(A2851&lt;&gt;"",ISNUMBER(A2851)),VLOOKUP(A2851,Studies!A:BR,5,FALSE),"")</f>
        <v>Midazolam</v>
      </c>
      <c r="F2851" s="207" t="str">
        <f>IF(AND(A2851&lt;&gt;"",ISNUMBER(A2851)),VLOOKUP(A2851,Studies!A:BR,6,FALSE),"")</f>
        <v>Plasma</v>
      </c>
      <c r="G2851" s="194">
        <v>0.75</v>
      </c>
      <c r="H2851" s="194" t="s">
        <v>60</v>
      </c>
      <c r="I2851" s="187">
        <v>35.650620000000004</v>
      </c>
      <c r="J2851" s="187" t="s">
        <v>1090</v>
      </c>
      <c r="K2851" s="187" t="s">
        <v>116</v>
      </c>
      <c r="L2851" s="195">
        <v>14.26024</v>
      </c>
      <c r="M2851" s="195" t="s">
        <v>1090</v>
      </c>
      <c r="N2851" s="195" t="s">
        <v>117</v>
      </c>
      <c r="O2851" s="199"/>
      <c r="P2851" s="188"/>
      <c r="Q2851" s="174">
        <f>IF(ISNUMBER(VLOOKUP(A2851,NotghiID!A:A,1,FALSE)),1,0)</f>
        <v>1</v>
      </c>
      <c r="R2851" s="183"/>
    </row>
    <row r="2852" spans="1:18" ht="14.25" x14ac:dyDescent="0.2">
      <c r="A2852" s="189">
        <v>224</v>
      </c>
      <c r="B2852" s="232" t="str">
        <f>IF(AND(A2852&lt;&gt;"",ISNUMBER(A2852)),VLOOKUP(A2852,Studies!A:BR,2,FALSE),"")</f>
        <v>Gurley 2008a</v>
      </c>
      <c r="C2852" s="232" t="str">
        <f>IF(AND(A2852&lt;&gt;"",ISNUMBER(A2852)),VLOOKUP(A2852,Studies!A:BR,3,FALSE),"")</f>
        <v>https://www.ncbi.nlm.nih.gov/pubmed/17495878</v>
      </c>
      <c r="D2852" s="232" t="str">
        <f>IF(AND(A2852&lt;&gt;"",ISNUMBER(A2852)),VLOOKUP(A2852,Studies!A:BR,4,FALSE),"")</f>
        <v>Control pre-Goldenseal (Perpetrator Placebo)</v>
      </c>
      <c r="E2852" s="206" t="str">
        <f>IF(AND(A2852&lt;&gt;"",ISNUMBER(A2852)),VLOOKUP(A2852,Studies!A:BR,5,FALSE),"")</f>
        <v>Midazolam</v>
      </c>
      <c r="F2852" s="207" t="str">
        <f>IF(AND(A2852&lt;&gt;"",ISNUMBER(A2852)),VLOOKUP(A2852,Studies!A:BR,6,FALSE),"")</f>
        <v>Plasma</v>
      </c>
      <c r="G2852" s="194">
        <v>1</v>
      </c>
      <c r="H2852" s="194" t="s">
        <v>60</v>
      </c>
      <c r="I2852" s="187">
        <v>30.124780000000001</v>
      </c>
      <c r="J2852" s="187" t="s">
        <v>1090</v>
      </c>
      <c r="K2852" s="187" t="s">
        <v>116</v>
      </c>
      <c r="L2852" s="195">
        <v>12.121219999999999</v>
      </c>
      <c r="M2852" s="195" t="s">
        <v>1090</v>
      </c>
      <c r="N2852" s="195" t="s">
        <v>117</v>
      </c>
      <c r="O2852" s="199"/>
      <c r="P2852" s="188"/>
      <c r="Q2852" s="174">
        <f>IF(ISNUMBER(VLOOKUP(A2852,NotghiID!A:A,1,FALSE)),1,0)</f>
        <v>1</v>
      </c>
      <c r="R2852" s="183"/>
    </row>
    <row r="2853" spans="1:18" ht="14.25" x14ac:dyDescent="0.2">
      <c r="A2853" s="189">
        <v>224</v>
      </c>
      <c r="B2853" s="232" t="str">
        <f>IF(AND(A2853&lt;&gt;"",ISNUMBER(A2853)),VLOOKUP(A2853,Studies!A:BR,2,FALSE),"")</f>
        <v>Gurley 2008a</v>
      </c>
      <c r="C2853" s="232" t="str">
        <f>IF(AND(A2853&lt;&gt;"",ISNUMBER(A2853)),VLOOKUP(A2853,Studies!A:BR,3,FALSE),"")</f>
        <v>https://www.ncbi.nlm.nih.gov/pubmed/17495878</v>
      </c>
      <c r="D2853" s="232" t="str">
        <f>IF(AND(A2853&lt;&gt;"",ISNUMBER(A2853)),VLOOKUP(A2853,Studies!A:BR,4,FALSE),"")</f>
        <v>Control pre-Goldenseal (Perpetrator Placebo)</v>
      </c>
      <c r="E2853" s="206" t="str">
        <f>IF(AND(A2853&lt;&gt;"",ISNUMBER(A2853)),VLOOKUP(A2853,Studies!A:BR,5,FALSE),"")</f>
        <v>Midazolam</v>
      </c>
      <c r="F2853" s="207" t="str">
        <f>IF(AND(A2853&lt;&gt;"",ISNUMBER(A2853)),VLOOKUP(A2853,Studies!A:BR,6,FALSE),"")</f>
        <v>Plasma</v>
      </c>
      <c r="G2853" s="194">
        <v>1.5</v>
      </c>
      <c r="H2853" s="194" t="s">
        <v>60</v>
      </c>
      <c r="I2853" s="187">
        <v>25.133690000000001</v>
      </c>
      <c r="J2853" s="187" t="s">
        <v>1090</v>
      </c>
      <c r="K2853" s="187" t="s">
        <v>116</v>
      </c>
      <c r="L2853" s="195">
        <v>12.12121</v>
      </c>
      <c r="M2853" s="195" t="s">
        <v>1090</v>
      </c>
      <c r="N2853" s="195" t="s">
        <v>117</v>
      </c>
      <c r="O2853" s="199"/>
      <c r="P2853" s="188"/>
      <c r="Q2853" s="174">
        <f>IF(ISNUMBER(VLOOKUP(A2853,NotghiID!A:A,1,FALSE)),1,0)</f>
        <v>1</v>
      </c>
      <c r="R2853" s="183"/>
    </row>
    <row r="2854" spans="1:18" ht="14.25" x14ac:dyDescent="0.2">
      <c r="A2854" s="189">
        <v>224</v>
      </c>
      <c r="B2854" s="232" t="str">
        <f>IF(AND(A2854&lt;&gt;"",ISNUMBER(A2854)),VLOOKUP(A2854,Studies!A:BR,2,FALSE),"")</f>
        <v>Gurley 2008a</v>
      </c>
      <c r="C2854" s="232" t="str">
        <f>IF(AND(A2854&lt;&gt;"",ISNUMBER(A2854)),VLOOKUP(A2854,Studies!A:BR,3,FALSE),"")</f>
        <v>https://www.ncbi.nlm.nih.gov/pubmed/17495878</v>
      </c>
      <c r="D2854" s="232" t="str">
        <f>IF(AND(A2854&lt;&gt;"",ISNUMBER(A2854)),VLOOKUP(A2854,Studies!A:BR,4,FALSE),"")</f>
        <v>Control pre-Goldenseal (Perpetrator Placebo)</v>
      </c>
      <c r="E2854" s="206" t="str">
        <f>IF(AND(A2854&lt;&gt;"",ISNUMBER(A2854)),VLOOKUP(A2854,Studies!A:BR,5,FALSE),"")</f>
        <v>Midazolam</v>
      </c>
      <c r="F2854" s="207" t="str">
        <f>IF(AND(A2854&lt;&gt;"",ISNUMBER(A2854)),VLOOKUP(A2854,Studies!A:BR,6,FALSE),"")</f>
        <v>Plasma</v>
      </c>
      <c r="G2854" s="194">
        <v>2</v>
      </c>
      <c r="H2854" s="194" t="s">
        <v>60</v>
      </c>
      <c r="I2854" s="187">
        <v>20.855619999999998</v>
      </c>
      <c r="J2854" s="187" t="s">
        <v>1090</v>
      </c>
      <c r="K2854" s="187" t="s">
        <v>116</v>
      </c>
      <c r="L2854" s="195">
        <v>9.9821790000000004</v>
      </c>
      <c r="M2854" s="195" t="s">
        <v>1090</v>
      </c>
      <c r="N2854" s="195" t="s">
        <v>117</v>
      </c>
      <c r="O2854" s="199"/>
      <c r="P2854" s="188"/>
      <c r="Q2854" s="174">
        <f>IF(ISNUMBER(VLOOKUP(A2854,NotghiID!A:A,1,FALSE)),1,0)</f>
        <v>1</v>
      </c>
      <c r="R2854" s="183"/>
    </row>
    <row r="2855" spans="1:18" ht="14.25" x14ac:dyDescent="0.2">
      <c r="A2855" s="189">
        <v>224</v>
      </c>
      <c r="B2855" s="232" t="str">
        <f>IF(AND(A2855&lt;&gt;"",ISNUMBER(A2855)),VLOOKUP(A2855,Studies!A:BR,2,FALSE),"")</f>
        <v>Gurley 2008a</v>
      </c>
      <c r="C2855" s="232" t="str">
        <f>IF(AND(A2855&lt;&gt;"",ISNUMBER(A2855)),VLOOKUP(A2855,Studies!A:BR,3,FALSE),"")</f>
        <v>https://www.ncbi.nlm.nih.gov/pubmed/17495878</v>
      </c>
      <c r="D2855" s="232" t="str">
        <f>IF(AND(A2855&lt;&gt;"",ISNUMBER(A2855)),VLOOKUP(A2855,Studies!A:BR,4,FALSE),"")</f>
        <v>Control pre-Goldenseal (Perpetrator Placebo)</v>
      </c>
      <c r="E2855" s="206" t="str">
        <f>IF(AND(A2855&lt;&gt;"",ISNUMBER(A2855)),VLOOKUP(A2855,Studies!A:BR,5,FALSE),"")</f>
        <v>Midazolam</v>
      </c>
      <c r="F2855" s="207" t="str">
        <f>IF(AND(A2855&lt;&gt;"",ISNUMBER(A2855)),VLOOKUP(A2855,Studies!A:BR,6,FALSE),"")</f>
        <v>Plasma</v>
      </c>
      <c r="G2855" s="194">
        <v>3</v>
      </c>
      <c r="H2855" s="194" t="s">
        <v>60</v>
      </c>
      <c r="I2855" s="187">
        <v>12.12121</v>
      </c>
      <c r="J2855" s="187" t="s">
        <v>1090</v>
      </c>
      <c r="K2855" s="187" t="s">
        <v>116</v>
      </c>
      <c r="L2855" s="195">
        <v>5.7040980000000001</v>
      </c>
      <c r="M2855" s="195" t="s">
        <v>1090</v>
      </c>
      <c r="N2855" s="195" t="s">
        <v>117</v>
      </c>
      <c r="O2855" s="199"/>
      <c r="P2855" s="188"/>
      <c r="Q2855" s="174">
        <f>IF(ISNUMBER(VLOOKUP(A2855,NotghiID!A:A,1,FALSE)),1,0)</f>
        <v>1</v>
      </c>
      <c r="R2855" s="183"/>
    </row>
    <row r="2856" spans="1:18" ht="14.25" x14ac:dyDescent="0.2">
      <c r="A2856" s="189">
        <v>224</v>
      </c>
      <c r="B2856" s="232" t="str">
        <f>IF(AND(A2856&lt;&gt;"",ISNUMBER(A2856)),VLOOKUP(A2856,Studies!A:BR,2,FALSE),"")</f>
        <v>Gurley 2008a</v>
      </c>
      <c r="C2856" s="232" t="str">
        <f>IF(AND(A2856&lt;&gt;"",ISNUMBER(A2856)),VLOOKUP(A2856,Studies!A:BR,3,FALSE),"")</f>
        <v>https://www.ncbi.nlm.nih.gov/pubmed/17495878</v>
      </c>
      <c r="D2856" s="232" t="str">
        <f>IF(AND(A2856&lt;&gt;"",ISNUMBER(A2856)),VLOOKUP(A2856,Studies!A:BR,4,FALSE),"")</f>
        <v>Control pre-Goldenseal (Perpetrator Placebo)</v>
      </c>
      <c r="E2856" s="206" t="str">
        <f>IF(AND(A2856&lt;&gt;"",ISNUMBER(A2856)),VLOOKUP(A2856,Studies!A:BR,5,FALSE),"")</f>
        <v>Midazolam</v>
      </c>
      <c r="F2856" s="207" t="str">
        <f>IF(AND(A2856&lt;&gt;"",ISNUMBER(A2856)),VLOOKUP(A2856,Studies!A:BR,6,FALSE),"")</f>
        <v>Plasma</v>
      </c>
      <c r="G2856" s="194">
        <v>4</v>
      </c>
      <c r="H2856" s="194" t="s">
        <v>60</v>
      </c>
      <c r="I2856" s="187">
        <v>9.2691619999999997</v>
      </c>
      <c r="J2856" s="187" t="s">
        <v>1090</v>
      </c>
      <c r="K2856" s="187" t="s">
        <v>116</v>
      </c>
      <c r="L2856" s="195">
        <v>4.6345809999999998</v>
      </c>
      <c r="M2856" s="195" t="s">
        <v>1090</v>
      </c>
      <c r="N2856" s="195" t="s">
        <v>117</v>
      </c>
      <c r="O2856" s="199"/>
      <c r="P2856" s="188"/>
      <c r="Q2856" s="174">
        <f>IF(ISNUMBER(VLOOKUP(A2856,NotghiID!A:A,1,FALSE)),1,0)</f>
        <v>1</v>
      </c>
      <c r="R2856" s="183"/>
    </row>
    <row r="2857" spans="1:18" ht="14.25" x14ac:dyDescent="0.2">
      <c r="A2857" s="189">
        <v>224</v>
      </c>
      <c r="B2857" s="232" t="str">
        <f>IF(AND(A2857&lt;&gt;"",ISNUMBER(A2857)),VLOOKUP(A2857,Studies!A:BR,2,FALSE),"")</f>
        <v>Gurley 2008a</v>
      </c>
      <c r="C2857" s="232" t="str">
        <f>IF(AND(A2857&lt;&gt;"",ISNUMBER(A2857)),VLOOKUP(A2857,Studies!A:BR,3,FALSE),"")</f>
        <v>https://www.ncbi.nlm.nih.gov/pubmed/17495878</v>
      </c>
      <c r="D2857" s="232" t="str">
        <f>IF(AND(A2857&lt;&gt;"",ISNUMBER(A2857)),VLOOKUP(A2857,Studies!A:BR,4,FALSE),"")</f>
        <v>Control pre-Goldenseal (Perpetrator Placebo)</v>
      </c>
      <c r="E2857" s="206" t="str">
        <f>IF(AND(A2857&lt;&gt;"",ISNUMBER(A2857)),VLOOKUP(A2857,Studies!A:BR,5,FALSE),"")</f>
        <v>Midazolam</v>
      </c>
      <c r="F2857" s="207" t="str">
        <f>IF(AND(A2857&lt;&gt;"",ISNUMBER(A2857)),VLOOKUP(A2857,Studies!A:BR,6,FALSE),"")</f>
        <v>Plasma</v>
      </c>
      <c r="G2857" s="194">
        <v>5</v>
      </c>
      <c r="H2857" s="194" t="s">
        <v>60</v>
      </c>
      <c r="I2857" s="187">
        <v>5.7041000000000004</v>
      </c>
      <c r="J2857" s="187" t="s">
        <v>1090</v>
      </c>
      <c r="K2857" s="187" t="s">
        <v>116</v>
      </c>
      <c r="L2857" s="195">
        <v>2.317291</v>
      </c>
      <c r="M2857" s="195" t="s">
        <v>1090</v>
      </c>
      <c r="N2857" s="195" t="s">
        <v>117</v>
      </c>
      <c r="O2857" s="199"/>
      <c r="P2857" s="188"/>
      <c r="Q2857" s="174">
        <f>IF(ISNUMBER(VLOOKUP(A2857,NotghiID!A:A,1,FALSE)),1,0)</f>
        <v>1</v>
      </c>
      <c r="R2857" s="183"/>
    </row>
    <row r="2858" spans="1:18" ht="14.25" x14ac:dyDescent="0.2">
      <c r="A2858" s="189">
        <v>224</v>
      </c>
      <c r="B2858" s="232" t="str">
        <f>IF(AND(A2858&lt;&gt;"",ISNUMBER(A2858)),VLOOKUP(A2858,Studies!A:BR,2,FALSE),"")</f>
        <v>Gurley 2008a</v>
      </c>
      <c r="C2858" s="232" t="str">
        <f>IF(AND(A2858&lt;&gt;"",ISNUMBER(A2858)),VLOOKUP(A2858,Studies!A:BR,3,FALSE),"")</f>
        <v>https://www.ncbi.nlm.nih.gov/pubmed/17495878</v>
      </c>
      <c r="D2858" s="232" t="str">
        <f>IF(AND(A2858&lt;&gt;"",ISNUMBER(A2858)),VLOOKUP(A2858,Studies!A:BR,4,FALSE),"")</f>
        <v>Control pre-Goldenseal (Perpetrator Placebo)</v>
      </c>
      <c r="E2858" s="206" t="str">
        <f>IF(AND(A2858&lt;&gt;"",ISNUMBER(A2858)),VLOOKUP(A2858,Studies!A:BR,5,FALSE),"")</f>
        <v>Midazolam</v>
      </c>
      <c r="F2858" s="207" t="str">
        <f>IF(AND(A2858&lt;&gt;"",ISNUMBER(A2858)),VLOOKUP(A2858,Studies!A:BR,6,FALSE),"")</f>
        <v>Plasma</v>
      </c>
      <c r="G2858" s="194">
        <v>6</v>
      </c>
      <c r="H2858" s="194" t="s">
        <v>60</v>
      </c>
      <c r="I2858" s="187">
        <v>4.9910870000000003</v>
      </c>
      <c r="J2858" s="187" t="s">
        <v>1090</v>
      </c>
      <c r="K2858" s="187" t="s">
        <v>116</v>
      </c>
      <c r="L2858" s="195">
        <v>2.6737959999999998</v>
      </c>
      <c r="M2858" s="195" t="s">
        <v>1090</v>
      </c>
      <c r="N2858" s="195" t="s">
        <v>117</v>
      </c>
      <c r="O2858" s="199"/>
      <c r="P2858" s="188"/>
      <c r="Q2858" s="174">
        <f>IF(ISNUMBER(VLOOKUP(A2858,NotghiID!A:A,1,FALSE)),1,0)</f>
        <v>1</v>
      </c>
      <c r="R2858" s="183"/>
    </row>
    <row r="2859" spans="1:18" ht="14.25" x14ac:dyDescent="0.2">
      <c r="A2859" s="189">
        <v>225</v>
      </c>
      <c r="B2859" s="232" t="str">
        <f>IF(AND(A2859&lt;&gt;"",ISNUMBER(A2859)),VLOOKUP(A2859,Studies!A:BR,2,FALSE),"")</f>
        <v>Gurley 2008a</v>
      </c>
      <c r="C2859" s="232" t="str">
        <f>IF(AND(A2859&lt;&gt;"",ISNUMBER(A2859)),VLOOKUP(A2859,Studies!A:BR,3,FALSE),"")</f>
        <v>https://www.ncbi.nlm.nih.gov/pubmed/17495878</v>
      </c>
      <c r="D2859" s="232" t="str">
        <f>IF(AND(A2859&lt;&gt;"",ISNUMBER(A2859)),VLOOKUP(A2859,Studies!A:BR,4,FALSE),"")</f>
        <v>Control pre-Kava kava (Perpetrator Placebo)</v>
      </c>
      <c r="E2859" s="206" t="str">
        <f>IF(AND(A2859&lt;&gt;"",ISNUMBER(A2859)),VLOOKUP(A2859,Studies!A:BR,5,FALSE),"")</f>
        <v>Midazolam</v>
      </c>
      <c r="F2859" s="207" t="str">
        <f>IF(AND(A2859&lt;&gt;"",ISNUMBER(A2859)),VLOOKUP(A2859,Studies!A:BR,6,FALSE),"")</f>
        <v>Plasma</v>
      </c>
      <c r="G2859" s="194">
        <v>0</v>
      </c>
      <c r="H2859" s="194" t="s">
        <v>60</v>
      </c>
      <c r="I2859" s="187">
        <v>0</v>
      </c>
      <c r="J2859" s="187" t="s">
        <v>1090</v>
      </c>
      <c r="K2859" s="187" t="s">
        <v>116</v>
      </c>
      <c r="L2859" s="145"/>
      <c r="M2859" s="145"/>
      <c r="N2859" s="145"/>
      <c r="O2859" s="199"/>
      <c r="P2859" s="188"/>
      <c r="Q2859" s="174">
        <f>IF(ISNUMBER(VLOOKUP(A2859,NotghiID!A:A,1,FALSE)),1,0)</f>
        <v>1</v>
      </c>
      <c r="R2859" s="183"/>
    </row>
    <row r="2860" spans="1:18" ht="14.25" x14ac:dyDescent="0.2">
      <c r="A2860" s="189">
        <v>225</v>
      </c>
      <c r="B2860" s="232" t="str">
        <f>IF(AND(A2860&lt;&gt;"",ISNUMBER(A2860)),VLOOKUP(A2860,Studies!A:BR,2,FALSE),"")</f>
        <v>Gurley 2008a</v>
      </c>
      <c r="C2860" s="232" t="str">
        <f>IF(AND(A2860&lt;&gt;"",ISNUMBER(A2860)),VLOOKUP(A2860,Studies!A:BR,3,FALSE),"")</f>
        <v>https://www.ncbi.nlm.nih.gov/pubmed/17495878</v>
      </c>
      <c r="D2860" s="232" t="str">
        <f>IF(AND(A2860&lt;&gt;"",ISNUMBER(A2860)),VLOOKUP(A2860,Studies!A:BR,4,FALSE),"")</f>
        <v>Control pre-Kava kava (Perpetrator Placebo)</v>
      </c>
      <c r="E2860" s="206" t="str">
        <f>IF(AND(A2860&lt;&gt;"",ISNUMBER(A2860)),VLOOKUP(A2860,Studies!A:BR,5,FALSE),"")</f>
        <v>Midazolam</v>
      </c>
      <c r="F2860" s="207" t="str">
        <f>IF(AND(A2860&lt;&gt;"",ISNUMBER(A2860)),VLOOKUP(A2860,Studies!A:BR,6,FALSE),"")</f>
        <v>Plasma</v>
      </c>
      <c r="G2860" s="194">
        <v>0.25</v>
      </c>
      <c r="H2860" s="194" t="s">
        <v>60</v>
      </c>
      <c r="I2860" s="187">
        <v>35.346359999999997</v>
      </c>
      <c r="J2860" s="187" t="s">
        <v>1090</v>
      </c>
      <c r="K2860" s="187" t="s">
        <v>116</v>
      </c>
      <c r="L2860" s="195">
        <v>17.761990000000001</v>
      </c>
      <c r="M2860" s="195" t="s">
        <v>1090</v>
      </c>
      <c r="N2860" s="195" t="s">
        <v>117</v>
      </c>
      <c r="O2860" s="199"/>
      <c r="P2860" s="188"/>
      <c r="Q2860" s="174">
        <f>IF(ISNUMBER(VLOOKUP(A2860,NotghiID!A:A,1,FALSE)),1,0)</f>
        <v>1</v>
      </c>
      <c r="R2860" s="183"/>
    </row>
    <row r="2861" spans="1:18" ht="14.25" x14ac:dyDescent="0.2">
      <c r="A2861" s="189">
        <v>225</v>
      </c>
      <c r="B2861" s="232" t="str">
        <f>IF(AND(A2861&lt;&gt;"",ISNUMBER(A2861)),VLOOKUP(A2861,Studies!A:BR,2,FALSE),"")</f>
        <v>Gurley 2008a</v>
      </c>
      <c r="C2861" s="232" t="str">
        <f>IF(AND(A2861&lt;&gt;"",ISNUMBER(A2861)),VLOOKUP(A2861,Studies!A:BR,3,FALSE),"")</f>
        <v>https://www.ncbi.nlm.nih.gov/pubmed/17495878</v>
      </c>
      <c r="D2861" s="232" t="str">
        <f>IF(AND(A2861&lt;&gt;"",ISNUMBER(A2861)),VLOOKUP(A2861,Studies!A:BR,4,FALSE),"")</f>
        <v>Control pre-Kava kava (Perpetrator Placebo)</v>
      </c>
      <c r="E2861" s="206" t="str">
        <f>IF(AND(A2861&lt;&gt;"",ISNUMBER(A2861)),VLOOKUP(A2861,Studies!A:BR,5,FALSE),"")</f>
        <v>Midazolam</v>
      </c>
      <c r="F2861" s="207" t="str">
        <f>IF(AND(A2861&lt;&gt;"",ISNUMBER(A2861)),VLOOKUP(A2861,Studies!A:BR,6,FALSE),"")</f>
        <v>Plasma</v>
      </c>
      <c r="G2861" s="194">
        <v>0.5</v>
      </c>
      <c r="H2861" s="194" t="s">
        <v>60</v>
      </c>
      <c r="I2861" s="187">
        <v>32.68206</v>
      </c>
      <c r="J2861" s="187" t="s">
        <v>1090</v>
      </c>
      <c r="K2861" s="187" t="s">
        <v>116</v>
      </c>
      <c r="L2861" s="195">
        <v>12.96625</v>
      </c>
      <c r="M2861" s="195" t="s">
        <v>1090</v>
      </c>
      <c r="N2861" s="195" t="s">
        <v>117</v>
      </c>
      <c r="O2861" s="199"/>
      <c r="P2861" s="188"/>
      <c r="Q2861" s="174">
        <f>IF(ISNUMBER(VLOOKUP(A2861,NotghiID!A:A,1,FALSE)),1,0)</f>
        <v>1</v>
      </c>
      <c r="R2861" s="183"/>
    </row>
    <row r="2862" spans="1:18" ht="14.25" x14ac:dyDescent="0.2">
      <c r="A2862" s="189">
        <v>225</v>
      </c>
      <c r="B2862" s="232" t="str">
        <f>IF(AND(A2862&lt;&gt;"",ISNUMBER(A2862)),VLOOKUP(A2862,Studies!A:BR,2,FALSE),"")</f>
        <v>Gurley 2008a</v>
      </c>
      <c r="C2862" s="232" t="str">
        <f>IF(AND(A2862&lt;&gt;"",ISNUMBER(A2862)),VLOOKUP(A2862,Studies!A:BR,3,FALSE),"")</f>
        <v>https://www.ncbi.nlm.nih.gov/pubmed/17495878</v>
      </c>
      <c r="D2862" s="232" t="str">
        <f>IF(AND(A2862&lt;&gt;"",ISNUMBER(A2862)),VLOOKUP(A2862,Studies!A:BR,4,FALSE),"")</f>
        <v>Control pre-Kava kava (Perpetrator Placebo)</v>
      </c>
      <c r="E2862" s="206" t="str">
        <f>IF(AND(A2862&lt;&gt;"",ISNUMBER(A2862)),VLOOKUP(A2862,Studies!A:BR,5,FALSE),"")</f>
        <v>Midazolam</v>
      </c>
      <c r="F2862" s="207" t="str">
        <f>IF(AND(A2862&lt;&gt;"",ISNUMBER(A2862)),VLOOKUP(A2862,Studies!A:BR,6,FALSE),"")</f>
        <v>Plasma</v>
      </c>
      <c r="G2862" s="194">
        <v>0.75</v>
      </c>
      <c r="H2862" s="194" t="s">
        <v>60</v>
      </c>
      <c r="I2862" s="187">
        <v>31.971579999999999</v>
      </c>
      <c r="J2862" s="187" t="s">
        <v>1090</v>
      </c>
      <c r="K2862" s="187" t="s">
        <v>116</v>
      </c>
      <c r="L2862" s="195">
        <v>11.54529</v>
      </c>
      <c r="M2862" s="195" t="s">
        <v>1090</v>
      </c>
      <c r="N2862" s="195" t="s">
        <v>117</v>
      </c>
      <c r="O2862" s="199"/>
      <c r="P2862" s="188"/>
      <c r="Q2862" s="174">
        <f>IF(ISNUMBER(VLOOKUP(A2862,NotghiID!A:A,1,FALSE)),1,0)</f>
        <v>1</v>
      </c>
      <c r="R2862" s="183"/>
    </row>
    <row r="2863" spans="1:18" ht="14.25" x14ac:dyDescent="0.2">
      <c r="A2863" s="189">
        <v>225</v>
      </c>
      <c r="B2863" s="232" t="str">
        <f>IF(AND(A2863&lt;&gt;"",ISNUMBER(A2863)),VLOOKUP(A2863,Studies!A:BR,2,FALSE),"")</f>
        <v>Gurley 2008a</v>
      </c>
      <c r="C2863" s="232" t="str">
        <f>IF(AND(A2863&lt;&gt;"",ISNUMBER(A2863)),VLOOKUP(A2863,Studies!A:BR,3,FALSE),"")</f>
        <v>https://www.ncbi.nlm.nih.gov/pubmed/17495878</v>
      </c>
      <c r="D2863" s="232" t="str">
        <f>IF(AND(A2863&lt;&gt;"",ISNUMBER(A2863)),VLOOKUP(A2863,Studies!A:BR,4,FALSE),"")</f>
        <v>Control pre-Kava kava (Perpetrator Placebo)</v>
      </c>
      <c r="E2863" s="206" t="str">
        <f>IF(AND(A2863&lt;&gt;"",ISNUMBER(A2863)),VLOOKUP(A2863,Studies!A:BR,5,FALSE),"")</f>
        <v>Midazolam</v>
      </c>
      <c r="F2863" s="207" t="str">
        <f>IF(AND(A2863&lt;&gt;"",ISNUMBER(A2863)),VLOOKUP(A2863,Studies!A:BR,6,FALSE),"")</f>
        <v>Plasma</v>
      </c>
      <c r="G2863" s="194">
        <v>1</v>
      </c>
      <c r="H2863" s="194" t="s">
        <v>60</v>
      </c>
      <c r="I2863" s="187">
        <v>28.419180000000001</v>
      </c>
      <c r="J2863" s="187" t="s">
        <v>1090</v>
      </c>
      <c r="K2863" s="187" t="s">
        <v>116</v>
      </c>
      <c r="L2863" s="195">
        <v>11.545299999999999</v>
      </c>
      <c r="M2863" s="195" t="s">
        <v>1090</v>
      </c>
      <c r="N2863" s="195" t="s">
        <v>117</v>
      </c>
      <c r="O2863" s="199"/>
      <c r="P2863" s="188"/>
      <c r="Q2863" s="174">
        <f>IF(ISNUMBER(VLOOKUP(A2863,NotghiID!A:A,1,FALSE)),1,0)</f>
        <v>1</v>
      </c>
      <c r="R2863" s="183"/>
    </row>
    <row r="2864" spans="1:18" ht="14.25" x14ac:dyDescent="0.2">
      <c r="A2864" s="189">
        <v>225</v>
      </c>
      <c r="B2864" s="232" t="str">
        <f>IF(AND(A2864&lt;&gt;"",ISNUMBER(A2864)),VLOOKUP(A2864,Studies!A:BR,2,FALSE),"")</f>
        <v>Gurley 2008a</v>
      </c>
      <c r="C2864" s="232" t="str">
        <f>IF(AND(A2864&lt;&gt;"",ISNUMBER(A2864)),VLOOKUP(A2864,Studies!A:BR,3,FALSE),"")</f>
        <v>https://www.ncbi.nlm.nih.gov/pubmed/17495878</v>
      </c>
      <c r="D2864" s="232" t="str">
        <f>IF(AND(A2864&lt;&gt;"",ISNUMBER(A2864)),VLOOKUP(A2864,Studies!A:BR,4,FALSE),"")</f>
        <v>Control pre-Kava kava (Perpetrator Placebo)</v>
      </c>
      <c r="E2864" s="206" t="str">
        <f>IF(AND(A2864&lt;&gt;"",ISNUMBER(A2864)),VLOOKUP(A2864,Studies!A:BR,5,FALSE),"")</f>
        <v>Midazolam</v>
      </c>
      <c r="F2864" s="207" t="str">
        <f>IF(AND(A2864&lt;&gt;"",ISNUMBER(A2864)),VLOOKUP(A2864,Studies!A:BR,6,FALSE),"")</f>
        <v>Plasma</v>
      </c>
      <c r="G2864" s="194">
        <v>1.5</v>
      </c>
      <c r="H2864" s="194" t="s">
        <v>60</v>
      </c>
      <c r="I2864" s="187">
        <v>25.75488</v>
      </c>
      <c r="J2864" s="187" t="s">
        <v>1090</v>
      </c>
      <c r="K2864" s="187" t="s">
        <v>116</v>
      </c>
      <c r="L2864" s="195">
        <v>7.4600390000000001</v>
      </c>
      <c r="M2864" s="195" t="s">
        <v>1090</v>
      </c>
      <c r="N2864" s="195" t="s">
        <v>117</v>
      </c>
      <c r="O2864" s="199"/>
      <c r="P2864" s="188"/>
      <c r="Q2864" s="174">
        <f>IF(ISNUMBER(VLOOKUP(A2864,NotghiID!A:A,1,FALSE)),1,0)</f>
        <v>1</v>
      </c>
      <c r="R2864" s="183"/>
    </row>
    <row r="2865" spans="1:18" ht="14.25" x14ac:dyDescent="0.2">
      <c r="A2865" s="189">
        <v>225</v>
      </c>
      <c r="B2865" s="232" t="str">
        <f>IF(AND(A2865&lt;&gt;"",ISNUMBER(A2865)),VLOOKUP(A2865,Studies!A:BR,2,FALSE),"")</f>
        <v>Gurley 2008a</v>
      </c>
      <c r="C2865" s="232" t="str">
        <f>IF(AND(A2865&lt;&gt;"",ISNUMBER(A2865)),VLOOKUP(A2865,Studies!A:BR,3,FALSE),"")</f>
        <v>https://www.ncbi.nlm.nih.gov/pubmed/17495878</v>
      </c>
      <c r="D2865" s="232" t="str">
        <f>IF(AND(A2865&lt;&gt;"",ISNUMBER(A2865)),VLOOKUP(A2865,Studies!A:BR,4,FALSE),"")</f>
        <v>Control pre-Kava kava (Perpetrator Placebo)</v>
      </c>
      <c r="E2865" s="206" t="str">
        <f>IF(AND(A2865&lt;&gt;"",ISNUMBER(A2865)),VLOOKUP(A2865,Studies!A:BR,5,FALSE),"")</f>
        <v>Midazolam</v>
      </c>
      <c r="F2865" s="207" t="str">
        <f>IF(AND(A2865&lt;&gt;"",ISNUMBER(A2865)),VLOOKUP(A2865,Studies!A:BR,6,FALSE),"")</f>
        <v>Plasma</v>
      </c>
      <c r="G2865" s="194">
        <v>2</v>
      </c>
      <c r="H2865" s="194" t="s">
        <v>60</v>
      </c>
      <c r="I2865" s="187">
        <v>20.959150000000001</v>
      </c>
      <c r="J2865" s="187" t="s">
        <v>1090</v>
      </c>
      <c r="K2865" s="187" t="s">
        <v>116</v>
      </c>
      <c r="L2865" s="195">
        <v>7.9928929999999996</v>
      </c>
      <c r="M2865" s="195" t="s">
        <v>1090</v>
      </c>
      <c r="N2865" s="195" t="s">
        <v>117</v>
      </c>
      <c r="O2865" s="199"/>
      <c r="P2865" s="188"/>
      <c r="Q2865" s="174">
        <f>IF(ISNUMBER(VLOOKUP(A2865,NotghiID!A:A,1,FALSE)),1,0)</f>
        <v>1</v>
      </c>
      <c r="R2865" s="183"/>
    </row>
    <row r="2866" spans="1:18" ht="14.25" x14ac:dyDescent="0.2">
      <c r="A2866" s="189">
        <v>225</v>
      </c>
      <c r="B2866" s="232" t="str">
        <f>IF(AND(A2866&lt;&gt;"",ISNUMBER(A2866)),VLOOKUP(A2866,Studies!A:BR,2,FALSE),"")</f>
        <v>Gurley 2008a</v>
      </c>
      <c r="C2866" s="232" t="str">
        <f>IF(AND(A2866&lt;&gt;"",ISNUMBER(A2866)),VLOOKUP(A2866,Studies!A:BR,3,FALSE),"")</f>
        <v>https://www.ncbi.nlm.nih.gov/pubmed/17495878</v>
      </c>
      <c r="D2866" s="232" t="str">
        <f>IF(AND(A2866&lt;&gt;"",ISNUMBER(A2866)),VLOOKUP(A2866,Studies!A:BR,4,FALSE),"")</f>
        <v>Control pre-Kava kava (Perpetrator Placebo)</v>
      </c>
      <c r="E2866" s="206" t="str">
        <f>IF(AND(A2866&lt;&gt;"",ISNUMBER(A2866)),VLOOKUP(A2866,Studies!A:BR,5,FALSE),"")</f>
        <v>Midazolam</v>
      </c>
      <c r="F2866" s="207" t="str">
        <f>IF(AND(A2866&lt;&gt;"",ISNUMBER(A2866)),VLOOKUP(A2866,Studies!A:BR,6,FALSE),"")</f>
        <v>Plasma</v>
      </c>
      <c r="G2866" s="194">
        <v>3</v>
      </c>
      <c r="H2866" s="194" t="s">
        <v>60</v>
      </c>
      <c r="I2866" s="187">
        <v>13.85435</v>
      </c>
      <c r="J2866" s="187" t="s">
        <v>1090</v>
      </c>
      <c r="K2866" s="187" t="s">
        <v>116</v>
      </c>
      <c r="L2866" s="195">
        <v>4.7957390000000002</v>
      </c>
      <c r="M2866" s="195" t="s">
        <v>1090</v>
      </c>
      <c r="N2866" s="195" t="s">
        <v>117</v>
      </c>
      <c r="O2866" s="199"/>
      <c r="P2866" s="188"/>
      <c r="Q2866" s="174">
        <f>IF(ISNUMBER(VLOOKUP(A2866,NotghiID!A:A,1,FALSE)),1,0)</f>
        <v>1</v>
      </c>
      <c r="R2866" s="183"/>
    </row>
    <row r="2867" spans="1:18" ht="14.25" x14ac:dyDescent="0.2">
      <c r="A2867" s="189">
        <v>225</v>
      </c>
      <c r="B2867" s="232" t="str">
        <f>IF(AND(A2867&lt;&gt;"",ISNUMBER(A2867)),VLOOKUP(A2867,Studies!A:BR,2,FALSE),"")</f>
        <v>Gurley 2008a</v>
      </c>
      <c r="C2867" s="232" t="str">
        <f>IF(AND(A2867&lt;&gt;"",ISNUMBER(A2867)),VLOOKUP(A2867,Studies!A:BR,3,FALSE),"")</f>
        <v>https://www.ncbi.nlm.nih.gov/pubmed/17495878</v>
      </c>
      <c r="D2867" s="232" t="str">
        <f>IF(AND(A2867&lt;&gt;"",ISNUMBER(A2867)),VLOOKUP(A2867,Studies!A:BR,4,FALSE),"")</f>
        <v>Control pre-Kava kava (Perpetrator Placebo)</v>
      </c>
      <c r="E2867" s="206" t="str">
        <f>IF(AND(A2867&lt;&gt;"",ISNUMBER(A2867)),VLOOKUP(A2867,Studies!A:BR,5,FALSE),"")</f>
        <v>Midazolam</v>
      </c>
      <c r="F2867" s="207" t="str">
        <f>IF(AND(A2867&lt;&gt;"",ISNUMBER(A2867)),VLOOKUP(A2867,Studies!A:BR,6,FALSE),"")</f>
        <v>Plasma</v>
      </c>
      <c r="G2867" s="194">
        <v>4</v>
      </c>
      <c r="H2867" s="194" t="s">
        <v>60</v>
      </c>
      <c r="I2867" s="187">
        <v>8.5257550000000002</v>
      </c>
      <c r="J2867" s="187" t="s">
        <v>1090</v>
      </c>
      <c r="K2867" s="187" t="s">
        <v>116</v>
      </c>
      <c r="L2867" s="195">
        <v>4.4404969999999997</v>
      </c>
      <c r="M2867" s="195" t="s">
        <v>1090</v>
      </c>
      <c r="N2867" s="195" t="s">
        <v>117</v>
      </c>
      <c r="O2867" s="199"/>
      <c r="P2867" s="188"/>
      <c r="Q2867" s="174">
        <f>IF(ISNUMBER(VLOOKUP(A2867,NotghiID!A:A,1,FALSE)),1,0)</f>
        <v>1</v>
      </c>
      <c r="R2867" s="183"/>
    </row>
    <row r="2868" spans="1:18" ht="14.25" x14ac:dyDescent="0.2">
      <c r="A2868" s="189">
        <v>225</v>
      </c>
      <c r="B2868" s="232" t="str">
        <f>IF(AND(A2868&lt;&gt;"",ISNUMBER(A2868)),VLOOKUP(A2868,Studies!A:BR,2,FALSE),"")</f>
        <v>Gurley 2008a</v>
      </c>
      <c r="C2868" s="232" t="str">
        <f>IF(AND(A2868&lt;&gt;"",ISNUMBER(A2868)),VLOOKUP(A2868,Studies!A:BR,3,FALSE),"")</f>
        <v>https://www.ncbi.nlm.nih.gov/pubmed/17495878</v>
      </c>
      <c r="D2868" s="232" t="str">
        <f>IF(AND(A2868&lt;&gt;"",ISNUMBER(A2868)),VLOOKUP(A2868,Studies!A:BR,4,FALSE),"")</f>
        <v>Control pre-Kava kava (Perpetrator Placebo)</v>
      </c>
      <c r="E2868" s="206" t="str">
        <f>IF(AND(A2868&lt;&gt;"",ISNUMBER(A2868)),VLOOKUP(A2868,Studies!A:BR,5,FALSE),"")</f>
        <v>Midazolam</v>
      </c>
      <c r="F2868" s="207" t="str">
        <f>IF(AND(A2868&lt;&gt;"",ISNUMBER(A2868)),VLOOKUP(A2868,Studies!A:BR,6,FALSE),"")</f>
        <v>Plasma</v>
      </c>
      <c r="G2868" s="194">
        <v>5</v>
      </c>
      <c r="H2868" s="194" t="s">
        <v>60</v>
      </c>
      <c r="I2868" s="187">
        <v>6.0390759999999997</v>
      </c>
      <c r="J2868" s="187" t="s">
        <v>1090</v>
      </c>
      <c r="K2868" s="187" t="s">
        <v>116</v>
      </c>
      <c r="L2868" s="195">
        <v>2.309059</v>
      </c>
      <c r="M2868" s="195" t="s">
        <v>1090</v>
      </c>
      <c r="N2868" s="195" t="s">
        <v>117</v>
      </c>
      <c r="O2868" s="199"/>
      <c r="P2868" s="188"/>
      <c r="Q2868" s="174">
        <f>IF(ISNUMBER(VLOOKUP(A2868,NotghiID!A:A,1,FALSE)),1,0)</f>
        <v>1</v>
      </c>
      <c r="R2868" s="183"/>
    </row>
    <row r="2869" spans="1:18" ht="14.25" x14ac:dyDescent="0.2">
      <c r="A2869" s="189">
        <v>225</v>
      </c>
      <c r="B2869" s="232" t="str">
        <f>IF(AND(A2869&lt;&gt;"",ISNUMBER(A2869)),VLOOKUP(A2869,Studies!A:BR,2,FALSE),"")</f>
        <v>Gurley 2008a</v>
      </c>
      <c r="C2869" s="232" t="str">
        <f>IF(AND(A2869&lt;&gt;"",ISNUMBER(A2869)),VLOOKUP(A2869,Studies!A:BR,3,FALSE),"")</f>
        <v>https://www.ncbi.nlm.nih.gov/pubmed/17495878</v>
      </c>
      <c r="D2869" s="232" t="str">
        <f>IF(AND(A2869&lt;&gt;"",ISNUMBER(A2869)),VLOOKUP(A2869,Studies!A:BR,4,FALSE),"")</f>
        <v>Control pre-Kava kava (Perpetrator Placebo)</v>
      </c>
      <c r="E2869" s="206" t="str">
        <f>IF(AND(A2869&lt;&gt;"",ISNUMBER(A2869)),VLOOKUP(A2869,Studies!A:BR,5,FALSE),"")</f>
        <v>Midazolam</v>
      </c>
      <c r="F2869" s="207" t="str">
        <f>IF(AND(A2869&lt;&gt;"",ISNUMBER(A2869)),VLOOKUP(A2869,Studies!A:BR,6,FALSE),"")</f>
        <v>Plasma</v>
      </c>
      <c r="G2869" s="194">
        <v>6</v>
      </c>
      <c r="H2869" s="194" t="s">
        <v>60</v>
      </c>
      <c r="I2869" s="187">
        <v>4.7957369999999999</v>
      </c>
      <c r="J2869" s="187" t="s">
        <v>1090</v>
      </c>
      <c r="K2869" s="187" t="s">
        <v>116</v>
      </c>
      <c r="L2869" s="195">
        <v>2.8419180000000002</v>
      </c>
      <c r="M2869" s="195" t="s">
        <v>1090</v>
      </c>
      <c r="N2869" s="195" t="s">
        <v>117</v>
      </c>
      <c r="O2869" s="199"/>
      <c r="P2869" s="188"/>
      <c r="Q2869" s="174">
        <f>IF(ISNUMBER(VLOOKUP(A2869,NotghiID!A:A,1,FALSE)),1,0)</f>
        <v>1</v>
      </c>
      <c r="R2869" s="183"/>
    </row>
    <row r="2870" spans="1:18" ht="14.25" x14ac:dyDescent="0.2">
      <c r="A2870" s="189">
        <v>226</v>
      </c>
      <c r="B2870" s="232" t="str">
        <f>IF(AND(A2870&lt;&gt;"",ISNUMBER(A2870)),VLOOKUP(A2870,Studies!A:BR,2,FALSE),"")</f>
        <v>Gurley 2008b</v>
      </c>
      <c r="C2870" s="232" t="str">
        <f>IF(AND(A2870&lt;&gt;"",ISNUMBER(A2870)),VLOOKUP(A2870,Studies!A:BR,3,FALSE),"")</f>
        <v>https://www.ncbi.nlm.nih.gov/pubmed/18214850</v>
      </c>
      <c r="D2870" s="232" t="str">
        <f>IF(AND(A2870&lt;&gt;"",ISNUMBER(A2870)),VLOOKUP(A2870,Studies!A:BR,4,FALSE),"")</f>
        <v>Control (Perpetrator Placebo)</v>
      </c>
      <c r="E2870" s="206" t="str">
        <f>IF(AND(A2870&lt;&gt;"",ISNUMBER(A2870)),VLOOKUP(A2870,Studies!A:BR,5,FALSE),"")</f>
        <v>Digoxin</v>
      </c>
      <c r="F2870" s="207" t="str">
        <f>IF(AND(A2870&lt;&gt;"",ISNUMBER(A2870)),VLOOKUP(A2870,Studies!A:BR,6,FALSE),"")</f>
        <v>Serum</v>
      </c>
      <c r="G2870" s="194">
        <v>0</v>
      </c>
      <c r="H2870" s="194" t="s">
        <v>60</v>
      </c>
      <c r="I2870" s="187" t="s">
        <v>1127</v>
      </c>
      <c r="J2870" s="187" t="s">
        <v>1026</v>
      </c>
      <c r="K2870" s="187" t="s">
        <v>116</v>
      </c>
      <c r="L2870" s="195"/>
      <c r="M2870" s="195"/>
      <c r="N2870" s="195"/>
      <c r="O2870" s="199">
        <v>0.1</v>
      </c>
      <c r="P2870" s="188"/>
      <c r="Q2870" s="174">
        <f>IF(ISNUMBER(VLOOKUP(A2870,NotghiID!A:A,1,FALSE)),1,0)</f>
        <v>1</v>
      </c>
      <c r="R2870" s="183"/>
    </row>
    <row r="2871" spans="1:18" ht="14.25" x14ac:dyDescent="0.2">
      <c r="A2871" s="189">
        <v>226</v>
      </c>
      <c r="B2871" s="232" t="str">
        <f>IF(AND(A2871&lt;&gt;"",ISNUMBER(A2871)),VLOOKUP(A2871,Studies!A:BR,2,FALSE),"")</f>
        <v>Gurley 2008b</v>
      </c>
      <c r="C2871" s="232" t="str">
        <f>IF(AND(A2871&lt;&gt;"",ISNUMBER(A2871)),VLOOKUP(A2871,Studies!A:BR,3,FALSE),"")</f>
        <v>https://www.ncbi.nlm.nih.gov/pubmed/18214850</v>
      </c>
      <c r="D2871" s="232" t="str">
        <f>IF(AND(A2871&lt;&gt;"",ISNUMBER(A2871)),VLOOKUP(A2871,Studies!A:BR,4,FALSE),"")</f>
        <v>Control (Perpetrator Placebo)</v>
      </c>
      <c r="E2871" s="206" t="str">
        <f>IF(AND(A2871&lt;&gt;"",ISNUMBER(A2871)),VLOOKUP(A2871,Studies!A:BR,5,FALSE),"")</f>
        <v>Digoxin</v>
      </c>
      <c r="F2871" s="207" t="str">
        <f>IF(AND(A2871&lt;&gt;"",ISNUMBER(A2871)),VLOOKUP(A2871,Studies!A:BR,6,FALSE),"")</f>
        <v>Serum</v>
      </c>
      <c r="G2871" s="194">
        <v>0.33</v>
      </c>
      <c r="H2871" s="194" t="s">
        <v>60</v>
      </c>
      <c r="I2871" s="187">
        <v>0.18545449999999999</v>
      </c>
      <c r="J2871" s="187" t="s">
        <v>1026</v>
      </c>
      <c r="K2871" s="187" t="s">
        <v>116</v>
      </c>
      <c r="L2871" s="195">
        <v>0.1054546</v>
      </c>
      <c r="M2871" s="195" t="s">
        <v>1026</v>
      </c>
      <c r="N2871" s="195" t="s">
        <v>117</v>
      </c>
      <c r="O2871" s="199">
        <v>0.1</v>
      </c>
      <c r="P2871" s="188"/>
      <c r="Q2871" s="174">
        <f>IF(ISNUMBER(VLOOKUP(A2871,NotghiID!A:A,1,FALSE)),1,0)</f>
        <v>1</v>
      </c>
      <c r="R2871" s="183"/>
    </row>
    <row r="2872" spans="1:18" ht="14.25" x14ac:dyDescent="0.2">
      <c r="A2872" s="189">
        <v>226</v>
      </c>
      <c r="B2872" s="232" t="str">
        <f>IF(AND(A2872&lt;&gt;"",ISNUMBER(A2872)),VLOOKUP(A2872,Studies!A:BR,2,FALSE),"")</f>
        <v>Gurley 2008b</v>
      </c>
      <c r="C2872" s="232" t="str">
        <f>IF(AND(A2872&lt;&gt;"",ISNUMBER(A2872)),VLOOKUP(A2872,Studies!A:BR,3,FALSE),"")</f>
        <v>https://www.ncbi.nlm.nih.gov/pubmed/18214850</v>
      </c>
      <c r="D2872" s="232" t="str">
        <f>IF(AND(A2872&lt;&gt;"",ISNUMBER(A2872)),VLOOKUP(A2872,Studies!A:BR,4,FALSE),"")</f>
        <v>Control (Perpetrator Placebo)</v>
      </c>
      <c r="E2872" s="206" t="str">
        <f>IF(AND(A2872&lt;&gt;"",ISNUMBER(A2872)),VLOOKUP(A2872,Studies!A:BR,5,FALSE),"")</f>
        <v>Digoxin</v>
      </c>
      <c r="F2872" s="207" t="str">
        <f>IF(AND(A2872&lt;&gt;"",ISNUMBER(A2872)),VLOOKUP(A2872,Studies!A:BR,6,FALSE),"")</f>
        <v>Serum</v>
      </c>
      <c r="G2872" s="194">
        <v>0.67</v>
      </c>
      <c r="H2872" s="194" t="s">
        <v>60</v>
      </c>
      <c r="I2872" s="187">
        <v>0.76</v>
      </c>
      <c r="J2872" s="187" t="s">
        <v>1026</v>
      </c>
      <c r="K2872" s="187" t="s">
        <v>116</v>
      </c>
      <c r="L2872" s="195">
        <v>0.37818180000000001</v>
      </c>
      <c r="M2872" s="195" t="s">
        <v>1026</v>
      </c>
      <c r="N2872" s="195" t="s">
        <v>117</v>
      </c>
      <c r="O2872" s="199">
        <v>0.1</v>
      </c>
      <c r="P2872" s="188"/>
      <c r="Q2872" s="174">
        <f>IF(ISNUMBER(VLOOKUP(A2872,NotghiID!A:A,1,FALSE)),1,0)</f>
        <v>1</v>
      </c>
      <c r="R2872" s="183"/>
    </row>
    <row r="2873" spans="1:18" ht="14.25" x14ac:dyDescent="0.2">
      <c r="A2873" s="189">
        <v>226</v>
      </c>
      <c r="B2873" s="232" t="str">
        <f>IF(AND(A2873&lt;&gt;"",ISNUMBER(A2873)),VLOOKUP(A2873,Studies!A:BR,2,FALSE),"")</f>
        <v>Gurley 2008b</v>
      </c>
      <c r="C2873" s="232" t="str">
        <f>IF(AND(A2873&lt;&gt;"",ISNUMBER(A2873)),VLOOKUP(A2873,Studies!A:BR,3,FALSE),"")</f>
        <v>https://www.ncbi.nlm.nih.gov/pubmed/18214850</v>
      </c>
      <c r="D2873" s="232" t="str">
        <f>IF(AND(A2873&lt;&gt;"",ISNUMBER(A2873)),VLOOKUP(A2873,Studies!A:BR,4,FALSE),"")</f>
        <v>Control (Perpetrator Placebo)</v>
      </c>
      <c r="E2873" s="206" t="str">
        <f>IF(AND(A2873&lt;&gt;"",ISNUMBER(A2873)),VLOOKUP(A2873,Studies!A:BR,5,FALSE),"")</f>
        <v>Digoxin</v>
      </c>
      <c r="F2873" s="207" t="str">
        <f>IF(AND(A2873&lt;&gt;"",ISNUMBER(A2873)),VLOOKUP(A2873,Studies!A:BR,6,FALSE),"")</f>
        <v>Serum</v>
      </c>
      <c r="G2873" s="194">
        <v>1</v>
      </c>
      <c r="H2873" s="194" t="s">
        <v>60</v>
      </c>
      <c r="I2873" s="187">
        <v>1.101818</v>
      </c>
      <c r="J2873" s="187" t="s">
        <v>1026</v>
      </c>
      <c r="K2873" s="187" t="s">
        <v>116</v>
      </c>
      <c r="L2873" s="195">
        <v>0.31636379999999997</v>
      </c>
      <c r="M2873" s="195" t="s">
        <v>1026</v>
      </c>
      <c r="N2873" s="195" t="s">
        <v>117</v>
      </c>
      <c r="O2873" s="199">
        <v>0.1</v>
      </c>
      <c r="P2873" s="188"/>
      <c r="Q2873" s="174">
        <f>IF(ISNUMBER(VLOOKUP(A2873,NotghiID!A:A,1,FALSE)),1,0)</f>
        <v>1</v>
      </c>
      <c r="R2873" s="183"/>
    </row>
    <row r="2874" spans="1:18" ht="14.25" x14ac:dyDescent="0.2">
      <c r="A2874" s="189">
        <v>226</v>
      </c>
      <c r="B2874" s="232" t="str">
        <f>IF(AND(A2874&lt;&gt;"",ISNUMBER(A2874)),VLOOKUP(A2874,Studies!A:BR,2,FALSE),"")</f>
        <v>Gurley 2008b</v>
      </c>
      <c r="C2874" s="232" t="str">
        <f>IF(AND(A2874&lt;&gt;"",ISNUMBER(A2874)),VLOOKUP(A2874,Studies!A:BR,3,FALSE),"")</f>
        <v>https://www.ncbi.nlm.nih.gov/pubmed/18214850</v>
      </c>
      <c r="D2874" s="232" t="str">
        <f>IF(AND(A2874&lt;&gt;"",ISNUMBER(A2874)),VLOOKUP(A2874,Studies!A:BR,4,FALSE),"")</f>
        <v>Control (Perpetrator Placebo)</v>
      </c>
      <c r="E2874" s="206" t="str">
        <f>IF(AND(A2874&lt;&gt;"",ISNUMBER(A2874)),VLOOKUP(A2874,Studies!A:BR,5,FALSE),"")</f>
        <v>Digoxin</v>
      </c>
      <c r="F2874" s="207" t="str">
        <f>IF(AND(A2874&lt;&gt;"",ISNUMBER(A2874)),VLOOKUP(A2874,Studies!A:BR,6,FALSE),"")</f>
        <v>Serum</v>
      </c>
      <c r="G2874" s="194">
        <v>1.5</v>
      </c>
      <c r="H2874" s="194" t="s">
        <v>60</v>
      </c>
      <c r="I2874" s="187">
        <v>1.0909089999999999</v>
      </c>
      <c r="J2874" s="187" t="s">
        <v>1026</v>
      </c>
      <c r="K2874" s="187" t="s">
        <v>116</v>
      </c>
      <c r="L2874" s="195">
        <v>0.30545460000000002</v>
      </c>
      <c r="M2874" s="195" t="s">
        <v>1026</v>
      </c>
      <c r="N2874" s="195" t="s">
        <v>117</v>
      </c>
      <c r="O2874" s="199">
        <v>0.1</v>
      </c>
      <c r="P2874" s="188"/>
      <c r="Q2874" s="174">
        <f>IF(ISNUMBER(VLOOKUP(A2874,NotghiID!A:A,1,FALSE)),1,0)</f>
        <v>1</v>
      </c>
      <c r="R2874" s="183"/>
    </row>
    <row r="2875" spans="1:18" ht="14.25" x14ac:dyDescent="0.2">
      <c r="A2875" s="189">
        <v>226</v>
      </c>
      <c r="B2875" s="232" t="str">
        <f>IF(AND(A2875&lt;&gt;"",ISNUMBER(A2875)),VLOOKUP(A2875,Studies!A:BR,2,FALSE),"")</f>
        <v>Gurley 2008b</v>
      </c>
      <c r="C2875" s="232" t="str">
        <f>IF(AND(A2875&lt;&gt;"",ISNUMBER(A2875)),VLOOKUP(A2875,Studies!A:BR,3,FALSE),"")</f>
        <v>https://www.ncbi.nlm.nih.gov/pubmed/18214850</v>
      </c>
      <c r="D2875" s="232" t="str">
        <f>IF(AND(A2875&lt;&gt;"",ISNUMBER(A2875)),VLOOKUP(A2875,Studies!A:BR,4,FALSE),"")</f>
        <v>Control (Perpetrator Placebo)</v>
      </c>
      <c r="E2875" s="206" t="str">
        <f>IF(AND(A2875&lt;&gt;"",ISNUMBER(A2875)),VLOOKUP(A2875,Studies!A:BR,5,FALSE),"")</f>
        <v>Digoxin</v>
      </c>
      <c r="F2875" s="207" t="str">
        <f>IF(AND(A2875&lt;&gt;"",ISNUMBER(A2875)),VLOOKUP(A2875,Studies!A:BR,6,FALSE),"")</f>
        <v>Serum</v>
      </c>
      <c r="G2875" s="194">
        <v>2</v>
      </c>
      <c r="H2875" s="194" t="s">
        <v>60</v>
      </c>
      <c r="I2875" s="187">
        <v>0.88363639999999999</v>
      </c>
      <c r="J2875" s="187" t="s">
        <v>1026</v>
      </c>
      <c r="K2875" s="187" t="s">
        <v>116</v>
      </c>
      <c r="L2875" s="195">
        <v>0.30545460000000002</v>
      </c>
      <c r="M2875" s="195" t="s">
        <v>1026</v>
      </c>
      <c r="N2875" s="195" t="s">
        <v>117</v>
      </c>
      <c r="O2875" s="199">
        <v>0.1</v>
      </c>
      <c r="P2875" s="188"/>
      <c r="Q2875" s="174">
        <f>IF(ISNUMBER(VLOOKUP(A2875,NotghiID!A:A,1,FALSE)),1,0)</f>
        <v>1</v>
      </c>
      <c r="R2875" s="183"/>
    </row>
    <row r="2876" spans="1:18" ht="14.25" x14ac:dyDescent="0.2">
      <c r="A2876" s="189">
        <v>226</v>
      </c>
      <c r="B2876" s="232" t="str">
        <f>IF(AND(A2876&lt;&gt;"",ISNUMBER(A2876)),VLOOKUP(A2876,Studies!A:BR,2,FALSE),"")</f>
        <v>Gurley 2008b</v>
      </c>
      <c r="C2876" s="232" t="str">
        <f>IF(AND(A2876&lt;&gt;"",ISNUMBER(A2876)),VLOOKUP(A2876,Studies!A:BR,3,FALSE),"")</f>
        <v>https://www.ncbi.nlm.nih.gov/pubmed/18214850</v>
      </c>
      <c r="D2876" s="232" t="str">
        <f>IF(AND(A2876&lt;&gt;"",ISNUMBER(A2876)),VLOOKUP(A2876,Studies!A:BR,4,FALSE),"")</f>
        <v>Control (Perpetrator Placebo)</v>
      </c>
      <c r="E2876" s="206" t="str">
        <f>IF(AND(A2876&lt;&gt;"",ISNUMBER(A2876)),VLOOKUP(A2876,Studies!A:BR,5,FALSE),"")</f>
        <v>Digoxin</v>
      </c>
      <c r="F2876" s="207" t="str">
        <f>IF(AND(A2876&lt;&gt;"",ISNUMBER(A2876)),VLOOKUP(A2876,Studies!A:BR,6,FALSE),"")</f>
        <v>Serum</v>
      </c>
      <c r="G2876" s="157">
        <v>2.5</v>
      </c>
      <c r="H2876" s="194" t="s">
        <v>60</v>
      </c>
      <c r="I2876" s="187">
        <v>0.79272730000000002</v>
      </c>
      <c r="J2876" s="187" t="s">
        <v>1026</v>
      </c>
      <c r="K2876" s="187" t="s">
        <v>116</v>
      </c>
      <c r="L2876" s="195">
        <v>0.26545449999999998</v>
      </c>
      <c r="M2876" s="195" t="s">
        <v>1026</v>
      </c>
      <c r="N2876" s="195" t="s">
        <v>117</v>
      </c>
      <c r="O2876" s="199">
        <v>0.1</v>
      </c>
      <c r="P2876" s="188" t="s">
        <v>1144</v>
      </c>
      <c r="Q2876" s="174">
        <f>IF(ISNUMBER(VLOOKUP(A2876,NotghiID!A:A,1,FALSE)),1,0)</f>
        <v>1</v>
      </c>
      <c r="R2876" s="183"/>
    </row>
    <row r="2877" spans="1:18" ht="14.25" x14ac:dyDescent="0.2">
      <c r="A2877" s="189">
        <v>226</v>
      </c>
      <c r="B2877" s="232" t="str">
        <f>IF(AND(A2877&lt;&gt;"",ISNUMBER(A2877)),VLOOKUP(A2877,Studies!A:BR,2,FALSE),"")</f>
        <v>Gurley 2008b</v>
      </c>
      <c r="C2877" s="232" t="str">
        <f>IF(AND(A2877&lt;&gt;"",ISNUMBER(A2877)),VLOOKUP(A2877,Studies!A:BR,3,FALSE),"")</f>
        <v>https://www.ncbi.nlm.nih.gov/pubmed/18214850</v>
      </c>
      <c r="D2877" s="232" t="str">
        <f>IF(AND(A2877&lt;&gt;"",ISNUMBER(A2877)),VLOOKUP(A2877,Studies!A:BR,4,FALSE),"")</f>
        <v>Control (Perpetrator Placebo)</v>
      </c>
      <c r="E2877" s="206" t="str">
        <f>IF(AND(A2877&lt;&gt;"",ISNUMBER(A2877)),VLOOKUP(A2877,Studies!A:BR,5,FALSE),"")</f>
        <v>Digoxin</v>
      </c>
      <c r="F2877" s="207" t="str">
        <f>IF(AND(A2877&lt;&gt;"",ISNUMBER(A2877)),VLOOKUP(A2877,Studies!A:BR,6,FALSE),"")</f>
        <v>Serum</v>
      </c>
      <c r="G2877" s="194">
        <v>3</v>
      </c>
      <c r="H2877" s="194" t="s">
        <v>60</v>
      </c>
      <c r="I2877" s="187">
        <v>0.72363639999999996</v>
      </c>
      <c r="J2877" s="187" t="s">
        <v>1026</v>
      </c>
      <c r="K2877" s="187" t="s">
        <v>116</v>
      </c>
      <c r="L2877" s="195">
        <v>0.27636359999999999</v>
      </c>
      <c r="M2877" s="195" t="s">
        <v>1026</v>
      </c>
      <c r="N2877" s="195" t="s">
        <v>117</v>
      </c>
      <c r="O2877" s="199">
        <v>0.1</v>
      </c>
      <c r="P2877" s="188"/>
      <c r="Q2877" s="174">
        <f>IF(ISNUMBER(VLOOKUP(A2877,NotghiID!A:A,1,FALSE)),1,0)</f>
        <v>1</v>
      </c>
      <c r="R2877" s="183"/>
    </row>
    <row r="2878" spans="1:18" ht="14.25" x14ac:dyDescent="0.2">
      <c r="A2878" s="189">
        <v>226</v>
      </c>
      <c r="B2878" s="232" t="str">
        <f>IF(AND(A2878&lt;&gt;"",ISNUMBER(A2878)),VLOOKUP(A2878,Studies!A:BR,2,FALSE),"")</f>
        <v>Gurley 2008b</v>
      </c>
      <c r="C2878" s="232" t="str">
        <f>IF(AND(A2878&lt;&gt;"",ISNUMBER(A2878)),VLOOKUP(A2878,Studies!A:BR,3,FALSE),"")</f>
        <v>https://www.ncbi.nlm.nih.gov/pubmed/18214850</v>
      </c>
      <c r="D2878" s="232" t="str">
        <f>IF(AND(A2878&lt;&gt;"",ISNUMBER(A2878)),VLOOKUP(A2878,Studies!A:BR,4,FALSE),"")</f>
        <v>Control (Perpetrator Placebo)</v>
      </c>
      <c r="E2878" s="206" t="str">
        <f>IF(AND(A2878&lt;&gt;"",ISNUMBER(A2878)),VLOOKUP(A2878,Studies!A:BR,5,FALSE),"")</f>
        <v>Digoxin</v>
      </c>
      <c r="F2878" s="207" t="str">
        <f>IF(AND(A2878&lt;&gt;"",ISNUMBER(A2878)),VLOOKUP(A2878,Studies!A:BR,6,FALSE),"")</f>
        <v>Serum</v>
      </c>
      <c r="G2878" s="194">
        <v>4</v>
      </c>
      <c r="H2878" s="194" t="s">
        <v>60</v>
      </c>
      <c r="I2878" s="187">
        <v>0.5127273</v>
      </c>
      <c r="J2878" s="187" t="s">
        <v>1026</v>
      </c>
      <c r="K2878" s="187" t="s">
        <v>116</v>
      </c>
      <c r="L2878" s="195">
        <v>0.1781818</v>
      </c>
      <c r="M2878" s="195" t="s">
        <v>1026</v>
      </c>
      <c r="N2878" s="195" t="s">
        <v>117</v>
      </c>
      <c r="O2878" s="199">
        <v>0.1</v>
      </c>
      <c r="P2878" s="188"/>
      <c r="Q2878" s="174">
        <f>IF(ISNUMBER(VLOOKUP(A2878,NotghiID!A:A,1,FALSE)),1,0)</f>
        <v>1</v>
      </c>
      <c r="R2878" s="183"/>
    </row>
    <row r="2879" spans="1:18" ht="14.25" x14ac:dyDescent="0.2">
      <c r="A2879" s="189">
        <v>226</v>
      </c>
      <c r="B2879" s="232" t="str">
        <f>IF(AND(A2879&lt;&gt;"",ISNUMBER(A2879)),VLOOKUP(A2879,Studies!A:BR,2,FALSE),"")</f>
        <v>Gurley 2008b</v>
      </c>
      <c r="C2879" s="232" t="str">
        <f>IF(AND(A2879&lt;&gt;"",ISNUMBER(A2879)),VLOOKUP(A2879,Studies!A:BR,3,FALSE),"")</f>
        <v>https://www.ncbi.nlm.nih.gov/pubmed/18214850</v>
      </c>
      <c r="D2879" s="232" t="str">
        <f>IF(AND(A2879&lt;&gt;"",ISNUMBER(A2879)),VLOOKUP(A2879,Studies!A:BR,4,FALSE),"")</f>
        <v>Control (Perpetrator Placebo)</v>
      </c>
      <c r="E2879" s="206" t="str">
        <f>IF(AND(A2879&lt;&gt;"",ISNUMBER(A2879)),VLOOKUP(A2879,Studies!A:BR,5,FALSE),"")</f>
        <v>Digoxin</v>
      </c>
      <c r="F2879" s="207" t="str">
        <f>IF(AND(A2879&lt;&gt;"",ISNUMBER(A2879)),VLOOKUP(A2879,Studies!A:BR,6,FALSE),"")</f>
        <v>Serum</v>
      </c>
      <c r="G2879" s="194">
        <v>6</v>
      </c>
      <c r="H2879" s="194" t="s">
        <v>60</v>
      </c>
      <c r="I2879" s="187">
        <v>0.32</v>
      </c>
      <c r="J2879" s="187" t="s">
        <v>1026</v>
      </c>
      <c r="K2879" s="187" t="s">
        <v>116</v>
      </c>
      <c r="L2879" s="195">
        <v>0.1127273</v>
      </c>
      <c r="M2879" s="195" t="s">
        <v>1026</v>
      </c>
      <c r="N2879" s="195" t="s">
        <v>117</v>
      </c>
      <c r="O2879" s="199">
        <v>0.1</v>
      </c>
      <c r="P2879" s="188"/>
      <c r="Q2879" s="174">
        <f>IF(ISNUMBER(VLOOKUP(A2879,NotghiID!A:A,1,FALSE)),1,0)</f>
        <v>1</v>
      </c>
      <c r="R2879" s="183"/>
    </row>
    <row r="2880" spans="1:18" ht="14.25" x14ac:dyDescent="0.2">
      <c r="A2880" s="189">
        <v>227</v>
      </c>
      <c r="B2880" s="232" t="str">
        <f>IF(AND(A2880&lt;&gt;"",ISNUMBER(A2880)),VLOOKUP(A2880,Studies!A:BR,2,FALSE),"")</f>
        <v>Gurley 2008b</v>
      </c>
      <c r="C2880" s="232" t="str">
        <f>IF(AND(A2880&lt;&gt;"",ISNUMBER(A2880)),VLOOKUP(A2880,Studies!A:BR,3,FALSE),"")</f>
        <v>https://www.ncbi.nlm.nih.gov/pubmed/18214850</v>
      </c>
      <c r="D2880" s="232" t="str">
        <f>IF(AND(A2880&lt;&gt;"",ISNUMBER(A2880)),VLOOKUP(A2880,Studies!A:BR,4,FALSE),"")</f>
        <v>with Perpetrator (Rifampicin)</v>
      </c>
      <c r="E2880" s="206" t="str">
        <f>IF(AND(A2880&lt;&gt;"",ISNUMBER(A2880)),VLOOKUP(A2880,Studies!A:BR,5,FALSE),"")</f>
        <v>Digoxin</v>
      </c>
      <c r="F2880" s="207" t="str">
        <f>IF(AND(A2880&lt;&gt;"",ISNUMBER(A2880)),VLOOKUP(A2880,Studies!A:BR,6,FALSE),"")</f>
        <v>Serum</v>
      </c>
      <c r="G2880" s="194">
        <v>146</v>
      </c>
      <c r="H2880" s="194" t="s">
        <v>60</v>
      </c>
      <c r="I2880" s="187" t="s">
        <v>1127</v>
      </c>
      <c r="J2880" s="187" t="s">
        <v>1026</v>
      </c>
      <c r="K2880" s="187" t="s">
        <v>116</v>
      </c>
      <c r="L2880" s="195"/>
      <c r="M2880" s="195"/>
      <c r="N2880" s="195"/>
      <c r="O2880" s="199">
        <v>0.1</v>
      </c>
      <c r="P2880" s="188"/>
      <c r="Q2880" s="174">
        <f>IF(ISNUMBER(VLOOKUP(A2880,NotghiID!A:A,1,FALSE)),1,0)</f>
        <v>1</v>
      </c>
      <c r="R2880" s="183"/>
    </row>
    <row r="2881" spans="1:18" ht="14.25" x14ac:dyDescent="0.2">
      <c r="A2881" s="189">
        <v>227</v>
      </c>
      <c r="B2881" s="232" t="str">
        <f>IF(AND(A2881&lt;&gt;"",ISNUMBER(A2881)),VLOOKUP(A2881,Studies!A:BR,2,FALSE),"")</f>
        <v>Gurley 2008b</v>
      </c>
      <c r="C2881" s="232" t="str">
        <f>IF(AND(A2881&lt;&gt;"",ISNUMBER(A2881)),VLOOKUP(A2881,Studies!A:BR,3,FALSE),"")</f>
        <v>https://www.ncbi.nlm.nih.gov/pubmed/18214850</v>
      </c>
      <c r="D2881" s="232" t="str">
        <f>IF(AND(A2881&lt;&gt;"",ISNUMBER(A2881)),VLOOKUP(A2881,Studies!A:BR,4,FALSE),"")</f>
        <v>with Perpetrator (Rifampicin)</v>
      </c>
      <c r="E2881" s="206" t="str">
        <f>IF(AND(A2881&lt;&gt;"",ISNUMBER(A2881)),VLOOKUP(A2881,Studies!A:BR,5,FALSE),"")</f>
        <v>Digoxin</v>
      </c>
      <c r="F2881" s="207" t="str">
        <f>IF(AND(A2881&lt;&gt;"",ISNUMBER(A2881)),VLOOKUP(A2881,Studies!A:BR,6,FALSE),"")</f>
        <v>Serum</v>
      </c>
      <c r="G2881" s="194">
        <v>146.33000000000001</v>
      </c>
      <c r="H2881" s="194" t="s">
        <v>60</v>
      </c>
      <c r="I2881" s="187">
        <v>0.18909090000000001</v>
      </c>
      <c r="J2881" s="187" t="s">
        <v>1026</v>
      </c>
      <c r="K2881" s="187" t="s">
        <v>116</v>
      </c>
      <c r="L2881" s="195">
        <v>0.18181820000000001</v>
      </c>
      <c r="M2881" s="195" t="s">
        <v>1026</v>
      </c>
      <c r="N2881" s="195" t="s">
        <v>117</v>
      </c>
      <c r="O2881" s="199">
        <v>0.1</v>
      </c>
      <c r="P2881" s="188"/>
      <c r="Q2881" s="174">
        <f>IF(ISNUMBER(VLOOKUP(A2881,NotghiID!A:A,1,FALSE)),1,0)</f>
        <v>1</v>
      </c>
      <c r="R2881" s="183"/>
    </row>
    <row r="2882" spans="1:18" ht="14.25" x14ac:dyDescent="0.2">
      <c r="A2882" s="189">
        <v>227</v>
      </c>
      <c r="B2882" s="232" t="str">
        <f>IF(AND(A2882&lt;&gt;"",ISNUMBER(A2882)),VLOOKUP(A2882,Studies!A:BR,2,FALSE),"")</f>
        <v>Gurley 2008b</v>
      </c>
      <c r="C2882" s="232" t="str">
        <f>IF(AND(A2882&lt;&gt;"",ISNUMBER(A2882)),VLOOKUP(A2882,Studies!A:BR,3,FALSE),"")</f>
        <v>https://www.ncbi.nlm.nih.gov/pubmed/18214850</v>
      </c>
      <c r="D2882" s="232" t="str">
        <f>IF(AND(A2882&lt;&gt;"",ISNUMBER(A2882)),VLOOKUP(A2882,Studies!A:BR,4,FALSE),"")</f>
        <v>with Perpetrator (Rifampicin)</v>
      </c>
      <c r="E2882" s="206" t="str">
        <f>IF(AND(A2882&lt;&gt;"",ISNUMBER(A2882)),VLOOKUP(A2882,Studies!A:BR,5,FALSE),"")</f>
        <v>Digoxin</v>
      </c>
      <c r="F2882" s="207" t="str">
        <f>IF(AND(A2882&lt;&gt;"",ISNUMBER(A2882)),VLOOKUP(A2882,Studies!A:BR,6,FALSE),"")</f>
        <v>Serum</v>
      </c>
      <c r="G2882" s="194">
        <v>146.66999999999999</v>
      </c>
      <c r="H2882" s="194" t="s">
        <v>60</v>
      </c>
      <c r="I2882" s="187">
        <v>0.55272730000000003</v>
      </c>
      <c r="J2882" s="187" t="s">
        <v>1026</v>
      </c>
      <c r="K2882" s="187" t="s">
        <v>116</v>
      </c>
      <c r="L2882" s="195">
        <v>0.31272729999999999</v>
      </c>
      <c r="M2882" s="195" t="s">
        <v>1026</v>
      </c>
      <c r="N2882" s="195" t="s">
        <v>117</v>
      </c>
      <c r="O2882" s="199">
        <v>0.1</v>
      </c>
      <c r="P2882" s="188"/>
      <c r="Q2882" s="174">
        <f>IF(ISNUMBER(VLOOKUP(A2882,NotghiID!A:A,1,FALSE)),1,0)</f>
        <v>1</v>
      </c>
      <c r="R2882" s="183"/>
    </row>
    <row r="2883" spans="1:18" ht="14.25" x14ac:dyDescent="0.2">
      <c r="A2883" s="189">
        <v>227</v>
      </c>
      <c r="B2883" s="232" t="str">
        <f>IF(AND(A2883&lt;&gt;"",ISNUMBER(A2883)),VLOOKUP(A2883,Studies!A:BR,2,FALSE),"")</f>
        <v>Gurley 2008b</v>
      </c>
      <c r="C2883" s="232" t="str">
        <f>IF(AND(A2883&lt;&gt;"",ISNUMBER(A2883)),VLOOKUP(A2883,Studies!A:BR,3,FALSE),"")</f>
        <v>https://www.ncbi.nlm.nih.gov/pubmed/18214850</v>
      </c>
      <c r="D2883" s="232" t="str">
        <f>IF(AND(A2883&lt;&gt;"",ISNUMBER(A2883)),VLOOKUP(A2883,Studies!A:BR,4,FALSE),"")</f>
        <v>with Perpetrator (Rifampicin)</v>
      </c>
      <c r="E2883" s="206" t="str">
        <f>IF(AND(A2883&lt;&gt;"",ISNUMBER(A2883)),VLOOKUP(A2883,Studies!A:BR,5,FALSE),"")</f>
        <v>Digoxin</v>
      </c>
      <c r="F2883" s="207" t="str">
        <f>IF(AND(A2883&lt;&gt;"",ISNUMBER(A2883)),VLOOKUP(A2883,Studies!A:BR,6,FALSE),"")</f>
        <v>Serum</v>
      </c>
      <c r="G2883" s="194">
        <v>147</v>
      </c>
      <c r="H2883" s="194" t="s">
        <v>60</v>
      </c>
      <c r="I2883" s="187">
        <v>0.70181819999999995</v>
      </c>
      <c r="J2883" s="187" t="s">
        <v>1026</v>
      </c>
      <c r="K2883" s="187" t="s">
        <v>116</v>
      </c>
      <c r="L2883" s="195">
        <v>0.28000009999999997</v>
      </c>
      <c r="M2883" s="195" t="s">
        <v>1026</v>
      </c>
      <c r="N2883" s="195" t="s">
        <v>117</v>
      </c>
      <c r="O2883" s="199">
        <v>0.1</v>
      </c>
      <c r="P2883" s="188"/>
      <c r="Q2883" s="174">
        <f>IF(ISNUMBER(VLOOKUP(A2883,NotghiID!A:A,1,FALSE)),1,0)</f>
        <v>1</v>
      </c>
      <c r="R2883" s="183"/>
    </row>
    <row r="2884" spans="1:18" ht="14.25" x14ac:dyDescent="0.2">
      <c r="A2884" s="189">
        <v>227</v>
      </c>
      <c r="B2884" s="232" t="str">
        <f>IF(AND(A2884&lt;&gt;"",ISNUMBER(A2884)),VLOOKUP(A2884,Studies!A:BR,2,FALSE),"")</f>
        <v>Gurley 2008b</v>
      </c>
      <c r="C2884" s="232" t="str">
        <f>IF(AND(A2884&lt;&gt;"",ISNUMBER(A2884)),VLOOKUP(A2884,Studies!A:BR,3,FALSE),"")</f>
        <v>https://www.ncbi.nlm.nih.gov/pubmed/18214850</v>
      </c>
      <c r="D2884" s="232" t="str">
        <f>IF(AND(A2884&lt;&gt;"",ISNUMBER(A2884)),VLOOKUP(A2884,Studies!A:BR,4,FALSE),"")</f>
        <v>with Perpetrator (Rifampicin)</v>
      </c>
      <c r="E2884" s="206" t="str">
        <f>IF(AND(A2884&lt;&gt;"",ISNUMBER(A2884)),VLOOKUP(A2884,Studies!A:BR,5,FALSE),"")</f>
        <v>Digoxin</v>
      </c>
      <c r="F2884" s="207" t="str">
        <f>IF(AND(A2884&lt;&gt;"",ISNUMBER(A2884)),VLOOKUP(A2884,Studies!A:BR,6,FALSE),"")</f>
        <v>Serum</v>
      </c>
      <c r="G2884" s="194">
        <v>147.5</v>
      </c>
      <c r="H2884" s="194" t="s">
        <v>60</v>
      </c>
      <c r="I2884" s="187">
        <v>0.64</v>
      </c>
      <c r="J2884" s="187" t="s">
        <v>1026</v>
      </c>
      <c r="K2884" s="187" t="s">
        <v>116</v>
      </c>
      <c r="L2884" s="195">
        <v>0.23636360000000001</v>
      </c>
      <c r="M2884" s="195" t="s">
        <v>1026</v>
      </c>
      <c r="N2884" s="195" t="s">
        <v>117</v>
      </c>
      <c r="O2884" s="199">
        <v>0.1</v>
      </c>
      <c r="P2884" s="188"/>
      <c r="Q2884" s="174">
        <f>IF(ISNUMBER(VLOOKUP(A2884,NotghiID!A:A,1,FALSE)),1,0)</f>
        <v>1</v>
      </c>
      <c r="R2884" s="183"/>
    </row>
    <row r="2885" spans="1:18" ht="14.25" x14ac:dyDescent="0.2">
      <c r="A2885" s="189">
        <v>227</v>
      </c>
      <c r="B2885" s="232" t="str">
        <f>IF(AND(A2885&lt;&gt;"",ISNUMBER(A2885)),VLOOKUP(A2885,Studies!A:BR,2,FALSE),"")</f>
        <v>Gurley 2008b</v>
      </c>
      <c r="C2885" s="232" t="str">
        <f>IF(AND(A2885&lt;&gt;"",ISNUMBER(A2885)),VLOOKUP(A2885,Studies!A:BR,3,FALSE),"")</f>
        <v>https://www.ncbi.nlm.nih.gov/pubmed/18214850</v>
      </c>
      <c r="D2885" s="232" t="str">
        <f>IF(AND(A2885&lt;&gt;"",ISNUMBER(A2885)),VLOOKUP(A2885,Studies!A:BR,4,FALSE),"")</f>
        <v>with Perpetrator (Rifampicin)</v>
      </c>
      <c r="E2885" s="206" t="str">
        <f>IF(AND(A2885&lt;&gt;"",ISNUMBER(A2885)),VLOOKUP(A2885,Studies!A:BR,5,FALSE),"")</f>
        <v>Digoxin</v>
      </c>
      <c r="F2885" s="207" t="str">
        <f>IF(AND(A2885&lt;&gt;"",ISNUMBER(A2885)),VLOOKUP(A2885,Studies!A:BR,6,FALSE),"")</f>
        <v>Serum</v>
      </c>
      <c r="G2885" s="194">
        <v>148</v>
      </c>
      <c r="H2885" s="194" t="s">
        <v>60</v>
      </c>
      <c r="I2885" s="187">
        <v>0.64</v>
      </c>
      <c r="J2885" s="187" t="s">
        <v>1026</v>
      </c>
      <c r="K2885" s="187" t="s">
        <v>116</v>
      </c>
      <c r="L2885" s="195">
        <v>0.28000000000000003</v>
      </c>
      <c r="M2885" s="195" t="s">
        <v>1026</v>
      </c>
      <c r="N2885" s="195" t="s">
        <v>117</v>
      </c>
      <c r="O2885" s="199">
        <v>0.1</v>
      </c>
      <c r="P2885" s="188"/>
      <c r="Q2885" s="174">
        <f>IF(ISNUMBER(VLOOKUP(A2885,NotghiID!A:A,1,FALSE)),1,0)</f>
        <v>1</v>
      </c>
      <c r="R2885" s="183"/>
    </row>
    <row r="2886" spans="1:18" ht="14.25" x14ac:dyDescent="0.2">
      <c r="A2886" s="189">
        <v>227</v>
      </c>
      <c r="B2886" s="232" t="str">
        <f>IF(AND(A2886&lt;&gt;"",ISNUMBER(A2886)),VLOOKUP(A2886,Studies!A:BR,2,FALSE),"")</f>
        <v>Gurley 2008b</v>
      </c>
      <c r="C2886" s="232" t="str">
        <f>IF(AND(A2886&lt;&gt;"",ISNUMBER(A2886)),VLOOKUP(A2886,Studies!A:BR,3,FALSE),"")</f>
        <v>https://www.ncbi.nlm.nih.gov/pubmed/18214850</v>
      </c>
      <c r="D2886" s="232" t="str">
        <f>IF(AND(A2886&lt;&gt;"",ISNUMBER(A2886)),VLOOKUP(A2886,Studies!A:BR,4,FALSE),"")</f>
        <v>with Perpetrator (Rifampicin)</v>
      </c>
      <c r="E2886" s="206" t="str">
        <f>IF(AND(A2886&lt;&gt;"",ISNUMBER(A2886)),VLOOKUP(A2886,Studies!A:BR,5,FALSE),"")</f>
        <v>Digoxin</v>
      </c>
      <c r="F2886" s="207" t="str">
        <f>IF(AND(A2886&lt;&gt;"",ISNUMBER(A2886)),VLOOKUP(A2886,Studies!A:BR,6,FALSE),"")</f>
        <v>Serum</v>
      </c>
      <c r="G2886" s="157">
        <v>148.5</v>
      </c>
      <c r="H2886" s="194" t="s">
        <v>60</v>
      </c>
      <c r="I2886" s="187">
        <v>0.59272720000000001</v>
      </c>
      <c r="J2886" s="187" t="s">
        <v>1026</v>
      </c>
      <c r="K2886" s="187" t="s">
        <v>116</v>
      </c>
      <c r="L2886" s="195">
        <v>0.2618181</v>
      </c>
      <c r="M2886" s="195" t="s">
        <v>1026</v>
      </c>
      <c r="N2886" s="195" t="s">
        <v>117</v>
      </c>
      <c r="O2886" s="199">
        <v>0.1</v>
      </c>
      <c r="P2886" s="188" t="s">
        <v>1145</v>
      </c>
      <c r="Q2886" s="174">
        <f>IF(ISNUMBER(VLOOKUP(A2886,NotghiID!A:A,1,FALSE)),1,0)</f>
        <v>1</v>
      </c>
      <c r="R2886" s="183"/>
    </row>
    <row r="2887" spans="1:18" ht="14.25" x14ac:dyDescent="0.2">
      <c r="A2887" s="189">
        <v>227</v>
      </c>
      <c r="B2887" s="232" t="str">
        <f>IF(AND(A2887&lt;&gt;"",ISNUMBER(A2887)),VLOOKUP(A2887,Studies!A:BR,2,FALSE),"")</f>
        <v>Gurley 2008b</v>
      </c>
      <c r="C2887" s="232" t="str">
        <f>IF(AND(A2887&lt;&gt;"",ISNUMBER(A2887)),VLOOKUP(A2887,Studies!A:BR,3,FALSE),"")</f>
        <v>https://www.ncbi.nlm.nih.gov/pubmed/18214850</v>
      </c>
      <c r="D2887" s="232" t="str">
        <f>IF(AND(A2887&lt;&gt;"",ISNUMBER(A2887)),VLOOKUP(A2887,Studies!A:BR,4,FALSE),"")</f>
        <v>with Perpetrator (Rifampicin)</v>
      </c>
      <c r="E2887" s="206" t="str">
        <f>IF(AND(A2887&lt;&gt;"",ISNUMBER(A2887)),VLOOKUP(A2887,Studies!A:BR,5,FALSE),"")</f>
        <v>Digoxin</v>
      </c>
      <c r="F2887" s="207" t="str">
        <f>IF(AND(A2887&lt;&gt;"",ISNUMBER(A2887)),VLOOKUP(A2887,Studies!A:BR,6,FALSE),"")</f>
        <v>Serum</v>
      </c>
      <c r="G2887" s="194">
        <v>149</v>
      </c>
      <c r="H2887" s="194" t="s">
        <v>60</v>
      </c>
      <c r="I2887" s="187">
        <v>0.55272730000000003</v>
      </c>
      <c r="J2887" s="187" t="s">
        <v>1026</v>
      </c>
      <c r="K2887" s="187" t="s">
        <v>116</v>
      </c>
      <c r="L2887" s="195">
        <v>0.2327273</v>
      </c>
      <c r="M2887" s="195" t="s">
        <v>1026</v>
      </c>
      <c r="N2887" s="195" t="s">
        <v>117</v>
      </c>
      <c r="O2887" s="199">
        <v>0.1</v>
      </c>
      <c r="P2887" s="188"/>
      <c r="Q2887" s="174">
        <f>IF(ISNUMBER(VLOOKUP(A2887,NotghiID!A:A,1,FALSE)),1,0)</f>
        <v>1</v>
      </c>
      <c r="R2887" s="183"/>
    </row>
    <row r="2888" spans="1:18" ht="14.25" x14ac:dyDescent="0.2">
      <c r="A2888" s="189">
        <v>227</v>
      </c>
      <c r="B2888" s="232" t="str">
        <f>IF(AND(A2888&lt;&gt;"",ISNUMBER(A2888)),VLOOKUP(A2888,Studies!A:BR,2,FALSE),"")</f>
        <v>Gurley 2008b</v>
      </c>
      <c r="C2888" s="232" t="str">
        <f>IF(AND(A2888&lt;&gt;"",ISNUMBER(A2888)),VLOOKUP(A2888,Studies!A:BR,3,FALSE),"")</f>
        <v>https://www.ncbi.nlm.nih.gov/pubmed/18214850</v>
      </c>
      <c r="D2888" s="232" t="str">
        <f>IF(AND(A2888&lt;&gt;"",ISNUMBER(A2888)),VLOOKUP(A2888,Studies!A:BR,4,FALSE),"")</f>
        <v>with Perpetrator (Rifampicin)</v>
      </c>
      <c r="E2888" s="206" t="str">
        <f>IF(AND(A2888&lt;&gt;"",ISNUMBER(A2888)),VLOOKUP(A2888,Studies!A:BR,5,FALSE),"")</f>
        <v>Digoxin</v>
      </c>
      <c r="F2888" s="207" t="str">
        <f>IF(AND(A2888&lt;&gt;"",ISNUMBER(A2888)),VLOOKUP(A2888,Studies!A:BR,6,FALSE),"")</f>
        <v>Serum</v>
      </c>
      <c r="G2888" s="194">
        <v>150</v>
      </c>
      <c r="H2888" s="194" t="s">
        <v>60</v>
      </c>
      <c r="I2888" s="187">
        <v>0.44363639999999999</v>
      </c>
      <c r="J2888" s="187" t="s">
        <v>1026</v>
      </c>
      <c r="K2888" s="187" t="s">
        <v>116</v>
      </c>
      <c r="L2888" s="195">
        <v>0.17090910000000001</v>
      </c>
      <c r="M2888" s="195" t="s">
        <v>1026</v>
      </c>
      <c r="N2888" s="195" t="s">
        <v>117</v>
      </c>
      <c r="O2888" s="199">
        <v>0.1</v>
      </c>
      <c r="P2888" s="188"/>
      <c r="Q2888" s="174">
        <f>IF(ISNUMBER(VLOOKUP(A2888,NotghiID!A:A,1,FALSE)),1,0)</f>
        <v>1</v>
      </c>
      <c r="R2888" s="183"/>
    </row>
    <row r="2889" spans="1:18" ht="14.25" x14ac:dyDescent="0.2">
      <c r="A2889" s="189">
        <v>227</v>
      </c>
      <c r="B2889" s="232" t="str">
        <f>IF(AND(A2889&lt;&gt;"",ISNUMBER(A2889)),VLOOKUP(A2889,Studies!A:BR,2,FALSE),"")</f>
        <v>Gurley 2008b</v>
      </c>
      <c r="C2889" s="232" t="str">
        <f>IF(AND(A2889&lt;&gt;"",ISNUMBER(A2889)),VLOOKUP(A2889,Studies!A:BR,3,FALSE),"")</f>
        <v>https://www.ncbi.nlm.nih.gov/pubmed/18214850</v>
      </c>
      <c r="D2889" s="232" t="str">
        <f>IF(AND(A2889&lt;&gt;"",ISNUMBER(A2889)),VLOOKUP(A2889,Studies!A:BR,4,FALSE),"")</f>
        <v>with Perpetrator (Rifampicin)</v>
      </c>
      <c r="E2889" s="206" t="str">
        <f>IF(AND(A2889&lt;&gt;"",ISNUMBER(A2889)),VLOOKUP(A2889,Studies!A:BR,5,FALSE),"")</f>
        <v>Digoxin</v>
      </c>
      <c r="F2889" s="207" t="str">
        <f>IF(AND(A2889&lt;&gt;"",ISNUMBER(A2889)),VLOOKUP(A2889,Studies!A:BR,6,FALSE),"")</f>
        <v>Serum</v>
      </c>
      <c r="G2889" s="194">
        <v>152</v>
      </c>
      <c r="H2889" s="194" t="s">
        <v>60</v>
      </c>
      <c r="I2889" s="187">
        <v>0.28363640000000001</v>
      </c>
      <c r="J2889" s="187" t="s">
        <v>1026</v>
      </c>
      <c r="K2889" s="187" t="s">
        <v>116</v>
      </c>
      <c r="L2889" s="195">
        <v>8.3636390000000005E-2</v>
      </c>
      <c r="M2889" s="195" t="s">
        <v>1026</v>
      </c>
      <c r="N2889" s="195" t="s">
        <v>117</v>
      </c>
      <c r="O2889" s="199">
        <v>0.1</v>
      </c>
      <c r="P2889" s="188"/>
      <c r="Q2889" s="174">
        <f>IF(ISNUMBER(VLOOKUP(A2889,NotghiID!A:A,1,FALSE)),1,0)</f>
        <v>1</v>
      </c>
      <c r="R2889" s="183"/>
    </row>
    <row r="2890" spans="1:18" ht="14.25" x14ac:dyDescent="0.2">
      <c r="A2890" s="189">
        <v>228</v>
      </c>
      <c r="B2890" s="232" t="str">
        <f>IF(AND(A2890&lt;&gt;"",ISNUMBER(A2890)),VLOOKUP(A2890,Studies!A:BR,2,FALSE),"")</f>
        <v>Gurley 2008b</v>
      </c>
      <c r="C2890" s="232" t="str">
        <f>IF(AND(A2890&lt;&gt;"",ISNUMBER(A2890)),VLOOKUP(A2890,Studies!A:BR,3,FALSE),"")</f>
        <v>https://www.ncbi.nlm.nih.gov/pubmed/18214850</v>
      </c>
      <c r="D2890" s="232" t="str">
        <f>IF(AND(A2890&lt;&gt;"",ISNUMBER(A2890)),VLOOKUP(A2890,Studies!A:BR,4,FALSE),"")</f>
        <v>Control (Perpetrator Placebo)</v>
      </c>
      <c r="E2890" s="206" t="str">
        <f>IF(AND(A2890&lt;&gt;"",ISNUMBER(A2890)),VLOOKUP(A2890,Studies!A:BR,5,FALSE),"")</f>
        <v>Digoxin</v>
      </c>
      <c r="F2890" s="207" t="str">
        <f>IF(AND(A2890&lt;&gt;"",ISNUMBER(A2890)),VLOOKUP(A2890,Studies!A:BR,6,FALSE),"")</f>
        <v>Serum</v>
      </c>
      <c r="G2890" s="194">
        <v>0</v>
      </c>
      <c r="H2890" s="194" t="s">
        <v>60</v>
      </c>
      <c r="I2890" s="187" t="s">
        <v>1127</v>
      </c>
      <c r="J2890" s="187" t="s">
        <v>1026</v>
      </c>
      <c r="K2890" s="187" t="s">
        <v>116</v>
      </c>
      <c r="L2890" s="195"/>
      <c r="M2890" s="195"/>
      <c r="N2890" s="195"/>
      <c r="O2890" s="199">
        <v>0.1</v>
      </c>
      <c r="P2890" s="188"/>
      <c r="Q2890" s="174">
        <f>IF(ISNUMBER(VLOOKUP(A2890,NotghiID!A:A,1,FALSE)),1,0)</f>
        <v>1</v>
      </c>
      <c r="R2890" s="183"/>
    </row>
    <row r="2891" spans="1:18" ht="14.25" x14ac:dyDescent="0.2">
      <c r="A2891" s="189">
        <v>228</v>
      </c>
      <c r="B2891" s="232" t="str">
        <f>IF(AND(A2891&lt;&gt;"",ISNUMBER(A2891)),VLOOKUP(A2891,Studies!A:BR,2,FALSE),"")</f>
        <v>Gurley 2008b</v>
      </c>
      <c r="C2891" s="232" t="str">
        <f>IF(AND(A2891&lt;&gt;"",ISNUMBER(A2891)),VLOOKUP(A2891,Studies!A:BR,3,FALSE),"")</f>
        <v>https://www.ncbi.nlm.nih.gov/pubmed/18214850</v>
      </c>
      <c r="D2891" s="232" t="str">
        <f>IF(AND(A2891&lt;&gt;"",ISNUMBER(A2891)),VLOOKUP(A2891,Studies!A:BR,4,FALSE),"")</f>
        <v>Control (Perpetrator Placebo)</v>
      </c>
      <c r="E2891" s="206" t="str">
        <f>IF(AND(A2891&lt;&gt;"",ISNUMBER(A2891)),VLOOKUP(A2891,Studies!A:BR,5,FALSE),"")</f>
        <v>Digoxin</v>
      </c>
      <c r="F2891" s="207" t="str">
        <f>IF(AND(A2891&lt;&gt;"",ISNUMBER(A2891)),VLOOKUP(A2891,Studies!A:BR,6,FALSE),"")</f>
        <v>Serum</v>
      </c>
      <c r="G2891" s="194">
        <v>0.33</v>
      </c>
      <c r="H2891" s="194" t="s">
        <v>60</v>
      </c>
      <c r="I2891" s="187">
        <v>0.32</v>
      </c>
      <c r="J2891" s="187" t="s">
        <v>1026</v>
      </c>
      <c r="K2891" s="187" t="s">
        <v>116</v>
      </c>
      <c r="L2891" s="195">
        <v>0.25818180000000002</v>
      </c>
      <c r="M2891" s="195" t="s">
        <v>1026</v>
      </c>
      <c r="N2891" s="195" t="s">
        <v>117</v>
      </c>
      <c r="O2891" s="199">
        <v>0.1</v>
      </c>
      <c r="P2891" s="188"/>
      <c r="Q2891" s="174">
        <f>IF(ISNUMBER(VLOOKUP(A2891,NotghiID!A:A,1,FALSE)),1,0)</f>
        <v>1</v>
      </c>
      <c r="R2891" s="183"/>
    </row>
    <row r="2892" spans="1:18" ht="14.25" x14ac:dyDescent="0.2">
      <c r="A2892" s="189">
        <v>228</v>
      </c>
      <c r="B2892" s="232" t="str">
        <f>IF(AND(A2892&lt;&gt;"",ISNUMBER(A2892)),VLOOKUP(A2892,Studies!A:BR,2,FALSE),"")</f>
        <v>Gurley 2008b</v>
      </c>
      <c r="C2892" s="232" t="str">
        <f>IF(AND(A2892&lt;&gt;"",ISNUMBER(A2892)),VLOOKUP(A2892,Studies!A:BR,3,FALSE),"")</f>
        <v>https://www.ncbi.nlm.nih.gov/pubmed/18214850</v>
      </c>
      <c r="D2892" s="232" t="str">
        <f>IF(AND(A2892&lt;&gt;"",ISNUMBER(A2892)),VLOOKUP(A2892,Studies!A:BR,4,FALSE),"")</f>
        <v>Control (Perpetrator Placebo)</v>
      </c>
      <c r="E2892" s="206" t="str">
        <f>IF(AND(A2892&lt;&gt;"",ISNUMBER(A2892)),VLOOKUP(A2892,Studies!A:BR,5,FALSE),"")</f>
        <v>Digoxin</v>
      </c>
      <c r="F2892" s="207" t="str">
        <f>IF(AND(A2892&lt;&gt;"",ISNUMBER(A2892)),VLOOKUP(A2892,Studies!A:BR,6,FALSE),"")</f>
        <v>Serum</v>
      </c>
      <c r="G2892" s="194">
        <v>0.67</v>
      </c>
      <c r="H2892" s="194" t="s">
        <v>60</v>
      </c>
      <c r="I2892" s="187">
        <v>0.97818179999999999</v>
      </c>
      <c r="J2892" s="187" t="s">
        <v>1026</v>
      </c>
      <c r="K2892" s="187" t="s">
        <v>116</v>
      </c>
      <c r="L2892" s="195">
        <v>0.56727269999999996</v>
      </c>
      <c r="M2892" s="195" t="s">
        <v>1026</v>
      </c>
      <c r="N2892" s="195" t="s">
        <v>117</v>
      </c>
      <c r="O2892" s="199">
        <v>0.1</v>
      </c>
      <c r="P2892" s="188"/>
      <c r="Q2892" s="174">
        <f>IF(ISNUMBER(VLOOKUP(A2892,NotghiID!A:A,1,FALSE)),1,0)</f>
        <v>1</v>
      </c>
      <c r="R2892" s="183"/>
    </row>
    <row r="2893" spans="1:18" ht="14.25" x14ac:dyDescent="0.2">
      <c r="A2893" s="189">
        <v>228</v>
      </c>
      <c r="B2893" s="232" t="str">
        <f>IF(AND(A2893&lt;&gt;"",ISNUMBER(A2893)),VLOOKUP(A2893,Studies!A:BR,2,FALSE),"")</f>
        <v>Gurley 2008b</v>
      </c>
      <c r="C2893" s="232" t="str">
        <f>IF(AND(A2893&lt;&gt;"",ISNUMBER(A2893)),VLOOKUP(A2893,Studies!A:BR,3,FALSE),"")</f>
        <v>https://www.ncbi.nlm.nih.gov/pubmed/18214850</v>
      </c>
      <c r="D2893" s="232" t="str">
        <f>IF(AND(A2893&lt;&gt;"",ISNUMBER(A2893)),VLOOKUP(A2893,Studies!A:BR,4,FALSE),"")</f>
        <v>Control (Perpetrator Placebo)</v>
      </c>
      <c r="E2893" s="206" t="str">
        <f>IF(AND(A2893&lt;&gt;"",ISNUMBER(A2893)),VLOOKUP(A2893,Studies!A:BR,5,FALSE),"")</f>
        <v>Digoxin</v>
      </c>
      <c r="F2893" s="207" t="str">
        <f>IF(AND(A2893&lt;&gt;"",ISNUMBER(A2893)),VLOOKUP(A2893,Studies!A:BR,6,FALSE),"")</f>
        <v>Serum</v>
      </c>
      <c r="G2893" s="194">
        <v>1</v>
      </c>
      <c r="H2893" s="194" t="s">
        <v>60</v>
      </c>
      <c r="I2893" s="187">
        <v>1.109091</v>
      </c>
      <c r="J2893" s="187" t="s">
        <v>1026</v>
      </c>
      <c r="K2893" s="187" t="s">
        <v>116</v>
      </c>
      <c r="L2893" s="195">
        <v>0.45090920000000001</v>
      </c>
      <c r="M2893" s="195" t="s">
        <v>1026</v>
      </c>
      <c r="N2893" s="195" t="s">
        <v>117</v>
      </c>
      <c r="O2893" s="199">
        <v>0.1</v>
      </c>
      <c r="P2893" s="188"/>
      <c r="Q2893" s="174">
        <f>IF(ISNUMBER(VLOOKUP(A2893,NotghiID!A:A,1,FALSE)),1,0)</f>
        <v>1</v>
      </c>
      <c r="R2893" s="183"/>
    </row>
    <row r="2894" spans="1:18" ht="14.25" x14ac:dyDescent="0.2">
      <c r="A2894" s="189">
        <v>228</v>
      </c>
      <c r="B2894" s="232" t="str">
        <f>IF(AND(A2894&lt;&gt;"",ISNUMBER(A2894)),VLOOKUP(A2894,Studies!A:BR,2,FALSE),"")</f>
        <v>Gurley 2008b</v>
      </c>
      <c r="C2894" s="232" t="str">
        <f>IF(AND(A2894&lt;&gt;"",ISNUMBER(A2894)),VLOOKUP(A2894,Studies!A:BR,3,FALSE),"")</f>
        <v>https://www.ncbi.nlm.nih.gov/pubmed/18214850</v>
      </c>
      <c r="D2894" s="232" t="str">
        <f>IF(AND(A2894&lt;&gt;"",ISNUMBER(A2894)),VLOOKUP(A2894,Studies!A:BR,4,FALSE),"")</f>
        <v>Control (Perpetrator Placebo)</v>
      </c>
      <c r="E2894" s="206" t="str">
        <f>IF(AND(A2894&lt;&gt;"",ISNUMBER(A2894)),VLOOKUP(A2894,Studies!A:BR,5,FALSE),"")</f>
        <v>Digoxin</v>
      </c>
      <c r="F2894" s="207" t="str">
        <f>IF(AND(A2894&lt;&gt;"",ISNUMBER(A2894)),VLOOKUP(A2894,Studies!A:BR,6,FALSE),"")</f>
        <v>Serum</v>
      </c>
      <c r="G2894" s="194">
        <v>1.5</v>
      </c>
      <c r="H2894" s="194" t="s">
        <v>60</v>
      </c>
      <c r="I2894" s="187">
        <v>0.93090910000000004</v>
      </c>
      <c r="J2894" s="187" t="s">
        <v>1026</v>
      </c>
      <c r="K2894" s="187" t="s">
        <v>116</v>
      </c>
      <c r="L2894" s="195">
        <v>0.34909089999999998</v>
      </c>
      <c r="M2894" s="195" t="s">
        <v>1026</v>
      </c>
      <c r="N2894" s="195" t="s">
        <v>117</v>
      </c>
      <c r="O2894" s="199">
        <v>0.1</v>
      </c>
      <c r="P2894" s="188"/>
      <c r="Q2894" s="174">
        <f>IF(ISNUMBER(VLOOKUP(A2894,NotghiID!A:A,1,FALSE)),1,0)</f>
        <v>1</v>
      </c>
      <c r="R2894" s="183"/>
    </row>
    <row r="2895" spans="1:18" ht="14.25" x14ac:dyDescent="0.2">
      <c r="A2895" s="189">
        <v>228</v>
      </c>
      <c r="B2895" s="232" t="str">
        <f>IF(AND(A2895&lt;&gt;"",ISNUMBER(A2895)),VLOOKUP(A2895,Studies!A:BR,2,FALSE),"")</f>
        <v>Gurley 2008b</v>
      </c>
      <c r="C2895" s="232" t="str">
        <f>IF(AND(A2895&lt;&gt;"",ISNUMBER(A2895)),VLOOKUP(A2895,Studies!A:BR,3,FALSE),"")</f>
        <v>https://www.ncbi.nlm.nih.gov/pubmed/18214850</v>
      </c>
      <c r="D2895" s="232" t="str">
        <f>IF(AND(A2895&lt;&gt;"",ISNUMBER(A2895)),VLOOKUP(A2895,Studies!A:BR,4,FALSE),"")</f>
        <v>Control (Perpetrator Placebo)</v>
      </c>
      <c r="E2895" s="206" t="str">
        <f>IF(AND(A2895&lt;&gt;"",ISNUMBER(A2895)),VLOOKUP(A2895,Studies!A:BR,5,FALSE),"")</f>
        <v>Digoxin</v>
      </c>
      <c r="F2895" s="207" t="str">
        <f>IF(AND(A2895&lt;&gt;"",ISNUMBER(A2895)),VLOOKUP(A2895,Studies!A:BR,6,FALSE),"")</f>
        <v>Serum</v>
      </c>
      <c r="G2895" s="194">
        <v>2</v>
      </c>
      <c r="H2895" s="194" t="s">
        <v>60</v>
      </c>
      <c r="I2895" s="187">
        <v>0.76</v>
      </c>
      <c r="J2895" s="187" t="s">
        <v>1026</v>
      </c>
      <c r="K2895" s="187" t="s">
        <v>116</v>
      </c>
      <c r="L2895" s="195">
        <v>0.29090909999999998</v>
      </c>
      <c r="M2895" s="195" t="s">
        <v>1026</v>
      </c>
      <c r="N2895" s="195" t="s">
        <v>117</v>
      </c>
      <c r="O2895" s="199">
        <v>0.1</v>
      </c>
      <c r="P2895" s="188"/>
      <c r="Q2895" s="174">
        <f>IF(ISNUMBER(VLOOKUP(A2895,NotghiID!A:A,1,FALSE)),1,0)</f>
        <v>1</v>
      </c>
      <c r="R2895" s="183"/>
    </row>
    <row r="2896" spans="1:18" ht="14.25" x14ac:dyDescent="0.2">
      <c r="A2896" s="189">
        <v>228</v>
      </c>
      <c r="B2896" s="232" t="str">
        <f>IF(AND(A2896&lt;&gt;"",ISNUMBER(A2896)),VLOOKUP(A2896,Studies!A:BR,2,FALSE),"")</f>
        <v>Gurley 2008b</v>
      </c>
      <c r="C2896" s="232" t="str">
        <f>IF(AND(A2896&lt;&gt;"",ISNUMBER(A2896)),VLOOKUP(A2896,Studies!A:BR,3,FALSE),"")</f>
        <v>https://www.ncbi.nlm.nih.gov/pubmed/18214850</v>
      </c>
      <c r="D2896" s="232" t="str">
        <f>IF(AND(A2896&lt;&gt;"",ISNUMBER(A2896)),VLOOKUP(A2896,Studies!A:BR,4,FALSE),"")</f>
        <v>Control (Perpetrator Placebo)</v>
      </c>
      <c r="E2896" s="206" t="str">
        <f>IF(AND(A2896&lt;&gt;"",ISNUMBER(A2896)),VLOOKUP(A2896,Studies!A:BR,5,FALSE),"")</f>
        <v>Digoxin</v>
      </c>
      <c r="F2896" s="207" t="str">
        <f>IF(AND(A2896&lt;&gt;"",ISNUMBER(A2896)),VLOOKUP(A2896,Studies!A:BR,6,FALSE),"")</f>
        <v>Serum</v>
      </c>
      <c r="G2896" s="157">
        <v>2.5</v>
      </c>
      <c r="H2896" s="194" t="s">
        <v>60</v>
      </c>
      <c r="I2896" s="187">
        <v>0.68</v>
      </c>
      <c r="J2896" s="187" t="s">
        <v>1026</v>
      </c>
      <c r="K2896" s="187" t="s">
        <v>116</v>
      </c>
      <c r="L2896" s="195">
        <v>0.21090909999999999</v>
      </c>
      <c r="M2896" s="195" t="s">
        <v>1026</v>
      </c>
      <c r="N2896" s="195" t="s">
        <v>117</v>
      </c>
      <c r="O2896" s="199">
        <v>0.1</v>
      </c>
      <c r="P2896" s="188" t="s">
        <v>1144</v>
      </c>
      <c r="Q2896" s="174">
        <f>IF(ISNUMBER(VLOOKUP(A2896,NotghiID!A:A,1,FALSE)),1,0)</f>
        <v>1</v>
      </c>
      <c r="R2896" s="183"/>
    </row>
    <row r="2897" spans="1:18" ht="14.25" x14ac:dyDescent="0.2">
      <c r="A2897" s="189">
        <v>228</v>
      </c>
      <c r="B2897" s="232" t="str">
        <f>IF(AND(A2897&lt;&gt;"",ISNUMBER(A2897)),VLOOKUP(A2897,Studies!A:BR,2,FALSE),"")</f>
        <v>Gurley 2008b</v>
      </c>
      <c r="C2897" s="232" t="str">
        <f>IF(AND(A2897&lt;&gt;"",ISNUMBER(A2897)),VLOOKUP(A2897,Studies!A:BR,3,FALSE),"")</f>
        <v>https://www.ncbi.nlm.nih.gov/pubmed/18214850</v>
      </c>
      <c r="D2897" s="232" t="str">
        <f>IF(AND(A2897&lt;&gt;"",ISNUMBER(A2897)),VLOOKUP(A2897,Studies!A:BR,4,FALSE),"")</f>
        <v>Control (Perpetrator Placebo)</v>
      </c>
      <c r="E2897" s="206" t="str">
        <f>IF(AND(A2897&lt;&gt;"",ISNUMBER(A2897)),VLOOKUP(A2897,Studies!A:BR,5,FALSE),"")</f>
        <v>Digoxin</v>
      </c>
      <c r="F2897" s="207" t="str">
        <f>IF(AND(A2897&lt;&gt;"",ISNUMBER(A2897)),VLOOKUP(A2897,Studies!A:BR,6,FALSE),"")</f>
        <v>Serum</v>
      </c>
      <c r="G2897" s="194">
        <v>3</v>
      </c>
      <c r="H2897" s="194" t="s">
        <v>60</v>
      </c>
      <c r="I2897" s="187">
        <v>0.62909090000000001</v>
      </c>
      <c r="J2897" s="187" t="s">
        <v>1026</v>
      </c>
      <c r="K2897" s="187" t="s">
        <v>116</v>
      </c>
      <c r="L2897" s="195">
        <v>0.16</v>
      </c>
      <c r="M2897" s="195" t="s">
        <v>1026</v>
      </c>
      <c r="N2897" s="195" t="s">
        <v>117</v>
      </c>
      <c r="O2897" s="199">
        <v>0.1</v>
      </c>
      <c r="P2897" s="188"/>
      <c r="Q2897" s="174">
        <f>IF(ISNUMBER(VLOOKUP(A2897,NotghiID!A:A,1,FALSE)),1,0)</f>
        <v>1</v>
      </c>
      <c r="R2897" s="183"/>
    </row>
    <row r="2898" spans="1:18" ht="14.25" x14ac:dyDescent="0.2">
      <c r="A2898" s="189">
        <v>228</v>
      </c>
      <c r="B2898" s="232" t="str">
        <f>IF(AND(A2898&lt;&gt;"",ISNUMBER(A2898)),VLOOKUP(A2898,Studies!A:BR,2,FALSE),"")</f>
        <v>Gurley 2008b</v>
      </c>
      <c r="C2898" s="232" t="str">
        <f>IF(AND(A2898&lt;&gt;"",ISNUMBER(A2898)),VLOOKUP(A2898,Studies!A:BR,3,FALSE),"")</f>
        <v>https://www.ncbi.nlm.nih.gov/pubmed/18214850</v>
      </c>
      <c r="D2898" s="232" t="str">
        <f>IF(AND(A2898&lt;&gt;"",ISNUMBER(A2898)),VLOOKUP(A2898,Studies!A:BR,4,FALSE),"")</f>
        <v>Control (Perpetrator Placebo)</v>
      </c>
      <c r="E2898" s="206" t="str">
        <f>IF(AND(A2898&lt;&gt;"",ISNUMBER(A2898)),VLOOKUP(A2898,Studies!A:BR,5,FALSE),"")</f>
        <v>Digoxin</v>
      </c>
      <c r="F2898" s="207" t="str">
        <f>IF(AND(A2898&lt;&gt;"",ISNUMBER(A2898)),VLOOKUP(A2898,Studies!A:BR,6,FALSE),"")</f>
        <v>Serum</v>
      </c>
      <c r="G2898" s="194">
        <v>4</v>
      </c>
      <c r="H2898" s="194" t="s">
        <v>60</v>
      </c>
      <c r="I2898" s="187">
        <v>0.44</v>
      </c>
      <c r="J2898" s="187" t="s">
        <v>1026</v>
      </c>
      <c r="K2898" s="187" t="s">
        <v>116</v>
      </c>
      <c r="L2898" s="195">
        <v>0.15272730000000001</v>
      </c>
      <c r="M2898" s="195" t="s">
        <v>1026</v>
      </c>
      <c r="N2898" s="195" t="s">
        <v>117</v>
      </c>
      <c r="O2898" s="199">
        <v>0.1</v>
      </c>
      <c r="P2898" s="188"/>
      <c r="Q2898" s="174">
        <f>IF(ISNUMBER(VLOOKUP(A2898,NotghiID!A:A,1,FALSE)),1,0)</f>
        <v>1</v>
      </c>
      <c r="R2898" s="183"/>
    </row>
    <row r="2899" spans="1:18" ht="14.25" x14ac:dyDescent="0.2">
      <c r="A2899" s="189">
        <v>228</v>
      </c>
      <c r="B2899" s="232" t="str">
        <f>IF(AND(A2899&lt;&gt;"",ISNUMBER(A2899)),VLOOKUP(A2899,Studies!A:BR,2,FALSE),"")</f>
        <v>Gurley 2008b</v>
      </c>
      <c r="C2899" s="232" t="str">
        <f>IF(AND(A2899&lt;&gt;"",ISNUMBER(A2899)),VLOOKUP(A2899,Studies!A:BR,3,FALSE),"")</f>
        <v>https://www.ncbi.nlm.nih.gov/pubmed/18214850</v>
      </c>
      <c r="D2899" s="232" t="str">
        <f>IF(AND(A2899&lt;&gt;"",ISNUMBER(A2899)),VLOOKUP(A2899,Studies!A:BR,4,FALSE),"")</f>
        <v>Control (Perpetrator Placebo)</v>
      </c>
      <c r="E2899" s="206" t="str">
        <f>IF(AND(A2899&lt;&gt;"",ISNUMBER(A2899)),VLOOKUP(A2899,Studies!A:BR,5,FALSE),"")</f>
        <v>Digoxin</v>
      </c>
      <c r="F2899" s="207" t="str">
        <f>IF(AND(A2899&lt;&gt;"",ISNUMBER(A2899)),VLOOKUP(A2899,Studies!A:BR,6,FALSE),"")</f>
        <v>Serum</v>
      </c>
      <c r="G2899" s="194">
        <v>6</v>
      </c>
      <c r="H2899" s="194" t="s">
        <v>60</v>
      </c>
      <c r="I2899" s="187">
        <v>0.28000000000000003</v>
      </c>
      <c r="J2899" s="187" t="s">
        <v>1026</v>
      </c>
      <c r="K2899" s="187" t="s">
        <v>116</v>
      </c>
      <c r="L2899" s="195">
        <v>7.2727280000000005E-2</v>
      </c>
      <c r="M2899" s="195" t="s">
        <v>1026</v>
      </c>
      <c r="N2899" s="195" t="s">
        <v>117</v>
      </c>
      <c r="O2899" s="199">
        <v>0.1</v>
      </c>
      <c r="P2899" s="188"/>
      <c r="Q2899" s="174">
        <f>IF(ISNUMBER(VLOOKUP(A2899,NotghiID!A:A,1,FALSE)),1,0)</f>
        <v>1</v>
      </c>
      <c r="R2899" s="183"/>
    </row>
    <row r="2900" spans="1:18" ht="14.25" x14ac:dyDescent="0.2">
      <c r="A2900" s="189">
        <v>229</v>
      </c>
      <c r="B2900" s="232" t="str">
        <f>IF(AND(A2900&lt;&gt;"",ISNUMBER(A2900)),VLOOKUP(A2900,Studies!A:BR,2,FALSE),"")</f>
        <v>Gurley 2008b</v>
      </c>
      <c r="C2900" s="232" t="str">
        <f>IF(AND(A2900&lt;&gt;"",ISNUMBER(A2900)),VLOOKUP(A2900,Studies!A:BR,3,FALSE),"")</f>
        <v>https://www.ncbi.nlm.nih.gov/pubmed/18214850</v>
      </c>
      <c r="D2900" s="232" t="str">
        <f>IF(AND(A2900&lt;&gt;"",ISNUMBER(A2900)),VLOOKUP(A2900,Studies!A:BR,4,FALSE),"")</f>
        <v>with Perpetrator (Clarithomycin)</v>
      </c>
      <c r="E2900" s="206" t="str">
        <f>IF(AND(A2900&lt;&gt;"",ISNUMBER(A2900)),VLOOKUP(A2900,Studies!A:BR,5,FALSE),"")</f>
        <v>Digoxin</v>
      </c>
      <c r="F2900" s="207" t="str">
        <f>IF(AND(A2900&lt;&gt;"",ISNUMBER(A2900)),VLOOKUP(A2900,Studies!A:BR,6,FALSE),"")</f>
        <v>Serum</v>
      </c>
      <c r="G2900" s="194">
        <v>146</v>
      </c>
      <c r="H2900" s="194" t="s">
        <v>60</v>
      </c>
      <c r="I2900" s="187" t="s">
        <v>1127</v>
      </c>
      <c r="J2900" s="187" t="s">
        <v>1026</v>
      </c>
      <c r="K2900" s="187" t="s">
        <v>116</v>
      </c>
      <c r="L2900" s="195"/>
      <c r="M2900" s="195"/>
      <c r="N2900" s="195"/>
      <c r="O2900" s="199">
        <v>0.1</v>
      </c>
      <c r="P2900" s="188"/>
      <c r="Q2900" s="174">
        <f>IF(ISNUMBER(VLOOKUP(A2900,NotghiID!A:A,1,FALSE)),1,0)</f>
        <v>1</v>
      </c>
      <c r="R2900" s="183"/>
    </row>
    <row r="2901" spans="1:18" ht="14.25" x14ac:dyDescent="0.2">
      <c r="A2901" s="189">
        <v>229</v>
      </c>
      <c r="B2901" s="232" t="str">
        <f>IF(AND(A2901&lt;&gt;"",ISNUMBER(A2901)),VLOOKUP(A2901,Studies!A:BR,2,FALSE),"")</f>
        <v>Gurley 2008b</v>
      </c>
      <c r="C2901" s="232" t="str">
        <f>IF(AND(A2901&lt;&gt;"",ISNUMBER(A2901)),VLOOKUP(A2901,Studies!A:BR,3,FALSE),"")</f>
        <v>https://www.ncbi.nlm.nih.gov/pubmed/18214850</v>
      </c>
      <c r="D2901" s="232" t="str">
        <f>IF(AND(A2901&lt;&gt;"",ISNUMBER(A2901)),VLOOKUP(A2901,Studies!A:BR,4,FALSE),"")</f>
        <v>with Perpetrator (Clarithomycin)</v>
      </c>
      <c r="E2901" s="206" t="str">
        <f>IF(AND(A2901&lt;&gt;"",ISNUMBER(A2901)),VLOOKUP(A2901,Studies!A:BR,5,FALSE),"")</f>
        <v>Digoxin</v>
      </c>
      <c r="F2901" s="207" t="str">
        <f>IF(AND(A2901&lt;&gt;"",ISNUMBER(A2901)),VLOOKUP(A2901,Studies!A:BR,6,FALSE),"")</f>
        <v>Serum</v>
      </c>
      <c r="G2901" s="194">
        <v>146.30000000000001</v>
      </c>
      <c r="H2901" s="194" t="s">
        <v>60</v>
      </c>
      <c r="I2901" s="187">
        <v>0.87272729999999998</v>
      </c>
      <c r="J2901" s="187" t="s">
        <v>1026</v>
      </c>
      <c r="K2901" s="187" t="s">
        <v>116</v>
      </c>
      <c r="L2901" s="195">
        <v>0.54545449999999995</v>
      </c>
      <c r="M2901" s="195" t="s">
        <v>1026</v>
      </c>
      <c r="N2901" s="195" t="s">
        <v>117</v>
      </c>
      <c r="O2901" s="199">
        <v>0.1</v>
      </c>
      <c r="P2901" s="188"/>
      <c r="Q2901" s="174">
        <f>IF(ISNUMBER(VLOOKUP(A2901,NotghiID!A:A,1,FALSE)),1,0)</f>
        <v>1</v>
      </c>
      <c r="R2901" s="183"/>
    </row>
    <row r="2902" spans="1:18" ht="14.25" x14ac:dyDescent="0.2">
      <c r="A2902" s="189">
        <v>229</v>
      </c>
      <c r="B2902" s="232" t="str">
        <f>IF(AND(A2902&lt;&gt;"",ISNUMBER(A2902)),VLOOKUP(A2902,Studies!A:BR,2,FALSE),"")</f>
        <v>Gurley 2008b</v>
      </c>
      <c r="C2902" s="232" t="str">
        <f>IF(AND(A2902&lt;&gt;"",ISNUMBER(A2902)),VLOOKUP(A2902,Studies!A:BR,3,FALSE),"")</f>
        <v>https://www.ncbi.nlm.nih.gov/pubmed/18214850</v>
      </c>
      <c r="D2902" s="232" t="str">
        <f>IF(AND(A2902&lt;&gt;"",ISNUMBER(A2902)),VLOOKUP(A2902,Studies!A:BR,4,FALSE),"")</f>
        <v>with Perpetrator (Clarithomycin)</v>
      </c>
      <c r="E2902" s="206" t="str">
        <f>IF(AND(A2902&lt;&gt;"",ISNUMBER(A2902)),VLOOKUP(A2902,Studies!A:BR,5,FALSE),"")</f>
        <v>Digoxin</v>
      </c>
      <c r="F2902" s="207" t="str">
        <f>IF(AND(A2902&lt;&gt;"",ISNUMBER(A2902)),VLOOKUP(A2902,Studies!A:BR,6,FALSE),"")</f>
        <v>Serum</v>
      </c>
      <c r="G2902" s="194">
        <v>146.66999999999999</v>
      </c>
      <c r="H2902" s="194" t="s">
        <v>60</v>
      </c>
      <c r="I2902" s="187">
        <v>1.56</v>
      </c>
      <c r="J2902" s="187" t="s">
        <v>1026</v>
      </c>
      <c r="K2902" s="187" t="s">
        <v>116</v>
      </c>
      <c r="L2902" s="195">
        <v>0.6072729</v>
      </c>
      <c r="M2902" s="195" t="s">
        <v>1026</v>
      </c>
      <c r="N2902" s="195" t="s">
        <v>117</v>
      </c>
      <c r="O2902" s="199">
        <v>0.1</v>
      </c>
      <c r="P2902" s="188"/>
      <c r="Q2902" s="174">
        <f>IF(ISNUMBER(VLOOKUP(A2902,NotghiID!A:A,1,FALSE)),1,0)</f>
        <v>1</v>
      </c>
      <c r="R2902" s="183"/>
    </row>
    <row r="2903" spans="1:18" ht="14.25" x14ac:dyDescent="0.2">
      <c r="A2903" s="189">
        <v>229</v>
      </c>
      <c r="B2903" s="232" t="str">
        <f>IF(AND(A2903&lt;&gt;"",ISNUMBER(A2903)),VLOOKUP(A2903,Studies!A:BR,2,FALSE),"")</f>
        <v>Gurley 2008b</v>
      </c>
      <c r="C2903" s="232" t="str">
        <f>IF(AND(A2903&lt;&gt;"",ISNUMBER(A2903)),VLOOKUP(A2903,Studies!A:BR,3,FALSE),"")</f>
        <v>https://www.ncbi.nlm.nih.gov/pubmed/18214850</v>
      </c>
      <c r="D2903" s="232" t="str">
        <f>IF(AND(A2903&lt;&gt;"",ISNUMBER(A2903)),VLOOKUP(A2903,Studies!A:BR,4,FALSE),"")</f>
        <v>with Perpetrator (Clarithomycin)</v>
      </c>
      <c r="E2903" s="206" t="str">
        <f>IF(AND(A2903&lt;&gt;"",ISNUMBER(A2903)),VLOOKUP(A2903,Studies!A:BR,5,FALSE),"")</f>
        <v>Digoxin</v>
      </c>
      <c r="F2903" s="207" t="str">
        <f>IF(AND(A2903&lt;&gt;"",ISNUMBER(A2903)),VLOOKUP(A2903,Studies!A:BR,6,FALSE),"")</f>
        <v>Serum</v>
      </c>
      <c r="G2903" s="194">
        <v>147</v>
      </c>
      <c r="H2903" s="194" t="s">
        <v>60</v>
      </c>
      <c r="I2903" s="187">
        <v>1.7090909999999999</v>
      </c>
      <c r="J2903" s="187" t="s">
        <v>1026</v>
      </c>
      <c r="K2903" s="187" t="s">
        <v>116</v>
      </c>
      <c r="L2903" s="195">
        <v>0.40727259999999998</v>
      </c>
      <c r="M2903" s="195" t="s">
        <v>1026</v>
      </c>
      <c r="N2903" s="195" t="s">
        <v>117</v>
      </c>
      <c r="O2903" s="199">
        <v>0.1</v>
      </c>
      <c r="P2903" s="188"/>
      <c r="Q2903" s="174">
        <f>IF(ISNUMBER(VLOOKUP(A2903,NotghiID!A:A,1,FALSE)),1,0)</f>
        <v>1</v>
      </c>
      <c r="R2903" s="183"/>
    </row>
    <row r="2904" spans="1:18" ht="14.25" x14ac:dyDescent="0.2">
      <c r="A2904" s="189">
        <v>229</v>
      </c>
      <c r="B2904" s="232" t="str">
        <f>IF(AND(A2904&lt;&gt;"",ISNUMBER(A2904)),VLOOKUP(A2904,Studies!A:BR,2,FALSE),"")</f>
        <v>Gurley 2008b</v>
      </c>
      <c r="C2904" s="232" t="str">
        <f>IF(AND(A2904&lt;&gt;"",ISNUMBER(A2904)),VLOOKUP(A2904,Studies!A:BR,3,FALSE),"")</f>
        <v>https://www.ncbi.nlm.nih.gov/pubmed/18214850</v>
      </c>
      <c r="D2904" s="232" t="str">
        <f>IF(AND(A2904&lt;&gt;"",ISNUMBER(A2904)),VLOOKUP(A2904,Studies!A:BR,4,FALSE),"")</f>
        <v>with Perpetrator (Clarithomycin)</v>
      </c>
      <c r="E2904" s="206" t="str">
        <f>IF(AND(A2904&lt;&gt;"",ISNUMBER(A2904)),VLOOKUP(A2904,Studies!A:BR,5,FALSE),"")</f>
        <v>Digoxin</v>
      </c>
      <c r="F2904" s="207" t="str">
        <f>IF(AND(A2904&lt;&gt;"",ISNUMBER(A2904)),VLOOKUP(A2904,Studies!A:BR,6,FALSE),"")</f>
        <v>Serum</v>
      </c>
      <c r="G2904" s="194">
        <v>147.5</v>
      </c>
      <c r="H2904" s="194" t="s">
        <v>60</v>
      </c>
      <c r="I2904" s="187">
        <v>1.618182</v>
      </c>
      <c r="J2904" s="187" t="s">
        <v>1026</v>
      </c>
      <c r="K2904" s="187" t="s">
        <v>116</v>
      </c>
      <c r="L2904" s="195">
        <v>0.39999990000000002</v>
      </c>
      <c r="M2904" s="195" t="s">
        <v>1026</v>
      </c>
      <c r="N2904" s="195" t="s">
        <v>117</v>
      </c>
      <c r="O2904" s="199">
        <v>0.1</v>
      </c>
      <c r="P2904" s="188"/>
      <c r="Q2904" s="174">
        <f>IF(ISNUMBER(VLOOKUP(A2904,NotghiID!A:A,1,FALSE)),1,0)</f>
        <v>1</v>
      </c>
      <c r="R2904" s="183"/>
    </row>
    <row r="2905" spans="1:18" ht="14.25" x14ac:dyDescent="0.2">
      <c r="A2905" s="189">
        <v>229</v>
      </c>
      <c r="B2905" s="232" t="str">
        <f>IF(AND(A2905&lt;&gt;"",ISNUMBER(A2905)),VLOOKUP(A2905,Studies!A:BR,2,FALSE),"")</f>
        <v>Gurley 2008b</v>
      </c>
      <c r="C2905" s="232" t="str">
        <f>IF(AND(A2905&lt;&gt;"",ISNUMBER(A2905)),VLOOKUP(A2905,Studies!A:BR,3,FALSE),"")</f>
        <v>https://www.ncbi.nlm.nih.gov/pubmed/18214850</v>
      </c>
      <c r="D2905" s="232" t="str">
        <f>IF(AND(A2905&lt;&gt;"",ISNUMBER(A2905)),VLOOKUP(A2905,Studies!A:BR,4,FALSE),"")</f>
        <v>with Perpetrator (Clarithomycin)</v>
      </c>
      <c r="E2905" s="206" t="str">
        <f>IF(AND(A2905&lt;&gt;"",ISNUMBER(A2905)),VLOOKUP(A2905,Studies!A:BR,5,FALSE),"")</f>
        <v>Digoxin</v>
      </c>
      <c r="F2905" s="207" t="str">
        <f>IF(AND(A2905&lt;&gt;"",ISNUMBER(A2905)),VLOOKUP(A2905,Studies!A:BR,6,FALSE),"")</f>
        <v>Serum</v>
      </c>
      <c r="G2905" s="194">
        <v>148</v>
      </c>
      <c r="H2905" s="194" t="s">
        <v>60</v>
      </c>
      <c r="I2905" s="187">
        <v>1.312727</v>
      </c>
      <c r="J2905" s="187" t="s">
        <v>1026</v>
      </c>
      <c r="K2905" s="187" t="s">
        <v>116</v>
      </c>
      <c r="L2905" s="195">
        <v>0.37454569999999998</v>
      </c>
      <c r="M2905" s="195" t="s">
        <v>1026</v>
      </c>
      <c r="N2905" s="195" t="s">
        <v>117</v>
      </c>
      <c r="O2905" s="199">
        <v>0.1</v>
      </c>
      <c r="P2905" s="188"/>
      <c r="Q2905" s="174">
        <f>IF(ISNUMBER(VLOOKUP(A2905,NotghiID!A:A,1,FALSE)),1,0)</f>
        <v>1</v>
      </c>
      <c r="R2905" s="183"/>
    </row>
    <row r="2906" spans="1:18" ht="14.25" x14ac:dyDescent="0.2">
      <c r="A2906" s="189">
        <v>229</v>
      </c>
      <c r="B2906" s="232" t="str">
        <f>IF(AND(A2906&lt;&gt;"",ISNUMBER(A2906)),VLOOKUP(A2906,Studies!A:BR,2,FALSE),"")</f>
        <v>Gurley 2008b</v>
      </c>
      <c r="C2906" s="232" t="str">
        <f>IF(AND(A2906&lt;&gt;"",ISNUMBER(A2906)),VLOOKUP(A2906,Studies!A:BR,3,FALSE),"")</f>
        <v>https://www.ncbi.nlm.nih.gov/pubmed/18214850</v>
      </c>
      <c r="D2906" s="232" t="str">
        <f>IF(AND(A2906&lt;&gt;"",ISNUMBER(A2906)),VLOOKUP(A2906,Studies!A:BR,4,FALSE),"")</f>
        <v>with Perpetrator (Clarithomycin)</v>
      </c>
      <c r="E2906" s="206" t="str">
        <f>IF(AND(A2906&lt;&gt;"",ISNUMBER(A2906)),VLOOKUP(A2906,Studies!A:BR,5,FALSE),"")</f>
        <v>Digoxin</v>
      </c>
      <c r="F2906" s="207" t="str">
        <f>IF(AND(A2906&lt;&gt;"",ISNUMBER(A2906)),VLOOKUP(A2906,Studies!A:BR,6,FALSE),"")</f>
        <v>Serum</v>
      </c>
      <c r="G2906" s="157">
        <v>148.5</v>
      </c>
      <c r="H2906" s="194" t="s">
        <v>60</v>
      </c>
      <c r="I2906" s="187">
        <v>1.069091</v>
      </c>
      <c r="J2906" s="187" t="s">
        <v>1026</v>
      </c>
      <c r="K2906" s="187" t="s">
        <v>116</v>
      </c>
      <c r="L2906" s="195">
        <v>0.3199999</v>
      </c>
      <c r="M2906" s="195" t="s">
        <v>1026</v>
      </c>
      <c r="N2906" s="195" t="s">
        <v>117</v>
      </c>
      <c r="O2906" s="199">
        <v>0.1</v>
      </c>
      <c r="P2906" s="188" t="s">
        <v>1145</v>
      </c>
      <c r="Q2906" s="174">
        <f>IF(ISNUMBER(VLOOKUP(A2906,NotghiID!A:A,1,FALSE)),1,0)</f>
        <v>1</v>
      </c>
      <c r="R2906" s="183"/>
    </row>
    <row r="2907" spans="1:18" ht="14.25" x14ac:dyDescent="0.2">
      <c r="A2907" s="189">
        <v>229</v>
      </c>
      <c r="B2907" s="232" t="str">
        <f>IF(AND(A2907&lt;&gt;"",ISNUMBER(A2907)),VLOOKUP(A2907,Studies!A:BR,2,FALSE),"")</f>
        <v>Gurley 2008b</v>
      </c>
      <c r="C2907" s="232" t="str">
        <f>IF(AND(A2907&lt;&gt;"",ISNUMBER(A2907)),VLOOKUP(A2907,Studies!A:BR,3,FALSE),"")</f>
        <v>https://www.ncbi.nlm.nih.gov/pubmed/18214850</v>
      </c>
      <c r="D2907" s="232" t="str">
        <f>IF(AND(A2907&lt;&gt;"",ISNUMBER(A2907)),VLOOKUP(A2907,Studies!A:BR,4,FALSE),"")</f>
        <v>with Perpetrator (Clarithomycin)</v>
      </c>
      <c r="E2907" s="206" t="str">
        <f>IF(AND(A2907&lt;&gt;"",ISNUMBER(A2907)),VLOOKUP(A2907,Studies!A:BR,5,FALSE),"")</f>
        <v>Digoxin</v>
      </c>
      <c r="F2907" s="207" t="str">
        <f>IF(AND(A2907&lt;&gt;"",ISNUMBER(A2907)),VLOOKUP(A2907,Studies!A:BR,6,FALSE),"")</f>
        <v>Serum</v>
      </c>
      <c r="G2907" s="194">
        <v>149</v>
      </c>
      <c r="H2907" s="194" t="s">
        <v>60</v>
      </c>
      <c r="I2907" s="187">
        <v>0.8</v>
      </c>
      <c r="J2907" s="187" t="s">
        <v>1026</v>
      </c>
      <c r="K2907" s="187" t="s">
        <v>116</v>
      </c>
      <c r="L2907" s="195">
        <v>0.33818179999999998</v>
      </c>
      <c r="M2907" s="195" t="s">
        <v>1026</v>
      </c>
      <c r="N2907" s="195" t="s">
        <v>117</v>
      </c>
      <c r="O2907" s="199">
        <v>0.1</v>
      </c>
      <c r="P2907" s="188"/>
      <c r="Q2907" s="174">
        <f>IF(ISNUMBER(VLOOKUP(A2907,NotghiID!A:A,1,FALSE)),1,0)</f>
        <v>1</v>
      </c>
      <c r="R2907" s="183"/>
    </row>
    <row r="2908" spans="1:18" ht="14.25" x14ac:dyDescent="0.2">
      <c r="A2908" s="189">
        <v>229</v>
      </c>
      <c r="B2908" s="232" t="str">
        <f>IF(AND(A2908&lt;&gt;"",ISNUMBER(A2908)),VLOOKUP(A2908,Studies!A:BR,2,FALSE),"")</f>
        <v>Gurley 2008b</v>
      </c>
      <c r="C2908" s="232" t="str">
        <f>IF(AND(A2908&lt;&gt;"",ISNUMBER(A2908)),VLOOKUP(A2908,Studies!A:BR,3,FALSE),"")</f>
        <v>https://www.ncbi.nlm.nih.gov/pubmed/18214850</v>
      </c>
      <c r="D2908" s="232" t="str">
        <f>IF(AND(A2908&lt;&gt;"",ISNUMBER(A2908)),VLOOKUP(A2908,Studies!A:BR,4,FALSE),"")</f>
        <v>with Perpetrator (Clarithomycin)</v>
      </c>
      <c r="E2908" s="206" t="str">
        <f>IF(AND(A2908&lt;&gt;"",ISNUMBER(A2908)),VLOOKUP(A2908,Studies!A:BR,5,FALSE),"")</f>
        <v>Digoxin</v>
      </c>
      <c r="F2908" s="207" t="str">
        <f>IF(AND(A2908&lt;&gt;"",ISNUMBER(A2908)),VLOOKUP(A2908,Studies!A:BR,6,FALSE),"")</f>
        <v>Serum</v>
      </c>
      <c r="G2908" s="194">
        <v>150</v>
      </c>
      <c r="H2908" s="194" t="s">
        <v>60</v>
      </c>
      <c r="I2908" s="187">
        <v>0.52</v>
      </c>
      <c r="J2908" s="187" t="s">
        <v>1026</v>
      </c>
      <c r="K2908" s="187" t="s">
        <v>116</v>
      </c>
      <c r="L2908" s="195">
        <v>0.18909090000000001</v>
      </c>
      <c r="M2908" s="195" t="s">
        <v>1026</v>
      </c>
      <c r="N2908" s="195" t="s">
        <v>117</v>
      </c>
      <c r="O2908" s="199">
        <v>0.1</v>
      </c>
      <c r="P2908" s="188"/>
      <c r="Q2908" s="174">
        <f>IF(ISNUMBER(VLOOKUP(A2908,NotghiID!A:A,1,FALSE)),1,0)</f>
        <v>1</v>
      </c>
      <c r="R2908" s="183"/>
    </row>
    <row r="2909" spans="1:18" ht="14.25" x14ac:dyDescent="0.2">
      <c r="A2909" s="189">
        <v>229</v>
      </c>
      <c r="B2909" s="232" t="str">
        <f>IF(AND(A2909&lt;&gt;"",ISNUMBER(A2909)),VLOOKUP(A2909,Studies!A:BR,2,FALSE),"")</f>
        <v>Gurley 2008b</v>
      </c>
      <c r="C2909" s="232" t="str">
        <f>IF(AND(A2909&lt;&gt;"",ISNUMBER(A2909)),VLOOKUP(A2909,Studies!A:BR,3,FALSE),"")</f>
        <v>https://www.ncbi.nlm.nih.gov/pubmed/18214850</v>
      </c>
      <c r="D2909" s="232" t="str">
        <f>IF(AND(A2909&lt;&gt;"",ISNUMBER(A2909)),VLOOKUP(A2909,Studies!A:BR,4,FALSE),"")</f>
        <v>with Perpetrator (Clarithomycin)</v>
      </c>
      <c r="E2909" s="206" t="str">
        <f>IF(AND(A2909&lt;&gt;"",ISNUMBER(A2909)),VLOOKUP(A2909,Studies!A:BR,5,FALSE),"")</f>
        <v>Digoxin</v>
      </c>
      <c r="F2909" s="207" t="str">
        <f>IF(AND(A2909&lt;&gt;"",ISNUMBER(A2909)),VLOOKUP(A2909,Studies!A:BR,6,FALSE),"")</f>
        <v>Serum</v>
      </c>
      <c r="G2909" s="194">
        <v>152</v>
      </c>
      <c r="H2909" s="194" t="s">
        <v>60</v>
      </c>
      <c r="I2909" s="187">
        <v>0.38909090000000002</v>
      </c>
      <c r="J2909" s="187" t="s">
        <v>1026</v>
      </c>
      <c r="K2909" s="187" t="s">
        <v>116</v>
      </c>
      <c r="L2909" s="195">
        <v>0.12</v>
      </c>
      <c r="M2909" s="195" t="s">
        <v>1026</v>
      </c>
      <c r="N2909" s="195" t="s">
        <v>117</v>
      </c>
      <c r="O2909" s="199">
        <v>0.1</v>
      </c>
      <c r="P2909" s="188"/>
      <c r="Q2909" s="174">
        <f>IF(ISNUMBER(VLOOKUP(A2909,NotghiID!A:A,1,FALSE)),1,0)</f>
        <v>1</v>
      </c>
      <c r="R2909" s="183"/>
    </row>
    <row r="2910" spans="1:18" ht="14.25" x14ac:dyDescent="0.2">
      <c r="A2910" s="189">
        <v>261</v>
      </c>
      <c r="B2910" s="232" t="str">
        <f>IF(AND(A2910&lt;&gt;"",ISNUMBER(A2910)),VLOOKUP(A2910,Studies!A:BR,2,FALSE),"")</f>
        <v>Hohmann 2015</v>
      </c>
      <c r="C2910" s="232" t="str">
        <f>IF(AND(A2910&lt;&gt;"",ISNUMBER(A2910)),VLOOKUP(A2910,Studies!A:BR,3,FALSE),"")</f>
        <v>https://www.ncbi.nlm.nih.gov/pubmed/25588320</v>
      </c>
      <c r="D2910" s="232" t="str">
        <f>IF(AND(A2910&lt;&gt;"",ISNUMBER(A2910)),VLOOKUP(A2910,Studies!A:BR,4,FALSE),"")</f>
        <v>iv 0.001 mg</v>
      </c>
      <c r="E2910" s="206" t="str">
        <f>IF(AND(A2910&lt;&gt;"",ISNUMBER(A2910)),VLOOKUP(A2910,Studies!A:BR,5,FALSE),"")</f>
        <v>Midazolam</v>
      </c>
      <c r="F2910" s="207" t="str">
        <f>IF(AND(A2910&lt;&gt;"",ISNUMBER(A2910)),VLOOKUP(A2910,Studies!A:BR,6,FALSE),"")</f>
        <v>Plasma</v>
      </c>
      <c r="G2910" s="194">
        <v>0.08</v>
      </c>
      <c r="H2910" s="194" t="s">
        <v>60</v>
      </c>
      <c r="I2910" s="187">
        <v>41.873550000000002</v>
      </c>
      <c r="J2910" s="187" t="s">
        <v>1031</v>
      </c>
      <c r="K2910" s="187" t="s">
        <v>116</v>
      </c>
      <c r="L2910" s="195">
        <v>19.004519999999999</v>
      </c>
      <c r="M2910" s="195" t="s">
        <v>1031</v>
      </c>
      <c r="N2910" s="195" t="s">
        <v>1146</v>
      </c>
      <c r="O2910" s="199">
        <v>9.2999999999999999E-2</v>
      </c>
      <c r="P2910" s="188"/>
      <c r="Q2910" s="174">
        <f>IF(ISNUMBER(VLOOKUP(A2910,NotghiID!A:A,1,FALSE)),1,0)</f>
        <v>1</v>
      </c>
      <c r="R2910" s="183"/>
    </row>
    <row r="2911" spans="1:18" ht="14.25" x14ac:dyDescent="0.2">
      <c r="A2911" s="189">
        <v>261</v>
      </c>
      <c r="B2911" s="232" t="str">
        <f>IF(AND(A2911&lt;&gt;"",ISNUMBER(A2911)),VLOOKUP(A2911,Studies!A:BR,2,FALSE),"")</f>
        <v>Hohmann 2015</v>
      </c>
      <c r="C2911" s="232" t="str">
        <f>IF(AND(A2911&lt;&gt;"",ISNUMBER(A2911)),VLOOKUP(A2911,Studies!A:BR,3,FALSE),"")</f>
        <v>https://www.ncbi.nlm.nih.gov/pubmed/25588320</v>
      </c>
      <c r="D2911" s="232" t="str">
        <f>IF(AND(A2911&lt;&gt;"",ISNUMBER(A2911)),VLOOKUP(A2911,Studies!A:BR,4,FALSE),"")</f>
        <v>iv 0.001 mg</v>
      </c>
      <c r="E2911" s="206" t="str">
        <f>IF(AND(A2911&lt;&gt;"",ISNUMBER(A2911)),VLOOKUP(A2911,Studies!A:BR,5,FALSE),"")</f>
        <v>Midazolam</v>
      </c>
      <c r="F2911" s="207" t="str">
        <f>IF(AND(A2911&lt;&gt;"",ISNUMBER(A2911)),VLOOKUP(A2911,Studies!A:BR,6,FALSE),"")</f>
        <v>Plasma</v>
      </c>
      <c r="G2911" s="194">
        <v>0.25</v>
      </c>
      <c r="H2911" s="194" t="s">
        <v>60</v>
      </c>
      <c r="I2911" s="187">
        <v>19.291810000000002</v>
      </c>
      <c r="J2911" s="187" t="s">
        <v>1031</v>
      </c>
      <c r="K2911" s="187" t="s">
        <v>116</v>
      </c>
      <c r="L2911" s="195">
        <v>4.5988559999999996</v>
      </c>
      <c r="M2911" s="195" t="s">
        <v>1031</v>
      </c>
      <c r="N2911" s="195" t="s">
        <v>1146</v>
      </c>
      <c r="O2911" s="199">
        <v>9.2999999999999999E-2</v>
      </c>
      <c r="P2911" s="188"/>
      <c r="Q2911" s="174">
        <f>IF(ISNUMBER(VLOOKUP(A2911,NotghiID!A:A,1,FALSE)),1,0)</f>
        <v>1</v>
      </c>
      <c r="R2911" s="183"/>
    </row>
    <row r="2912" spans="1:18" ht="14.25" x14ac:dyDescent="0.2">
      <c r="A2912" s="189">
        <v>261</v>
      </c>
      <c r="B2912" s="232" t="str">
        <f>IF(AND(A2912&lt;&gt;"",ISNUMBER(A2912)),VLOOKUP(A2912,Studies!A:BR,2,FALSE),"")</f>
        <v>Hohmann 2015</v>
      </c>
      <c r="C2912" s="232" t="str">
        <f>IF(AND(A2912&lt;&gt;"",ISNUMBER(A2912)),VLOOKUP(A2912,Studies!A:BR,3,FALSE),"")</f>
        <v>https://www.ncbi.nlm.nih.gov/pubmed/25588320</v>
      </c>
      <c r="D2912" s="232" t="str">
        <f>IF(AND(A2912&lt;&gt;"",ISNUMBER(A2912)),VLOOKUP(A2912,Studies!A:BR,4,FALSE),"")</f>
        <v>iv 0.001 mg</v>
      </c>
      <c r="E2912" s="206" t="str">
        <f>IF(AND(A2912&lt;&gt;"",ISNUMBER(A2912)),VLOOKUP(A2912,Studies!A:BR,5,FALSE),"")</f>
        <v>Midazolam</v>
      </c>
      <c r="F2912" s="207" t="str">
        <f>IF(AND(A2912&lt;&gt;"",ISNUMBER(A2912)),VLOOKUP(A2912,Studies!A:BR,6,FALSE),"")</f>
        <v>Plasma</v>
      </c>
      <c r="G2912" s="194">
        <v>0.5</v>
      </c>
      <c r="H2912" s="194" t="s">
        <v>60</v>
      </c>
      <c r="I2912" s="187">
        <v>14.381489999999999</v>
      </c>
      <c r="J2912" s="187" t="s">
        <v>1031</v>
      </c>
      <c r="K2912" s="187" t="s">
        <v>116</v>
      </c>
      <c r="L2912" s="195">
        <v>3.428315</v>
      </c>
      <c r="M2912" s="195" t="s">
        <v>1031</v>
      </c>
      <c r="N2912" s="195" t="s">
        <v>1146</v>
      </c>
      <c r="O2912" s="199">
        <v>9.2999999999999999E-2</v>
      </c>
      <c r="P2912" s="188"/>
      <c r="Q2912" s="174">
        <f>IF(ISNUMBER(VLOOKUP(A2912,NotghiID!A:A,1,FALSE)),1,0)</f>
        <v>1</v>
      </c>
      <c r="R2912" s="183"/>
    </row>
    <row r="2913" spans="1:17" ht="14.25" x14ac:dyDescent="0.2">
      <c r="A2913" s="189">
        <v>261</v>
      </c>
      <c r="B2913" s="232" t="str">
        <f>IF(AND(A2913&lt;&gt;"",ISNUMBER(A2913)),VLOOKUP(A2913,Studies!A:BR,2,FALSE),"")</f>
        <v>Hohmann 2015</v>
      </c>
      <c r="C2913" s="232" t="str">
        <f>IF(AND(A2913&lt;&gt;"",ISNUMBER(A2913)),VLOOKUP(A2913,Studies!A:BR,3,FALSE),"")</f>
        <v>https://www.ncbi.nlm.nih.gov/pubmed/25588320</v>
      </c>
      <c r="D2913" s="232" t="str">
        <f>IF(AND(A2913&lt;&gt;"",ISNUMBER(A2913)),VLOOKUP(A2913,Studies!A:BR,4,FALSE),"")</f>
        <v>iv 0.001 mg</v>
      </c>
      <c r="E2913" s="206" t="str">
        <f>IF(AND(A2913&lt;&gt;"",ISNUMBER(A2913)),VLOOKUP(A2913,Studies!A:BR,5,FALSE),"")</f>
        <v>Midazolam</v>
      </c>
      <c r="F2913" s="207" t="str">
        <f>IF(AND(A2913&lt;&gt;"",ISNUMBER(A2913)),VLOOKUP(A2913,Studies!A:BR,6,FALSE),"")</f>
        <v>Plasma</v>
      </c>
      <c r="G2913" s="194">
        <v>0.75</v>
      </c>
      <c r="H2913" s="194" t="s">
        <v>60</v>
      </c>
      <c r="I2913" s="187">
        <v>11.01107</v>
      </c>
      <c r="J2913" s="187" t="s">
        <v>1031</v>
      </c>
      <c r="K2913" s="187" t="s">
        <v>116</v>
      </c>
      <c r="L2913" s="195">
        <v>2.2660550000000002</v>
      </c>
      <c r="M2913" s="195" t="s">
        <v>1031</v>
      </c>
      <c r="N2913" s="195" t="s">
        <v>1146</v>
      </c>
      <c r="O2913" s="199">
        <v>9.2999999999999999E-2</v>
      </c>
      <c r="P2913" s="188"/>
      <c r="Q2913" s="174">
        <f>IF(ISNUMBER(VLOOKUP(A2913,NotghiID!A:A,1,FALSE)),1,0)</f>
        <v>1</v>
      </c>
    </row>
    <row r="2914" spans="1:17" ht="14.25" x14ac:dyDescent="0.2">
      <c r="A2914" s="189">
        <v>261</v>
      </c>
      <c r="B2914" s="232" t="str">
        <f>IF(AND(A2914&lt;&gt;"",ISNUMBER(A2914)),VLOOKUP(A2914,Studies!A:BR,2,FALSE),"")</f>
        <v>Hohmann 2015</v>
      </c>
      <c r="C2914" s="232" t="str">
        <f>IF(AND(A2914&lt;&gt;"",ISNUMBER(A2914)),VLOOKUP(A2914,Studies!A:BR,3,FALSE),"")</f>
        <v>https://www.ncbi.nlm.nih.gov/pubmed/25588320</v>
      </c>
      <c r="D2914" s="232" t="str">
        <f>IF(AND(A2914&lt;&gt;"",ISNUMBER(A2914)),VLOOKUP(A2914,Studies!A:BR,4,FALSE),"")</f>
        <v>iv 0.001 mg</v>
      </c>
      <c r="E2914" s="206" t="str">
        <f>IF(AND(A2914&lt;&gt;"",ISNUMBER(A2914)),VLOOKUP(A2914,Studies!A:BR,5,FALSE),"")</f>
        <v>Midazolam</v>
      </c>
      <c r="F2914" s="207" t="str">
        <f>IF(AND(A2914&lt;&gt;"",ISNUMBER(A2914)),VLOOKUP(A2914,Studies!A:BR,6,FALSE),"")</f>
        <v>Plasma</v>
      </c>
      <c r="G2914" s="194">
        <v>1</v>
      </c>
      <c r="H2914" s="194" t="s">
        <v>60</v>
      </c>
      <c r="I2914" s="187">
        <v>9.1347159999999992</v>
      </c>
      <c r="J2914" s="187" t="s">
        <v>1031</v>
      </c>
      <c r="K2914" s="187" t="s">
        <v>116</v>
      </c>
      <c r="L2914" s="195">
        <v>1.8795500000000001</v>
      </c>
      <c r="M2914" s="195" t="s">
        <v>1031</v>
      </c>
      <c r="N2914" s="195" t="s">
        <v>1146</v>
      </c>
      <c r="O2914" s="199">
        <v>9.2999999999999999E-2</v>
      </c>
      <c r="P2914" s="188"/>
      <c r="Q2914" s="174">
        <f>IF(ISNUMBER(VLOOKUP(A2914,NotghiID!A:A,1,FALSE)),1,0)</f>
        <v>1</v>
      </c>
    </row>
    <row r="2915" spans="1:17" ht="14.25" x14ac:dyDescent="0.2">
      <c r="A2915" s="189">
        <v>261</v>
      </c>
      <c r="B2915" s="232" t="str">
        <f>IF(AND(A2915&lt;&gt;"",ISNUMBER(A2915)),VLOOKUP(A2915,Studies!A:BR,2,FALSE),"")</f>
        <v>Hohmann 2015</v>
      </c>
      <c r="C2915" s="232" t="str">
        <f>IF(AND(A2915&lt;&gt;"",ISNUMBER(A2915)),VLOOKUP(A2915,Studies!A:BR,3,FALSE),"")</f>
        <v>https://www.ncbi.nlm.nih.gov/pubmed/25588320</v>
      </c>
      <c r="D2915" s="232" t="str">
        <f>IF(AND(A2915&lt;&gt;"",ISNUMBER(A2915)),VLOOKUP(A2915,Studies!A:BR,4,FALSE),"")</f>
        <v>iv 0.001 mg</v>
      </c>
      <c r="E2915" s="206" t="str">
        <f>IF(AND(A2915&lt;&gt;"",ISNUMBER(A2915)),VLOOKUP(A2915,Studies!A:BR,5,FALSE),"")</f>
        <v>Midazolam</v>
      </c>
      <c r="F2915" s="207" t="str">
        <f>IF(AND(A2915&lt;&gt;"",ISNUMBER(A2915)),VLOOKUP(A2915,Studies!A:BR,6,FALSE),"")</f>
        <v>Plasma</v>
      </c>
      <c r="G2915" s="194">
        <v>1.5</v>
      </c>
      <c r="H2915" s="194" t="s">
        <v>60</v>
      </c>
      <c r="I2915" s="187">
        <v>6.8114249999999998</v>
      </c>
      <c r="J2915" s="187" t="s">
        <v>1031</v>
      </c>
      <c r="K2915" s="187" t="s">
        <v>116</v>
      </c>
      <c r="L2915" s="195">
        <v>1.852522</v>
      </c>
      <c r="M2915" s="195" t="s">
        <v>1031</v>
      </c>
      <c r="N2915" s="195" t="s">
        <v>1146</v>
      </c>
      <c r="O2915" s="199">
        <v>9.2999999999999999E-2</v>
      </c>
      <c r="P2915" s="188"/>
      <c r="Q2915" s="174">
        <f>IF(ISNUMBER(VLOOKUP(A2915,NotghiID!A:A,1,FALSE)),1,0)</f>
        <v>1</v>
      </c>
    </row>
    <row r="2916" spans="1:17" ht="14.25" x14ac:dyDescent="0.2">
      <c r="A2916" s="189">
        <v>261</v>
      </c>
      <c r="B2916" s="232" t="str">
        <f>IF(AND(A2916&lt;&gt;"",ISNUMBER(A2916)),VLOOKUP(A2916,Studies!A:BR,2,FALSE),"")</f>
        <v>Hohmann 2015</v>
      </c>
      <c r="C2916" s="232" t="str">
        <f>IF(AND(A2916&lt;&gt;"",ISNUMBER(A2916)),VLOOKUP(A2916,Studies!A:BR,3,FALSE),"")</f>
        <v>https://www.ncbi.nlm.nih.gov/pubmed/25588320</v>
      </c>
      <c r="D2916" s="232" t="str">
        <f>IF(AND(A2916&lt;&gt;"",ISNUMBER(A2916)),VLOOKUP(A2916,Studies!A:BR,4,FALSE),"")</f>
        <v>iv 0.001 mg</v>
      </c>
      <c r="E2916" s="206" t="str">
        <f>IF(AND(A2916&lt;&gt;"",ISNUMBER(A2916)),VLOOKUP(A2916,Studies!A:BR,5,FALSE),"")</f>
        <v>Midazolam</v>
      </c>
      <c r="F2916" s="207" t="str">
        <f>IF(AND(A2916&lt;&gt;"",ISNUMBER(A2916)),VLOOKUP(A2916,Studies!A:BR,6,FALSE),"")</f>
        <v>Plasma</v>
      </c>
      <c r="G2916" s="194">
        <v>2</v>
      </c>
      <c r="H2916" s="194" t="s">
        <v>60</v>
      </c>
      <c r="I2916" s="187">
        <v>5.0790309999999996</v>
      </c>
      <c r="J2916" s="187" t="s">
        <v>1031</v>
      </c>
      <c r="K2916" s="187" t="s">
        <v>116</v>
      </c>
      <c r="L2916" s="195">
        <v>1.0450569999999999</v>
      </c>
      <c r="M2916" s="195" t="s">
        <v>1031</v>
      </c>
      <c r="N2916" s="195" t="s">
        <v>1146</v>
      </c>
      <c r="O2916" s="199">
        <v>9.2999999999999999E-2</v>
      </c>
      <c r="P2916" s="188"/>
      <c r="Q2916" s="174">
        <f>IF(ISNUMBER(VLOOKUP(A2916,NotghiID!A:A,1,FALSE)),1,0)</f>
        <v>1</v>
      </c>
    </row>
    <row r="2917" spans="1:17" ht="14.25" x14ac:dyDescent="0.2">
      <c r="A2917" s="189">
        <v>261</v>
      </c>
      <c r="B2917" s="232" t="str">
        <f>IF(AND(A2917&lt;&gt;"",ISNUMBER(A2917)),VLOOKUP(A2917,Studies!A:BR,2,FALSE),"")</f>
        <v>Hohmann 2015</v>
      </c>
      <c r="C2917" s="232" t="str">
        <f>IF(AND(A2917&lt;&gt;"",ISNUMBER(A2917)),VLOOKUP(A2917,Studies!A:BR,3,FALSE),"")</f>
        <v>https://www.ncbi.nlm.nih.gov/pubmed/25588320</v>
      </c>
      <c r="D2917" s="232" t="str">
        <f>IF(AND(A2917&lt;&gt;"",ISNUMBER(A2917)),VLOOKUP(A2917,Studies!A:BR,4,FALSE),"")</f>
        <v>iv 0.001 mg</v>
      </c>
      <c r="E2917" s="206" t="str">
        <f>IF(AND(A2917&lt;&gt;"",ISNUMBER(A2917)),VLOOKUP(A2917,Studies!A:BR,5,FALSE),"")</f>
        <v>Midazolam</v>
      </c>
      <c r="F2917" s="207" t="str">
        <f>IF(AND(A2917&lt;&gt;"",ISNUMBER(A2917)),VLOOKUP(A2917,Studies!A:BR,6,FALSE),"")</f>
        <v>Plasma</v>
      </c>
      <c r="G2917" s="194">
        <v>2.5</v>
      </c>
      <c r="H2917" s="194" t="s">
        <v>60</v>
      </c>
      <c r="I2917" s="187">
        <v>3.8899720000000002</v>
      </c>
      <c r="J2917" s="187" t="s">
        <v>1031</v>
      </c>
      <c r="K2917" s="187" t="s">
        <v>116</v>
      </c>
      <c r="L2917" s="195"/>
      <c r="M2917" s="195" t="s">
        <v>1031</v>
      </c>
      <c r="N2917" s="195" t="s">
        <v>1146</v>
      </c>
      <c r="O2917" s="199">
        <v>9.2999999999999999E-2</v>
      </c>
      <c r="P2917" s="188" t="s">
        <v>1147</v>
      </c>
      <c r="Q2917" s="174">
        <f>IF(ISNUMBER(VLOOKUP(A2917,NotghiID!A:A,1,FALSE)),1,0)</f>
        <v>1</v>
      </c>
    </row>
    <row r="2918" spans="1:17" ht="14.25" x14ac:dyDescent="0.2">
      <c r="A2918" s="189">
        <v>261</v>
      </c>
      <c r="B2918" s="232" t="str">
        <f>IF(AND(A2918&lt;&gt;"",ISNUMBER(A2918)),VLOOKUP(A2918,Studies!A:BR,2,FALSE),"")</f>
        <v>Hohmann 2015</v>
      </c>
      <c r="C2918" s="232" t="str">
        <f>IF(AND(A2918&lt;&gt;"",ISNUMBER(A2918)),VLOOKUP(A2918,Studies!A:BR,3,FALSE),"")</f>
        <v>https://www.ncbi.nlm.nih.gov/pubmed/25588320</v>
      </c>
      <c r="D2918" s="232" t="str">
        <f>IF(AND(A2918&lt;&gt;"",ISNUMBER(A2918)),VLOOKUP(A2918,Studies!A:BR,4,FALSE),"")</f>
        <v>iv 0.001 mg</v>
      </c>
      <c r="E2918" s="206" t="str">
        <f>IF(AND(A2918&lt;&gt;"",ISNUMBER(A2918)),VLOOKUP(A2918,Studies!A:BR,5,FALSE),"")</f>
        <v>Midazolam</v>
      </c>
      <c r="F2918" s="207" t="str">
        <f>IF(AND(A2918&lt;&gt;"",ISNUMBER(A2918)),VLOOKUP(A2918,Studies!A:BR,6,FALSE),"")</f>
        <v>Plasma</v>
      </c>
      <c r="G2918" s="194">
        <v>3</v>
      </c>
      <c r="H2918" s="194" t="s">
        <v>60</v>
      </c>
      <c r="I2918" s="187">
        <v>3.315375</v>
      </c>
      <c r="J2918" s="187" t="s">
        <v>1031</v>
      </c>
      <c r="K2918" s="187" t="s">
        <v>116</v>
      </c>
      <c r="L2918" s="195">
        <v>0.79046320000000003</v>
      </c>
      <c r="M2918" s="195" t="s">
        <v>1031</v>
      </c>
      <c r="N2918" s="195" t="s">
        <v>1146</v>
      </c>
      <c r="O2918" s="199">
        <v>9.2999999999999999E-2</v>
      </c>
      <c r="P2918" s="188"/>
      <c r="Q2918" s="174">
        <f>IF(ISNUMBER(VLOOKUP(A2918,NotghiID!A:A,1,FALSE)),1,0)</f>
        <v>1</v>
      </c>
    </row>
    <row r="2919" spans="1:17" ht="14.25" x14ac:dyDescent="0.2">
      <c r="A2919" s="189">
        <v>261</v>
      </c>
      <c r="B2919" s="232" t="str">
        <f>IF(AND(A2919&lt;&gt;"",ISNUMBER(A2919)),VLOOKUP(A2919,Studies!A:BR,2,FALSE),"")</f>
        <v>Hohmann 2015</v>
      </c>
      <c r="C2919" s="232" t="str">
        <f>IF(AND(A2919&lt;&gt;"",ISNUMBER(A2919)),VLOOKUP(A2919,Studies!A:BR,3,FALSE),"")</f>
        <v>https://www.ncbi.nlm.nih.gov/pubmed/25588320</v>
      </c>
      <c r="D2919" s="232" t="str">
        <f>IF(AND(A2919&lt;&gt;"",ISNUMBER(A2919)),VLOOKUP(A2919,Studies!A:BR,4,FALSE),"")</f>
        <v>iv 0.001 mg</v>
      </c>
      <c r="E2919" s="206" t="str">
        <f>IF(AND(A2919&lt;&gt;"",ISNUMBER(A2919)),VLOOKUP(A2919,Studies!A:BR,5,FALSE),"")</f>
        <v>Midazolam</v>
      </c>
      <c r="F2919" s="207" t="str">
        <f>IF(AND(A2919&lt;&gt;"",ISNUMBER(A2919)),VLOOKUP(A2919,Studies!A:BR,6,FALSE),"")</f>
        <v>Plasma</v>
      </c>
      <c r="G2919" s="194">
        <v>4</v>
      </c>
      <c r="H2919" s="194" t="s">
        <v>60</v>
      </c>
      <c r="I2919" s="187">
        <v>2.222763</v>
      </c>
      <c r="J2919" s="187" t="s">
        <v>1031</v>
      </c>
      <c r="K2919" s="187" t="s">
        <v>116</v>
      </c>
      <c r="L2919" s="195">
        <v>0.52995820000000005</v>
      </c>
      <c r="M2919" s="195" t="s">
        <v>1031</v>
      </c>
      <c r="N2919" s="195" t="s">
        <v>1146</v>
      </c>
      <c r="O2919" s="199">
        <v>9.2999999999999999E-2</v>
      </c>
      <c r="P2919" s="188"/>
      <c r="Q2919" s="174">
        <f>IF(ISNUMBER(VLOOKUP(A2919,NotghiID!A:A,1,FALSE)),1,0)</f>
        <v>1</v>
      </c>
    </row>
    <row r="2920" spans="1:17" ht="14.25" x14ac:dyDescent="0.2">
      <c r="A2920" s="189">
        <v>261</v>
      </c>
      <c r="B2920" s="232" t="str">
        <f>IF(AND(A2920&lt;&gt;"",ISNUMBER(A2920)),VLOOKUP(A2920,Studies!A:BR,2,FALSE),"")</f>
        <v>Hohmann 2015</v>
      </c>
      <c r="C2920" s="232" t="str">
        <f>IF(AND(A2920&lt;&gt;"",ISNUMBER(A2920)),VLOOKUP(A2920,Studies!A:BR,3,FALSE),"")</f>
        <v>https://www.ncbi.nlm.nih.gov/pubmed/25588320</v>
      </c>
      <c r="D2920" s="232" t="str">
        <f>IF(AND(A2920&lt;&gt;"",ISNUMBER(A2920)),VLOOKUP(A2920,Studies!A:BR,4,FALSE),"")</f>
        <v>iv 0.001 mg</v>
      </c>
      <c r="E2920" s="206" t="str">
        <f>IF(AND(A2920&lt;&gt;"",ISNUMBER(A2920)),VLOOKUP(A2920,Studies!A:BR,5,FALSE),"")</f>
        <v>Midazolam</v>
      </c>
      <c r="F2920" s="207" t="str">
        <f>IF(AND(A2920&lt;&gt;"",ISNUMBER(A2920)),VLOOKUP(A2920,Studies!A:BR,6,FALSE),"")</f>
        <v>Plasma</v>
      </c>
      <c r="G2920" s="194">
        <v>6</v>
      </c>
      <c r="H2920" s="194" t="s">
        <v>60</v>
      </c>
      <c r="I2920" s="187">
        <v>1.11182</v>
      </c>
      <c r="J2920" s="187" t="s">
        <v>1031</v>
      </c>
      <c r="K2920" s="187" t="s">
        <v>116</v>
      </c>
      <c r="L2920" s="195">
        <v>0.38004529999999997</v>
      </c>
      <c r="M2920" s="195" t="s">
        <v>1031</v>
      </c>
      <c r="N2920" s="195" t="s">
        <v>1146</v>
      </c>
      <c r="O2920" s="199">
        <v>9.2999999999999999E-2</v>
      </c>
      <c r="P2920" s="188"/>
      <c r="Q2920" s="174">
        <f>IF(ISNUMBER(VLOOKUP(A2920,NotghiID!A:A,1,FALSE)),1,0)</f>
        <v>1</v>
      </c>
    </row>
    <row r="2921" spans="1:17" ht="14.25" x14ac:dyDescent="0.2">
      <c r="A2921" s="189">
        <v>261</v>
      </c>
      <c r="B2921" s="232" t="str">
        <f>IF(AND(A2921&lt;&gt;"",ISNUMBER(A2921)),VLOOKUP(A2921,Studies!A:BR,2,FALSE),"")</f>
        <v>Hohmann 2015</v>
      </c>
      <c r="C2921" s="232" t="str">
        <f>IF(AND(A2921&lt;&gt;"",ISNUMBER(A2921)),VLOOKUP(A2921,Studies!A:BR,3,FALSE),"")</f>
        <v>https://www.ncbi.nlm.nih.gov/pubmed/25588320</v>
      </c>
      <c r="D2921" s="232" t="str">
        <f>IF(AND(A2921&lt;&gt;"",ISNUMBER(A2921)),VLOOKUP(A2921,Studies!A:BR,4,FALSE),"")</f>
        <v>iv 0.001 mg</v>
      </c>
      <c r="E2921" s="206" t="str">
        <f>IF(AND(A2921&lt;&gt;"",ISNUMBER(A2921)),VLOOKUP(A2921,Studies!A:BR,5,FALSE),"")</f>
        <v>Midazolam</v>
      </c>
      <c r="F2921" s="207" t="str">
        <f>IF(AND(A2921&lt;&gt;"",ISNUMBER(A2921)),VLOOKUP(A2921,Studies!A:BR,6,FALSE),"")</f>
        <v>Plasma</v>
      </c>
      <c r="G2921" s="194">
        <v>8</v>
      </c>
      <c r="H2921" s="194" t="s">
        <v>60</v>
      </c>
      <c r="I2921" s="187">
        <v>0.80853149999999996</v>
      </c>
      <c r="J2921" s="187" t="s">
        <v>1031</v>
      </c>
      <c r="K2921" s="187" t="s">
        <v>116</v>
      </c>
      <c r="L2921" s="195">
        <v>0.3988003</v>
      </c>
      <c r="M2921" s="195" t="s">
        <v>1031</v>
      </c>
      <c r="N2921" s="195" t="s">
        <v>1146</v>
      </c>
      <c r="O2921" s="199">
        <v>9.2999999999999999E-2</v>
      </c>
      <c r="P2921" s="188"/>
      <c r="Q2921" s="174">
        <f>IF(ISNUMBER(VLOOKUP(A2921,NotghiID!A:A,1,FALSE)),1,0)</f>
        <v>1</v>
      </c>
    </row>
    <row r="2922" spans="1:17" ht="14.25" x14ac:dyDescent="0.2">
      <c r="A2922" s="189">
        <v>261</v>
      </c>
      <c r="B2922" s="232" t="str">
        <f>IF(AND(A2922&lt;&gt;"",ISNUMBER(A2922)),VLOOKUP(A2922,Studies!A:BR,2,FALSE),"")</f>
        <v>Hohmann 2015</v>
      </c>
      <c r="C2922" s="232" t="str">
        <f>IF(AND(A2922&lt;&gt;"",ISNUMBER(A2922)),VLOOKUP(A2922,Studies!A:BR,3,FALSE),"")</f>
        <v>https://www.ncbi.nlm.nih.gov/pubmed/25588320</v>
      </c>
      <c r="D2922" s="232" t="str">
        <f>IF(AND(A2922&lt;&gt;"",ISNUMBER(A2922)),VLOOKUP(A2922,Studies!A:BR,4,FALSE),"")</f>
        <v>iv 0.001 mg</v>
      </c>
      <c r="E2922" s="206" t="str">
        <f>IF(AND(A2922&lt;&gt;"",ISNUMBER(A2922)),VLOOKUP(A2922,Studies!A:BR,5,FALSE),"")</f>
        <v>Midazolam</v>
      </c>
      <c r="F2922" s="207" t="str">
        <f>IF(AND(A2922&lt;&gt;"",ISNUMBER(A2922)),VLOOKUP(A2922,Studies!A:BR,6,FALSE),"")</f>
        <v>Plasma</v>
      </c>
      <c r="G2922" s="194">
        <v>10</v>
      </c>
      <c r="H2922" s="194" t="s">
        <v>60</v>
      </c>
      <c r="I2922" s="187">
        <v>0.50084980000000001</v>
      </c>
      <c r="J2922" s="187" t="s">
        <v>1031</v>
      </c>
      <c r="K2922" s="187" t="s">
        <v>116</v>
      </c>
      <c r="L2922" s="195">
        <v>0.3094826</v>
      </c>
      <c r="M2922" s="195" t="s">
        <v>1031</v>
      </c>
      <c r="N2922" s="195" t="s">
        <v>1146</v>
      </c>
      <c r="O2922" s="199">
        <v>9.2999999999999999E-2</v>
      </c>
      <c r="P2922" s="188"/>
      <c r="Q2922" s="174">
        <f>IF(ISNUMBER(VLOOKUP(A2922,NotghiID!A:A,1,FALSE)),1,0)</f>
        <v>1</v>
      </c>
    </row>
    <row r="2923" spans="1:17" ht="14.25" x14ac:dyDescent="0.2">
      <c r="A2923" s="189">
        <v>261</v>
      </c>
      <c r="B2923" s="232" t="str">
        <f>IF(AND(A2923&lt;&gt;"",ISNUMBER(A2923)),VLOOKUP(A2923,Studies!A:BR,2,FALSE),"")</f>
        <v>Hohmann 2015</v>
      </c>
      <c r="C2923" s="232" t="str">
        <f>IF(AND(A2923&lt;&gt;"",ISNUMBER(A2923)),VLOOKUP(A2923,Studies!A:BR,3,FALSE),"")</f>
        <v>https://www.ncbi.nlm.nih.gov/pubmed/25588320</v>
      </c>
      <c r="D2923" s="232" t="str">
        <f>IF(AND(A2923&lt;&gt;"",ISNUMBER(A2923)),VLOOKUP(A2923,Studies!A:BR,4,FALSE),"")</f>
        <v>iv 0.001 mg</v>
      </c>
      <c r="E2923" s="206" t="str">
        <f>IF(AND(A2923&lt;&gt;"",ISNUMBER(A2923)),VLOOKUP(A2923,Studies!A:BR,5,FALSE),"")</f>
        <v>Midazolam</v>
      </c>
      <c r="F2923" s="207" t="str">
        <f>IF(AND(A2923&lt;&gt;"",ISNUMBER(A2923)),VLOOKUP(A2923,Studies!A:BR,6,FALSE),"")</f>
        <v>Plasma</v>
      </c>
      <c r="G2923" s="194">
        <v>24</v>
      </c>
      <c r="H2923" s="194" t="s">
        <v>60</v>
      </c>
      <c r="I2923" s="187">
        <v>0.1050899</v>
      </c>
      <c r="J2923" s="187" t="s">
        <v>1031</v>
      </c>
      <c r="K2923" s="187" t="s">
        <v>116</v>
      </c>
      <c r="L2923" s="195"/>
      <c r="M2923" s="195"/>
      <c r="N2923" s="195"/>
      <c r="O2923" s="199">
        <v>9.2999999999999999E-2</v>
      </c>
      <c r="P2923" s="188"/>
      <c r="Q2923" s="174">
        <f>IF(ISNUMBER(VLOOKUP(A2923,NotghiID!A:A,1,FALSE)),1,0)</f>
        <v>1</v>
      </c>
    </row>
    <row r="2924" spans="1:17" ht="14.25" x14ac:dyDescent="0.2">
      <c r="A2924" s="189">
        <v>262</v>
      </c>
      <c r="B2924" s="232" t="str">
        <f>IF(AND(A2924&lt;&gt;"",ISNUMBER(A2924)),VLOOKUP(A2924,Studies!A:BR,2,FALSE),"")</f>
        <v>Hohmann 2015</v>
      </c>
      <c r="C2924" s="232" t="str">
        <f>IF(AND(A2924&lt;&gt;"",ISNUMBER(A2924)),VLOOKUP(A2924,Studies!A:BR,3,FALSE),"")</f>
        <v>https://www.ncbi.nlm.nih.gov/pubmed/25588320</v>
      </c>
      <c r="D2924" s="232" t="str">
        <f>IF(AND(A2924&lt;&gt;"",ISNUMBER(A2924)),VLOOKUP(A2924,Studies!A:BR,4,FALSE),"")</f>
        <v>iv 1 mg</v>
      </c>
      <c r="E2924" s="206" t="str">
        <f>IF(AND(A2924&lt;&gt;"",ISNUMBER(A2924)),VLOOKUP(A2924,Studies!A:BR,5,FALSE),"")</f>
        <v>Midazolam</v>
      </c>
      <c r="F2924" s="207" t="str">
        <f>IF(AND(A2924&lt;&gt;"",ISNUMBER(A2924)),VLOOKUP(A2924,Studies!A:BR,6,FALSE),"")</f>
        <v>Plasma</v>
      </c>
      <c r="G2924" s="194">
        <v>0.08</v>
      </c>
      <c r="H2924" s="194" t="s">
        <v>60</v>
      </c>
      <c r="I2924" s="187">
        <v>41397.17</v>
      </c>
      <c r="J2924" s="187" t="s">
        <v>1031</v>
      </c>
      <c r="K2924" s="187" t="s">
        <v>116</v>
      </c>
      <c r="L2924" s="195">
        <v>27394.36</v>
      </c>
      <c r="M2924" s="195" t="s">
        <v>1031</v>
      </c>
      <c r="N2924" s="195" t="s">
        <v>1146</v>
      </c>
      <c r="O2924" s="199">
        <v>9.2999999999999999E-2</v>
      </c>
      <c r="P2924" s="188"/>
      <c r="Q2924" s="174">
        <f>IF(ISNUMBER(VLOOKUP(A2924,NotghiID!A:A,1,FALSE)),1,0)</f>
        <v>1</v>
      </c>
    </row>
    <row r="2925" spans="1:17" ht="14.25" x14ac:dyDescent="0.2">
      <c r="A2925" s="189">
        <v>262</v>
      </c>
      <c r="B2925" s="232" t="str">
        <f>IF(AND(A2925&lt;&gt;"",ISNUMBER(A2925)),VLOOKUP(A2925,Studies!A:BR,2,FALSE),"")</f>
        <v>Hohmann 2015</v>
      </c>
      <c r="C2925" s="232" t="str">
        <f>IF(AND(A2925&lt;&gt;"",ISNUMBER(A2925)),VLOOKUP(A2925,Studies!A:BR,3,FALSE),"")</f>
        <v>https://www.ncbi.nlm.nih.gov/pubmed/25588320</v>
      </c>
      <c r="D2925" s="232" t="str">
        <f>IF(AND(A2925&lt;&gt;"",ISNUMBER(A2925)),VLOOKUP(A2925,Studies!A:BR,4,FALSE),"")</f>
        <v>iv 1 mg</v>
      </c>
      <c r="E2925" s="206" t="str">
        <f>IF(AND(A2925&lt;&gt;"",ISNUMBER(A2925)),VLOOKUP(A2925,Studies!A:BR,5,FALSE),"")</f>
        <v>Midazolam</v>
      </c>
      <c r="F2925" s="207" t="str">
        <f>IF(AND(A2925&lt;&gt;"",ISNUMBER(A2925)),VLOOKUP(A2925,Studies!A:BR,6,FALSE),"")</f>
        <v>Plasma</v>
      </c>
      <c r="G2925" s="194">
        <v>0.25</v>
      </c>
      <c r="H2925" s="194" t="s">
        <v>60</v>
      </c>
      <c r="I2925" s="187">
        <v>17138.36</v>
      </c>
      <c r="J2925" s="187" t="s">
        <v>1031</v>
      </c>
      <c r="K2925" s="187" t="s">
        <v>116</v>
      </c>
      <c r="L2925" s="195">
        <v>4661.1719999999996</v>
      </c>
      <c r="M2925" s="195" t="s">
        <v>1031</v>
      </c>
      <c r="N2925" s="195" t="s">
        <v>1146</v>
      </c>
      <c r="O2925" s="199">
        <v>9.2999999999999999E-2</v>
      </c>
      <c r="P2925" s="188"/>
      <c r="Q2925" s="174">
        <f>IF(ISNUMBER(VLOOKUP(A2925,NotghiID!A:A,1,FALSE)),1,0)</f>
        <v>1</v>
      </c>
    </row>
    <row r="2926" spans="1:17" ht="14.25" x14ac:dyDescent="0.2">
      <c r="A2926" s="189">
        <v>262</v>
      </c>
      <c r="B2926" s="232" t="str">
        <f>IF(AND(A2926&lt;&gt;"",ISNUMBER(A2926)),VLOOKUP(A2926,Studies!A:BR,2,FALSE),"")</f>
        <v>Hohmann 2015</v>
      </c>
      <c r="C2926" s="232" t="str">
        <f>IF(AND(A2926&lt;&gt;"",ISNUMBER(A2926)),VLOOKUP(A2926,Studies!A:BR,3,FALSE),"")</f>
        <v>https://www.ncbi.nlm.nih.gov/pubmed/25588320</v>
      </c>
      <c r="D2926" s="232" t="str">
        <f>IF(AND(A2926&lt;&gt;"",ISNUMBER(A2926)),VLOOKUP(A2926,Studies!A:BR,4,FALSE),"")</f>
        <v>iv 1 mg</v>
      </c>
      <c r="E2926" s="206" t="str">
        <f>IF(AND(A2926&lt;&gt;"",ISNUMBER(A2926)),VLOOKUP(A2926,Studies!A:BR,5,FALSE),"")</f>
        <v>Midazolam</v>
      </c>
      <c r="F2926" s="207" t="str">
        <f>IF(AND(A2926&lt;&gt;"",ISNUMBER(A2926)),VLOOKUP(A2926,Studies!A:BR,6,FALSE),"")</f>
        <v>Plasma</v>
      </c>
      <c r="G2926" s="194">
        <v>0.5</v>
      </c>
      <c r="H2926" s="194" t="s">
        <v>60</v>
      </c>
      <c r="I2926" s="187">
        <v>13477.32</v>
      </c>
      <c r="J2926" s="187" t="s">
        <v>1031</v>
      </c>
      <c r="K2926" s="187" t="s">
        <v>116</v>
      </c>
      <c r="L2926" s="195">
        <v>2773.08</v>
      </c>
      <c r="M2926" s="195" t="s">
        <v>1031</v>
      </c>
      <c r="N2926" s="195" t="s">
        <v>1146</v>
      </c>
      <c r="O2926" s="199">
        <v>9.2999999999999999E-2</v>
      </c>
      <c r="P2926" s="188"/>
      <c r="Q2926" s="174">
        <f>IF(ISNUMBER(VLOOKUP(A2926,NotghiID!A:A,1,FALSE)),1,0)</f>
        <v>1</v>
      </c>
    </row>
    <row r="2927" spans="1:17" ht="14.25" x14ac:dyDescent="0.2">
      <c r="A2927" s="189">
        <v>262</v>
      </c>
      <c r="B2927" s="232" t="str">
        <f>IF(AND(A2927&lt;&gt;"",ISNUMBER(A2927)),VLOOKUP(A2927,Studies!A:BR,2,FALSE),"")</f>
        <v>Hohmann 2015</v>
      </c>
      <c r="C2927" s="232" t="str">
        <f>IF(AND(A2927&lt;&gt;"",ISNUMBER(A2927)),VLOOKUP(A2927,Studies!A:BR,3,FALSE),"")</f>
        <v>https://www.ncbi.nlm.nih.gov/pubmed/25588320</v>
      </c>
      <c r="D2927" s="232" t="str">
        <f>IF(AND(A2927&lt;&gt;"",ISNUMBER(A2927)),VLOOKUP(A2927,Studies!A:BR,4,FALSE),"")</f>
        <v>iv 1 mg</v>
      </c>
      <c r="E2927" s="206" t="str">
        <f>IF(AND(A2927&lt;&gt;"",ISNUMBER(A2927)),VLOOKUP(A2927,Studies!A:BR,5,FALSE),"")</f>
        <v>Midazolam</v>
      </c>
      <c r="F2927" s="207" t="str">
        <f>IF(AND(A2927&lt;&gt;"",ISNUMBER(A2927)),VLOOKUP(A2927,Studies!A:BR,6,FALSE),"")</f>
        <v>Plasma</v>
      </c>
      <c r="G2927" s="194">
        <v>0.75</v>
      </c>
      <c r="H2927" s="194" t="s">
        <v>60</v>
      </c>
      <c r="I2927" s="187">
        <v>10046.959999999999</v>
      </c>
      <c r="J2927" s="187" t="s">
        <v>1031</v>
      </c>
      <c r="K2927" s="187" t="s">
        <v>116</v>
      </c>
      <c r="L2927" s="195">
        <v>2067.2469999999998</v>
      </c>
      <c r="M2927" s="195" t="s">
        <v>1031</v>
      </c>
      <c r="N2927" s="195" t="s">
        <v>1146</v>
      </c>
      <c r="O2927" s="199">
        <v>9.2999999999999999E-2</v>
      </c>
      <c r="P2927" s="188"/>
      <c r="Q2927" s="174">
        <f>IF(ISNUMBER(VLOOKUP(A2927,NotghiID!A:A,1,FALSE)),1,0)</f>
        <v>1</v>
      </c>
    </row>
    <row r="2928" spans="1:17" ht="14.25" x14ac:dyDescent="0.2">
      <c r="A2928" s="189">
        <v>262</v>
      </c>
      <c r="B2928" s="232" t="str">
        <f>IF(AND(A2928&lt;&gt;"",ISNUMBER(A2928)),VLOOKUP(A2928,Studies!A:BR,2,FALSE),"")</f>
        <v>Hohmann 2015</v>
      </c>
      <c r="C2928" s="232" t="str">
        <f>IF(AND(A2928&lt;&gt;"",ISNUMBER(A2928)),VLOOKUP(A2928,Studies!A:BR,3,FALSE),"")</f>
        <v>https://www.ncbi.nlm.nih.gov/pubmed/25588320</v>
      </c>
      <c r="D2928" s="232" t="str">
        <f>IF(AND(A2928&lt;&gt;"",ISNUMBER(A2928)),VLOOKUP(A2928,Studies!A:BR,4,FALSE),"")</f>
        <v>iv 1 mg</v>
      </c>
      <c r="E2928" s="206" t="str">
        <f>IF(AND(A2928&lt;&gt;"",ISNUMBER(A2928)),VLOOKUP(A2928,Studies!A:BR,5,FALSE),"")</f>
        <v>Midazolam</v>
      </c>
      <c r="F2928" s="207" t="str">
        <f>IF(AND(A2928&lt;&gt;"",ISNUMBER(A2928)),VLOOKUP(A2928,Studies!A:BR,6,FALSE),"")</f>
        <v>Plasma</v>
      </c>
      <c r="G2928" s="194">
        <v>1</v>
      </c>
      <c r="H2928" s="194" t="s">
        <v>60</v>
      </c>
      <c r="I2928" s="187">
        <v>8792.5990000000002</v>
      </c>
      <c r="J2928" s="187" t="s">
        <v>1031</v>
      </c>
      <c r="K2928" s="187" t="s">
        <v>116</v>
      </c>
      <c r="L2928" s="195"/>
      <c r="M2928" s="195"/>
      <c r="N2928" s="195" t="s">
        <v>1146</v>
      </c>
      <c r="O2928" s="199">
        <v>9.2999999999999999E-2</v>
      </c>
      <c r="P2928" s="188" t="s">
        <v>1147</v>
      </c>
      <c r="Q2928" s="174">
        <f>IF(ISNUMBER(VLOOKUP(A2928,NotghiID!A:A,1,FALSE)),1,0)</f>
        <v>1</v>
      </c>
    </row>
    <row r="2929" spans="1:17" ht="14.25" x14ac:dyDescent="0.2">
      <c r="A2929" s="189">
        <v>262</v>
      </c>
      <c r="B2929" s="232" t="str">
        <f>IF(AND(A2929&lt;&gt;"",ISNUMBER(A2929)),VLOOKUP(A2929,Studies!A:BR,2,FALSE),"")</f>
        <v>Hohmann 2015</v>
      </c>
      <c r="C2929" s="232" t="str">
        <f>IF(AND(A2929&lt;&gt;"",ISNUMBER(A2929)),VLOOKUP(A2929,Studies!A:BR,3,FALSE),"")</f>
        <v>https://www.ncbi.nlm.nih.gov/pubmed/25588320</v>
      </c>
      <c r="D2929" s="232" t="str">
        <f>IF(AND(A2929&lt;&gt;"",ISNUMBER(A2929)),VLOOKUP(A2929,Studies!A:BR,4,FALSE),"")</f>
        <v>iv 1 mg</v>
      </c>
      <c r="E2929" s="206" t="str">
        <f>IF(AND(A2929&lt;&gt;"",ISNUMBER(A2929)),VLOOKUP(A2929,Studies!A:BR,5,FALSE),"")</f>
        <v>Midazolam</v>
      </c>
      <c r="F2929" s="207" t="str">
        <f>IF(AND(A2929&lt;&gt;"",ISNUMBER(A2929)),VLOOKUP(A2929,Studies!A:BR,6,FALSE),"")</f>
        <v>Plasma</v>
      </c>
      <c r="G2929" s="194">
        <v>1.5</v>
      </c>
      <c r="H2929" s="194" t="s">
        <v>60</v>
      </c>
      <c r="I2929" s="187">
        <v>6733.9340000000002</v>
      </c>
      <c r="J2929" s="187" t="s">
        <v>1031</v>
      </c>
      <c r="K2929" s="187" t="s">
        <v>116</v>
      </c>
      <c r="L2929" s="195"/>
      <c r="M2929" s="195"/>
      <c r="N2929" s="195" t="s">
        <v>1146</v>
      </c>
      <c r="O2929" s="199">
        <v>9.2999999999999999E-2</v>
      </c>
      <c r="P2929" s="188" t="s">
        <v>1147</v>
      </c>
      <c r="Q2929" s="174">
        <f>IF(ISNUMBER(VLOOKUP(A2929,NotghiID!A:A,1,FALSE)),1,0)</f>
        <v>1</v>
      </c>
    </row>
    <row r="2930" spans="1:17" ht="14.25" x14ac:dyDescent="0.2">
      <c r="A2930" s="189">
        <v>262</v>
      </c>
      <c r="B2930" s="232" t="str">
        <f>IF(AND(A2930&lt;&gt;"",ISNUMBER(A2930)),VLOOKUP(A2930,Studies!A:BR,2,FALSE),"")</f>
        <v>Hohmann 2015</v>
      </c>
      <c r="C2930" s="232" t="str">
        <f>IF(AND(A2930&lt;&gt;"",ISNUMBER(A2930)),VLOOKUP(A2930,Studies!A:BR,3,FALSE),"")</f>
        <v>https://www.ncbi.nlm.nih.gov/pubmed/25588320</v>
      </c>
      <c r="D2930" s="232" t="str">
        <f>IF(AND(A2930&lt;&gt;"",ISNUMBER(A2930)),VLOOKUP(A2930,Studies!A:BR,4,FALSE),"")</f>
        <v>iv 1 mg</v>
      </c>
      <c r="E2930" s="206" t="str">
        <f>IF(AND(A2930&lt;&gt;"",ISNUMBER(A2930)),VLOOKUP(A2930,Studies!A:BR,5,FALSE),"")</f>
        <v>Midazolam</v>
      </c>
      <c r="F2930" s="207" t="str">
        <f>IF(AND(A2930&lt;&gt;"",ISNUMBER(A2930)),VLOOKUP(A2930,Studies!A:BR,6,FALSE),"")</f>
        <v>Plasma</v>
      </c>
      <c r="G2930" s="194">
        <v>2</v>
      </c>
      <c r="H2930" s="194" t="s">
        <v>60</v>
      </c>
      <c r="I2930" s="187">
        <v>4888.9669999999996</v>
      </c>
      <c r="J2930" s="187" t="s">
        <v>1031</v>
      </c>
      <c r="K2930" s="187" t="s">
        <v>116</v>
      </c>
      <c r="L2930" s="195"/>
      <c r="M2930" s="195"/>
      <c r="N2930" s="195" t="s">
        <v>1146</v>
      </c>
      <c r="O2930" s="199">
        <v>9.2999999999999999E-2</v>
      </c>
      <c r="P2930" s="188" t="s">
        <v>1147</v>
      </c>
      <c r="Q2930" s="174">
        <f>IF(ISNUMBER(VLOOKUP(A2930,NotghiID!A:A,1,FALSE)),1,0)</f>
        <v>1</v>
      </c>
    </row>
    <row r="2931" spans="1:17" ht="14.25" x14ac:dyDescent="0.2">
      <c r="A2931" s="189">
        <v>262</v>
      </c>
      <c r="B2931" s="232" t="str">
        <f>IF(AND(A2931&lt;&gt;"",ISNUMBER(A2931)),VLOOKUP(A2931,Studies!A:BR,2,FALSE),"")</f>
        <v>Hohmann 2015</v>
      </c>
      <c r="C2931" s="232" t="str">
        <f>IF(AND(A2931&lt;&gt;"",ISNUMBER(A2931)),VLOOKUP(A2931,Studies!A:BR,3,FALSE),"")</f>
        <v>https://www.ncbi.nlm.nih.gov/pubmed/25588320</v>
      </c>
      <c r="D2931" s="232" t="str">
        <f>IF(AND(A2931&lt;&gt;"",ISNUMBER(A2931)),VLOOKUP(A2931,Studies!A:BR,4,FALSE),"")</f>
        <v>iv 1 mg</v>
      </c>
      <c r="E2931" s="206" t="str">
        <f>IF(AND(A2931&lt;&gt;"",ISNUMBER(A2931)),VLOOKUP(A2931,Studies!A:BR,5,FALSE),"")</f>
        <v>Midazolam</v>
      </c>
      <c r="F2931" s="207" t="str">
        <f>IF(AND(A2931&lt;&gt;"",ISNUMBER(A2931)),VLOOKUP(A2931,Studies!A:BR,6,FALSE),"")</f>
        <v>Plasma</v>
      </c>
      <c r="G2931" s="194">
        <v>2.5</v>
      </c>
      <c r="H2931" s="194" t="s">
        <v>60</v>
      </c>
      <c r="I2931" s="187">
        <v>3949.7719999999999</v>
      </c>
      <c r="J2931" s="187" t="s">
        <v>1031</v>
      </c>
      <c r="K2931" s="187" t="s">
        <v>116</v>
      </c>
      <c r="L2931" s="195"/>
      <c r="M2931" s="195"/>
      <c r="N2931" s="195" t="s">
        <v>1146</v>
      </c>
      <c r="O2931" s="199">
        <v>9.2999999999999999E-2</v>
      </c>
      <c r="P2931" s="188" t="s">
        <v>1147</v>
      </c>
      <c r="Q2931" s="174">
        <f>IF(ISNUMBER(VLOOKUP(A2931,NotghiID!A:A,1,FALSE)),1,0)</f>
        <v>1</v>
      </c>
    </row>
    <row r="2932" spans="1:17" ht="14.25" x14ac:dyDescent="0.2">
      <c r="A2932" s="189">
        <v>262</v>
      </c>
      <c r="B2932" s="232" t="str">
        <f>IF(AND(A2932&lt;&gt;"",ISNUMBER(A2932)),VLOOKUP(A2932,Studies!A:BR,2,FALSE),"")</f>
        <v>Hohmann 2015</v>
      </c>
      <c r="C2932" s="232" t="str">
        <f>IF(AND(A2932&lt;&gt;"",ISNUMBER(A2932)),VLOOKUP(A2932,Studies!A:BR,3,FALSE),"")</f>
        <v>https://www.ncbi.nlm.nih.gov/pubmed/25588320</v>
      </c>
      <c r="D2932" s="232" t="str">
        <f>IF(AND(A2932&lt;&gt;"",ISNUMBER(A2932)),VLOOKUP(A2932,Studies!A:BR,4,FALSE),"")</f>
        <v>iv 1 mg</v>
      </c>
      <c r="E2932" s="206" t="str">
        <f>IF(AND(A2932&lt;&gt;"",ISNUMBER(A2932)),VLOOKUP(A2932,Studies!A:BR,5,FALSE),"")</f>
        <v>Midazolam</v>
      </c>
      <c r="F2932" s="207" t="str">
        <f>IF(AND(A2932&lt;&gt;"",ISNUMBER(A2932)),VLOOKUP(A2932,Studies!A:BR,6,FALSE),"")</f>
        <v>Plasma</v>
      </c>
      <c r="G2932" s="194">
        <v>3</v>
      </c>
      <c r="H2932" s="194" t="s">
        <v>60</v>
      </c>
      <c r="I2932" s="187">
        <v>3366.45</v>
      </c>
      <c r="J2932" s="187" t="s">
        <v>1031</v>
      </c>
      <c r="K2932" s="187" t="s">
        <v>116</v>
      </c>
      <c r="L2932" s="195"/>
      <c r="M2932" s="195"/>
      <c r="N2932" s="195" t="s">
        <v>1146</v>
      </c>
      <c r="O2932" s="199">
        <v>9.2999999999999999E-2</v>
      </c>
      <c r="P2932" s="188" t="s">
        <v>1147</v>
      </c>
      <c r="Q2932" s="174">
        <f>IF(ISNUMBER(VLOOKUP(A2932,NotghiID!A:A,1,FALSE)),1,0)</f>
        <v>1</v>
      </c>
    </row>
    <row r="2933" spans="1:17" ht="14.25" x14ac:dyDescent="0.2">
      <c r="A2933" s="189">
        <v>262</v>
      </c>
      <c r="B2933" s="232" t="str">
        <f>IF(AND(A2933&lt;&gt;"",ISNUMBER(A2933)),VLOOKUP(A2933,Studies!A:BR,2,FALSE),"")</f>
        <v>Hohmann 2015</v>
      </c>
      <c r="C2933" s="232" t="str">
        <f>IF(AND(A2933&lt;&gt;"",ISNUMBER(A2933)),VLOOKUP(A2933,Studies!A:BR,3,FALSE),"")</f>
        <v>https://www.ncbi.nlm.nih.gov/pubmed/25588320</v>
      </c>
      <c r="D2933" s="232" t="str">
        <f>IF(AND(A2933&lt;&gt;"",ISNUMBER(A2933)),VLOOKUP(A2933,Studies!A:BR,4,FALSE),"")</f>
        <v>iv 1 mg</v>
      </c>
      <c r="E2933" s="206" t="str">
        <f>IF(AND(A2933&lt;&gt;"",ISNUMBER(A2933)),VLOOKUP(A2933,Studies!A:BR,5,FALSE),"")</f>
        <v>Midazolam</v>
      </c>
      <c r="F2933" s="207" t="str">
        <f>IF(AND(A2933&lt;&gt;"",ISNUMBER(A2933)),VLOOKUP(A2933,Studies!A:BR,6,FALSE),"")</f>
        <v>Plasma</v>
      </c>
      <c r="G2933" s="194">
        <v>4</v>
      </c>
      <c r="H2933" s="194" t="s">
        <v>60</v>
      </c>
      <c r="I2933" s="187">
        <v>2318.1480000000001</v>
      </c>
      <c r="J2933" s="187" t="s">
        <v>1031</v>
      </c>
      <c r="K2933" s="187" t="s">
        <v>116</v>
      </c>
      <c r="L2933" s="195">
        <v>552.70140000000004</v>
      </c>
      <c r="M2933" s="195" t="s">
        <v>1031</v>
      </c>
      <c r="N2933" s="195" t="s">
        <v>1146</v>
      </c>
      <c r="O2933" s="199">
        <v>9.2999999999999999E-2</v>
      </c>
      <c r="P2933" s="188"/>
      <c r="Q2933" s="174">
        <f>IF(ISNUMBER(VLOOKUP(A2933,NotghiID!A:A,1,FALSE)),1,0)</f>
        <v>1</v>
      </c>
    </row>
    <row r="2934" spans="1:17" ht="14.25" x14ac:dyDescent="0.2">
      <c r="A2934" s="189">
        <v>262</v>
      </c>
      <c r="B2934" s="232" t="str">
        <f>IF(AND(A2934&lt;&gt;"",ISNUMBER(A2934)),VLOOKUP(A2934,Studies!A:BR,2,FALSE),"")</f>
        <v>Hohmann 2015</v>
      </c>
      <c r="C2934" s="232" t="str">
        <f>IF(AND(A2934&lt;&gt;"",ISNUMBER(A2934)),VLOOKUP(A2934,Studies!A:BR,3,FALSE),"")</f>
        <v>https://www.ncbi.nlm.nih.gov/pubmed/25588320</v>
      </c>
      <c r="D2934" s="232" t="str">
        <f>IF(AND(A2934&lt;&gt;"",ISNUMBER(A2934)),VLOOKUP(A2934,Studies!A:BR,4,FALSE),"")</f>
        <v>iv 1 mg</v>
      </c>
      <c r="E2934" s="206" t="str">
        <f>IF(AND(A2934&lt;&gt;"",ISNUMBER(A2934)),VLOOKUP(A2934,Studies!A:BR,5,FALSE),"")</f>
        <v>Midazolam</v>
      </c>
      <c r="F2934" s="207" t="str">
        <f>IF(AND(A2934&lt;&gt;"",ISNUMBER(A2934)),VLOOKUP(A2934,Studies!A:BR,6,FALSE),"")</f>
        <v>Plasma</v>
      </c>
      <c r="G2934" s="194">
        <v>6</v>
      </c>
      <c r="H2934" s="194" t="s">
        <v>60</v>
      </c>
      <c r="I2934" s="187">
        <v>1223.2070000000001</v>
      </c>
      <c r="J2934" s="187" t="s">
        <v>1031</v>
      </c>
      <c r="K2934" s="187" t="s">
        <v>116</v>
      </c>
      <c r="L2934" s="195">
        <v>332.72910000000002</v>
      </c>
      <c r="M2934" s="195" t="s">
        <v>1031</v>
      </c>
      <c r="N2934" s="195" t="s">
        <v>1146</v>
      </c>
      <c r="O2934" s="199">
        <v>9.2999999999999999E-2</v>
      </c>
      <c r="P2934" s="188"/>
      <c r="Q2934" s="174">
        <f>IF(ISNUMBER(VLOOKUP(A2934,NotghiID!A:A,1,FALSE)),1,0)</f>
        <v>1</v>
      </c>
    </row>
    <row r="2935" spans="1:17" ht="14.25" x14ac:dyDescent="0.2">
      <c r="A2935" s="189">
        <v>262</v>
      </c>
      <c r="B2935" s="232" t="str">
        <f>IF(AND(A2935&lt;&gt;"",ISNUMBER(A2935)),VLOOKUP(A2935,Studies!A:BR,2,FALSE),"")</f>
        <v>Hohmann 2015</v>
      </c>
      <c r="C2935" s="232" t="str">
        <f>IF(AND(A2935&lt;&gt;"",ISNUMBER(A2935)),VLOOKUP(A2935,Studies!A:BR,3,FALSE),"")</f>
        <v>https://www.ncbi.nlm.nih.gov/pubmed/25588320</v>
      </c>
      <c r="D2935" s="232" t="str">
        <f>IF(AND(A2935&lt;&gt;"",ISNUMBER(A2935)),VLOOKUP(A2935,Studies!A:BR,4,FALSE),"")</f>
        <v>iv 1 mg</v>
      </c>
      <c r="E2935" s="206" t="str">
        <f>IF(AND(A2935&lt;&gt;"",ISNUMBER(A2935)),VLOOKUP(A2935,Studies!A:BR,5,FALSE),"")</f>
        <v>Midazolam</v>
      </c>
      <c r="F2935" s="207" t="str">
        <f>IF(AND(A2935&lt;&gt;"",ISNUMBER(A2935)),VLOOKUP(A2935,Studies!A:BR,6,FALSE),"")</f>
        <v>Plasma</v>
      </c>
      <c r="G2935" s="194">
        <v>8</v>
      </c>
      <c r="H2935" s="194" t="s">
        <v>60</v>
      </c>
      <c r="I2935" s="187">
        <v>866.07150000000001</v>
      </c>
      <c r="J2935" s="187" t="s">
        <v>1031</v>
      </c>
      <c r="K2935" s="187" t="s">
        <v>116</v>
      </c>
      <c r="L2935" s="195">
        <v>462.21609999999998</v>
      </c>
      <c r="M2935" s="195" t="s">
        <v>1031</v>
      </c>
      <c r="N2935" s="195" t="s">
        <v>1146</v>
      </c>
      <c r="O2935" s="199">
        <v>9.2999999999999999E-2</v>
      </c>
      <c r="P2935" s="188"/>
      <c r="Q2935" s="174">
        <f>IF(ISNUMBER(VLOOKUP(A2935,NotghiID!A:A,1,FALSE)),1,0)</f>
        <v>1</v>
      </c>
    </row>
    <row r="2936" spans="1:17" ht="14.25" x14ac:dyDescent="0.2">
      <c r="A2936" s="189">
        <v>262</v>
      </c>
      <c r="B2936" s="232" t="str">
        <f>IF(AND(A2936&lt;&gt;"",ISNUMBER(A2936)),VLOOKUP(A2936,Studies!A:BR,2,FALSE),"")</f>
        <v>Hohmann 2015</v>
      </c>
      <c r="C2936" s="232" t="str">
        <f>IF(AND(A2936&lt;&gt;"",ISNUMBER(A2936)),VLOOKUP(A2936,Studies!A:BR,3,FALSE),"")</f>
        <v>https://www.ncbi.nlm.nih.gov/pubmed/25588320</v>
      </c>
      <c r="D2936" s="232" t="str">
        <f>IF(AND(A2936&lt;&gt;"",ISNUMBER(A2936)),VLOOKUP(A2936,Studies!A:BR,4,FALSE),"")</f>
        <v>iv 1 mg</v>
      </c>
      <c r="E2936" s="206" t="str">
        <f>IF(AND(A2936&lt;&gt;"",ISNUMBER(A2936)),VLOOKUP(A2936,Studies!A:BR,5,FALSE),"")</f>
        <v>Midazolam</v>
      </c>
      <c r="F2936" s="207" t="str">
        <f>IF(AND(A2936&lt;&gt;"",ISNUMBER(A2936)),VLOOKUP(A2936,Studies!A:BR,6,FALSE),"")</f>
        <v>Plasma</v>
      </c>
      <c r="G2936" s="194">
        <v>10</v>
      </c>
      <c r="H2936" s="194" t="s">
        <v>60</v>
      </c>
      <c r="I2936" s="187">
        <v>551.02710000000002</v>
      </c>
      <c r="J2936" s="187" t="s">
        <v>1031</v>
      </c>
      <c r="K2936" s="187" t="s">
        <v>116</v>
      </c>
      <c r="L2936" s="195">
        <v>188.3536</v>
      </c>
      <c r="M2936" s="195" t="s">
        <v>1031</v>
      </c>
      <c r="N2936" s="195" t="s">
        <v>1146</v>
      </c>
      <c r="O2936" s="199">
        <v>9.2999999999999999E-2</v>
      </c>
      <c r="P2936" s="188"/>
      <c r="Q2936" s="174">
        <f>IF(ISNUMBER(VLOOKUP(A2936,NotghiID!A:A,1,FALSE)),1,0)</f>
        <v>1</v>
      </c>
    </row>
    <row r="2937" spans="1:17" ht="14.25" x14ac:dyDescent="0.2">
      <c r="A2937" s="189">
        <v>262</v>
      </c>
      <c r="B2937" s="232" t="str">
        <f>IF(AND(A2937&lt;&gt;"",ISNUMBER(A2937)),VLOOKUP(A2937,Studies!A:BR,2,FALSE),"")</f>
        <v>Hohmann 2015</v>
      </c>
      <c r="C2937" s="232" t="str">
        <f>IF(AND(A2937&lt;&gt;"",ISNUMBER(A2937)),VLOOKUP(A2937,Studies!A:BR,3,FALSE),"")</f>
        <v>https://www.ncbi.nlm.nih.gov/pubmed/25588320</v>
      </c>
      <c r="D2937" s="232" t="str">
        <f>IF(AND(A2937&lt;&gt;"",ISNUMBER(A2937)),VLOOKUP(A2937,Studies!A:BR,4,FALSE),"")</f>
        <v>iv 1 mg</v>
      </c>
      <c r="E2937" s="206" t="str">
        <f>IF(AND(A2937&lt;&gt;"",ISNUMBER(A2937)),VLOOKUP(A2937,Studies!A:BR,5,FALSE),"")</f>
        <v>Midazolam</v>
      </c>
      <c r="F2937" s="207" t="str">
        <f>IF(AND(A2937&lt;&gt;"",ISNUMBER(A2937)),VLOOKUP(A2937,Studies!A:BR,6,FALSE),"")</f>
        <v>Plasma</v>
      </c>
      <c r="G2937" s="194">
        <v>24</v>
      </c>
      <c r="H2937" s="194" t="s">
        <v>60</v>
      </c>
      <c r="I2937" s="187">
        <v>65.954549999999998</v>
      </c>
      <c r="J2937" s="187" t="s">
        <v>1031</v>
      </c>
      <c r="K2937" s="187" t="s">
        <v>116</v>
      </c>
      <c r="L2937" s="195">
        <v>43.641539999999999</v>
      </c>
      <c r="M2937" s="195" t="s">
        <v>1031</v>
      </c>
      <c r="N2937" s="195" t="s">
        <v>1146</v>
      </c>
      <c r="O2937" s="199">
        <v>9.2999999999999999E-2</v>
      </c>
      <c r="P2937" s="188"/>
      <c r="Q2937" s="174">
        <f>IF(ISNUMBER(VLOOKUP(A2937,NotghiID!A:A,1,FALSE)),1,0)</f>
        <v>1</v>
      </c>
    </row>
    <row r="2938" spans="1:17" ht="14.25" x14ac:dyDescent="0.2">
      <c r="A2938" s="189">
        <v>263</v>
      </c>
      <c r="B2938" s="232" t="str">
        <f>IF(AND(A2938&lt;&gt;"",ISNUMBER(A2938)),VLOOKUP(A2938,Studies!A:BR,2,FALSE),"")</f>
        <v>Hohmann 2015</v>
      </c>
      <c r="C2938" s="232" t="str">
        <f>IF(AND(A2938&lt;&gt;"",ISNUMBER(A2938)),VLOOKUP(A2938,Studies!A:BR,3,FALSE),"")</f>
        <v>https://www.ncbi.nlm.nih.gov/pubmed/25588320</v>
      </c>
      <c r="D2938" s="232" t="str">
        <f>IF(AND(A2938&lt;&gt;"",ISNUMBER(A2938)),VLOOKUP(A2938,Studies!A:BR,4,FALSE),"")</f>
        <v>po 0.003 mg</v>
      </c>
      <c r="E2938" s="206" t="str">
        <f>IF(AND(A2938&lt;&gt;"",ISNUMBER(A2938)),VLOOKUP(A2938,Studies!A:BR,5,FALSE),"")</f>
        <v>Midazolam</v>
      </c>
      <c r="F2938" s="207" t="str">
        <f>IF(AND(A2938&lt;&gt;"",ISNUMBER(A2938)),VLOOKUP(A2938,Studies!A:BR,6,FALSE),"")</f>
        <v>Plasma</v>
      </c>
      <c r="G2938" s="194">
        <v>0.25</v>
      </c>
      <c r="H2938" s="194" t="s">
        <v>60</v>
      </c>
      <c r="I2938" s="187">
        <v>5.0692149999999998</v>
      </c>
      <c r="J2938" s="187" t="s">
        <v>1031</v>
      </c>
      <c r="K2938" s="187" t="s">
        <v>116</v>
      </c>
      <c r="L2938" s="195">
        <v>2.3280080000000001</v>
      </c>
      <c r="M2938" s="195" t="s">
        <v>1031</v>
      </c>
      <c r="N2938" s="195" t="s">
        <v>1146</v>
      </c>
      <c r="O2938" s="199">
        <v>9.2999999999999999E-2</v>
      </c>
      <c r="P2938" s="188"/>
      <c r="Q2938" s="174">
        <f>IF(ISNUMBER(VLOOKUP(A2938,NotghiID!A:A,1,FALSE)),1,0)</f>
        <v>1</v>
      </c>
    </row>
    <row r="2939" spans="1:17" ht="14.25" x14ac:dyDescent="0.2">
      <c r="A2939" s="189">
        <v>263</v>
      </c>
      <c r="B2939" s="232" t="str">
        <f>IF(AND(A2939&lt;&gt;"",ISNUMBER(A2939)),VLOOKUP(A2939,Studies!A:BR,2,FALSE),"")</f>
        <v>Hohmann 2015</v>
      </c>
      <c r="C2939" s="232" t="str">
        <f>IF(AND(A2939&lt;&gt;"",ISNUMBER(A2939)),VLOOKUP(A2939,Studies!A:BR,3,FALSE),"")</f>
        <v>https://www.ncbi.nlm.nih.gov/pubmed/25588320</v>
      </c>
      <c r="D2939" s="232" t="str">
        <f>IF(AND(A2939&lt;&gt;"",ISNUMBER(A2939)),VLOOKUP(A2939,Studies!A:BR,4,FALSE),"")</f>
        <v>po 0.003 mg</v>
      </c>
      <c r="E2939" s="206" t="str">
        <f>IF(AND(A2939&lt;&gt;"",ISNUMBER(A2939)),VLOOKUP(A2939,Studies!A:BR,5,FALSE),"")</f>
        <v>Midazolam</v>
      </c>
      <c r="F2939" s="207" t="str">
        <f>IF(AND(A2939&lt;&gt;"",ISNUMBER(A2939)),VLOOKUP(A2939,Studies!A:BR,6,FALSE),"")</f>
        <v>Plasma</v>
      </c>
      <c r="G2939" s="194">
        <v>0.5</v>
      </c>
      <c r="H2939" s="194" t="s">
        <v>60</v>
      </c>
      <c r="I2939" s="187">
        <v>10.15962</v>
      </c>
      <c r="J2939" s="187" t="s">
        <v>1031</v>
      </c>
      <c r="K2939" s="187" t="s">
        <v>116</v>
      </c>
      <c r="L2939" s="195">
        <v>2.382997</v>
      </c>
      <c r="M2939" s="195" t="s">
        <v>1031</v>
      </c>
      <c r="N2939" s="195" t="s">
        <v>1146</v>
      </c>
      <c r="O2939" s="199">
        <v>9.2999999999999999E-2</v>
      </c>
      <c r="P2939" s="188"/>
      <c r="Q2939" s="174">
        <f>IF(ISNUMBER(VLOOKUP(A2939,NotghiID!A:A,1,FALSE)),1,0)</f>
        <v>1</v>
      </c>
    </row>
    <row r="2940" spans="1:17" ht="14.25" x14ac:dyDescent="0.2">
      <c r="A2940" s="189">
        <v>263</v>
      </c>
      <c r="B2940" s="232" t="str">
        <f>IF(AND(A2940&lt;&gt;"",ISNUMBER(A2940)),VLOOKUP(A2940,Studies!A:BR,2,FALSE),"")</f>
        <v>Hohmann 2015</v>
      </c>
      <c r="C2940" s="232" t="str">
        <f>IF(AND(A2940&lt;&gt;"",ISNUMBER(A2940)),VLOOKUP(A2940,Studies!A:BR,3,FALSE),"")</f>
        <v>https://www.ncbi.nlm.nih.gov/pubmed/25588320</v>
      </c>
      <c r="D2940" s="232" t="str">
        <f>IF(AND(A2940&lt;&gt;"",ISNUMBER(A2940)),VLOOKUP(A2940,Studies!A:BR,4,FALSE),"")</f>
        <v>po 0.003 mg</v>
      </c>
      <c r="E2940" s="206" t="str">
        <f>IF(AND(A2940&lt;&gt;"",ISNUMBER(A2940)),VLOOKUP(A2940,Studies!A:BR,5,FALSE),"")</f>
        <v>Midazolam</v>
      </c>
      <c r="F2940" s="207" t="str">
        <f>IF(AND(A2940&lt;&gt;"",ISNUMBER(A2940)),VLOOKUP(A2940,Studies!A:BR,6,FALSE),"")</f>
        <v>Plasma</v>
      </c>
      <c r="G2940" s="194">
        <v>0.75</v>
      </c>
      <c r="H2940" s="194" t="s">
        <v>60</v>
      </c>
      <c r="I2940" s="187">
        <v>9.379759</v>
      </c>
      <c r="J2940" s="187" t="s">
        <v>1031</v>
      </c>
      <c r="K2940" s="187" t="s">
        <v>116</v>
      </c>
      <c r="L2940" s="195">
        <v>1.8058080000000001</v>
      </c>
      <c r="M2940" s="195" t="s">
        <v>1031</v>
      </c>
      <c r="N2940" s="195" t="s">
        <v>1146</v>
      </c>
      <c r="O2940" s="199">
        <v>9.2999999999999999E-2</v>
      </c>
      <c r="P2940" s="188"/>
      <c r="Q2940" s="174">
        <f>IF(ISNUMBER(VLOOKUP(A2940,NotghiID!A:A,1,FALSE)),1,0)</f>
        <v>1</v>
      </c>
    </row>
    <row r="2941" spans="1:17" ht="14.25" x14ac:dyDescent="0.2">
      <c r="A2941" s="189">
        <v>263</v>
      </c>
      <c r="B2941" s="232" t="str">
        <f>IF(AND(A2941&lt;&gt;"",ISNUMBER(A2941)),VLOOKUP(A2941,Studies!A:BR,2,FALSE),"")</f>
        <v>Hohmann 2015</v>
      </c>
      <c r="C2941" s="232" t="str">
        <f>IF(AND(A2941&lt;&gt;"",ISNUMBER(A2941)),VLOOKUP(A2941,Studies!A:BR,3,FALSE),"")</f>
        <v>https://www.ncbi.nlm.nih.gov/pubmed/25588320</v>
      </c>
      <c r="D2941" s="232" t="str">
        <f>IF(AND(A2941&lt;&gt;"",ISNUMBER(A2941)),VLOOKUP(A2941,Studies!A:BR,4,FALSE),"")</f>
        <v>po 0.003 mg</v>
      </c>
      <c r="E2941" s="206" t="str">
        <f>IF(AND(A2941&lt;&gt;"",ISNUMBER(A2941)),VLOOKUP(A2941,Studies!A:BR,5,FALSE),"")</f>
        <v>Midazolam</v>
      </c>
      <c r="F2941" s="207" t="str">
        <f>IF(AND(A2941&lt;&gt;"",ISNUMBER(A2941)),VLOOKUP(A2941,Studies!A:BR,6,FALSE),"")</f>
        <v>Plasma</v>
      </c>
      <c r="G2941" s="194">
        <v>1</v>
      </c>
      <c r="H2941" s="194" t="s">
        <v>60</v>
      </c>
      <c r="I2941" s="187">
        <v>7.7811380000000003</v>
      </c>
      <c r="J2941" s="187" t="s">
        <v>1031</v>
      </c>
      <c r="K2941" s="187" t="s">
        <v>116</v>
      </c>
      <c r="L2941" s="195"/>
      <c r="M2941" s="195"/>
      <c r="N2941" s="195" t="s">
        <v>1146</v>
      </c>
      <c r="O2941" s="199">
        <v>9.2999999999999999E-2</v>
      </c>
      <c r="P2941" s="188" t="s">
        <v>1147</v>
      </c>
      <c r="Q2941" s="174">
        <f>IF(ISNUMBER(VLOOKUP(A2941,NotghiID!A:A,1,FALSE)),1,0)</f>
        <v>1</v>
      </c>
    </row>
    <row r="2942" spans="1:17" ht="14.25" x14ac:dyDescent="0.2">
      <c r="A2942" s="189">
        <v>263</v>
      </c>
      <c r="B2942" s="232" t="str">
        <f>IF(AND(A2942&lt;&gt;"",ISNUMBER(A2942)),VLOOKUP(A2942,Studies!A:BR,2,FALSE),"")</f>
        <v>Hohmann 2015</v>
      </c>
      <c r="C2942" s="232" t="str">
        <f>IF(AND(A2942&lt;&gt;"",ISNUMBER(A2942)),VLOOKUP(A2942,Studies!A:BR,3,FALSE),"")</f>
        <v>https://www.ncbi.nlm.nih.gov/pubmed/25588320</v>
      </c>
      <c r="D2942" s="232" t="str">
        <f>IF(AND(A2942&lt;&gt;"",ISNUMBER(A2942)),VLOOKUP(A2942,Studies!A:BR,4,FALSE),"")</f>
        <v>po 0.003 mg</v>
      </c>
      <c r="E2942" s="206" t="str">
        <f>IF(AND(A2942&lt;&gt;"",ISNUMBER(A2942)),VLOOKUP(A2942,Studies!A:BR,5,FALSE),"")</f>
        <v>Midazolam</v>
      </c>
      <c r="F2942" s="207" t="str">
        <f>IF(AND(A2942&lt;&gt;"",ISNUMBER(A2942)),VLOOKUP(A2942,Studies!A:BR,6,FALSE),"")</f>
        <v>Plasma</v>
      </c>
      <c r="G2942" s="194">
        <v>1.5</v>
      </c>
      <c r="H2942" s="194" t="s">
        <v>60</v>
      </c>
      <c r="I2942" s="187">
        <v>5.355181</v>
      </c>
      <c r="J2942" s="187" t="s">
        <v>1031</v>
      </c>
      <c r="K2942" s="187" t="s">
        <v>116</v>
      </c>
      <c r="L2942" s="195">
        <v>0.79367489999999996</v>
      </c>
      <c r="M2942" s="195" t="s">
        <v>1031</v>
      </c>
      <c r="N2942" s="195" t="s">
        <v>1146</v>
      </c>
      <c r="O2942" s="199">
        <v>9.2999999999999999E-2</v>
      </c>
      <c r="P2942" s="188"/>
      <c r="Q2942" s="174">
        <f>IF(ISNUMBER(VLOOKUP(A2942,NotghiID!A:A,1,FALSE)),1,0)</f>
        <v>1</v>
      </c>
    </row>
    <row r="2943" spans="1:17" ht="14.25" x14ac:dyDescent="0.2">
      <c r="A2943" s="189">
        <v>263</v>
      </c>
      <c r="B2943" s="232" t="str">
        <f>IF(AND(A2943&lt;&gt;"",ISNUMBER(A2943)),VLOOKUP(A2943,Studies!A:BR,2,FALSE),"")</f>
        <v>Hohmann 2015</v>
      </c>
      <c r="C2943" s="232" t="str">
        <f>IF(AND(A2943&lt;&gt;"",ISNUMBER(A2943)),VLOOKUP(A2943,Studies!A:BR,3,FALSE),"")</f>
        <v>https://www.ncbi.nlm.nih.gov/pubmed/25588320</v>
      </c>
      <c r="D2943" s="232" t="str">
        <f>IF(AND(A2943&lt;&gt;"",ISNUMBER(A2943)),VLOOKUP(A2943,Studies!A:BR,4,FALSE),"")</f>
        <v>po 0.003 mg</v>
      </c>
      <c r="E2943" s="206" t="str">
        <f>IF(AND(A2943&lt;&gt;"",ISNUMBER(A2943)),VLOOKUP(A2943,Studies!A:BR,5,FALSE),"")</f>
        <v>Midazolam</v>
      </c>
      <c r="F2943" s="207" t="str">
        <f>IF(AND(A2943&lt;&gt;"",ISNUMBER(A2943)),VLOOKUP(A2943,Studies!A:BR,6,FALSE),"")</f>
        <v>Plasma</v>
      </c>
      <c r="G2943" s="194">
        <v>2</v>
      </c>
      <c r="H2943" s="194" t="s">
        <v>60</v>
      </c>
      <c r="I2943" s="187">
        <v>3.7851729999999999</v>
      </c>
      <c r="J2943" s="187" t="s">
        <v>1031</v>
      </c>
      <c r="K2943" s="187" t="s">
        <v>116</v>
      </c>
      <c r="L2943" s="195"/>
      <c r="M2943" s="195"/>
      <c r="N2943" s="195" t="s">
        <v>1146</v>
      </c>
      <c r="O2943" s="199">
        <v>9.2999999999999999E-2</v>
      </c>
      <c r="P2943" s="188" t="s">
        <v>1147</v>
      </c>
      <c r="Q2943" s="174">
        <f>IF(ISNUMBER(VLOOKUP(A2943,NotghiID!A:A,1,FALSE)),1,0)</f>
        <v>1</v>
      </c>
    </row>
    <row r="2944" spans="1:17" ht="14.25" x14ac:dyDescent="0.2">
      <c r="A2944" s="189">
        <v>263</v>
      </c>
      <c r="B2944" s="232" t="str">
        <f>IF(AND(A2944&lt;&gt;"",ISNUMBER(A2944)),VLOOKUP(A2944,Studies!A:BR,2,FALSE),"")</f>
        <v>Hohmann 2015</v>
      </c>
      <c r="C2944" s="232" t="str">
        <f>IF(AND(A2944&lt;&gt;"",ISNUMBER(A2944)),VLOOKUP(A2944,Studies!A:BR,3,FALSE),"")</f>
        <v>https://www.ncbi.nlm.nih.gov/pubmed/25588320</v>
      </c>
      <c r="D2944" s="232" t="str">
        <f>IF(AND(A2944&lt;&gt;"",ISNUMBER(A2944)),VLOOKUP(A2944,Studies!A:BR,4,FALSE),"")</f>
        <v>po 0.003 mg</v>
      </c>
      <c r="E2944" s="206" t="str">
        <f>IF(AND(A2944&lt;&gt;"",ISNUMBER(A2944)),VLOOKUP(A2944,Studies!A:BR,5,FALSE),"")</f>
        <v>Midazolam</v>
      </c>
      <c r="F2944" s="207" t="str">
        <f>IF(AND(A2944&lt;&gt;"",ISNUMBER(A2944)),VLOOKUP(A2944,Studies!A:BR,6,FALSE),"")</f>
        <v>Plasma</v>
      </c>
      <c r="G2944" s="194">
        <v>2.5</v>
      </c>
      <c r="H2944" s="194" t="s">
        <v>60</v>
      </c>
      <c r="I2944" s="187">
        <v>3.313558</v>
      </c>
      <c r="J2944" s="187" t="s">
        <v>1031</v>
      </c>
      <c r="K2944" s="187" t="s">
        <v>116</v>
      </c>
      <c r="L2944" s="195">
        <v>0.56544830000000001</v>
      </c>
      <c r="M2944" s="195" t="s">
        <v>1031</v>
      </c>
      <c r="N2944" s="195" t="s">
        <v>1146</v>
      </c>
      <c r="O2944" s="199">
        <v>9.2999999999999999E-2</v>
      </c>
      <c r="P2944" s="188"/>
      <c r="Q2944" s="174">
        <f>IF(ISNUMBER(VLOOKUP(A2944,NotghiID!A:A,1,FALSE)),1,0)</f>
        <v>1</v>
      </c>
    </row>
    <row r="2945" spans="1:17" ht="14.25" x14ac:dyDescent="0.2">
      <c r="A2945" s="189">
        <v>263</v>
      </c>
      <c r="B2945" s="232" t="str">
        <f>IF(AND(A2945&lt;&gt;"",ISNUMBER(A2945)),VLOOKUP(A2945,Studies!A:BR,2,FALSE),"")</f>
        <v>Hohmann 2015</v>
      </c>
      <c r="C2945" s="232" t="str">
        <f>IF(AND(A2945&lt;&gt;"",ISNUMBER(A2945)),VLOOKUP(A2945,Studies!A:BR,3,FALSE),"")</f>
        <v>https://www.ncbi.nlm.nih.gov/pubmed/25588320</v>
      </c>
      <c r="D2945" s="232" t="str">
        <f>IF(AND(A2945&lt;&gt;"",ISNUMBER(A2945)),VLOOKUP(A2945,Studies!A:BR,4,FALSE),"")</f>
        <v>po 0.003 mg</v>
      </c>
      <c r="E2945" s="206" t="str">
        <f>IF(AND(A2945&lt;&gt;"",ISNUMBER(A2945)),VLOOKUP(A2945,Studies!A:BR,5,FALSE),"")</f>
        <v>Midazolam</v>
      </c>
      <c r="F2945" s="207" t="str">
        <f>IF(AND(A2945&lt;&gt;"",ISNUMBER(A2945)),VLOOKUP(A2945,Studies!A:BR,6,FALSE),"")</f>
        <v>Plasma</v>
      </c>
      <c r="G2945" s="194">
        <v>3</v>
      </c>
      <c r="H2945" s="194" t="s">
        <v>60</v>
      </c>
      <c r="I2945" s="187">
        <v>2.5377350000000001</v>
      </c>
      <c r="J2945" s="187" t="s">
        <v>1031</v>
      </c>
      <c r="K2945" s="187" t="s">
        <v>116</v>
      </c>
      <c r="L2945" s="195">
        <v>0.43305680000000002</v>
      </c>
      <c r="M2945" s="195" t="s">
        <v>1031</v>
      </c>
      <c r="N2945" s="195" t="s">
        <v>1146</v>
      </c>
      <c r="O2945" s="199">
        <v>9.2999999999999999E-2</v>
      </c>
      <c r="P2945" s="188"/>
      <c r="Q2945" s="174">
        <f>IF(ISNUMBER(VLOOKUP(A2945,NotghiID!A:A,1,FALSE)),1,0)</f>
        <v>1</v>
      </c>
    </row>
    <row r="2946" spans="1:17" ht="14.25" x14ac:dyDescent="0.2">
      <c r="A2946" s="189">
        <v>263</v>
      </c>
      <c r="B2946" s="232" t="str">
        <f>IF(AND(A2946&lt;&gt;"",ISNUMBER(A2946)),VLOOKUP(A2946,Studies!A:BR,2,FALSE),"")</f>
        <v>Hohmann 2015</v>
      </c>
      <c r="C2946" s="232" t="str">
        <f>IF(AND(A2946&lt;&gt;"",ISNUMBER(A2946)),VLOOKUP(A2946,Studies!A:BR,3,FALSE),"")</f>
        <v>https://www.ncbi.nlm.nih.gov/pubmed/25588320</v>
      </c>
      <c r="D2946" s="232" t="str">
        <f>IF(AND(A2946&lt;&gt;"",ISNUMBER(A2946)),VLOOKUP(A2946,Studies!A:BR,4,FALSE),"")</f>
        <v>po 0.003 mg</v>
      </c>
      <c r="E2946" s="206" t="str">
        <f>IF(AND(A2946&lt;&gt;"",ISNUMBER(A2946)),VLOOKUP(A2946,Studies!A:BR,5,FALSE),"")</f>
        <v>Midazolam</v>
      </c>
      <c r="F2946" s="207" t="str">
        <f>IF(AND(A2946&lt;&gt;"",ISNUMBER(A2946)),VLOOKUP(A2946,Studies!A:BR,6,FALSE),"")</f>
        <v>Plasma</v>
      </c>
      <c r="G2946" s="194">
        <v>4</v>
      </c>
      <c r="H2946" s="194" t="s">
        <v>60</v>
      </c>
      <c r="I2946" s="187">
        <v>1.794832</v>
      </c>
      <c r="J2946" s="187" t="s">
        <v>1031</v>
      </c>
      <c r="K2946" s="187" t="s">
        <v>116</v>
      </c>
      <c r="L2946" s="195">
        <v>0.2244884</v>
      </c>
      <c r="M2946" s="195" t="s">
        <v>1031</v>
      </c>
      <c r="N2946" s="195" t="s">
        <v>1146</v>
      </c>
      <c r="O2946" s="199">
        <v>9.2999999999999999E-2</v>
      </c>
      <c r="P2946" s="188"/>
      <c r="Q2946" s="174">
        <f>IF(ISNUMBER(VLOOKUP(A2946,NotghiID!A:A,1,FALSE)),1,0)</f>
        <v>1</v>
      </c>
    </row>
    <row r="2947" spans="1:17" ht="14.25" x14ac:dyDescent="0.2">
      <c r="A2947" s="189">
        <v>263</v>
      </c>
      <c r="B2947" s="232" t="str">
        <f>IF(AND(A2947&lt;&gt;"",ISNUMBER(A2947)),VLOOKUP(A2947,Studies!A:BR,2,FALSE),"")</f>
        <v>Hohmann 2015</v>
      </c>
      <c r="C2947" s="232" t="str">
        <f>IF(AND(A2947&lt;&gt;"",ISNUMBER(A2947)),VLOOKUP(A2947,Studies!A:BR,3,FALSE),"")</f>
        <v>https://www.ncbi.nlm.nih.gov/pubmed/25588320</v>
      </c>
      <c r="D2947" s="232" t="str">
        <f>IF(AND(A2947&lt;&gt;"",ISNUMBER(A2947)),VLOOKUP(A2947,Studies!A:BR,4,FALSE),"")</f>
        <v>po 0.003 mg</v>
      </c>
      <c r="E2947" s="206" t="str">
        <f>IF(AND(A2947&lt;&gt;"",ISNUMBER(A2947)),VLOOKUP(A2947,Studies!A:BR,5,FALSE),"")</f>
        <v>Midazolam</v>
      </c>
      <c r="F2947" s="207" t="str">
        <f>IF(AND(A2947&lt;&gt;"",ISNUMBER(A2947)),VLOOKUP(A2947,Studies!A:BR,6,FALSE),"")</f>
        <v>Plasma</v>
      </c>
      <c r="G2947" s="194">
        <v>6</v>
      </c>
      <c r="H2947" s="194" t="s">
        <v>60</v>
      </c>
      <c r="I2947" s="187">
        <v>0.94704060000000001</v>
      </c>
      <c r="J2947" s="187" t="s">
        <v>1031</v>
      </c>
      <c r="K2947" s="187" t="s">
        <v>116</v>
      </c>
      <c r="L2947" s="195">
        <v>0.2221339</v>
      </c>
      <c r="M2947" s="195" t="s">
        <v>1031</v>
      </c>
      <c r="N2947" s="195" t="s">
        <v>1146</v>
      </c>
      <c r="O2947" s="199">
        <v>9.2999999999999999E-2</v>
      </c>
      <c r="P2947" s="188"/>
      <c r="Q2947" s="174">
        <f>IF(ISNUMBER(VLOOKUP(A2947,NotghiID!A:A,1,FALSE)),1,0)</f>
        <v>1</v>
      </c>
    </row>
    <row r="2948" spans="1:17" ht="14.25" x14ac:dyDescent="0.2">
      <c r="A2948" s="189">
        <v>263</v>
      </c>
      <c r="B2948" s="232" t="str">
        <f>IF(AND(A2948&lt;&gt;"",ISNUMBER(A2948)),VLOOKUP(A2948,Studies!A:BR,2,FALSE),"")</f>
        <v>Hohmann 2015</v>
      </c>
      <c r="C2948" s="232" t="str">
        <f>IF(AND(A2948&lt;&gt;"",ISNUMBER(A2948)),VLOOKUP(A2948,Studies!A:BR,3,FALSE),"")</f>
        <v>https://www.ncbi.nlm.nih.gov/pubmed/25588320</v>
      </c>
      <c r="D2948" s="232" t="str">
        <f>IF(AND(A2948&lt;&gt;"",ISNUMBER(A2948)),VLOOKUP(A2948,Studies!A:BR,4,FALSE),"")</f>
        <v>po 0.003 mg</v>
      </c>
      <c r="E2948" s="206" t="str">
        <f>IF(AND(A2948&lt;&gt;"",ISNUMBER(A2948)),VLOOKUP(A2948,Studies!A:BR,5,FALSE),"")</f>
        <v>Midazolam</v>
      </c>
      <c r="F2948" s="207" t="str">
        <f>IF(AND(A2948&lt;&gt;"",ISNUMBER(A2948)),VLOOKUP(A2948,Studies!A:BR,6,FALSE),"")</f>
        <v>Plasma</v>
      </c>
      <c r="G2948" s="194">
        <v>8</v>
      </c>
      <c r="H2948" s="194" t="s">
        <v>60</v>
      </c>
      <c r="I2948" s="187">
        <v>0.58665009999999995</v>
      </c>
      <c r="J2948" s="187" t="s">
        <v>1031</v>
      </c>
      <c r="K2948" s="187" t="s">
        <v>116</v>
      </c>
      <c r="L2948" s="195">
        <v>0.18312349999999999</v>
      </c>
      <c r="M2948" s="195" t="s">
        <v>1031</v>
      </c>
      <c r="N2948" s="195" t="s">
        <v>1146</v>
      </c>
      <c r="O2948" s="199">
        <v>9.2999999999999999E-2</v>
      </c>
      <c r="P2948" s="188"/>
      <c r="Q2948" s="174">
        <f>IF(ISNUMBER(VLOOKUP(A2948,NotghiID!A:A,1,FALSE)),1,0)</f>
        <v>1</v>
      </c>
    </row>
    <row r="2949" spans="1:17" ht="14.25" x14ac:dyDescent="0.2">
      <c r="A2949" s="189">
        <v>263</v>
      </c>
      <c r="B2949" s="232" t="str">
        <f>IF(AND(A2949&lt;&gt;"",ISNUMBER(A2949)),VLOOKUP(A2949,Studies!A:BR,2,FALSE),"")</f>
        <v>Hohmann 2015</v>
      </c>
      <c r="C2949" s="232" t="str">
        <f>IF(AND(A2949&lt;&gt;"",ISNUMBER(A2949)),VLOOKUP(A2949,Studies!A:BR,3,FALSE),"")</f>
        <v>https://www.ncbi.nlm.nih.gov/pubmed/25588320</v>
      </c>
      <c r="D2949" s="232" t="str">
        <f>IF(AND(A2949&lt;&gt;"",ISNUMBER(A2949)),VLOOKUP(A2949,Studies!A:BR,4,FALSE),"")</f>
        <v>po 0.003 mg</v>
      </c>
      <c r="E2949" s="206" t="str">
        <f>IF(AND(A2949&lt;&gt;"",ISNUMBER(A2949)),VLOOKUP(A2949,Studies!A:BR,5,FALSE),"")</f>
        <v>Midazolam</v>
      </c>
      <c r="F2949" s="207" t="str">
        <f>IF(AND(A2949&lt;&gt;"",ISNUMBER(A2949)),VLOOKUP(A2949,Studies!A:BR,6,FALSE),"")</f>
        <v>Plasma</v>
      </c>
      <c r="G2949" s="194">
        <v>10</v>
      </c>
      <c r="H2949" s="194" t="s">
        <v>60</v>
      </c>
      <c r="I2949" s="187">
        <v>0.3732608</v>
      </c>
      <c r="J2949" s="187" t="s">
        <v>1031</v>
      </c>
      <c r="K2949" s="187" t="s">
        <v>116</v>
      </c>
      <c r="L2949" s="195">
        <v>0.14256340000000001</v>
      </c>
      <c r="M2949" s="195" t="s">
        <v>1031</v>
      </c>
      <c r="N2949" s="195" t="s">
        <v>1146</v>
      </c>
      <c r="O2949" s="199">
        <v>9.2999999999999999E-2</v>
      </c>
      <c r="P2949" s="188"/>
      <c r="Q2949" s="174">
        <f>IF(ISNUMBER(VLOOKUP(A2949,NotghiID!A:A,1,FALSE)),1,0)</f>
        <v>1</v>
      </c>
    </row>
    <row r="2950" spans="1:17" ht="14.25" x14ac:dyDescent="0.2">
      <c r="A2950" s="189">
        <v>263</v>
      </c>
      <c r="B2950" s="232" t="str">
        <f>IF(AND(A2950&lt;&gt;"",ISNUMBER(A2950)),VLOOKUP(A2950,Studies!A:BR,2,FALSE),"")</f>
        <v>Hohmann 2015</v>
      </c>
      <c r="C2950" s="232" t="str">
        <f>IF(AND(A2950&lt;&gt;"",ISNUMBER(A2950)),VLOOKUP(A2950,Studies!A:BR,3,FALSE),"")</f>
        <v>https://www.ncbi.nlm.nih.gov/pubmed/25588320</v>
      </c>
      <c r="D2950" s="232" t="str">
        <f>IF(AND(A2950&lt;&gt;"",ISNUMBER(A2950)),VLOOKUP(A2950,Studies!A:BR,4,FALSE),"")</f>
        <v>po 0.003 mg</v>
      </c>
      <c r="E2950" s="206" t="str">
        <f>IF(AND(A2950&lt;&gt;"",ISNUMBER(A2950)),VLOOKUP(A2950,Studies!A:BR,5,FALSE),"")</f>
        <v>Midazolam</v>
      </c>
      <c r="F2950" s="207" t="str">
        <f>IF(AND(A2950&lt;&gt;"",ISNUMBER(A2950)),VLOOKUP(A2950,Studies!A:BR,6,FALSE),"")</f>
        <v>Plasma</v>
      </c>
      <c r="G2950" s="194">
        <v>24</v>
      </c>
      <c r="H2950" s="194" t="s">
        <v>60</v>
      </c>
      <c r="I2950" s="187">
        <v>9.699178E-2</v>
      </c>
      <c r="J2950" s="187" t="s">
        <v>1031</v>
      </c>
      <c r="K2950" s="187" t="s">
        <v>116</v>
      </c>
      <c r="L2950" s="195"/>
      <c r="M2950" s="195"/>
      <c r="N2950" s="195"/>
      <c r="O2950" s="199">
        <v>9.2999999999999999E-2</v>
      </c>
      <c r="P2950" s="188"/>
      <c r="Q2950" s="174">
        <f>IF(ISNUMBER(VLOOKUP(A2950,NotghiID!A:A,1,FALSE)),1,0)</f>
        <v>1</v>
      </c>
    </row>
    <row r="2951" spans="1:17" ht="14.25" x14ac:dyDescent="0.2">
      <c r="A2951" s="189">
        <v>264</v>
      </c>
      <c r="B2951" s="232" t="str">
        <f>IF(AND(A2951&lt;&gt;"",ISNUMBER(A2951)),VLOOKUP(A2951,Studies!A:BR,2,FALSE),"")</f>
        <v>Hohmann 2015</v>
      </c>
      <c r="C2951" s="232" t="str">
        <f>IF(AND(A2951&lt;&gt;"",ISNUMBER(A2951)),VLOOKUP(A2951,Studies!A:BR,3,FALSE),"")</f>
        <v>https://www.ncbi.nlm.nih.gov/pubmed/25588320</v>
      </c>
      <c r="D2951" s="232" t="str">
        <f>IF(AND(A2951&lt;&gt;"",ISNUMBER(A2951)),VLOOKUP(A2951,Studies!A:BR,4,FALSE),"")</f>
        <v>po 3 mg</v>
      </c>
      <c r="E2951" s="206" t="str">
        <f>IF(AND(A2951&lt;&gt;"",ISNUMBER(A2951)),VLOOKUP(A2951,Studies!A:BR,5,FALSE),"")</f>
        <v>Midazolam</v>
      </c>
      <c r="F2951" s="207" t="str">
        <f>IF(AND(A2951&lt;&gt;"",ISNUMBER(A2951)),VLOOKUP(A2951,Studies!A:BR,6,FALSE),"")</f>
        <v>Plasma</v>
      </c>
      <c r="G2951" s="194">
        <v>0.25</v>
      </c>
      <c r="H2951" s="194" t="s">
        <v>60</v>
      </c>
      <c r="I2951" s="187">
        <v>5147.3090000000002</v>
      </c>
      <c r="J2951" s="187" t="s">
        <v>1031</v>
      </c>
      <c r="K2951" s="187" t="s">
        <v>116</v>
      </c>
      <c r="L2951" s="195"/>
      <c r="M2951" s="195"/>
      <c r="N2951" s="195" t="s">
        <v>1146</v>
      </c>
      <c r="O2951" s="199">
        <v>9.2999999999999999E-2</v>
      </c>
      <c r="P2951" s="188" t="s">
        <v>1147</v>
      </c>
      <c r="Q2951" s="174">
        <f>IF(ISNUMBER(VLOOKUP(A2951,NotghiID!A:A,1,FALSE)),1,0)</f>
        <v>1</v>
      </c>
    </row>
    <row r="2952" spans="1:17" ht="14.25" x14ac:dyDescent="0.2">
      <c r="A2952" s="189">
        <v>264</v>
      </c>
      <c r="B2952" s="232" t="str">
        <f>IF(AND(A2952&lt;&gt;"",ISNUMBER(A2952)),VLOOKUP(A2952,Studies!A:BR,2,FALSE),"")</f>
        <v>Hohmann 2015</v>
      </c>
      <c r="C2952" s="232" t="str">
        <f>IF(AND(A2952&lt;&gt;"",ISNUMBER(A2952)),VLOOKUP(A2952,Studies!A:BR,3,FALSE),"")</f>
        <v>https://www.ncbi.nlm.nih.gov/pubmed/25588320</v>
      </c>
      <c r="D2952" s="232" t="str">
        <f>IF(AND(A2952&lt;&gt;"",ISNUMBER(A2952)),VLOOKUP(A2952,Studies!A:BR,4,FALSE),"")</f>
        <v>po 3 mg</v>
      </c>
      <c r="E2952" s="206" t="str">
        <f>IF(AND(A2952&lt;&gt;"",ISNUMBER(A2952)),VLOOKUP(A2952,Studies!A:BR,5,FALSE),"")</f>
        <v>Midazolam</v>
      </c>
      <c r="F2952" s="207" t="str">
        <f>IF(AND(A2952&lt;&gt;"",ISNUMBER(A2952)),VLOOKUP(A2952,Studies!A:BR,6,FALSE),"")</f>
        <v>Plasma</v>
      </c>
      <c r="G2952" s="194">
        <v>0.5</v>
      </c>
      <c r="H2952" s="194" t="s">
        <v>60</v>
      </c>
      <c r="I2952" s="187">
        <v>8555.9959999999992</v>
      </c>
      <c r="J2952" s="187" t="s">
        <v>1031</v>
      </c>
      <c r="K2952" s="187" t="s">
        <v>116</v>
      </c>
      <c r="L2952" s="195">
        <v>3124.4490000000001</v>
      </c>
      <c r="M2952" s="195" t="s">
        <v>1031</v>
      </c>
      <c r="N2952" s="195" t="s">
        <v>1146</v>
      </c>
      <c r="O2952" s="199">
        <v>9.2999999999999999E-2</v>
      </c>
      <c r="P2952" s="188"/>
      <c r="Q2952" s="174">
        <f>IF(ISNUMBER(VLOOKUP(A2952,NotghiID!A:A,1,FALSE)),1,0)</f>
        <v>1</v>
      </c>
    </row>
    <row r="2953" spans="1:17" ht="14.25" x14ac:dyDescent="0.2">
      <c r="A2953" s="189">
        <v>264</v>
      </c>
      <c r="B2953" s="232" t="str">
        <f>IF(AND(A2953&lt;&gt;"",ISNUMBER(A2953)),VLOOKUP(A2953,Studies!A:BR,2,FALSE),"")</f>
        <v>Hohmann 2015</v>
      </c>
      <c r="C2953" s="232" t="str">
        <f>IF(AND(A2953&lt;&gt;"",ISNUMBER(A2953)),VLOOKUP(A2953,Studies!A:BR,3,FALSE),"")</f>
        <v>https://www.ncbi.nlm.nih.gov/pubmed/25588320</v>
      </c>
      <c r="D2953" s="232" t="str">
        <f>IF(AND(A2953&lt;&gt;"",ISNUMBER(A2953)),VLOOKUP(A2953,Studies!A:BR,4,FALSE),"")</f>
        <v>po 3 mg</v>
      </c>
      <c r="E2953" s="206" t="str">
        <f>IF(AND(A2953&lt;&gt;"",ISNUMBER(A2953)),VLOOKUP(A2953,Studies!A:BR,5,FALSE),"")</f>
        <v>Midazolam</v>
      </c>
      <c r="F2953" s="207" t="str">
        <f>IF(AND(A2953&lt;&gt;"",ISNUMBER(A2953)),VLOOKUP(A2953,Studies!A:BR,6,FALSE),"")</f>
        <v>Plasma</v>
      </c>
      <c r="G2953" s="194">
        <v>0.75</v>
      </c>
      <c r="H2953" s="194" t="s">
        <v>60</v>
      </c>
      <c r="I2953" s="187">
        <v>7098.0010000000002</v>
      </c>
      <c r="J2953" s="187" t="s">
        <v>1031</v>
      </c>
      <c r="K2953" s="187" t="s">
        <v>116</v>
      </c>
      <c r="L2953" s="195">
        <v>1051.973</v>
      </c>
      <c r="M2953" s="195" t="s">
        <v>1031</v>
      </c>
      <c r="N2953" s="195" t="s">
        <v>1146</v>
      </c>
      <c r="O2953" s="199">
        <v>9.2999999999999999E-2</v>
      </c>
      <c r="P2953" s="188"/>
      <c r="Q2953" s="174">
        <f>IF(ISNUMBER(VLOOKUP(A2953,NotghiID!A:A,1,FALSE)),1,0)</f>
        <v>1</v>
      </c>
    </row>
    <row r="2954" spans="1:17" ht="14.25" x14ac:dyDescent="0.2">
      <c r="A2954" s="189">
        <v>264</v>
      </c>
      <c r="B2954" s="232" t="str">
        <f>IF(AND(A2954&lt;&gt;"",ISNUMBER(A2954)),VLOOKUP(A2954,Studies!A:BR,2,FALSE),"")</f>
        <v>Hohmann 2015</v>
      </c>
      <c r="C2954" s="232" t="str">
        <f>IF(AND(A2954&lt;&gt;"",ISNUMBER(A2954)),VLOOKUP(A2954,Studies!A:BR,3,FALSE),"")</f>
        <v>https://www.ncbi.nlm.nih.gov/pubmed/25588320</v>
      </c>
      <c r="D2954" s="232" t="str">
        <f>IF(AND(A2954&lt;&gt;"",ISNUMBER(A2954)),VLOOKUP(A2954,Studies!A:BR,4,FALSE),"")</f>
        <v>po 3 mg</v>
      </c>
      <c r="E2954" s="206" t="str">
        <f>IF(AND(A2954&lt;&gt;"",ISNUMBER(A2954)),VLOOKUP(A2954,Studies!A:BR,5,FALSE),"")</f>
        <v>Midazolam</v>
      </c>
      <c r="F2954" s="207" t="str">
        <f>IF(AND(A2954&lt;&gt;"",ISNUMBER(A2954)),VLOOKUP(A2954,Studies!A:BR,6,FALSE),"")</f>
        <v>Plasma</v>
      </c>
      <c r="G2954" s="194">
        <v>1</v>
      </c>
      <c r="H2954" s="194" t="s">
        <v>60</v>
      </c>
      <c r="I2954" s="187">
        <v>6912.5680000000002</v>
      </c>
      <c r="J2954" s="187" t="s">
        <v>1031</v>
      </c>
      <c r="K2954" s="187" t="s">
        <v>116</v>
      </c>
      <c r="L2954" s="195">
        <v>1478.0419999999999</v>
      </c>
      <c r="M2954" s="195" t="s">
        <v>1031</v>
      </c>
      <c r="N2954" s="195" t="s">
        <v>1146</v>
      </c>
      <c r="O2954" s="199">
        <v>9.2999999999999999E-2</v>
      </c>
      <c r="P2954" s="188"/>
      <c r="Q2954" s="174">
        <f>IF(ISNUMBER(VLOOKUP(A2954,NotghiID!A:A,1,FALSE)),1,0)</f>
        <v>1</v>
      </c>
    </row>
    <row r="2955" spans="1:17" ht="14.25" x14ac:dyDescent="0.2">
      <c r="A2955" s="189">
        <v>264</v>
      </c>
      <c r="B2955" s="232" t="str">
        <f>IF(AND(A2955&lt;&gt;"",ISNUMBER(A2955)),VLOOKUP(A2955,Studies!A:BR,2,FALSE),"")</f>
        <v>Hohmann 2015</v>
      </c>
      <c r="C2955" s="232" t="str">
        <f>IF(AND(A2955&lt;&gt;"",ISNUMBER(A2955)),VLOOKUP(A2955,Studies!A:BR,3,FALSE),"")</f>
        <v>https://www.ncbi.nlm.nih.gov/pubmed/25588320</v>
      </c>
      <c r="D2955" s="232" t="str">
        <f>IF(AND(A2955&lt;&gt;"",ISNUMBER(A2955)),VLOOKUP(A2955,Studies!A:BR,4,FALSE),"")</f>
        <v>po 3 mg</v>
      </c>
      <c r="E2955" s="206" t="str">
        <f>IF(AND(A2955&lt;&gt;"",ISNUMBER(A2955)),VLOOKUP(A2955,Studies!A:BR,5,FALSE),"")</f>
        <v>Midazolam</v>
      </c>
      <c r="F2955" s="207" t="str">
        <f>IF(AND(A2955&lt;&gt;"",ISNUMBER(A2955)),VLOOKUP(A2955,Studies!A:BR,6,FALSE),"")</f>
        <v>Plasma</v>
      </c>
      <c r="G2955" s="194">
        <v>1.5</v>
      </c>
      <c r="H2955" s="194" t="s">
        <v>60</v>
      </c>
      <c r="I2955" s="187">
        <v>5018.4979999999996</v>
      </c>
      <c r="J2955" s="187" t="s">
        <v>1031</v>
      </c>
      <c r="K2955" s="187" t="s">
        <v>116</v>
      </c>
      <c r="L2955" s="195">
        <v>856.39160000000004</v>
      </c>
      <c r="M2955" s="195" t="s">
        <v>1031</v>
      </c>
      <c r="N2955" s="195" t="s">
        <v>1146</v>
      </c>
      <c r="O2955" s="199">
        <v>9.2999999999999999E-2</v>
      </c>
      <c r="P2955" s="188"/>
      <c r="Q2955" s="174">
        <f>IF(ISNUMBER(VLOOKUP(A2955,NotghiID!A:A,1,FALSE)),1,0)</f>
        <v>1</v>
      </c>
    </row>
    <row r="2956" spans="1:17" ht="14.25" x14ac:dyDescent="0.2">
      <c r="A2956" s="189">
        <v>264</v>
      </c>
      <c r="B2956" s="232" t="str">
        <f>IF(AND(A2956&lt;&gt;"",ISNUMBER(A2956)),VLOOKUP(A2956,Studies!A:BR,2,FALSE),"")</f>
        <v>Hohmann 2015</v>
      </c>
      <c r="C2956" s="232" t="str">
        <f>IF(AND(A2956&lt;&gt;"",ISNUMBER(A2956)),VLOOKUP(A2956,Studies!A:BR,3,FALSE),"")</f>
        <v>https://www.ncbi.nlm.nih.gov/pubmed/25588320</v>
      </c>
      <c r="D2956" s="232" t="str">
        <f>IF(AND(A2956&lt;&gt;"",ISNUMBER(A2956)),VLOOKUP(A2956,Studies!A:BR,4,FALSE),"")</f>
        <v>po 3 mg</v>
      </c>
      <c r="E2956" s="206" t="str">
        <f>IF(AND(A2956&lt;&gt;"",ISNUMBER(A2956)),VLOOKUP(A2956,Studies!A:BR,5,FALSE),"")</f>
        <v>Midazolam</v>
      </c>
      <c r="F2956" s="207" t="str">
        <f>IF(AND(A2956&lt;&gt;"",ISNUMBER(A2956)),VLOOKUP(A2956,Studies!A:BR,6,FALSE),"")</f>
        <v>Plasma</v>
      </c>
      <c r="G2956" s="194">
        <v>2</v>
      </c>
      <c r="H2956" s="194" t="s">
        <v>60</v>
      </c>
      <c r="I2956" s="187">
        <v>3843.61</v>
      </c>
      <c r="J2956" s="187" t="s">
        <v>1031</v>
      </c>
      <c r="K2956" s="187" t="s">
        <v>116</v>
      </c>
      <c r="L2956" s="195">
        <v>655.90009999999995</v>
      </c>
      <c r="M2956" s="195" t="s">
        <v>1031</v>
      </c>
      <c r="N2956" s="195" t="s">
        <v>1146</v>
      </c>
      <c r="O2956" s="199">
        <v>9.2999999999999999E-2</v>
      </c>
      <c r="P2956" s="188"/>
      <c r="Q2956" s="174">
        <f>IF(ISNUMBER(VLOOKUP(A2956,NotghiID!A:A,1,FALSE)),1,0)</f>
        <v>1</v>
      </c>
    </row>
    <row r="2957" spans="1:17" ht="14.25" x14ac:dyDescent="0.2">
      <c r="A2957" s="189">
        <v>264</v>
      </c>
      <c r="B2957" s="232" t="str">
        <f>IF(AND(A2957&lt;&gt;"",ISNUMBER(A2957)),VLOOKUP(A2957,Studies!A:BR,2,FALSE),"")</f>
        <v>Hohmann 2015</v>
      </c>
      <c r="C2957" s="232" t="str">
        <f>IF(AND(A2957&lt;&gt;"",ISNUMBER(A2957)),VLOOKUP(A2957,Studies!A:BR,3,FALSE),"")</f>
        <v>https://www.ncbi.nlm.nih.gov/pubmed/25588320</v>
      </c>
      <c r="D2957" s="232" t="str">
        <f>IF(AND(A2957&lt;&gt;"",ISNUMBER(A2957)),VLOOKUP(A2957,Studies!A:BR,4,FALSE),"")</f>
        <v>po 3 mg</v>
      </c>
      <c r="E2957" s="206" t="str">
        <f>IF(AND(A2957&lt;&gt;"",ISNUMBER(A2957)),VLOOKUP(A2957,Studies!A:BR,5,FALSE),"")</f>
        <v>Midazolam</v>
      </c>
      <c r="F2957" s="207" t="str">
        <f>IF(AND(A2957&lt;&gt;"",ISNUMBER(A2957)),VLOOKUP(A2957,Studies!A:BR,6,FALSE),"")</f>
        <v>Plasma</v>
      </c>
      <c r="G2957" s="194">
        <v>2.5</v>
      </c>
      <c r="H2957" s="194" t="s">
        <v>60</v>
      </c>
      <c r="I2957" s="187">
        <v>2943.6819999999998</v>
      </c>
      <c r="J2957" s="187" t="s">
        <v>1031</v>
      </c>
      <c r="K2957" s="187" t="s">
        <v>116</v>
      </c>
      <c r="L2957" s="195"/>
      <c r="M2957" s="195"/>
      <c r="N2957" s="195" t="s">
        <v>1146</v>
      </c>
      <c r="O2957" s="199">
        <v>9.2999999999999999E-2</v>
      </c>
      <c r="P2957" s="188" t="s">
        <v>1147</v>
      </c>
      <c r="Q2957" s="174">
        <f>IF(ISNUMBER(VLOOKUP(A2957,NotghiID!A:A,1,FALSE)),1,0)</f>
        <v>1</v>
      </c>
    </row>
    <row r="2958" spans="1:17" ht="14.25" x14ac:dyDescent="0.2">
      <c r="A2958" s="189">
        <v>264</v>
      </c>
      <c r="B2958" s="232" t="str">
        <f>IF(AND(A2958&lt;&gt;"",ISNUMBER(A2958)),VLOOKUP(A2958,Studies!A:BR,2,FALSE),"")</f>
        <v>Hohmann 2015</v>
      </c>
      <c r="C2958" s="232" t="str">
        <f>IF(AND(A2958&lt;&gt;"",ISNUMBER(A2958)),VLOOKUP(A2958,Studies!A:BR,3,FALSE),"")</f>
        <v>https://www.ncbi.nlm.nih.gov/pubmed/25588320</v>
      </c>
      <c r="D2958" s="232" t="str">
        <f>IF(AND(A2958&lt;&gt;"",ISNUMBER(A2958)),VLOOKUP(A2958,Studies!A:BR,4,FALSE),"")</f>
        <v>po 3 mg</v>
      </c>
      <c r="E2958" s="206" t="str">
        <f>IF(AND(A2958&lt;&gt;"",ISNUMBER(A2958)),VLOOKUP(A2958,Studies!A:BR,5,FALSE),"")</f>
        <v>Midazolam</v>
      </c>
      <c r="F2958" s="207" t="str">
        <f>IF(AND(A2958&lt;&gt;"",ISNUMBER(A2958)),VLOOKUP(A2958,Studies!A:BR,6,FALSE),"")</f>
        <v>Plasma</v>
      </c>
      <c r="G2958" s="194">
        <v>3</v>
      </c>
      <c r="H2958" s="194" t="s">
        <v>60</v>
      </c>
      <c r="I2958" s="187">
        <v>2378.2620000000002</v>
      </c>
      <c r="J2958" s="187" t="s">
        <v>1031</v>
      </c>
      <c r="K2958" s="187" t="s">
        <v>116</v>
      </c>
      <c r="L2958" s="195">
        <v>405.84269999999998</v>
      </c>
      <c r="M2958" s="195" t="s">
        <v>1031</v>
      </c>
      <c r="N2958" s="195" t="s">
        <v>1146</v>
      </c>
      <c r="O2958" s="199">
        <v>9.2999999999999999E-2</v>
      </c>
      <c r="P2958" s="188"/>
      <c r="Q2958" s="174">
        <f>IF(ISNUMBER(VLOOKUP(A2958,NotghiID!A:A,1,FALSE)),1,0)</f>
        <v>1</v>
      </c>
    </row>
    <row r="2959" spans="1:17" ht="14.25" x14ac:dyDescent="0.2">
      <c r="A2959" s="189">
        <v>264</v>
      </c>
      <c r="B2959" s="232" t="str">
        <f>IF(AND(A2959&lt;&gt;"",ISNUMBER(A2959)),VLOOKUP(A2959,Studies!A:BR,2,FALSE),"")</f>
        <v>Hohmann 2015</v>
      </c>
      <c r="C2959" s="232" t="str">
        <f>IF(AND(A2959&lt;&gt;"",ISNUMBER(A2959)),VLOOKUP(A2959,Studies!A:BR,3,FALSE),"")</f>
        <v>https://www.ncbi.nlm.nih.gov/pubmed/25588320</v>
      </c>
      <c r="D2959" s="232" t="str">
        <f>IF(AND(A2959&lt;&gt;"",ISNUMBER(A2959)),VLOOKUP(A2959,Studies!A:BR,4,FALSE),"")</f>
        <v>po 3 mg</v>
      </c>
      <c r="E2959" s="206" t="str">
        <f>IF(AND(A2959&lt;&gt;"",ISNUMBER(A2959)),VLOOKUP(A2959,Studies!A:BR,5,FALSE),"")</f>
        <v>Midazolam</v>
      </c>
      <c r="F2959" s="207" t="str">
        <f>IF(AND(A2959&lt;&gt;"",ISNUMBER(A2959)),VLOOKUP(A2959,Studies!A:BR,6,FALSE),"")</f>
        <v>Plasma</v>
      </c>
      <c r="G2959" s="194">
        <v>4</v>
      </c>
      <c r="H2959" s="194" t="s">
        <v>60</v>
      </c>
      <c r="I2959" s="187">
        <v>1681.99</v>
      </c>
      <c r="J2959" s="187" t="s">
        <v>1031</v>
      </c>
      <c r="K2959" s="187" t="s">
        <v>116</v>
      </c>
      <c r="L2959" s="195">
        <v>323.7756</v>
      </c>
      <c r="M2959" s="195" t="s">
        <v>1031</v>
      </c>
      <c r="N2959" s="195" t="s">
        <v>1146</v>
      </c>
      <c r="O2959" s="199">
        <v>9.2999999999999999E-2</v>
      </c>
      <c r="P2959" s="188"/>
      <c r="Q2959" s="174">
        <f>IF(ISNUMBER(VLOOKUP(A2959,NotghiID!A:A,1,FALSE)),1,0)</f>
        <v>1</v>
      </c>
    </row>
    <row r="2960" spans="1:17" ht="14.25" x14ac:dyDescent="0.2">
      <c r="A2960" s="189">
        <v>264</v>
      </c>
      <c r="B2960" s="232" t="str">
        <f>IF(AND(A2960&lt;&gt;"",ISNUMBER(A2960)),VLOOKUP(A2960,Studies!A:BR,2,FALSE),"")</f>
        <v>Hohmann 2015</v>
      </c>
      <c r="C2960" s="232" t="str">
        <f>IF(AND(A2960&lt;&gt;"",ISNUMBER(A2960)),VLOOKUP(A2960,Studies!A:BR,3,FALSE),"")</f>
        <v>https://www.ncbi.nlm.nih.gov/pubmed/25588320</v>
      </c>
      <c r="D2960" s="232" t="str">
        <f>IF(AND(A2960&lt;&gt;"",ISNUMBER(A2960)),VLOOKUP(A2960,Studies!A:BR,4,FALSE),"")</f>
        <v>po 3 mg</v>
      </c>
      <c r="E2960" s="206" t="str">
        <f>IF(AND(A2960&lt;&gt;"",ISNUMBER(A2960)),VLOOKUP(A2960,Studies!A:BR,5,FALSE),"")</f>
        <v>Midazolam</v>
      </c>
      <c r="F2960" s="207" t="str">
        <f>IF(AND(A2960&lt;&gt;"",ISNUMBER(A2960)),VLOOKUP(A2960,Studies!A:BR,6,FALSE),"")</f>
        <v>Plasma</v>
      </c>
      <c r="G2960" s="194">
        <v>6</v>
      </c>
      <c r="H2960" s="194" t="s">
        <v>60</v>
      </c>
      <c r="I2960" s="187">
        <v>776.52059999999994</v>
      </c>
      <c r="J2960" s="187" t="s">
        <v>1031</v>
      </c>
      <c r="K2960" s="187" t="s">
        <v>116</v>
      </c>
      <c r="L2960" s="195">
        <v>166.05510000000001</v>
      </c>
      <c r="M2960" s="195" t="s">
        <v>1031</v>
      </c>
      <c r="N2960" s="195" t="s">
        <v>1146</v>
      </c>
      <c r="O2960" s="199">
        <v>9.2999999999999999E-2</v>
      </c>
      <c r="P2960" s="188"/>
      <c r="Q2960" s="174">
        <f>IF(ISNUMBER(VLOOKUP(A2960,NotghiID!A:A,1,FALSE)),1,0)</f>
        <v>1</v>
      </c>
    </row>
    <row r="2961" spans="1:17" ht="14.25" x14ac:dyDescent="0.2">
      <c r="A2961" s="189">
        <v>264</v>
      </c>
      <c r="B2961" s="232" t="str">
        <f>IF(AND(A2961&lt;&gt;"",ISNUMBER(A2961)),VLOOKUP(A2961,Studies!A:BR,2,FALSE),"")</f>
        <v>Hohmann 2015</v>
      </c>
      <c r="C2961" s="232" t="str">
        <f>IF(AND(A2961&lt;&gt;"",ISNUMBER(A2961)),VLOOKUP(A2961,Studies!A:BR,3,FALSE),"")</f>
        <v>https://www.ncbi.nlm.nih.gov/pubmed/25588320</v>
      </c>
      <c r="D2961" s="232" t="str">
        <f>IF(AND(A2961&lt;&gt;"",ISNUMBER(A2961)),VLOOKUP(A2961,Studies!A:BR,4,FALSE),"")</f>
        <v>po 3 mg</v>
      </c>
      <c r="E2961" s="206" t="str">
        <f>IF(AND(A2961&lt;&gt;"",ISNUMBER(A2961)),VLOOKUP(A2961,Studies!A:BR,5,FALSE),"")</f>
        <v>Midazolam</v>
      </c>
      <c r="F2961" s="207" t="str">
        <f>IF(AND(A2961&lt;&gt;"",ISNUMBER(A2961)),VLOOKUP(A2961,Studies!A:BR,6,FALSE),"")</f>
        <v>Plasma</v>
      </c>
      <c r="G2961" s="194">
        <v>8</v>
      </c>
      <c r="H2961" s="194" t="s">
        <v>60</v>
      </c>
      <c r="I2961" s="187">
        <v>535.28380000000004</v>
      </c>
      <c r="J2961" s="187" t="s">
        <v>1031</v>
      </c>
      <c r="K2961" s="187" t="s">
        <v>116</v>
      </c>
      <c r="L2961" s="195">
        <v>157.12719999999999</v>
      </c>
      <c r="M2961" s="195" t="s">
        <v>1031</v>
      </c>
      <c r="N2961" s="195" t="s">
        <v>1146</v>
      </c>
      <c r="O2961" s="199">
        <v>9.2999999999999999E-2</v>
      </c>
      <c r="P2961" s="188"/>
      <c r="Q2961" s="174">
        <f>IF(ISNUMBER(VLOOKUP(A2961,NotghiID!A:A,1,FALSE)),1,0)</f>
        <v>1</v>
      </c>
    </row>
    <row r="2962" spans="1:17" ht="14.25" x14ac:dyDescent="0.2">
      <c r="A2962" s="189">
        <v>264</v>
      </c>
      <c r="B2962" s="232" t="str">
        <f>IF(AND(A2962&lt;&gt;"",ISNUMBER(A2962)),VLOOKUP(A2962,Studies!A:BR,2,FALSE),"")</f>
        <v>Hohmann 2015</v>
      </c>
      <c r="C2962" s="232" t="str">
        <f>IF(AND(A2962&lt;&gt;"",ISNUMBER(A2962)),VLOOKUP(A2962,Studies!A:BR,3,FALSE),"")</f>
        <v>https://www.ncbi.nlm.nih.gov/pubmed/25588320</v>
      </c>
      <c r="D2962" s="232" t="str">
        <f>IF(AND(A2962&lt;&gt;"",ISNUMBER(A2962)),VLOOKUP(A2962,Studies!A:BR,4,FALSE),"")</f>
        <v>po 3 mg</v>
      </c>
      <c r="E2962" s="206" t="str">
        <f>IF(AND(A2962&lt;&gt;"",ISNUMBER(A2962)),VLOOKUP(A2962,Studies!A:BR,5,FALSE),"")</f>
        <v>Midazolam</v>
      </c>
      <c r="F2962" s="207" t="str">
        <f>IF(AND(A2962&lt;&gt;"",ISNUMBER(A2962)),VLOOKUP(A2962,Studies!A:BR,6,FALSE),"")</f>
        <v>Plasma</v>
      </c>
      <c r="G2962" s="194">
        <v>10</v>
      </c>
      <c r="H2962" s="194" t="s">
        <v>60</v>
      </c>
      <c r="I2962" s="187">
        <v>399.81139999999999</v>
      </c>
      <c r="J2962" s="187" t="s">
        <v>1031</v>
      </c>
      <c r="K2962" s="187" t="s">
        <v>116</v>
      </c>
      <c r="L2962" s="195">
        <v>139.11750000000001</v>
      </c>
      <c r="M2962" s="195" t="s">
        <v>1031</v>
      </c>
      <c r="N2962" s="195" t="s">
        <v>1146</v>
      </c>
      <c r="O2962" s="199">
        <v>9.2999999999999999E-2</v>
      </c>
      <c r="P2962" s="188"/>
      <c r="Q2962" s="174">
        <f>IF(ISNUMBER(VLOOKUP(A2962,NotghiID!A:A,1,FALSE)),1,0)</f>
        <v>1</v>
      </c>
    </row>
    <row r="2963" spans="1:17" ht="14.25" x14ac:dyDescent="0.2">
      <c r="A2963" s="189">
        <v>264</v>
      </c>
      <c r="B2963" s="232" t="str">
        <f>IF(AND(A2963&lt;&gt;"",ISNUMBER(A2963)),VLOOKUP(A2963,Studies!A:BR,2,FALSE),"")</f>
        <v>Hohmann 2015</v>
      </c>
      <c r="C2963" s="232" t="str">
        <f>IF(AND(A2963&lt;&gt;"",ISNUMBER(A2963)),VLOOKUP(A2963,Studies!A:BR,3,FALSE),"")</f>
        <v>https://www.ncbi.nlm.nih.gov/pubmed/25588320</v>
      </c>
      <c r="D2963" s="232" t="str">
        <f>IF(AND(A2963&lt;&gt;"",ISNUMBER(A2963)),VLOOKUP(A2963,Studies!A:BR,4,FALSE),"")</f>
        <v>po 3 mg</v>
      </c>
      <c r="E2963" s="206" t="str">
        <f>IF(AND(A2963&lt;&gt;"",ISNUMBER(A2963)),VLOOKUP(A2963,Studies!A:BR,5,FALSE),"")</f>
        <v>Midazolam</v>
      </c>
      <c r="F2963" s="207" t="str">
        <f>IF(AND(A2963&lt;&gt;"",ISNUMBER(A2963)),VLOOKUP(A2963,Studies!A:BR,6,FALSE),"")</f>
        <v>Plasma</v>
      </c>
      <c r="G2963" s="194">
        <v>24</v>
      </c>
      <c r="H2963" s="194" t="s">
        <v>60</v>
      </c>
      <c r="I2963" s="187">
        <v>50.484529999999999</v>
      </c>
      <c r="J2963" s="187" t="s">
        <v>1031</v>
      </c>
      <c r="K2963" s="187" t="s">
        <v>116</v>
      </c>
      <c r="L2963" s="195">
        <v>20.104089999999999</v>
      </c>
      <c r="M2963" s="195" t="s">
        <v>1031</v>
      </c>
      <c r="N2963" s="195" t="s">
        <v>1146</v>
      </c>
      <c r="O2963" s="199">
        <v>9.2999999999999999E-2</v>
      </c>
      <c r="P2963" s="188"/>
      <c r="Q2963" s="174">
        <f>IF(ISNUMBER(VLOOKUP(A2963,NotghiID!A:A,1,FALSE)),1,0)</f>
        <v>1</v>
      </c>
    </row>
    <row r="2964" spans="1:17" ht="14.25" x14ac:dyDescent="0.2">
      <c r="A2964" s="189">
        <v>293</v>
      </c>
      <c r="B2964" s="232" t="str">
        <f>IF(AND(A2964&lt;&gt;"",ISNUMBER(A2964)),VLOOKUP(A2964,Studies!A:BR,2,FALSE),"")</f>
        <v>Kharasch 2011</v>
      </c>
      <c r="C2964" s="232" t="str">
        <f>IF(AND(A2964&lt;&gt;"",ISNUMBER(A2964)),VLOOKUP(A2964,Studies!A:BR,3,FALSE),"")</f>
        <v>https://www.ncbi.nlm.nih.gov/pubmed/21562488</v>
      </c>
      <c r="D2964" s="232" t="str">
        <f>IF(AND(A2964&lt;&gt;"",ISNUMBER(A2964)),VLOOKUP(A2964,Studies!A:BR,4,FALSE),"")</f>
        <v>iv Control (Perpetrator Placebo)</v>
      </c>
      <c r="E2964" s="206" t="str">
        <f>IF(AND(A2964&lt;&gt;"",ISNUMBER(A2964)),VLOOKUP(A2964,Studies!A:BR,5,FALSE),"")</f>
        <v>Midazolam</v>
      </c>
      <c r="F2964" s="207" t="str">
        <f>IF(AND(A2964&lt;&gt;"",ISNUMBER(A2964)),VLOOKUP(A2964,Studies!A:BR,6,FALSE),"")</f>
        <v>Plasma</v>
      </c>
      <c r="G2964" s="194">
        <v>0</v>
      </c>
      <c r="H2964" s="194" t="s">
        <v>60</v>
      </c>
      <c r="I2964" s="187">
        <v>61.62133</v>
      </c>
      <c r="J2964" s="187" t="s">
        <v>1090</v>
      </c>
      <c r="K2964" s="187" t="s">
        <v>116</v>
      </c>
      <c r="L2964" s="195">
        <v>28.741579999999999</v>
      </c>
      <c r="M2964" s="195" t="s">
        <v>1090</v>
      </c>
      <c r="N2964" s="195" t="s">
        <v>117</v>
      </c>
      <c r="O2964" s="199"/>
      <c r="P2964" s="188"/>
      <c r="Q2964" s="174">
        <f>IF(ISNUMBER(VLOOKUP(A2964,NotghiID!A:A,1,FALSE)),1,0)</f>
        <v>1</v>
      </c>
    </row>
    <row r="2965" spans="1:17" ht="14.25" x14ac:dyDescent="0.2">
      <c r="A2965" s="189">
        <v>293</v>
      </c>
      <c r="B2965" s="232" t="str">
        <f>IF(AND(A2965&lt;&gt;"",ISNUMBER(A2965)),VLOOKUP(A2965,Studies!A:BR,2,FALSE),"")</f>
        <v>Kharasch 2011</v>
      </c>
      <c r="C2965" s="232" t="str">
        <f>IF(AND(A2965&lt;&gt;"",ISNUMBER(A2965)),VLOOKUP(A2965,Studies!A:BR,3,FALSE),"")</f>
        <v>https://www.ncbi.nlm.nih.gov/pubmed/21562488</v>
      </c>
      <c r="D2965" s="232" t="str">
        <f>IF(AND(A2965&lt;&gt;"",ISNUMBER(A2965)),VLOOKUP(A2965,Studies!A:BR,4,FALSE),"")</f>
        <v>iv Control (Perpetrator Placebo)</v>
      </c>
      <c r="E2965" s="206" t="str">
        <f>IF(AND(A2965&lt;&gt;"",ISNUMBER(A2965)),VLOOKUP(A2965,Studies!A:BR,5,FALSE),"")</f>
        <v>Midazolam</v>
      </c>
      <c r="F2965" s="207" t="str">
        <f>IF(AND(A2965&lt;&gt;"",ISNUMBER(A2965)),VLOOKUP(A2965,Studies!A:BR,6,FALSE),"")</f>
        <v>Plasma</v>
      </c>
      <c r="G2965" s="194">
        <v>0.08</v>
      </c>
      <c r="H2965" s="194" t="s">
        <v>60</v>
      </c>
      <c r="I2965" s="187">
        <v>26.187429999999999</v>
      </c>
      <c r="J2965" s="187" t="s">
        <v>1090</v>
      </c>
      <c r="K2965" s="187" t="s">
        <v>116</v>
      </c>
      <c r="L2965" s="195">
        <v>6.6139739999999998</v>
      </c>
      <c r="M2965" s="195" t="s">
        <v>1090</v>
      </c>
      <c r="N2965" s="195" t="s">
        <v>117</v>
      </c>
      <c r="O2965" s="199"/>
      <c r="P2965" s="188"/>
      <c r="Q2965" s="174">
        <f>IF(ISNUMBER(VLOOKUP(A2965,NotghiID!A:A,1,FALSE)),1,0)</f>
        <v>1</v>
      </c>
    </row>
    <row r="2966" spans="1:17" ht="14.25" x14ac:dyDescent="0.2">
      <c r="A2966" s="189">
        <v>293</v>
      </c>
      <c r="B2966" s="232" t="str">
        <f>IF(AND(A2966&lt;&gt;"",ISNUMBER(A2966)),VLOOKUP(A2966,Studies!A:BR,2,FALSE),"")</f>
        <v>Kharasch 2011</v>
      </c>
      <c r="C2966" s="232" t="str">
        <f>IF(AND(A2966&lt;&gt;"",ISNUMBER(A2966)),VLOOKUP(A2966,Studies!A:BR,3,FALSE),"")</f>
        <v>https://www.ncbi.nlm.nih.gov/pubmed/21562488</v>
      </c>
      <c r="D2966" s="232" t="str">
        <f>IF(AND(A2966&lt;&gt;"",ISNUMBER(A2966)),VLOOKUP(A2966,Studies!A:BR,4,FALSE),"")</f>
        <v>iv Control (Perpetrator Placebo)</v>
      </c>
      <c r="E2966" s="206" t="str">
        <f>IF(AND(A2966&lt;&gt;"",ISNUMBER(A2966)),VLOOKUP(A2966,Studies!A:BR,5,FALSE),"")</f>
        <v>Midazolam</v>
      </c>
      <c r="F2966" s="207" t="str">
        <f>IF(AND(A2966&lt;&gt;"",ISNUMBER(A2966)),VLOOKUP(A2966,Studies!A:BR,6,FALSE),"")</f>
        <v>Plasma</v>
      </c>
      <c r="G2966" s="194">
        <v>0.17</v>
      </c>
      <c r="H2966" s="194" t="s">
        <v>60</v>
      </c>
      <c r="I2966" s="187">
        <v>20.44153</v>
      </c>
      <c r="J2966" s="187" t="s">
        <v>1090</v>
      </c>
      <c r="K2966" s="187" t="s">
        <v>116</v>
      </c>
      <c r="L2966" s="195">
        <v>3.4901450000000001</v>
      </c>
      <c r="M2966" s="195" t="s">
        <v>1090</v>
      </c>
      <c r="N2966" s="195" t="s">
        <v>117</v>
      </c>
      <c r="O2966" s="199"/>
      <c r="P2966" s="188"/>
      <c r="Q2966" s="174">
        <f>IF(ISNUMBER(VLOOKUP(A2966,NotghiID!A:A,1,FALSE)),1,0)</f>
        <v>1</v>
      </c>
    </row>
    <row r="2967" spans="1:17" ht="14.25" x14ac:dyDescent="0.2">
      <c r="A2967" s="189">
        <v>293</v>
      </c>
      <c r="B2967" s="232" t="str">
        <f>IF(AND(A2967&lt;&gt;"",ISNUMBER(A2967)),VLOOKUP(A2967,Studies!A:BR,2,FALSE),"")</f>
        <v>Kharasch 2011</v>
      </c>
      <c r="C2967" s="232" t="str">
        <f>IF(AND(A2967&lt;&gt;"",ISNUMBER(A2967)),VLOOKUP(A2967,Studies!A:BR,3,FALSE),"")</f>
        <v>https://www.ncbi.nlm.nih.gov/pubmed/21562488</v>
      </c>
      <c r="D2967" s="232" t="str">
        <f>IF(AND(A2967&lt;&gt;"",ISNUMBER(A2967)),VLOOKUP(A2967,Studies!A:BR,4,FALSE),"")</f>
        <v>iv Control (Perpetrator Placebo)</v>
      </c>
      <c r="E2967" s="206" t="str">
        <f>IF(AND(A2967&lt;&gt;"",ISNUMBER(A2967)),VLOOKUP(A2967,Studies!A:BR,5,FALSE),"")</f>
        <v>Midazolam</v>
      </c>
      <c r="F2967" s="207" t="str">
        <f>IF(AND(A2967&lt;&gt;"",ISNUMBER(A2967)),VLOOKUP(A2967,Studies!A:BR,6,FALSE),"")</f>
        <v>Plasma</v>
      </c>
      <c r="G2967" s="194">
        <v>0.33</v>
      </c>
      <c r="H2967" s="194" t="s">
        <v>60</v>
      </c>
      <c r="I2967" s="187">
        <v>14.41864</v>
      </c>
      <c r="J2967" s="187" t="s">
        <v>1090</v>
      </c>
      <c r="K2967" s="187" t="s">
        <v>116</v>
      </c>
      <c r="L2967" s="195">
        <v>2.4618030000000002</v>
      </c>
      <c r="M2967" s="195" t="s">
        <v>1090</v>
      </c>
      <c r="N2967" s="195" t="s">
        <v>117</v>
      </c>
      <c r="O2967" s="199"/>
      <c r="P2967" s="188"/>
      <c r="Q2967" s="174">
        <f>IF(ISNUMBER(VLOOKUP(A2967,NotghiID!A:A,1,FALSE)),1,0)</f>
        <v>1</v>
      </c>
    </row>
    <row r="2968" spans="1:17" ht="14.25" x14ac:dyDescent="0.2">
      <c r="A2968" s="189">
        <v>293</v>
      </c>
      <c r="B2968" s="232" t="str">
        <f>IF(AND(A2968&lt;&gt;"",ISNUMBER(A2968)),VLOOKUP(A2968,Studies!A:BR,2,FALSE),"")</f>
        <v>Kharasch 2011</v>
      </c>
      <c r="C2968" s="232" t="str">
        <f>IF(AND(A2968&lt;&gt;"",ISNUMBER(A2968)),VLOOKUP(A2968,Studies!A:BR,3,FALSE),"")</f>
        <v>https://www.ncbi.nlm.nih.gov/pubmed/21562488</v>
      </c>
      <c r="D2968" s="232" t="str">
        <f>IF(AND(A2968&lt;&gt;"",ISNUMBER(A2968)),VLOOKUP(A2968,Studies!A:BR,4,FALSE),"")</f>
        <v>iv Control (Perpetrator Placebo)</v>
      </c>
      <c r="E2968" s="206" t="str">
        <f>IF(AND(A2968&lt;&gt;"",ISNUMBER(A2968)),VLOOKUP(A2968,Studies!A:BR,5,FALSE),"")</f>
        <v>Midazolam</v>
      </c>
      <c r="F2968" s="207" t="str">
        <f>IF(AND(A2968&lt;&gt;"",ISNUMBER(A2968)),VLOOKUP(A2968,Studies!A:BR,6,FALSE),"")</f>
        <v>Plasma</v>
      </c>
      <c r="G2968" s="194">
        <v>0.5</v>
      </c>
      <c r="H2968" s="194" t="s">
        <v>60</v>
      </c>
      <c r="I2968" s="187">
        <v>11.38242</v>
      </c>
      <c r="J2968" s="187" t="s">
        <v>1090</v>
      </c>
      <c r="K2968" s="187" t="s">
        <v>116</v>
      </c>
      <c r="L2968" s="195">
        <v>1.943414</v>
      </c>
      <c r="M2968" s="195" t="s">
        <v>1090</v>
      </c>
      <c r="N2968" s="195" t="s">
        <v>117</v>
      </c>
      <c r="O2968" s="199"/>
      <c r="P2968" s="188"/>
      <c r="Q2968" s="174">
        <f>IF(ISNUMBER(VLOOKUP(A2968,NotghiID!A:A,1,FALSE)),1,0)</f>
        <v>1</v>
      </c>
    </row>
    <row r="2969" spans="1:17" ht="14.25" x14ac:dyDescent="0.2">
      <c r="A2969" s="189">
        <v>293</v>
      </c>
      <c r="B2969" s="232" t="str">
        <f>IF(AND(A2969&lt;&gt;"",ISNUMBER(A2969)),VLOOKUP(A2969,Studies!A:BR,2,FALSE),"")</f>
        <v>Kharasch 2011</v>
      </c>
      <c r="C2969" s="232" t="str">
        <f>IF(AND(A2969&lt;&gt;"",ISNUMBER(A2969)),VLOOKUP(A2969,Studies!A:BR,3,FALSE),"")</f>
        <v>https://www.ncbi.nlm.nih.gov/pubmed/21562488</v>
      </c>
      <c r="D2969" s="232" t="str">
        <f>IF(AND(A2969&lt;&gt;"",ISNUMBER(A2969)),VLOOKUP(A2969,Studies!A:BR,4,FALSE),"")</f>
        <v>iv Control (Perpetrator Placebo)</v>
      </c>
      <c r="E2969" s="206" t="str">
        <f>IF(AND(A2969&lt;&gt;"",ISNUMBER(A2969)),VLOOKUP(A2969,Studies!A:BR,5,FALSE),"")</f>
        <v>Midazolam</v>
      </c>
      <c r="F2969" s="207" t="str">
        <f>IF(AND(A2969&lt;&gt;"",ISNUMBER(A2969)),VLOOKUP(A2969,Studies!A:BR,6,FALSE),"")</f>
        <v>Plasma</v>
      </c>
      <c r="G2969" s="194">
        <v>0.75</v>
      </c>
      <c r="H2969" s="194" t="s">
        <v>60</v>
      </c>
      <c r="I2969" s="187">
        <v>9.3995080000000009</v>
      </c>
      <c r="J2969" s="187" t="s">
        <v>1090</v>
      </c>
      <c r="K2969" s="187" t="s">
        <v>116</v>
      </c>
      <c r="L2969" s="195">
        <v>1.855472</v>
      </c>
      <c r="M2969" s="195" t="s">
        <v>1090</v>
      </c>
      <c r="N2969" s="195" t="s">
        <v>117</v>
      </c>
      <c r="O2969" s="199"/>
      <c r="P2969" s="188"/>
      <c r="Q2969" s="174">
        <f>IF(ISNUMBER(VLOOKUP(A2969,NotghiID!A:A,1,FALSE)),1,0)</f>
        <v>1</v>
      </c>
    </row>
    <row r="2970" spans="1:17" ht="14.25" x14ac:dyDescent="0.2">
      <c r="A2970" s="189">
        <v>293</v>
      </c>
      <c r="B2970" s="232" t="str">
        <f>IF(AND(A2970&lt;&gt;"",ISNUMBER(A2970)),VLOOKUP(A2970,Studies!A:BR,2,FALSE),"")</f>
        <v>Kharasch 2011</v>
      </c>
      <c r="C2970" s="232" t="str">
        <f>IF(AND(A2970&lt;&gt;"",ISNUMBER(A2970)),VLOOKUP(A2970,Studies!A:BR,3,FALSE),"")</f>
        <v>https://www.ncbi.nlm.nih.gov/pubmed/21562488</v>
      </c>
      <c r="D2970" s="232" t="str">
        <f>IF(AND(A2970&lt;&gt;"",ISNUMBER(A2970)),VLOOKUP(A2970,Studies!A:BR,4,FALSE),"")</f>
        <v>iv Control (Perpetrator Placebo)</v>
      </c>
      <c r="E2970" s="206" t="str">
        <f>IF(AND(A2970&lt;&gt;"",ISNUMBER(A2970)),VLOOKUP(A2970,Studies!A:BR,5,FALSE),"")</f>
        <v>Midazolam</v>
      </c>
      <c r="F2970" s="207" t="str">
        <f>IF(AND(A2970&lt;&gt;"",ISNUMBER(A2970)),VLOOKUP(A2970,Studies!A:BR,6,FALSE),"")</f>
        <v>Plasma</v>
      </c>
      <c r="G2970" s="194">
        <v>1</v>
      </c>
      <c r="H2970" s="194" t="s">
        <v>60</v>
      </c>
      <c r="I2970" s="187">
        <v>7.849926</v>
      </c>
      <c r="J2970" s="187" t="s">
        <v>1090</v>
      </c>
      <c r="K2970" s="187" t="s">
        <v>116</v>
      </c>
      <c r="L2970" s="195">
        <v>1.549582</v>
      </c>
      <c r="M2970" s="195" t="s">
        <v>1090</v>
      </c>
      <c r="N2970" s="195" t="s">
        <v>117</v>
      </c>
      <c r="O2970" s="199"/>
      <c r="P2970" s="188"/>
      <c r="Q2970" s="174">
        <f>IF(ISNUMBER(VLOOKUP(A2970,NotghiID!A:A,1,FALSE)),1,0)</f>
        <v>1</v>
      </c>
    </row>
    <row r="2971" spans="1:17" ht="14.25" x14ac:dyDescent="0.2">
      <c r="A2971" s="189">
        <v>293</v>
      </c>
      <c r="B2971" s="232" t="str">
        <f>IF(AND(A2971&lt;&gt;"",ISNUMBER(A2971)),VLOOKUP(A2971,Studies!A:BR,2,FALSE),"")</f>
        <v>Kharasch 2011</v>
      </c>
      <c r="C2971" s="232" t="str">
        <f>IF(AND(A2971&lt;&gt;"",ISNUMBER(A2971)),VLOOKUP(A2971,Studies!A:BR,3,FALSE),"")</f>
        <v>https://www.ncbi.nlm.nih.gov/pubmed/21562488</v>
      </c>
      <c r="D2971" s="232" t="str">
        <f>IF(AND(A2971&lt;&gt;"",ISNUMBER(A2971)),VLOOKUP(A2971,Studies!A:BR,4,FALSE),"")</f>
        <v>iv Control (Perpetrator Placebo)</v>
      </c>
      <c r="E2971" s="206" t="str">
        <f>IF(AND(A2971&lt;&gt;"",ISNUMBER(A2971)),VLOOKUP(A2971,Studies!A:BR,5,FALSE),"")</f>
        <v>Midazolam</v>
      </c>
      <c r="F2971" s="207" t="str">
        <f>IF(AND(A2971&lt;&gt;"",ISNUMBER(A2971)),VLOOKUP(A2971,Studies!A:BR,6,FALSE),"")</f>
        <v>Plasma</v>
      </c>
      <c r="G2971" s="194">
        <v>1.17</v>
      </c>
      <c r="H2971" s="194" t="s">
        <v>60</v>
      </c>
      <c r="I2971" s="187">
        <v>7.3371209999999998</v>
      </c>
      <c r="J2971" s="187" t="s">
        <v>1090</v>
      </c>
      <c r="K2971" s="187" t="s">
        <v>116</v>
      </c>
      <c r="L2971" s="195">
        <v>1.3499890000000001</v>
      </c>
      <c r="M2971" s="195" t="s">
        <v>1090</v>
      </c>
      <c r="N2971" s="195" t="s">
        <v>117</v>
      </c>
      <c r="O2971" s="199"/>
      <c r="P2971" s="188"/>
      <c r="Q2971" s="174">
        <f>IF(ISNUMBER(VLOOKUP(A2971,NotghiID!A:A,1,FALSE)),1,0)</f>
        <v>1</v>
      </c>
    </row>
    <row r="2972" spans="1:17" ht="14.25" x14ac:dyDescent="0.2">
      <c r="A2972" s="189">
        <v>293</v>
      </c>
      <c r="B2972" s="232" t="str">
        <f>IF(AND(A2972&lt;&gt;"",ISNUMBER(A2972)),VLOOKUP(A2972,Studies!A:BR,2,FALSE),"")</f>
        <v>Kharasch 2011</v>
      </c>
      <c r="C2972" s="232" t="str">
        <f>IF(AND(A2972&lt;&gt;"",ISNUMBER(A2972)),VLOOKUP(A2972,Studies!A:BR,3,FALSE),"")</f>
        <v>https://www.ncbi.nlm.nih.gov/pubmed/21562488</v>
      </c>
      <c r="D2972" s="232" t="str">
        <f>IF(AND(A2972&lt;&gt;"",ISNUMBER(A2972)),VLOOKUP(A2972,Studies!A:BR,4,FALSE),"")</f>
        <v>iv Control (Perpetrator Placebo)</v>
      </c>
      <c r="E2972" s="206" t="str">
        <f>IF(AND(A2972&lt;&gt;"",ISNUMBER(A2972)),VLOOKUP(A2972,Studies!A:BR,5,FALSE),"")</f>
        <v>Midazolam</v>
      </c>
      <c r="F2972" s="207" t="str">
        <f>IF(AND(A2972&lt;&gt;"",ISNUMBER(A2972)),VLOOKUP(A2972,Studies!A:BR,6,FALSE),"")</f>
        <v>Plasma</v>
      </c>
      <c r="G2972" s="194">
        <v>1.25</v>
      </c>
      <c r="H2972" s="194" t="s">
        <v>60</v>
      </c>
      <c r="I2972" s="187">
        <v>6.6300359999999996</v>
      </c>
      <c r="J2972" s="187" t="s">
        <v>1090</v>
      </c>
      <c r="K2972" s="187" t="s">
        <v>116</v>
      </c>
      <c r="L2972" s="195">
        <v>1.1319980000000001</v>
      </c>
      <c r="M2972" s="195" t="s">
        <v>1090</v>
      </c>
      <c r="N2972" s="195" t="s">
        <v>117</v>
      </c>
      <c r="O2972" s="199"/>
      <c r="P2972" s="188"/>
      <c r="Q2972" s="174">
        <f>IF(ISNUMBER(VLOOKUP(A2972,NotghiID!A:A,1,FALSE)),1,0)</f>
        <v>1</v>
      </c>
    </row>
    <row r="2973" spans="1:17" ht="14.25" x14ac:dyDescent="0.2">
      <c r="A2973" s="189">
        <v>293</v>
      </c>
      <c r="B2973" s="232" t="str">
        <f>IF(AND(A2973&lt;&gt;"",ISNUMBER(A2973)),VLOOKUP(A2973,Studies!A:BR,2,FALSE),"")</f>
        <v>Kharasch 2011</v>
      </c>
      <c r="C2973" s="232" t="str">
        <f>IF(AND(A2973&lt;&gt;"",ISNUMBER(A2973)),VLOOKUP(A2973,Studies!A:BR,3,FALSE),"")</f>
        <v>https://www.ncbi.nlm.nih.gov/pubmed/21562488</v>
      </c>
      <c r="D2973" s="232" t="str">
        <f>IF(AND(A2973&lt;&gt;"",ISNUMBER(A2973)),VLOOKUP(A2973,Studies!A:BR,4,FALSE),"")</f>
        <v>iv Control (Perpetrator Placebo)</v>
      </c>
      <c r="E2973" s="206" t="str">
        <f>IF(AND(A2973&lt;&gt;"",ISNUMBER(A2973)),VLOOKUP(A2973,Studies!A:BR,5,FALSE),"")</f>
        <v>Midazolam</v>
      </c>
      <c r="F2973" s="207" t="str">
        <f>IF(AND(A2973&lt;&gt;"",ISNUMBER(A2973)),VLOOKUP(A2973,Studies!A:BR,6,FALSE),"")</f>
        <v>Plasma</v>
      </c>
      <c r="G2973" s="194">
        <v>1.5</v>
      </c>
      <c r="H2973" s="194" t="s">
        <v>60</v>
      </c>
      <c r="I2973" s="187">
        <v>5.5370229999999996</v>
      </c>
      <c r="J2973" s="187" t="s">
        <v>1090</v>
      </c>
      <c r="K2973" s="187" t="s">
        <v>116</v>
      </c>
      <c r="L2973" s="195">
        <v>0.80103159999999995</v>
      </c>
      <c r="M2973" s="195" t="s">
        <v>1090</v>
      </c>
      <c r="N2973" s="195" t="s">
        <v>117</v>
      </c>
      <c r="O2973" s="199"/>
      <c r="P2973" s="188"/>
      <c r="Q2973" s="174">
        <f>IF(ISNUMBER(VLOOKUP(A2973,NotghiID!A:A,1,FALSE)),1,0)</f>
        <v>1</v>
      </c>
    </row>
    <row r="2974" spans="1:17" ht="14.25" x14ac:dyDescent="0.2">
      <c r="A2974" s="189">
        <v>293</v>
      </c>
      <c r="B2974" s="232" t="str">
        <f>IF(AND(A2974&lt;&gt;"",ISNUMBER(A2974)),VLOOKUP(A2974,Studies!A:BR,2,FALSE),"")</f>
        <v>Kharasch 2011</v>
      </c>
      <c r="C2974" s="232" t="str">
        <f>IF(AND(A2974&lt;&gt;"",ISNUMBER(A2974)),VLOOKUP(A2974,Studies!A:BR,3,FALSE),"")</f>
        <v>https://www.ncbi.nlm.nih.gov/pubmed/21562488</v>
      </c>
      <c r="D2974" s="232" t="str">
        <f>IF(AND(A2974&lt;&gt;"",ISNUMBER(A2974)),VLOOKUP(A2974,Studies!A:BR,4,FALSE),"")</f>
        <v>iv Control (Perpetrator Placebo)</v>
      </c>
      <c r="E2974" s="206" t="str">
        <f>IF(AND(A2974&lt;&gt;"",ISNUMBER(A2974)),VLOOKUP(A2974,Studies!A:BR,5,FALSE),"")</f>
        <v>Midazolam</v>
      </c>
      <c r="F2974" s="207" t="str">
        <f>IF(AND(A2974&lt;&gt;"",ISNUMBER(A2974)),VLOOKUP(A2974,Studies!A:BR,6,FALSE),"")</f>
        <v>Plasma</v>
      </c>
      <c r="G2974" s="194">
        <v>1.75</v>
      </c>
      <c r="H2974" s="194" t="s">
        <v>60</v>
      </c>
      <c r="I2974" s="187">
        <v>4.8920009999999996</v>
      </c>
      <c r="J2974" s="187" t="s">
        <v>1090</v>
      </c>
      <c r="K2974" s="187" t="s">
        <v>116</v>
      </c>
      <c r="L2974" s="195">
        <v>0.90010069999999998</v>
      </c>
      <c r="M2974" s="195" t="s">
        <v>1090</v>
      </c>
      <c r="N2974" s="195" t="s">
        <v>117</v>
      </c>
      <c r="O2974" s="199"/>
      <c r="P2974" s="188"/>
      <c r="Q2974" s="174">
        <f>IF(ISNUMBER(VLOOKUP(A2974,NotghiID!A:A,1,FALSE)),1,0)</f>
        <v>1</v>
      </c>
    </row>
    <row r="2975" spans="1:17" ht="14.25" x14ac:dyDescent="0.2">
      <c r="A2975" s="189">
        <v>293</v>
      </c>
      <c r="B2975" s="232" t="str">
        <f>IF(AND(A2975&lt;&gt;"",ISNUMBER(A2975)),VLOOKUP(A2975,Studies!A:BR,2,FALSE),"")</f>
        <v>Kharasch 2011</v>
      </c>
      <c r="C2975" s="232" t="str">
        <f>IF(AND(A2975&lt;&gt;"",ISNUMBER(A2975)),VLOOKUP(A2975,Studies!A:BR,3,FALSE),"")</f>
        <v>https://www.ncbi.nlm.nih.gov/pubmed/21562488</v>
      </c>
      <c r="D2975" s="232" t="str">
        <f>IF(AND(A2975&lt;&gt;"",ISNUMBER(A2975)),VLOOKUP(A2975,Studies!A:BR,4,FALSE),"")</f>
        <v>iv Control (Perpetrator Placebo)</v>
      </c>
      <c r="E2975" s="206" t="str">
        <f>IF(AND(A2975&lt;&gt;"",ISNUMBER(A2975)),VLOOKUP(A2975,Studies!A:BR,5,FALSE),"")</f>
        <v>Midazolam</v>
      </c>
      <c r="F2975" s="207" t="str">
        <f>IF(AND(A2975&lt;&gt;"",ISNUMBER(A2975)),VLOOKUP(A2975,Studies!A:BR,6,FALSE),"")</f>
        <v>Plasma</v>
      </c>
      <c r="G2975" s="194">
        <v>2</v>
      </c>
      <c r="H2975" s="194" t="s">
        <v>60</v>
      </c>
      <c r="I2975" s="187">
        <v>4.2737280000000002</v>
      </c>
      <c r="J2975" s="187" t="s">
        <v>1090</v>
      </c>
      <c r="K2975" s="187" t="s">
        <v>116</v>
      </c>
      <c r="L2975" s="195">
        <v>0.67366649999999995</v>
      </c>
      <c r="M2975" s="195" t="s">
        <v>1090</v>
      </c>
      <c r="N2975" s="195" t="s">
        <v>117</v>
      </c>
      <c r="O2975" s="199"/>
      <c r="P2975" s="188"/>
      <c r="Q2975" s="174">
        <f>IF(ISNUMBER(VLOOKUP(A2975,NotghiID!A:A,1,FALSE)),1,0)</f>
        <v>1</v>
      </c>
    </row>
    <row r="2976" spans="1:17" ht="14.25" x14ac:dyDescent="0.2">
      <c r="A2976" s="189">
        <v>293</v>
      </c>
      <c r="B2976" s="232" t="str">
        <f>IF(AND(A2976&lt;&gt;"",ISNUMBER(A2976)),VLOOKUP(A2976,Studies!A:BR,2,FALSE),"")</f>
        <v>Kharasch 2011</v>
      </c>
      <c r="C2976" s="232" t="str">
        <f>IF(AND(A2976&lt;&gt;"",ISNUMBER(A2976)),VLOOKUP(A2976,Studies!A:BR,3,FALSE),"")</f>
        <v>https://www.ncbi.nlm.nih.gov/pubmed/21562488</v>
      </c>
      <c r="D2976" s="232" t="str">
        <f>IF(AND(A2976&lt;&gt;"",ISNUMBER(A2976)),VLOOKUP(A2976,Studies!A:BR,4,FALSE),"")</f>
        <v>iv Control (Perpetrator Placebo)</v>
      </c>
      <c r="E2976" s="206" t="str">
        <f>IF(AND(A2976&lt;&gt;"",ISNUMBER(A2976)),VLOOKUP(A2976,Studies!A:BR,5,FALSE),"")</f>
        <v>Midazolam</v>
      </c>
      <c r="F2976" s="207" t="str">
        <f>IF(AND(A2976&lt;&gt;"",ISNUMBER(A2976)),VLOOKUP(A2976,Studies!A:BR,6,FALSE),"")</f>
        <v>Plasma</v>
      </c>
      <c r="G2976" s="194">
        <v>2.5</v>
      </c>
      <c r="H2976" s="194" t="s">
        <v>60</v>
      </c>
      <c r="I2976" s="187">
        <v>3.7335940000000001</v>
      </c>
      <c r="J2976" s="187" t="s">
        <v>1090</v>
      </c>
      <c r="K2976" s="187" t="s">
        <v>116</v>
      </c>
      <c r="L2976" s="195">
        <v>0.89060689999999998</v>
      </c>
      <c r="M2976" s="195" t="s">
        <v>1090</v>
      </c>
      <c r="N2976" s="195" t="s">
        <v>117</v>
      </c>
      <c r="O2976" s="199"/>
      <c r="P2976" s="188"/>
      <c r="Q2976" s="174">
        <f>IF(ISNUMBER(VLOOKUP(A2976,NotghiID!A:A,1,FALSE)),1,0)</f>
        <v>1</v>
      </c>
    </row>
    <row r="2977" spans="1:17" ht="14.25" x14ac:dyDescent="0.2">
      <c r="A2977" s="189">
        <v>293</v>
      </c>
      <c r="B2977" s="232" t="str">
        <f>IF(AND(A2977&lt;&gt;"",ISNUMBER(A2977)),VLOOKUP(A2977,Studies!A:BR,2,FALSE),"")</f>
        <v>Kharasch 2011</v>
      </c>
      <c r="C2977" s="232" t="str">
        <f>IF(AND(A2977&lt;&gt;"",ISNUMBER(A2977)),VLOOKUP(A2977,Studies!A:BR,3,FALSE),"")</f>
        <v>https://www.ncbi.nlm.nih.gov/pubmed/21562488</v>
      </c>
      <c r="D2977" s="232" t="str">
        <f>IF(AND(A2977&lt;&gt;"",ISNUMBER(A2977)),VLOOKUP(A2977,Studies!A:BR,4,FALSE),"")</f>
        <v>iv Control (Perpetrator Placebo)</v>
      </c>
      <c r="E2977" s="206" t="str">
        <f>IF(AND(A2977&lt;&gt;"",ISNUMBER(A2977)),VLOOKUP(A2977,Studies!A:BR,5,FALSE),"")</f>
        <v>Midazolam</v>
      </c>
      <c r="F2977" s="207" t="str">
        <f>IF(AND(A2977&lt;&gt;"",ISNUMBER(A2977)),VLOOKUP(A2977,Studies!A:BR,6,FALSE),"")</f>
        <v>Plasma</v>
      </c>
      <c r="G2977" s="194">
        <v>3</v>
      </c>
      <c r="H2977" s="194" t="s">
        <v>60</v>
      </c>
      <c r="I2977" s="187">
        <v>3.225206</v>
      </c>
      <c r="J2977" s="187" t="s">
        <v>1090</v>
      </c>
      <c r="K2977" s="187" t="s">
        <v>116</v>
      </c>
      <c r="L2977" s="195">
        <v>0.59341980000000005</v>
      </c>
      <c r="M2977" s="195" t="s">
        <v>1090</v>
      </c>
      <c r="N2977" s="195" t="s">
        <v>117</v>
      </c>
      <c r="O2977" s="199"/>
      <c r="P2977" s="188"/>
      <c r="Q2977" s="174">
        <f>IF(ISNUMBER(VLOOKUP(A2977,NotghiID!A:A,1,FALSE)),1,0)</f>
        <v>1</v>
      </c>
    </row>
    <row r="2978" spans="1:17" ht="14.25" x14ac:dyDescent="0.2">
      <c r="A2978" s="189">
        <v>293</v>
      </c>
      <c r="B2978" s="232" t="str">
        <f>IF(AND(A2978&lt;&gt;"",ISNUMBER(A2978)),VLOOKUP(A2978,Studies!A:BR,2,FALSE),"")</f>
        <v>Kharasch 2011</v>
      </c>
      <c r="C2978" s="232" t="str">
        <f>IF(AND(A2978&lt;&gt;"",ISNUMBER(A2978)),VLOOKUP(A2978,Studies!A:BR,3,FALSE),"")</f>
        <v>https://www.ncbi.nlm.nih.gov/pubmed/21562488</v>
      </c>
      <c r="D2978" s="232" t="str">
        <f>IF(AND(A2978&lt;&gt;"",ISNUMBER(A2978)),VLOOKUP(A2978,Studies!A:BR,4,FALSE),"")</f>
        <v>iv Control (Perpetrator Placebo)</v>
      </c>
      <c r="E2978" s="206" t="str">
        <f>IF(AND(A2978&lt;&gt;"",ISNUMBER(A2978)),VLOOKUP(A2978,Studies!A:BR,5,FALSE),"")</f>
        <v>Midazolam</v>
      </c>
      <c r="F2978" s="207" t="str">
        <f>IF(AND(A2978&lt;&gt;"",ISNUMBER(A2978)),VLOOKUP(A2978,Studies!A:BR,6,FALSE),"")</f>
        <v>Plasma</v>
      </c>
      <c r="G2978" s="194">
        <v>4</v>
      </c>
      <c r="H2978" s="194" t="s">
        <v>60</v>
      </c>
      <c r="I2978" s="187">
        <v>2.406679</v>
      </c>
      <c r="J2978" s="187" t="s">
        <v>1090</v>
      </c>
      <c r="K2978" s="187" t="s">
        <v>116</v>
      </c>
      <c r="L2978" s="195">
        <v>0.47508050000000002</v>
      </c>
      <c r="M2978" s="195" t="s">
        <v>1090</v>
      </c>
      <c r="N2978" s="195" t="s">
        <v>117</v>
      </c>
      <c r="O2978" s="199"/>
      <c r="P2978" s="188"/>
      <c r="Q2978" s="174">
        <f>IF(ISNUMBER(VLOOKUP(A2978,NotghiID!A:A,1,FALSE)),1,0)</f>
        <v>1</v>
      </c>
    </row>
    <row r="2979" spans="1:17" ht="14.25" x14ac:dyDescent="0.2">
      <c r="A2979" s="189">
        <v>293</v>
      </c>
      <c r="B2979" s="232" t="str">
        <f>IF(AND(A2979&lt;&gt;"",ISNUMBER(A2979)),VLOOKUP(A2979,Studies!A:BR,2,FALSE),"")</f>
        <v>Kharasch 2011</v>
      </c>
      <c r="C2979" s="232" t="str">
        <f>IF(AND(A2979&lt;&gt;"",ISNUMBER(A2979)),VLOOKUP(A2979,Studies!A:BR,3,FALSE),"")</f>
        <v>https://www.ncbi.nlm.nih.gov/pubmed/21562488</v>
      </c>
      <c r="D2979" s="232" t="str">
        <f>IF(AND(A2979&lt;&gt;"",ISNUMBER(A2979)),VLOOKUP(A2979,Studies!A:BR,4,FALSE),"")</f>
        <v>iv Control (Perpetrator Placebo)</v>
      </c>
      <c r="E2979" s="206" t="str">
        <f>IF(AND(A2979&lt;&gt;"",ISNUMBER(A2979)),VLOOKUP(A2979,Studies!A:BR,5,FALSE),"")</f>
        <v>Midazolam</v>
      </c>
      <c r="F2979" s="207" t="str">
        <f>IF(AND(A2979&lt;&gt;"",ISNUMBER(A2979)),VLOOKUP(A2979,Studies!A:BR,6,FALSE),"")</f>
        <v>Plasma</v>
      </c>
      <c r="G2979" s="194">
        <v>5</v>
      </c>
      <c r="H2979" s="194" t="s">
        <v>60</v>
      </c>
      <c r="I2979" s="187">
        <v>1.9214039999999999</v>
      </c>
      <c r="J2979" s="187" t="s">
        <v>1090</v>
      </c>
      <c r="K2979" s="187" t="s">
        <v>116</v>
      </c>
      <c r="L2979" s="195">
        <v>0.59614529999999999</v>
      </c>
      <c r="M2979" s="195" t="s">
        <v>1090</v>
      </c>
      <c r="N2979" s="195" t="s">
        <v>117</v>
      </c>
      <c r="O2979" s="199"/>
      <c r="P2979" s="188"/>
      <c r="Q2979" s="174">
        <f>IF(ISNUMBER(VLOOKUP(A2979,NotghiID!A:A,1,FALSE)),1,0)</f>
        <v>1</v>
      </c>
    </row>
    <row r="2980" spans="1:17" ht="14.25" x14ac:dyDescent="0.2">
      <c r="A2980" s="189">
        <v>293</v>
      </c>
      <c r="B2980" s="232" t="str">
        <f>IF(AND(A2980&lt;&gt;"",ISNUMBER(A2980)),VLOOKUP(A2980,Studies!A:BR,2,FALSE),"")</f>
        <v>Kharasch 2011</v>
      </c>
      <c r="C2980" s="232" t="str">
        <f>IF(AND(A2980&lt;&gt;"",ISNUMBER(A2980)),VLOOKUP(A2980,Studies!A:BR,3,FALSE),"")</f>
        <v>https://www.ncbi.nlm.nih.gov/pubmed/21562488</v>
      </c>
      <c r="D2980" s="232" t="str">
        <f>IF(AND(A2980&lt;&gt;"",ISNUMBER(A2980)),VLOOKUP(A2980,Studies!A:BR,4,FALSE),"")</f>
        <v>iv Control (Perpetrator Placebo)</v>
      </c>
      <c r="E2980" s="206" t="str">
        <f>IF(AND(A2980&lt;&gt;"",ISNUMBER(A2980)),VLOOKUP(A2980,Studies!A:BR,5,FALSE),"")</f>
        <v>Midazolam</v>
      </c>
      <c r="F2980" s="207" t="str">
        <f>IF(AND(A2980&lt;&gt;"",ISNUMBER(A2980)),VLOOKUP(A2980,Studies!A:BR,6,FALSE),"")</f>
        <v>Plasma</v>
      </c>
      <c r="G2980" s="194">
        <v>6</v>
      </c>
      <c r="H2980" s="194" t="s">
        <v>60</v>
      </c>
      <c r="I2980" s="187">
        <v>1.4500040000000001</v>
      </c>
      <c r="J2980" s="187" t="s">
        <v>1090</v>
      </c>
      <c r="K2980" s="187" t="s">
        <v>116</v>
      </c>
      <c r="L2980" s="195">
        <v>0.40758090000000002</v>
      </c>
      <c r="M2980" s="195" t="s">
        <v>1090</v>
      </c>
      <c r="N2980" s="195" t="s">
        <v>117</v>
      </c>
      <c r="O2980" s="199"/>
      <c r="P2980" s="188"/>
      <c r="Q2980" s="174">
        <f>IF(ISNUMBER(VLOOKUP(A2980,NotghiID!A:A,1,FALSE)),1,0)</f>
        <v>1</v>
      </c>
    </row>
    <row r="2981" spans="1:17" ht="14.25" x14ac:dyDescent="0.2">
      <c r="A2981" s="189">
        <v>293</v>
      </c>
      <c r="B2981" s="232" t="str">
        <f>IF(AND(A2981&lt;&gt;"",ISNUMBER(A2981)),VLOOKUP(A2981,Studies!A:BR,2,FALSE),"")</f>
        <v>Kharasch 2011</v>
      </c>
      <c r="C2981" s="232" t="str">
        <f>IF(AND(A2981&lt;&gt;"",ISNUMBER(A2981)),VLOOKUP(A2981,Studies!A:BR,3,FALSE),"")</f>
        <v>https://www.ncbi.nlm.nih.gov/pubmed/21562488</v>
      </c>
      <c r="D2981" s="232" t="str">
        <f>IF(AND(A2981&lt;&gt;"",ISNUMBER(A2981)),VLOOKUP(A2981,Studies!A:BR,4,FALSE),"")</f>
        <v>iv Control (Perpetrator Placebo)</v>
      </c>
      <c r="E2981" s="206" t="str">
        <f>IF(AND(A2981&lt;&gt;"",ISNUMBER(A2981)),VLOOKUP(A2981,Studies!A:BR,5,FALSE),"")</f>
        <v>Midazolam</v>
      </c>
      <c r="F2981" s="207" t="str">
        <f>IF(AND(A2981&lt;&gt;"",ISNUMBER(A2981)),VLOOKUP(A2981,Studies!A:BR,6,FALSE),"")</f>
        <v>Plasma</v>
      </c>
      <c r="G2981" s="194">
        <v>7</v>
      </c>
      <c r="H2981" s="194" t="s">
        <v>60</v>
      </c>
      <c r="I2981" s="187">
        <v>1.355281</v>
      </c>
      <c r="J2981" s="187" t="s">
        <v>1090</v>
      </c>
      <c r="K2981" s="187" t="s">
        <v>116</v>
      </c>
      <c r="L2981" s="195">
        <v>0.52333759999999996</v>
      </c>
      <c r="M2981" s="195" t="s">
        <v>1090</v>
      </c>
      <c r="N2981" s="195" t="s">
        <v>117</v>
      </c>
      <c r="O2981" s="199"/>
      <c r="P2981" s="188"/>
      <c r="Q2981" s="174">
        <f>IF(ISNUMBER(VLOOKUP(A2981,NotghiID!A:A,1,FALSE)),1,0)</f>
        <v>1</v>
      </c>
    </row>
    <row r="2982" spans="1:17" ht="14.25" x14ac:dyDescent="0.2">
      <c r="A2982" s="189">
        <v>293</v>
      </c>
      <c r="B2982" s="232" t="str">
        <f>IF(AND(A2982&lt;&gt;"",ISNUMBER(A2982)),VLOOKUP(A2982,Studies!A:BR,2,FALSE),"")</f>
        <v>Kharasch 2011</v>
      </c>
      <c r="C2982" s="232" t="str">
        <f>IF(AND(A2982&lt;&gt;"",ISNUMBER(A2982)),VLOOKUP(A2982,Studies!A:BR,3,FALSE),"")</f>
        <v>https://www.ncbi.nlm.nih.gov/pubmed/21562488</v>
      </c>
      <c r="D2982" s="232" t="str">
        <f>IF(AND(A2982&lt;&gt;"",ISNUMBER(A2982)),VLOOKUP(A2982,Studies!A:BR,4,FALSE),"")</f>
        <v>iv Control (Perpetrator Placebo)</v>
      </c>
      <c r="E2982" s="206" t="str">
        <f>IF(AND(A2982&lt;&gt;"",ISNUMBER(A2982)),VLOOKUP(A2982,Studies!A:BR,5,FALSE),"")</f>
        <v>Midazolam</v>
      </c>
      <c r="F2982" s="207" t="str">
        <f>IF(AND(A2982&lt;&gt;"",ISNUMBER(A2982)),VLOOKUP(A2982,Studies!A:BR,6,FALSE),"")</f>
        <v>Plasma</v>
      </c>
      <c r="G2982" s="194">
        <v>8</v>
      </c>
      <c r="H2982" s="194" t="s">
        <v>60</v>
      </c>
      <c r="I2982" s="187">
        <v>1.106649</v>
      </c>
      <c r="J2982" s="187" t="s">
        <v>1090</v>
      </c>
      <c r="K2982" s="187" t="s">
        <v>116</v>
      </c>
      <c r="L2982" s="195">
        <v>0.44469829999999999</v>
      </c>
      <c r="M2982" s="195" t="s">
        <v>1090</v>
      </c>
      <c r="N2982" s="195" t="s">
        <v>117</v>
      </c>
      <c r="O2982" s="199"/>
      <c r="P2982" s="188"/>
      <c r="Q2982" s="174">
        <f>IF(ISNUMBER(VLOOKUP(A2982,NotghiID!A:A,1,FALSE)),1,0)</f>
        <v>1</v>
      </c>
    </row>
    <row r="2983" spans="1:17" ht="14.25" x14ac:dyDescent="0.2">
      <c r="A2983" s="189">
        <v>293</v>
      </c>
      <c r="B2983" s="232" t="str">
        <f>IF(AND(A2983&lt;&gt;"",ISNUMBER(A2983)),VLOOKUP(A2983,Studies!A:BR,2,FALSE),"")</f>
        <v>Kharasch 2011</v>
      </c>
      <c r="C2983" s="232" t="str">
        <f>IF(AND(A2983&lt;&gt;"",ISNUMBER(A2983)),VLOOKUP(A2983,Studies!A:BR,3,FALSE),"")</f>
        <v>https://www.ncbi.nlm.nih.gov/pubmed/21562488</v>
      </c>
      <c r="D2983" s="232" t="str">
        <f>IF(AND(A2983&lt;&gt;"",ISNUMBER(A2983)),VLOOKUP(A2983,Studies!A:BR,4,FALSE),"")</f>
        <v>iv Control (Perpetrator Placebo)</v>
      </c>
      <c r="E2983" s="206" t="str">
        <f>IF(AND(A2983&lt;&gt;"",ISNUMBER(A2983)),VLOOKUP(A2983,Studies!A:BR,5,FALSE),"")</f>
        <v>Midazolam</v>
      </c>
      <c r="F2983" s="207" t="str">
        <f>IF(AND(A2983&lt;&gt;"",ISNUMBER(A2983)),VLOOKUP(A2983,Studies!A:BR,6,FALSE),"")</f>
        <v>Plasma</v>
      </c>
      <c r="G2983" s="194">
        <v>9</v>
      </c>
      <c r="H2983" s="194" t="s">
        <v>60</v>
      </c>
      <c r="I2983" s="187">
        <v>0.90362909999999996</v>
      </c>
      <c r="J2983" s="187" t="s">
        <v>1090</v>
      </c>
      <c r="K2983" s="187" t="s">
        <v>116</v>
      </c>
      <c r="L2983" s="195">
        <v>0.43647750000000002</v>
      </c>
      <c r="M2983" s="195" t="s">
        <v>1090</v>
      </c>
      <c r="N2983" s="195" t="s">
        <v>117</v>
      </c>
      <c r="O2983" s="199"/>
      <c r="P2983" s="188"/>
      <c r="Q2983" s="174">
        <f>IF(ISNUMBER(VLOOKUP(A2983,NotghiID!A:A,1,FALSE)),1,0)</f>
        <v>1</v>
      </c>
    </row>
    <row r="2984" spans="1:17" ht="14.25" x14ac:dyDescent="0.2">
      <c r="A2984" s="189">
        <v>294</v>
      </c>
      <c r="B2984" s="232" t="str">
        <f>IF(AND(A2984&lt;&gt;"",ISNUMBER(A2984)),VLOOKUP(A2984,Studies!A:BR,2,FALSE),"")</f>
        <v>Kharasch 2011</v>
      </c>
      <c r="C2984" s="232" t="str">
        <f>IF(AND(A2984&lt;&gt;"",ISNUMBER(A2984)),VLOOKUP(A2984,Studies!A:BR,3,FALSE),"")</f>
        <v>https://www.ncbi.nlm.nih.gov/pubmed/21562488</v>
      </c>
      <c r="D2984" s="232" t="str">
        <f>IF(AND(A2984&lt;&gt;"",ISNUMBER(A2984)),VLOOKUP(A2984,Studies!A:BR,4,FALSE),"")</f>
        <v>iv with Perpetrator (Rifampicin @ 5 mg)</v>
      </c>
      <c r="E2984" s="206" t="str">
        <f>IF(AND(A2984&lt;&gt;"",ISNUMBER(A2984)),VLOOKUP(A2984,Studies!A:BR,5,FALSE),"")</f>
        <v>Midazolam</v>
      </c>
      <c r="F2984" s="207" t="str">
        <f>IF(AND(A2984&lt;&gt;"",ISNUMBER(A2984)),VLOOKUP(A2984,Studies!A:BR,6,FALSE),"")</f>
        <v>Plasma</v>
      </c>
      <c r="G2984" s="194">
        <v>109.5</v>
      </c>
      <c r="H2984" s="194" t="s">
        <v>60</v>
      </c>
      <c r="I2984" s="187">
        <v>5.1487360000000004</v>
      </c>
      <c r="J2984" s="187" t="s">
        <v>1090</v>
      </c>
      <c r="K2984" s="187" t="s">
        <v>116</v>
      </c>
      <c r="L2984" s="195"/>
      <c r="M2984" s="195"/>
      <c r="N2984" s="195"/>
      <c r="O2984" s="199"/>
      <c r="P2984" s="188"/>
      <c r="Q2984" s="174">
        <f>IF(ISNUMBER(VLOOKUP(A2984,NotghiID!A:A,1,FALSE)),1,0)</f>
        <v>1</v>
      </c>
    </row>
    <row r="2985" spans="1:17" ht="14.25" x14ac:dyDescent="0.2">
      <c r="A2985" s="189">
        <v>294</v>
      </c>
      <c r="B2985" s="232" t="str">
        <f>IF(AND(A2985&lt;&gt;"",ISNUMBER(A2985)),VLOOKUP(A2985,Studies!A:BR,2,FALSE),"")</f>
        <v>Kharasch 2011</v>
      </c>
      <c r="C2985" s="232" t="str">
        <f>IF(AND(A2985&lt;&gt;"",ISNUMBER(A2985)),VLOOKUP(A2985,Studies!A:BR,3,FALSE),"")</f>
        <v>https://www.ncbi.nlm.nih.gov/pubmed/21562488</v>
      </c>
      <c r="D2985" s="232" t="str">
        <f>IF(AND(A2985&lt;&gt;"",ISNUMBER(A2985)),VLOOKUP(A2985,Studies!A:BR,4,FALSE),"")</f>
        <v>iv with Perpetrator (Rifampicin @ 5 mg)</v>
      </c>
      <c r="E2985" s="206" t="str">
        <f>IF(AND(A2985&lt;&gt;"",ISNUMBER(A2985)),VLOOKUP(A2985,Studies!A:BR,5,FALSE),"")</f>
        <v>Midazolam</v>
      </c>
      <c r="F2985" s="207" t="str">
        <f>IF(AND(A2985&lt;&gt;"",ISNUMBER(A2985)),VLOOKUP(A2985,Studies!A:BR,6,FALSE),"")</f>
        <v>Plasma</v>
      </c>
      <c r="G2985" s="194">
        <v>109.75</v>
      </c>
      <c r="H2985" s="194" t="s">
        <v>60</v>
      </c>
      <c r="I2985" s="187">
        <v>4.5491650000000003</v>
      </c>
      <c r="J2985" s="187" t="s">
        <v>1090</v>
      </c>
      <c r="K2985" s="187" t="s">
        <v>116</v>
      </c>
      <c r="L2985" s="195"/>
      <c r="M2985" s="195"/>
      <c r="N2985" s="195"/>
      <c r="O2985" s="199"/>
      <c r="P2985" s="188"/>
      <c r="Q2985" s="174">
        <f>IF(ISNUMBER(VLOOKUP(A2985,NotghiID!A:A,1,FALSE)),1,0)</f>
        <v>1</v>
      </c>
    </row>
    <row r="2986" spans="1:17" ht="14.25" x14ac:dyDescent="0.2">
      <c r="A2986" s="189">
        <v>294</v>
      </c>
      <c r="B2986" s="232" t="str">
        <f>IF(AND(A2986&lt;&gt;"",ISNUMBER(A2986)),VLOOKUP(A2986,Studies!A:BR,2,FALSE),"")</f>
        <v>Kharasch 2011</v>
      </c>
      <c r="C2986" s="232" t="str">
        <f>IF(AND(A2986&lt;&gt;"",ISNUMBER(A2986)),VLOOKUP(A2986,Studies!A:BR,3,FALSE),"")</f>
        <v>https://www.ncbi.nlm.nih.gov/pubmed/21562488</v>
      </c>
      <c r="D2986" s="232" t="str">
        <f>IF(AND(A2986&lt;&gt;"",ISNUMBER(A2986)),VLOOKUP(A2986,Studies!A:BR,4,FALSE),"")</f>
        <v>iv with Perpetrator (Rifampicin @ 5 mg)</v>
      </c>
      <c r="E2986" s="206" t="str">
        <f>IF(AND(A2986&lt;&gt;"",ISNUMBER(A2986)),VLOOKUP(A2986,Studies!A:BR,5,FALSE),"")</f>
        <v>Midazolam</v>
      </c>
      <c r="F2986" s="207" t="str">
        <f>IF(AND(A2986&lt;&gt;"",ISNUMBER(A2986)),VLOOKUP(A2986,Studies!A:BR,6,FALSE),"")</f>
        <v>Plasma</v>
      </c>
      <c r="G2986" s="194">
        <v>110</v>
      </c>
      <c r="H2986" s="194" t="s">
        <v>60</v>
      </c>
      <c r="I2986" s="187">
        <v>3.9743019999999998</v>
      </c>
      <c r="J2986" s="187" t="s">
        <v>1090</v>
      </c>
      <c r="K2986" s="187" t="s">
        <v>116</v>
      </c>
      <c r="L2986" s="195"/>
      <c r="M2986" s="195"/>
      <c r="N2986" s="195"/>
      <c r="O2986" s="199"/>
      <c r="P2986" s="188"/>
      <c r="Q2986" s="174">
        <f>IF(ISNUMBER(VLOOKUP(A2986,NotghiID!A:A,1,FALSE)),1,0)</f>
        <v>1</v>
      </c>
    </row>
    <row r="2987" spans="1:17" ht="14.25" x14ac:dyDescent="0.2">
      <c r="A2987" s="189">
        <v>294</v>
      </c>
      <c r="B2987" s="232" t="str">
        <f>IF(AND(A2987&lt;&gt;"",ISNUMBER(A2987)),VLOOKUP(A2987,Studies!A:BR,2,FALSE),"")</f>
        <v>Kharasch 2011</v>
      </c>
      <c r="C2987" s="232" t="str">
        <f>IF(AND(A2987&lt;&gt;"",ISNUMBER(A2987)),VLOOKUP(A2987,Studies!A:BR,3,FALSE),"")</f>
        <v>https://www.ncbi.nlm.nih.gov/pubmed/21562488</v>
      </c>
      <c r="D2987" s="232" t="str">
        <f>IF(AND(A2987&lt;&gt;"",ISNUMBER(A2987)),VLOOKUP(A2987,Studies!A:BR,4,FALSE),"")</f>
        <v>iv with Perpetrator (Rifampicin @ 5 mg)</v>
      </c>
      <c r="E2987" s="206" t="str">
        <f>IF(AND(A2987&lt;&gt;"",ISNUMBER(A2987)),VLOOKUP(A2987,Studies!A:BR,5,FALSE),"")</f>
        <v>Midazolam</v>
      </c>
      <c r="F2987" s="207" t="str">
        <f>IF(AND(A2987&lt;&gt;"",ISNUMBER(A2987)),VLOOKUP(A2987,Studies!A:BR,6,FALSE),"")</f>
        <v>Plasma</v>
      </c>
      <c r="G2987" s="194">
        <v>110.5</v>
      </c>
      <c r="H2987" s="194" t="s">
        <v>60</v>
      </c>
      <c r="I2987" s="187">
        <v>3.2459259999999999</v>
      </c>
      <c r="J2987" s="187" t="s">
        <v>1090</v>
      </c>
      <c r="K2987" s="187" t="s">
        <v>116</v>
      </c>
      <c r="L2987" s="195"/>
      <c r="M2987" s="195"/>
      <c r="N2987" s="195"/>
      <c r="O2987" s="199"/>
      <c r="P2987" s="188"/>
      <c r="Q2987" s="174">
        <f>IF(ISNUMBER(VLOOKUP(A2987,NotghiID!A:A,1,FALSE)),1,0)</f>
        <v>1</v>
      </c>
    </row>
    <row r="2988" spans="1:17" ht="14.25" x14ac:dyDescent="0.2">
      <c r="A2988" s="189">
        <v>294</v>
      </c>
      <c r="B2988" s="232" t="str">
        <f>IF(AND(A2988&lt;&gt;"",ISNUMBER(A2988)),VLOOKUP(A2988,Studies!A:BR,2,FALSE),"")</f>
        <v>Kharasch 2011</v>
      </c>
      <c r="C2988" s="232" t="str">
        <f>IF(AND(A2988&lt;&gt;"",ISNUMBER(A2988)),VLOOKUP(A2988,Studies!A:BR,3,FALSE),"")</f>
        <v>https://www.ncbi.nlm.nih.gov/pubmed/21562488</v>
      </c>
      <c r="D2988" s="232" t="str">
        <f>IF(AND(A2988&lt;&gt;"",ISNUMBER(A2988)),VLOOKUP(A2988,Studies!A:BR,4,FALSE),"")</f>
        <v>iv with Perpetrator (Rifampicin @ 5 mg)</v>
      </c>
      <c r="E2988" s="206" t="str">
        <f>IF(AND(A2988&lt;&gt;"",ISNUMBER(A2988)),VLOOKUP(A2988,Studies!A:BR,5,FALSE),"")</f>
        <v>Midazolam</v>
      </c>
      <c r="F2988" s="207" t="str">
        <f>IF(AND(A2988&lt;&gt;"",ISNUMBER(A2988)),VLOOKUP(A2988,Studies!A:BR,6,FALSE),"")</f>
        <v>Plasma</v>
      </c>
      <c r="G2988" s="194">
        <v>111</v>
      </c>
      <c r="H2988" s="194" t="s">
        <v>60</v>
      </c>
      <c r="I2988" s="187">
        <v>3.0013920000000001</v>
      </c>
      <c r="J2988" s="187" t="s">
        <v>1090</v>
      </c>
      <c r="K2988" s="187" t="s">
        <v>116</v>
      </c>
      <c r="L2988" s="195"/>
      <c r="M2988" s="195"/>
      <c r="N2988" s="195"/>
      <c r="O2988" s="199"/>
      <c r="P2988" s="188"/>
      <c r="Q2988" s="174">
        <f>IF(ISNUMBER(VLOOKUP(A2988,NotghiID!A:A,1,FALSE)),1,0)</f>
        <v>1</v>
      </c>
    </row>
    <row r="2989" spans="1:17" ht="14.25" x14ac:dyDescent="0.2">
      <c r="A2989" s="189">
        <v>294</v>
      </c>
      <c r="B2989" s="232" t="str">
        <f>IF(AND(A2989&lt;&gt;"",ISNUMBER(A2989)),VLOOKUP(A2989,Studies!A:BR,2,FALSE),"")</f>
        <v>Kharasch 2011</v>
      </c>
      <c r="C2989" s="232" t="str">
        <f>IF(AND(A2989&lt;&gt;"",ISNUMBER(A2989)),VLOOKUP(A2989,Studies!A:BR,3,FALSE),"")</f>
        <v>https://www.ncbi.nlm.nih.gov/pubmed/21562488</v>
      </c>
      <c r="D2989" s="232" t="str">
        <f>IF(AND(A2989&lt;&gt;"",ISNUMBER(A2989)),VLOOKUP(A2989,Studies!A:BR,4,FALSE),"")</f>
        <v>iv with Perpetrator (Rifampicin @ 5 mg)</v>
      </c>
      <c r="E2989" s="206" t="str">
        <f>IF(AND(A2989&lt;&gt;"",ISNUMBER(A2989)),VLOOKUP(A2989,Studies!A:BR,5,FALSE),"")</f>
        <v>Midazolam</v>
      </c>
      <c r="F2989" s="207" t="str">
        <f>IF(AND(A2989&lt;&gt;"",ISNUMBER(A2989)),VLOOKUP(A2989,Studies!A:BR,6,FALSE),"")</f>
        <v>Plasma</v>
      </c>
      <c r="G2989" s="194">
        <v>112</v>
      </c>
      <c r="H2989" s="194" t="s">
        <v>60</v>
      </c>
      <c r="I2989" s="187">
        <v>2.1666280000000002</v>
      </c>
      <c r="J2989" s="187" t="s">
        <v>1090</v>
      </c>
      <c r="K2989" s="187" t="s">
        <v>116</v>
      </c>
      <c r="L2989" s="195"/>
      <c r="M2989" s="195"/>
      <c r="N2989" s="195"/>
      <c r="O2989" s="199"/>
      <c r="P2989" s="188"/>
      <c r="Q2989" s="174">
        <f>IF(ISNUMBER(VLOOKUP(A2989,NotghiID!A:A,1,FALSE)),1,0)</f>
        <v>1</v>
      </c>
    </row>
    <row r="2990" spans="1:17" ht="14.25" x14ac:dyDescent="0.2">
      <c r="A2990" s="189">
        <v>294</v>
      </c>
      <c r="B2990" s="232" t="str">
        <f>IF(AND(A2990&lt;&gt;"",ISNUMBER(A2990)),VLOOKUP(A2990,Studies!A:BR,2,FALSE),"")</f>
        <v>Kharasch 2011</v>
      </c>
      <c r="C2990" s="232" t="str">
        <f>IF(AND(A2990&lt;&gt;"",ISNUMBER(A2990)),VLOOKUP(A2990,Studies!A:BR,3,FALSE),"")</f>
        <v>https://www.ncbi.nlm.nih.gov/pubmed/21562488</v>
      </c>
      <c r="D2990" s="232" t="str">
        <f>IF(AND(A2990&lt;&gt;"",ISNUMBER(A2990)),VLOOKUP(A2990,Studies!A:BR,4,FALSE),"")</f>
        <v>iv with Perpetrator (Rifampicin @ 5 mg)</v>
      </c>
      <c r="E2990" s="206" t="str">
        <f>IF(AND(A2990&lt;&gt;"",ISNUMBER(A2990)),VLOOKUP(A2990,Studies!A:BR,5,FALSE),"")</f>
        <v>Midazolam</v>
      </c>
      <c r="F2990" s="207" t="str">
        <f>IF(AND(A2990&lt;&gt;"",ISNUMBER(A2990)),VLOOKUP(A2990,Studies!A:BR,6,FALSE),"")</f>
        <v>Plasma</v>
      </c>
      <c r="G2990" s="194">
        <v>113</v>
      </c>
      <c r="H2990" s="194" t="s">
        <v>60</v>
      </c>
      <c r="I2990" s="187">
        <v>1.6362369999999999</v>
      </c>
      <c r="J2990" s="187" t="s">
        <v>1090</v>
      </c>
      <c r="K2990" s="187" t="s">
        <v>116</v>
      </c>
      <c r="L2990" s="195"/>
      <c r="M2990" s="195"/>
      <c r="N2990" s="195"/>
      <c r="O2990" s="199"/>
      <c r="P2990" s="188"/>
      <c r="Q2990" s="174">
        <f>IF(ISNUMBER(VLOOKUP(A2990,NotghiID!A:A,1,FALSE)),1,0)</f>
        <v>1</v>
      </c>
    </row>
    <row r="2991" spans="1:17" ht="14.25" x14ac:dyDescent="0.2">
      <c r="A2991" s="189">
        <v>294</v>
      </c>
      <c r="B2991" s="232" t="str">
        <f>IF(AND(A2991&lt;&gt;"",ISNUMBER(A2991)),VLOOKUP(A2991,Studies!A:BR,2,FALSE),"")</f>
        <v>Kharasch 2011</v>
      </c>
      <c r="C2991" s="232" t="str">
        <f>IF(AND(A2991&lt;&gt;"",ISNUMBER(A2991)),VLOOKUP(A2991,Studies!A:BR,3,FALSE),"")</f>
        <v>https://www.ncbi.nlm.nih.gov/pubmed/21562488</v>
      </c>
      <c r="D2991" s="232" t="str">
        <f>IF(AND(A2991&lt;&gt;"",ISNUMBER(A2991)),VLOOKUP(A2991,Studies!A:BR,4,FALSE),"")</f>
        <v>iv with Perpetrator (Rifampicin @ 5 mg)</v>
      </c>
      <c r="E2991" s="206" t="str">
        <f>IF(AND(A2991&lt;&gt;"",ISNUMBER(A2991)),VLOOKUP(A2991,Studies!A:BR,5,FALSE),"")</f>
        <v>Midazolam</v>
      </c>
      <c r="F2991" s="207" t="str">
        <f>IF(AND(A2991&lt;&gt;"",ISNUMBER(A2991)),VLOOKUP(A2991,Studies!A:BR,6,FALSE),"")</f>
        <v>Plasma</v>
      </c>
      <c r="G2991" s="194">
        <v>114</v>
      </c>
      <c r="H2991" s="194" t="s">
        <v>60</v>
      </c>
      <c r="I2991" s="187">
        <v>1.263898</v>
      </c>
      <c r="J2991" s="187" t="s">
        <v>1090</v>
      </c>
      <c r="K2991" s="187" t="s">
        <v>116</v>
      </c>
      <c r="L2991" s="195"/>
      <c r="M2991" s="195"/>
      <c r="N2991" s="195"/>
      <c r="O2991" s="199"/>
      <c r="P2991" s="188"/>
      <c r="Q2991" s="174">
        <f>IF(ISNUMBER(VLOOKUP(A2991,NotghiID!A:A,1,FALSE)),1,0)</f>
        <v>1</v>
      </c>
    </row>
    <row r="2992" spans="1:17" ht="14.25" x14ac:dyDescent="0.2">
      <c r="A2992" s="189">
        <v>294</v>
      </c>
      <c r="B2992" s="232" t="str">
        <f>IF(AND(A2992&lt;&gt;"",ISNUMBER(A2992)),VLOOKUP(A2992,Studies!A:BR,2,FALSE),"")</f>
        <v>Kharasch 2011</v>
      </c>
      <c r="C2992" s="232" t="str">
        <f>IF(AND(A2992&lt;&gt;"",ISNUMBER(A2992)),VLOOKUP(A2992,Studies!A:BR,3,FALSE),"")</f>
        <v>https://www.ncbi.nlm.nih.gov/pubmed/21562488</v>
      </c>
      <c r="D2992" s="232" t="str">
        <f>IF(AND(A2992&lt;&gt;"",ISNUMBER(A2992)),VLOOKUP(A2992,Studies!A:BR,4,FALSE),"")</f>
        <v>iv with Perpetrator (Rifampicin @ 5 mg)</v>
      </c>
      <c r="E2992" s="206" t="str">
        <f>IF(AND(A2992&lt;&gt;"",ISNUMBER(A2992)),VLOOKUP(A2992,Studies!A:BR,5,FALSE),"")</f>
        <v>Midazolam</v>
      </c>
      <c r="F2992" s="207" t="str">
        <f>IF(AND(A2992&lt;&gt;"",ISNUMBER(A2992)),VLOOKUP(A2992,Studies!A:BR,6,FALSE),"")</f>
        <v>Plasma</v>
      </c>
      <c r="G2992" s="194">
        <v>115</v>
      </c>
      <c r="H2992" s="194" t="s">
        <v>60</v>
      </c>
      <c r="I2992" s="187">
        <v>1.00993</v>
      </c>
      <c r="J2992" s="187" t="s">
        <v>1090</v>
      </c>
      <c r="K2992" s="187" t="s">
        <v>116</v>
      </c>
      <c r="L2992" s="195"/>
      <c r="M2992" s="195"/>
      <c r="N2992" s="195"/>
      <c r="O2992" s="199"/>
      <c r="P2992" s="188"/>
      <c r="Q2992" s="174">
        <f>IF(ISNUMBER(VLOOKUP(A2992,NotghiID!A:A,1,FALSE)),1,0)</f>
        <v>1</v>
      </c>
    </row>
    <row r="2993" spans="1:17" ht="14.25" x14ac:dyDescent="0.2">
      <c r="A2993" s="189">
        <v>294</v>
      </c>
      <c r="B2993" s="232" t="str">
        <f>IF(AND(A2993&lt;&gt;"",ISNUMBER(A2993)),VLOOKUP(A2993,Studies!A:BR,2,FALSE),"")</f>
        <v>Kharasch 2011</v>
      </c>
      <c r="C2993" s="232" t="str">
        <f>IF(AND(A2993&lt;&gt;"",ISNUMBER(A2993)),VLOOKUP(A2993,Studies!A:BR,3,FALSE),"")</f>
        <v>https://www.ncbi.nlm.nih.gov/pubmed/21562488</v>
      </c>
      <c r="D2993" s="232" t="str">
        <f>IF(AND(A2993&lt;&gt;"",ISNUMBER(A2993)),VLOOKUP(A2993,Studies!A:BR,4,FALSE),"")</f>
        <v>iv with Perpetrator (Rifampicin @ 5 mg)</v>
      </c>
      <c r="E2993" s="206" t="str">
        <f>IF(AND(A2993&lt;&gt;"",ISNUMBER(A2993)),VLOOKUP(A2993,Studies!A:BR,5,FALSE),"")</f>
        <v>Midazolam</v>
      </c>
      <c r="F2993" s="207" t="str">
        <f>IF(AND(A2993&lt;&gt;"",ISNUMBER(A2993)),VLOOKUP(A2993,Studies!A:BR,6,FALSE),"")</f>
        <v>Plasma</v>
      </c>
      <c r="G2993" s="194">
        <v>116</v>
      </c>
      <c r="H2993" s="194" t="s">
        <v>60</v>
      </c>
      <c r="I2993" s="187">
        <v>0.89326510000000003</v>
      </c>
      <c r="J2993" s="187" t="s">
        <v>1090</v>
      </c>
      <c r="K2993" s="187" t="s">
        <v>116</v>
      </c>
      <c r="L2993" s="195"/>
      <c r="M2993" s="195"/>
      <c r="N2993" s="195"/>
      <c r="O2993" s="199"/>
      <c r="P2993" s="188"/>
      <c r="Q2993" s="174">
        <f>IF(ISNUMBER(VLOOKUP(A2993,NotghiID!A:A,1,FALSE)),1,0)</f>
        <v>1</v>
      </c>
    </row>
    <row r="2994" spans="1:17" ht="14.25" x14ac:dyDescent="0.2">
      <c r="A2994" s="189">
        <v>294</v>
      </c>
      <c r="B2994" s="232" t="str">
        <f>IF(AND(A2994&lt;&gt;"",ISNUMBER(A2994)),VLOOKUP(A2994,Studies!A:BR,2,FALSE),"")</f>
        <v>Kharasch 2011</v>
      </c>
      <c r="C2994" s="232" t="str">
        <f>IF(AND(A2994&lt;&gt;"",ISNUMBER(A2994)),VLOOKUP(A2994,Studies!A:BR,3,FALSE),"")</f>
        <v>https://www.ncbi.nlm.nih.gov/pubmed/21562488</v>
      </c>
      <c r="D2994" s="232" t="str">
        <f>IF(AND(A2994&lt;&gt;"",ISNUMBER(A2994)),VLOOKUP(A2994,Studies!A:BR,4,FALSE),"")</f>
        <v>iv with Perpetrator (Rifampicin @ 5 mg)</v>
      </c>
      <c r="E2994" s="206" t="str">
        <f>IF(AND(A2994&lt;&gt;"",ISNUMBER(A2994)),VLOOKUP(A2994,Studies!A:BR,5,FALSE),"")</f>
        <v>Midazolam</v>
      </c>
      <c r="F2994" s="207" t="str">
        <f>IF(AND(A2994&lt;&gt;"",ISNUMBER(A2994)),VLOOKUP(A2994,Studies!A:BR,6,FALSE),"")</f>
        <v>Plasma</v>
      </c>
      <c r="G2994" s="194">
        <v>117</v>
      </c>
      <c r="H2994" s="194" t="s">
        <v>60</v>
      </c>
      <c r="I2994" s="187">
        <v>0.68225100000000005</v>
      </c>
      <c r="J2994" s="187" t="s">
        <v>1090</v>
      </c>
      <c r="K2994" s="187" t="s">
        <v>116</v>
      </c>
      <c r="L2994" s="195"/>
      <c r="M2994" s="195"/>
      <c r="N2994" s="195"/>
      <c r="O2994" s="199"/>
      <c r="P2994" s="188"/>
      <c r="Q2994" s="174">
        <f>IF(ISNUMBER(VLOOKUP(A2994,NotghiID!A:A,1,FALSE)),1,0)</f>
        <v>1</v>
      </c>
    </row>
    <row r="2995" spans="1:17" ht="14.25" x14ac:dyDescent="0.2">
      <c r="A2995" s="189">
        <v>295</v>
      </c>
      <c r="B2995" s="232" t="str">
        <f>IF(AND(A2995&lt;&gt;"",ISNUMBER(A2995)),VLOOKUP(A2995,Studies!A:BR,2,FALSE),"")</f>
        <v>Kharasch 2011</v>
      </c>
      <c r="C2995" s="232" t="str">
        <f>IF(AND(A2995&lt;&gt;"",ISNUMBER(A2995)),VLOOKUP(A2995,Studies!A:BR,3,FALSE),"")</f>
        <v>https://www.ncbi.nlm.nih.gov/pubmed/21562488</v>
      </c>
      <c r="D2995" s="232" t="str">
        <f>IF(AND(A2995&lt;&gt;"",ISNUMBER(A2995)),VLOOKUP(A2995,Studies!A:BR,4,FALSE),"")</f>
        <v>iv with Perpetrator (Rifampicin @ 10 mg)</v>
      </c>
      <c r="E2995" s="206" t="str">
        <f>IF(AND(A2995&lt;&gt;"",ISNUMBER(A2995)),VLOOKUP(A2995,Studies!A:BR,5,FALSE),"")</f>
        <v>Midazolam</v>
      </c>
      <c r="F2995" s="207" t="str">
        <f>IF(AND(A2995&lt;&gt;"",ISNUMBER(A2995)),VLOOKUP(A2995,Studies!A:BR,6,FALSE),"")</f>
        <v>Plasma</v>
      </c>
      <c r="G2995" s="194">
        <v>108</v>
      </c>
      <c r="H2995" s="194" t="s">
        <v>60</v>
      </c>
      <c r="I2995" s="187">
        <v>66.611980000000003</v>
      </c>
      <c r="J2995" s="187" t="s">
        <v>1090</v>
      </c>
      <c r="K2995" s="187" t="s">
        <v>116</v>
      </c>
      <c r="L2995" s="195"/>
      <c r="M2995" s="195"/>
      <c r="N2995" s="195"/>
      <c r="O2995" s="199"/>
      <c r="P2995" s="188">
        <v>108</v>
      </c>
      <c r="Q2995" s="174">
        <f>IF(ISNUMBER(VLOOKUP(A2995,NotghiID!A:A,1,FALSE)),1,0)</f>
        <v>1</v>
      </c>
    </row>
    <row r="2996" spans="1:17" ht="14.25" x14ac:dyDescent="0.2">
      <c r="A2996" s="189">
        <v>295</v>
      </c>
      <c r="B2996" s="232" t="str">
        <f>IF(AND(A2996&lt;&gt;"",ISNUMBER(A2996)),VLOOKUP(A2996,Studies!A:BR,2,FALSE),"")</f>
        <v>Kharasch 2011</v>
      </c>
      <c r="C2996" s="232" t="str">
        <f>IF(AND(A2996&lt;&gt;"",ISNUMBER(A2996)),VLOOKUP(A2996,Studies!A:BR,3,FALSE),"")</f>
        <v>https://www.ncbi.nlm.nih.gov/pubmed/21562488</v>
      </c>
      <c r="D2996" s="232" t="str">
        <f>IF(AND(A2996&lt;&gt;"",ISNUMBER(A2996)),VLOOKUP(A2996,Studies!A:BR,4,FALSE),"")</f>
        <v>iv with Perpetrator (Rifampicin @ 10 mg)</v>
      </c>
      <c r="E2996" s="206" t="str">
        <f>IF(AND(A2996&lt;&gt;"",ISNUMBER(A2996)),VLOOKUP(A2996,Studies!A:BR,5,FALSE),"")</f>
        <v>Midazolam</v>
      </c>
      <c r="F2996" s="207" t="str">
        <f>IF(AND(A2996&lt;&gt;"",ISNUMBER(A2996)),VLOOKUP(A2996,Studies!A:BR,6,FALSE),"")</f>
        <v>Plasma</v>
      </c>
      <c r="G2996" s="194">
        <v>108.08</v>
      </c>
      <c r="H2996" s="194" t="s">
        <v>60</v>
      </c>
      <c r="I2996" s="187">
        <v>17.988759999999999</v>
      </c>
      <c r="J2996" s="187" t="s">
        <v>1090</v>
      </c>
      <c r="K2996" s="187" t="s">
        <v>116</v>
      </c>
      <c r="L2996" s="195"/>
      <c r="M2996" s="195"/>
      <c r="N2996" s="195"/>
      <c r="O2996" s="199"/>
      <c r="P2996" s="188">
        <v>108.17</v>
      </c>
      <c r="Q2996" s="174">
        <f>IF(ISNUMBER(VLOOKUP(A2996,NotghiID!A:A,1,FALSE)),1,0)</f>
        <v>1</v>
      </c>
    </row>
    <row r="2997" spans="1:17" ht="14.25" x14ac:dyDescent="0.2">
      <c r="A2997" s="189">
        <v>295</v>
      </c>
      <c r="B2997" s="232" t="str">
        <f>IF(AND(A2997&lt;&gt;"",ISNUMBER(A2997)),VLOOKUP(A2997,Studies!A:BR,2,FALSE),"")</f>
        <v>Kharasch 2011</v>
      </c>
      <c r="C2997" s="232" t="str">
        <f>IF(AND(A2997&lt;&gt;"",ISNUMBER(A2997)),VLOOKUP(A2997,Studies!A:BR,3,FALSE),"")</f>
        <v>https://www.ncbi.nlm.nih.gov/pubmed/21562488</v>
      </c>
      <c r="D2997" s="232" t="str">
        <f>IF(AND(A2997&lt;&gt;"",ISNUMBER(A2997)),VLOOKUP(A2997,Studies!A:BR,4,FALSE),"")</f>
        <v>iv with Perpetrator (Rifampicin @ 10 mg)</v>
      </c>
      <c r="E2997" s="206" t="str">
        <f>IF(AND(A2997&lt;&gt;"",ISNUMBER(A2997)),VLOOKUP(A2997,Studies!A:BR,5,FALSE),"")</f>
        <v>Midazolam</v>
      </c>
      <c r="F2997" s="207" t="str">
        <f>IF(AND(A2997&lt;&gt;"",ISNUMBER(A2997)),VLOOKUP(A2997,Studies!A:BR,6,FALSE),"")</f>
        <v>Plasma</v>
      </c>
      <c r="G2997" s="194">
        <v>108.17</v>
      </c>
      <c r="H2997" s="194" t="s">
        <v>60</v>
      </c>
      <c r="I2997" s="187">
        <v>12.680820000000001</v>
      </c>
      <c r="J2997" s="187" t="s">
        <v>1090</v>
      </c>
      <c r="K2997" s="187" t="s">
        <v>116</v>
      </c>
      <c r="L2997" s="195"/>
      <c r="M2997" s="195"/>
      <c r="N2997" s="195"/>
      <c r="O2997" s="199"/>
      <c r="P2997" s="188">
        <v>108.33</v>
      </c>
      <c r="Q2997" s="174">
        <f>IF(ISNUMBER(VLOOKUP(A2997,NotghiID!A:A,1,FALSE)),1,0)</f>
        <v>1</v>
      </c>
    </row>
    <row r="2998" spans="1:17" ht="14.25" x14ac:dyDescent="0.2">
      <c r="A2998" s="189">
        <v>295</v>
      </c>
      <c r="B2998" s="232" t="str">
        <f>IF(AND(A2998&lt;&gt;"",ISNUMBER(A2998)),VLOOKUP(A2998,Studies!A:BR,2,FALSE),"")</f>
        <v>Kharasch 2011</v>
      </c>
      <c r="C2998" s="232" t="str">
        <f>IF(AND(A2998&lt;&gt;"",ISNUMBER(A2998)),VLOOKUP(A2998,Studies!A:BR,3,FALSE),"")</f>
        <v>https://www.ncbi.nlm.nih.gov/pubmed/21562488</v>
      </c>
      <c r="D2998" s="232" t="str">
        <f>IF(AND(A2998&lt;&gt;"",ISNUMBER(A2998)),VLOOKUP(A2998,Studies!A:BR,4,FALSE),"")</f>
        <v>iv with Perpetrator (Rifampicin @ 10 mg)</v>
      </c>
      <c r="E2998" s="206" t="str">
        <f>IF(AND(A2998&lt;&gt;"",ISNUMBER(A2998)),VLOOKUP(A2998,Studies!A:BR,5,FALSE),"")</f>
        <v>Midazolam</v>
      </c>
      <c r="F2998" s="207" t="str">
        <f>IF(AND(A2998&lt;&gt;"",ISNUMBER(A2998)),VLOOKUP(A2998,Studies!A:BR,6,FALSE),"")</f>
        <v>Plasma</v>
      </c>
      <c r="G2998" s="194">
        <v>108.33</v>
      </c>
      <c r="H2998" s="194" t="s">
        <v>60</v>
      </c>
      <c r="I2998" s="187">
        <v>9.6736839999999997</v>
      </c>
      <c r="J2998" s="187" t="s">
        <v>1090</v>
      </c>
      <c r="K2998" s="187" t="s">
        <v>116</v>
      </c>
      <c r="L2998" s="195"/>
      <c r="M2998" s="195"/>
      <c r="N2998" s="195"/>
      <c r="O2998" s="199"/>
      <c r="P2998" s="188">
        <v>108.5</v>
      </c>
      <c r="Q2998" s="174">
        <f>IF(ISNUMBER(VLOOKUP(A2998,NotghiID!A:A,1,FALSE)),1,0)</f>
        <v>1</v>
      </c>
    </row>
    <row r="2999" spans="1:17" ht="14.25" x14ac:dyDescent="0.2">
      <c r="A2999" s="189">
        <v>295</v>
      </c>
      <c r="B2999" s="232" t="str">
        <f>IF(AND(A2999&lt;&gt;"",ISNUMBER(A2999)),VLOOKUP(A2999,Studies!A:BR,2,FALSE),"")</f>
        <v>Kharasch 2011</v>
      </c>
      <c r="C2999" s="232" t="str">
        <f>IF(AND(A2999&lt;&gt;"",ISNUMBER(A2999)),VLOOKUP(A2999,Studies!A:BR,3,FALSE),"")</f>
        <v>https://www.ncbi.nlm.nih.gov/pubmed/21562488</v>
      </c>
      <c r="D2999" s="232" t="str">
        <f>IF(AND(A2999&lt;&gt;"",ISNUMBER(A2999)),VLOOKUP(A2999,Studies!A:BR,4,FALSE),"")</f>
        <v>iv with Perpetrator (Rifampicin @ 10 mg)</v>
      </c>
      <c r="E2999" s="206" t="str">
        <f>IF(AND(A2999&lt;&gt;"",ISNUMBER(A2999)),VLOOKUP(A2999,Studies!A:BR,5,FALSE),"")</f>
        <v>Midazolam</v>
      </c>
      <c r="F2999" s="207" t="str">
        <f>IF(AND(A2999&lt;&gt;"",ISNUMBER(A2999)),VLOOKUP(A2999,Studies!A:BR,6,FALSE),"")</f>
        <v>Plasma</v>
      </c>
      <c r="G2999" s="194">
        <v>108.5</v>
      </c>
      <c r="H2999" s="194" t="s">
        <v>60</v>
      </c>
      <c r="I2999" s="187">
        <v>8.1698710000000005</v>
      </c>
      <c r="J2999" s="187" t="s">
        <v>1090</v>
      </c>
      <c r="K2999" s="187" t="s">
        <v>116</v>
      </c>
      <c r="L2999" s="195"/>
      <c r="M2999" s="195"/>
      <c r="N2999" s="195"/>
      <c r="O2999" s="199"/>
      <c r="P2999" s="188">
        <v>108.75</v>
      </c>
      <c r="Q2999" s="174">
        <f>IF(ISNUMBER(VLOOKUP(A2999,NotghiID!A:A,1,FALSE)),1,0)</f>
        <v>1</v>
      </c>
    </row>
    <row r="3000" spans="1:17" ht="14.25" x14ac:dyDescent="0.2">
      <c r="A3000" s="189">
        <v>295</v>
      </c>
      <c r="B3000" s="232" t="str">
        <f>IF(AND(A3000&lt;&gt;"",ISNUMBER(A3000)),VLOOKUP(A3000,Studies!A:BR,2,FALSE),"")</f>
        <v>Kharasch 2011</v>
      </c>
      <c r="C3000" s="232" t="str">
        <f>IF(AND(A3000&lt;&gt;"",ISNUMBER(A3000)),VLOOKUP(A3000,Studies!A:BR,3,FALSE),"")</f>
        <v>https://www.ncbi.nlm.nih.gov/pubmed/21562488</v>
      </c>
      <c r="D3000" s="232" t="str">
        <f>IF(AND(A3000&lt;&gt;"",ISNUMBER(A3000)),VLOOKUP(A3000,Studies!A:BR,4,FALSE),"")</f>
        <v>iv with Perpetrator (Rifampicin @ 10 mg)</v>
      </c>
      <c r="E3000" s="206" t="str">
        <f>IF(AND(A3000&lt;&gt;"",ISNUMBER(A3000)),VLOOKUP(A3000,Studies!A:BR,5,FALSE),"")</f>
        <v>Midazolam</v>
      </c>
      <c r="F3000" s="207" t="str">
        <f>IF(AND(A3000&lt;&gt;"",ISNUMBER(A3000)),VLOOKUP(A3000,Studies!A:BR,6,FALSE),"")</f>
        <v>Plasma</v>
      </c>
      <c r="G3000" s="194">
        <v>108.75</v>
      </c>
      <c r="H3000" s="194" t="s">
        <v>60</v>
      </c>
      <c r="I3000" s="187">
        <v>6.7462920000000004</v>
      </c>
      <c r="J3000" s="187" t="s">
        <v>1090</v>
      </c>
      <c r="K3000" s="187" t="s">
        <v>116</v>
      </c>
      <c r="L3000" s="195"/>
      <c r="M3000" s="195"/>
      <c r="N3000" s="195"/>
      <c r="O3000" s="199"/>
      <c r="P3000" s="188">
        <v>109</v>
      </c>
      <c r="Q3000" s="174">
        <f>IF(ISNUMBER(VLOOKUP(A3000,NotghiID!A:A,1,FALSE)),1,0)</f>
        <v>1</v>
      </c>
    </row>
    <row r="3001" spans="1:17" ht="14.25" x14ac:dyDescent="0.2">
      <c r="A3001" s="189">
        <v>295</v>
      </c>
      <c r="B3001" s="232" t="str">
        <f>IF(AND(A3001&lt;&gt;"",ISNUMBER(A3001)),VLOOKUP(A3001,Studies!A:BR,2,FALSE),"")</f>
        <v>Kharasch 2011</v>
      </c>
      <c r="C3001" s="232" t="str">
        <f>IF(AND(A3001&lt;&gt;"",ISNUMBER(A3001)),VLOOKUP(A3001,Studies!A:BR,3,FALSE),"")</f>
        <v>https://www.ncbi.nlm.nih.gov/pubmed/21562488</v>
      </c>
      <c r="D3001" s="232" t="str">
        <f>IF(AND(A3001&lt;&gt;"",ISNUMBER(A3001)),VLOOKUP(A3001,Studies!A:BR,4,FALSE),"")</f>
        <v>iv with Perpetrator (Rifampicin @ 10 mg)</v>
      </c>
      <c r="E3001" s="206" t="str">
        <f>IF(AND(A3001&lt;&gt;"",ISNUMBER(A3001)),VLOOKUP(A3001,Studies!A:BR,5,FALSE),"")</f>
        <v>Midazolam</v>
      </c>
      <c r="F3001" s="207" t="str">
        <f>IF(AND(A3001&lt;&gt;"",ISNUMBER(A3001)),VLOOKUP(A3001,Studies!A:BR,6,FALSE),"")</f>
        <v>Plasma</v>
      </c>
      <c r="G3001" s="194">
        <v>109</v>
      </c>
      <c r="H3001" s="194" t="s">
        <v>60</v>
      </c>
      <c r="I3001" s="187">
        <v>6.5219050000000003</v>
      </c>
      <c r="J3001" s="187" t="s">
        <v>1090</v>
      </c>
      <c r="K3001" s="187" t="s">
        <v>116</v>
      </c>
      <c r="L3001" s="195"/>
      <c r="M3001" s="195"/>
      <c r="N3001" s="195"/>
      <c r="O3001" s="199"/>
      <c r="P3001" s="188">
        <v>109.8</v>
      </c>
      <c r="Q3001" s="174">
        <f>IF(ISNUMBER(VLOOKUP(A3001,NotghiID!A:A,1,FALSE)),1,0)</f>
        <v>1</v>
      </c>
    </row>
    <row r="3002" spans="1:17" ht="14.25" x14ac:dyDescent="0.2">
      <c r="A3002" s="189">
        <v>295</v>
      </c>
      <c r="B3002" s="232" t="str">
        <f>IF(AND(A3002&lt;&gt;"",ISNUMBER(A3002)),VLOOKUP(A3002,Studies!A:BR,2,FALSE),"")</f>
        <v>Kharasch 2011</v>
      </c>
      <c r="C3002" s="232" t="str">
        <f>IF(AND(A3002&lt;&gt;"",ISNUMBER(A3002)),VLOOKUP(A3002,Studies!A:BR,3,FALSE),"")</f>
        <v>https://www.ncbi.nlm.nih.gov/pubmed/21562488</v>
      </c>
      <c r="D3002" s="232" t="str">
        <f>IF(AND(A3002&lt;&gt;"",ISNUMBER(A3002)),VLOOKUP(A3002,Studies!A:BR,4,FALSE),"")</f>
        <v>iv with Perpetrator (Rifampicin @ 10 mg)</v>
      </c>
      <c r="E3002" s="206" t="str">
        <f>IF(AND(A3002&lt;&gt;"",ISNUMBER(A3002)),VLOOKUP(A3002,Studies!A:BR,5,FALSE),"")</f>
        <v>Midazolam</v>
      </c>
      <c r="F3002" s="207" t="str">
        <f>IF(AND(A3002&lt;&gt;"",ISNUMBER(A3002)),VLOOKUP(A3002,Studies!A:BR,6,FALSE),"")</f>
        <v>Plasma</v>
      </c>
      <c r="G3002" s="194">
        <v>109.17</v>
      </c>
      <c r="H3002" s="194" t="s">
        <v>60</v>
      </c>
      <c r="I3002" s="187">
        <v>6.3771120000000003</v>
      </c>
      <c r="J3002" s="187" t="s">
        <v>1090</v>
      </c>
      <c r="K3002" s="187" t="s">
        <v>116</v>
      </c>
      <c r="L3002" s="195"/>
      <c r="M3002" s="195"/>
      <c r="N3002" s="195"/>
      <c r="O3002" s="199"/>
      <c r="P3002" s="188">
        <v>109.17</v>
      </c>
      <c r="Q3002" s="174">
        <f>IF(ISNUMBER(VLOOKUP(A3002,NotghiID!A:A,1,FALSE)),1,0)</f>
        <v>1</v>
      </c>
    </row>
    <row r="3003" spans="1:17" ht="14.25" x14ac:dyDescent="0.2">
      <c r="A3003" s="189">
        <v>295</v>
      </c>
      <c r="B3003" s="232" t="str">
        <f>IF(AND(A3003&lt;&gt;"",ISNUMBER(A3003)),VLOOKUP(A3003,Studies!A:BR,2,FALSE),"")</f>
        <v>Kharasch 2011</v>
      </c>
      <c r="C3003" s="232" t="str">
        <f>IF(AND(A3003&lt;&gt;"",ISNUMBER(A3003)),VLOOKUP(A3003,Studies!A:BR,3,FALSE),"")</f>
        <v>https://www.ncbi.nlm.nih.gov/pubmed/21562488</v>
      </c>
      <c r="D3003" s="232" t="str">
        <f>IF(AND(A3003&lt;&gt;"",ISNUMBER(A3003)),VLOOKUP(A3003,Studies!A:BR,4,FALSE),"")</f>
        <v>iv with Perpetrator (Rifampicin @ 10 mg)</v>
      </c>
      <c r="E3003" s="206" t="str">
        <f>IF(AND(A3003&lt;&gt;"",ISNUMBER(A3003)),VLOOKUP(A3003,Studies!A:BR,5,FALSE),"")</f>
        <v>Midazolam</v>
      </c>
      <c r="F3003" s="207" t="str">
        <f>IF(AND(A3003&lt;&gt;"",ISNUMBER(A3003)),VLOOKUP(A3003,Studies!A:BR,6,FALSE),"")</f>
        <v>Plasma</v>
      </c>
      <c r="G3003" s="194">
        <v>109.25</v>
      </c>
      <c r="H3003" s="194" t="s">
        <v>60</v>
      </c>
      <c r="I3003" s="187">
        <v>5.7619230000000003</v>
      </c>
      <c r="J3003" s="187" t="s">
        <v>1090</v>
      </c>
      <c r="K3003" s="187" t="s">
        <v>116</v>
      </c>
      <c r="L3003" s="195"/>
      <c r="M3003" s="195"/>
      <c r="N3003" s="195"/>
      <c r="O3003" s="199"/>
      <c r="P3003" s="188">
        <v>109.25</v>
      </c>
      <c r="Q3003" s="174">
        <f>IF(ISNUMBER(VLOOKUP(A3003,NotghiID!A:A,1,FALSE)),1,0)</f>
        <v>1</v>
      </c>
    </row>
    <row r="3004" spans="1:17" ht="14.25" x14ac:dyDescent="0.2">
      <c r="A3004" s="189">
        <v>295</v>
      </c>
      <c r="B3004" s="232" t="str">
        <f>IF(AND(A3004&lt;&gt;"",ISNUMBER(A3004)),VLOOKUP(A3004,Studies!A:BR,2,FALSE),"")</f>
        <v>Kharasch 2011</v>
      </c>
      <c r="C3004" s="232" t="str">
        <f>IF(AND(A3004&lt;&gt;"",ISNUMBER(A3004)),VLOOKUP(A3004,Studies!A:BR,3,FALSE),"")</f>
        <v>https://www.ncbi.nlm.nih.gov/pubmed/21562488</v>
      </c>
      <c r="D3004" s="232" t="str">
        <f>IF(AND(A3004&lt;&gt;"",ISNUMBER(A3004)),VLOOKUP(A3004,Studies!A:BR,4,FALSE),"")</f>
        <v>iv with Perpetrator (Rifampicin @ 10 mg)</v>
      </c>
      <c r="E3004" s="206" t="str">
        <f>IF(AND(A3004&lt;&gt;"",ISNUMBER(A3004)),VLOOKUP(A3004,Studies!A:BR,5,FALSE),"")</f>
        <v>Midazolam</v>
      </c>
      <c r="F3004" s="207" t="str">
        <f>IF(AND(A3004&lt;&gt;"",ISNUMBER(A3004)),VLOOKUP(A3004,Studies!A:BR,6,FALSE),"")</f>
        <v>Plasma</v>
      </c>
      <c r="G3004" s="194">
        <v>109.5</v>
      </c>
      <c r="H3004" s="194" t="s">
        <v>60</v>
      </c>
      <c r="I3004" s="187">
        <v>5.207179</v>
      </c>
      <c r="J3004" s="187" t="s">
        <v>1090</v>
      </c>
      <c r="K3004" s="187" t="s">
        <v>116</v>
      </c>
      <c r="L3004" s="195"/>
      <c r="M3004" s="195"/>
      <c r="N3004" s="195"/>
      <c r="O3004" s="199"/>
      <c r="P3004" s="188">
        <v>109.5</v>
      </c>
      <c r="Q3004" s="174">
        <f>IF(ISNUMBER(VLOOKUP(A3004,NotghiID!A:A,1,FALSE)),1,0)</f>
        <v>1</v>
      </c>
    </row>
    <row r="3005" spans="1:17" ht="14.25" x14ac:dyDescent="0.2">
      <c r="A3005" s="189">
        <v>295</v>
      </c>
      <c r="B3005" s="232" t="str">
        <f>IF(AND(A3005&lt;&gt;"",ISNUMBER(A3005)),VLOOKUP(A3005,Studies!A:BR,2,FALSE),"")</f>
        <v>Kharasch 2011</v>
      </c>
      <c r="C3005" s="232" t="str">
        <f>IF(AND(A3005&lt;&gt;"",ISNUMBER(A3005)),VLOOKUP(A3005,Studies!A:BR,3,FALSE),"")</f>
        <v>https://www.ncbi.nlm.nih.gov/pubmed/21562488</v>
      </c>
      <c r="D3005" s="232" t="str">
        <f>IF(AND(A3005&lt;&gt;"",ISNUMBER(A3005)),VLOOKUP(A3005,Studies!A:BR,4,FALSE),"")</f>
        <v>iv with Perpetrator (Rifampicin @ 10 mg)</v>
      </c>
      <c r="E3005" s="206" t="str">
        <f>IF(AND(A3005&lt;&gt;"",ISNUMBER(A3005)),VLOOKUP(A3005,Studies!A:BR,5,FALSE),"")</f>
        <v>Midazolam</v>
      </c>
      <c r="F3005" s="207" t="str">
        <f>IF(AND(A3005&lt;&gt;"",ISNUMBER(A3005)),VLOOKUP(A3005,Studies!A:BR,6,FALSE),"")</f>
        <v>Plasma</v>
      </c>
      <c r="G3005" s="194">
        <v>109.75</v>
      </c>
      <c r="H3005" s="194" t="s">
        <v>60</v>
      </c>
      <c r="I3005" s="187">
        <v>4.600803</v>
      </c>
      <c r="J3005" s="187" t="s">
        <v>1090</v>
      </c>
      <c r="K3005" s="187" t="s">
        <v>116</v>
      </c>
      <c r="L3005" s="195"/>
      <c r="M3005" s="195"/>
      <c r="N3005" s="195"/>
      <c r="O3005" s="199"/>
      <c r="P3005" s="188">
        <v>109.75</v>
      </c>
      <c r="Q3005" s="174">
        <f>IF(ISNUMBER(VLOOKUP(A3005,NotghiID!A:A,1,FALSE)),1,0)</f>
        <v>1</v>
      </c>
    </row>
    <row r="3006" spans="1:17" ht="14.25" x14ac:dyDescent="0.2">
      <c r="A3006" s="189">
        <v>295</v>
      </c>
      <c r="B3006" s="232" t="str">
        <f>IF(AND(A3006&lt;&gt;"",ISNUMBER(A3006)),VLOOKUP(A3006,Studies!A:BR,2,FALSE),"")</f>
        <v>Kharasch 2011</v>
      </c>
      <c r="C3006" s="232" t="str">
        <f>IF(AND(A3006&lt;&gt;"",ISNUMBER(A3006)),VLOOKUP(A3006,Studies!A:BR,3,FALSE),"")</f>
        <v>https://www.ncbi.nlm.nih.gov/pubmed/21562488</v>
      </c>
      <c r="D3006" s="232" t="str">
        <f>IF(AND(A3006&lt;&gt;"",ISNUMBER(A3006)),VLOOKUP(A3006,Studies!A:BR,4,FALSE),"")</f>
        <v>iv with Perpetrator (Rifampicin @ 10 mg)</v>
      </c>
      <c r="E3006" s="206" t="str">
        <f>IF(AND(A3006&lt;&gt;"",ISNUMBER(A3006)),VLOOKUP(A3006,Studies!A:BR,5,FALSE),"")</f>
        <v>Midazolam</v>
      </c>
      <c r="F3006" s="207" t="str">
        <f>IF(AND(A3006&lt;&gt;"",ISNUMBER(A3006)),VLOOKUP(A3006,Studies!A:BR,6,FALSE),"")</f>
        <v>Plasma</v>
      </c>
      <c r="G3006" s="194">
        <v>110</v>
      </c>
      <c r="H3006" s="194" t="s">
        <v>60</v>
      </c>
      <c r="I3006" s="187">
        <v>4.1111829999999996</v>
      </c>
      <c r="J3006" s="187" t="s">
        <v>1090</v>
      </c>
      <c r="K3006" s="187" t="s">
        <v>116</v>
      </c>
      <c r="L3006" s="195"/>
      <c r="M3006" s="195"/>
      <c r="N3006" s="195"/>
      <c r="O3006" s="199"/>
      <c r="P3006" s="188">
        <v>110</v>
      </c>
      <c r="Q3006" s="174">
        <f>IF(ISNUMBER(VLOOKUP(A3006,NotghiID!A:A,1,FALSE)),1,0)</f>
        <v>1</v>
      </c>
    </row>
    <row r="3007" spans="1:17" ht="14.25" x14ac:dyDescent="0.2">
      <c r="A3007" s="189">
        <v>295</v>
      </c>
      <c r="B3007" s="232" t="str">
        <f>IF(AND(A3007&lt;&gt;"",ISNUMBER(A3007)),VLOOKUP(A3007,Studies!A:BR,2,FALSE),"")</f>
        <v>Kharasch 2011</v>
      </c>
      <c r="C3007" s="232" t="str">
        <f>IF(AND(A3007&lt;&gt;"",ISNUMBER(A3007)),VLOOKUP(A3007,Studies!A:BR,3,FALSE),"")</f>
        <v>https://www.ncbi.nlm.nih.gov/pubmed/21562488</v>
      </c>
      <c r="D3007" s="232" t="str">
        <f>IF(AND(A3007&lt;&gt;"",ISNUMBER(A3007)),VLOOKUP(A3007,Studies!A:BR,4,FALSE),"")</f>
        <v>iv with Perpetrator (Rifampicin @ 10 mg)</v>
      </c>
      <c r="E3007" s="206" t="str">
        <f>IF(AND(A3007&lt;&gt;"",ISNUMBER(A3007)),VLOOKUP(A3007,Studies!A:BR,5,FALSE),"")</f>
        <v>Midazolam</v>
      </c>
      <c r="F3007" s="207" t="str">
        <f>IF(AND(A3007&lt;&gt;"",ISNUMBER(A3007)),VLOOKUP(A3007,Studies!A:BR,6,FALSE),"")</f>
        <v>Plasma</v>
      </c>
      <c r="G3007" s="194">
        <v>110.5</v>
      </c>
      <c r="H3007" s="194" t="s">
        <v>60</v>
      </c>
      <c r="I3007" s="187">
        <v>3.395775</v>
      </c>
      <c r="J3007" s="187" t="s">
        <v>1090</v>
      </c>
      <c r="K3007" s="187" t="s">
        <v>116</v>
      </c>
      <c r="L3007" s="195"/>
      <c r="M3007" s="195"/>
      <c r="N3007" s="195"/>
      <c r="O3007" s="199"/>
      <c r="P3007" s="188"/>
      <c r="Q3007" s="174">
        <f>IF(ISNUMBER(VLOOKUP(A3007,NotghiID!A:A,1,FALSE)),1,0)</f>
        <v>1</v>
      </c>
    </row>
    <row r="3008" spans="1:17" ht="14.25" x14ac:dyDescent="0.2">
      <c r="A3008" s="189">
        <v>295</v>
      </c>
      <c r="B3008" s="232" t="str">
        <f>IF(AND(A3008&lt;&gt;"",ISNUMBER(A3008)),VLOOKUP(A3008,Studies!A:BR,2,FALSE),"")</f>
        <v>Kharasch 2011</v>
      </c>
      <c r="C3008" s="232" t="str">
        <f>IF(AND(A3008&lt;&gt;"",ISNUMBER(A3008)),VLOOKUP(A3008,Studies!A:BR,3,FALSE),"")</f>
        <v>https://www.ncbi.nlm.nih.gov/pubmed/21562488</v>
      </c>
      <c r="D3008" s="232" t="str">
        <f>IF(AND(A3008&lt;&gt;"",ISNUMBER(A3008)),VLOOKUP(A3008,Studies!A:BR,4,FALSE),"")</f>
        <v>iv with Perpetrator (Rifampicin @ 10 mg)</v>
      </c>
      <c r="E3008" s="206" t="str">
        <f>IF(AND(A3008&lt;&gt;"",ISNUMBER(A3008)),VLOOKUP(A3008,Studies!A:BR,5,FALSE),"")</f>
        <v>Midazolam</v>
      </c>
      <c r="F3008" s="207" t="str">
        <f>IF(AND(A3008&lt;&gt;"",ISNUMBER(A3008)),VLOOKUP(A3008,Studies!A:BR,6,FALSE),"")</f>
        <v>Plasma</v>
      </c>
      <c r="G3008" s="194">
        <v>111</v>
      </c>
      <c r="H3008" s="194" t="s">
        <v>60</v>
      </c>
      <c r="I3008" s="187">
        <v>2.901513</v>
      </c>
      <c r="J3008" s="187" t="s">
        <v>1090</v>
      </c>
      <c r="K3008" s="187" t="s">
        <v>116</v>
      </c>
      <c r="L3008" s="195"/>
      <c r="M3008" s="195"/>
      <c r="N3008" s="195"/>
      <c r="O3008" s="199"/>
      <c r="P3008" s="188"/>
      <c r="Q3008" s="174">
        <f>IF(ISNUMBER(VLOOKUP(A3008,NotghiID!A:A,1,FALSE)),1,0)</f>
        <v>1</v>
      </c>
    </row>
    <row r="3009" spans="1:17" ht="14.25" x14ac:dyDescent="0.2">
      <c r="A3009" s="189">
        <v>295</v>
      </c>
      <c r="B3009" s="232" t="str">
        <f>IF(AND(A3009&lt;&gt;"",ISNUMBER(A3009)),VLOOKUP(A3009,Studies!A:BR,2,FALSE),"")</f>
        <v>Kharasch 2011</v>
      </c>
      <c r="C3009" s="232" t="str">
        <f>IF(AND(A3009&lt;&gt;"",ISNUMBER(A3009)),VLOOKUP(A3009,Studies!A:BR,3,FALSE),"")</f>
        <v>https://www.ncbi.nlm.nih.gov/pubmed/21562488</v>
      </c>
      <c r="D3009" s="232" t="str">
        <f>IF(AND(A3009&lt;&gt;"",ISNUMBER(A3009)),VLOOKUP(A3009,Studies!A:BR,4,FALSE),"")</f>
        <v>iv with Perpetrator (Rifampicin @ 10 mg)</v>
      </c>
      <c r="E3009" s="206" t="str">
        <f>IF(AND(A3009&lt;&gt;"",ISNUMBER(A3009)),VLOOKUP(A3009,Studies!A:BR,5,FALSE),"")</f>
        <v>Midazolam</v>
      </c>
      <c r="F3009" s="207" t="str">
        <f>IF(AND(A3009&lt;&gt;"",ISNUMBER(A3009)),VLOOKUP(A3009,Studies!A:BR,6,FALSE),"")</f>
        <v>Plasma</v>
      </c>
      <c r="G3009" s="194">
        <v>111.5</v>
      </c>
      <c r="H3009" s="194" t="s">
        <v>60</v>
      </c>
      <c r="I3009" s="187">
        <v>2.4791479999999999</v>
      </c>
      <c r="J3009" s="187" t="s">
        <v>1090</v>
      </c>
      <c r="K3009" s="187" t="s">
        <v>116</v>
      </c>
      <c r="L3009" s="195"/>
      <c r="M3009" s="195"/>
      <c r="N3009" s="195"/>
      <c r="O3009" s="199"/>
      <c r="P3009" s="188"/>
      <c r="Q3009" s="174">
        <f>IF(ISNUMBER(VLOOKUP(A3009,NotghiID!A:A,1,FALSE)),1,0)</f>
        <v>1</v>
      </c>
    </row>
    <row r="3010" spans="1:17" ht="14.25" x14ac:dyDescent="0.2">
      <c r="A3010" s="189">
        <v>295</v>
      </c>
      <c r="B3010" s="232" t="str">
        <f>IF(AND(A3010&lt;&gt;"",ISNUMBER(A3010)),VLOOKUP(A3010,Studies!A:BR,2,FALSE),"")</f>
        <v>Kharasch 2011</v>
      </c>
      <c r="C3010" s="232" t="str">
        <f>IF(AND(A3010&lt;&gt;"",ISNUMBER(A3010)),VLOOKUP(A3010,Studies!A:BR,3,FALSE),"")</f>
        <v>https://www.ncbi.nlm.nih.gov/pubmed/21562488</v>
      </c>
      <c r="D3010" s="232" t="str">
        <f>IF(AND(A3010&lt;&gt;"",ISNUMBER(A3010)),VLOOKUP(A3010,Studies!A:BR,4,FALSE),"")</f>
        <v>iv with Perpetrator (Rifampicin @ 10 mg)</v>
      </c>
      <c r="E3010" s="206" t="str">
        <f>IF(AND(A3010&lt;&gt;"",ISNUMBER(A3010)),VLOOKUP(A3010,Studies!A:BR,5,FALSE),"")</f>
        <v>Midazolam</v>
      </c>
      <c r="F3010" s="207" t="str">
        <f>IF(AND(A3010&lt;&gt;"",ISNUMBER(A3010)),VLOOKUP(A3010,Studies!A:BR,6,FALSE),"")</f>
        <v>Plasma</v>
      </c>
      <c r="G3010" s="194">
        <v>112</v>
      </c>
      <c r="H3010" s="194" t="s">
        <v>60</v>
      </c>
      <c r="I3010" s="187">
        <v>2.00203</v>
      </c>
      <c r="J3010" s="187" t="s">
        <v>1090</v>
      </c>
      <c r="K3010" s="187" t="s">
        <v>116</v>
      </c>
      <c r="L3010" s="195"/>
      <c r="M3010" s="195"/>
      <c r="N3010" s="195"/>
      <c r="O3010" s="199"/>
      <c r="P3010" s="188"/>
      <c r="Q3010" s="174">
        <f>IF(ISNUMBER(VLOOKUP(A3010,NotghiID!A:A,1,FALSE)),1,0)</f>
        <v>1</v>
      </c>
    </row>
    <row r="3011" spans="1:17" ht="14.25" x14ac:dyDescent="0.2">
      <c r="A3011" s="189">
        <v>295</v>
      </c>
      <c r="B3011" s="232" t="str">
        <f>IF(AND(A3011&lt;&gt;"",ISNUMBER(A3011)),VLOOKUP(A3011,Studies!A:BR,2,FALSE),"")</f>
        <v>Kharasch 2011</v>
      </c>
      <c r="C3011" s="232" t="str">
        <f>IF(AND(A3011&lt;&gt;"",ISNUMBER(A3011)),VLOOKUP(A3011,Studies!A:BR,3,FALSE),"")</f>
        <v>https://www.ncbi.nlm.nih.gov/pubmed/21562488</v>
      </c>
      <c r="D3011" s="232" t="str">
        <f>IF(AND(A3011&lt;&gt;"",ISNUMBER(A3011)),VLOOKUP(A3011,Studies!A:BR,4,FALSE),"")</f>
        <v>iv with Perpetrator (Rifampicin @ 10 mg)</v>
      </c>
      <c r="E3011" s="206" t="str">
        <f>IF(AND(A3011&lt;&gt;"",ISNUMBER(A3011)),VLOOKUP(A3011,Studies!A:BR,5,FALSE),"")</f>
        <v>Midazolam</v>
      </c>
      <c r="F3011" s="207" t="str">
        <f>IF(AND(A3011&lt;&gt;"",ISNUMBER(A3011)),VLOOKUP(A3011,Studies!A:BR,6,FALSE),"")</f>
        <v>Plasma</v>
      </c>
      <c r="G3011" s="194">
        <v>113</v>
      </c>
      <c r="H3011" s="194" t="s">
        <v>60</v>
      </c>
      <c r="I3011" s="187">
        <v>1.7118040000000001</v>
      </c>
      <c r="J3011" s="187" t="s">
        <v>1090</v>
      </c>
      <c r="K3011" s="187" t="s">
        <v>116</v>
      </c>
      <c r="L3011" s="195"/>
      <c r="M3011" s="195"/>
      <c r="N3011" s="195"/>
      <c r="O3011" s="199"/>
      <c r="P3011" s="188"/>
      <c r="Q3011" s="174">
        <f>IF(ISNUMBER(VLOOKUP(A3011,NotghiID!A:A,1,FALSE)),1,0)</f>
        <v>1</v>
      </c>
    </row>
    <row r="3012" spans="1:17" ht="14.25" x14ac:dyDescent="0.2">
      <c r="A3012" s="189">
        <v>295</v>
      </c>
      <c r="B3012" s="232" t="str">
        <f>IF(AND(A3012&lt;&gt;"",ISNUMBER(A3012)),VLOOKUP(A3012,Studies!A:BR,2,FALSE),"")</f>
        <v>Kharasch 2011</v>
      </c>
      <c r="C3012" s="232" t="str">
        <f>IF(AND(A3012&lt;&gt;"",ISNUMBER(A3012)),VLOOKUP(A3012,Studies!A:BR,3,FALSE),"")</f>
        <v>https://www.ncbi.nlm.nih.gov/pubmed/21562488</v>
      </c>
      <c r="D3012" s="232" t="str">
        <f>IF(AND(A3012&lt;&gt;"",ISNUMBER(A3012)),VLOOKUP(A3012,Studies!A:BR,4,FALSE),"")</f>
        <v>iv with Perpetrator (Rifampicin @ 10 mg)</v>
      </c>
      <c r="E3012" s="206" t="str">
        <f>IF(AND(A3012&lt;&gt;"",ISNUMBER(A3012)),VLOOKUP(A3012,Studies!A:BR,5,FALSE),"")</f>
        <v>Midazolam</v>
      </c>
      <c r="F3012" s="207" t="str">
        <f>IF(AND(A3012&lt;&gt;"",ISNUMBER(A3012)),VLOOKUP(A3012,Studies!A:BR,6,FALSE),"")</f>
        <v>Plasma</v>
      </c>
      <c r="G3012" s="194">
        <v>114</v>
      </c>
      <c r="H3012" s="194" t="s">
        <v>60</v>
      </c>
      <c r="I3012" s="187">
        <v>1.3678090000000001</v>
      </c>
      <c r="J3012" s="187" t="s">
        <v>1090</v>
      </c>
      <c r="K3012" s="187" t="s">
        <v>116</v>
      </c>
      <c r="L3012" s="195"/>
      <c r="M3012" s="195"/>
      <c r="N3012" s="195"/>
      <c r="O3012" s="199"/>
      <c r="P3012" s="188"/>
      <c r="Q3012" s="174">
        <f>IF(ISNUMBER(VLOOKUP(A3012,NotghiID!A:A,1,FALSE)),1,0)</f>
        <v>1</v>
      </c>
    </row>
    <row r="3013" spans="1:17" ht="14.25" x14ac:dyDescent="0.2">
      <c r="A3013" s="189">
        <v>295</v>
      </c>
      <c r="B3013" s="232" t="str">
        <f>IF(AND(A3013&lt;&gt;"",ISNUMBER(A3013)),VLOOKUP(A3013,Studies!A:BR,2,FALSE),"")</f>
        <v>Kharasch 2011</v>
      </c>
      <c r="C3013" s="232" t="str">
        <f>IF(AND(A3013&lt;&gt;"",ISNUMBER(A3013)),VLOOKUP(A3013,Studies!A:BR,3,FALSE),"")</f>
        <v>https://www.ncbi.nlm.nih.gov/pubmed/21562488</v>
      </c>
      <c r="D3013" s="232" t="str">
        <f>IF(AND(A3013&lt;&gt;"",ISNUMBER(A3013)),VLOOKUP(A3013,Studies!A:BR,4,FALSE),"")</f>
        <v>iv with Perpetrator (Rifampicin @ 10 mg)</v>
      </c>
      <c r="E3013" s="206" t="str">
        <f>IF(AND(A3013&lt;&gt;"",ISNUMBER(A3013)),VLOOKUP(A3013,Studies!A:BR,5,FALSE),"")</f>
        <v>Midazolam</v>
      </c>
      <c r="F3013" s="207" t="str">
        <f>IF(AND(A3013&lt;&gt;"",ISNUMBER(A3013)),VLOOKUP(A3013,Studies!A:BR,6,FALSE),"")</f>
        <v>Plasma</v>
      </c>
      <c r="G3013" s="194">
        <v>115</v>
      </c>
      <c r="H3013" s="194" t="s">
        <v>60</v>
      </c>
      <c r="I3013" s="187">
        <v>1.1695439999999999</v>
      </c>
      <c r="J3013" s="187" t="s">
        <v>1090</v>
      </c>
      <c r="K3013" s="187" t="s">
        <v>116</v>
      </c>
      <c r="L3013" s="195"/>
      <c r="M3013" s="195"/>
      <c r="N3013" s="195"/>
      <c r="O3013" s="199"/>
      <c r="P3013" s="188"/>
      <c r="Q3013" s="174">
        <f>IF(ISNUMBER(VLOOKUP(A3013,NotghiID!A:A,1,FALSE)),1,0)</f>
        <v>1</v>
      </c>
    </row>
    <row r="3014" spans="1:17" ht="14.25" x14ac:dyDescent="0.2">
      <c r="A3014" s="189">
        <v>295</v>
      </c>
      <c r="B3014" s="232" t="str">
        <f>IF(AND(A3014&lt;&gt;"",ISNUMBER(A3014)),VLOOKUP(A3014,Studies!A:BR,2,FALSE),"")</f>
        <v>Kharasch 2011</v>
      </c>
      <c r="C3014" s="232" t="str">
        <f>IF(AND(A3014&lt;&gt;"",ISNUMBER(A3014)),VLOOKUP(A3014,Studies!A:BR,3,FALSE),"")</f>
        <v>https://www.ncbi.nlm.nih.gov/pubmed/21562488</v>
      </c>
      <c r="D3014" s="232" t="str">
        <f>IF(AND(A3014&lt;&gt;"",ISNUMBER(A3014)),VLOOKUP(A3014,Studies!A:BR,4,FALSE),"")</f>
        <v>iv with Perpetrator (Rifampicin @ 10 mg)</v>
      </c>
      <c r="E3014" s="206" t="str">
        <f>IF(AND(A3014&lt;&gt;"",ISNUMBER(A3014)),VLOOKUP(A3014,Studies!A:BR,5,FALSE),"")</f>
        <v>Midazolam</v>
      </c>
      <c r="F3014" s="207" t="str">
        <f>IF(AND(A3014&lt;&gt;"",ISNUMBER(A3014)),VLOOKUP(A3014,Studies!A:BR,6,FALSE),"")</f>
        <v>Plasma</v>
      </c>
      <c r="G3014" s="194">
        <v>116</v>
      </c>
      <c r="H3014" s="194" t="s">
        <v>60</v>
      </c>
      <c r="I3014" s="187">
        <v>0.9451271</v>
      </c>
      <c r="J3014" s="187" t="s">
        <v>1090</v>
      </c>
      <c r="K3014" s="187" t="s">
        <v>116</v>
      </c>
      <c r="L3014" s="195"/>
      <c r="M3014" s="195"/>
      <c r="N3014" s="195"/>
      <c r="O3014" s="199"/>
      <c r="P3014" s="188"/>
      <c r="Q3014" s="174">
        <f>IF(ISNUMBER(VLOOKUP(A3014,NotghiID!A:A,1,FALSE)),1,0)</f>
        <v>1</v>
      </c>
    </row>
    <row r="3015" spans="1:17" ht="14.25" x14ac:dyDescent="0.2">
      <c r="A3015" s="189">
        <v>296</v>
      </c>
      <c r="B3015" s="232" t="str">
        <f>IF(AND(A3015&lt;&gt;"",ISNUMBER(A3015)),VLOOKUP(A3015,Studies!A:BR,2,FALSE),"")</f>
        <v>Kharasch 2011</v>
      </c>
      <c r="C3015" s="232" t="str">
        <f>IF(AND(A3015&lt;&gt;"",ISNUMBER(A3015)),VLOOKUP(A3015,Studies!A:BR,3,FALSE),"")</f>
        <v>https://www.ncbi.nlm.nih.gov/pubmed/21562488</v>
      </c>
      <c r="D3015" s="232" t="str">
        <f>IF(AND(A3015&lt;&gt;"",ISNUMBER(A3015)),VLOOKUP(A3015,Studies!A:BR,4,FALSE),"")</f>
        <v>iv with Perpetrator (Rifampicin @ 25 mg)</v>
      </c>
      <c r="E3015" s="206" t="str">
        <f>IF(AND(A3015&lt;&gt;"",ISNUMBER(A3015)),VLOOKUP(A3015,Studies!A:BR,5,FALSE),"")</f>
        <v>Midazolam</v>
      </c>
      <c r="F3015" s="207" t="str">
        <f>IF(AND(A3015&lt;&gt;"",ISNUMBER(A3015)),VLOOKUP(A3015,Studies!A:BR,6,FALSE),"")</f>
        <v>Plasma</v>
      </c>
      <c r="G3015" s="194">
        <v>108</v>
      </c>
      <c r="H3015" s="194" t="s">
        <v>60</v>
      </c>
      <c r="I3015" s="187">
        <v>53.83334</v>
      </c>
      <c r="J3015" s="187" t="s">
        <v>1090</v>
      </c>
      <c r="K3015" s="187" t="s">
        <v>116</v>
      </c>
      <c r="L3015" s="195"/>
      <c r="M3015" s="195"/>
      <c r="N3015" s="195"/>
      <c r="O3015" s="199"/>
      <c r="P3015" s="188"/>
      <c r="Q3015" s="174">
        <f>IF(ISNUMBER(VLOOKUP(A3015,NotghiID!A:A,1,FALSE)),1,0)</f>
        <v>1</v>
      </c>
    </row>
    <row r="3016" spans="1:17" ht="14.25" x14ac:dyDescent="0.2">
      <c r="A3016" s="189">
        <v>296</v>
      </c>
      <c r="B3016" s="232" t="str">
        <f>IF(AND(A3016&lt;&gt;"",ISNUMBER(A3016)),VLOOKUP(A3016,Studies!A:BR,2,FALSE),"")</f>
        <v>Kharasch 2011</v>
      </c>
      <c r="C3016" s="232" t="str">
        <f>IF(AND(A3016&lt;&gt;"",ISNUMBER(A3016)),VLOOKUP(A3016,Studies!A:BR,3,FALSE),"")</f>
        <v>https://www.ncbi.nlm.nih.gov/pubmed/21562488</v>
      </c>
      <c r="D3016" s="232" t="str">
        <f>IF(AND(A3016&lt;&gt;"",ISNUMBER(A3016)),VLOOKUP(A3016,Studies!A:BR,4,FALSE),"")</f>
        <v>iv with Perpetrator (Rifampicin @ 25 mg)</v>
      </c>
      <c r="E3016" s="206" t="str">
        <f>IF(AND(A3016&lt;&gt;"",ISNUMBER(A3016)),VLOOKUP(A3016,Studies!A:BR,5,FALSE),"")</f>
        <v>Midazolam</v>
      </c>
      <c r="F3016" s="207" t="str">
        <f>IF(AND(A3016&lt;&gt;"",ISNUMBER(A3016)),VLOOKUP(A3016,Studies!A:BR,6,FALSE),"")</f>
        <v>Plasma</v>
      </c>
      <c r="G3016" s="194">
        <v>108.08</v>
      </c>
      <c r="H3016" s="194" t="s">
        <v>60</v>
      </c>
      <c r="I3016" s="187">
        <v>22.621600000000001</v>
      </c>
      <c r="J3016" s="187" t="s">
        <v>1090</v>
      </c>
      <c r="K3016" s="187" t="s">
        <v>116</v>
      </c>
      <c r="L3016" s="195"/>
      <c r="M3016" s="195"/>
      <c r="N3016" s="195"/>
      <c r="O3016" s="199"/>
      <c r="P3016" s="188"/>
      <c r="Q3016" s="174">
        <f>IF(ISNUMBER(VLOOKUP(A3016,NotghiID!A:A,1,FALSE)),1,0)</f>
        <v>1</v>
      </c>
    </row>
    <row r="3017" spans="1:17" ht="14.25" x14ac:dyDescent="0.2">
      <c r="A3017" s="189">
        <v>296</v>
      </c>
      <c r="B3017" s="232" t="str">
        <f>IF(AND(A3017&lt;&gt;"",ISNUMBER(A3017)),VLOOKUP(A3017,Studies!A:BR,2,FALSE),"")</f>
        <v>Kharasch 2011</v>
      </c>
      <c r="C3017" s="232" t="str">
        <f>IF(AND(A3017&lt;&gt;"",ISNUMBER(A3017)),VLOOKUP(A3017,Studies!A:BR,3,FALSE),"")</f>
        <v>https://www.ncbi.nlm.nih.gov/pubmed/21562488</v>
      </c>
      <c r="D3017" s="232" t="str">
        <f>IF(AND(A3017&lt;&gt;"",ISNUMBER(A3017)),VLOOKUP(A3017,Studies!A:BR,4,FALSE),"")</f>
        <v>iv with Perpetrator (Rifampicin @ 25 mg)</v>
      </c>
      <c r="E3017" s="206" t="str">
        <f>IF(AND(A3017&lt;&gt;"",ISNUMBER(A3017)),VLOOKUP(A3017,Studies!A:BR,5,FALSE),"")</f>
        <v>Midazolam</v>
      </c>
      <c r="F3017" s="207" t="str">
        <f>IF(AND(A3017&lt;&gt;"",ISNUMBER(A3017)),VLOOKUP(A3017,Studies!A:BR,6,FALSE),"")</f>
        <v>Plasma</v>
      </c>
      <c r="G3017" s="194">
        <v>108.17</v>
      </c>
      <c r="H3017" s="194" t="s">
        <v>60</v>
      </c>
      <c r="I3017" s="187">
        <v>15.25366</v>
      </c>
      <c r="J3017" s="187" t="s">
        <v>1090</v>
      </c>
      <c r="K3017" s="187" t="s">
        <v>116</v>
      </c>
      <c r="L3017" s="195"/>
      <c r="M3017" s="195"/>
      <c r="N3017" s="195"/>
      <c r="O3017" s="199"/>
      <c r="P3017" s="188"/>
      <c r="Q3017" s="174">
        <f>IF(ISNUMBER(VLOOKUP(A3017,NotghiID!A:A,1,FALSE)),1,0)</f>
        <v>1</v>
      </c>
    </row>
    <row r="3018" spans="1:17" ht="14.25" x14ac:dyDescent="0.2">
      <c r="A3018" s="189">
        <v>296</v>
      </c>
      <c r="B3018" s="232" t="str">
        <f>IF(AND(A3018&lt;&gt;"",ISNUMBER(A3018)),VLOOKUP(A3018,Studies!A:BR,2,FALSE),"")</f>
        <v>Kharasch 2011</v>
      </c>
      <c r="C3018" s="232" t="str">
        <f>IF(AND(A3018&lt;&gt;"",ISNUMBER(A3018)),VLOOKUP(A3018,Studies!A:BR,3,FALSE),"")</f>
        <v>https://www.ncbi.nlm.nih.gov/pubmed/21562488</v>
      </c>
      <c r="D3018" s="232" t="str">
        <f>IF(AND(A3018&lt;&gt;"",ISNUMBER(A3018)),VLOOKUP(A3018,Studies!A:BR,4,FALSE),"")</f>
        <v>iv with Perpetrator (Rifampicin @ 25 mg)</v>
      </c>
      <c r="E3018" s="206" t="str">
        <f>IF(AND(A3018&lt;&gt;"",ISNUMBER(A3018)),VLOOKUP(A3018,Studies!A:BR,5,FALSE),"")</f>
        <v>Midazolam</v>
      </c>
      <c r="F3018" s="207" t="str">
        <f>IF(AND(A3018&lt;&gt;"",ISNUMBER(A3018)),VLOOKUP(A3018,Studies!A:BR,6,FALSE),"")</f>
        <v>Plasma</v>
      </c>
      <c r="G3018" s="194">
        <v>108.33</v>
      </c>
      <c r="H3018" s="194" t="s">
        <v>60</v>
      </c>
      <c r="I3018" s="187">
        <v>11.00436</v>
      </c>
      <c r="J3018" s="187" t="s">
        <v>1090</v>
      </c>
      <c r="K3018" s="187" t="s">
        <v>116</v>
      </c>
      <c r="L3018" s="195"/>
      <c r="M3018" s="195"/>
      <c r="N3018" s="195"/>
      <c r="O3018" s="199"/>
      <c r="P3018" s="188"/>
      <c r="Q3018" s="174">
        <f>IF(ISNUMBER(VLOOKUP(A3018,NotghiID!A:A,1,FALSE)),1,0)</f>
        <v>1</v>
      </c>
    </row>
    <row r="3019" spans="1:17" ht="14.25" x14ac:dyDescent="0.2">
      <c r="A3019" s="189">
        <v>296</v>
      </c>
      <c r="B3019" s="232" t="str">
        <f>IF(AND(A3019&lt;&gt;"",ISNUMBER(A3019)),VLOOKUP(A3019,Studies!A:BR,2,FALSE),"")</f>
        <v>Kharasch 2011</v>
      </c>
      <c r="C3019" s="232" t="str">
        <f>IF(AND(A3019&lt;&gt;"",ISNUMBER(A3019)),VLOOKUP(A3019,Studies!A:BR,3,FALSE),"")</f>
        <v>https://www.ncbi.nlm.nih.gov/pubmed/21562488</v>
      </c>
      <c r="D3019" s="232" t="str">
        <f>IF(AND(A3019&lt;&gt;"",ISNUMBER(A3019)),VLOOKUP(A3019,Studies!A:BR,4,FALSE),"")</f>
        <v>iv with Perpetrator (Rifampicin @ 25 mg)</v>
      </c>
      <c r="E3019" s="206" t="str">
        <f>IF(AND(A3019&lt;&gt;"",ISNUMBER(A3019)),VLOOKUP(A3019,Studies!A:BR,5,FALSE),"")</f>
        <v>Midazolam</v>
      </c>
      <c r="F3019" s="207" t="str">
        <f>IF(AND(A3019&lt;&gt;"",ISNUMBER(A3019)),VLOOKUP(A3019,Studies!A:BR,6,FALSE),"")</f>
        <v>Plasma</v>
      </c>
      <c r="G3019" s="194">
        <v>108.5</v>
      </c>
      <c r="H3019" s="194" t="s">
        <v>60</v>
      </c>
      <c r="I3019" s="187">
        <v>8.6871100000000006</v>
      </c>
      <c r="J3019" s="187" t="s">
        <v>1090</v>
      </c>
      <c r="K3019" s="187" t="s">
        <v>116</v>
      </c>
      <c r="L3019" s="195"/>
      <c r="M3019" s="195"/>
      <c r="N3019" s="195"/>
      <c r="O3019" s="199"/>
      <c r="P3019" s="188"/>
      <c r="Q3019" s="174">
        <f>IF(ISNUMBER(VLOOKUP(A3019,NotghiID!A:A,1,FALSE)),1,0)</f>
        <v>1</v>
      </c>
    </row>
    <row r="3020" spans="1:17" ht="14.25" x14ac:dyDescent="0.2">
      <c r="A3020" s="189">
        <v>296</v>
      </c>
      <c r="B3020" s="232" t="str">
        <f>IF(AND(A3020&lt;&gt;"",ISNUMBER(A3020)),VLOOKUP(A3020,Studies!A:BR,2,FALSE),"")</f>
        <v>Kharasch 2011</v>
      </c>
      <c r="C3020" s="232" t="str">
        <f>IF(AND(A3020&lt;&gt;"",ISNUMBER(A3020)),VLOOKUP(A3020,Studies!A:BR,3,FALSE),"")</f>
        <v>https://www.ncbi.nlm.nih.gov/pubmed/21562488</v>
      </c>
      <c r="D3020" s="232" t="str">
        <f>IF(AND(A3020&lt;&gt;"",ISNUMBER(A3020)),VLOOKUP(A3020,Studies!A:BR,4,FALSE),"")</f>
        <v>iv with Perpetrator (Rifampicin @ 25 mg)</v>
      </c>
      <c r="E3020" s="206" t="str">
        <f>IF(AND(A3020&lt;&gt;"",ISNUMBER(A3020)),VLOOKUP(A3020,Studies!A:BR,5,FALSE),"")</f>
        <v>Midazolam</v>
      </c>
      <c r="F3020" s="207" t="str">
        <f>IF(AND(A3020&lt;&gt;"",ISNUMBER(A3020)),VLOOKUP(A3020,Studies!A:BR,6,FALSE),"")</f>
        <v>Plasma</v>
      </c>
      <c r="G3020" s="194">
        <v>108.75</v>
      </c>
      <c r="H3020" s="194" t="s">
        <v>60</v>
      </c>
      <c r="I3020" s="187">
        <v>7.1737409999999997</v>
      </c>
      <c r="J3020" s="187" t="s">
        <v>1090</v>
      </c>
      <c r="K3020" s="187" t="s">
        <v>116</v>
      </c>
      <c r="L3020" s="195"/>
      <c r="M3020" s="195"/>
      <c r="N3020" s="195"/>
      <c r="O3020" s="199"/>
      <c r="P3020" s="188"/>
      <c r="Q3020" s="174">
        <f>IF(ISNUMBER(VLOOKUP(A3020,NotghiID!A:A,1,FALSE)),1,0)</f>
        <v>1</v>
      </c>
    </row>
    <row r="3021" spans="1:17" ht="14.25" x14ac:dyDescent="0.2">
      <c r="A3021" s="189">
        <v>296</v>
      </c>
      <c r="B3021" s="232" t="str">
        <f>IF(AND(A3021&lt;&gt;"",ISNUMBER(A3021)),VLOOKUP(A3021,Studies!A:BR,2,FALSE),"")</f>
        <v>Kharasch 2011</v>
      </c>
      <c r="C3021" s="232" t="str">
        <f>IF(AND(A3021&lt;&gt;"",ISNUMBER(A3021)),VLOOKUP(A3021,Studies!A:BR,3,FALSE),"")</f>
        <v>https://www.ncbi.nlm.nih.gov/pubmed/21562488</v>
      </c>
      <c r="D3021" s="232" t="str">
        <f>IF(AND(A3021&lt;&gt;"",ISNUMBER(A3021)),VLOOKUP(A3021,Studies!A:BR,4,FALSE),"")</f>
        <v>iv with Perpetrator (Rifampicin @ 25 mg)</v>
      </c>
      <c r="E3021" s="206" t="str">
        <f>IF(AND(A3021&lt;&gt;"",ISNUMBER(A3021)),VLOOKUP(A3021,Studies!A:BR,5,FALSE),"")</f>
        <v>Midazolam</v>
      </c>
      <c r="F3021" s="207" t="str">
        <f>IF(AND(A3021&lt;&gt;"",ISNUMBER(A3021)),VLOOKUP(A3021,Studies!A:BR,6,FALSE),"")</f>
        <v>Plasma</v>
      </c>
      <c r="G3021" s="194">
        <v>109</v>
      </c>
      <c r="H3021" s="194" t="s">
        <v>60</v>
      </c>
      <c r="I3021" s="187">
        <v>5.5997199999999996</v>
      </c>
      <c r="J3021" s="187" t="s">
        <v>1090</v>
      </c>
      <c r="K3021" s="187" t="s">
        <v>116</v>
      </c>
      <c r="L3021" s="195"/>
      <c r="M3021" s="195"/>
      <c r="N3021" s="195"/>
      <c r="O3021" s="199"/>
      <c r="P3021" s="188"/>
      <c r="Q3021" s="174">
        <f>IF(ISNUMBER(VLOOKUP(A3021,NotghiID!A:A,1,FALSE)),1,0)</f>
        <v>1</v>
      </c>
    </row>
    <row r="3022" spans="1:17" ht="14.25" x14ac:dyDescent="0.2">
      <c r="A3022" s="189">
        <v>296</v>
      </c>
      <c r="B3022" s="232" t="str">
        <f>IF(AND(A3022&lt;&gt;"",ISNUMBER(A3022)),VLOOKUP(A3022,Studies!A:BR,2,FALSE),"")</f>
        <v>Kharasch 2011</v>
      </c>
      <c r="C3022" s="232" t="str">
        <f>IF(AND(A3022&lt;&gt;"",ISNUMBER(A3022)),VLOOKUP(A3022,Studies!A:BR,3,FALSE),"")</f>
        <v>https://www.ncbi.nlm.nih.gov/pubmed/21562488</v>
      </c>
      <c r="D3022" s="232" t="str">
        <f>IF(AND(A3022&lt;&gt;"",ISNUMBER(A3022)),VLOOKUP(A3022,Studies!A:BR,4,FALSE),"")</f>
        <v>iv with Perpetrator (Rifampicin @ 25 mg)</v>
      </c>
      <c r="E3022" s="206" t="str">
        <f>IF(AND(A3022&lt;&gt;"",ISNUMBER(A3022)),VLOOKUP(A3022,Studies!A:BR,5,FALSE),"")</f>
        <v>Midazolam</v>
      </c>
      <c r="F3022" s="207" t="str">
        <f>IF(AND(A3022&lt;&gt;"",ISNUMBER(A3022)),VLOOKUP(A3022,Studies!A:BR,6,FALSE),"")</f>
        <v>Plasma</v>
      </c>
      <c r="G3022" s="194">
        <v>109.17</v>
      </c>
      <c r="H3022" s="194" t="s">
        <v>60</v>
      </c>
      <c r="I3022" s="187">
        <v>4.9473940000000001</v>
      </c>
      <c r="J3022" s="187" t="s">
        <v>1090</v>
      </c>
      <c r="K3022" s="187" t="s">
        <v>116</v>
      </c>
      <c r="L3022" s="195"/>
      <c r="M3022" s="195"/>
      <c r="N3022" s="195"/>
      <c r="O3022" s="199"/>
      <c r="P3022" s="188"/>
      <c r="Q3022" s="174">
        <f>IF(ISNUMBER(VLOOKUP(A3022,NotghiID!A:A,1,FALSE)),1,0)</f>
        <v>1</v>
      </c>
    </row>
    <row r="3023" spans="1:17" ht="14.25" x14ac:dyDescent="0.2">
      <c r="A3023" s="189">
        <v>296</v>
      </c>
      <c r="B3023" s="232" t="str">
        <f>IF(AND(A3023&lt;&gt;"",ISNUMBER(A3023)),VLOOKUP(A3023,Studies!A:BR,2,FALSE),"")</f>
        <v>Kharasch 2011</v>
      </c>
      <c r="C3023" s="232" t="str">
        <f>IF(AND(A3023&lt;&gt;"",ISNUMBER(A3023)),VLOOKUP(A3023,Studies!A:BR,3,FALSE),"")</f>
        <v>https://www.ncbi.nlm.nih.gov/pubmed/21562488</v>
      </c>
      <c r="D3023" s="232" t="str">
        <f>IF(AND(A3023&lt;&gt;"",ISNUMBER(A3023)),VLOOKUP(A3023,Studies!A:BR,4,FALSE),"")</f>
        <v>iv with Perpetrator (Rifampicin @ 25 mg)</v>
      </c>
      <c r="E3023" s="206" t="str">
        <f>IF(AND(A3023&lt;&gt;"",ISNUMBER(A3023)),VLOOKUP(A3023,Studies!A:BR,5,FALSE),"")</f>
        <v>Midazolam</v>
      </c>
      <c r="F3023" s="207" t="str">
        <f>IF(AND(A3023&lt;&gt;"",ISNUMBER(A3023)),VLOOKUP(A3023,Studies!A:BR,6,FALSE),"")</f>
        <v>Plasma</v>
      </c>
      <c r="G3023" s="194">
        <v>109.25</v>
      </c>
      <c r="H3023" s="194" t="s">
        <v>60</v>
      </c>
      <c r="I3023" s="187">
        <v>4.6242010000000002</v>
      </c>
      <c r="J3023" s="187" t="s">
        <v>1090</v>
      </c>
      <c r="K3023" s="187" t="s">
        <v>116</v>
      </c>
      <c r="L3023" s="195"/>
      <c r="M3023" s="195"/>
      <c r="N3023" s="195"/>
      <c r="O3023" s="199"/>
      <c r="P3023" s="188"/>
      <c r="Q3023" s="174">
        <f>IF(ISNUMBER(VLOOKUP(A3023,NotghiID!A:A,1,FALSE)),1,0)</f>
        <v>1</v>
      </c>
    </row>
    <row r="3024" spans="1:17" ht="14.25" x14ac:dyDescent="0.2">
      <c r="A3024" s="189">
        <v>296</v>
      </c>
      <c r="B3024" s="232" t="str">
        <f>IF(AND(A3024&lt;&gt;"",ISNUMBER(A3024)),VLOOKUP(A3024,Studies!A:BR,2,FALSE),"")</f>
        <v>Kharasch 2011</v>
      </c>
      <c r="C3024" s="232" t="str">
        <f>IF(AND(A3024&lt;&gt;"",ISNUMBER(A3024)),VLOOKUP(A3024,Studies!A:BR,3,FALSE),"")</f>
        <v>https://www.ncbi.nlm.nih.gov/pubmed/21562488</v>
      </c>
      <c r="D3024" s="232" t="str">
        <f>IF(AND(A3024&lt;&gt;"",ISNUMBER(A3024)),VLOOKUP(A3024,Studies!A:BR,4,FALSE),"")</f>
        <v>iv with Perpetrator (Rifampicin @ 25 mg)</v>
      </c>
      <c r="E3024" s="206" t="str">
        <f>IF(AND(A3024&lt;&gt;"",ISNUMBER(A3024)),VLOOKUP(A3024,Studies!A:BR,5,FALSE),"")</f>
        <v>Midazolam</v>
      </c>
      <c r="F3024" s="207" t="str">
        <f>IF(AND(A3024&lt;&gt;"",ISNUMBER(A3024)),VLOOKUP(A3024,Studies!A:BR,6,FALSE),"")</f>
        <v>Plasma</v>
      </c>
      <c r="G3024" s="194">
        <v>109.5</v>
      </c>
      <c r="H3024" s="194" t="s">
        <v>60</v>
      </c>
      <c r="I3024" s="187">
        <v>3.8618649999999999</v>
      </c>
      <c r="J3024" s="187" t="s">
        <v>1090</v>
      </c>
      <c r="K3024" s="187" t="s">
        <v>116</v>
      </c>
      <c r="L3024" s="195"/>
      <c r="M3024" s="195"/>
      <c r="N3024" s="195"/>
      <c r="O3024" s="199"/>
      <c r="P3024" s="188"/>
      <c r="Q3024" s="174">
        <f>IF(ISNUMBER(VLOOKUP(A3024,NotghiID!A:A,1,FALSE)),1,0)</f>
        <v>1</v>
      </c>
    </row>
    <row r="3025" spans="1:17" ht="14.25" x14ac:dyDescent="0.2">
      <c r="A3025" s="189">
        <v>296</v>
      </c>
      <c r="B3025" s="232" t="str">
        <f>IF(AND(A3025&lt;&gt;"",ISNUMBER(A3025)),VLOOKUP(A3025,Studies!A:BR,2,FALSE),"")</f>
        <v>Kharasch 2011</v>
      </c>
      <c r="C3025" s="232" t="str">
        <f>IF(AND(A3025&lt;&gt;"",ISNUMBER(A3025)),VLOOKUP(A3025,Studies!A:BR,3,FALSE),"")</f>
        <v>https://www.ncbi.nlm.nih.gov/pubmed/21562488</v>
      </c>
      <c r="D3025" s="232" t="str">
        <f>IF(AND(A3025&lt;&gt;"",ISNUMBER(A3025)),VLOOKUP(A3025,Studies!A:BR,4,FALSE),"")</f>
        <v>iv with Perpetrator (Rifampicin @ 25 mg)</v>
      </c>
      <c r="E3025" s="206" t="str">
        <f>IF(AND(A3025&lt;&gt;"",ISNUMBER(A3025)),VLOOKUP(A3025,Studies!A:BR,5,FALSE),"")</f>
        <v>Midazolam</v>
      </c>
      <c r="F3025" s="207" t="str">
        <f>IF(AND(A3025&lt;&gt;"",ISNUMBER(A3025)),VLOOKUP(A3025,Studies!A:BR,6,FALSE),"")</f>
        <v>Plasma</v>
      </c>
      <c r="G3025" s="194">
        <v>109.75</v>
      </c>
      <c r="H3025" s="194" t="s">
        <v>60</v>
      </c>
      <c r="I3025" s="187">
        <v>3.4119869999999999</v>
      </c>
      <c r="J3025" s="187" t="s">
        <v>1090</v>
      </c>
      <c r="K3025" s="187" t="s">
        <v>116</v>
      </c>
      <c r="L3025" s="195"/>
      <c r="M3025" s="195"/>
      <c r="N3025" s="195"/>
      <c r="O3025" s="199"/>
      <c r="P3025" s="188"/>
      <c r="Q3025" s="174">
        <f>IF(ISNUMBER(VLOOKUP(A3025,NotghiID!A:A,1,FALSE)),1,0)</f>
        <v>1</v>
      </c>
    </row>
    <row r="3026" spans="1:17" ht="14.25" x14ac:dyDescent="0.2">
      <c r="A3026" s="189">
        <v>296</v>
      </c>
      <c r="B3026" s="232" t="str">
        <f>IF(AND(A3026&lt;&gt;"",ISNUMBER(A3026)),VLOOKUP(A3026,Studies!A:BR,2,FALSE),"")</f>
        <v>Kharasch 2011</v>
      </c>
      <c r="C3026" s="232" t="str">
        <f>IF(AND(A3026&lt;&gt;"",ISNUMBER(A3026)),VLOOKUP(A3026,Studies!A:BR,3,FALSE),"")</f>
        <v>https://www.ncbi.nlm.nih.gov/pubmed/21562488</v>
      </c>
      <c r="D3026" s="232" t="str">
        <f>IF(AND(A3026&lt;&gt;"",ISNUMBER(A3026)),VLOOKUP(A3026,Studies!A:BR,4,FALSE),"")</f>
        <v>iv with Perpetrator (Rifampicin @ 25 mg)</v>
      </c>
      <c r="E3026" s="206" t="str">
        <f>IF(AND(A3026&lt;&gt;"",ISNUMBER(A3026)),VLOOKUP(A3026,Studies!A:BR,5,FALSE),"")</f>
        <v>Midazolam</v>
      </c>
      <c r="F3026" s="207" t="str">
        <f>IF(AND(A3026&lt;&gt;"",ISNUMBER(A3026)),VLOOKUP(A3026,Studies!A:BR,6,FALSE),"")</f>
        <v>Plasma</v>
      </c>
      <c r="G3026" s="194">
        <v>110</v>
      </c>
      <c r="H3026" s="194" t="s">
        <v>60</v>
      </c>
      <c r="I3026" s="187">
        <v>3.0486499999999999</v>
      </c>
      <c r="J3026" s="187" t="s">
        <v>1090</v>
      </c>
      <c r="K3026" s="187" t="s">
        <v>116</v>
      </c>
      <c r="L3026" s="195"/>
      <c r="M3026" s="195"/>
      <c r="N3026" s="195"/>
      <c r="O3026" s="199"/>
      <c r="P3026" s="188"/>
      <c r="Q3026" s="174">
        <f>IF(ISNUMBER(VLOOKUP(A3026,NotghiID!A:A,1,FALSE)),1,0)</f>
        <v>1</v>
      </c>
    </row>
    <row r="3027" spans="1:17" ht="14.25" x14ac:dyDescent="0.2">
      <c r="A3027" s="189">
        <v>296</v>
      </c>
      <c r="B3027" s="232" t="str">
        <f>IF(AND(A3027&lt;&gt;"",ISNUMBER(A3027)),VLOOKUP(A3027,Studies!A:BR,2,FALSE),"")</f>
        <v>Kharasch 2011</v>
      </c>
      <c r="C3027" s="232" t="str">
        <f>IF(AND(A3027&lt;&gt;"",ISNUMBER(A3027)),VLOOKUP(A3027,Studies!A:BR,3,FALSE),"")</f>
        <v>https://www.ncbi.nlm.nih.gov/pubmed/21562488</v>
      </c>
      <c r="D3027" s="232" t="str">
        <f>IF(AND(A3027&lt;&gt;"",ISNUMBER(A3027)),VLOOKUP(A3027,Studies!A:BR,4,FALSE),"")</f>
        <v>iv with Perpetrator (Rifampicin @ 25 mg)</v>
      </c>
      <c r="E3027" s="206" t="str">
        <f>IF(AND(A3027&lt;&gt;"",ISNUMBER(A3027)),VLOOKUP(A3027,Studies!A:BR,5,FALSE),"")</f>
        <v>Midazolam</v>
      </c>
      <c r="F3027" s="207" t="str">
        <f>IF(AND(A3027&lt;&gt;"",ISNUMBER(A3027)),VLOOKUP(A3027,Studies!A:BR,6,FALSE),"")</f>
        <v>Plasma</v>
      </c>
      <c r="G3027" s="194">
        <v>110.5</v>
      </c>
      <c r="H3027" s="194" t="s">
        <v>60</v>
      </c>
      <c r="I3027" s="187">
        <v>2.3797320000000002</v>
      </c>
      <c r="J3027" s="187" t="s">
        <v>1090</v>
      </c>
      <c r="K3027" s="187" t="s">
        <v>116</v>
      </c>
      <c r="L3027" s="195"/>
      <c r="M3027" s="195"/>
      <c r="N3027" s="195"/>
      <c r="O3027" s="199"/>
      <c r="P3027" s="188"/>
      <c r="Q3027" s="174">
        <f>IF(ISNUMBER(VLOOKUP(A3027,NotghiID!A:A,1,FALSE)),1,0)</f>
        <v>1</v>
      </c>
    </row>
    <row r="3028" spans="1:17" ht="14.25" x14ac:dyDescent="0.2">
      <c r="A3028" s="189">
        <v>296</v>
      </c>
      <c r="B3028" s="232" t="str">
        <f>IF(AND(A3028&lt;&gt;"",ISNUMBER(A3028)),VLOOKUP(A3028,Studies!A:BR,2,FALSE),"")</f>
        <v>Kharasch 2011</v>
      </c>
      <c r="C3028" s="232" t="str">
        <f>IF(AND(A3028&lt;&gt;"",ISNUMBER(A3028)),VLOOKUP(A3028,Studies!A:BR,3,FALSE),"")</f>
        <v>https://www.ncbi.nlm.nih.gov/pubmed/21562488</v>
      </c>
      <c r="D3028" s="232" t="str">
        <f>IF(AND(A3028&lt;&gt;"",ISNUMBER(A3028)),VLOOKUP(A3028,Studies!A:BR,4,FALSE),"")</f>
        <v>iv with Perpetrator (Rifampicin @ 25 mg)</v>
      </c>
      <c r="E3028" s="206" t="str">
        <f>IF(AND(A3028&lt;&gt;"",ISNUMBER(A3028)),VLOOKUP(A3028,Studies!A:BR,5,FALSE),"")</f>
        <v>Midazolam</v>
      </c>
      <c r="F3028" s="207" t="str">
        <f>IF(AND(A3028&lt;&gt;"",ISNUMBER(A3028)),VLOOKUP(A3028,Studies!A:BR,6,FALSE),"")</f>
        <v>Plasma</v>
      </c>
      <c r="G3028" s="194">
        <v>111</v>
      </c>
      <c r="H3028" s="194" t="s">
        <v>60</v>
      </c>
      <c r="I3028" s="187">
        <v>2.0556939999999999</v>
      </c>
      <c r="J3028" s="187" t="s">
        <v>1090</v>
      </c>
      <c r="K3028" s="187" t="s">
        <v>116</v>
      </c>
      <c r="L3028" s="195"/>
      <c r="M3028" s="195"/>
      <c r="N3028" s="195"/>
      <c r="O3028" s="199"/>
      <c r="P3028" s="188"/>
      <c r="Q3028" s="174">
        <f>IF(ISNUMBER(VLOOKUP(A3028,NotghiID!A:A,1,FALSE)),1,0)</f>
        <v>1</v>
      </c>
    </row>
    <row r="3029" spans="1:17" ht="14.25" x14ac:dyDescent="0.2">
      <c r="A3029" s="189">
        <v>296</v>
      </c>
      <c r="B3029" s="232" t="str">
        <f>IF(AND(A3029&lt;&gt;"",ISNUMBER(A3029)),VLOOKUP(A3029,Studies!A:BR,2,FALSE),"")</f>
        <v>Kharasch 2011</v>
      </c>
      <c r="C3029" s="232" t="str">
        <f>IF(AND(A3029&lt;&gt;"",ISNUMBER(A3029)),VLOOKUP(A3029,Studies!A:BR,3,FALSE),"")</f>
        <v>https://www.ncbi.nlm.nih.gov/pubmed/21562488</v>
      </c>
      <c r="D3029" s="232" t="str">
        <f>IF(AND(A3029&lt;&gt;"",ISNUMBER(A3029)),VLOOKUP(A3029,Studies!A:BR,4,FALSE),"")</f>
        <v>iv with Perpetrator (Rifampicin @ 25 mg)</v>
      </c>
      <c r="E3029" s="206" t="str">
        <f>IF(AND(A3029&lt;&gt;"",ISNUMBER(A3029)),VLOOKUP(A3029,Studies!A:BR,5,FALSE),"")</f>
        <v>Midazolam</v>
      </c>
      <c r="F3029" s="207" t="str">
        <f>IF(AND(A3029&lt;&gt;"",ISNUMBER(A3029)),VLOOKUP(A3029,Studies!A:BR,6,FALSE),"")</f>
        <v>Plasma</v>
      </c>
      <c r="G3029" s="194">
        <v>111.5</v>
      </c>
      <c r="H3029" s="194" t="s">
        <v>60</v>
      </c>
      <c r="I3029" s="187">
        <v>1.6228149999999999</v>
      </c>
      <c r="J3029" s="187" t="s">
        <v>1090</v>
      </c>
      <c r="K3029" s="187" t="s">
        <v>116</v>
      </c>
      <c r="L3029" s="195"/>
      <c r="M3029" s="195"/>
      <c r="N3029" s="195"/>
      <c r="O3029" s="199"/>
      <c r="P3029" s="188"/>
      <c r="Q3029" s="174">
        <f>IF(ISNUMBER(VLOOKUP(A3029,NotghiID!A:A,1,FALSE)),1,0)</f>
        <v>1</v>
      </c>
    </row>
    <row r="3030" spans="1:17" ht="14.25" x14ac:dyDescent="0.2">
      <c r="A3030" s="189">
        <v>296</v>
      </c>
      <c r="B3030" s="232" t="str">
        <f>IF(AND(A3030&lt;&gt;"",ISNUMBER(A3030)),VLOOKUP(A3030,Studies!A:BR,2,FALSE),"")</f>
        <v>Kharasch 2011</v>
      </c>
      <c r="C3030" s="232" t="str">
        <f>IF(AND(A3030&lt;&gt;"",ISNUMBER(A3030)),VLOOKUP(A3030,Studies!A:BR,3,FALSE),"")</f>
        <v>https://www.ncbi.nlm.nih.gov/pubmed/21562488</v>
      </c>
      <c r="D3030" s="232" t="str">
        <f>IF(AND(A3030&lt;&gt;"",ISNUMBER(A3030)),VLOOKUP(A3030,Studies!A:BR,4,FALSE),"")</f>
        <v>iv with Perpetrator (Rifampicin @ 25 mg)</v>
      </c>
      <c r="E3030" s="206" t="str">
        <f>IF(AND(A3030&lt;&gt;"",ISNUMBER(A3030)),VLOOKUP(A3030,Studies!A:BR,5,FALSE),"")</f>
        <v>Midazolam</v>
      </c>
      <c r="F3030" s="207" t="str">
        <f>IF(AND(A3030&lt;&gt;"",ISNUMBER(A3030)),VLOOKUP(A3030,Studies!A:BR,6,FALSE),"")</f>
        <v>Plasma</v>
      </c>
      <c r="G3030" s="194">
        <v>112</v>
      </c>
      <c r="H3030" s="194" t="s">
        <v>60</v>
      </c>
      <c r="I3030" s="187">
        <v>1.3401069999999999</v>
      </c>
      <c r="J3030" s="187" t="s">
        <v>1090</v>
      </c>
      <c r="K3030" s="187" t="s">
        <v>116</v>
      </c>
      <c r="L3030" s="195"/>
      <c r="M3030" s="195"/>
      <c r="N3030" s="195"/>
      <c r="O3030" s="199"/>
      <c r="P3030" s="188"/>
      <c r="Q3030" s="174">
        <f>IF(ISNUMBER(VLOOKUP(A3030,NotghiID!A:A,1,FALSE)),1,0)</f>
        <v>1</v>
      </c>
    </row>
    <row r="3031" spans="1:17" ht="14.25" x14ac:dyDescent="0.2">
      <c r="A3031" s="189">
        <v>296</v>
      </c>
      <c r="B3031" s="232" t="str">
        <f>IF(AND(A3031&lt;&gt;"",ISNUMBER(A3031)),VLOOKUP(A3031,Studies!A:BR,2,FALSE),"")</f>
        <v>Kharasch 2011</v>
      </c>
      <c r="C3031" s="232" t="str">
        <f>IF(AND(A3031&lt;&gt;"",ISNUMBER(A3031)),VLOOKUP(A3031,Studies!A:BR,3,FALSE),"")</f>
        <v>https://www.ncbi.nlm.nih.gov/pubmed/21562488</v>
      </c>
      <c r="D3031" s="232" t="str">
        <f>IF(AND(A3031&lt;&gt;"",ISNUMBER(A3031)),VLOOKUP(A3031,Studies!A:BR,4,FALSE),"")</f>
        <v>iv with Perpetrator (Rifampicin @ 25 mg)</v>
      </c>
      <c r="E3031" s="206" t="str">
        <f>IF(AND(A3031&lt;&gt;"",ISNUMBER(A3031)),VLOOKUP(A3031,Studies!A:BR,5,FALSE),"")</f>
        <v>Midazolam</v>
      </c>
      <c r="F3031" s="207" t="str">
        <f>IF(AND(A3031&lt;&gt;"",ISNUMBER(A3031)),VLOOKUP(A3031,Studies!A:BR,6,FALSE),"")</f>
        <v>Plasma</v>
      </c>
      <c r="G3031" s="194">
        <v>113</v>
      </c>
      <c r="H3031" s="194" t="s">
        <v>60</v>
      </c>
      <c r="I3031" s="187">
        <v>1.022775</v>
      </c>
      <c r="J3031" s="187" t="s">
        <v>1090</v>
      </c>
      <c r="K3031" s="187" t="s">
        <v>116</v>
      </c>
      <c r="L3031" s="195"/>
      <c r="M3031" s="195"/>
      <c r="N3031" s="195"/>
      <c r="O3031" s="199"/>
      <c r="P3031" s="188"/>
      <c r="Q3031" s="174">
        <f>IF(ISNUMBER(VLOOKUP(A3031,NotghiID!A:A,1,FALSE)),1,0)</f>
        <v>1</v>
      </c>
    </row>
    <row r="3032" spans="1:17" ht="14.25" x14ac:dyDescent="0.2">
      <c r="A3032" s="189">
        <v>296</v>
      </c>
      <c r="B3032" s="232" t="str">
        <f>IF(AND(A3032&lt;&gt;"",ISNUMBER(A3032)),VLOOKUP(A3032,Studies!A:BR,2,FALSE),"")</f>
        <v>Kharasch 2011</v>
      </c>
      <c r="C3032" s="232" t="str">
        <f>IF(AND(A3032&lt;&gt;"",ISNUMBER(A3032)),VLOOKUP(A3032,Studies!A:BR,3,FALSE),"")</f>
        <v>https://www.ncbi.nlm.nih.gov/pubmed/21562488</v>
      </c>
      <c r="D3032" s="232" t="str">
        <f>IF(AND(A3032&lt;&gt;"",ISNUMBER(A3032)),VLOOKUP(A3032,Studies!A:BR,4,FALSE),"")</f>
        <v>iv with Perpetrator (Rifampicin @ 25 mg)</v>
      </c>
      <c r="E3032" s="206" t="str">
        <f>IF(AND(A3032&lt;&gt;"",ISNUMBER(A3032)),VLOOKUP(A3032,Studies!A:BR,5,FALSE),"")</f>
        <v>Midazolam</v>
      </c>
      <c r="F3032" s="207" t="str">
        <f>IF(AND(A3032&lt;&gt;"",ISNUMBER(A3032)),VLOOKUP(A3032,Studies!A:BR,6,FALSE),"")</f>
        <v>Plasma</v>
      </c>
      <c r="G3032" s="194">
        <v>114</v>
      </c>
      <c r="H3032" s="194" t="s">
        <v>60</v>
      </c>
      <c r="I3032" s="187">
        <v>0.74620929999999996</v>
      </c>
      <c r="J3032" s="187" t="s">
        <v>1090</v>
      </c>
      <c r="K3032" s="187" t="s">
        <v>116</v>
      </c>
      <c r="L3032" s="195"/>
      <c r="M3032" s="195"/>
      <c r="N3032" s="195"/>
      <c r="O3032" s="199"/>
      <c r="P3032" s="188"/>
      <c r="Q3032" s="174">
        <f>IF(ISNUMBER(VLOOKUP(A3032,NotghiID!A:A,1,FALSE)),1,0)</f>
        <v>1</v>
      </c>
    </row>
    <row r="3033" spans="1:17" ht="14.25" x14ac:dyDescent="0.2">
      <c r="A3033" s="189">
        <v>296</v>
      </c>
      <c r="B3033" s="232" t="str">
        <f>IF(AND(A3033&lt;&gt;"",ISNUMBER(A3033)),VLOOKUP(A3033,Studies!A:BR,2,FALSE),"")</f>
        <v>Kharasch 2011</v>
      </c>
      <c r="C3033" s="232" t="str">
        <f>IF(AND(A3033&lt;&gt;"",ISNUMBER(A3033)),VLOOKUP(A3033,Studies!A:BR,3,FALSE),"")</f>
        <v>https://www.ncbi.nlm.nih.gov/pubmed/21562488</v>
      </c>
      <c r="D3033" s="232" t="str">
        <f>IF(AND(A3033&lt;&gt;"",ISNUMBER(A3033)),VLOOKUP(A3033,Studies!A:BR,4,FALSE),"")</f>
        <v>iv with Perpetrator (Rifampicin @ 25 mg)</v>
      </c>
      <c r="E3033" s="206" t="str">
        <f>IF(AND(A3033&lt;&gt;"",ISNUMBER(A3033)),VLOOKUP(A3033,Studies!A:BR,5,FALSE),"")</f>
        <v>Midazolam</v>
      </c>
      <c r="F3033" s="207" t="str">
        <f>IF(AND(A3033&lt;&gt;"",ISNUMBER(A3033)),VLOOKUP(A3033,Studies!A:BR,6,FALSE),"")</f>
        <v>Plasma</v>
      </c>
      <c r="G3033" s="194">
        <v>115</v>
      </c>
      <c r="H3033" s="194" t="s">
        <v>60</v>
      </c>
      <c r="I3033" s="187">
        <v>0.65928160000000002</v>
      </c>
      <c r="J3033" s="187" t="s">
        <v>1090</v>
      </c>
      <c r="K3033" s="187" t="s">
        <v>116</v>
      </c>
      <c r="L3033" s="195"/>
      <c r="M3033" s="195"/>
      <c r="N3033" s="195"/>
      <c r="O3033" s="199"/>
      <c r="P3033" s="188"/>
      <c r="Q3033" s="174">
        <f>IF(ISNUMBER(VLOOKUP(A3033,NotghiID!A:A,1,FALSE)),1,0)</f>
        <v>1</v>
      </c>
    </row>
    <row r="3034" spans="1:17" ht="14.25" x14ac:dyDescent="0.2">
      <c r="A3034" s="189">
        <v>297</v>
      </c>
      <c r="B3034" s="232" t="str">
        <f>IF(AND(A3034&lt;&gt;"",ISNUMBER(A3034)),VLOOKUP(A3034,Studies!A:BR,2,FALSE),"")</f>
        <v>Kharasch 2011</v>
      </c>
      <c r="C3034" s="232" t="str">
        <f>IF(AND(A3034&lt;&gt;"",ISNUMBER(A3034)),VLOOKUP(A3034,Studies!A:BR,3,FALSE),"")</f>
        <v>https://www.ncbi.nlm.nih.gov/pubmed/21562488</v>
      </c>
      <c r="D3034" s="232" t="str">
        <f>IF(AND(A3034&lt;&gt;"",ISNUMBER(A3034)),VLOOKUP(A3034,Studies!A:BR,4,FALSE),"")</f>
        <v>iv with Perpetrator (Rifampicin @ 75 mg)</v>
      </c>
      <c r="E3034" s="206" t="str">
        <f>IF(AND(A3034&lt;&gt;"",ISNUMBER(A3034)),VLOOKUP(A3034,Studies!A:BR,5,FALSE),"")</f>
        <v>Midazolam</v>
      </c>
      <c r="F3034" s="207" t="str">
        <f>IF(AND(A3034&lt;&gt;"",ISNUMBER(A3034)),VLOOKUP(A3034,Studies!A:BR,6,FALSE),"")</f>
        <v>Plasma</v>
      </c>
      <c r="G3034" s="194">
        <v>108</v>
      </c>
      <c r="H3034" s="194" t="s">
        <v>60</v>
      </c>
      <c r="I3034" s="187">
        <v>81.654560000000004</v>
      </c>
      <c r="J3034" s="187" t="s">
        <v>1090</v>
      </c>
      <c r="K3034" s="187" t="s">
        <v>116</v>
      </c>
      <c r="L3034" s="195"/>
      <c r="M3034" s="195"/>
      <c r="N3034" s="195"/>
      <c r="O3034" s="199"/>
      <c r="P3034" s="188"/>
      <c r="Q3034" s="174">
        <f>IF(ISNUMBER(VLOOKUP(A3034,NotghiID!A:A,1,FALSE)),1,0)</f>
        <v>1</v>
      </c>
    </row>
    <row r="3035" spans="1:17" ht="14.25" x14ac:dyDescent="0.2">
      <c r="A3035" s="189">
        <v>297</v>
      </c>
      <c r="B3035" s="232" t="str">
        <f>IF(AND(A3035&lt;&gt;"",ISNUMBER(A3035)),VLOOKUP(A3035,Studies!A:BR,2,FALSE),"")</f>
        <v>Kharasch 2011</v>
      </c>
      <c r="C3035" s="232" t="str">
        <f>IF(AND(A3035&lt;&gt;"",ISNUMBER(A3035)),VLOOKUP(A3035,Studies!A:BR,3,FALSE),"")</f>
        <v>https://www.ncbi.nlm.nih.gov/pubmed/21562488</v>
      </c>
      <c r="D3035" s="232" t="str">
        <f>IF(AND(A3035&lt;&gt;"",ISNUMBER(A3035)),VLOOKUP(A3035,Studies!A:BR,4,FALSE),"")</f>
        <v>iv with Perpetrator (Rifampicin @ 75 mg)</v>
      </c>
      <c r="E3035" s="206" t="str">
        <f>IF(AND(A3035&lt;&gt;"",ISNUMBER(A3035)),VLOOKUP(A3035,Studies!A:BR,5,FALSE),"")</f>
        <v>Midazolam</v>
      </c>
      <c r="F3035" s="207" t="str">
        <f>IF(AND(A3035&lt;&gt;"",ISNUMBER(A3035)),VLOOKUP(A3035,Studies!A:BR,6,FALSE),"")</f>
        <v>Plasma</v>
      </c>
      <c r="G3035" s="194">
        <v>108.08</v>
      </c>
      <c r="H3035" s="194" t="s">
        <v>60</v>
      </c>
      <c r="I3035" s="187">
        <v>26.48396</v>
      </c>
      <c r="J3035" s="187" t="s">
        <v>1090</v>
      </c>
      <c r="K3035" s="187" t="s">
        <v>116</v>
      </c>
      <c r="L3035" s="195"/>
      <c r="M3035" s="195"/>
      <c r="N3035" s="195"/>
      <c r="O3035" s="199"/>
      <c r="P3035" s="188"/>
      <c r="Q3035" s="174">
        <f>IF(ISNUMBER(VLOOKUP(A3035,NotghiID!A:A,1,FALSE)),1,0)</f>
        <v>1</v>
      </c>
    </row>
    <row r="3036" spans="1:17" ht="14.25" x14ac:dyDescent="0.2">
      <c r="A3036" s="189">
        <v>297</v>
      </c>
      <c r="B3036" s="232" t="str">
        <f>IF(AND(A3036&lt;&gt;"",ISNUMBER(A3036)),VLOOKUP(A3036,Studies!A:BR,2,FALSE),"")</f>
        <v>Kharasch 2011</v>
      </c>
      <c r="C3036" s="232" t="str">
        <f>IF(AND(A3036&lt;&gt;"",ISNUMBER(A3036)),VLOOKUP(A3036,Studies!A:BR,3,FALSE),"")</f>
        <v>https://www.ncbi.nlm.nih.gov/pubmed/21562488</v>
      </c>
      <c r="D3036" s="232" t="str">
        <f>IF(AND(A3036&lt;&gt;"",ISNUMBER(A3036)),VLOOKUP(A3036,Studies!A:BR,4,FALSE),"")</f>
        <v>iv with Perpetrator (Rifampicin @ 75 mg)</v>
      </c>
      <c r="E3036" s="206" t="str">
        <f>IF(AND(A3036&lt;&gt;"",ISNUMBER(A3036)),VLOOKUP(A3036,Studies!A:BR,5,FALSE),"")</f>
        <v>Midazolam</v>
      </c>
      <c r="F3036" s="207" t="str">
        <f>IF(AND(A3036&lt;&gt;"",ISNUMBER(A3036)),VLOOKUP(A3036,Studies!A:BR,6,FALSE),"")</f>
        <v>Plasma</v>
      </c>
      <c r="G3036" s="194">
        <v>108.17</v>
      </c>
      <c r="H3036" s="194" t="s">
        <v>60</v>
      </c>
      <c r="I3036" s="187">
        <v>16.319769999999998</v>
      </c>
      <c r="J3036" s="187" t="s">
        <v>1090</v>
      </c>
      <c r="K3036" s="187" t="s">
        <v>116</v>
      </c>
      <c r="L3036" s="195"/>
      <c r="M3036" s="195"/>
      <c r="N3036" s="195"/>
      <c r="O3036" s="199"/>
      <c r="P3036" s="188"/>
      <c r="Q3036" s="174">
        <f>IF(ISNUMBER(VLOOKUP(A3036,NotghiID!A:A,1,FALSE)),1,0)</f>
        <v>1</v>
      </c>
    </row>
    <row r="3037" spans="1:17" ht="14.25" x14ac:dyDescent="0.2">
      <c r="A3037" s="189">
        <v>297</v>
      </c>
      <c r="B3037" s="232" t="str">
        <f>IF(AND(A3037&lt;&gt;"",ISNUMBER(A3037)),VLOOKUP(A3037,Studies!A:BR,2,FALSE),"")</f>
        <v>Kharasch 2011</v>
      </c>
      <c r="C3037" s="232" t="str">
        <f>IF(AND(A3037&lt;&gt;"",ISNUMBER(A3037)),VLOOKUP(A3037,Studies!A:BR,3,FALSE),"")</f>
        <v>https://www.ncbi.nlm.nih.gov/pubmed/21562488</v>
      </c>
      <c r="D3037" s="232" t="str">
        <f>IF(AND(A3037&lt;&gt;"",ISNUMBER(A3037)),VLOOKUP(A3037,Studies!A:BR,4,FALSE),"")</f>
        <v>iv with Perpetrator (Rifampicin @ 75 mg)</v>
      </c>
      <c r="E3037" s="206" t="str">
        <f>IF(AND(A3037&lt;&gt;"",ISNUMBER(A3037)),VLOOKUP(A3037,Studies!A:BR,5,FALSE),"")</f>
        <v>Midazolam</v>
      </c>
      <c r="F3037" s="207" t="str">
        <f>IF(AND(A3037&lt;&gt;"",ISNUMBER(A3037)),VLOOKUP(A3037,Studies!A:BR,6,FALSE),"")</f>
        <v>Plasma</v>
      </c>
      <c r="G3037" s="194">
        <v>108.33</v>
      </c>
      <c r="H3037" s="194" t="s">
        <v>60</v>
      </c>
      <c r="I3037" s="187">
        <v>10.519740000000001</v>
      </c>
      <c r="J3037" s="187" t="s">
        <v>1090</v>
      </c>
      <c r="K3037" s="187" t="s">
        <v>116</v>
      </c>
      <c r="L3037" s="195"/>
      <c r="M3037" s="195"/>
      <c r="N3037" s="195"/>
      <c r="O3037" s="199"/>
      <c r="P3037" s="188"/>
      <c r="Q3037" s="174">
        <f>IF(ISNUMBER(VLOOKUP(A3037,NotghiID!A:A,1,FALSE)),1,0)</f>
        <v>1</v>
      </c>
    </row>
    <row r="3038" spans="1:17" ht="14.25" x14ac:dyDescent="0.2">
      <c r="A3038" s="189">
        <v>297</v>
      </c>
      <c r="B3038" s="232" t="str">
        <f>IF(AND(A3038&lt;&gt;"",ISNUMBER(A3038)),VLOOKUP(A3038,Studies!A:BR,2,FALSE),"")</f>
        <v>Kharasch 2011</v>
      </c>
      <c r="C3038" s="232" t="str">
        <f>IF(AND(A3038&lt;&gt;"",ISNUMBER(A3038)),VLOOKUP(A3038,Studies!A:BR,3,FALSE),"")</f>
        <v>https://www.ncbi.nlm.nih.gov/pubmed/21562488</v>
      </c>
      <c r="D3038" s="232" t="str">
        <f>IF(AND(A3038&lt;&gt;"",ISNUMBER(A3038)),VLOOKUP(A3038,Studies!A:BR,4,FALSE),"")</f>
        <v>iv with Perpetrator (Rifampicin @ 75 mg)</v>
      </c>
      <c r="E3038" s="206" t="str">
        <f>IF(AND(A3038&lt;&gt;"",ISNUMBER(A3038)),VLOOKUP(A3038,Studies!A:BR,5,FALSE),"")</f>
        <v>Midazolam</v>
      </c>
      <c r="F3038" s="207" t="str">
        <f>IF(AND(A3038&lt;&gt;"",ISNUMBER(A3038)),VLOOKUP(A3038,Studies!A:BR,6,FALSE),"")</f>
        <v>Plasma</v>
      </c>
      <c r="G3038" s="194">
        <v>108.5</v>
      </c>
      <c r="H3038" s="194" t="s">
        <v>60</v>
      </c>
      <c r="I3038" s="187">
        <v>7.849926</v>
      </c>
      <c r="J3038" s="187" t="s">
        <v>1090</v>
      </c>
      <c r="K3038" s="187" t="s">
        <v>116</v>
      </c>
      <c r="L3038" s="195"/>
      <c r="M3038" s="195"/>
      <c r="N3038" s="195"/>
      <c r="O3038" s="199"/>
      <c r="P3038" s="188"/>
      <c r="Q3038" s="174">
        <f>IF(ISNUMBER(VLOOKUP(A3038,NotghiID!A:A,1,FALSE)),1,0)</f>
        <v>1</v>
      </c>
    </row>
    <row r="3039" spans="1:17" ht="14.25" x14ac:dyDescent="0.2">
      <c r="A3039" s="189">
        <v>297</v>
      </c>
      <c r="B3039" s="232" t="str">
        <f>IF(AND(A3039&lt;&gt;"",ISNUMBER(A3039)),VLOOKUP(A3039,Studies!A:BR,2,FALSE),"")</f>
        <v>Kharasch 2011</v>
      </c>
      <c r="C3039" s="232" t="str">
        <f>IF(AND(A3039&lt;&gt;"",ISNUMBER(A3039)),VLOOKUP(A3039,Studies!A:BR,3,FALSE),"")</f>
        <v>https://www.ncbi.nlm.nih.gov/pubmed/21562488</v>
      </c>
      <c r="D3039" s="232" t="str">
        <f>IF(AND(A3039&lt;&gt;"",ISNUMBER(A3039)),VLOOKUP(A3039,Studies!A:BR,4,FALSE),"")</f>
        <v>iv with Perpetrator (Rifampicin @ 75 mg)</v>
      </c>
      <c r="E3039" s="206" t="str">
        <f>IF(AND(A3039&lt;&gt;"",ISNUMBER(A3039)),VLOOKUP(A3039,Studies!A:BR,5,FALSE),"")</f>
        <v>Midazolam</v>
      </c>
      <c r="F3039" s="207" t="str">
        <f>IF(AND(A3039&lt;&gt;"",ISNUMBER(A3039)),VLOOKUP(A3039,Studies!A:BR,6,FALSE),"")</f>
        <v>Plasma</v>
      </c>
      <c r="G3039" s="194">
        <v>108.75</v>
      </c>
      <c r="H3039" s="194" t="s">
        <v>60</v>
      </c>
      <c r="I3039" s="187">
        <v>6.3380549999999998</v>
      </c>
      <c r="J3039" s="187" t="s">
        <v>1090</v>
      </c>
      <c r="K3039" s="187" t="s">
        <v>116</v>
      </c>
      <c r="L3039" s="195"/>
      <c r="M3039" s="195"/>
      <c r="N3039" s="195"/>
      <c r="O3039" s="199"/>
      <c r="P3039" s="188"/>
      <c r="Q3039" s="174">
        <f>IF(ISNUMBER(VLOOKUP(A3039,NotghiID!A:A,1,FALSE)),1,0)</f>
        <v>1</v>
      </c>
    </row>
    <row r="3040" spans="1:17" ht="14.25" x14ac:dyDescent="0.2">
      <c r="A3040" s="189">
        <v>297</v>
      </c>
      <c r="B3040" s="232" t="str">
        <f>IF(AND(A3040&lt;&gt;"",ISNUMBER(A3040)),VLOOKUP(A3040,Studies!A:BR,2,FALSE),"")</f>
        <v>Kharasch 2011</v>
      </c>
      <c r="C3040" s="232" t="str">
        <f>IF(AND(A3040&lt;&gt;"",ISNUMBER(A3040)),VLOOKUP(A3040,Studies!A:BR,3,FALSE),"")</f>
        <v>https://www.ncbi.nlm.nih.gov/pubmed/21562488</v>
      </c>
      <c r="D3040" s="232" t="str">
        <f>IF(AND(A3040&lt;&gt;"",ISNUMBER(A3040)),VLOOKUP(A3040,Studies!A:BR,4,FALSE),"")</f>
        <v>iv with Perpetrator (Rifampicin @ 75 mg)</v>
      </c>
      <c r="E3040" s="206" t="str">
        <f>IF(AND(A3040&lt;&gt;"",ISNUMBER(A3040)),VLOOKUP(A3040,Studies!A:BR,5,FALSE),"")</f>
        <v>Midazolam</v>
      </c>
      <c r="F3040" s="207" t="str">
        <f>IF(AND(A3040&lt;&gt;"",ISNUMBER(A3040)),VLOOKUP(A3040,Studies!A:BR,6,FALSE),"")</f>
        <v>Plasma</v>
      </c>
      <c r="G3040" s="194">
        <v>109</v>
      </c>
      <c r="H3040" s="194" t="s">
        <v>60</v>
      </c>
      <c r="I3040" s="187">
        <v>5.0600699999999996</v>
      </c>
      <c r="J3040" s="187" t="s">
        <v>1090</v>
      </c>
      <c r="K3040" s="187" t="s">
        <v>116</v>
      </c>
      <c r="L3040" s="195"/>
      <c r="M3040" s="195"/>
      <c r="N3040" s="195"/>
      <c r="O3040" s="199"/>
      <c r="P3040" s="188"/>
      <c r="Q3040" s="174">
        <f>IF(ISNUMBER(VLOOKUP(A3040,NotghiID!A:A,1,FALSE)),1,0)</f>
        <v>1</v>
      </c>
    </row>
    <row r="3041" spans="1:17" ht="14.25" x14ac:dyDescent="0.2">
      <c r="A3041" s="189">
        <v>297</v>
      </c>
      <c r="B3041" s="232" t="str">
        <f>IF(AND(A3041&lt;&gt;"",ISNUMBER(A3041)),VLOOKUP(A3041,Studies!A:BR,2,FALSE),"")</f>
        <v>Kharasch 2011</v>
      </c>
      <c r="C3041" s="232" t="str">
        <f>IF(AND(A3041&lt;&gt;"",ISNUMBER(A3041)),VLOOKUP(A3041,Studies!A:BR,3,FALSE),"")</f>
        <v>https://www.ncbi.nlm.nih.gov/pubmed/21562488</v>
      </c>
      <c r="D3041" s="232" t="str">
        <f>IF(AND(A3041&lt;&gt;"",ISNUMBER(A3041)),VLOOKUP(A3041,Studies!A:BR,4,FALSE),"")</f>
        <v>iv with Perpetrator (Rifampicin @ 75 mg)</v>
      </c>
      <c r="E3041" s="206" t="str">
        <f>IF(AND(A3041&lt;&gt;"",ISNUMBER(A3041)),VLOOKUP(A3041,Studies!A:BR,5,FALSE),"")</f>
        <v>Midazolam</v>
      </c>
      <c r="F3041" s="207" t="str">
        <f>IF(AND(A3041&lt;&gt;"",ISNUMBER(A3041)),VLOOKUP(A3041,Studies!A:BR,6,FALSE),"")</f>
        <v>Plasma</v>
      </c>
      <c r="G3041" s="194">
        <v>109.08</v>
      </c>
      <c r="H3041" s="194" t="s">
        <v>60</v>
      </c>
      <c r="I3041" s="187">
        <v>4.7830690000000002</v>
      </c>
      <c r="J3041" s="187" t="s">
        <v>1090</v>
      </c>
      <c r="K3041" s="187" t="s">
        <v>116</v>
      </c>
      <c r="L3041" s="195"/>
      <c r="M3041" s="195"/>
      <c r="N3041" s="195"/>
      <c r="O3041" s="199"/>
      <c r="P3041" s="188"/>
      <c r="Q3041" s="174">
        <f>IF(ISNUMBER(VLOOKUP(A3041,NotghiID!A:A,1,FALSE)),1,0)</f>
        <v>1</v>
      </c>
    </row>
    <row r="3042" spans="1:17" ht="14.25" x14ac:dyDescent="0.2">
      <c r="A3042" s="189">
        <v>297</v>
      </c>
      <c r="B3042" s="232" t="str">
        <f>IF(AND(A3042&lt;&gt;"",ISNUMBER(A3042)),VLOOKUP(A3042,Studies!A:BR,2,FALSE),"")</f>
        <v>Kharasch 2011</v>
      </c>
      <c r="C3042" s="232" t="str">
        <f>IF(AND(A3042&lt;&gt;"",ISNUMBER(A3042)),VLOOKUP(A3042,Studies!A:BR,3,FALSE),"")</f>
        <v>https://www.ncbi.nlm.nih.gov/pubmed/21562488</v>
      </c>
      <c r="D3042" s="232" t="str">
        <f>IF(AND(A3042&lt;&gt;"",ISNUMBER(A3042)),VLOOKUP(A3042,Studies!A:BR,4,FALSE),"")</f>
        <v>iv with Perpetrator (Rifampicin @ 75 mg)</v>
      </c>
      <c r="E3042" s="206" t="str">
        <f>IF(AND(A3042&lt;&gt;"",ISNUMBER(A3042)),VLOOKUP(A3042,Studies!A:BR,5,FALSE),"")</f>
        <v>Midazolam</v>
      </c>
      <c r="F3042" s="207" t="str">
        <f>IF(AND(A3042&lt;&gt;"",ISNUMBER(A3042)),VLOOKUP(A3042,Studies!A:BR,6,FALSE),"")</f>
        <v>Plasma</v>
      </c>
      <c r="G3042" s="194">
        <v>109.17</v>
      </c>
      <c r="H3042" s="194" t="s">
        <v>60</v>
      </c>
      <c r="I3042" s="187">
        <v>4.4205550000000002</v>
      </c>
      <c r="J3042" s="187" t="s">
        <v>1090</v>
      </c>
      <c r="K3042" s="187" t="s">
        <v>116</v>
      </c>
      <c r="L3042" s="195"/>
      <c r="M3042" s="195"/>
      <c r="N3042" s="195"/>
      <c r="O3042" s="199"/>
      <c r="P3042" s="188"/>
      <c r="Q3042" s="174">
        <f>IF(ISNUMBER(VLOOKUP(A3042,NotghiID!A:A,1,FALSE)),1,0)</f>
        <v>1</v>
      </c>
    </row>
    <row r="3043" spans="1:17" ht="14.25" x14ac:dyDescent="0.2">
      <c r="A3043" s="189">
        <v>297</v>
      </c>
      <c r="B3043" s="232" t="str">
        <f>IF(AND(A3043&lt;&gt;"",ISNUMBER(A3043)),VLOOKUP(A3043,Studies!A:BR,2,FALSE),"")</f>
        <v>Kharasch 2011</v>
      </c>
      <c r="C3043" s="232" t="str">
        <f>IF(AND(A3043&lt;&gt;"",ISNUMBER(A3043)),VLOOKUP(A3043,Studies!A:BR,3,FALSE),"")</f>
        <v>https://www.ncbi.nlm.nih.gov/pubmed/21562488</v>
      </c>
      <c r="D3043" s="232" t="str">
        <f>IF(AND(A3043&lt;&gt;"",ISNUMBER(A3043)),VLOOKUP(A3043,Studies!A:BR,4,FALSE),"")</f>
        <v>iv with Perpetrator (Rifampicin @ 75 mg)</v>
      </c>
      <c r="E3043" s="206" t="str">
        <f>IF(AND(A3043&lt;&gt;"",ISNUMBER(A3043)),VLOOKUP(A3043,Studies!A:BR,5,FALSE),"")</f>
        <v>Midazolam</v>
      </c>
      <c r="F3043" s="207" t="str">
        <f>IF(AND(A3043&lt;&gt;"",ISNUMBER(A3043)),VLOOKUP(A3043,Studies!A:BR,6,FALSE),"")</f>
        <v>Plasma</v>
      </c>
      <c r="G3043" s="194">
        <v>109.25</v>
      </c>
      <c r="H3043" s="194" t="s">
        <v>60</v>
      </c>
      <c r="I3043" s="187">
        <v>4.2737280000000002</v>
      </c>
      <c r="J3043" s="187" t="s">
        <v>1090</v>
      </c>
      <c r="K3043" s="187" t="s">
        <v>116</v>
      </c>
      <c r="L3043" s="195"/>
      <c r="M3043" s="195"/>
      <c r="N3043" s="195"/>
      <c r="O3043" s="199"/>
      <c r="P3043" s="188"/>
      <c r="Q3043" s="174">
        <f>IF(ISNUMBER(VLOOKUP(A3043,NotghiID!A:A,1,FALSE)),1,0)</f>
        <v>1</v>
      </c>
    </row>
    <row r="3044" spans="1:17" ht="14.25" x14ac:dyDescent="0.2">
      <c r="A3044" s="189">
        <v>297</v>
      </c>
      <c r="B3044" s="232" t="str">
        <f>IF(AND(A3044&lt;&gt;"",ISNUMBER(A3044)),VLOOKUP(A3044,Studies!A:BR,2,FALSE),"")</f>
        <v>Kharasch 2011</v>
      </c>
      <c r="C3044" s="232" t="str">
        <f>IF(AND(A3044&lt;&gt;"",ISNUMBER(A3044)),VLOOKUP(A3044,Studies!A:BR,3,FALSE),"")</f>
        <v>https://www.ncbi.nlm.nih.gov/pubmed/21562488</v>
      </c>
      <c r="D3044" s="232" t="str">
        <f>IF(AND(A3044&lt;&gt;"",ISNUMBER(A3044)),VLOOKUP(A3044,Studies!A:BR,4,FALSE),"")</f>
        <v>iv with Perpetrator (Rifampicin @ 75 mg)</v>
      </c>
      <c r="E3044" s="206" t="str">
        <f>IF(AND(A3044&lt;&gt;"",ISNUMBER(A3044)),VLOOKUP(A3044,Studies!A:BR,5,FALSE),"")</f>
        <v>Midazolam</v>
      </c>
      <c r="F3044" s="207" t="str">
        <f>IF(AND(A3044&lt;&gt;"",ISNUMBER(A3044)),VLOOKUP(A3044,Studies!A:BR,6,FALSE),"")</f>
        <v>Plasma</v>
      </c>
      <c r="G3044" s="194">
        <v>109.5</v>
      </c>
      <c r="H3044" s="194" t="s">
        <v>60</v>
      </c>
      <c r="I3044" s="187">
        <v>3.4506209999999999</v>
      </c>
      <c r="J3044" s="187" t="s">
        <v>1090</v>
      </c>
      <c r="K3044" s="187" t="s">
        <v>116</v>
      </c>
      <c r="L3044" s="195"/>
      <c r="M3044" s="195"/>
      <c r="N3044" s="195"/>
      <c r="O3044" s="199"/>
      <c r="P3044" s="188"/>
      <c r="Q3044" s="174">
        <f>IF(ISNUMBER(VLOOKUP(A3044,NotghiID!A:A,1,FALSE)),1,0)</f>
        <v>1</v>
      </c>
    </row>
    <row r="3045" spans="1:17" ht="14.25" x14ac:dyDescent="0.2">
      <c r="A3045" s="189">
        <v>297</v>
      </c>
      <c r="B3045" s="232" t="str">
        <f>IF(AND(A3045&lt;&gt;"",ISNUMBER(A3045)),VLOOKUP(A3045,Studies!A:BR,2,FALSE),"")</f>
        <v>Kharasch 2011</v>
      </c>
      <c r="C3045" s="232" t="str">
        <f>IF(AND(A3045&lt;&gt;"",ISNUMBER(A3045)),VLOOKUP(A3045,Studies!A:BR,3,FALSE),"")</f>
        <v>https://www.ncbi.nlm.nih.gov/pubmed/21562488</v>
      </c>
      <c r="D3045" s="232" t="str">
        <f>IF(AND(A3045&lt;&gt;"",ISNUMBER(A3045)),VLOOKUP(A3045,Studies!A:BR,4,FALSE),"")</f>
        <v>iv with Perpetrator (Rifampicin @ 75 mg)</v>
      </c>
      <c r="E3045" s="206" t="str">
        <f>IF(AND(A3045&lt;&gt;"",ISNUMBER(A3045)),VLOOKUP(A3045,Studies!A:BR,5,FALSE),"")</f>
        <v>Midazolam</v>
      </c>
      <c r="F3045" s="207" t="str">
        <f>IF(AND(A3045&lt;&gt;"",ISNUMBER(A3045)),VLOOKUP(A3045,Studies!A:BR,6,FALSE),"")</f>
        <v>Plasma</v>
      </c>
      <c r="G3045" s="194">
        <v>109.75</v>
      </c>
      <c r="H3045" s="194" t="s">
        <v>60</v>
      </c>
      <c r="I3045" s="187">
        <v>3.0486499999999999</v>
      </c>
      <c r="J3045" s="187" t="s">
        <v>1090</v>
      </c>
      <c r="K3045" s="187" t="s">
        <v>116</v>
      </c>
      <c r="L3045" s="195"/>
      <c r="M3045" s="195"/>
      <c r="N3045" s="195"/>
      <c r="O3045" s="199"/>
      <c r="P3045" s="188"/>
      <c r="Q3045" s="174">
        <f>IF(ISNUMBER(VLOOKUP(A3045,NotghiID!A:A,1,FALSE)),1,0)</f>
        <v>1</v>
      </c>
    </row>
    <row r="3046" spans="1:17" ht="14.25" x14ac:dyDescent="0.2">
      <c r="A3046" s="189">
        <v>297</v>
      </c>
      <c r="B3046" s="232" t="str">
        <f>IF(AND(A3046&lt;&gt;"",ISNUMBER(A3046)),VLOOKUP(A3046,Studies!A:BR,2,FALSE),"")</f>
        <v>Kharasch 2011</v>
      </c>
      <c r="C3046" s="232" t="str">
        <f>IF(AND(A3046&lt;&gt;"",ISNUMBER(A3046)),VLOOKUP(A3046,Studies!A:BR,3,FALSE),"")</f>
        <v>https://www.ncbi.nlm.nih.gov/pubmed/21562488</v>
      </c>
      <c r="D3046" s="232" t="str">
        <f>IF(AND(A3046&lt;&gt;"",ISNUMBER(A3046)),VLOOKUP(A3046,Studies!A:BR,4,FALSE),"")</f>
        <v>iv with Perpetrator (Rifampicin @ 75 mg)</v>
      </c>
      <c r="E3046" s="206" t="str">
        <f>IF(AND(A3046&lt;&gt;"",ISNUMBER(A3046)),VLOOKUP(A3046,Studies!A:BR,5,FALSE),"")</f>
        <v>Midazolam</v>
      </c>
      <c r="F3046" s="207" t="str">
        <f>IF(AND(A3046&lt;&gt;"",ISNUMBER(A3046)),VLOOKUP(A3046,Studies!A:BR,6,FALSE),"")</f>
        <v>Plasma</v>
      </c>
      <c r="G3046" s="194">
        <v>110</v>
      </c>
      <c r="H3046" s="194" t="s">
        <v>60</v>
      </c>
      <c r="I3046" s="187">
        <v>2.7548490000000001</v>
      </c>
      <c r="J3046" s="187" t="s">
        <v>1090</v>
      </c>
      <c r="K3046" s="187" t="s">
        <v>116</v>
      </c>
      <c r="L3046" s="195"/>
      <c r="M3046" s="195"/>
      <c r="N3046" s="195"/>
      <c r="O3046" s="199"/>
      <c r="P3046" s="188"/>
      <c r="Q3046" s="174">
        <f>IF(ISNUMBER(VLOOKUP(A3046,NotghiID!A:A,1,FALSE)),1,0)</f>
        <v>1</v>
      </c>
    </row>
    <row r="3047" spans="1:17" ht="14.25" x14ac:dyDescent="0.2">
      <c r="A3047" s="189">
        <v>297</v>
      </c>
      <c r="B3047" s="232" t="str">
        <f>IF(AND(A3047&lt;&gt;"",ISNUMBER(A3047)),VLOOKUP(A3047,Studies!A:BR,2,FALSE),"")</f>
        <v>Kharasch 2011</v>
      </c>
      <c r="C3047" s="232" t="str">
        <f>IF(AND(A3047&lt;&gt;"",ISNUMBER(A3047)),VLOOKUP(A3047,Studies!A:BR,3,FALSE),"")</f>
        <v>https://www.ncbi.nlm.nih.gov/pubmed/21562488</v>
      </c>
      <c r="D3047" s="232" t="str">
        <f>IF(AND(A3047&lt;&gt;"",ISNUMBER(A3047)),VLOOKUP(A3047,Studies!A:BR,4,FALSE),"")</f>
        <v>iv with Perpetrator (Rifampicin @ 75 mg)</v>
      </c>
      <c r="E3047" s="206" t="str">
        <f>IF(AND(A3047&lt;&gt;"",ISNUMBER(A3047)),VLOOKUP(A3047,Studies!A:BR,5,FALSE),"")</f>
        <v>Midazolam</v>
      </c>
      <c r="F3047" s="207" t="str">
        <f>IF(AND(A3047&lt;&gt;"",ISNUMBER(A3047)),VLOOKUP(A3047,Studies!A:BR,6,FALSE),"")</f>
        <v>Plasma</v>
      </c>
      <c r="G3047" s="194">
        <v>110.5</v>
      </c>
      <c r="H3047" s="194" t="s">
        <v>60</v>
      </c>
      <c r="I3047" s="187">
        <v>2.19937</v>
      </c>
      <c r="J3047" s="187" t="s">
        <v>1090</v>
      </c>
      <c r="K3047" s="187" t="s">
        <v>116</v>
      </c>
      <c r="L3047" s="195"/>
      <c r="M3047" s="195"/>
      <c r="N3047" s="195"/>
      <c r="O3047" s="199"/>
      <c r="P3047" s="188"/>
      <c r="Q3047" s="174">
        <f>IF(ISNUMBER(VLOOKUP(A3047,NotghiID!A:A,1,FALSE)),1,0)</f>
        <v>1</v>
      </c>
    </row>
    <row r="3048" spans="1:17" ht="14.25" x14ac:dyDescent="0.2">
      <c r="A3048" s="189">
        <v>297</v>
      </c>
      <c r="B3048" s="232" t="str">
        <f>IF(AND(A3048&lt;&gt;"",ISNUMBER(A3048)),VLOOKUP(A3048,Studies!A:BR,2,FALSE),"")</f>
        <v>Kharasch 2011</v>
      </c>
      <c r="C3048" s="232" t="str">
        <f>IF(AND(A3048&lt;&gt;"",ISNUMBER(A3048)),VLOOKUP(A3048,Studies!A:BR,3,FALSE),"")</f>
        <v>https://www.ncbi.nlm.nih.gov/pubmed/21562488</v>
      </c>
      <c r="D3048" s="232" t="str">
        <f>IF(AND(A3048&lt;&gt;"",ISNUMBER(A3048)),VLOOKUP(A3048,Studies!A:BR,4,FALSE),"")</f>
        <v>iv with Perpetrator (Rifampicin @ 75 mg)</v>
      </c>
      <c r="E3048" s="206" t="str">
        <f>IF(AND(A3048&lt;&gt;"",ISNUMBER(A3048)),VLOOKUP(A3048,Studies!A:BR,5,FALSE),"")</f>
        <v>Midazolam</v>
      </c>
      <c r="F3048" s="207" t="str">
        <f>IF(AND(A3048&lt;&gt;"",ISNUMBER(A3048)),VLOOKUP(A3048,Studies!A:BR,6,FALSE),"")</f>
        <v>Plasma</v>
      </c>
      <c r="G3048" s="194">
        <v>111</v>
      </c>
      <c r="H3048" s="194" t="s">
        <v>60</v>
      </c>
      <c r="I3048" s="187">
        <v>1.9874149999999999</v>
      </c>
      <c r="J3048" s="187" t="s">
        <v>1090</v>
      </c>
      <c r="K3048" s="187" t="s">
        <v>116</v>
      </c>
      <c r="L3048" s="195"/>
      <c r="M3048" s="195"/>
      <c r="N3048" s="195"/>
      <c r="O3048" s="199"/>
      <c r="P3048" s="188"/>
      <c r="Q3048" s="174">
        <f>IF(ISNUMBER(VLOOKUP(A3048,NotghiID!A:A,1,FALSE)),1,0)</f>
        <v>1</v>
      </c>
    </row>
    <row r="3049" spans="1:17" ht="14.25" x14ac:dyDescent="0.2">
      <c r="A3049" s="189">
        <v>297</v>
      </c>
      <c r="B3049" s="232" t="str">
        <f>IF(AND(A3049&lt;&gt;"",ISNUMBER(A3049)),VLOOKUP(A3049,Studies!A:BR,2,FALSE),"")</f>
        <v>Kharasch 2011</v>
      </c>
      <c r="C3049" s="232" t="str">
        <f>IF(AND(A3049&lt;&gt;"",ISNUMBER(A3049)),VLOOKUP(A3049,Studies!A:BR,3,FALSE),"")</f>
        <v>https://www.ncbi.nlm.nih.gov/pubmed/21562488</v>
      </c>
      <c r="D3049" s="232" t="str">
        <f>IF(AND(A3049&lt;&gt;"",ISNUMBER(A3049)),VLOOKUP(A3049,Studies!A:BR,4,FALSE),"")</f>
        <v>iv with Perpetrator (Rifampicin @ 75 mg)</v>
      </c>
      <c r="E3049" s="206" t="str">
        <f>IF(AND(A3049&lt;&gt;"",ISNUMBER(A3049)),VLOOKUP(A3049,Studies!A:BR,5,FALSE),"")</f>
        <v>Midazolam</v>
      </c>
      <c r="F3049" s="207" t="str">
        <f>IF(AND(A3049&lt;&gt;"",ISNUMBER(A3049)),VLOOKUP(A3049,Studies!A:BR,6,FALSE),"")</f>
        <v>Plasma</v>
      </c>
      <c r="G3049" s="194">
        <v>111.5</v>
      </c>
      <c r="H3049" s="194" t="s">
        <v>60</v>
      </c>
      <c r="I3049" s="187">
        <v>1.4830270000000001</v>
      </c>
      <c r="J3049" s="187" t="s">
        <v>1090</v>
      </c>
      <c r="K3049" s="187" t="s">
        <v>116</v>
      </c>
      <c r="L3049" s="195"/>
      <c r="M3049" s="195"/>
      <c r="N3049" s="195"/>
      <c r="O3049" s="199"/>
      <c r="P3049" s="188"/>
      <c r="Q3049" s="174">
        <f>IF(ISNUMBER(VLOOKUP(A3049,NotghiID!A:A,1,FALSE)),1,0)</f>
        <v>1</v>
      </c>
    </row>
    <row r="3050" spans="1:17" ht="14.25" x14ac:dyDescent="0.2">
      <c r="A3050" s="189">
        <v>297</v>
      </c>
      <c r="B3050" s="232" t="str">
        <f>IF(AND(A3050&lt;&gt;"",ISNUMBER(A3050)),VLOOKUP(A3050,Studies!A:BR,2,FALSE),"")</f>
        <v>Kharasch 2011</v>
      </c>
      <c r="C3050" s="232" t="str">
        <f>IF(AND(A3050&lt;&gt;"",ISNUMBER(A3050)),VLOOKUP(A3050,Studies!A:BR,3,FALSE),"")</f>
        <v>https://www.ncbi.nlm.nih.gov/pubmed/21562488</v>
      </c>
      <c r="D3050" s="232" t="str">
        <f>IF(AND(A3050&lt;&gt;"",ISNUMBER(A3050)),VLOOKUP(A3050,Studies!A:BR,4,FALSE),"")</f>
        <v>iv with Perpetrator (Rifampicin @ 75 mg)</v>
      </c>
      <c r="E3050" s="206" t="str">
        <f>IF(AND(A3050&lt;&gt;"",ISNUMBER(A3050)),VLOOKUP(A3050,Studies!A:BR,5,FALSE),"")</f>
        <v>Midazolam</v>
      </c>
      <c r="F3050" s="207" t="str">
        <f>IF(AND(A3050&lt;&gt;"",ISNUMBER(A3050)),VLOOKUP(A3050,Studies!A:BR,6,FALSE),"")</f>
        <v>Plasma</v>
      </c>
      <c r="G3050" s="194">
        <v>112</v>
      </c>
      <c r="H3050" s="194" t="s">
        <v>60</v>
      </c>
      <c r="I3050" s="187">
        <v>1.1576299999999999</v>
      </c>
      <c r="J3050" s="187" t="s">
        <v>1090</v>
      </c>
      <c r="K3050" s="187" t="s">
        <v>116</v>
      </c>
      <c r="L3050" s="195"/>
      <c r="M3050" s="195"/>
      <c r="N3050" s="195"/>
      <c r="O3050" s="199"/>
      <c r="P3050" s="188"/>
      <c r="Q3050" s="174">
        <f>IF(ISNUMBER(VLOOKUP(A3050,NotghiID!A:A,1,FALSE)),1,0)</f>
        <v>1</v>
      </c>
    </row>
    <row r="3051" spans="1:17" ht="14.25" x14ac:dyDescent="0.2">
      <c r="A3051" s="189">
        <v>297</v>
      </c>
      <c r="B3051" s="232" t="str">
        <f>IF(AND(A3051&lt;&gt;"",ISNUMBER(A3051)),VLOOKUP(A3051,Studies!A:BR,2,FALSE),"")</f>
        <v>Kharasch 2011</v>
      </c>
      <c r="C3051" s="232" t="str">
        <f>IF(AND(A3051&lt;&gt;"",ISNUMBER(A3051)),VLOOKUP(A3051,Studies!A:BR,3,FALSE),"")</f>
        <v>https://www.ncbi.nlm.nih.gov/pubmed/21562488</v>
      </c>
      <c r="D3051" s="232" t="str">
        <f>IF(AND(A3051&lt;&gt;"",ISNUMBER(A3051)),VLOOKUP(A3051,Studies!A:BR,4,FALSE),"")</f>
        <v>iv with Perpetrator (Rifampicin @ 75 mg)</v>
      </c>
      <c r="E3051" s="206" t="str">
        <f>IF(AND(A3051&lt;&gt;"",ISNUMBER(A3051)),VLOOKUP(A3051,Studies!A:BR,5,FALSE),"")</f>
        <v>Midazolam</v>
      </c>
      <c r="F3051" s="207" t="str">
        <f>IF(AND(A3051&lt;&gt;"",ISNUMBER(A3051)),VLOOKUP(A3051,Studies!A:BR,6,FALSE),"")</f>
        <v>Plasma</v>
      </c>
      <c r="G3051" s="194">
        <v>113</v>
      </c>
      <c r="H3051" s="194" t="s">
        <v>60</v>
      </c>
      <c r="I3051" s="187">
        <v>0.9242089</v>
      </c>
      <c r="J3051" s="187" t="s">
        <v>1090</v>
      </c>
      <c r="K3051" s="187" t="s">
        <v>116</v>
      </c>
      <c r="L3051" s="195"/>
      <c r="M3051" s="195"/>
      <c r="N3051" s="195"/>
      <c r="O3051" s="199"/>
      <c r="P3051" s="188"/>
      <c r="Q3051" s="174">
        <f>IF(ISNUMBER(VLOOKUP(A3051,NotghiID!A:A,1,FALSE)),1,0)</f>
        <v>1</v>
      </c>
    </row>
    <row r="3052" spans="1:17" ht="14.25" x14ac:dyDescent="0.2">
      <c r="A3052" s="189">
        <v>297</v>
      </c>
      <c r="B3052" s="232" t="str">
        <f>IF(AND(A3052&lt;&gt;"",ISNUMBER(A3052)),VLOOKUP(A3052,Studies!A:BR,2,FALSE),"")</f>
        <v>Kharasch 2011</v>
      </c>
      <c r="C3052" s="232" t="str">
        <f>IF(AND(A3052&lt;&gt;"",ISNUMBER(A3052)),VLOOKUP(A3052,Studies!A:BR,3,FALSE),"")</f>
        <v>https://www.ncbi.nlm.nih.gov/pubmed/21562488</v>
      </c>
      <c r="D3052" s="232" t="str">
        <f>IF(AND(A3052&lt;&gt;"",ISNUMBER(A3052)),VLOOKUP(A3052,Studies!A:BR,4,FALSE),"")</f>
        <v>iv with Perpetrator (Rifampicin @ 75 mg)</v>
      </c>
      <c r="E3052" s="206" t="str">
        <f>IF(AND(A3052&lt;&gt;"",ISNUMBER(A3052)),VLOOKUP(A3052,Studies!A:BR,5,FALSE),"")</f>
        <v>Midazolam</v>
      </c>
      <c r="F3052" s="207" t="str">
        <f>IF(AND(A3052&lt;&gt;"",ISNUMBER(A3052)),VLOOKUP(A3052,Studies!A:BR,6,FALSE),"")</f>
        <v>Plasma</v>
      </c>
      <c r="G3052" s="194">
        <v>114</v>
      </c>
      <c r="H3052" s="194" t="s">
        <v>60</v>
      </c>
      <c r="I3052" s="187">
        <v>0.64460099999999998</v>
      </c>
      <c r="J3052" s="187" t="s">
        <v>1090</v>
      </c>
      <c r="K3052" s="187" t="s">
        <v>116</v>
      </c>
      <c r="L3052" s="195"/>
      <c r="M3052" s="195"/>
      <c r="N3052" s="195"/>
      <c r="O3052" s="199"/>
      <c r="P3052" s="188"/>
      <c r="Q3052" s="174">
        <f>IF(ISNUMBER(VLOOKUP(A3052,NotghiID!A:A,1,FALSE)),1,0)</f>
        <v>1</v>
      </c>
    </row>
    <row r="3053" spans="1:17" ht="14.25" x14ac:dyDescent="0.2">
      <c r="A3053" s="189">
        <v>298</v>
      </c>
      <c r="B3053" s="232" t="str">
        <f>IF(AND(A3053&lt;&gt;"",ISNUMBER(A3053)),VLOOKUP(A3053,Studies!A:BR,2,FALSE),"")</f>
        <v>Kharasch 2011</v>
      </c>
      <c r="C3053" s="232" t="str">
        <f>IF(AND(A3053&lt;&gt;"",ISNUMBER(A3053)),VLOOKUP(A3053,Studies!A:BR,3,FALSE),"")</f>
        <v>https://www.ncbi.nlm.nih.gov/pubmed/21562488</v>
      </c>
      <c r="D3053" s="232" t="str">
        <f>IF(AND(A3053&lt;&gt;"",ISNUMBER(A3053)),VLOOKUP(A3053,Studies!A:BR,4,FALSE),"")</f>
        <v>iv Control (Perpetrator Placebo)</v>
      </c>
      <c r="E3053" s="206" t="str">
        <f>IF(AND(A3053&lt;&gt;"",ISNUMBER(A3053)),VLOOKUP(A3053,Studies!A:BR,5,FALSE),"")</f>
        <v>Alfentanil</v>
      </c>
      <c r="F3053" s="207" t="str">
        <f>IF(AND(A3053&lt;&gt;"",ISNUMBER(A3053)),VLOOKUP(A3053,Studies!A:BR,6,FALSE),"")</f>
        <v>Plasma</v>
      </c>
      <c r="G3053" s="194">
        <v>0</v>
      </c>
      <c r="H3053" s="194" t="s">
        <v>60</v>
      </c>
      <c r="I3053" s="187">
        <v>101.4838</v>
      </c>
      <c r="J3053" s="187" t="s">
        <v>1090</v>
      </c>
      <c r="K3053" s="187" t="s">
        <v>116</v>
      </c>
      <c r="L3053" s="195">
        <v>38.836829999999999</v>
      </c>
      <c r="M3053" s="195" t="s">
        <v>1090</v>
      </c>
      <c r="N3053" s="195" t="s">
        <v>117</v>
      </c>
      <c r="O3053" s="199"/>
      <c r="P3053" s="188"/>
      <c r="Q3053" s="174">
        <f>IF(ISNUMBER(VLOOKUP(A3053,NotghiID!A:A,1,FALSE)),1,0)</f>
        <v>1</v>
      </c>
    </row>
    <row r="3054" spans="1:17" ht="14.25" x14ac:dyDescent="0.2">
      <c r="A3054" s="189">
        <v>298</v>
      </c>
      <c r="B3054" s="232" t="str">
        <f>IF(AND(A3054&lt;&gt;"",ISNUMBER(A3054)),VLOOKUP(A3054,Studies!A:BR,2,FALSE),"")</f>
        <v>Kharasch 2011</v>
      </c>
      <c r="C3054" s="232" t="str">
        <f>IF(AND(A3054&lt;&gt;"",ISNUMBER(A3054)),VLOOKUP(A3054,Studies!A:BR,3,FALSE),"")</f>
        <v>https://www.ncbi.nlm.nih.gov/pubmed/21562488</v>
      </c>
      <c r="D3054" s="232" t="str">
        <f>IF(AND(A3054&lt;&gt;"",ISNUMBER(A3054)),VLOOKUP(A3054,Studies!A:BR,4,FALSE),"")</f>
        <v>iv Control (Perpetrator Placebo)</v>
      </c>
      <c r="E3054" s="206" t="str">
        <f>IF(AND(A3054&lt;&gt;"",ISNUMBER(A3054)),VLOOKUP(A3054,Studies!A:BR,5,FALSE),"")</f>
        <v>Alfentanil</v>
      </c>
      <c r="F3054" s="207" t="str">
        <f>IF(AND(A3054&lt;&gt;"",ISNUMBER(A3054)),VLOOKUP(A3054,Studies!A:BR,6,FALSE),"")</f>
        <v>Plasma</v>
      </c>
      <c r="G3054" s="194">
        <v>0.08</v>
      </c>
      <c r="H3054" s="194" t="s">
        <v>60</v>
      </c>
      <c r="I3054" s="187">
        <v>69.196690000000004</v>
      </c>
      <c r="J3054" s="187" t="s">
        <v>1090</v>
      </c>
      <c r="K3054" s="187" t="s">
        <v>116</v>
      </c>
      <c r="L3054" s="195">
        <v>5.288208</v>
      </c>
      <c r="M3054" s="195" t="s">
        <v>1090</v>
      </c>
      <c r="N3054" s="195" t="s">
        <v>117</v>
      </c>
      <c r="O3054" s="199"/>
      <c r="P3054" s="188"/>
      <c r="Q3054" s="174">
        <f>IF(ISNUMBER(VLOOKUP(A3054,NotghiID!A:A,1,FALSE)),1,0)</f>
        <v>1</v>
      </c>
    </row>
    <row r="3055" spans="1:17" ht="14.25" x14ac:dyDescent="0.2">
      <c r="A3055" s="189">
        <v>298</v>
      </c>
      <c r="B3055" s="232" t="str">
        <f>IF(AND(A3055&lt;&gt;"",ISNUMBER(A3055)),VLOOKUP(A3055,Studies!A:BR,2,FALSE),"")</f>
        <v>Kharasch 2011</v>
      </c>
      <c r="C3055" s="232" t="str">
        <f>IF(AND(A3055&lt;&gt;"",ISNUMBER(A3055)),VLOOKUP(A3055,Studies!A:BR,3,FALSE),"")</f>
        <v>https://www.ncbi.nlm.nih.gov/pubmed/21562488</v>
      </c>
      <c r="D3055" s="232" t="str">
        <f>IF(AND(A3055&lt;&gt;"",ISNUMBER(A3055)),VLOOKUP(A3055,Studies!A:BR,4,FALSE),"")</f>
        <v>iv Control (Perpetrator Placebo)</v>
      </c>
      <c r="E3055" s="206" t="str">
        <f>IF(AND(A3055&lt;&gt;"",ISNUMBER(A3055)),VLOOKUP(A3055,Studies!A:BR,5,FALSE),"")</f>
        <v>Alfentanil</v>
      </c>
      <c r="F3055" s="207" t="str">
        <f>IF(AND(A3055&lt;&gt;"",ISNUMBER(A3055)),VLOOKUP(A3055,Studies!A:BR,6,FALSE),"")</f>
        <v>Plasma</v>
      </c>
      <c r="G3055" s="194">
        <v>0.17</v>
      </c>
      <c r="H3055" s="194" t="s">
        <v>60</v>
      </c>
      <c r="I3055" s="187">
        <v>53.869540000000001</v>
      </c>
      <c r="J3055" s="187" t="s">
        <v>1090</v>
      </c>
      <c r="K3055" s="187" t="s">
        <v>116</v>
      </c>
      <c r="L3055" s="195">
        <v>8.5483630000000002</v>
      </c>
      <c r="M3055" s="195" t="s">
        <v>1090</v>
      </c>
      <c r="N3055" s="195" t="s">
        <v>117</v>
      </c>
      <c r="O3055" s="199"/>
      <c r="P3055" s="188"/>
      <c r="Q3055" s="174">
        <f>IF(ISNUMBER(VLOOKUP(A3055,NotghiID!A:A,1,FALSE)),1,0)</f>
        <v>1</v>
      </c>
    </row>
    <row r="3056" spans="1:17" ht="14.25" x14ac:dyDescent="0.2">
      <c r="A3056" s="189">
        <v>298</v>
      </c>
      <c r="B3056" s="232" t="str">
        <f>IF(AND(A3056&lt;&gt;"",ISNUMBER(A3056)),VLOOKUP(A3056,Studies!A:BR,2,FALSE),"")</f>
        <v>Kharasch 2011</v>
      </c>
      <c r="C3056" s="232" t="str">
        <f>IF(AND(A3056&lt;&gt;"",ISNUMBER(A3056)),VLOOKUP(A3056,Studies!A:BR,3,FALSE),"")</f>
        <v>https://www.ncbi.nlm.nih.gov/pubmed/21562488</v>
      </c>
      <c r="D3056" s="232" t="str">
        <f>IF(AND(A3056&lt;&gt;"",ISNUMBER(A3056)),VLOOKUP(A3056,Studies!A:BR,4,FALSE),"")</f>
        <v>iv Control (Perpetrator Placebo)</v>
      </c>
      <c r="E3056" s="206" t="str">
        <f>IF(AND(A3056&lt;&gt;"",ISNUMBER(A3056)),VLOOKUP(A3056,Studies!A:BR,5,FALSE),"")</f>
        <v>Alfentanil</v>
      </c>
      <c r="F3056" s="207" t="str">
        <f>IF(AND(A3056&lt;&gt;"",ISNUMBER(A3056)),VLOOKUP(A3056,Studies!A:BR,6,FALSE),"")</f>
        <v>Plasma</v>
      </c>
      <c r="G3056" s="194">
        <v>0.25</v>
      </c>
      <c r="H3056" s="194" t="s">
        <v>60</v>
      </c>
      <c r="I3056" s="187">
        <v>43.831969999999998</v>
      </c>
      <c r="J3056" s="187" t="s">
        <v>1090</v>
      </c>
      <c r="K3056" s="187" t="s">
        <v>116</v>
      </c>
      <c r="L3056" s="195">
        <v>6.2129899999999996</v>
      </c>
      <c r="M3056" s="195" t="s">
        <v>1090</v>
      </c>
      <c r="N3056" s="195" t="s">
        <v>117</v>
      </c>
      <c r="O3056" s="199"/>
      <c r="P3056" s="188"/>
      <c r="Q3056" s="174">
        <f>IF(ISNUMBER(VLOOKUP(A3056,NotghiID!A:A,1,FALSE)),1,0)</f>
        <v>1</v>
      </c>
    </row>
    <row r="3057" spans="1:17" ht="14.25" x14ac:dyDescent="0.2">
      <c r="A3057" s="189">
        <v>298</v>
      </c>
      <c r="B3057" s="232" t="str">
        <f>IF(AND(A3057&lt;&gt;"",ISNUMBER(A3057)),VLOOKUP(A3057,Studies!A:BR,2,FALSE),"")</f>
        <v>Kharasch 2011</v>
      </c>
      <c r="C3057" s="232" t="str">
        <f>IF(AND(A3057&lt;&gt;"",ISNUMBER(A3057)),VLOOKUP(A3057,Studies!A:BR,3,FALSE),"")</f>
        <v>https://www.ncbi.nlm.nih.gov/pubmed/21562488</v>
      </c>
      <c r="D3057" s="232" t="str">
        <f>IF(AND(A3057&lt;&gt;"",ISNUMBER(A3057)),VLOOKUP(A3057,Studies!A:BR,4,FALSE),"")</f>
        <v>iv Control (Perpetrator Placebo)</v>
      </c>
      <c r="E3057" s="206" t="str">
        <f>IF(AND(A3057&lt;&gt;"",ISNUMBER(A3057)),VLOOKUP(A3057,Studies!A:BR,5,FALSE),"")</f>
        <v>Alfentanil</v>
      </c>
      <c r="F3057" s="207" t="str">
        <f>IF(AND(A3057&lt;&gt;"",ISNUMBER(A3057)),VLOOKUP(A3057,Studies!A:BR,6,FALSE),"")</f>
        <v>Plasma</v>
      </c>
      <c r="G3057" s="194">
        <v>0.5</v>
      </c>
      <c r="H3057" s="194" t="s">
        <v>60</v>
      </c>
      <c r="I3057" s="187">
        <v>30.330269999999999</v>
      </c>
      <c r="J3057" s="187" t="s">
        <v>1090</v>
      </c>
      <c r="K3057" s="187" t="s">
        <v>116</v>
      </c>
      <c r="L3057" s="195">
        <v>6.945665</v>
      </c>
      <c r="M3057" s="195" t="s">
        <v>1090</v>
      </c>
      <c r="N3057" s="195" t="s">
        <v>117</v>
      </c>
      <c r="O3057" s="199"/>
      <c r="P3057" s="188"/>
      <c r="Q3057" s="174">
        <f>IF(ISNUMBER(VLOOKUP(A3057,NotghiID!A:A,1,FALSE)),1,0)</f>
        <v>1</v>
      </c>
    </row>
    <row r="3058" spans="1:17" ht="14.25" x14ac:dyDescent="0.2">
      <c r="A3058" s="189">
        <v>298</v>
      </c>
      <c r="B3058" s="232" t="str">
        <f>IF(AND(A3058&lt;&gt;"",ISNUMBER(A3058)),VLOOKUP(A3058,Studies!A:BR,2,FALSE),"")</f>
        <v>Kharasch 2011</v>
      </c>
      <c r="C3058" s="232" t="str">
        <f>IF(AND(A3058&lt;&gt;"",ISNUMBER(A3058)),VLOOKUP(A3058,Studies!A:BR,3,FALSE),"")</f>
        <v>https://www.ncbi.nlm.nih.gov/pubmed/21562488</v>
      </c>
      <c r="D3058" s="232" t="str">
        <f>IF(AND(A3058&lt;&gt;"",ISNUMBER(A3058)),VLOOKUP(A3058,Studies!A:BR,4,FALSE),"")</f>
        <v>iv Control (Perpetrator Placebo)</v>
      </c>
      <c r="E3058" s="206" t="str">
        <f>IF(AND(A3058&lt;&gt;"",ISNUMBER(A3058)),VLOOKUP(A3058,Studies!A:BR,5,FALSE),"")</f>
        <v>Alfentanil</v>
      </c>
      <c r="F3058" s="207" t="str">
        <f>IF(AND(A3058&lt;&gt;"",ISNUMBER(A3058)),VLOOKUP(A3058,Studies!A:BR,6,FALSE),"")</f>
        <v>Plasma</v>
      </c>
      <c r="G3058" s="194">
        <v>0.75</v>
      </c>
      <c r="H3058" s="194" t="s">
        <v>60</v>
      </c>
      <c r="I3058" s="187">
        <v>23.612089999999998</v>
      </c>
      <c r="J3058" s="187" t="s">
        <v>1090</v>
      </c>
      <c r="K3058" s="187" t="s">
        <v>116</v>
      </c>
      <c r="L3058" s="195">
        <v>5.8377650000000001</v>
      </c>
      <c r="M3058" s="195" t="s">
        <v>1090</v>
      </c>
      <c r="N3058" s="195" t="s">
        <v>117</v>
      </c>
      <c r="O3058" s="199"/>
      <c r="P3058" s="188"/>
      <c r="Q3058" s="174">
        <f>IF(ISNUMBER(VLOOKUP(A3058,NotghiID!A:A,1,FALSE)),1,0)</f>
        <v>1</v>
      </c>
    </row>
    <row r="3059" spans="1:17" ht="14.25" x14ac:dyDescent="0.2">
      <c r="A3059" s="189">
        <v>298</v>
      </c>
      <c r="B3059" s="232" t="str">
        <f>IF(AND(A3059&lt;&gt;"",ISNUMBER(A3059)),VLOOKUP(A3059,Studies!A:BR,2,FALSE),"")</f>
        <v>Kharasch 2011</v>
      </c>
      <c r="C3059" s="232" t="str">
        <f>IF(AND(A3059&lt;&gt;"",ISNUMBER(A3059)),VLOOKUP(A3059,Studies!A:BR,3,FALSE),"")</f>
        <v>https://www.ncbi.nlm.nih.gov/pubmed/21562488</v>
      </c>
      <c r="D3059" s="232" t="str">
        <f>IF(AND(A3059&lt;&gt;"",ISNUMBER(A3059)),VLOOKUP(A3059,Studies!A:BR,4,FALSE),"")</f>
        <v>iv Control (Perpetrator Placebo)</v>
      </c>
      <c r="E3059" s="206" t="str">
        <f>IF(AND(A3059&lt;&gt;"",ISNUMBER(A3059)),VLOOKUP(A3059,Studies!A:BR,5,FALSE),"")</f>
        <v>Alfentanil</v>
      </c>
      <c r="F3059" s="207" t="str">
        <f>IF(AND(A3059&lt;&gt;"",ISNUMBER(A3059)),VLOOKUP(A3059,Studies!A:BR,6,FALSE),"")</f>
        <v>Plasma</v>
      </c>
      <c r="G3059" s="194">
        <v>1</v>
      </c>
      <c r="H3059" s="194" t="s">
        <v>60</v>
      </c>
      <c r="I3059" s="187">
        <v>19.78679</v>
      </c>
      <c r="J3059" s="187" t="s">
        <v>1090</v>
      </c>
      <c r="K3059" s="187" t="s">
        <v>116</v>
      </c>
      <c r="L3059" s="195">
        <v>6.0069220000000003</v>
      </c>
      <c r="M3059" s="195" t="s">
        <v>1090</v>
      </c>
      <c r="N3059" s="195" t="s">
        <v>117</v>
      </c>
      <c r="O3059" s="199"/>
      <c r="P3059" s="188"/>
      <c r="Q3059" s="174">
        <f>IF(ISNUMBER(VLOOKUP(A3059,NotghiID!A:A,1,FALSE)),1,0)</f>
        <v>1</v>
      </c>
    </row>
    <row r="3060" spans="1:17" ht="14.25" x14ac:dyDescent="0.2">
      <c r="A3060" s="189">
        <v>298</v>
      </c>
      <c r="B3060" s="232" t="str">
        <f>IF(AND(A3060&lt;&gt;"",ISNUMBER(A3060)),VLOOKUP(A3060,Studies!A:BR,2,FALSE),"")</f>
        <v>Kharasch 2011</v>
      </c>
      <c r="C3060" s="232" t="str">
        <f>IF(AND(A3060&lt;&gt;"",ISNUMBER(A3060)),VLOOKUP(A3060,Studies!A:BR,3,FALSE),"")</f>
        <v>https://www.ncbi.nlm.nih.gov/pubmed/21562488</v>
      </c>
      <c r="D3060" s="232" t="str">
        <f>IF(AND(A3060&lt;&gt;"",ISNUMBER(A3060)),VLOOKUP(A3060,Studies!A:BR,4,FALSE),"")</f>
        <v>iv Control (Perpetrator Placebo)</v>
      </c>
      <c r="E3060" s="206" t="str">
        <f>IF(AND(A3060&lt;&gt;"",ISNUMBER(A3060)),VLOOKUP(A3060,Studies!A:BR,5,FALSE),"")</f>
        <v>Alfentanil</v>
      </c>
      <c r="F3060" s="207" t="str">
        <f>IF(AND(A3060&lt;&gt;"",ISNUMBER(A3060)),VLOOKUP(A3060,Studies!A:BR,6,FALSE),"")</f>
        <v>Plasma</v>
      </c>
      <c r="G3060" s="194">
        <v>1.5</v>
      </c>
      <c r="H3060" s="194" t="s">
        <v>60</v>
      </c>
      <c r="I3060" s="187">
        <v>14.31035</v>
      </c>
      <c r="J3060" s="187" t="s">
        <v>1090</v>
      </c>
      <c r="K3060" s="187" t="s">
        <v>116</v>
      </c>
      <c r="L3060" s="195">
        <v>5.187138</v>
      </c>
      <c r="M3060" s="195" t="s">
        <v>1090</v>
      </c>
      <c r="N3060" s="195" t="s">
        <v>117</v>
      </c>
      <c r="O3060" s="199"/>
      <c r="P3060" s="188"/>
      <c r="Q3060" s="174">
        <f>IF(ISNUMBER(VLOOKUP(A3060,NotghiID!A:A,1,FALSE)),1,0)</f>
        <v>1</v>
      </c>
    </row>
    <row r="3061" spans="1:17" ht="14.25" x14ac:dyDescent="0.2">
      <c r="A3061" s="189">
        <v>298</v>
      </c>
      <c r="B3061" s="232" t="str">
        <f>IF(AND(A3061&lt;&gt;"",ISNUMBER(A3061)),VLOOKUP(A3061,Studies!A:BR,2,FALSE),"")</f>
        <v>Kharasch 2011</v>
      </c>
      <c r="C3061" s="232" t="str">
        <f>IF(AND(A3061&lt;&gt;"",ISNUMBER(A3061)),VLOOKUP(A3061,Studies!A:BR,3,FALSE),"")</f>
        <v>https://www.ncbi.nlm.nih.gov/pubmed/21562488</v>
      </c>
      <c r="D3061" s="232" t="str">
        <f>IF(AND(A3061&lt;&gt;"",ISNUMBER(A3061)),VLOOKUP(A3061,Studies!A:BR,4,FALSE),"")</f>
        <v>iv Control (Perpetrator Placebo)</v>
      </c>
      <c r="E3061" s="206" t="str">
        <f>IF(AND(A3061&lt;&gt;"",ISNUMBER(A3061)),VLOOKUP(A3061,Studies!A:BR,5,FALSE),"")</f>
        <v>Alfentanil</v>
      </c>
      <c r="F3061" s="207" t="str">
        <f>IF(AND(A3061&lt;&gt;"",ISNUMBER(A3061)),VLOOKUP(A3061,Studies!A:BR,6,FALSE),"")</f>
        <v>Plasma</v>
      </c>
      <c r="G3061" s="194">
        <v>2</v>
      </c>
      <c r="H3061" s="194" t="s">
        <v>60</v>
      </c>
      <c r="I3061" s="187">
        <v>11.643890000000001</v>
      </c>
      <c r="J3061" s="187" t="s">
        <v>1090</v>
      </c>
      <c r="K3061" s="187" t="s">
        <v>116</v>
      </c>
      <c r="L3061" s="195">
        <v>4.9373189999999996</v>
      </c>
      <c r="M3061" s="195" t="s">
        <v>1090</v>
      </c>
      <c r="N3061" s="195" t="s">
        <v>117</v>
      </c>
      <c r="O3061" s="199"/>
      <c r="P3061" s="188"/>
      <c r="Q3061" s="174">
        <f>IF(ISNUMBER(VLOOKUP(A3061,NotghiID!A:A,1,FALSE)),1,0)</f>
        <v>1</v>
      </c>
    </row>
    <row r="3062" spans="1:17" ht="14.25" x14ac:dyDescent="0.2">
      <c r="A3062" s="189">
        <v>298</v>
      </c>
      <c r="B3062" s="232" t="str">
        <f>IF(AND(A3062&lt;&gt;"",ISNUMBER(A3062)),VLOOKUP(A3062,Studies!A:BR,2,FALSE),"")</f>
        <v>Kharasch 2011</v>
      </c>
      <c r="C3062" s="232" t="str">
        <f>IF(AND(A3062&lt;&gt;"",ISNUMBER(A3062)),VLOOKUP(A3062,Studies!A:BR,3,FALSE),"")</f>
        <v>https://www.ncbi.nlm.nih.gov/pubmed/21562488</v>
      </c>
      <c r="D3062" s="232" t="str">
        <f>IF(AND(A3062&lt;&gt;"",ISNUMBER(A3062)),VLOOKUP(A3062,Studies!A:BR,4,FALSE),"")</f>
        <v>iv Control (Perpetrator Placebo)</v>
      </c>
      <c r="E3062" s="206" t="str">
        <f>IF(AND(A3062&lt;&gt;"",ISNUMBER(A3062)),VLOOKUP(A3062,Studies!A:BR,5,FALSE),"")</f>
        <v>Alfentanil</v>
      </c>
      <c r="F3062" s="207" t="str">
        <f>IF(AND(A3062&lt;&gt;"",ISNUMBER(A3062)),VLOOKUP(A3062,Studies!A:BR,6,FALSE),"")</f>
        <v>Plasma</v>
      </c>
      <c r="G3062" s="194">
        <v>3</v>
      </c>
      <c r="H3062" s="194" t="s">
        <v>60</v>
      </c>
      <c r="I3062" s="187">
        <v>7.2678719999999997</v>
      </c>
      <c r="J3062" s="187" t="s">
        <v>1090</v>
      </c>
      <c r="K3062" s="187" t="s">
        <v>116</v>
      </c>
      <c r="L3062" s="195">
        <v>3.872722</v>
      </c>
      <c r="M3062" s="195" t="s">
        <v>1090</v>
      </c>
      <c r="N3062" s="195" t="s">
        <v>117</v>
      </c>
      <c r="O3062" s="199"/>
      <c r="P3062" s="188"/>
      <c r="Q3062" s="174">
        <f>IF(ISNUMBER(VLOOKUP(A3062,NotghiID!A:A,1,FALSE)),1,0)</f>
        <v>1</v>
      </c>
    </row>
    <row r="3063" spans="1:17" ht="14.25" x14ac:dyDescent="0.2">
      <c r="A3063" s="189">
        <v>298</v>
      </c>
      <c r="B3063" s="232" t="str">
        <f>IF(AND(A3063&lt;&gt;"",ISNUMBER(A3063)),VLOOKUP(A3063,Studies!A:BR,2,FALSE),"")</f>
        <v>Kharasch 2011</v>
      </c>
      <c r="C3063" s="232" t="str">
        <f>IF(AND(A3063&lt;&gt;"",ISNUMBER(A3063)),VLOOKUP(A3063,Studies!A:BR,3,FALSE),"")</f>
        <v>https://www.ncbi.nlm.nih.gov/pubmed/21562488</v>
      </c>
      <c r="D3063" s="232" t="str">
        <f>IF(AND(A3063&lt;&gt;"",ISNUMBER(A3063)),VLOOKUP(A3063,Studies!A:BR,4,FALSE),"")</f>
        <v>iv Control (Perpetrator Placebo)</v>
      </c>
      <c r="E3063" s="206" t="str">
        <f>IF(AND(A3063&lt;&gt;"",ISNUMBER(A3063)),VLOOKUP(A3063,Studies!A:BR,5,FALSE),"")</f>
        <v>Alfentanil</v>
      </c>
      <c r="F3063" s="207" t="str">
        <f>IF(AND(A3063&lt;&gt;"",ISNUMBER(A3063)),VLOOKUP(A3063,Studies!A:BR,6,FALSE),"")</f>
        <v>Plasma</v>
      </c>
      <c r="G3063" s="194">
        <v>4</v>
      </c>
      <c r="H3063" s="194" t="s">
        <v>60</v>
      </c>
      <c r="I3063" s="187">
        <v>4.5364529999999998</v>
      </c>
      <c r="J3063" s="187" t="s">
        <v>1090</v>
      </c>
      <c r="K3063" s="187" t="s">
        <v>116</v>
      </c>
      <c r="L3063" s="195">
        <v>3.172469</v>
      </c>
      <c r="M3063" s="195" t="s">
        <v>1090</v>
      </c>
      <c r="N3063" s="195" t="s">
        <v>117</v>
      </c>
      <c r="O3063" s="199"/>
      <c r="P3063" s="188"/>
      <c r="Q3063" s="174">
        <f>IF(ISNUMBER(VLOOKUP(A3063,NotghiID!A:A,1,FALSE)),1,0)</f>
        <v>1</v>
      </c>
    </row>
    <row r="3064" spans="1:17" ht="14.25" x14ac:dyDescent="0.2">
      <c r="A3064" s="189">
        <v>298</v>
      </c>
      <c r="B3064" s="232" t="str">
        <f>IF(AND(A3064&lt;&gt;"",ISNUMBER(A3064)),VLOOKUP(A3064,Studies!A:BR,2,FALSE),"")</f>
        <v>Kharasch 2011</v>
      </c>
      <c r="C3064" s="232" t="str">
        <f>IF(AND(A3064&lt;&gt;"",ISNUMBER(A3064)),VLOOKUP(A3064,Studies!A:BR,3,FALSE),"")</f>
        <v>https://www.ncbi.nlm.nih.gov/pubmed/21562488</v>
      </c>
      <c r="D3064" s="232" t="str">
        <f>IF(AND(A3064&lt;&gt;"",ISNUMBER(A3064)),VLOOKUP(A3064,Studies!A:BR,4,FALSE),"")</f>
        <v>iv Control (Perpetrator Placebo)</v>
      </c>
      <c r="E3064" s="206" t="str">
        <f>IF(AND(A3064&lt;&gt;"",ISNUMBER(A3064)),VLOOKUP(A3064,Studies!A:BR,5,FALSE),"")</f>
        <v>Alfentanil</v>
      </c>
      <c r="F3064" s="207" t="str">
        <f>IF(AND(A3064&lt;&gt;"",ISNUMBER(A3064)),VLOOKUP(A3064,Studies!A:BR,6,FALSE),"")</f>
        <v>Plasma</v>
      </c>
      <c r="G3064" s="194">
        <v>5</v>
      </c>
      <c r="H3064" s="194" t="s">
        <v>60</v>
      </c>
      <c r="I3064" s="187">
        <v>2.8735729999999999</v>
      </c>
      <c r="J3064" s="187" t="s">
        <v>1090</v>
      </c>
      <c r="K3064" s="187" t="s">
        <v>116</v>
      </c>
      <c r="L3064" s="195">
        <v>2.3059020000000001</v>
      </c>
      <c r="M3064" s="195" t="s">
        <v>1090</v>
      </c>
      <c r="N3064" s="195" t="s">
        <v>117</v>
      </c>
      <c r="O3064" s="199"/>
      <c r="P3064" s="188"/>
      <c r="Q3064" s="174">
        <f>IF(ISNUMBER(VLOOKUP(A3064,NotghiID!A:A,1,FALSE)),1,0)</f>
        <v>1</v>
      </c>
    </row>
    <row r="3065" spans="1:17" ht="14.25" x14ac:dyDescent="0.2">
      <c r="A3065" s="189">
        <v>298</v>
      </c>
      <c r="B3065" s="232" t="str">
        <f>IF(AND(A3065&lt;&gt;"",ISNUMBER(A3065)),VLOOKUP(A3065,Studies!A:BR,2,FALSE),"")</f>
        <v>Kharasch 2011</v>
      </c>
      <c r="C3065" s="232" t="str">
        <f>IF(AND(A3065&lt;&gt;"",ISNUMBER(A3065)),VLOOKUP(A3065,Studies!A:BR,3,FALSE),"")</f>
        <v>https://www.ncbi.nlm.nih.gov/pubmed/21562488</v>
      </c>
      <c r="D3065" s="232" t="str">
        <f>IF(AND(A3065&lt;&gt;"",ISNUMBER(A3065)),VLOOKUP(A3065,Studies!A:BR,4,FALSE),"")</f>
        <v>iv Control (Perpetrator Placebo)</v>
      </c>
      <c r="E3065" s="206" t="str">
        <f>IF(AND(A3065&lt;&gt;"",ISNUMBER(A3065)),VLOOKUP(A3065,Studies!A:BR,5,FALSE),"")</f>
        <v>Alfentanil</v>
      </c>
      <c r="F3065" s="207" t="str">
        <f>IF(AND(A3065&lt;&gt;"",ISNUMBER(A3065)),VLOOKUP(A3065,Studies!A:BR,6,FALSE),"")</f>
        <v>Plasma</v>
      </c>
      <c r="G3065" s="194">
        <v>6</v>
      </c>
      <c r="H3065" s="194" t="s">
        <v>60</v>
      </c>
      <c r="I3065" s="187">
        <v>2.4080370000000002</v>
      </c>
      <c r="J3065" s="187" t="s">
        <v>1090</v>
      </c>
      <c r="K3065" s="187" t="s">
        <v>116</v>
      </c>
      <c r="L3065" s="195">
        <v>2.6957100000000001</v>
      </c>
      <c r="M3065" s="195" t="s">
        <v>1090</v>
      </c>
      <c r="N3065" s="195" t="s">
        <v>117</v>
      </c>
      <c r="O3065" s="199"/>
      <c r="P3065" s="188"/>
      <c r="Q3065" s="174">
        <f>IF(ISNUMBER(VLOOKUP(A3065,NotghiID!A:A,1,FALSE)),1,0)</f>
        <v>1</v>
      </c>
    </row>
    <row r="3066" spans="1:17" ht="14.25" x14ac:dyDescent="0.2">
      <c r="A3066" s="189">
        <v>298</v>
      </c>
      <c r="B3066" s="232" t="str">
        <f>IF(AND(A3066&lt;&gt;"",ISNUMBER(A3066)),VLOOKUP(A3066,Studies!A:BR,2,FALSE),"")</f>
        <v>Kharasch 2011</v>
      </c>
      <c r="C3066" s="232" t="str">
        <f>IF(AND(A3066&lt;&gt;"",ISNUMBER(A3066)),VLOOKUP(A3066,Studies!A:BR,3,FALSE),"")</f>
        <v>https://www.ncbi.nlm.nih.gov/pubmed/21562488</v>
      </c>
      <c r="D3066" s="232" t="str">
        <f>IF(AND(A3066&lt;&gt;"",ISNUMBER(A3066)),VLOOKUP(A3066,Studies!A:BR,4,FALSE),"")</f>
        <v>iv Control (Perpetrator Placebo)</v>
      </c>
      <c r="E3066" s="206" t="str">
        <f>IF(AND(A3066&lt;&gt;"",ISNUMBER(A3066)),VLOOKUP(A3066,Studies!A:BR,5,FALSE),"")</f>
        <v>Alfentanil</v>
      </c>
      <c r="F3066" s="207" t="str">
        <f>IF(AND(A3066&lt;&gt;"",ISNUMBER(A3066)),VLOOKUP(A3066,Studies!A:BR,6,FALSE),"")</f>
        <v>Plasma</v>
      </c>
      <c r="G3066" s="194">
        <v>7</v>
      </c>
      <c r="H3066" s="194" t="s">
        <v>60</v>
      </c>
      <c r="I3066" s="187">
        <v>1.4170529999999999</v>
      </c>
      <c r="J3066" s="187" t="s">
        <v>1090</v>
      </c>
      <c r="K3066" s="187" t="s">
        <v>116</v>
      </c>
      <c r="L3066" s="195">
        <v>1.4991570000000001</v>
      </c>
      <c r="M3066" s="195" t="s">
        <v>1090</v>
      </c>
      <c r="N3066" s="195" t="s">
        <v>117</v>
      </c>
      <c r="O3066" s="199"/>
      <c r="P3066" s="188"/>
      <c r="Q3066" s="174">
        <f>IF(ISNUMBER(VLOOKUP(A3066,NotghiID!A:A,1,FALSE)),1,0)</f>
        <v>1</v>
      </c>
    </row>
    <row r="3067" spans="1:17" ht="14.25" x14ac:dyDescent="0.2">
      <c r="A3067" s="189">
        <v>298</v>
      </c>
      <c r="B3067" s="232" t="str">
        <f>IF(AND(A3067&lt;&gt;"",ISNUMBER(A3067)),VLOOKUP(A3067,Studies!A:BR,2,FALSE),"")</f>
        <v>Kharasch 2011</v>
      </c>
      <c r="C3067" s="232" t="str">
        <f>IF(AND(A3067&lt;&gt;"",ISNUMBER(A3067)),VLOOKUP(A3067,Studies!A:BR,3,FALSE),"")</f>
        <v>https://www.ncbi.nlm.nih.gov/pubmed/21562488</v>
      </c>
      <c r="D3067" s="232" t="str">
        <f>IF(AND(A3067&lt;&gt;"",ISNUMBER(A3067)),VLOOKUP(A3067,Studies!A:BR,4,FALSE),"")</f>
        <v>iv Control (Perpetrator Placebo)</v>
      </c>
      <c r="E3067" s="206" t="str">
        <f>IF(AND(A3067&lt;&gt;"",ISNUMBER(A3067)),VLOOKUP(A3067,Studies!A:BR,5,FALSE),"")</f>
        <v>Alfentanil</v>
      </c>
      <c r="F3067" s="207" t="str">
        <f>IF(AND(A3067&lt;&gt;"",ISNUMBER(A3067)),VLOOKUP(A3067,Studies!A:BR,6,FALSE),"")</f>
        <v>Plasma</v>
      </c>
      <c r="G3067" s="194">
        <v>8</v>
      </c>
      <c r="H3067" s="194" t="s">
        <v>60</v>
      </c>
      <c r="I3067" s="187">
        <v>1.1361540000000001</v>
      </c>
      <c r="J3067" s="187" t="s">
        <v>1090</v>
      </c>
      <c r="K3067" s="187" t="s">
        <v>116</v>
      </c>
      <c r="L3067" s="195">
        <v>1.573013</v>
      </c>
      <c r="M3067" s="195" t="s">
        <v>1090</v>
      </c>
      <c r="N3067" s="195" t="s">
        <v>117</v>
      </c>
      <c r="O3067" s="199"/>
      <c r="P3067" s="188"/>
      <c r="Q3067" s="174">
        <f>IF(ISNUMBER(VLOOKUP(A3067,NotghiID!A:A,1,FALSE)),1,0)</f>
        <v>1</v>
      </c>
    </row>
    <row r="3068" spans="1:17" ht="14.25" x14ac:dyDescent="0.2">
      <c r="A3068" s="189">
        <v>299</v>
      </c>
      <c r="B3068" s="232" t="str">
        <f>IF(AND(A3068&lt;&gt;"",ISNUMBER(A3068)),VLOOKUP(A3068,Studies!A:BR,2,FALSE),"")</f>
        <v>Kharasch 2011</v>
      </c>
      <c r="C3068" s="232" t="str">
        <f>IF(AND(A3068&lt;&gt;"",ISNUMBER(A3068)),VLOOKUP(A3068,Studies!A:BR,3,FALSE),"")</f>
        <v>https://www.ncbi.nlm.nih.gov/pubmed/21562488</v>
      </c>
      <c r="D3068" s="232" t="str">
        <f>IF(AND(A3068&lt;&gt;"",ISNUMBER(A3068)),VLOOKUP(A3068,Studies!A:BR,4,FALSE),"")</f>
        <v>iv with Perpetrator (Rifampicin @ 5 mg)</v>
      </c>
      <c r="E3068" s="206" t="str">
        <f>IF(AND(A3068&lt;&gt;"",ISNUMBER(A3068)),VLOOKUP(A3068,Studies!A:BR,5,FALSE),"")</f>
        <v>Alfentanil</v>
      </c>
      <c r="F3068" s="207" t="str">
        <f>IF(AND(A3068&lt;&gt;"",ISNUMBER(A3068)),VLOOKUP(A3068,Studies!A:BR,6,FALSE),"")</f>
        <v>Plasma</v>
      </c>
      <c r="G3068" s="194">
        <v>109.5</v>
      </c>
      <c r="H3068" s="194" t="s">
        <v>60</v>
      </c>
      <c r="I3068" s="187">
        <v>26.17643</v>
      </c>
      <c r="J3068" s="187" t="s">
        <v>1090</v>
      </c>
      <c r="K3068" s="187" t="s">
        <v>116</v>
      </c>
      <c r="L3068" s="195"/>
      <c r="M3068" s="195"/>
      <c r="N3068" s="195"/>
      <c r="O3068" s="199"/>
      <c r="P3068" s="188"/>
      <c r="Q3068" s="174">
        <f>IF(ISNUMBER(VLOOKUP(A3068,NotghiID!A:A,1,FALSE)),1,0)</f>
        <v>1</v>
      </c>
    </row>
    <row r="3069" spans="1:17" ht="14.25" x14ac:dyDescent="0.2">
      <c r="A3069" s="189">
        <v>299</v>
      </c>
      <c r="B3069" s="232" t="str">
        <f>IF(AND(A3069&lt;&gt;"",ISNUMBER(A3069)),VLOOKUP(A3069,Studies!A:BR,2,FALSE),"")</f>
        <v>Kharasch 2011</v>
      </c>
      <c r="C3069" s="232" t="str">
        <f>IF(AND(A3069&lt;&gt;"",ISNUMBER(A3069)),VLOOKUP(A3069,Studies!A:BR,3,FALSE),"")</f>
        <v>https://www.ncbi.nlm.nih.gov/pubmed/21562488</v>
      </c>
      <c r="D3069" s="232" t="str">
        <f>IF(AND(A3069&lt;&gt;"",ISNUMBER(A3069)),VLOOKUP(A3069,Studies!A:BR,4,FALSE),"")</f>
        <v>iv with Perpetrator (Rifampicin @ 5 mg)</v>
      </c>
      <c r="E3069" s="206" t="str">
        <f>IF(AND(A3069&lt;&gt;"",ISNUMBER(A3069)),VLOOKUP(A3069,Studies!A:BR,5,FALSE),"")</f>
        <v>Alfentanil</v>
      </c>
      <c r="F3069" s="207" t="str">
        <f>IF(AND(A3069&lt;&gt;"",ISNUMBER(A3069)),VLOOKUP(A3069,Studies!A:BR,6,FALSE),"")</f>
        <v>Plasma</v>
      </c>
      <c r="G3069" s="194">
        <v>109.75</v>
      </c>
      <c r="H3069" s="194" t="s">
        <v>60</v>
      </c>
      <c r="I3069" s="187">
        <v>19.497489999999999</v>
      </c>
      <c r="J3069" s="187" t="s">
        <v>1090</v>
      </c>
      <c r="K3069" s="187" t="s">
        <v>116</v>
      </c>
      <c r="L3069" s="195"/>
      <c r="M3069" s="195"/>
      <c r="N3069" s="195"/>
      <c r="O3069" s="199"/>
      <c r="P3069" s="188"/>
      <c r="Q3069" s="174">
        <f>IF(ISNUMBER(VLOOKUP(A3069,NotghiID!A:A,1,FALSE)),1,0)</f>
        <v>1</v>
      </c>
    </row>
    <row r="3070" spans="1:17" ht="14.25" x14ac:dyDescent="0.2">
      <c r="A3070" s="189">
        <v>299</v>
      </c>
      <c r="B3070" s="232" t="str">
        <f>IF(AND(A3070&lt;&gt;"",ISNUMBER(A3070)),VLOOKUP(A3070,Studies!A:BR,2,FALSE),"")</f>
        <v>Kharasch 2011</v>
      </c>
      <c r="C3070" s="232" t="str">
        <f>IF(AND(A3070&lt;&gt;"",ISNUMBER(A3070)),VLOOKUP(A3070,Studies!A:BR,3,FALSE),"")</f>
        <v>https://www.ncbi.nlm.nih.gov/pubmed/21562488</v>
      </c>
      <c r="D3070" s="232" t="str">
        <f>IF(AND(A3070&lt;&gt;"",ISNUMBER(A3070)),VLOOKUP(A3070,Studies!A:BR,4,FALSE),"")</f>
        <v>iv with Perpetrator (Rifampicin @ 5 mg)</v>
      </c>
      <c r="E3070" s="206" t="str">
        <f>IF(AND(A3070&lt;&gt;"",ISNUMBER(A3070)),VLOOKUP(A3070,Studies!A:BR,5,FALSE),"")</f>
        <v>Alfentanil</v>
      </c>
      <c r="F3070" s="207" t="str">
        <f>IF(AND(A3070&lt;&gt;"",ISNUMBER(A3070)),VLOOKUP(A3070,Studies!A:BR,6,FALSE),"")</f>
        <v>Plasma</v>
      </c>
      <c r="G3070" s="194">
        <v>110</v>
      </c>
      <c r="H3070" s="194" t="s">
        <v>60</v>
      </c>
      <c r="I3070" s="187">
        <v>16.581209999999999</v>
      </c>
      <c r="J3070" s="187" t="s">
        <v>1090</v>
      </c>
      <c r="K3070" s="187" t="s">
        <v>116</v>
      </c>
      <c r="L3070" s="195"/>
      <c r="M3070" s="195"/>
      <c r="N3070" s="195"/>
      <c r="O3070" s="199"/>
      <c r="P3070" s="188"/>
      <c r="Q3070" s="174">
        <f>IF(ISNUMBER(VLOOKUP(A3070,NotghiID!A:A,1,FALSE)),1,0)</f>
        <v>1</v>
      </c>
    </row>
    <row r="3071" spans="1:17" ht="14.25" x14ac:dyDescent="0.2">
      <c r="A3071" s="189">
        <v>299</v>
      </c>
      <c r="B3071" s="232" t="str">
        <f>IF(AND(A3071&lt;&gt;"",ISNUMBER(A3071)),VLOOKUP(A3071,Studies!A:BR,2,FALSE),"")</f>
        <v>Kharasch 2011</v>
      </c>
      <c r="C3071" s="232" t="str">
        <f>IF(AND(A3071&lt;&gt;"",ISNUMBER(A3071)),VLOOKUP(A3071,Studies!A:BR,3,FALSE),"")</f>
        <v>https://www.ncbi.nlm.nih.gov/pubmed/21562488</v>
      </c>
      <c r="D3071" s="232" t="str">
        <f>IF(AND(A3071&lt;&gt;"",ISNUMBER(A3071)),VLOOKUP(A3071,Studies!A:BR,4,FALSE),"")</f>
        <v>iv with Perpetrator (Rifampicin @ 5 mg)</v>
      </c>
      <c r="E3071" s="206" t="str">
        <f>IF(AND(A3071&lt;&gt;"",ISNUMBER(A3071)),VLOOKUP(A3071,Studies!A:BR,5,FALSE),"")</f>
        <v>Alfentanil</v>
      </c>
      <c r="F3071" s="207" t="str">
        <f>IF(AND(A3071&lt;&gt;"",ISNUMBER(A3071)),VLOOKUP(A3071,Studies!A:BR,6,FALSE),"")</f>
        <v>Plasma</v>
      </c>
      <c r="G3071" s="194">
        <v>110.5</v>
      </c>
      <c r="H3071" s="194" t="s">
        <v>60</v>
      </c>
      <c r="I3071" s="187">
        <v>11.991989999999999</v>
      </c>
      <c r="J3071" s="187" t="s">
        <v>1090</v>
      </c>
      <c r="K3071" s="187" t="s">
        <v>116</v>
      </c>
      <c r="L3071" s="195"/>
      <c r="M3071" s="195"/>
      <c r="N3071" s="195"/>
      <c r="O3071" s="199"/>
      <c r="P3071" s="188"/>
      <c r="Q3071" s="174">
        <f>IF(ISNUMBER(VLOOKUP(A3071,NotghiID!A:A,1,FALSE)),1,0)</f>
        <v>1</v>
      </c>
    </row>
    <row r="3072" spans="1:17" ht="14.25" x14ac:dyDescent="0.2">
      <c r="A3072" s="189">
        <v>299</v>
      </c>
      <c r="B3072" s="232" t="str">
        <f>IF(AND(A3072&lt;&gt;"",ISNUMBER(A3072)),VLOOKUP(A3072,Studies!A:BR,2,FALSE),"")</f>
        <v>Kharasch 2011</v>
      </c>
      <c r="C3072" s="232" t="str">
        <f>IF(AND(A3072&lt;&gt;"",ISNUMBER(A3072)),VLOOKUP(A3072,Studies!A:BR,3,FALSE),"")</f>
        <v>https://www.ncbi.nlm.nih.gov/pubmed/21562488</v>
      </c>
      <c r="D3072" s="232" t="str">
        <f>IF(AND(A3072&lt;&gt;"",ISNUMBER(A3072)),VLOOKUP(A3072,Studies!A:BR,4,FALSE),"")</f>
        <v>iv with Perpetrator (Rifampicin @ 5 mg)</v>
      </c>
      <c r="E3072" s="206" t="str">
        <f>IF(AND(A3072&lt;&gt;"",ISNUMBER(A3072)),VLOOKUP(A3072,Studies!A:BR,5,FALSE),"")</f>
        <v>Alfentanil</v>
      </c>
      <c r="F3072" s="207" t="str">
        <f>IF(AND(A3072&lt;&gt;"",ISNUMBER(A3072)),VLOOKUP(A3072,Studies!A:BR,6,FALSE),"")</f>
        <v>Plasma</v>
      </c>
      <c r="G3072" s="194">
        <v>111</v>
      </c>
      <c r="H3072" s="194" t="s">
        <v>60</v>
      </c>
      <c r="I3072" s="187">
        <v>8.8016260000000006</v>
      </c>
      <c r="J3072" s="187" t="s">
        <v>1090</v>
      </c>
      <c r="K3072" s="187" t="s">
        <v>116</v>
      </c>
      <c r="L3072" s="195"/>
      <c r="M3072" s="195"/>
      <c r="N3072" s="195"/>
      <c r="O3072" s="199"/>
      <c r="P3072" s="188"/>
      <c r="Q3072" s="174">
        <f>IF(ISNUMBER(VLOOKUP(A3072,NotghiID!A:A,1,FALSE)),1,0)</f>
        <v>1</v>
      </c>
    </row>
    <row r="3073" spans="1:17" ht="14.25" x14ac:dyDescent="0.2">
      <c r="A3073" s="189">
        <v>299</v>
      </c>
      <c r="B3073" s="232" t="str">
        <f>IF(AND(A3073&lt;&gt;"",ISNUMBER(A3073)),VLOOKUP(A3073,Studies!A:BR,2,FALSE),"")</f>
        <v>Kharasch 2011</v>
      </c>
      <c r="C3073" s="232" t="str">
        <f>IF(AND(A3073&lt;&gt;"",ISNUMBER(A3073)),VLOOKUP(A3073,Studies!A:BR,3,FALSE),"")</f>
        <v>https://www.ncbi.nlm.nih.gov/pubmed/21562488</v>
      </c>
      <c r="D3073" s="232" t="str">
        <f>IF(AND(A3073&lt;&gt;"",ISNUMBER(A3073)),VLOOKUP(A3073,Studies!A:BR,4,FALSE),"")</f>
        <v>iv with Perpetrator (Rifampicin @ 5 mg)</v>
      </c>
      <c r="E3073" s="206" t="str">
        <f>IF(AND(A3073&lt;&gt;"",ISNUMBER(A3073)),VLOOKUP(A3073,Studies!A:BR,5,FALSE),"")</f>
        <v>Alfentanil</v>
      </c>
      <c r="F3073" s="207" t="str">
        <f>IF(AND(A3073&lt;&gt;"",ISNUMBER(A3073)),VLOOKUP(A3073,Studies!A:BR,6,FALSE),"")</f>
        <v>Plasma</v>
      </c>
      <c r="G3073" s="194">
        <v>112</v>
      </c>
      <c r="H3073" s="194" t="s">
        <v>60</v>
      </c>
      <c r="I3073" s="187">
        <v>5.5753050000000002</v>
      </c>
      <c r="J3073" s="187" t="s">
        <v>1090</v>
      </c>
      <c r="K3073" s="187" t="s">
        <v>116</v>
      </c>
      <c r="L3073" s="195"/>
      <c r="M3073" s="195"/>
      <c r="N3073" s="195"/>
      <c r="O3073" s="199"/>
      <c r="P3073" s="188"/>
      <c r="Q3073" s="174">
        <f>IF(ISNUMBER(VLOOKUP(A3073,NotghiID!A:A,1,FALSE)),1,0)</f>
        <v>1</v>
      </c>
    </row>
    <row r="3074" spans="1:17" ht="14.25" x14ac:dyDescent="0.2">
      <c r="A3074" s="189">
        <v>299</v>
      </c>
      <c r="B3074" s="232" t="str">
        <f>IF(AND(A3074&lt;&gt;"",ISNUMBER(A3074)),VLOOKUP(A3074,Studies!A:BR,2,FALSE),"")</f>
        <v>Kharasch 2011</v>
      </c>
      <c r="C3074" s="232" t="str">
        <f>IF(AND(A3074&lt;&gt;"",ISNUMBER(A3074)),VLOOKUP(A3074,Studies!A:BR,3,FALSE),"")</f>
        <v>https://www.ncbi.nlm.nih.gov/pubmed/21562488</v>
      </c>
      <c r="D3074" s="232" t="str">
        <f>IF(AND(A3074&lt;&gt;"",ISNUMBER(A3074)),VLOOKUP(A3074,Studies!A:BR,4,FALSE),"")</f>
        <v>iv with Perpetrator (Rifampicin @ 5 mg)</v>
      </c>
      <c r="E3074" s="206" t="str">
        <f>IF(AND(A3074&lt;&gt;"",ISNUMBER(A3074)),VLOOKUP(A3074,Studies!A:BR,5,FALSE),"")</f>
        <v>Alfentanil</v>
      </c>
      <c r="F3074" s="207" t="str">
        <f>IF(AND(A3074&lt;&gt;"",ISNUMBER(A3074)),VLOOKUP(A3074,Studies!A:BR,6,FALSE),"")</f>
        <v>Plasma</v>
      </c>
      <c r="G3074" s="194">
        <v>113</v>
      </c>
      <c r="H3074" s="194" t="s">
        <v>60</v>
      </c>
      <c r="I3074" s="187">
        <v>3.047955</v>
      </c>
      <c r="J3074" s="187" t="s">
        <v>1090</v>
      </c>
      <c r="K3074" s="187" t="s">
        <v>116</v>
      </c>
      <c r="L3074" s="195"/>
      <c r="M3074" s="195"/>
      <c r="N3074" s="195"/>
      <c r="O3074" s="199"/>
      <c r="P3074" s="188"/>
      <c r="Q3074" s="174">
        <f>IF(ISNUMBER(VLOOKUP(A3074,NotghiID!A:A,1,FALSE)),1,0)</f>
        <v>1</v>
      </c>
    </row>
    <row r="3075" spans="1:17" ht="14.25" x14ac:dyDescent="0.2">
      <c r="A3075" s="189">
        <v>299</v>
      </c>
      <c r="B3075" s="232" t="str">
        <f>IF(AND(A3075&lt;&gt;"",ISNUMBER(A3075)),VLOOKUP(A3075,Studies!A:BR,2,FALSE),"")</f>
        <v>Kharasch 2011</v>
      </c>
      <c r="C3075" s="232" t="str">
        <f>IF(AND(A3075&lt;&gt;"",ISNUMBER(A3075)),VLOOKUP(A3075,Studies!A:BR,3,FALSE),"")</f>
        <v>https://www.ncbi.nlm.nih.gov/pubmed/21562488</v>
      </c>
      <c r="D3075" s="232" t="str">
        <f>IF(AND(A3075&lt;&gt;"",ISNUMBER(A3075)),VLOOKUP(A3075,Studies!A:BR,4,FALSE),"")</f>
        <v>iv with Perpetrator (Rifampicin @ 5 mg)</v>
      </c>
      <c r="E3075" s="206" t="str">
        <f>IF(AND(A3075&lt;&gt;"",ISNUMBER(A3075)),VLOOKUP(A3075,Studies!A:BR,5,FALSE),"")</f>
        <v>Alfentanil</v>
      </c>
      <c r="F3075" s="207" t="str">
        <f>IF(AND(A3075&lt;&gt;"",ISNUMBER(A3075)),VLOOKUP(A3075,Studies!A:BR,6,FALSE),"")</f>
        <v>Plasma</v>
      </c>
      <c r="G3075" s="194">
        <v>114</v>
      </c>
      <c r="H3075" s="194" t="s">
        <v>60</v>
      </c>
      <c r="I3075" s="187">
        <v>1.7160960000000001</v>
      </c>
      <c r="J3075" s="187" t="s">
        <v>1090</v>
      </c>
      <c r="K3075" s="187" t="s">
        <v>116</v>
      </c>
      <c r="L3075" s="195"/>
      <c r="M3075" s="195"/>
      <c r="N3075" s="195"/>
      <c r="O3075" s="199"/>
      <c r="P3075" s="188"/>
      <c r="Q3075" s="174">
        <f>IF(ISNUMBER(VLOOKUP(A3075,NotghiID!A:A,1,FALSE)),1,0)</f>
        <v>1</v>
      </c>
    </row>
    <row r="3076" spans="1:17" ht="14.25" x14ac:dyDescent="0.2">
      <c r="A3076" s="189">
        <v>299</v>
      </c>
      <c r="B3076" s="232" t="str">
        <f>IF(AND(A3076&lt;&gt;"",ISNUMBER(A3076)),VLOOKUP(A3076,Studies!A:BR,2,FALSE),"")</f>
        <v>Kharasch 2011</v>
      </c>
      <c r="C3076" s="232" t="str">
        <f>IF(AND(A3076&lt;&gt;"",ISNUMBER(A3076)),VLOOKUP(A3076,Studies!A:BR,3,FALSE),"")</f>
        <v>https://www.ncbi.nlm.nih.gov/pubmed/21562488</v>
      </c>
      <c r="D3076" s="232" t="str">
        <f>IF(AND(A3076&lt;&gt;"",ISNUMBER(A3076)),VLOOKUP(A3076,Studies!A:BR,4,FALSE),"")</f>
        <v>iv with Perpetrator (Rifampicin @ 5 mg)</v>
      </c>
      <c r="E3076" s="206" t="str">
        <f>IF(AND(A3076&lt;&gt;"",ISNUMBER(A3076)),VLOOKUP(A3076,Studies!A:BR,5,FALSE),"")</f>
        <v>Alfentanil</v>
      </c>
      <c r="F3076" s="207" t="str">
        <f>IF(AND(A3076&lt;&gt;"",ISNUMBER(A3076)),VLOOKUP(A3076,Studies!A:BR,6,FALSE),"")</f>
        <v>Plasma</v>
      </c>
      <c r="G3076" s="194">
        <v>115</v>
      </c>
      <c r="H3076" s="194" t="s">
        <v>60</v>
      </c>
      <c r="I3076" s="187">
        <v>0.9951025</v>
      </c>
      <c r="J3076" s="187" t="s">
        <v>1090</v>
      </c>
      <c r="K3076" s="187" t="s">
        <v>116</v>
      </c>
      <c r="L3076" s="195"/>
      <c r="M3076" s="195"/>
      <c r="N3076" s="195"/>
      <c r="O3076" s="199"/>
      <c r="P3076" s="188"/>
      <c r="Q3076" s="174">
        <f>IF(ISNUMBER(VLOOKUP(A3076,NotghiID!A:A,1,FALSE)),1,0)</f>
        <v>1</v>
      </c>
    </row>
    <row r="3077" spans="1:17" ht="14.25" x14ac:dyDescent="0.2">
      <c r="A3077" s="189">
        <v>299</v>
      </c>
      <c r="B3077" s="232" t="str">
        <f>IF(AND(A3077&lt;&gt;"",ISNUMBER(A3077)),VLOOKUP(A3077,Studies!A:BR,2,FALSE),"")</f>
        <v>Kharasch 2011</v>
      </c>
      <c r="C3077" s="232" t="str">
        <f>IF(AND(A3077&lt;&gt;"",ISNUMBER(A3077)),VLOOKUP(A3077,Studies!A:BR,3,FALSE),"")</f>
        <v>https://www.ncbi.nlm.nih.gov/pubmed/21562488</v>
      </c>
      <c r="D3077" s="232" t="str">
        <f>IF(AND(A3077&lt;&gt;"",ISNUMBER(A3077)),VLOOKUP(A3077,Studies!A:BR,4,FALSE),"")</f>
        <v>iv with Perpetrator (Rifampicin @ 5 mg)</v>
      </c>
      <c r="E3077" s="206" t="str">
        <f>IF(AND(A3077&lt;&gt;"",ISNUMBER(A3077)),VLOOKUP(A3077,Studies!A:BR,5,FALSE),"")</f>
        <v>Alfentanil</v>
      </c>
      <c r="F3077" s="207" t="str">
        <f>IF(AND(A3077&lt;&gt;"",ISNUMBER(A3077)),VLOOKUP(A3077,Studies!A:BR,6,FALSE),"")</f>
        <v>Plasma</v>
      </c>
      <c r="G3077" s="194">
        <v>116</v>
      </c>
      <c r="H3077" s="194" t="s">
        <v>60</v>
      </c>
      <c r="I3077" s="187">
        <v>0.59427459999999999</v>
      </c>
      <c r="J3077" s="187" t="s">
        <v>1090</v>
      </c>
      <c r="K3077" s="187" t="s">
        <v>116</v>
      </c>
      <c r="L3077" s="195"/>
      <c r="M3077" s="195"/>
      <c r="N3077" s="195"/>
      <c r="O3077" s="199"/>
      <c r="P3077" s="188"/>
      <c r="Q3077" s="174">
        <f>IF(ISNUMBER(VLOOKUP(A3077,NotghiID!A:A,1,FALSE)),1,0)</f>
        <v>1</v>
      </c>
    </row>
    <row r="3078" spans="1:17" ht="14.25" x14ac:dyDescent="0.2">
      <c r="A3078" s="189">
        <v>299</v>
      </c>
      <c r="B3078" s="232" t="str">
        <f>IF(AND(A3078&lt;&gt;"",ISNUMBER(A3078)),VLOOKUP(A3078,Studies!A:BR,2,FALSE),"")</f>
        <v>Kharasch 2011</v>
      </c>
      <c r="C3078" s="232" t="str">
        <f>IF(AND(A3078&lt;&gt;"",ISNUMBER(A3078)),VLOOKUP(A3078,Studies!A:BR,3,FALSE),"")</f>
        <v>https://www.ncbi.nlm.nih.gov/pubmed/21562488</v>
      </c>
      <c r="D3078" s="232" t="str">
        <f>IF(AND(A3078&lt;&gt;"",ISNUMBER(A3078)),VLOOKUP(A3078,Studies!A:BR,4,FALSE),"")</f>
        <v>iv with Perpetrator (Rifampicin @ 5 mg)</v>
      </c>
      <c r="E3078" s="206" t="str">
        <f>IF(AND(A3078&lt;&gt;"",ISNUMBER(A3078)),VLOOKUP(A3078,Studies!A:BR,5,FALSE),"")</f>
        <v>Alfentanil</v>
      </c>
      <c r="F3078" s="207" t="str">
        <f>IF(AND(A3078&lt;&gt;"",ISNUMBER(A3078)),VLOOKUP(A3078,Studies!A:BR,6,FALSE),"")</f>
        <v>Plasma</v>
      </c>
      <c r="G3078" s="194">
        <v>117</v>
      </c>
      <c r="H3078" s="194" t="s">
        <v>60</v>
      </c>
      <c r="I3078" s="187">
        <v>0.36551040000000001</v>
      </c>
      <c r="J3078" s="187" t="s">
        <v>1090</v>
      </c>
      <c r="K3078" s="187" t="s">
        <v>116</v>
      </c>
      <c r="L3078" s="195"/>
      <c r="M3078" s="195"/>
      <c r="N3078" s="195"/>
      <c r="O3078" s="199"/>
      <c r="P3078" s="188"/>
      <c r="Q3078" s="174">
        <f>IF(ISNUMBER(VLOOKUP(A3078,NotghiID!A:A,1,FALSE)),1,0)</f>
        <v>1</v>
      </c>
    </row>
    <row r="3079" spans="1:17" ht="14.25" x14ac:dyDescent="0.2">
      <c r="A3079" s="189">
        <v>300</v>
      </c>
      <c r="B3079" s="232" t="str">
        <f>IF(AND(A3079&lt;&gt;"",ISNUMBER(A3079)),VLOOKUP(A3079,Studies!A:BR,2,FALSE),"")</f>
        <v>Kharasch 2011</v>
      </c>
      <c r="C3079" s="232" t="str">
        <f>IF(AND(A3079&lt;&gt;"",ISNUMBER(A3079)),VLOOKUP(A3079,Studies!A:BR,3,FALSE),"")</f>
        <v>https://www.ncbi.nlm.nih.gov/pubmed/21562488</v>
      </c>
      <c r="D3079" s="232" t="str">
        <f>IF(AND(A3079&lt;&gt;"",ISNUMBER(A3079)),VLOOKUP(A3079,Studies!A:BR,4,FALSE),"")</f>
        <v>iv with Perpetrator (Rifampicin @ 10 mg)</v>
      </c>
      <c r="E3079" s="206" t="str">
        <f>IF(AND(A3079&lt;&gt;"",ISNUMBER(A3079)),VLOOKUP(A3079,Studies!A:BR,5,FALSE),"")</f>
        <v>Alfentanil</v>
      </c>
      <c r="F3079" s="207" t="str">
        <f>IF(AND(A3079&lt;&gt;"",ISNUMBER(A3079)),VLOOKUP(A3079,Studies!A:BR,6,FALSE),"")</f>
        <v>Plasma</v>
      </c>
      <c r="G3079" s="194">
        <v>109</v>
      </c>
      <c r="H3079" s="194" t="s">
        <v>60</v>
      </c>
      <c r="I3079" s="187">
        <v>107.64230000000001</v>
      </c>
      <c r="J3079" s="187" t="s">
        <v>1090</v>
      </c>
      <c r="K3079" s="187" t="s">
        <v>116</v>
      </c>
      <c r="L3079" s="195"/>
      <c r="M3079" s="195"/>
      <c r="N3079" s="195"/>
      <c r="O3079" s="199"/>
      <c r="P3079" s="188"/>
      <c r="Q3079" s="174">
        <f>IF(ISNUMBER(VLOOKUP(A3079,NotghiID!A:A,1,FALSE)),1,0)</f>
        <v>1</v>
      </c>
    </row>
    <row r="3080" spans="1:17" ht="14.25" x14ac:dyDescent="0.2">
      <c r="A3080" s="189">
        <v>300</v>
      </c>
      <c r="B3080" s="232" t="str">
        <f>IF(AND(A3080&lt;&gt;"",ISNUMBER(A3080)),VLOOKUP(A3080,Studies!A:BR,2,FALSE),"")</f>
        <v>Kharasch 2011</v>
      </c>
      <c r="C3080" s="232" t="str">
        <f>IF(AND(A3080&lt;&gt;"",ISNUMBER(A3080)),VLOOKUP(A3080,Studies!A:BR,3,FALSE),"")</f>
        <v>https://www.ncbi.nlm.nih.gov/pubmed/21562488</v>
      </c>
      <c r="D3080" s="232" t="str">
        <f>IF(AND(A3080&lt;&gt;"",ISNUMBER(A3080)),VLOOKUP(A3080,Studies!A:BR,4,FALSE),"")</f>
        <v>iv with Perpetrator (Rifampicin @ 10 mg)</v>
      </c>
      <c r="E3080" s="206" t="str">
        <f>IF(AND(A3080&lt;&gt;"",ISNUMBER(A3080)),VLOOKUP(A3080,Studies!A:BR,5,FALSE),"")</f>
        <v>Alfentanil</v>
      </c>
      <c r="F3080" s="207" t="str">
        <f>IF(AND(A3080&lt;&gt;"",ISNUMBER(A3080)),VLOOKUP(A3080,Studies!A:BR,6,FALSE),"")</f>
        <v>Plasma</v>
      </c>
      <c r="G3080" s="194">
        <v>109.08</v>
      </c>
      <c r="H3080" s="194" t="s">
        <v>60</v>
      </c>
      <c r="I3080" s="187">
        <v>73.395870000000002</v>
      </c>
      <c r="J3080" s="187" t="s">
        <v>1090</v>
      </c>
      <c r="K3080" s="187" t="s">
        <v>116</v>
      </c>
      <c r="L3080" s="195"/>
      <c r="M3080" s="195"/>
      <c r="N3080" s="195"/>
      <c r="O3080" s="199"/>
      <c r="P3080" s="188"/>
      <c r="Q3080" s="174">
        <f>IF(ISNUMBER(VLOOKUP(A3080,NotghiID!A:A,1,FALSE)),1,0)</f>
        <v>1</v>
      </c>
    </row>
    <row r="3081" spans="1:17" ht="14.25" x14ac:dyDescent="0.2">
      <c r="A3081" s="189">
        <v>300</v>
      </c>
      <c r="B3081" s="232" t="str">
        <f>IF(AND(A3081&lt;&gt;"",ISNUMBER(A3081)),VLOOKUP(A3081,Studies!A:BR,2,FALSE),"")</f>
        <v>Kharasch 2011</v>
      </c>
      <c r="C3081" s="232" t="str">
        <f>IF(AND(A3081&lt;&gt;"",ISNUMBER(A3081)),VLOOKUP(A3081,Studies!A:BR,3,FALSE),"")</f>
        <v>https://www.ncbi.nlm.nih.gov/pubmed/21562488</v>
      </c>
      <c r="D3081" s="232" t="str">
        <f>IF(AND(A3081&lt;&gt;"",ISNUMBER(A3081)),VLOOKUP(A3081,Studies!A:BR,4,FALSE),"")</f>
        <v>iv with Perpetrator (Rifampicin @ 10 mg)</v>
      </c>
      <c r="E3081" s="206" t="str">
        <f>IF(AND(A3081&lt;&gt;"",ISNUMBER(A3081)),VLOOKUP(A3081,Studies!A:BR,5,FALSE),"")</f>
        <v>Alfentanil</v>
      </c>
      <c r="F3081" s="207" t="str">
        <f>IF(AND(A3081&lt;&gt;"",ISNUMBER(A3081)),VLOOKUP(A3081,Studies!A:BR,6,FALSE),"")</f>
        <v>Plasma</v>
      </c>
      <c r="G3081" s="194">
        <v>109.17</v>
      </c>
      <c r="H3081" s="194" t="s">
        <v>60</v>
      </c>
      <c r="I3081" s="187">
        <v>48.592269999999999</v>
      </c>
      <c r="J3081" s="187" t="s">
        <v>1090</v>
      </c>
      <c r="K3081" s="187" t="s">
        <v>116</v>
      </c>
      <c r="L3081" s="195"/>
      <c r="M3081" s="195"/>
      <c r="N3081" s="195"/>
      <c r="O3081" s="199"/>
      <c r="P3081" s="188"/>
      <c r="Q3081" s="174">
        <f>IF(ISNUMBER(VLOOKUP(A3081,NotghiID!A:A,1,FALSE)),1,0)</f>
        <v>1</v>
      </c>
    </row>
    <row r="3082" spans="1:17" ht="14.25" x14ac:dyDescent="0.2">
      <c r="A3082" s="189">
        <v>300</v>
      </c>
      <c r="B3082" s="232" t="str">
        <f>IF(AND(A3082&lt;&gt;"",ISNUMBER(A3082)),VLOOKUP(A3082,Studies!A:BR,2,FALSE),"")</f>
        <v>Kharasch 2011</v>
      </c>
      <c r="C3082" s="232" t="str">
        <f>IF(AND(A3082&lt;&gt;"",ISNUMBER(A3082)),VLOOKUP(A3082,Studies!A:BR,3,FALSE),"")</f>
        <v>https://www.ncbi.nlm.nih.gov/pubmed/21562488</v>
      </c>
      <c r="D3082" s="232" t="str">
        <f>IF(AND(A3082&lt;&gt;"",ISNUMBER(A3082)),VLOOKUP(A3082,Studies!A:BR,4,FALSE),"")</f>
        <v>iv with Perpetrator (Rifampicin @ 10 mg)</v>
      </c>
      <c r="E3082" s="206" t="str">
        <f>IF(AND(A3082&lt;&gt;"",ISNUMBER(A3082)),VLOOKUP(A3082,Studies!A:BR,5,FALSE),"")</f>
        <v>Alfentanil</v>
      </c>
      <c r="F3082" s="207" t="str">
        <f>IF(AND(A3082&lt;&gt;"",ISNUMBER(A3082)),VLOOKUP(A3082,Studies!A:BR,6,FALSE),"")</f>
        <v>Plasma</v>
      </c>
      <c r="G3082" s="194">
        <v>109.25</v>
      </c>
      <c r="H3082" s="194" t="s">
        <v>60</v>
      </c>
      <c r="I3082" s="187">
        <v>38.390320000000003</v>
      </c>
      <c r="J3082" s="187" t="s">
        <v>1090</v>
      </c>
      <c r="K3082" s="187" t="s">
        <v>116</v>
      </c>
      <c r="L3082" s="195"/>
      <c r="M3082" s="195"/>
      <c r="N3082" s="195"/>
      <c r="O3082" s="199"/>
      <c r="P3082" s="188"/>
      <c r="Q3082" s="174">
        <f>IF(ISNUMBER(VLOOKUP(A3082,NotghiID!A:A,1,FALSE)),1,0)</f>
        <v>1</v>
      </c>
    </row>
    <row r="3083" spans="1:17" ht="14.25" x14ac:dyDescent="0.2">
      <c r="A3083" s="189">
        <v>300</v>
      </c>
      <c r="B3083" s="232" t="str">
        <f>IF(AND(A3083&lt;&gt;"",ISNUMBER(A3083)),VLOOKUP(A3083,Studies!A:BR,2,FALSE),"")</f>
        <v>Kharasch 2011</v>
      </c>
      <c r="C3083" s="232" t="str">
        <f>IF(AND(A3083&lt;&gt;"",ISNUMBER(A3083)),VLOOKUP(A3083,Studies!A:BR,3,FALSE),"")</f>
        <v>https://www.ncbi.nlm.nih.gov/pubmed/21562488</v>
      </c>
      <c r="D3083" s="232" t="str">
        <f>IF(AND(A3083&lt;&gt;"",ISNUMBER(A3083)),VLOOKUP(A3083,Studies!A:BR,4,FALSE),"")</f>
        <v>iv with Perpetrator (Rifampicin @ 10 mg)</v>
      </c>
      <c r="E3083" s="206" t="str">
        <f>IF(AND(A3083&lt;&gt;"",ISNUMBER(A3083)),VLOOKUP(A3083,Studies!A:BR,5,FALSE),"")</f>
        <v>Alfentanil</v>
      </c>
      <c r="F3083" s="207" t="str">
        <f>IF(AND(A3083&lt;&gt;"",ISNUMBER(A3083)),VLOOKUP(A3083,Studies!A:BR,6,FALSE),"")</f>
        <v>Plasma</v>
      </c>
      <c r="G3083" s="194">
        <v>109.5</v>
      </c>
      <c r="H3083" s="194" t="s">
        <v>60</v>
      </c>
      <c r="I3083" s="187">
        <v>25.044979999999999</v>
      </c>
      <c r="J3083" s="187" t="s">
        <v>1090</v>
      </c>
      <c r="K3083" s="187" t="s">
        <v>116</v>
      </c>
      <c r="L3083" s="195"/>
      <c r="M3083" s="195"/>
      <c r="N3083" s="195"/>
      <c r="O3083" s="199"/>
      <c r="P3083" s="188"/>
      <c r="Q3083" s="174">
        <f>IF(ISNUMBER(VLOOKUP(A3083,NotghiID!A:A,1,FALSE)),1,0)</f>
        <v>1</v>
      </c>
    </row>
    <row r="3084" spans="1:17" ht="14.25" x14ac:dyDescent="0.2">
      <c r="A3084" s="189">
        <v>300</v>
      </c>
      <c r="B3084" s="232" t="str">
        <f>IF(AND(A3084&lt;&gt;"",ISNUMBER(A3084)),VLOOKUP(A3084,Studies!A:BR,2,FALSE),"")</f>
        <v>Kharasch 2011</v>
      </c>
      <c r="C3084" s="232" t="str">
        <f>IF(AND(A3084&lt;&gt;"",ISNUMBER(A3084)),VLOOKUP(A3084,Studies!A:BR,3,FALSE),"")</f>
        <v>https://www.ncbi.nlm.nih.gov/pubmed/21562488</v>
      </c>
      <c r="D3084" s="232" t="str">
        <f>IF(AND(A3084&lt;&gt;"",ISNUMBER(A3084)),VLOOKUP(A3084,Studies!A:BR,4,FALSE),"")</f>
        <v>iv with Perpetrator (Rifampicin @ 10 mg)</v>
      </c>
      <c r="E3084" s="206" t="str">
        <f>IF(AND(A3084&lt;&gt;"",ISNUMBER(A3084)),VLOOKUP(A3084,Studies!A:BR,5,FALSE),"")</f>
        <v>Alfentanil</v>
      </c>
      <c r="F3084" s="207" t="str">
        <f>IF(AND(A3084&lt;&gt;"",ISNUMBER(A3084)),VLOOKUP(A3084,Studies!A:BR,6,FALSE),"")</f>
        <v>Plasma</v>
      </c>
      <c r="G3084" s="194">
        <v>109.75</v>
      </c>
      <c r="H3084" s="194" t="s">
        <v>60</v>
      </c>
      <c r="I3084" s="187">
        <v>19.78679</v>
      </c>
      <c r="J3084" s="187" t="s">
        <v>1090</v>
      </c>
      <c r="K3084" s="187" t="s">
        <v>116</v>
      </c>
      <c r="L3084" s="195"/>
      <c r="M3084" s="195"/>
      <c r="N3084" s="195"/>
      <c r="O3084" s="199"/>
      <c r="P3084" s="188"/>
      <c r="Q3084" s="174">
        <f>IF(ISNUMBER(VLOOKUP(A3084,NotghiID!A:A,1,FALSE)),1,0)</f>
        <v>1</v>
      </c>
    </row>
    <row r="3085" spans="1:17" ht="14.25" x14ac:dyDescent="0.2">
      <c r="A3085" s="189">
        <v>300</v>
      </c>
      <c r="B3085" s="232" t="str">
        <f>IF(AND(A3085&lt;&gt;"",ISNUMBER(A3085)),VLOOKUP(A3085,Studies!A:BR,2,FALSE),"")</f>
        <v>Kharasch 2011</v>
      </c>
      <c r="C3085" s="232" t="str">
        <f>IF(AND(A3085&lt;&gt;"",ISNUMBER(A3085)),VLOOKUP(A3085,Studies!A:BR,3,FALSE),"")</f>
        <v>https://www.ncbi.nlm.nih.gov/pubmed/21562488</v>
      </c>
      <c r="D3085" s="232" t="str">
        <f>IF(AND(A3085&lt;&gt;"",ISNUMBER(A3085)),VLOOKUP(A3085,Studies!A:BR,4,FALSE),"")</f>
        <v>iv with Perpetrator (Rifampicin @ 10 mg)</v>
      </c>
      <c r="E3085" s="206" t="str">
        <f>IF(AND(A3085&lt;&gt;"",ISNUMBER(A3085)),VLOOKUP(A3085,Studies!A:BR,5,FALSE),"")</f>
        <v>Alfentanil</v>
      </c>
      <c r="F3085" s="207" t="str">
        <f>IF(AND(A3085&lt;&gt;"",ISNUMBER(A3085)),VLOOKUP(A3085,Studies!A:BR,6,FALSE),"")</f>
        <v>Plasma</v>
      </c>
      <c r="G3085" s="194">
        <v>110</v>
      </c>
      <c r="H3085" s="194" t="s">
        <v>60</v>
      </c>
      <c r="I3085" s="187">
        <v>15.8645</v>
      </c>
      <c r="J3085" s="187" t="s">
        <v>1090</v>
      </c>
      <c r="K3085" s="187" t="s">
        <v>116</v>
      </c>
      <c r="L3085" s="195"/>
      <c r="M3085" s="195"/>
      <c r="N3085" s="195"/>
      <c r="O3085" s="199"/>
      <c r="P3085" s="188"/>
      <c r="Q3085" s="174">
        <f>IF(ISNUMBER(VLOOKUP(A3085,NotghiID!A:A,1,FALSE)),1,0)</f>
        <v>1</v>
      </c>
    </row>
    <row r="3086" spans="1:17" ht="14.25" x14ac:dyDescent="0.2">
      <c r="A3086" s="189">
        <v>300</v>
      </c>
      <c r="B3086" s="232" t="str">
        <f>IF(AND(A3086&lt;&gt;"",ISNUMBER(A3086)),VLOOKUP(A3086,Studies!A:BR,2,FALSE),"")</f>
        <v>Kharasch 2011</v>
      </c>
      <c r="C3086" s="232" t="str">
        <f>IF(AND(A3086&lt;&gt;"",ISNUMBER(A3086)),VLOOKUP(A3086,Studies!A:BR,3,FALSE),"")</f>
        <v>https://www.ncbi.nlm.nih.gov/pubmed/21562488</v>
      </c>
      <c r="D3086" s="232" t="str">
        <f>IF(AND(A3086&lt;&gt;"",ISNUMBER(A3086)),VLOOKUP(A3086,Studies!A:BR,4,FALSE),"")</f>
        <v>iv with Perpetrator (Rifampicin @ 10 mg)</v>
      </c>
      <c r="E3086" s="206" t="str">
        <f>IF(AND(A3086&lt;&gt;"",ISNUMBER(A3086)),VLOOKUP(A3086,Studies!A:BR,5,FALSE),"")</f>
        <v>Alfentanil</v>
      </c>
      <c r="F3086" s="207" t="str">
        <f>IF(AND(A3086&lt;&gt;"",ISNUMBER(A3086)),VLOOKUP(A3086,Studies!A:BR,6,FALSE),"")</f>
        <v>Plasma</v>
      </c>
      <c r="G3086" s="194">
        <v>110.5</v>
      </c>
      <c r="H3086" s="194" t="s">
        <v>60</v>
      </c>
      <c r="I3086" s="187">
        <v>11.643890000000001</v>
      </c>
      <c r="J3086" s="187" t="s">
        <v>1090</v>
      </c>
      <c r="K3086" s="187" t="s">
        <v>116</v>
      </c>
      <c r="L3086" s="195"/>
      <c r="M3086" s="195"/>
      <c r="N3086" s="195"/>
      <c r="O3086" s="199"/>
      <c r="P3086" s="188"/>
      <c r="Q3086" s="174">
        <f>IF(ISNUMBER(VLOOKUP(A3086,NotghiID!A:A,1,FALSE)),1,0)</f>
        <v>1</v>
      </c>
    </row>
    <row r="3087" spans="1:17" ht="14.25" x14ac:dyDescent="0.2">
      <c r="A3087" s="189">
        <v>300</v>
      </c>
      <c r="B3087" s="232" t="str">
        <f>IF(AND(A3087&lt;&gt;"",ISNUMBER(A3087)),VLOOKUP(A3087,Studies!A:BR,2,FALSE),"")</f>
        <v>Kharasch 2011</v>
      </c>
      <c r="C3087" s="232" t="str">
        <f>IF(AND(A3087&lt;&gt;"",ISNUMBER(A3087)),VLOOKUP(A3087,Studies!A:BR,3,FALSE),"")</f>
        <v>https://www.ncbi.nlm.nih.gov/pubmed/21562488</v>
      </c>
      <c r="D3087" s="232" t="str">
        <f>IF(AND(A3087&lt;&gt;"",ISNUMBER(A3087)),VLOOKUP(A3087,Studies!A:BR,4,FALSE),"")</f>
        <v>iv with Perpetrator (Rifampicin @ 10 mg)</v>
      </c>
      <c r="E3087" s="206" t="str">
        <f>IF(AND(A3087&lt;&gt;"",ISNUMBER(A3087)),VLOOKUP(A3087,Studies!A:BR,5,FALSE),"")</f>
        <v>Alfentanil</v>
      </c>
      <c r="F3087" s="207" t="str">
        <f>IF(AND(A3087&lt;&gt;"",ISNUMBER(A3087)),VLOOKUP(A3087,Studies!A:BR,6,FALSE),"")</f>
        <v>Plasma</v>
      </c>
      <c r="G3087" s="194">
        <v>111</v>
      </c>
      <c r="H3087" s="194" t="s">
        <v>60</v>
      </c>
      <c r="I3087" s="187">
        <v>8.5461349999999996</v>
      </c>
      <c r="J3087" s="187" t="s">
        <v>1090</v>
      </c>
      <c r="K3087" s="187" t="s">
        <v>116</v>
      </c>
      <c r="L3087" s="195"/>
      <c r="M3087" s="195"/>
      <c r="N3087" s="195"/>
      <c r="O3087" s="199"/>
      <c r="P3087" s="188"/>
      <c r="Q3087" s="174">
        <f>IF(ISNUMBER(VLOOKUP(A3087,NotghiID!A:A,1,FALSE)),1,0)</f>
        <v>1</v>
      </c>
    </row>
    <row r="3088" spans="1:17" ht="14.25" x14ac:dyDescent="0.2">
      <c r="A3088" s="189">
        <v>300</v>
      </c>
      <c r="B3088" s="232" t="str">
        <f>IF(AND(A3088&lt;&gt;"",ISNUMBER(A3088)),VLOOKUP(A3088,Studies!A:BR,2,FALSE),"")</f>
        <v>Kharasch 2011</v>
      </c>
      <c r="C3088" s="232" t="str">
        <f>IF(AND(A3088&lt;&gt;"",ISNUMBER(A3088)),VLOOKUP(A3088,Studies!A:BR,3,FALSE),"")</f>
        <v>https://www.ncbi.nlm.nih.gov/pubmed/21562488</v>
      </c>
      <c r="D3088" s="232" t="str">
        <f>IF(AND(A3088&lt;&gt;"",ISNUMBER(A3088)),VLOOKUP(A3088,Studies!A:BR,4,FALSE),"")</f>
        <v>iv with Perpetrator (Rifampicin @ 10 mg)</v>
      </c>
      <c r="E3088" s="206" t="str">
        <f>IF(AND(A3088&lt;&gt;"",ISNUMBER(A3088)),VLOOKUP(A3088,Studies!A:BR,5,FALSE),"")</f>
        <v>Alfentanil</v>
      </c>
      <c r="F3088" s="207" t="str">
        <f>IF(AND(A3088&lt;&gt;"",ISNUMBER(A3088)),VLOOKUP(A3088,Studies!A:BR,6,FALSE),"")</f>
        <v>Plasma</v>
      </c>
      <c r="G3088" s="194">
        <v>111.5</v>
      </c>
      <c r="H3088" s="194" t="s">
        <v>60</v>
      </c>
      <c r="I3088" s="187">
        <v>6.5558820000000004</v>
      </c>
      <c r="J3088" s="187" t="s">
        <v>1090</v>
      </c>
      <c r="K3088" s="187" t="s">
        <v>116</v>
      </c>
      <c r="L3088" s="195"/>
      <c r="M3088" s="195"/>
      <c r="N3088" s="195"/>
      <c r="O3088" s="199"/>
      <c r="P3088" s="188"/>
      <c r="Q3088" s="174">
        <f>IF(ISNUMBER(VLOOKUP(A3088,NotghiID!A:A,1,FALSE)),1,0)</f>
        <v>1</v>
      </c>
    </row>
    <row r="3089" spans="1:17" ht="14.25" x14ac:dyDescent="0.2">
      <c r="A3089" s="189">
        <v>300</v>
      </c>
      <c r="B3089" s="232" t="str">
        <f>IF(AND(A3089&lt;&gt;"",ISNUMBER(A3089)),VLOOKUP(A3089,Studies!A:BR,2,FALSE),"")</f>
        <v>Kharasch 2011</v>
      </c>
      <c r="C3089" s="232" t="str">
        <f>IF(AND(A3089&lt;&gt;"",ISNUMBER(A3089)),VLOOKUP(A3089,Studies!A:BR,3,FALSE),"")</f>
        <v>https://www.ncbi.nlm.nih.gov/pubmed/21562488</v>
      </c>
      <c r="D3089" s="232" t="str">
        <f>IF(AND(A3089&lt;&gt;"",ISNUMBER(A3089)),VLOOKUP(A3089,Studies!A:BR,4,FALSE),"")</f>
        <v>iv with Perpetrator (Rifampicin @ 10 mg)</v>
      </c>
      <c r="E3089" s="206" t="str">
        <f>IF(AND(A3089&lt;&gt;"",ISNUMBER(A3089)),VLOOKUP(A3089,Studies!A:BR,5,FALSE),"")</f>
        <v>Alfentanil</v>
      </c>
      <c r="F3089" s="207" t="str">
        <f>IF(AND(A3089&lt;&gt;"",ISNUMBER(A3089)),VLOOKUP(A3089,Studies!A:BR,6,FALSE),"")</f>
        <v>Plasma</v>
      </c>
      <c r="G3089" s="194">
        <v>112</v>
      </c>
      <c r="H3089" s="194" t="s">
        <v>60</v>
      </c>
      <c r="I3089" s="187">
        <v>4.9555959999999999</v>
      </c>
      <c r="J3089" s="187" t="s">
        <v>1090</v>
      </c>
      <c r="K3089" s="187" t="s">
        <v>116</v>
      </c>
      <c r="L3089" s="195"/>
      <c r="M3089" s="195"/>
      <c r="N3089" s="195"/>
      <c r="O3089" s="199"/>
      <c r="P3089" s="188"/>
      <c r="Q3089" s="174">
        <f>IF(ISNUMBER(VLOOKUP(A3089,NotghiID!A:A,1,FALSE)),1,0)</f>
        <v>1</v>
      </c>
    </row>
    <row r="3090" spans="1:17" ht="14.25" x14ac:dyDescent="0.2">
      <c r="A3090" s="189">
        <v>300</v>
      </c>
      <c r="B3090" s="232" t="str">
        <f>IF(AND(A3090&lt;&gt;"",ISNUMBER(A3090)),VLOOKUP(A3090,Studies!A:BR,2,FALSE),"")</f>
        <v>Kharasch 2011</v>
      </c>
      <c r="C3090" s="232" t="str">
        <f>IF(AND(A3090&lt;&gt;"",ISNUMBER(A3090)),VLOOKUP(A3090,Studies!A:BR,3,FALSE),"")</f>
        <v>https://www.ncbi.nlm.nih.gov/pubmed/21562488</v>
      </c>
      <c r="D3090" s="232" t="str">
        <f>IF(AND(A3090&lt;&gt;"",ISNUMBER(A3090)),VLOOKUP(A3090,Studies!A:BR,4,FALSE),"")</f>
        <v>iv with Perpetrator (Rifampicin @ 10 mg)</v>
      </c>
      <c r="E3090" s="206" t="str">
        <f>IF(AND(A3090&lt;&gt;"",ISNUMBER(A3090)),VLOOKUP(A3090,Studies!A:BR,5,FALSE),"")</f>
        <v>Alfentanil</v>
      </c>
      <c r="F3090" s="207" t="str">
        <f>IF(AND(A3090&lt;&gt;"",ISNUMBER(A3090)),VLOOKUP(A3090,Studies!A:BR,6,FALSE),"")</f>
        <v>Plasma</v>
      </c>
      <c r="G3090" s="194">
        <v>113</v>
      </c>
      <c r="H3090" s="194" t="s">
        <v>60</v>
      </c>
      <c r="I3090" s="187">
        <v>2.7901590000000001</v>
      </c>
      <c r="J3090" s="187" t="s">
        <v>1090</v>
      </c>
      <c r="K3090" s="187" t="s">
        <v>116</v>
      </c>
      <c r="L3090" s="195"/>
      <c r="M3090" s="195"/>
      <c r="N3090" s="195"/>
      <c r="O3090" s="199"/>
      <c r="P3090" s="188"/>
      <c r="Q3090" s="174">
        <f>IF(ISNUMBER(VLOOKUP(A3090,NotghiID!A:A,1,FALSE)),1,0)</f>
        <v>1</v>
      </c>
    </row>
    <row r="3091" spans="1:17" ht="14.25" x14ac:dyDescent="0.2">
      <c r="A3091" s="189">
        <v>300</v>
      </c>
      <c r="B3091" s="232" t="str">
        <f>IF(AND(A3091&lt;&gt;"",ISNUMBER(A3091)),VLOOKUP(A3091,Studies!A:BR,2,FALSE),"")</f>
        <v>Kharasch 2011</v>
      </c>
      <c r="C3091" s="232" t="str">
        <f>IF(AND(A3091&lt;&gt;"",ISNUMBER(A3091)),VLOOKUP(A3091,Studies!A:BR,3,FALSE),"")</f>
        <v>https://www.ncbi.nlm.nih.gov/pubmed/21562488</v>
      </c>
      <c r="D3091" s="232" t="str">
        <f>IF(AND(A3091&lt;&gt;"",ISNUMBER(A3091)),VLOOKUP(A3091,Studies!A:BR,4,FALSE),"")</f>
        <v>iv with Perpetrator (Rifampicin @ 10 mg)</v>
      </c>
      <c r="E3091" s="206" t="str">
        <f>IF(AND(A3091&lt;&gt;"",ISNUMBER(A3091)),VLOOKUP(A3091,Studies!A:BR,5,FALSE),"")</f>
        <v>Alfentanil</v>
      </c>
      <c r="F3091" s="207" t="str">
        <f>IF(AND(A3091&lt;&gt;"",ISNUMBER(A3091)),VLOOKUP(A3091,Studies!A:BR,6,FALSE),"")</f>
        <v>Plasma</v>
      </c>
      <c r="G3091" s="194">
        <v>114</v>
      </c>
      <c r="H3091" s="194" t="s">
        <v>60</v>
      </c>
      <c r="I3091" s="187">
        <v>1.6419189999999999</v>
      </c>
      <c r="J3091" s="187" t="s">
        <v>1090</v>
      </c>
      <c r="K3091" s="187" t="s">
        <v>116</v>
      </c>
      <c r="L3091" s="195"/>
      <c r="M3091" s="195"/>
      <c r="N3091" s="195"/>
      <c r="O3091" s="199"/>
      <c r="P3091" s="188"/>
      <c r="Q3091" s="174">
        <f>IF(ISNUMBER(VLOOKUP(A3091,NotghiID!A:A,1,FALSE)),1,0)</f>
        <v>1</v>
      </c>
    </row>
    <row r="3092" spans="1:17" ht="14.25" x14ac:dyDescent="0.2">
      <c r="A3092" s="189">
        <v>300</v>
      </c>
      <c r="B3092" s="232" t="str">
        <f>IF(AND(A3092&lt;&gt;"",ISNUMBER(A3092)),VLOOKUP(A3092,Studies!A:BR,2,FALSE),"")</f>
        <v>Kharasch 2011</v>
      </c>
      <c r="C3092" s="232" t="str">
        <f>IF(AND(A3092&lt;&gt;"",ISNUMBER(A3092)),VLOOKUP(A3092,Studies!A:BR,3,FALSE),"")</f>
        <v>https://www.ncbi.nlm.nih.gov/pubmed/21562488</v>
      </c>
      <c r="D3092" s="232" t="str">
        <f>IF(AND(A3092&lt;&gt;"",ISNUMBER(A3092)),VLOOKUP(A3092,Studies!A:BR,4,FALSE),"")</f>
        <v>iv with Perpetrator (Rifampicin @ 10 mg)</v>
      </c>
      <c r="E3092" s="206" t="str">
        <f>IF(AND(A3092&lt;&gt;"",ISNUMBER(A3092)),VLOOKUP(A3092,Studies!A:BR,5,FALSE),"")</f>
        <v>Alfentanil</v>
      </c>
      <c r="F3092" s="207" t="str">
        <f>IF(AND(A3092&lt;&gt;"",ISNUMBER(A3092)),VLOOKUP(A3092,Studies!A:BR,6,FALSE),"")</f>
        <v>Plasma</v>
      </c>
      <c r="G3092" s="194">
        <v>115</v>
      </c>
      <c r="H3092" s="194" t="s">
        <v>60</v>
      </c>
      <c r="I3092" s="187">
        <v>0.87156250000000002</v>
      </c>
      <c r="J3092" s="187" t="s">
        <v>1090</v>
      </c>
      <c r="K3092" s="187" t="s">
        <v>116</v>
      </c>
      <c r="L3092" s="195"/>
      <c r="M3092" s="195"/>
      <c r="N3092" s="195"/>
      <c r="O3092" s="199"/>
      <c r="P3092" s="188"/>
      <c r="Q3092" s="174">
        <f>IF(ISNUMBER(VLOOKUP(A3092,NotghiID!A:A,1,FALSE)),1,0)</f>
        <v>1</v>
      </c>
    </row>
    <row r="3093" spans="1:17" ht="14.25" x14ac:dyDescent="0.2">
      <c r="A3093" s="189">
        <v>300</v>
      </c>
      <c r="B3093" s="232" t="str">
        <f>IF(AND(A3093&lt;&gt;"",ISNUMBER(A3093)),VLOOKUP(A3093,Studies!A:BR,2,FALSE),"")</f>
        <v>Kharasch 2011</v>
      </c>
      <c r="C3093" s="232" t="str">
        <f>IF(AND(A3093&lt;&gt;"",ISNUMBER(A3093)),VLOOKUP(A3093,Studies!A:BR,3,FALSE),"")</f>
        <v>https://www.ncbi.nlm.nih.gov/pubmed/21562488</v>
      </c>
      <c r="D3093" s="232" t="str">
        <f>IF(AND(A3093&lt;&gt;"",ISNUMBER(A3093)),VLOOKUP(A3093,Studies!A:BR,4,FALSE),"")</f>
        <v>iv with Perpetrator (Rifampicin @ 10 mg)</v>
      </c>
      <c r="E3093" s="206" t="str">
        <f>IF(AND(A3093&lt;&gt;"",ISNUMBER(A3093)),VLOOKUP(A3093,Studies!A:BR,5,FALSE),"")</f>
        <v>Alfentanil</v>
      </c>
      <c r="F3093" s="207" t="str">
        <f>IF(AND(A3093&lt;&gt;"",ISNUMBER(A3093)),VLOOKUP(A3093,Studies!A:BR,6,FALSE),"")</f>
        <v>Plasma</v>
      </c>
      <c r="G3093" s="194">
        <v>116</v>
      </c>
      <c r="H3093" s="194" t="s">
        <v>60</v>
      </c>
      <c r="I3093" s="187">
        <v>0.52049659999999998</v>
      </c>
      <c r="J3093" s="187" t="s">
        <v>1090</v>
      </c>
      <c r="K3093" s="187" t="s">
        <v>116</v>
      </c>
      <c r="L3093" s="195"/>
      <c r="M3093" s="195"/>
      <c r="N3093" s="195"/>
      <c r="O3093" s="199"/>
      <c r="P3093" s="188"/>
      <c r="Q3093" s="174">
        <f>IF(ISNUMBER(VLOOKUP(A3093,NotghiID!A:A,1,FALSE)),1,0)</f>
        <v>1</v>
      </c>
    </row>
    <row r="3094" spans="1:17" ht="14.25" x14ac:dyDescent="0.2">
      <c r="A3094" s="189">
        <v>301</v>
      </c>
      <c r="B3094" s="232" t="str">
        <f>IF(AND(A3094&lt;&gt;"",ISNUMBER(A3094)),VLOOKUP(A3094,Studies!A:BR,2,FALSE),"")</f>
        <v>Kharasch 2011</v>
      </c>
      <c r="C3094" s="232" t="str">
        <f>IF(AND(A3094&lt;&gt;"",ISNUMBER(A3094)),VLOOKUP(A3094,Studies!A:BR,3,FALSE),"")</f>
        <v>https://www.ncbi.nlm.nih.gov/pubmed/21562488</v>
      </c>
      <c r="D3094" s="232" t="str">
        <f>IF(AND(A3094&lt;&gt;"",ISNUMBER(A3094)),VLOOKUP(A3094,Studies!A:BR,4,FALSE),"")</f>
        <v>iv with Perpetrator (Rifampicin @ 25 mg)</v>
      </c>
      <c r="E3094" s="206" t="str">
        <f>IF(AND(A3094&lt;&gt;"",ISNUMBER(A3094)),VLOOKUP(A3094,Studies!A:BR,5,FALSE),"")</f>
        <v>Alfentanil</v>
      </c>
      <c r="F3094" s="207" t="str">
        <f>IF(AND(A3094&lt;&gt;"",ISNUMBER(A3094)),VLOOKUP(A3094,Studies!A:BR,6,FALSE),"")</f>
        <v>Plasma</v>
      </c>
      <c r="G3094" s="194">
        <v>109</v>
      </c>
      <c r="H3094" s="194" t="s">
        <v>60</v>
      </c>
      <c r="I3094" s="187">
        <v>102.9896</v>
      </c>
      <c r="J3094" s="187" t="s">
        <v>1090</v>
      </c>
      <c r="K3094" s="187" t="s">
        <v>116</v>
      </c>
      <c r="L3094" s="195"/>
      <c r="M3094" s="195"/>
      <c r="N3094" s="195"/>
      <c r="O3094" s="199"/>
      <c r="P3094" s="188"/>
      <c r="Q3094" s="174">
        <f>IF(ISNUMBER(VLOOKUP(A3094,NotghiID!A:A,1,FALSE)),1,0)</f>
        <v>1</v>
      </c>
    </row>
    <row r="3095" spans="1:17" ht="14.25" x14ac:dyDescent="0.2">
      <c r="A3095" s="189">
        <v>301</v>
      </c>
      <c r="B3095" s="232" t="str">
        <f>IF(AND(A3095&lt;&gt;"",ISNUMBER(A3095)),VLOOKUP(A3095,Studies!A:BR,2,FALSE),"")</f>
        <v>Kharasch 2011</v>
      </c>
      <c r="C3095" s="232" t="str">
        <f>IF(AND(A3095&lt;&gt;"",ISNUMBER(A3095)),VLOOKUP(A3095,Studies!A:BR,3,FALSE),"")</f>
        <v>https://www.ncbi.nlm.nih.gov/pubmed/21562488</v>
      </c>
      <c r="D3095" s="232" t="str">
        <f>IF(AND(A3095&lt;&gt;"",ISNUMBER(A3095)),VLOOKUP(A3095,Studies!A:BR,4,FALSE),"")</f>
        <v>iv with Perpetrator (Rifampicin @ 25 mg)</v>
      </c>
      <c r="E3095" s="206" t="str">
        <f>IF(AND(A3095&lt;&gt;"",ISNUMBER(A3095)),VLOOKUP(A3095,Studies!A:BR,5,FALSE),"")</f>
        <v>Alfentanil</v>
      </c>
      <c r="F3095" s="207" t="str">
        <f>IF(AND(A3095&lt;&gt;"",ISNUMBER(A3095)),VLOOKUP(A3095,Studies!A:BR,6,FALSE),"")</f>
        <v>Plasma</v>
      </c>
      <c r="G3095" s="194">
        <v>109.08</v>
      </c>
      <c r="H3095" s="194" t="s">
        <v>60</v>
      </c>
      <c r="I3095" s="187">
        <v>58.846789999999999</v>
      </c>
      <c r="J3095" s="187" t="s">
        <v>1090</v>
      </c>
      <c r="K3095" s="187" t="s">
        <v>116</v>
      </c>
      <c r="L3095" s="195"/>
      <c r="M3095" s="195"/>
      <c r="N3095" s="195"/>
      <c r="O3095" s="199"/>
      <c r="P3095" s="188"/>
      <c r="Q3095" s="174">
        <f>IF(ISNUMBER(VLOOKUP(A3095,NotghiID!A:A,1,FALSE)),1,0)</f>
        <v>1</v>
      </c>
    </row>
    <row r="3096" spans="1:17" ht="14.25" x14ac:dyDescent="0.2">
      <c r="A3096" s="189">
        <v>301</v>
      </c>
      <c r="B3096" s="232" t="str">
        <f>IF(AND(A3096&lt;&gt;"",ISNUMBER(A3096)),VLOOKUP(A3096,Studies!A:BR,2,FALSE),"")</f>
        <v>Kharasch 2011</v>
      </c>
      <c r="C3096" s="232" t="str">
        <f>IF(AND(A3096&lt;&gt;"",ISNUMBER(A3096)),VLOOKUP(A3096,Studies!A:BR,3,FALSE),"")</f>
        <v>https://www.ncbi.nlm.nih.gov/pubmed/21562488</v>
      </c>
      <c r="D3096" s="232" t="str">
        <f>IF(AND(A3096&lt;&gt;"",ISNUMBER(A3096)),VLOOKUP(A3096,Studies!A:BR,4,FALSE),"")</f>
        <v>iv with Perpetrator (Rifampicin @ 25 mg)</v>
      </c>
      <c r="E3096" s="206" t="str">
        <f>IF(AND(A3096&lt;&gt;"",ISNUMBER(A3096)),VLOOKUP(A3096,Studies!A:BR,5,FALSE),"")</f>
        <v>Alfentanil</v>
      </c>
      <c r="F3096" s="207" t="str">
        <f>IF(AND(A3096&lt;&gt;"",ISNUMBER(A3096)),VLOOKUP(A3096,Studies!A:BR,6,FALSE),"")</f>
        <v>Plasma</v>
      </c>
      <c r="G3096" s="194">
        <v>109.17</v>
      </c>
      <c r="H3096" s="194" t="s">
        <v>60</v>
      </c>
      <c r="I3096" s="187">
        <v>41.324219999999997</v>
      </c>
      <c r="J3096" s="187" t="s">
        <v>1090</v>
      </c>
      <c r="K3096" s="187" t="s">
        <v>116</v>
      </c>
      <c r="L3096" s="195"/>
      <c r="M3096" s="195"/>
      <c r="N3096" s="195"/>
      <c r="O3096" s="199"/>
      <c r="P3096" s="188"/>
      <c r="Q3096" s="174">
        <f>IF(ISNUMBER(VLOOKUP(A3096,NotghiID!A:A,1,FALSE)),1,0)</f>
        <v>1</v>
      </c>
    </row>
    <row r="3097" spans="1:17" ht="14.25" x14ac:dyDescent="0.2">
      <c r="A3097" s="189">
        <v>301</v>
      </c>
      <c r="B3097" s="232" t="str">
        <f>IF(AND(A3097&lt;&gt;"",ISNUMBER(A3097)),VLOOKUP(A3097,Studies!A:BR,2,FALSE),"")</f>
        <v>Kharasch 2011</v>
      </c>
      <c r="C3097" s="232" t="str">
        <f>IF(AND(A3097&lt;&gt;"",ISNUMBER(A3097)),VLOOKUP(A3097,Studies!A:BR,3,FALSE),"")</f>
        <v>https://www.ncbi.nlm.nih.gov/pubmed/21562488</v>
      </c>
      <c r="D3097" s="232" t="str">
        <f>IF(AND(A3097&lt;&gt;"",ISNUMBER(A3097)),VLOOKUP(A3097,Studies!A:BR,4,FALSE),"")</f>
        <v>iv with Perpetrator (Rifampicin @ 25 mg)</v>
      </c>
      <c r="E3097" s="206" t="str">
        <f>IF(AND(A3097&lt;&gt;"",ISNUMBER(A3097)),VLOOKUP(A3097,Studies!A:BR,5,FALSE),"")</f>
        <v>Alfentanil</v>
      </c>
      <c r="F3097" s="207" t="str">
        <f>IF(AND(A3097&lt;&gt;"",ISNUMBER(A3097)),VLOOKUP(A3097,Studies!A:BR,6,FALSE),"")</f>
        <v>Plasma</v>
      </c>
      <c r="G3097" s="194">
        <v>109.25</v>
      </c>
      <c r="H3097" s="194" t="s">
        <v>60</v>
      </c>
      <c r="I3097" s="187">
        <v>32.170859999999998</v>
      </c>
      <c r="J3097" s="187" t="s">
        <v>1090</v>
      </c>
      <c r="K3097" s="187" t="s">
        <v>116</v>
      </c>
      <c r="L3097" s="195"/>
      <c r="M3097" s="195"/>
      <c r="N3097" s="195"/>
      <c r="O3097" s="199"/>
      <c r="P3097" s="188"/>
      <c r="Q3097" s="174">
        <f>IF(ISNUMBER(VLOOKUP(A3097,NotghiID!A:A,1,FALSE)),1,0)</f>
        <v>1</v>
      </c>
    </row>
    <row r="3098" spans="1:17" ht="14.25" x14ac:dyDescent="0.2">
      <c r="A3098" s="189">
        <v>301</v>
      </c>
      <c r="B3098" s="232" t="str">
        <f>IF(AND(A3098&lt;&gt;"",ISNUMBER(A3098)),VLOOKUP(A3098,Studies!A:BR,2,FALSE),"")</f>
        <v>Kharasch 2011</v>
      </c>
      <c r="C3098" s="232" t="str">
        <f>IF(AND(A3098&lt;&gt;"",ISNUMBER(A3098)),VLOOKUP(A3098,Studies!A:BR,3,FALSE),"")</f>
        <v>https://www.ncbi.nlm.nih.gov/pubmed/21562488</v>
      </c>
      <c r="D3098" s="232" t="str">
        <f>IF(AND(A3098&lt;&gt;"",ISNUMBER(A3098)),VLOOKUP(A3098,Studies!A:BR,4,FALSE),"")</f>
        <v>iv with Perpetrator (Rifampicin @ 25 mg)</v>
      </c>
      <c r="E3098" s="206" t="str">
        <f>IF(AND(A3098&lt;&gt;"",ISNUMBER(A3098)),VLOOKUP(A3098,Studies!A:BR,5,FALSE),"")</f>
        <v>Alfentanil</v>
      </c>
      <c r="F3098" s="207" t="str">
        <f>IF(AND(A3098&lt;&gt;"",ISNUMBER(A3098)),VLOOKUP(A3098,Studies!A:BR,6,FALSE),"")</f>
        <v>Plasma</v>
      </c>
      <c r="G3098" s="194">
        <v>109.5</v>
      </c>
      <c r="H3098" s="194" t="s">
        <v>60</v>
      </c>
      <c r="I3098" s="187">
        <v>20.680689999999998</v>
      </c>
      <c r="J3098" s="187" t="s">
        <v>1090</v>
      </c>
      <c r="K3098" s="187" t="s">
        <v>116</v>
      </c>
      <c r="L3098" s="195"/>
      <c r="M3098" s="195"/>
      <c r="N3098" s="195"/>
      <c r="O3098" s="199"/>
      <c r="P3098" s="188"/>
      <c r="Q3098" s="174">
        <f>IF(ISNUMBER(VLOOKUP(A3098,NotghiID!A:A,1,FALSE)),1,0)</f>
        <v>1</v>
      </c>
    </row>
    <row r="3099" spans="1:17" ht="14.25" x14ac:dyDescent="0.2">
      <c r="A3099" s="189">
        <v>301</v>
      </c>
      <c r="B3099" s="232" t="str">
        <f>IF(AND(A3099&lt;&gt;"",ISNUMBER(A3099)),VLOOKUP(A3099,Studies!A:BR,2,FALSE),"")</f>
        <v>Kharasch 2011</v>
      </c>
      <c r="C3099" s="232" t="str">
        <f>IF(AND(A3099&lt;&gt;"",ISNUMBER(A3099)),VLOOKUP(A3099,Studies!A:BR,3,FALSE),"")</f>
        <v>https://www.ncbi.nlm.nih.gov/pubmed/21562488</v>
      </c>
      <c r="D3099" s="232" t="str">
        <f>IF(AND(A3099&lt;&gt;"",ISNUMBER(A3099)),VLOOKUP(A3099,Studies!A:BR,4,FALSE),"")</f>
        <v>iv with Perpetrator (Rifampicin @ 25 mg)</v>
      </c>
      <c r="E3099" s="206" t="str">
        <f>IF(AND(A3099&lt;&gt;"",ISNUMBER(A3099)),VLOOKUP(A3099,Studies!A:BR,5,FALSE),"")</f>
        <v>Alfentanil</v>
      </c>
      <c r="F3099" s="207" t="str">
        <f>IF(AND(A3099&lt;&gt;"",ISNUMBER(A3099)),VLOOKUP(A3099,Studies!A:BR,6,FALSE),"")</f>
        <v>Plasma</v>
      </c>
      <c r="G3099" s="194">
        <v>109.75</v>
      </c>
      <c r="H3099" s="194" t="s">
        <v>60</v>
      </c>
      <c r="I3099" s="187">
        <v>15.17877</v>
      </c>
      <c r="J3099" s="187" t="s">
        <v>1090</v>
      </c>
      <c r="K3099" s="187" t="s">
        <v>116</v>
      </c>
      <c r="L3099" s="195"/>
      <c r="M3099" s="195"/>
      <c r="N3099" s="195"/>
      <c r="O3099" s="199"/>
      <c r="P3099" s="188"/>
      <c r="Q3099" s="174">
        <f>IF(ISNUMBER(VLOOKUP(A3099,NotghiID!A:A,1,FALSE)),1,0)</f>
        <v>1</v>
      </c>
    </row>
    <row r="3100" spans="1:17" ht="14.25" x14ac:dyDescent="0.2">
      <c r="A3100" s="189">
        <v>301</v>
      </c>
      <c r="B3100" s="232" t="str">
        <f>IF(AND(A3100&lt;&gt;"",ISNUMBER(A3100)),VLOOKUP(A3100,Studies!A:BR,2,FALSE),"")</f>
        <v>Kharasch 2011</v>
      </c>
      <c r="C3100" s="232" t="str">
        <f>IF(AND(A3100&lt;&gt;"",ISNUMBER(A3100)),VLOOKUP(A3100,Studies!A:BR,3,FALSE),"")</f>
        <v>https://www.ncbi.nlm.nih.gov/pubmed/21562488</v>
      </c>
      <c r="D3100" s="232" t="str">
        <f>IF(AND(A3100&lt;&gt;"",ISNUMBER(A3100)),VLOOKUP(A3100,Studies!A:BR,4,FALSE),"")</f>
        <v>iv with Perpetrator (Rifampicin @ 25 mg)</v>
      </c>
      <c r="E3100" s="206" t="str">
        <f>IF(AND(A3100&lt;&gt;"",ISNUMBER(A3100)),VLOOKUP(A3100,Studies!A:BR,5,FALSE),"")</f>
        <v>Alfentanil</v>
      </c>
      <c r="F3100" s="207" t="str">
        <f>IF(AND(A3100&lt;&gt;"",ISNUMBER(A3100)),VLOOKUP(A3100,Studies!A:BR,6,FALSE),"")</f>
        <v>Plasma</v>
      </c>
      <c r="G3100" s="194">
        <v>110</v>
      </c>
      <c r="H3100" s="194" t="s">
        <v>60</v>
      </c>
      <c r="I3100" s="187">
        <v>11.816660000000001</v>
      </c>
      <c r="J3100" s="187" t="s">
        <v>1090</v>
      </c>
      <c r="K3100" s="187" t="s">
        <v>116</v>
      </c>
      <c r="L3100" s="195"/>
      <c r="M3100" s="195"/>
      <c r="N3100" s="195"/>
      <c r="O3100" s="199"/>
      <c r="P3100" s="188"/>
      <c r="Q3100" s="174">
        <f>IF(ISNUMBER(VLOOKUP(A3100,NotghiID!A:A,1,FALSE)),1,0)</f>
        <v>1</v>
      </c>
    </row>
    <row r="3101" spans="1:17" ht="14.25" x14ac:dyDescent="0.2">
      <c r="A3101" s="189">
        <v>301</v>
      </c>
      <c r="B3101" s="232" t="str">
        <f>IF(AND(A3101&lt;&gt;"",ISNUMBER(A3101)),VLOOKUP(A3101,Studies!A:BR,2,FALSE),"")</f>
        <v>Kharasch 2011</v>
      </c>
      <c r="C3101" s="232" t="str">
        <f>IF(AND(A3101&lt;&gt;"",ISNUMBER(A3101)),VLOOKUP(A3101,Studies!A:BR,3,FALSE),"")</f>
        <v>https://www.ncbi.nlm.nih.gov/pubmed/21562488</v>
      </c>
      <c r="D3101" s="232" t="str">
        <f>IF(AND(A3101&lt;&gt;"",ISNUMBER(A3101)),VLOOKUP(A3101,Studies!A:BR,4,FALSE),"")</f>
        <v>iv with Perpetrator (Rifampicin @ 25 mg)</v>
      </c>
      <c r="E3101" s="206" t="str">
        <f>IF(AND(A3101&lt;&gt;"",ISNUMBER(A3101)),VLOOKUP(A3101,Studies!A:BR,5,FALSE),"")</f>
        <v>Alfentanil</v>
      </c>
      <c r="F3101" s="207" t="str">
        <f>IF(AND(A3101&lt;&gt;"",ISNUMBER(A3101)),VLOOKUP(A3101,Studies!A:BR,6,FALSE),"")</f>
        <v>Plasma</v>
      </c>
      <c r="G3101" s="194">
        <v>110.5</v>
      </c>
      <c r="H3101" s="194" t="s">
        <v>60</v>
      </c>
      <c r="I3101" s="187">
        <v>8.0571859999999997</v>
      </c>
      <c r="J3101" s="187" t="s">
        <v>1090</v>
      </c>
      <c r="K3101" s="187" t="s">
        <v>116</v>
      </c>
      <c r="L3101" s="195"/>
      <c r="M3101" s="195"/>
      <c r="N3101" s="195"/>
      <c r="O3101" s="199"/>
      <c r="P3101" s="188"/>
      <c r="Q3101" s="174">
        <f>IF(ISNUMBER(VLOOKUP(A3101,NotghiID!A:A,1,FALSE)),1,0)</f>
        <v>1</v>
      </c>
    </row>
    <row r="3102" spans="1:17" ht="14.25" x14ac:dyDescent="0.2">
      <c r="A3102" s="189">
        <v>301</v>
      </c>
      <c r="B3102" s="232" t="str">
        <f>IF(AND(A3102&lt;&gt;"",ISNUMBER(A3102)),VLOOKUP(A3102,Studies!A:BR,2,FALSE),"")</f>
        <v>Kharasch 2011</v>
      </c>
      <c r="C3102" s="232" t="str">
        <f>IF(AND(A3102&lt;&gt;"",ISNUMBER(A3102)),VLOOKUP(A3102,Studies!A:BR,3,FALSE),"")</f>
        <v>https://www.ncbi.nlm.nih.gov/pubmed/21562488</v>
      </c>
      <c r="D3102" s="232" t="str">
        <f>IF(AND(A3102&lt;&gt;"",ISNUMBER(A3102)),VLOOKUP(A3102,Studies!A:BR,4,FALSE),"")</f>
        <v>iv with Perpetrator (Rifampicin @ 25 mg)</v>
      </c>
      <c r="E3102" s="206" t="str">
        <f>IF(AND(A3102&lt;&gt;"",ISNUMBER(A3102)),VLOOKUP(A3102,Studies!A:BR,5,FALSE),"")</f>
        <v>Alfentanil</v>
      </c>
      <c r="F3102" s="207" t="str">
        <f>IF(AND(A3102&lt;&gt;"",ISNUMBER(A3102)),VLOOKUP(A3102,Studies!A:BR,6,FALSE),"")</f>
        <v>Plasma</v>
      </c>
      <c r="G3102" s="194">
        <v>111</v>
      </c>
      <c r="H3102" s="194" t="s">
        <v>60</v>
      </c>
      <c r="I3102" s="187">
        <v>5.7419820000000001</v>
      </c>
      <c r="J3102" s="187" t="s">
        <v>1090</v>
      </c>
      <c r="K3102" s="187" t="s">
        <v>116</v>
      </c>
      <c r="L3102" s="195"/>
      <c r="M3102" s="195"/>
      <c r="N3102" s="195"/>
      <c r="O3102" s="199"/>
      <c r="P3102" s="188"/>
      <c r="Q3102" s="174">
        <f>IF(ISNUMBER(VLOOKUP(A3102,NotghiID!A:A,1,FALSE)),1,0)</f>
        <v>1</v>
      </c>
    </row>
    <row r="3103" spans="1:17" ht="14.25" x14ac:dyDescent="0.2">
      <c r="A3103" s="189">
        <v>301</v>
      </c>
      <c r="B3103" s="232" t="str">
        <f>IF(AND(A3103&lt;&gt;"",ISNUMBER(A3103)),VLOOKUP(A3103,Studies!A:BR,2,FALSE),"")</f>
        <v>Kharasch 2011</v>
      </c>
      <c r="C3103" s="232" t="str">
        <f>IF(AND(A3103&lt;&gt;"",ISNUMBER(A3103)),VLOOKUP(A3103,Studies!A:BR,3,FALSE),"")</f>
        <v>https://www.ncbi.nlm.nih.gov/pubmed/21562488</v>
      </c>
      <c r="D3103" s="232" t="str">
        <f>IF(AND(A3103&lt;&gt;"",ISNUMBER(A3103)),VLOOKUP(A3103,Studies!A:BR,4,FALSE),"")</f>
        <v>iv with Perpetrator (Rifampicin @ 25 mg)</v>
      </c>
      <c r="E3103" s="206" t="str">
        <f>IF(AND(A3103&lt;&gt;"",ISNUMBER(A3103)),VLOOKUP(A3103,Studies!A:BR,5,FALSE),"")</f>
        <v>Alfentanil</v>
      </c>
      <c r="F3103" s="207" t="str">
        <f>IF(AND(A3103&lt;&gt;"",ISNUMBER(A3103)),VLOOKUP(A3103,Studies!A:BR,6,FALSE),"")</f>
        <v>Plasma</v>
      </c>
      <c r="G3103" s="194">
        <v>111.5</v>
      </c>
      <c r="H3103" s="194" t="s">
        <v>60</v>
      </c>
      <c r="I3103" s="187">
        <v>4.0322149999999999</v>
      </c>
      <c r="J3103" s="187" t="s">
        <v>1090</v>
      </c>
      <c r="K3103" s="187" t="s">
        <v>116</v>
      </c>
      <c r="L3103" s="195"/>
      <c r="M3103" s="195"/>
      <c r="N3103" s="195"/>
      <c r="O3103" s="199"/>
      <c r="P3103" s="188"/>
      <c r="Q3103" s="174">
        <f>IF(ISNUMBER(VLOOKUP(A3103,NotghiID!A:A,1,FALSE)),1,0)</f>
        <v>1</v>
      </c>
    </row>
    <row r="3104" spans="1:17" ht="14.25" x14ac:dyDescent="0.2">
      <c r="A3104" s="189">
        <v>301</v>
      </c>
      <c r="B3104" s="232" t="str">
        <f>IF(AND(A3104&lt;&gt;"",ISNUMBER(A3104)),VLOOKUP(A3104,Studies!A:BR,2,FALSE),"")</f>
        <v>Kharasch 2011</v>
      </c>
      <c r="C3104" s="232" t="str">
        <f>IF(AND(A3104&lt;&gt;"",ISNUMBER(A3104)),VLOOKUP(A3104,Studies!A:BR,3,FALSE),"")</f>
        <v>https://www.ncbi.nlm.nih.gov/pubmed/21562488</v>
      </c>
      <c r="D3104" s="232" t="str">
        <f>IF(AND(A3104&lt;&gt;"",ISNUMBER(A3104)),VLOOKUP(A3104,Studies!A:BR,4,FALSE),"")</f>
        <v>iv with Perpetrator (Rifampicin @ 25 mg)</v>
      </c>
      <c r="E3104" s="206" t="str">
        <f>IF(AND(A3104&lt;&gt;"",ISNUMBER(A3104)),VLOOKUP(A3104,Studies!A:BR,5,FALSE),"")</f>
        <v>Alfentanil</v>
      </c>
      <c r="F3104" s="207" t="str">
        <f>IF(AND(A3104&lt;&gt;"",ISNUMBER(A3104)),VLOOKUP(A3104,Studies!A:BR,6,FALSE),"")</f>
        <v>Plasma</v>
      </c>
      <c r="G3104" s="194">
        <v>112</v>
      </c>
      <c r="H3104" s="194" t="s">
        <v>60</v>
      </c>
      <c r="I3104" s="187">
        <v>2.7901590000000001</v>
      </c>
      <c r="J3104" s="187" t="s">
        <v>1090</v>
      </c>
      <c r="K3104" s="187" t="s">
        <v>116</v>
      </c>
      <c r="L3104" s="195"/>
      <c r="M3104" s="195"/>
      <c r="N3104" s="195"/>
      <c r="O3104" s="199"/>
      <c r="P3104" s="188"/>
      <c r="Q3104" s="174">
        <f>IF(ISNUMBER(VLOOKUP(A3104,NotghiID!A:A,1,FALSE)),1,0)</f>
        <v>1</v>
      </c>
    </row>
    <row r="3105" spans="1:17" ht="14.25" x14ac:dyDescent="0.2">
      <c r="A3105" s="189">
        <v>301</v>
      </c>
      <c r="B3105" s="232" t="str">
        <f>IF(AND(A3105&lt;&gt;"",ISNUMBER(A3105)),VLOOKUP(A3105,Studies!A:BR,2,FALSE),"")</f>
        <v>Kharasch 2011</v>
      </c>
      <c r="C3105" s="232" t="str">
        <f>IF(AND(A3105&lt;&gt;"",ISNUMBER(A3105)),VLOOKUP(A3105,Studies!A:BR,3,FALSE),"")</f>
        <v>https://www.ncbi.nlm.nih.gov/pubmed/21562488</v>
      </c>
      <c r="D3105" s="232" t="str">
        <f>IF(AND(A3105&lt;&gt;"",ISNUMBER(A3105)),VLOOKUP(A3105,Studies!A:BR,4,FALSE),"")</f>
        <v>iv with Perpetrator (Rifampicin @ 25 mg)</v>
      </c>
      <c r="E3105" s="206" t="str">
        <f>IF(AND(A3105&lt;&gt;"",ISNUMBER(A3105)),VLOOKUP(A3105,Studies!A:BR,5,FALSE),"")</f>
        <v>Alfentanil</v>
      </c>
      <c r="F3105" s="207" t="str">
        <f>IF(AND(A3105&lt;&gt;"",ISNUMBER(A3105)),VLOOKUP(A3105,Studies!A:BR,6,FALSE),"")</f>
        <v>Plasma</v>
      </c>
      <c r="G3105" s="194">
        <v>113</v>
      </c>
      <c r="H3105" s="194" t="s">
        <v>60</v>
      </c>
      <c r="I3105" s="187">
        <v>1.355802</v>
      </c>
      <c r="J3105" s="187" t="s">
        <v>1090</v>
      </c>
      <c r="K3105" s="187" t="s">
        <v>116</v>
      </c>
      <c r="L3105" s="195"/>
      <c r="M3105" s="195"/>
      <c r="N3105" s="195"/>
      <c r="O3105" s="199"/>
      <c r="P3105" s="188"/>
      <c r="Q3105" s="174">
        <f>IF(ISNUMBER(VLOOKUP(A3105,NotghiID!A:A,1,FALSE)),1,0)</f>
        <v>1</v>
      </c>
    </row>
    <row r="3106" spans="1:17" ht="14.25" x14ac:dyDescent="0.2">
      <c r="A3106" s="189">
        <v>301</v>
      </c>
      <c r="B3106" s="232" t="str">
        <f>IF(AND(A3106&lt;&gt;"",ISNUMBER(A3106)),VLOOKUP(A3106,Studies!A:BR,2,FALSE),"")</f>
        <v>Kharasch 2011</v>
      </c>
      <c r="C3106" s="232" t="str">
        <f>IF(AND(A3106&lt;&gt;"",ISNUMBER(A3106)),VLOOKUP(A3106,Studies!A:BR,3,FALSE),"")</f>
        <v>https://www.ncbi.nlm.nih.gov/pubmed/21562488</v>
      </c>
      <c r="D3106" s="232" t="str">
        <f>IF(AND(A3106&lt;&gt;"",ISNUMBER(A3106)),VLOOKUP(A3106,Studies!A:BR,4,FALSE),"")</f>
        <v>iv with Perpetrator (Rifampicin @ 25 mg)</v>
      </c>
      <c r="E3106" s="206" t="str">
        <f>IF(AND(A3106&lt;&gt;"",ISNUMBER(A3106)),VLOOKUP(A3106,Studies!A:BR,5,FALSE),"")</f>
        <v>Alfentanil</v>
      </c>
      <c r="F3106" s="207" t="str">
        <f>IF(AND(A3106&lt;&gt;"",ISNUMBER(A3106)),VLOOKUP(A3106,Studies!A:BR,6,FALSE),"")</f>
        <v>Plasma</v>
      </c>
      <c r="G3106" s="194">
        <v>114</v>
      </c>
      <c r="H3106" s="194" t="s">
        <v>60</v>
      </c>
      <c r="I3106" s="187">
        <v>0.75219879999999995</v>
      </c>
      <c r="J3106" s="187" t="s">
        <v>1090</v>
      </c>
      <c r="K3106" s="187" t="s">
        <v>116</v>
      </c>
      <c r="L3106" s="195"/>
      <c r="M3106" s="195"/>
      <c r="N3106" s="195"/>
      <c r="O3106" s="199"/>
      <c r="P3106" s="188"/>
      <c r="Q3106" s="174">
        <f>IF(ISNUMBER(VLOOKUP(A3106,NotghiID!A:A,1,FALSE)),1,0)</f>
        <v>1</v>
      </c>
    </row>
    <row r="3107" spans="1:17" ht="14.25" x14ac:dyDescent="0.2">
      <c r="A3107" s="189">
        <v>301</v>
      </c>
      <c r="B3107" s="232" t="str">
        <f>IF(AND(A3107&lt;&gt;"",ISNUMBER(A3107)),VLOOKUP(A3107,Studies!A:BR,2,FALSE),"")</f>
        <v>Kharasch 2011</v>
      </c>
      <c r="C3107" s="232" t="str">
        <f>IF(AND(A3107&lt;&gt;"",ISNUMBER(A3107)),VLOOKUP(A3107,Studies!A:BR,3,FALSE),"")</f>
        <v>https://www.ncbi.nlm.nih.gov/pubmed/21562488</v>
      </c>
      <c r="D3107" s="232" t="str">
        <f>IF(AND(A3107&lt;&gt;"",ISNUMBER(A3107)),VLOOKUP(A3107,Studies!A:BR,4,FALSE),"")</f>
        <v>iv with Perpetrator (Rifampicin @ 25 mg)</v>
      </c>
      <c r="E3107" s="206" t="str">
        <f>IF(AND(A3107&lt;&gt;"",ISNUMBER(A3107)),VLOOKUP(A3107,Studies!A:BR,5,FALSE),"")</f>
        <v>Alfentanil</v>
      </c>
      <c r="F3107" s="207" t="str">
        <f>IF(AND(A3107&lt;&gt;"",ISNUMBER(A3107)),VLOOKUP(A3107,Studies!A:BR,6,FALSE),"")</f>
        <v>Plasma</v>
      </c>
      <c r="G3107" s="194">
        <v>115</v>
      </c>
      <c r="H3107" s="194" t="s">
        <v>60</v>
      </c>
      <c r="I3107" s="187">
        <v>0.39344380000000001</v>
      </c>
      <c r="J3107" s="187" t="s">
        <v>1090</v>
      </c>
      <c r="K3107" s="187" t="s">
        <v>116</v>
      </c>
      <c r="L3107" s="195"/>
      <c r="M3107" s="195"/>
      <c r="N3107" s="195"/>
      <c r="O3107" s="199"/>
      <c r="P3107" s="188"/>
      <c r="Q3107" s="174">
        <f>IF(ISNUMBER(VLOOKUP(A3107,NotghiID!A:A,1,FALSE)),1,0)</f>
        <v>1</v>
      </c>
    </row>
    <row r="3108" spans="1:17" ht="14.25" x14ac:dyDescent="0.2">
      <c r="A3108" s="189">
        <v>302</v>
      </c>
      <c r="B3108" s="232" t="str">
        <f>IF(AND(A3108&lt;&gt;"",ISNUMBER(A3108)),VLOOKUP(A3108,Studies!A:BR,2,FALSE),"")</f>
        <v>Kharasch 2011</v>
      </c>
      <c r="C3108" s="232" t="str">
        <f>IF(AND(A3108&lt;&gt;"",ISNUMBER(A3108)),VLOOKUP(A3108,Studies!A:BR,3,FALSE),"")</f>
        <v>https://www.ncbi.nlm.nih.gov/pubmed/21562488</v>
      </c>
      <c r="D3108" s="232" t="str">
        <f>IF(AND(A3108&lt;&gt;"",ISNUMBER(A3108)),VLOOKUP(A3108,Studies!A:BR,4,FALSE),"")</f>
        <v>iv with Perpetrator (Rifampicin @ 75 mg)</v>
      </c>
      <c r="E3108" s="206" t="str">
        <f>IF(AND(A3108&lt;&gt;"",ISNUMBER(A3108)),VLOOKUP(A3108,Studies!A:BR,5,FALSE),"")</f>
        <v>Alfentanil</v>
      </c>
      <c r="F3108" s="207" t="str">
        <f>IF(AND(A3108&lt;&gt;"",ISNUMBER(A3108)),VLOOKUP(A3108,Studies!A:BR,6,FALSE),"")</f>
        <v>Plasma</v>
      </c>
      <c r="G3108" s="194">
        <v>109</v>
      </c>
      <c r="H3108" s="194" t="s">
        <v>60</v>
      </c>
      <c r="I3108" s="187">
        <v>106.0685</v>
      </c>
      <c r="J3108" s="187" t="s">
        <v>1090</v>
      </c>
      <c r="K3108" s="187" t="s">
        <v>116</v>
      </c>
      <c r="L3108" s="195"/>
      <c r="M3108" s="195"/>
      <c r="N3108" s="195"/>
      <c r="O3108" s="199"/>
      <c r="P3108" s="188"/>
      <c r="Q3108" s="174">
        <f>IF(ISNUMBER(VLOOKUP(A3108,NotghiID!A:A,1,FALSE)),1,0)</f>
        <v>1</v>
      </c>
    </row>
    <row r="3109" spans="1:17" ht="14.25" x14ac:dyDescent="0.2">
      <c r="A3109" s="189">
        <v>302</v>
      </c>
      <c r="B3109" s="232" t="str">
        <f>IF(AND(A3109&lt;&gt;"",ISNUMBER(A3109)),VLOOKUP(A3109,Studies!A:BR,2,FALSE),"")</f>
        <v>Kharasch 2011</v>
      </c>
      <c r="C3109" s="232" t="str">
        <f>IF(AND(A3109&lt;&gt;"",ISNUMBER(A3109)),VLOOKUP(A3109,Studies!A:BR,3,FALSE),"")</f>
        <v>https://www.ncbi.nlm.nih.gov/pubmed/21562488</v>
      </c>
      <c r="D3109" s="232" t="str">
        <f>IF(AND(A3109&lt;&gt;"",ISNUMBER(A3109)),VLOOKUP(A3109,Studies!A:BR,4,FALSE),"")</f>
        <v>iv with Perpetrator (Rifampicin @ 75 mg)</v>
      </c>
      <c r="E3109" s="206" t="str">
        <f>IF(AND(A3109&lt;&gt;"",ISNUMBER(A3109)),VLOOKUP(A3109,Studies!A:BR,5,FALSE),"")</f>
        <v>Alfentanil</v>
      </c>
      <c r="F3109" s="207" t="str">
        <f>IF(AND(A3109&lt;&gt;"",ISNUMBER(A3109)),VLOOKUP(A3109,Studies!A:BR,6,FALSE),"")</f>
        <v>Plasma</v>
      </c>
      <c r="G3109" s="194">
        <v>109.08</v>
      </c>
      <c r="H3109" s="194" t="s">
        <v>60</v>
      </c>
      <c r="I3109" s="187">
        <v>55.48</v>
      </c>
      <c r="J3109" s="187" t="s">
        <v>1090</v>
      </c>
      <c r="K3109" s="187" t="s">
        <v>116</v>
      </c>
      <c r="L3109" s="195"/>
      <c r="M3109" s="195"/>
      <c r="N3109" s="195"/>
      <c r="O3109" s="199"/>
      <c r="P3109" s="188"/>
      <c r="Q3109" s="174">
        <f>IF(ISNUMBER(VLOOKUP(A3109,NotghiID!A:A,1,FALSE)),1,0)</f>
        <v>1</v>
      </c>
    </row>
    <row r="3110" spans="1:17" ht="14.25" x14ac:dyDescent="0.2">
      <c r="A3110" s="189">
        <v>302</v>
      </c>
      <c r="B3110" s="232" t="str">
        <f>IF(AND(A3110&lt;&gt;"",ISNUMBER(A3110)),VLOOKUP(A3110,Studies!A:BR,2,FALSE),"")</f>
        <v>Kharasch 2011</v>
      </c>
      <c r="C3110" s="232" t="str">
        <f>IF(AND(A3110&lt;&gt;"",ISNUMBER(A3110)),VLOOKUP(A3110,Studies!A:BR,3,FALSE),"")</f>
        <v>https://www.ncbi.nlm.nih.gov/pubmed/21562488</v>
      </c>
      <c r="D3110" s="232" t="str">
        <f>IF(AND(A3110&lt;&gt;"",ISNUMBER(A3110)),VLOOKUP(A3110,Studies!A:BR,4,FALSE),"")</f>
        <v>iv with Perpetrator (Rifampicin @ 75 mg)</v>
      </c>
      <c r="E3110" s="206" t="str">
        <f>IF(AND(A3110&lt;&gt;"",ISNUMBER(A3110)),VLOOKUP(A3110,Studies!A:BR,5,FALSE),"")</f>
        <v>Alfentanil</v>
      </c>
      <c r="F3110" s="207" t="str">
        <f>IF(AND(A3110&lt;&gt;"",ISNUMBER(A3110)),VLOOKUP(A3110,Studies!A:BR,6,FALSE),"")</f>
        <v>Plasma</v>
      </c>
      <c r="G3110" s="194">
        <v>109.17</v>
      </c>
      <c r="H3110" s="194" t="s">
        <v>60</v>
      </c>
      <c r="I3110" s="187">
        <v>37.829030000000003</v>
      </c>
      <c r="J3110" s="187" t="s">
        <v>1090</v>
      </c>
      <c r="K3110" s="187" t="s">
        <v>116</v>
      </c>
      <c r="L3110" s="195"/>
      <c r="M3110" s="195"/>
      <c r="N3110" s="195"/>
      <c r="O3110" s="199"/>
      <c r="P3110" s="188"/>
      <c r="Q3110" s="174">
        <f>IF(ISNUMBER(VLOOKUP(A3110,NotghiID!A:A,1,FALSE)),1,0)</f>
        <v>1</v>
      </c>
    </row>
    <row r="3111" spans="1:17" ht="14.25" x14ac:dyDescent="0.2">
      <c r="A3111" s="189">
        <v>302</v>
      </c>
      <c r="B3111" s="232" t="str">
        <f>IF(AND(A3111&lt;&gt;"",ISNUMBER(A3111)),VLOOKUP(A3111,Studies!A:BR,2,FALSE),"")</f>
        <v>Kharasch 2011</v>
      </c>
      <c r="C3111" s="232" t="str">
        <f>IF(AND(A3111&lt;&gt;"",ISNUMBER(A3111)),VLOOKUP(A3111,Studies!A:BR,3,FALSE),"")</f>
        <v>https://www.ncbi.nlm.nih.gov/pubmed/21562488</v>
      </c>
      <c r="D3111" s="232" t="str">
        <f>IF(AND(A3111&lt;&gt;"",ISNUMBER(A3111)),VLOOKUP(A3111,Studies!A:BR,4,FALSE),"")</f>
        <v>iv with Perpetrator (Rifampicin @ 75 mg)</v>
      </c>
      <c r="E3111" s="206" t="str">
        <f>IF(AND(A3111&lt;&gt;"",ISNUMBER(A3111)),VLOOKUP(A3111,Studies!A:BR,5,FALSE),"")</f>
        <v>Alfentanil</v>
      </c>
      <c r="F3111" s="207" t="str">
        <f>IF(AND(A3111&lt;&gt;"",ISNUMBER(A3111)),VLOOKUP(A3111,Studies!A:BR,6,FALSE),"")</f>
        <v>Plasma</v>
      </c>
      <c r="G3111" s="194">
        <v>109.25</v>
      </c>
      <c r="H3111" s="194" t="s">
        <v>60</v>
      </c>
      <c r="I3111" s="187">
        <v>30.78031</v>
      </c>
      <c r="J3111" s="187" t="s">
        <v>1090</v>
      </c>
      <c r="K3111" s="187" t="s">
        <v>116</v>
      </c>
      <c r="L3111" s="195"/>
      <c r="M3111" s="195"/>
      <c r="N3111" s="195"/>
      <c r="O3111" s="199"/>
      <c r="P3111" s="188"/>
      <c r="Q3111" s="174">
        <f>IF(ISNUMBER(VLOOKUP(A3111,NotghiID!A:A,1,FALSE)),1,0)</f>
        <v>1</v>
      </c>
    </row>
    <row r="3112" spans="1:17" ht="14.25" x14ac:dyDescent="0.2">
      <c r="A3112" s="189">
        <v>302</v>
      </c>
      <c r="B3112" s="232" t="str">
        <f>IF(AND(A3112&lt;&gt;"",ISNUMBER(A3112)),VLOOKUP(A3112,Studies!A:BR,2,FALSE),"")</f>
        <v>Kharasch 2011</v>
      </c>
      <c r="C3112" s="232" t="str">
        <f>IF(AND(A3112&lt;&gt;"",ISNUMBER(A3112)),VLOOKUP(A3112,Studies!A:BR,3,FALSE),"")</f>
        <v>https://www.ncbi.nlm.nih.gov/pubmed/21562488</v>
      </c>
      <c r="D3112" s="232" t="str">
        <f>IF(AND(A3112&lt;&gt;"",ISNUMBER(A3112)),VLOOKUP(A3112,Studies!A:BR,4,FALSE),"")</f>
        <v>iv with Perpetrator (Rifampicin @ 75 mg)</v>
      </c>
      <c r="E3112" s="206" t="str">
        <f>IF(AND(A3112&lt;&gt;"",ISNUMBER(A3112)),VLOOKUP(A3112,Studies!A:BR,5,FALSE),"")</f>
        <v>Alfentanil</v>
      </c>
      <c r="F3112" s="207" t="str">
        <f>IF(AND(A3112&lt;&gt;"",ISNUMBER(A3112)),VLOOKUP(A3112,Studies!A:BR,6,FALSE),"")</f>
        <v>Plasma</v>
      </c>
      <c r="G3112" s="194">
        <v>109.5</v>
      </c>
      <c r="H3112" s="194" t="s">
        <v>60</v>
      </c>
      <c r="I3112" s="187">
        <v>18.381979999999999</v>
      </c>
      <c r="J3112" s="187" t="s">
        <v>1090</v>
      </c>
      <c r="K3112" s="187" t="s">
        <v>116</v>
      </c>
      <c r="L3112" s="195"/>
      <c r="M3112" s="195"/>
      <c r="N3112" s="195"/>
      <c r="O3112" s="199"/>
      <c r="P3112" s="188"/>
      <c r="Q3112" s="174">
        <f>IF(ISNUMBER(VLOOKUP(A3112,NotghiID!A:A,1,FALSE)),1,0)</f>
        <v>1</v>
      </c>
    </row>
    <row r="3113" spans="1:17" ht="14.25" x14ac:dyDescent="0.2">
      <c r="A3113" s="189">
        <v>302</v>
      </c>
      <c r="B3113" s="232" t="str">
        <f>IF(AND(A3113&lt;&gt;"",ISNUMBER(A3113)),VLOOKUP(A3113,Studies!A:BR,2,FALSE),"")</f>
        <v>Kharasch 2011</v>
      </c>
      <c r="C3113" s="232" t="str">
        <f>IF(AND(A3113&lt;&gt;"",ISNUMBER(A3113)),VLOOKUP(A3113,Studies!A:BR,3,FALSE),"")</f>
        <v>https://www.ncbi.nlm.nih.gov/pubmed/21562488</v>
      </c>
      <c r="D3113" s="232" t="str">
        <f>IF(AND(A3113&lt;&gt;"",ISNUMBER(A3113)),VLOOKUP(A3113,Studies!A:BR,4,FALSE),"")</f>
        <v>iv with Perpetrator (Rifampicin @ 75 mg)</v>
      </c>
      <c r="E3113" s="206" t="str">
        <f>IF(AND(A3113&lt;&gt;"",ISNUMBER(A3113)),VLOOKUP(A3113,Studies!A:BR,5,FALSE),"")</f>
        <v>Alfentanil</v>
      </c>
      <c r="F3113" s="207" t="str">
        <f>IF(AND(A3113&lt;&gt;"",ISNUMBER(A3113)),VLOOKUP(A3113,Studies!A:BR,6,FALSE),"")</f>
        <v>Plasma</v>
      </c>
      <c r="G3113" s="194">
        <v>109.75</v>
      </c>
      <c r="H3113" s="194" t="s">
        <v>60</v>
      </c>
      <c r="I3113" s="187">
        <v>12.90845</v>
      </c>
      <c r="J3113" s="187" t="s">
        <v>1090</v>
      </c>
      <c r="K3113" s="187" t="s">
        <v>116</v>
      </c>
      <c r="L3113" s="195"/>
      <c r="M3113" s="195"/>
      <c r="N3113" s="195"/>
      <c r="O3113" s="199"/>
      <c r="P3113" s="188"/>
      <c r="Q3113" s="174">
        <f>IF(ISNUMBER(VLOOKUP(A3113,NotghiID!A:A,1,FALSE)),1,0)</f>
        <v>1</v>
      </c>
    </row>
    <row r="3114" spans="1:17" ht="14.25" x14ac:dyDescent="0.2">
      <c r="A3114" s="189">
        <v>302</v>
      </c>
      <c r="B3114" s="232" t="str">
        <f>IF(AND(A3114&lt;&gt;"",ISNUMBER(A3114)),VLOOKUP(A3114,Studies!A:BR,2,FALSE),"")</f>
        <v>Kharasch 2011</v>
      </c>
      <c r="C3114" s="232" t="str">
        <f>IF(AND(A3114&lt;&gt;"",ISNUMBER(A3114)),VLOOKUP(A3114,Studies!A:BR,3,FALSE),"")</f>
        <v>https://www.ncbi.nlm.nih.gov/pubmed/21562488</v>
      </c>
      <c r="D3114" s="232" t="str">
        <f>IF(AND(A3114&lt;&gt;"",ISNUMBER(A3114)),VLOOKUP(A3114,Studies!A:BR,4,FALSE),"")</f>
        <v>iv with Perpetrator (Rifampicin @ 75 mg)</v>
      </c>
      <c r="E3114" s="206" t="str">
        <f>IF(AND(A3114&lt;&gt;"",ISNUMBER(A3114)),VLOOKUP(A3114,Studies!A:BR,5,FALSE),"")</f>
        <v>Alfentanil</v>
      </c>
      <c r="F3114" s="207" t="str">
        <f>IF(AND(A3114&lt;&gt;"",ISNUMBER(A3114)),VLOOKUP(A3114,Studies!A:BR,6,FALSE),"")</f>
        <v>Plasma</v>
      </c>
      <c r="G3114" s="194">
        <v>110</v>
      </c>
      <c r="H3114" s="194" t="s">
        <v>60</v>
      </c>
      <c r="I3114" s="187">
        <v>9.7575099999999999</v>
      </c>
      <c r="J3114" s="187" t="s">
        <v>1090</v>
      </c>
      <c r="K3114" s="187" t="s">
        <v>116</v>
      </c>
      <c r="L3114" s="195"/>
      <c r="M3114" s="195"/>
      <c r="N3114" s="195"/>
      <c r="O3114" s="199"/>
      <c r="P3114" s="188"/>
      <c r="Q3114" s="174">
        <f>IF(ISNUMBER(VLOOKUP(A3114,NotghiID!A:A,1,FALSE)),1,0)</f>
        <v>1</v>
      </c>
    </row>
    <row r="3115" spans="1:17" ht="14.25" x14ac:dyDescent="0.2">
      <c r="A3115" s="189">
        <v>302</v>
      </c>
      <c r="B3115" s="232" t="str">
        <f>IF(AND(A3115&lt;&gt;"",ISNUMBER(A3115)),VLOOKUP(A3115,Studies!A:BR,2,FALSE),"")</f>
        <v>Kharasch 2011</v>
      </c>
      <c r="C3115" s="232" t="str">
        <f>IF(AND(A3115&lt;&gt;"",ISNUMBER(A3115)),VLOOKUP(A3115,Studies!A:BR,3,FALSE),"")</f>
        <v>https://www.ncbi.nlm.nih.gov/pubmed/21562488</v>
      </c>
      <c r="D3115" s="232" t="str">
        <f>IF(AND(A3115&lt;&gt;"",ISNUMBER(A3115)),VLOOKUP(A3115,Studies!A:BR,4,FALSE),"")</f>
        <v>iv with Perpetrator (Rifampicin @ 75 mg)</v>
      </c>
      <c r="E3115" s="206" t="str">
        <f>IF(AND(A3115&lt;&gt;"",ISNUMBER(A3115)),VLOOKUP(A3115,Studies!A:BR,5,FALSE),"")</f>
        <v>Alfentanil</v>
      </c>
      <c r="F3115" s="207" t="str">
        <f>IF(AND(A3115&lt;&gt;"",ISNUMBER(A3115)),VLOOKUP(A3115,Studies!A:BR,6,FALSE),"")</f>
        <v>Plasma</v>
      </c>
      <c r="G3115" s="194">
        <v>110.5</v>
      </c>
      <c r="H3115" s="194" t="s">
        <v>60</v>
      </c>
      <c r="I3115" s="187">
        <v>6.1808009999999998</v>
      </c>
      <c r="J3115" s="187" t="s">
        <v>1090</v>
      </c>
      <c r="K3115" s="187" t="s">
        <v>116</v>
      </c>
      <c r="L3115" s="195"/>
      <c r="M3115" s="195"/>
      <c r="N3115" s="195"/>
      <c r="O3115" s="199"/>
      <c r="P3115" s="188"/>
      <c r="Q3115" s="174">
        <f>IF(ISNUMBER(VLOOKUP(A3115,NotghiID!A:A,1,FALSE)),1,0)</f>
        <v>1</v>
      </c>
    </row>
    <row r="3116" spans="1:17" ht="14.25" x14ac:dyDescent="0.2">
      <c r="A3116" s="189">
        <v>302</v>
      </c>
      <c r="B3116" s="232" t="str">
        <f>IF(AND(A3116&lt;&gt;"",ISNUMBER(A3116)),VLOOKUP(A3116,Studies!A:BR,2,FALSE),"")</f>
        <v>Kharasch 2011</v>
      </c>
      <c r="C3116" s="232" t="str">
        <f>IF(AND(A3116&lt;&gt;"",ISNUMBER(A3116)),VLOOKUP(A3116,Studies!A:BR,3,FALSE),"")</f>
        <v>https://www.ncbi.nlm.nih.gov/pubmed/21562488</v>
      </c>
      <c r="D3116" s="232" t="str">
        <f>IF(AND(A3116&lt;&gt;"",ISNUMBER(A3116)),VLOOKUP(A3116,Studies!A:BR,4,FALSE),"")</f>
        <v>iv with Perpetrator (Rifampicin @ 75 mg)</v>
      </c>
      <c r="E3116" s="206" t="str">
        <f>IF(AND(A3116&lt;&gt;"",ISNUMBER(A3116)),VLOOKUP(A3116,Studies!A:BR,5,FALSE),"")</f>
        <v>Alfentanil</v>
      </c>
      <c r="F3116" s="207" t="str">
        <f>IF(AND(A3116&lt;&gt;"",ISNUMBER(A3116)),VLOOKUP(A3116,Studies!A:BR,6,FALSE),"")</f>
        <v>Plasma</v>
      </c>
      <c r="G3116" s="194">
        <v>111</v>
      </c>
      <c r="H3116" s="194" t="s">
        <v>60</v>
      </c>
      <c r="I3116" s="187">
        <v>4.4047700000000001</v>
      </c>
      <c r="J3116" s="187" t="s">
        <v>1090</v>
      </c>
      <c r="K3116" s="187" t="s">
        <v>116</v>
      </c>
      <c r="L3116" s="195"/>
      <c r="M3116" s="195"/>
      <c r="N3116" s="195"/>
      <c r="O3116" s="199"/>
      <c r="P3116" s="188"/>
      <c r="Q3116" s="174">
        <f>IF(ISNUMBER(VLOOKUP(A3116,NotghiID!A:A,1,FALSE)),1,0)</f>
        <v>1</v>
      </c>
    </row>
    <row r="3117" spans="1:17" ht="14.25" x14ac:dyDescent="0.2">
      <c r="A3117" s="189">
        <v>302</v>
      </c>
      <c r="B3117" s="232" t="str">
        <f>IF(AND(A3117&lt;&gt;"",ISNUMBER(A3117)),VLOOKUP(A3117,Studies!A:BR,2,FALSE),"")</f>
        <v>Kharasch 2011</v>
      </c>
      <c r="C3117" s="232" t="str">
        <f>IF(AND(A3117&lt;&gt;"",ISNUMBER(A3117)),VLOOKUP(A3117,Studies!A:BR,3,FALSE),"")</f>
        <v>https://www.ncbi.nlm.nih.gov/pubmed/21562488</v>
      </c>
      <c r="D3117" s="232" t="str">
        <f>IF(AND(A3117&lt;&gt;"",ISNUMBER(A3117)),VLOOKUP(A3117,Studies!A:BR,4,FALSE),"")</f>
        <v>iv with Perpetrator (Rifampicin @ 75 mg)</v>
      </c>
      <c r="E3117" s="206" t="str">
        <f>IF(AND(A3117&lt;&gt;"",ISNUMBER(A3117)),VLOOKUP(A3117,Studies!A:BR,5,FALSE),"")</f>
        <v>Alfentanil</v>
      </c>
      <c r="F3117" s="207" t="str">
        <f>IF(AND(A3117&lt;&gt;"",ISNUMBER(A3117)),VLOOKUP(A3117,Studies!A:BR,6,FALSE),"")</f>
        <v>Plasma</v>
      </c>
      <c r="G3117" s="194">
        <v>111.5</v>
      </c>
      <c r="H3117" s="194" t="s">
        <v>60</v>
      </c>
      <c r="I3117" s="187">
        <v>2.6695570000000002</v>
      </c>
      <c r="J3117" s="187" t="s">
        <v>1090</v>
      </c>
      <c r="K3117" s="187" t="s">
        <v>116</v>
      </c>
      <c r="L3117" s="195"/>
      <c r="M3117" s="195"/>
      <c r="N3117" s="195"/>
      <c r="O3117" s="199"/>
      <c r="P3117" s="188"/>
      <c r="Q3117" s="174">
        <f>IF(ISNUMBER(VLOOKUP(A3117,NotghiID!A:A,1,FALSE)),1,0)</f>
        <v>1</v>
      </c>
    </row>
    <row r="3118" spans="1:17" ht="14.25" x14ac:dyDescent="0.2">
      <c r="A3118" s="189">
        <v>302</v>
      </c>
      <c r="B3118" s="232" t="str">
        <f>IF(AND(A3118&lt;&gt;"",ISNUMBER(A3118)),VLOOKUP(A3118,Studies!A:BR,2,FALSE),"")</f>
        <v>Kharasch 2011</v>
      </c>
      <c r="C3118" s="232" t="str">
        <f>IF(AND(A3118&lt;&gt;"",ISNUMBER(A3118)),VLOOKUP(A3118,Studies!A:BR,3,FALSE),"")</f>
        <v>https://www.ncbi.nlm.nih.gov/pubmed/21562488</v>
      </c>
      <c r="D3118" s="232" t="str">
        <f>IF(AND(A3118&lt;&gt;"",ISNUMBER(A3118)),VLOOKUP(A3118,Studies!A:BR,4,FALSE),"")</f>
        <v>iv with Perpetrator (Rifampicin @ 75 mg)</v>
      </c>
      <c r="E3118" s="206" t="str">
        <f>IF(AND(A3118&lt;&gt;"",ISNUMBER(A3118)),VLOOKUP(A3118,Studies!A:BR,5,FALSE),"")</f>
        <v>Alfentanil</v>
      </c>
      <c r="F3118" s="207" t="str">
        <f>IF(AND(A3118&lt;&gt;"",ISNUMBER(A3118)),VLOOKUP(A3118,Studies!A:BR,6,FALSE),"")</f>
        <v>Plasma</v>
      </c>
      <c r="G3118" s="194">
        <v>112</v>
      </c>
      <c r="H3118" s="194" t="s">
        <v>60</v>
      </c>
      <c r="I3118" s="187">
        <v>1.7674000000000001</v>
      </c>
      <c r="J3118" s="187" t="s">
        <v>1090</v>
      </c>
      <c r="K3118" s="187" t="s">
        <v>116</v>
      </c>
      <c r="L3118" s="195"/>
      <c r="M3118" s="195"/>
      <c r="N3118" s="195"/>
      <c r="O3118" s="199"/>
      <c r="P3118" s="188"/>
      <c r="Q3118" s="174">
        <f>IF(ISNUMBER(VLOOKUP(A3118,NotghiID!A:A,1,FALSE)),1,0)</f>
        <v>1</v>
      </c>
    </row>
    <row r="3119" spans="1:17" ht="14.25" x14ac:dyDescent="0.2">
      <c r="A3119" s="189">
        <v>302</v>
      </c>
      <c r="B3119" s="232" t="str">
        <f>IF(AND(A3119&lt;&gt;"",ISNUMBER(A3119)),VLOOKUP(A3119,Studies!A:BR,2,FALSE),"")</f>
        <v>Kharasch 2011</v>
      </c>
      <c r="C3119" s="232" t="str">
        <f>IF(AND(A3119&lt;&gt;"",ISNUMBER(A3119)),VLOOKUP(A3119,Studies!A:BR,3,FALSE),"")</f>
        <v>https://www.ncbi.nlm.nih.gov/pubmed/21562488</v>
      </c>
      <c r="D3119" s="232" t="str">
        <f>IF(AND(A3119&lt;&gt;"",ISNUMBER(A3119)),VLOOKUP(A3119,Studies!A:BR,4,FALSE),"")</f>
        <v>iv with Perpetrator (Rifampicin @ 75 mg)</v>
      </c>
      <c r="E3119" s="206" t="str">
        <f>IF(AND(A3119&lt;&gt;"",ISNUMBER(A3119)),VLOOKUP(A3119,Studies!A:BR,5,FALSE),"")</f>
        <v>Alfentanil</v>
      </c>
      <c r="F3119" s="207" t="str">
        <f>IF(AND(A3119&lt;&gt;"",ISNUMBER(A3119)),VLOOKUP(A3119,Studies!A:BR,6,FALSE),"")</f>
        <v>Plasma</v>
      </c>
      <c r="G3119" s="194">
        <v>113</v>
      </c>
      <c r="H3119" s="194" t="s">
        <v>60</v>
      </c>
      <c r="I3119" s="187">
        <v>0.84626299999999999</v>
      </c>
      <c r="J3119" s="187" t="s">
        <v>1090</v>
      </c>
      <c r="K3119" s="187" t="s">
        <v>116</v>
      </c>
      <c r="L3119" s="195"/>
      <c r="M3119" s="195"/>
      <c r="N3119" s="195"/>
      <c r="O3119" s="199"/>
      <c r="P3119" s="188"/>
      <c r="Q3119" s="174">
        <f>IF(ISNUMBER(VLOOKUP(A3119,NotghiID!A:A,1,FALSE)),1,0)</f>
        <v>1</v>
      </c>
    </row>
    <row r="3120" spans="1:17" ht="14.25" x14ac:dyDescent="0.2">
      <c r="A3120" s="189">
        <v>302</v>
      </c>
      <c r="B3120" s="232" t="str">
        <f>IF(AND(A3120&lt;&gt;"",ISNUMBER(A3120)),VLOOKUP(A3120,Studies!A:BR,2,FALSE),"")</f>
        <v>Kharasch 2011</v>
      </c>
      <c r="C3120" s="232" t="str">
        <f>IF(AND(A3120&lt;&gt;"",ISNUMBER(A3120)),VLOOKUP(A3120,Studies!A:BR,3,FALSE),"")</f>
        <v>https://www.ncbi.nlm.nih.gov/pubmed/21562488</v>
      </c>
      <c r="D3120" s="232" t="str">
        <f>IF(AND(A3120&lt;&gt;"",ISNUMBER(A3120)),VLOOKUP(A3120,Studies!A:BR,4,FALSE),"")</f>
        <v>iv with Perpetrator (Rifampicin @ 75 mg)</v>
      </c>
      <c r="E3120" s="206" t="str">
        <f>IF(AND(A3120&lt;&gt;"",ISNUMBER(A3120)),VLOOKUP(A3120,Studies!A:BR,5,FALSE),"")</f>
        <v>Alfentanil</v>
      </c>
      <c r="F3120" s="207" t="str">
        <f>IF(AND(A3120&lt;&gt;"",ISNUMBER(A3120)),VLOOKUP(A3120,Studies!A:BR,6,FALSE),"")</f>
        <v>Plasma</v>
      </c>
      <c r="G3120" s="194">
        <v>114</v>
      </c>
      <c r="H3120" s="194" t="s">
        <v>60</v>
      </c>
      <c r="I3120" s="187">
        <v>0.39928160000000001</v>
      </c>
      <c r="J3120" s="187" t="s">
        <v>1090</v>
      </c>
      <c r="K3120" s="187" t="s">
        <v>116</v>
      </c>
      <c r="L3120" s="195"/>
      <c r="M3120" s="195"/>
      <c r="N3120" s="195"/>
      <c r="O3120" s="199"/>
      <c r="P3120" s="188"/>
      <c r="Q3120" s="174">
        <f>IF(ISNUMBER(VLOOKUP(A3120,NotghiID!A:A,1,FALSE)),1,0)</f>
        <v>1</v>
      </c>
    </row>
    <row r="3121" spans="1:17" ht="14.25" x14ac:dyDescent="0.2">
      <c r="A3121" s="189">
        <v>303</v>
      </c>
      <c r="B3121" s="232" t="str">
        <f>IF(AND(A3121&lt;&gt;"",ISNUMBER(A3121)),VLOOKUP(A3121,Studies!A:BR,2,FALSE),"")</f>
        <v>Kharasch 2011</v>
      </c>
      <c r="C3121" s="232" t="str">
        <f>IF(AND(A3121&lt;&gt;"",ISNUMBER(A3121)),VLOOKUP(A3121,Studies!A:BR,3,FALSE),"")</f>
        <v>https://www.ncbi.nlm.nih.gov/pubmed/21562488</v>
      </c>
      <c r="D3121" s="232" t="str">
        <f>IF(AND(A3121&lt;&gt;"",ISNUMBER(A3121)),VLOOKUP(A3121,Studies!A:BR,4,FALSE),"")</f>
        <v>po Control (Perpetrator Placebo)</v>
      </c>
      <c r="E3121" s="206" t="str">
        <f>IF(AND(A3121&lt;&gt;"",ISNUMBER(A3121)),VLOOKUP(A3121,Studies!A:BR,5,FALSE),"")</f>
        <v>Midazolam</v>
      </c>
      <c r="F3121" s="207" t="str">
        <f>IF(AND(A3121&lt;&gt;"",ISNUMBER(A3121)),VLOOKUP(A3121,Studies!A:BR,6,FALSE),"")</f>
        <v>Plasma</v>
      </c>
      <c r="G3121" s="194">
        <v>0</v>
      </c>
      <c r="H3121" s="194" t="s">
        <v>60</v>
      </c>
      <c r="I3121" s="187">
        <v>0.23210829999999999</v>
      </c>
      <c r="J3121" s="187" t="s">
        <v>1026</v>
      </c>
      <c r="K3121" s="187" t="s">
        <v>116</v>
      </c>
      <c r="L3121" s="195">
        <v>3.8684700000000002E-2</v>
      </c>
      <c r="M3121" s="195" t="s">
        <v>1026</v>
      </c>
      <c r="N3121" s="195" t="s">
        <v>117</v>
      </c>
      <c r="O3121" s="199"/>
      <c r="P3121" s="188"/>
      <c r="Q3121" s="174">
        <f>IF(ISNUMBER(VLOOKUP(A3121,NotghiID!A:A,1,FALSE)),1,0)</f>
        <v>1</v>
      </c>
    </row>
    <row r="3122" spans="1:17" ht="14.25" x14ac:dyDescent="0.2">
      <c r="A3122" s="189">
        <v>303</v>
      </c>
      <c r="B3122" s="232" t="str">
        <f>IF(AND(A3122&lt;&gt;"",ISNUMBER(A3122)),VLOOKUP(A3122,Studies!A:BR,2,FALSE),"")</f>
        <v>Kharasch 2011</v>
      </c>
      <c r="C3122" s="232" t="str">
        <f>IF(AND(A3122&lt;&gt;"",ISNUMBER(A3122)),VLOOKUP(A3122,Studies!A:BR,3,FALSE),"")</f>
        <v>https://www.ncbi.nlm.nih.gov/pubmed/21562488</v>
      </c>
      <c r="D3122" s="232" t="str">
        <f>IF(AND(A3122&lt;&gt;"",ISNUMBER(A3122)),VLOOKUP(A3122,Studies!A:BR,4,FALSE),"")</f>
        <v>po Control (Perpetrator Placebo)</v>
      </c>
      <c r="E3122" s="206" t="str">
        <f>IF(AND(A3122&lt;&gt;"",ISNUMBER(A3122)),VLOOKUP(A3122,Studies!A:BR,5,FALSE),"")</f>
        <v>Midazolam</v>
      </c>
      <c r="F3122" s="207" t="str">
        <f>IF(AND(A3122&lt;&gt;"",ISNUMBER(A3122)),VLOOKUP(A3122,Studies!A:BR,6,FALSE),"")</f>
        <v>Plasma</v>
      </c>
      <c r="G3122" s="194">
        <v>0.17</v>
      </c>
      <c r="H3122" s="194" t="s">
        <v>60</v>
      </c>
      <c r="I3122" s="187">
        <v>3.2882009999999999</v>
      </c>
      <c r="J3122" s="187" t="s">
        <v>1026</v>
      </c>
      <c r="K3122" s="187" t="s">
        <v>116</v>
      </c>
      <c r="L3122" s="195">
        <v>3.8684839999999998E-2</v>
      </c>
      <c r="M3122" s="195" t="s">
        <v>1026</v>
      </c>
      <c r="N3122" s="195" t="s">
        <v>117</v>
      </c>
      <c r="O3122" s="199"/>
      <c r="P3122" s="188"/>
      <c r="Q3122" s="174">
        <f>IF(ISNUMBER(VLOOKUP(A3122,NotghiID!A:A,1,FALSE)),1,0)</f>
        <v>1</v>
      </c>
    </row>
    <row r="3123" spans="1:17" ht="14.25" x14ac:dyDescent="0.2">
      <c r="A3123" s="189">
        <v>303</v>
      </c>
      <c r="B3123" s="232" t="str">
        <f>IF(AND(A3123&lt;&gt;"",ISNUMBER(A3123)),VLOOKUP(A3123,Studies!A:BR,2,FALSE),"")</f>
        <v>Kharasch 2011</v>
      </c>
      <c r="C3123" s="232" t="str">
        <f>IF(AND(A3123&lt;&gt;"",ISNUMBER(A3123)),VLOOKUP(A3123,Studies!A:BR,3,FALSE),"")</f>
        <v>https://www.ncbi.nlm.nih.gov/pubmed/21562488</v>
      </c>
      <c r="D3123" s="232" t="str">
        <f>IF(AND(A3123&lt;&gt;"",ISNUMBER(A3123)),VLOOKUP(A3123,Studies!A:BR,4,FALSE),"")</f>
        <v>po Control (Perpetrator Placebo)</v>
      </c>
      <c r="E3123" s="206" t="str">
        <f>IF(AND(A3123&lt;&gt;"",ISNUMBER(A3123)),VLOOKUP(A3123,Studies!A:BR,5,FALSE),"")</f>
        <v>Midazolam</v>
      </c>
      <c r="F3123" s="207" t="str">
        <f>IF(AND(A3123&lt;&gt;"",ISNUMBER(A3123)),VLOOKUP(A3123,Studies!A:BR,6,FALSE),"")</f>
        <v>Plasma</v>
      </c>
      <c r="G3123" s="194">
        <v>0.25</v>
      </c>
      <c r="H3123" s="194" t="s">
        <v>60</v>
      </c>
      <c r="I3123" s="187">
        <v>7.388782</v>
      </c>
      <c r="J3123" s="187" t="s">
        <v>1026</v>
      </c>
      <c r="K3123" s="187" t="s">
        <v>116</v>
      </c>
      <c r="L3123" s="195">
        <v>4.1779489999999999</v>
      </c>
      <c r="M3123" s="195" t="s">
        <v>1026</v>
      </c>
      <c r="N3123" s="195" t="s">
        <v>117</v>
      </c>
      <c r="O3123" s="199"/>
      <c r="P3123" s="188"/>
      <c r="Q3123" s="174">
        <f>IF(ISNUMBER(VLOOKUP(A3123,NotghiID!A:A,1,FALSE)),1,0)</f>
        <v>1</v>
      </c>
    </row>
    <row r="3124" spans="1:17" ht="14.25" x14ac:dyDescent="0.2">
      <c r="A3124" s="189">
        <v>303</v>
      </c>
      <c r="B3124" s="232" t="str">
        <f>IF(AND(A3124&lt;&gt;"",ISNUMBER(A3124)),VLOOKUP(A3124,Studies!A:BR,2,FALSE),"")</f>
        <v>Kharasch 2011</v>
      </c>
      <c r="C3124" s="232" t="str">
        <f>IF(AND(A3124&lt;&gt;"",ISNUMBER(A3124)),VLOOKUP(A3124,Studies!A:BR,3,FALSE),"")</f>
        <v>https://www.ncbi.nlm.nih.gov/pubmed/21562488</v>
      </c>
      <c r="D3124" s="232" t="str">
        <f>IF(AND(A3124&lt;&gt;"",ISNUMBER(A3124)),VLOOKUP(A3124,Studies!A:BR,4,FALSE),"")</f>
        <v>po Control (Perpetrator Placebo)</v>
      </c>
      <c r="E3124" s="206" t="str">
        <f>IF(AND(A3124&lt;&gt;"",ISNUMBER(A3124)),VLOOKUP(A3124,Studies!A:BR,5,FALSE),"")</f>
        <v>Midazolam</v>
      </c>
      <c r="F3124" s="207" t="str">
        <f>IF(AND(A3124&lt;&gt;"",ISNUMBER(A3124)),VLOOKUP(A3124,Studies!A:BR,6,FALSE),"")</f>
        <v>Plasma</v>
      </c>
      <c r="G3124" s="194">
        <v>0.33</v>
      </c>
      <c r="H3124" s="194" t="s">
        <v>60</v>
      </c>
      <c r="I3124" s="187">
        <v>11.48936</v>
      </c>
      <c r="J3124" s="187" t="s">
        <v>1026</v>
      </c>
      <c r="K3124" s="187" t="s">
        <v>116</v>
      </c>
      <c r="L3124" s="195">
        <v>5.9961330000000004</v>
      </c>
      <c r="M3124" s="195" t="s">
        <v>1026</v>
      </c>
      <c r="N3124" s="195" t="s">
        <v>117</v>
      </c>
      <c r="O3124" s="199"/>
      <c r="P3124" s="188"/>
      <c r="Q3124" s="174">
        <f>IF(ISNUMBER(VLOOKUP(A3124,NotghiID!A:A,1,FALSE)),1,0)</f>
        <v>1</v>
      </c>
    </row>
    <row r="3125" spans="1:17" ht="14.25" x14ac:dyDescent="0.2">
      <c r="A3125" s="189">
        <v>303</v>
      </c>
      <c r="B3125" s="232" t="str">
        <f>IF(AND(A3125&lt;&gt;"",ISNUMBER(A3125)),VLOOKUP(A3125,Studies!A:BR,2,FALSE),"")</f>
        <v>Kharasch 2011</v>
      </c>
      <c r="C3125" s="232" t="str">
        <f>IF(AND(A3125&lt;&gt;"",ISNUMBER(A3125)),VLOOKUP(A3125,Studies!A:BR,3,FALSE),"")</f>
        <v>https://www.ncbi.nlm.nih.gov/pubmed/21562488</v>
      </c>
      <c r="D3125" s="232" t="str">
        <f>IF(AND(A3125&lt;&gt;"",ISNUMBER(A3125)),VLOOKUP(A3125,Studies!A:BR,4,FALSE),"")</f>
        <v>po Control (Perpetrator Placebo)</v>
      </c>
      <c r="E3125" s="206" t="str">
        <f>IF(AND(A3125&lt;&gt;"",ISNUMBER(A3125)),VLOOKUP(A3125,Studies!A:BR,5,FALSE),"")</f>
        <v>Midazolam</v>
      </c>
      <c r="F3125" s="207" t="str">
        <f>IF(AND(A3125&lt;&gt;"",ISNUMBER(A3125)),VLOOKUP(A3125,Studies!A:BR,6,FALSE),"")</f>
        <v>Plasma</v>
      </c>
      <c r="G3125" s="194">
        <v>0.5</v>
      </c>
      <c r="H3125" s="194" t="s">
        <v>60</v>
      </c>
      <c r="I3125" s="187">
        <v>14.04255</v>
      </c>
      <c r="J3125" s="187" t="s">
        <v>1026</v>
      </c>
      <c r="K3125" s="187" t="s">
        <v>116</v>
      </c>
      <c r="L3125" s="195">
        <v>4.8742780000000003</v>
      </c>
      <c r="M3125" s="195" t="s">
        <v>1026</v>
      </c>
      <c r="N3125" s="195" t="s">
        <v>117</v>
      </c>
      <c r="O3125" s="199"/>
      <c r="P3125" s="188"/>
      <c r="Q3125" s="174">
        <f>IF(ISNUMBER(VLOOKUP(A3125,NotghiID!A:A,1,FALSE)),1,0)</f>
        <v>1</v>
      </c>
    </row>
    <row r="3126" spans="1:17" ht="14.25" x14ac:dyDescent="0.2">
      <c r="A3126" s="189">
        <v>303</v>
      </c>
      <c r="B3126" s="232" t="str">
        <f>IF(AND(A3126&lt;&gt;"",ISNUMBER(A3126)),VLOOKUP(A3126,Studies!A:BR,2,FALSE),"")</f>
        <v>Kharasch 2011</v>
      </c>
      <c r="C3126" s="232" t="str">
        <f>IF(AND(A3126&lt;&gt;"",ISNUMBER(A3126)),VLOOKUP(A3126,Studies!A:BR,3,FALSE),"")</f>
        <v>https://www.ncbi.nlm.nih.gov/pubmed/21562488</v>
      </c>
      <c r="D3126" s="232" t="str">
        <f>IF(AND(A3126&lt;&gt;"",ISNUMBER(A3126)),VLOOKUP(A3126,Studies!A:BR,4,FALSE),"")</f>
        <v>po Control (Perpetrator Placebo)</v>
      </c>
      <c r="E3126" s="206" t="str">
        <f>IF(AND(A3126&lt;&gt;"",ISNUMBER(A3126)),VLOOKUP(A3126,Studies!A:BR,5,FALSE),"")</f>
        <v>Midazolam</v>
      </c>
      <c r="F3126" s="207" t="str">
        <f>IF(AND(A3126&lt;&gt;"",ISNUMBER(A3126)),VLOOKUP(A3126,Studies!A:BR,6,FALSE),"")</f>
        <v>Plasma</v>
      </c>
      <c r="G3126" s="194">
        <v>0.75</v>
      </c>
      <c r="H3126" s="194" t="s">
        <v>60</v>
      </c>
      <c r="I3126" s="187">
        <v>12.649900000000001</v>
      </c>
      <c r="J3126" s="187" t="s">
        <v>1026</v>
      </c>
      <c r="K3126" s="187" t="s">
        <v>116</v>
      </c>
      <c r="L3126" s="195">
        <v>5.4158629999999999</v>
      </c>
      <c r="M3126" s="195" t="s">
        <v>1026</v>
      </c>
      <c r="N3126" s="195" t="s">
        <v>117</v>
      </c>
      <c r="O3126" s="199"/>
      <c r="P3126" s="188"/>
      <c r="Q3126" s="174">
        <f>IF(ISNUMBER(VLOOKUP(A3126,NotghiID!A:A,1,FALSE)),1,0)</f>
        <v>1</v>
      </c>
    </row>
    <row r="3127" spans="1:17" ht="14.25" x14ac:dyDescent="0.2">
      <c r="A3127" s="189">
        <v>303</v>
      </c>
      <c r="B3127" s="232" t="str">
        <f>IF(AND(A3127&lt;&gt;"",ISNUMBER(A3127)),VLOOKUP(A3127,Studies!A:BR,2,FALSE),"")</f>
        <v>Kharasch 2011</v>
      </c>
      <c r="C3127" s="232" t="str">
        <f>IF(AND(A3127&lt;&gt;"",ISNUMBER(A3127)),VLOOKUP(A3127,Studies!A:BR,3,FALSE),"")</f>
        <v>https://www.ncbi.nlm.nih.gov/pubmed/21562488</v>
      </c>
      <c r="D3127" s="232" t="str">
        <f>IF(AND(A3127&lt;&gt;"",ISNUMBER(A3127)),VLOOKUP(A3127,Studies!A:BR,4,FALSE),"")</f>
        <v>po Control (Perpetrator Placebo)</v>
      </c>
      <c r="E3127" s="206" t="str">
        <f>IF(AND(A3127&lt;&gt;"",ISNUMBER(A3127)),VLOOKUP(A3127,Studies!A:BR,5,FALSE),"")</f>
        <v>Midazolam</v>
      </c>
      <c r="F3127" s="207" t="str">
        <f>IF(AND(A3127&lt;&gt;"",ISNUMBER(A3127)),VLOOKUP(A3127,Studies!A:BR,6,FALSE),"")</f>
        <v>Plasma</v>
      </c>
      <c r="G3127" s="194">
        <v>1</v>
      </c>
      <c r="H3127" s="194" t="s">
        <v>60</v>
      </c>
      <c r="I3127" s="187">
        <v>8.4332689999999992</v>
      </c>
      <c r="J3127" s="187" t="s">
        <v>1026</v>
      </c>
      <c r="K3127" s="187" t="s">
        <v>116</v>
      </c>
      <c r="L3127" s="195">
        <v>2.901354</v>
      </c>
      <c r="M3127" s="195" t="s">
        <v>1026</v>
      </c>
      <c r="N3127" s="195" t="s">
        <v>117</v>
      </c>
      <c r="O3127" s="199"/>
      <c r="P3127" s="188"/>
      <c r="Q3127" s="174">
        <f>IF(ISNUMBER(VLOOKUP(A3127,NotghiID!A:A,1,FALSE)),1,0)</f>
        <v>1</v>
      </c>
    </row>
    <row r="3128" spans="1:17" ht="14.25" x14ac:dyDescent="0.2">
      <c r="A3128" s="189">
        <v>303</v>
      </c>
      <c r="B3128" s="232" t="str">
        <f>IF(AND(A3128&lt;&gt;"",ISNUMBER(A3128)),VLOOKUP(A3128,Studies!A:BR,2,FALSE),"")</f>
        <v>Kharasch 2011</v>
      </c>
      <c r="C3128" s="232" t="str">
        <f>IF(AND(A3128&lt;&gt;"",ISNUMBER(A3128)),VLOOKUP(A3128,Studies!A:BR,3,FALSE),"")</f>
        <v>https://www.ncbi.nlm.nih.gov/pubmed/21562488</v>
      </c>
      <c r="D3128" s="232" t="str">
        <f>IF(AND(A3128&lt;&gt;"",ISNUMBER(A3128)),VLOOKUP(A3128,Studies!A:BR,4,FALSE),"")</f>
        <v>po Control (Perpetrator Placebo)</v>
      </c>
      <c r="E3128" s="206" t="str">
        <f>IF(AND(A3128&lt;&gt;"",ISNUMBER(A3128)),VLOOKUP(A3128,Studies!A:BR,5,FALSE),"")</f>
        <v>Midazolam</v>
      </c>
      <c r="F3128" s="207" t="str">
        <f>IF(AND(A3128&lt;&gt;"",ISNUMBER(A3128)),VLOOKUP(A3128,Studies!A:BR,6,FALSE),"")</f>
        <v>Plasma</v>
      </c>
      <c r="G3128" s="194">
        <v>1.17</v>
      </c>
      <c r="H3128" s="194" t="s">
        <v>60</v>
      </c>
      <c r="I3128" s="187">
        <v>8.0851070000000007</v>
      </c>
      <c r="J3128" s="187" t="s">
        <v>1026</v>
      </c>
      <c r="K3128" s="187" t="s">
        <v>116</v>
      </c>
      <c r="L3128" s="195">
        <v>2.7079300000000002</v>
      </c>
      <c r="M3128" s="195" t="s">
        <v>1026</v>
      </c>
      <c r="N3128" s="195" t="s">
        <v>117</v>
      </c>
      <c r="O3128" s="199"/>
      <c r="P3128" s="188"/>
      <c r="Q3128" s="174">
        <f>IF(ISNUMBER(VLOOKUP(A3128,NotghiID!A:A,1,FALSE)),1,0)</f>
        <v>1</v>
      </c>
    </row>
    <row r="3129" spans="1:17" ht="14.25" x14ac:dyDescent="0.2">
      <c r="A3129" s="189">
        <v>303</v>
      </c>
      <c r="B3129" s="232" t="str">
        <f>IF(AND(A3129&lt;&gt;"",ISNUMBER(A3129)),VLOOKUP(A3129,Studies!A:BR,2,FALSE),"")</f>
        <v>Kharasch 2011</v>
      </c>
      <c r="C3129" s="232" t="str">
        <f>IF(AND(A3129&lt;&gt;"",ISNUMBER(A3129)),VLOOKUP(A3129,Studies!A:BR,3,FALSE),"")</f>
        <v>https://www.ncbi.nlm.nih.gov/pubmed/21562488</v>
      </c>
      <c r="D3129" s="232" t="str">
        <f>IF(AND(A3129&lt;&gt;"",ISNUMBER(A3129)),VLOOKUP(A3129,Studies!A:BR,4,FALSE),"")</f>
        <v>po Control (Perpetrator Placebo)</v>
      </c>
      <c r="E3129" s="206" t="str">
        <f>IF(AND(A3129&lt;&gt;"",ISNUMBER(A3129)),VLOOKUP(A3129,Studies!A:BR,5,FALSE),"")</f>
        <v>Midazolam</v>
      </c>
      <c r="F3129" s="207" t="str">
        <f>IF(AND(A3129&lt;&gt;"",ISNUMBER(A3129)),VLOOKUP(A3129,Studies!A:BR,6,FALSE),"")</f>
        <v>Plasma</v>
      </c>
      <c r="G3129" s="194">
        <v>1.25</v>
      </c>
      <c r="H3129" s="194" t="s">
        <v>60</v>
      </c>
      <c r="I3129" s="187">
        <v>7.54352</v>
      </c>
      <c r="J3129" s="187" t="s">
        <v>1026</v>
      </c>
      <c r="K3129" s="187" t="s">
        <v>116</v>
      </c>
      <c r="L3129" s="195">
        <v>2.3984529999999999</v>
      </c>
      <c r="M3129" s="195" t="s">
        <v>1026</v>
      </c>
      <c r="N3129" s="195" t="s">
        <v>117</v>
      </c>
      <c r="O3129" s="199"/>
      <c r="P3129" s="188"/>
      <c r="Q3129" s="174">
        <f>IF(ISNUMBER(VLOOKUP(A3129,NotghiID!A:A,1,FALSE)),1,0)</f>
        <v>1</v>
      </c>
    </row>
    <row r="3130" spans="1:17" ht="14.25" x14ac:dyDescent="0.2">
      <c r="A3130" s="189">
        <v>303</v>
      </c>
      <c r="B3130" s="232" t="str">
        <f>IF(AND(A3130&lt;&gt;"",ISNUMBER(A3130)),VLOOKUP(A3130,Studies!A:BR,2,FALSE),"")</f>
        <v>Kharasch 2011</v>
      </c>
      <c r="C3130" s="232" t="str">
        <f>IF(AND(A3130&lt;&gt;"",ISNUMBER(A3130)),VLOOKUP(A3130,Studies!A:BR,3,FALSE),"")</f>
        <v>https://www.ncbi.nlm.nih.gov/pubmed/21562488</v>
      </c>
      <c r="D3130" s="232" t="str">
        <f>IF(AND(A3130&lt;&gt;"",ISNUMBER(A3130)),VLOOKUP(A3130,Studies!A:BR,4,FALSE),"")</f>
        <v>po Control (Perpetrator Placebo)</v>
      </c>
      <c r="E3130" s="206" t="str">
        <f>IF(AND(A3130&lt;&gt;"",ISNUMBER(A3130)),VLOOKUP(A3130,Studies!A:BR,5,FALSE),"")</f>
        <v>Midazolam</v>
      </c>
      <c r="F3130" s="207" t="str">
        <f>IF(AND(A3130&lt;&gt;"",ISNUMBER(A3130)),VLOOKUP(A3130,Studies!A:BR,6,FALSE),"")</f>
        <v>Plasma</v>
      </c>
      <c r="G3130" s="194">
        <v>1.33</v>
      </c>
      <c r="H3130" s="194" t="s">
        <v>60</v>
      </c>
      <c r="I3130" s="187">
        <v>7.0793039999999996</v>
      </c>
      <c r="J3130" s="187" t="s">
        <v>1026</v>
      </c>
      <c r="K3130" s="187" t="s">
        <v>116</v>
      </c>
      <c r="L3130" s="195">
        <v>2.3597670000000002</v>
      </c>
      <c r="M3130" s="195" t="s">
        <v>1026</v>
      </c>
      <c r="N3130" s="195" t="s">
        <v>117</v>
      </c>
      <c r="O3130" s="199"/>
      <c r="P3130" s="188"/>
      <c r="Q3130" s="174">
        <f>IF(ISNUMBER(VLOOKUP(A3130,NotghiID!A:A,1,FALSE)),1,0)</f>
        <v>1</v>
      </c>
    </row>
    <row r="3131" spans="1:17" ht="14.25" x14ac:dyDescent="0.2">
      <c r="A3131" s="189">
        <v>303</v>
      </c>
      <c r="B3131" s="232" t="str">
        <f>IF(AND(A3131&lt;&gt;"",ISNUMBER(A3131)),VLOOKUP(A3131,Studies!A:BR,2,FALSE),"")</f>
        <v>Kharasch 2011</v>
      </c>
      <c r="C3131" s="232" t="str">
        <f>IF(AND(A3131&lt;&gt;"",ISNUMBER(A3131)),VLOOKUP(A3131,Studies!A:BR,3,FALSE),"")</f>
        <v>https://www.ncbi.nlm.nih.gov/pubmed/21562488</v>
      </c>
      <c r="D3131" s="232" t="str">
        <f>IF(AND(A3131&lt;&gt;"",ISNUMBER(A3131)),VLOOKUP(A3131,Studies!A:BR,4,FALSE),"")</f>
        <v>po Control (Perpetrator Placebo)</v>
      </c>
      <c r="E3131" s="206" t="str">
        <f>IF(AND(A3131&lt;&gt;"",ISNUMBER(A3131)),VLOOKUP(A3131,Studies!A:BR,5,FALSE),"")</f>
        <v>Midazolam</v>
      </c>
      <c r="F3131" s="207" t="str">
        <f>IF(AND(A3131&lt;&gt;"",ISNUMBER(A3131)),VLOOKUP(A3131,Studies!A:BR,6,FALSE),"")</f>
        <v>Plasma</v>
      </c>
      <c r="G3131" s="194">
        <v>1.5</v>
      </c>
      <c r="H3131" s="194" t="s">
        <v>60</v>
      </c>
      <c r="I3131" s="187">
        <v>6.5764019999999999</v>
      </c>
      <c r="J3131" s="187" t="s">
        <v>1026</v>
      </c>
      <c r="K3131" s="187" t="s">
        <v>116</v>
      </c>
      <c r="L3131" s="195">
        <v>2.3597679999999999</v>
      </c>
      <c r="M3131" s="195" t="s">
        <v>1026</v>
      </c>
      <c r="N3131" s="195" t="s">
        <v>117</v>
      </c>
      <c r="O3131" s="199"/>
      <c r="P3131" s="188"/>
      <c r="Q3131" s="174">
        <f>IF(ISNUMBER(VLOOKUP(A3131,NotghiID!A:A,1,FALSE)),1,0)</f>
        <v>1</v>
      </c>
    </row>
    <row r="3132" spans="1:17" ht="14.25" x14ac:dyDescent="0.2">
      <c r="A3132" s="189">
        <v>303</v>
      </c>
      <c r="B3132" s="232" t="str">
        <f>IF(AND(A3132&lt;&gt;"",ISNUMBER(A3132)),VLOOKUP(A3132,Studies!A:BR,2,FALSE),"")</f>
        <v>Kharasch 2011</v>
      </c>
      <c r="C3132" s="232" t="str">
        <f>IF(AND(A3132&lt;&gt;"",ISNUMBER(A3132)),VLOOKUP(A3132,Studies!A:BR,3,FALSE),"")</f>
        <v>https://www.ncbi.nlm.nih.gov/pubmed/21562488</v>
      </c>
      <c r="D3132" s="232" t="str">
        <f>IF(AND(A3132&lt;&gt;"",ISNUMBER(A3132)),VLOOKUP(A3132,Studies!A:BR,4,FALSE),"")</f>
        <v>po Control (Perpetrator Placebo)</v>
      </c>
      <c r="E3132" s="206" t="str">
        <f>IF(AND(A3132&lt;&gt;"",ISNUMBER(A3132)),VLOOKUP(A3132,Studies!A:BR,5,FALSE),"")</f>
        <v>Midazolam</v>
      </c>
      <c r="F3132" s="207" t="str">
        <f>IF(AND(A3132&lt;&gt;"",ISNUMBER(A3132)),VLOOKUP(A3132,Studies!A:BR,6,FALSE),"")</f>
        <v>Plasma</v>
      </c>
      <c r="G3132" s="194">
        <v>1.75</v>
      </c>
      <c r="H3132" s="194" t="s">
        <v>60</v>
      </c>
      <c r="I3132" s="187">
        <v>5.7253379999999998</v>
      </c>
      <c r="J3132" s="187" t="s">
        <v>1026</v>
      </c>
      <c r="K3132" s="187" t="s">
        <v>116</v>
      </c>
      <c r="L3132" s="195">
        <v>1.8955519999999999</v>
      </c>
      <c r="M3132" s="195" t="s">
        <v>1026</v>
      </c>
      <c r="N3132" s="195" t="s">
        <v>117</v>
      </c>
      <c r="O3132" s="199"/>
      <c r="P3132" s="188"/>
      <c r="Q3132" s="174">
        <f>IF(ISNUMBER(VLOOKUP(A3132,NotghiID!A:A,1,FALSE)),1,0)</f>
        <v>1</v>
      </c>
    </row>
    <row r="3133" spans="1:17" ht="14.25" x14ac:dyDescent="0.2">
      <c r="A3133" s="189">
        <v>303</v>
      </c>
      <c r="B3133" s="232" t="str">
        <f>IF(AND(A3133&lt;&gt;"",ISNUMBER(A3133)),VLOOKUP(A3133,Studies!A:BR,2,FALSE),"")</f>
        <v>Kharasch 2011</v>
      </c>
      <c r="C3133" s="232" t="str">
        <f>IF(AND(A3133&lt;&gt;"",ISNUMBER(A3133)),VLOOKUP(A3133,Studies!A:BR,3,FALSE),"")</f>
        <v>https://www.ncbi.nlm.nih.gov/pubmed/21562488</v>
      </c>
      <c r="D3133" s="232" t="str">
        <f>IF(AND(A3133&lt;&gt;"",ISNUMBER(A3133)),VLOOKUP(A3133,Studies!A:BR,4,FALSE),"")</f>
        <v>po Control (Perpetrator Placebo)</v>
      </c>
      <c r="E3133" s="206" t="str">
        <f>IF(AND(A3133&lt;&gt;"",ISNUMBER(A3133)),VLOOKUP(A3133,Studies!A:BR,5,FALSE),"")</f>
        <v>Midazolam</v>
      </c>
      <c r="F3133" s="207" t="str">
        <f>IF(AND(A3133&lt;&gt;"",ISNUMBER(A3133)),VLOOKUP(A3133,Studies!A:BR,6,FALSE),"")</f>
        <v>Plasma</v>
      </c>
      <c r="G3133" s="194">
        <v>2</v>
      </c>
      <c r="H3133" s="194" t="s">
        <v>60</v>
      </c>
      <c r="I3133" s="187">
        <v>4.9516439999999999</v>
      </c>
      <c r="J3133" s="187" t="s">
        <v>1026</v>
      </c>
      <c r="K3133" s="187" t="s">
        <v>116</v>
      </c>
      <c r="L3133" s="195">
        <v>1.6247579999999999</v>
      </c>
      <c r="M3133" s="195" t="s">
        <v>1026</v>
      </c>
      <c r="N3133" s="195" t="s">
        <v>117</v>
      </c>
      <c r="O3133" s="199"/>
      <c r="P3133" s="188"/>
      <c r="Q3133" s="174">
        <f>IF(ISNUMBER(VLOOKUP(A3133,NotghiID!A:A,1,FALSE)),1,0)</f>
        <v>1</v>
      </c>
    </row>
    <row r="3134" spans="1:17" ht="14.25" x14ac:dyDescent="0.2">
      <c r="A3134" s="189">
        <v>303</v>
      </c>
      <c r="B3134" s="232" t="str">
        <f>IF(AND(A3134&lt;&gt;"",ISNUMBER(A3134)),VLOOKUP(A3134,Studies!A:BR,2,FALSE),"")</f>
        <v>Kharasch 2011</v>
      </c>
      <c r="C3134" s="232" t="str">
        <f>IF(AND(A3134&lt;&gt;"",ISNUMBER(A3134)),VLOOKUP(A3134,Studies!A:BR,3,FALSE),"")</f>
        <v>https://www.ncbi.nlm.nih.gov/pubmed/21562488</v>
      </c>
      <c r="D3134" s="232" t="str">
        <f>IF(AND(A3134&lt;&gt;"",ISNUMBER(A3134)),VLOOKUP(A3134,Studies!A:BR,4,FALSE),"")</f>
        <v>po Control (Perpetrator Placebo)</v>
      </c>
      <c r="E3134" s="206" t="str">
        <f>IF(AND(A3134&lt;&gt;"",ISNUMBER(A3134)),VLOOKUP(A3134,Studies!A:BR,5,FALSE),"")</f>
        <v>Midazolam</v>
      </c>
      <c r="F3134" s="207" t="str">
        <f>IF(AND(A3134&lt;&gt;"",ISNUMBER(A3134)),VLOOKUP(A3134,Studies!A:BR,6,FALSE),"")</f>
        <v>Plasma</v>
      </c>
      <c r="G3134" s="194">
        <v>2.5</v>
      </c>
      <c r="H3134" s="194" t="s">
        <v>60</v>
      </c>
      <c r="I3134" s="187">
        <v>3.9845259999999998</v>
      </c>
      <c r="J3134" s="187" t="s">
        <v>1026</v>
      </c>
      <c r="K3134" s="187" t="s">
        <v>116</v>
      </c>
      <c r="L3134" s="195">
        <v>1.7021280000000001</v>
      </c>
      <c r="M3134" s="195" t="s">
        <v>1026</v>
      </c>
      <c r="N3134" s="195" t="s">
        <v>117</v>
      </c>
      <c r="O3134" s="199"/>
      <c r="P3134" s="188"/>
      <c r="Q3134" s="174">
        <f>IF(ISNUMBER(VLOOKUP(A3134,NotghiID!A:A,1,FALSE)),1,0)</f>
        <v>1</v>
      </c>
    </row>
    <row r="3135" spans="1:17" ht="14.25" x14ac:dyDescent="0.2">
      <c r="A3135" s="189">
        <v>303</v>
      </c>
      <c r="B3135" s="232" t="str">
        <f>IF(AND(A3135&lt;&gt;"",ISNUMBER(A3135)),VLOOKUP(A3135,Studies!A:BR,2,FALSE),"")</f>
        <v>Kharasch 2011</v>
      </c>
      <c r="C3135" s="232" t="str">
        <f>IF(AND(A3135&lt;&gt;"",ISNUMBER(A3135)),VLOOKUP(A3135,Studies!A:BR,3,FALSE),"")</f>
        <v>https://www.ncbi.nlm.nih.gov/pubmed/21562488</v>
      </c>
      <c r="D3135" s="232" t="str">
        <f>IF(AND(A3135&lt;&gt;"",ISNUMBER(A3135)),VLOOKUP(A3135,Studies!A:BR,4,FALSE),"")</f>
        <v>po Control (Perpetrator Placebo)</v>
      </c>
      <c r="E3135" s="206" t="str">
        <f>IF(AND(A3135&lt;&gt;"",ISNUMBER(A3135)),VLOOKUP(A3135,Studies!A:BR,5,FALSE),"")</f>
        <v>Midazolam</v>
      </c>
      <c r="F3135" s="207" t="str">
        <f>IF(AND(A3135&lt;&gt;"",ISNUMBER(A3135)),VLOOKUP(A3135,Studies!A:BR,6,FALSE),"")</f>
        <v>Plasma</v>
      </c>
      <c r="G3135" s="194">
        <v>3</v>
      </c>
      <c r="H3135" s="194" t="s">
        <v>60</v>
      </c>
      <c r="I3135" s="187">
        <v>3.3655710000000001</v>
      </c>
      <c r="J3135" s="187" t="s">
        <v>1026</v>
      </c>
      <c r="K3135" s="187" t="s">
        <v>116</v>
      </c>
      <c r="L3135" s="195">
        <v>1.1992259999999999</v>
      </c>
      <c r="M3135" s="195" t="s">
        <v>1026</v>
      </c>
      <c r="N3135" s="195" t="s">
        <v>117</v>
      </c>
      <c r="O3135" s="199"/>
      <c r="P3135" s="188"/>
      <c r="Q3135" s="174">
        <f>IF(ISNUMBER(VLOOKUP(A3135,NotghiID!A:A,1,FALSE)),1,0)</f>
        <v>1</v>
      </c>
    </row>
    <row r="3136" spans="1:17" ht="14.25" x14ac:dyDescent="0.2">
      <c r="A3136" s="189">
        <v>303</v>
      </c>
      <c r="B3136" s="232" t="str">
        <f>IF(AND(A3136&lt;&gt;"",ISNUMBER(A3136)),VLOOKUP(A3136,Studies!A:BR,2,FALSE),"")</f>
        <v>Kharasch 2011</v>
      </c>
      <c r="C3136" s="232" t="str">
        <f>IF(AND(A3136&lt;&gt;"",ISNUMBER(A3136)),VLOOKUP(A3136,Studies!A:BR,3,FALSE),"")</f>
        <v>https://www.ncbi.nlm.nih.gov/pubmed/21562488</v>
      </c>
      <c r="D3136" s="232" t="str">
        <f>IF(AND(A3136&lt;&gt;"",ISNUMBER(A3136)),VLOOKUP(A3136,Studies!A:BR,4,FALSE),"")</f>
        <v>po Control (Perpetrator Placebo)</v>
      </c>
      <c r="E3136" s="206" t="str">
        <f>IF(AND(A3136&lt;&gt;"",ISNUMBER(A3136)),VLOOKUP(A3136,Studies!A:BR,5,FALSE),"")</f>
        <v>Midazolam</v>
      </c>
      <c r="F3136" s="207" t="str">
        <f>IF(AND(A3136&lt;&gt;"",ISNUMBER(A3136)),VLOOKUP(A3136,Studies!A:BR,6,FALSE),"")</f>
        <v>Plasma</v>
      </c>
      <c r="G3136" s="194">
        <v>3.5</v>
      </c>
      <c r="H3136" s="194" t="s">
        <v>60</v>
      </c>
      <c r="I3136" s="187">
        <v>3.1721469999999998</v>
      </c>
      <c r="J3136" s="187" t="s">
        <v>1026</v>
      </c>
      <c r="K3136" s="187" t="s">
        <v>116</v>
      </c>
      <c r="L3136" s="195">
        <v>1.2765960000000001</v>
      </c>
      <c r="M3136" s="195" t="s">
        <v>1026</v>
      </c>
      <c r="N3136" s="195" t="s">
        <v>117</v>
      </c>
      <c r="O3136" s="199"/>
      <c r="P3136" s="188"/>
      <c r="Q3136" s="174">
        <f>IF(ISNUMBER(VLOOKUP(A3136,NotghiID!A:A,1,FALSE)),1,0)</f>
        <v>1</v>
      </c>
    </row>
    <row r="3137" spans="1:17" ht="14.25" x14ac:dyDescent="0.2">
      <c r="A3137" s="189">
        <v>303</v>
      </c>
      <c r="B3137" s="232" t="str">
        <f>IF(AND(A3137&lt;&gt;"",ISNUMBER(A3137)),VLOOKUP(A3137,Studies!A:BR,2,FALSE),"")</f>
        <v>Kharasch 2011</v>
      </c>
      <c r="C3137" s="232" t="str">
        <f>IF(AND(A3137&lt;&gt;"",ISNUMBER(A3137)),VLOOKUP(A3137,Studies!A:BR,3,FALSE),"")</f>
        <v>https://www.ncbi.nlm.nih.gov/pubmed/21562488</v>
      </c>
      <c r="D3137" s="232" t="str">
        <f>IF(AND(A3137&lt;&gt;"",ISNUMBER(A3137)),VLOOKUP(A3137,Studies!A:BR,4,FALSE),"")</f>
        <v>po Control (Perpetrator Placebo)</v>
      </c>
      <c r="E3137" s="206" t="str">
        <f>IF(AND(A3137&lt;&gt;"",ISNUMBER(A3137)),VLOOKUP(A3137,Studies!A:BR,5,FALSE),"")</f>
        <v>Midazolam</v>
      </c>
      <c r="F3137" s="207" t="str">
        <f>IF(AND(A3137&lt;&gt;"",ISNUMBER(A3137)),VLOOKUP(A3137,Studies!A:BR,6,FALSE),"")</f>
        <v>Plasma</v>
      </c>
      <c r="G3137" s="194">
        <v>4</v>
      </c>
      <c r="H3137" s="194" t="s">
        <v>60</v>
      </c>
      <c r="I3137" s="187">
        <v>2.5918760000000001</v>
      </c>
      <c r="J3137" s="187" t="s">
        <v>1026</v>
      </c>
      <c r="K3137" s="187" t="s">
        <v>116</v>
      </c>
      <c r="L3137" s="195">
        <v>0.96711829999999999</v>
      </c>
      <c r="M3137" s="195" t="s">
        <v>1026</v>
      </c>
      <c r="N3137" s="195" t="s">
        <v>117</v>
      </c>
      <c r="O3137" s="199"/>
      <c r="P3137" s="188"/>
      <c r="Q3137" s="174">
        <f>IF(ISNUMBER(VLOOKUP(A3137,NotghiID!A:A,1,FALSE)),1,0)</f>
        <v>1</v>
      </c>
    </row>
    <row r="3138" spans="1:17" ht="14.25" x14ac:dyDescent="0.2">
      <c r="A3138" s="189">
        <v>303</v>
      </c>
      <c r="B3138" s="232" t="str">
        <f>IF(AND(A3138&lt;&gt;"",ISNUMBER(A3138)),VLOOKUP(A3138,Studies!A:BR,2,FALSE),"")</f>
        <v>Kharasch 2011</v>
      </c>
      <c r="C3138" s="232" t="str">
        <f>IF(AND(A3138&lt;&gt;"",ISNUMBER(A3138)),VLOOKUP(A3138,Studies!A:BR,3,FALSE),"")</f>
        <v>https://www.ncbi.nlm.nih.gov/pubmed/21562488</v>
      </c>
      <c r="D3138" s="232" t="str">
        <f>IF(AND(A3138&lt;&gt;"",ISNUMBER(A3138)),VLOOKUP(A3138,Studies!A:BR,4,FALSE),"")</f>
        <v>po Control (Perpetrator Placebo)</v>
      </c>
      <c r="E3138" s="206" t="str">
        <f>IF(AND(A3138&lt;&gt;"",ISNUMBER(A3138)),VLOOKUP(A3138,Studies!A:BR,5,FALSE),"")</f>
        <v>Midazolam</v>
      </c>
      <c r="F3138" s="207" t="str">
        <f>IF(AND(A3138&lt;&gt;"",ISNUMBER(A3138)),VLOOKUP(A3138,Studies!A:BR,6,FALSE),"")</f>
        <v>Plasma</v>
      </c>
      <c r="G3138" s="194">
        <v>5</v>
      </c>
      <c r="H3138" s="194" t="s">
        <v>60</v>
      </c>
      <c r="I3138" s="187">
        <v>1.9342360000000001</v>
      </c>
      <c r="J3138" s="187" t="s">
        <v>1026</v>
      </c>
      <c r="K3138" s="187" t="s">
        <v>116</v>
      </c>
      <c r="L3138" s="195">
        <v>0.69632479999999997</v>
      </c>
      <c r="M3138" s="195" t="s">
        <v>1026</v>
      </c>
      <c r="N3138" s="195" t="s">
        <v>117</v>
      </c>
      <c r="O3138" s="199"/>
      <c r="P3138" s="188"/>
      <c r="Q3138" s="174">
        <f>IF(ISNUMBER(VLOOKUP(A3138,NotghiID!A:A,1,FALSE)),1,0)</f>
        <v>1</v>
      </c>
    </row>
    <row r="3139" spans="1:17" ht="14.25" x14ac:dyDescent="0.2">
      <c r="A3139" s="189">
        <v>303</v>
      </c>
      <c r="B3139" s="232" t="str">
        <f>IF(AND(A3139&lt;&gt;"",ISNUMBER(A3139)),VLOOKUP(A3139,Studies!A:BR,2,FALSE),"")</f>
        <v>Kharasch 2011</v>
      </c>
      <c r="C3139" s="232" t="str">
        <f>IF(AND(A3139&lt;&gt;"",ISNUMBER(A3139)),VLOOKUP(A3139,Studies!A:BR,3,FALSE),"")</f>
        <v>https://www.ncbi.nlm.nih.gov/pubmed/21562488</v>
      </c>
      <c r="D3139" s="232" t="str">
        <f>IF(AND(A3139&lt;&gt;"",ISNUMBER(A3139)),VLOOKUP(A3139,Studies!A:BR,4,FALSE),"")</f>
        <v>po Control (Perpetrator Placebo)</v>
      </c>
      <c r="E3139" s="206" t="str">
        <f>IF(AND(A3139&lt;&gt;"",ISNUMBER(A3139)),VLOOKUP(A3139,Studies!A:BR,5,FALSE),"")</f>
        <v>Midazolam</v>
      </c>
      <c r="F3139" s="207" t="str">
        <f>IF(AND(A3139&lt;&gt;"",ISNUMBER(A3139)),VLOOKUP(A3139,Studies!A:BR,6,FALSE),"")</f>
        <v>Plasma</v>
      </c>
      <c r="G3139" s="194">
        <v>6</v>
      </c>
      <c r="H3139" s="194" t="s">
        <v>60</v>
      </c>
      <c r="I3139" s="187">
        <v>1.470019</v>
      </c>
      <c r="J3139" s="187" t="s">
        <v>1026</v>
      </c>
      <c r="K3139" s="187" t="s">
        <v>116</v>
      </c>
      <c r="L3139" s="195">
        <v>0.65764060000000002</v>
      </c>
      <c r="M3139" s="195" t="s">
        <v>1026</v>
      </c>
      <c r="N3139" s="195" t="s">
        <v>117</v>
      </c>
      <c r="O3139" s="199"/>
      <c r="P3139" s="188"/>
      <c r="Q3139" s="174">
        <f>IF(ISNUMBER(VLOOKUP(A3139,NotghiID!A:A,1,FALSE)),1,0)</f>
        <v>1</v>
      </c>
    </row>
    <row r="3140" spans="1:17" ht="14.25" x14ac:dyDescent="0.2">
      <c r="A3140" s="189">
        <v>303</v>
      </c>
      <c r="B3140" s="232" t="str">
        <f>IF(AND(A3140&lt;&gt;"",ISNUMBER(A3140)),VLOOKUP(A3140,Studies!A:BR,2,FALSE),"")</f>
        <v>Kharasch 2011</v>
      </c>
      <c r="C3140" s="232" t="str">
        <f>IF(AND(A3140&lt;&gt;"",ISNUMBER(A3140)),VLOOKUP(A3140,Studies!A:BR,3,FALSE),"")</f>
        <v>https://www.ncbi.nlm.nih.gov/pubmed/21562488</v>
      </c>
      <c r="D3140" s="232" t="str">
        <f>IF(AND(A3140&lt;&gt;"",ISNUMBER(A3140)),VLOOKUP(A3140,Studies!A:BR,4,FALSE),"")</f>
        <v>po Control (Perpetrator Placebo)</v>
      </c>
      <c r="E3140" s="206" t="str">
        <f>IF(AND(A3140&lt;&gt;"",ISNUMBER(A3140)),VLOOKUP(A3140,Studies!A:BR,5,FALSE),"")</f>
        <v>Midazolam</v>
      </c>
      <c r="F3140" s="207" t="str">
        <f>IF(AND(A3140&lt;&gt;"",ISNUMBER(A3140)),VLOOKUP(A3140,Studies!A:BR,6,FALSE),"")</f>
        <v>Plasma</v>
      </c>
      <c r="G3140" s="194">
        <v>7</v>
      </c>
      <c r="H3140" s="194" t="s">
        <v>60</v>
      </c>
      <c r="I3140" s="187">
        <v>1.2765960000000001</v>
      </c>
      <c r="J3140" s="187" t="s">
        <v>1026</v>
      </c>
      <c r="K3140" s="187" t="s">
        <v>116</v>
      </c>
      <c r="L3140" s="195">
        <v>0.50290120000000005</v>
      </c>
      <c r="M3140" s="195" t="s">
        <v>1026</v>
      </c>
      <c r="N3140" s="195" t="s">
        <v>117</v>
      </c>
      <c r="O3140" s="199"/>
      <c r="P3140" s="188"/>
      <c r="Q3140" s="174">
        <f>IF(ISNUMBER(VLOOKUP(A3140,NotghiID!A:A,1,FALSE)),1,0)</f>
        <v>1</v>
      </c>
    </row>
    <row r="3141" spans="1:17" ht="14.25" x14ac:dyDescent="0.2">
      <c r="A3141" s="189">
        <v>303</v>
      </c>
      <c r="B3141" s="232" t="str">
        <f>IF(AND(A3141&lt;&gt;"",ISNUMBER(A3141)),VLOOKUP(A3141,Studies!A:BR,2,FALSE),"")</f>
        <v>Kharasch 2011</v>
      </c>
      <c r="C3141" s="232" t="str">
        <f>IF(AND(A3141&lt;&gt;"",ISNUMBER(A3141)),VLOOKUP(A3141,Studies!A:BR,3,FALSE),"")</f>
        <v>https://www.ncbi.nlm.nih.gov/pubmed/21562488</v>
      </c>
      <c r="D3141" s="232" t="str">
        <f>IF(AND(A3141&lt;&gt;"",ISNUMBER(A3141)),VLOOKUP(A3141,Studies!A:BR,4,FALSE),"")</f>
        <v>po Control (Perpetrator Placebo)</v>
      </c>
      <c r="E3141" s="206" t="str">
        <f>IF(AND(A3141&lt;&gt;"",ISNUMBER(A3141)),VLOOKUP(A3141,Studies!A:BR,5,FALSE),"")</f>
        <v>Midazolam</v>
      </c>
      <c r="F3141" s="207" t="str">
        <f>IF(AND(A3141&lt;&gt;"",ISNUMBER(A3141)),VLOOKUP(A3141,Studies!A:BR,6,FALSE),"")</f>
        <v>Plasma</v>
      </c>
      <c r="G3141" s="194">
        <v>9</v>
      </c>
      <c r="H3141" s="194" t="s">
        <v>60</v>
      </c>
      <c r="I3141" s="187">
        <v>0.8897486</v>
      </c>
      <c r="J3141" s="187" t="s">
        <v>1026</v>
      </c>
      <c r="K3141" s="187" t="s">
        <v>116</v>
      </c>
      <c r="L3141" s="195">
        <v>0.42553190000000002</v>
      </c>
      <c r="M3141" s="195" t="s">
        <v>1026</v>
      </c>
      <c r="N3141" s="195" t="s">
        <v>117</v>
      </c>
      <c r="O3141" s="199"/>
      <c r="P3141" s="188"/>
      <c r="Q3141" s="174">
        <f>IF(ISNUMBER(VLOOKUP(A3141,NotghiID!A:A,1,FALSE)),1,0)</f>
        <v>1</v>
      </c>
    </row>
    <row r="3142" spans="1:17" ht="14.25" x14ac:dyDescent="0.2">
      <c r="A3142" s="189">
        <v>304</v>
      </c>
      <c r="B3142" s="232" t="str">
        <f>IF(AND(A3142&lt;&gt;"",ISNUMBER(A3142)),VLOOKUP(A3142,Studies!A:BR,2,FALSE),"")</f>
        <v>Kharasch 2011</v>
      </c>
      <c r="C3142" s="232" t="str">
        <f>IF(AND(A3142&lt;&gt;"",ISNUMBER(A3142)),VLOOKUP(A3142,Studies!A:BR,3,FALSE),"")</f>
        <v>https://www.ncbi.nlm.nih.gov/pubmed/21562488</v>
      </c>
      <c r="D3142" s="232" t="str">
        <f>IF(AND(A3142&lt;&gt;"",ISNUMBER(A3142)),VLOOKUP(A3142,Studies!A:BR,4,FALSE),"")</f>
        <v>po with Perpetrator (Rifampicin @ 5 mg)</v>
      </c>
      <c r="E3142" s="206" t="str">
        <f>IF(AND(A3142&lt;&gt;"",ISNUMBER(A3142)),VLOOKUP(A3142,Studies!A:BR,5,FALSE),"")</f>
        <v>Midazolam</v>
      </c>
      <c r="F3142" s="207" t="str">
        <f>IF(AND(A3142&lt;&gt;"",ISNUMBER(A3142)),VLOOKUP(A3142,Studies!A:BR,6,FALSE),"")</f>
        <v>Plasma</v>
      </c>
      <c r="G3142" s="194">
        <v>132</v>
      </c>
      <c r="H3142" s="194" t="s">
        <v>60</v>
      </c>
      <c r="I3142" s="187">
        <v>0.1160542</v>
      </c>
      <c r="J3142" s="187" t="s">
        <v>1090</v>
      </c>
      <c r="K3142" s="187" t="s">
        <v>116</v>
      </c>
      <c r="L3142" s="195"/>
      <c r="M3142" s="195"/>
      <c r="N3142" s="195"/>
      <c r="O3142" s="199"/>
      <c r="P3142" s="188"/>
      <c r="Q3142" s="174">
        <f>IF(ISNUMBER(VLOOKUP(A3142,NotghiID!A:A,1,FALSE)),1,0)</f>
        <v>1</v>
      </c>
    </row>
    <row r="3143" spans="1:17" ht="14.25" x14ac:dyDescent="0.2">
      <c r="A3143" s="189">
        <v>304</v>
      </c>
      <c r="B3143" s="232" t="str">
        <f>IF(AND(A3143&lt;&gt;"",ISNUMBER(A3143)),VLOOKUP(A3143,Studies!A:BR,2,FALSE),"")</f>
        <v>Kharasch 2011</v>
      </c>
      <c r="C3143" s="232" t="str">
        <f>IF(AND(A3143&lt;&gt;"",ISNUMBER(A3143)),VLOOKUP(A3143,Studies!A:BR,3,FALSE),"")</f>
        <v>https://www.ncbi.nlm.nih.gov/pubmed/21562488</v>
      </c>
      <c r="D3143" s="232" t="str">
        <f>IF(AND(A3143&lt;&gt;"",ISNUMBER(A3143)),VLOOKUP(A3143,Studies!A:BR,4,FALSE),"")</f>
        <v>po with Perpetrator (Rifampicin @ 5 mg)</v>
      </c>
      <c r="E3143" s="206" t="str">
        <f>IF(AND(A3143&lt;&gt;"",ISNUMBER(A3143)),VLOOKUP(A3143,Studies!A:BR,5,FALSE),"")</f>
        <v>Midazolam</v>
      </c>
      <c r="F3143" s="207" t="str">
        <f>IF(AND(A3143&lt;&gt;"",ISNUMBER(A3143)),VLOOKUP(A3143,Studies!A:BR,6,FALSE),"")</f>
        <v>Plasma</v>
      </c>
      <c r="G3143" s="194">
        <v>132.08000000000001</v>
      </c>
      <c r="H3143" s="194" t="s">
        <v>60</v>
      </c>
      <c r="I3143" s="187">
        <v>1.160542</v>
      </c>
      <c r="J3143" s="187" t="s">
        <v>1090</v>
      </c>
      <c r="K3143" s="187" t="s">
        <v>116</v>
      </c>
      <c r="L3143" s="195"/>
      <c r="M3143" s="195"/>
      <c r="N3143" s="195"/>
      <c r="O3143" s="199"/>
      <c r="P3143" s="188"/>
      <c r="Q3143" s="174">
        <f>IF(ISNUMBER(VLOOKUP(A3143,NotghiID!A:A,1,FALSE)),1,0)</f>
        <v>1</v>
      </c>
    </row>
    <row r="3144" spans="1:17" ht="14.25" x14ac:dyDescent="0.2">
      <c r="A3144" s="189">
        <v>304</v>
      </c>
      <c r="B3144" s="232" t="str">
        <f>IF(AND(A3144&lt;&gt;"",ISNUMBER(A3144)),VLOOKUP(A3144,Studies!A:BR,2,FALSE),"")</f>
        <v>Kharasch 2011</v>
      </c>
      <c r="C3144" s="232" t="str">
        <f>IF(AND(A3144&lt;&gt;"",ISNUMBER(A3144)),VLOOKUP(A3144,Studies!A:BR,3,FALSE),"")</f>
        <v>https://www.ncbi.nlm.nih.gov/pubmed/21562488</v>
      </c>
      <c r="D3144" s="232" t="str">
        <f>IF(AND(A3144&lt;&gt;"",ISNUMBER(A3144)),VLOOKUP(A3144,Studies!A:BR,4,FALSE),"")</f>
        <v>po with Perpetrator (Rifampicin @ 5 mg)</v>
      </c>
      <c r="E3144" s="206" t="str">
        <f>IF(AND(A3144&lt;&gt;"",ISNUMBER(A3144)),VLOOKUP(A3144,Studies!A:BR,5,FALSE),"")</f>
        <v>Midazolam</v>
      </c>
      <c r="F3144" s="207" t="str">
        <f>IF(AND(A3144&lt;&gt;"",ISNUMBER(A3144)),VLOOKUP(A3144,Studies!A:BR,6,FALSE),"")</f>
        <v>Plasma</v>
      </c>
      <c r="G3144" s="194">
        <v>132.16999999999999</v>
      </c>
      <c r="H3144" s="194" t="s">
        <v>60</v>
      </c>
      <c r="I3144" s="187">
        <v>4.4874270000000003</v>
      </c>
      <c r="J3144" s="187" t="s">
        <v>1090</v>
      </c>
      <c r="K3144" s="187" t="s">
        <v>116</v>
      </c>
      <c r="L3144" s="195"/>
      <c r="M3144" s="195"/>
      <c r="N3144" s="195"/>
      <c r="O3144" s="199"/>
      <c r="P3144" s="188"/>
      <c r="Q3144" s="174">
        <f>IF(ISNUMBER(VLOOKUP(A3144,NotghiID!A:A,1,FALSE)),1,0)</f>
        <v>1</v>
      </c>
    </row>
    <row r="3145" spans="1:17" ht="14.25" x14ac:dyDescent="0.2">
      <c r="A3145" s="189">
        <v>304</v>
      </c>
      <c r="B3145" s="232" t="str">
        <f>IF(AND(A3145&lt;&gt;"",ISNUMBER(A3145)),VLOOKUP(A3145,Studies!A:BR,2,FALSE),"")</f>
        <v>Kharasch 2011</v>
      </c>
      <c r="C3145" s="232" t="str">
        <f>IF(AND(A3145&lt;&gt;"",ISNUMBER(A3145)),VLOOKUP(A3145,Studies!A:BR,3,FALSE),"")</f>
        <v>https://www.ncbi.nlm.nih.gov/pubmed/21562488</v>
      </c>
      <c r="D3145" s="232" t="str">
        <f>IF(AND(A3145&lt;&gt;"",ISNUMBER(A3145)),VLOOKUP(A3145,Studies!A:BR,4,FALSE),"")</f>
        <v>po with Perpetrator (Rifampicin @ 5 mg)</v>
      </c>
      <c r="E3145" s="206" t="str">
        <f>IF(AND(A3145&lt;&gt;"",ISNUMBER(A3145)),VLOOKUP(A3145,Studies!A:BR,5,FALSE),"")</f>
        <v>Midazolam</v>
      </c>
      <c r="F3145" s="207" t="str">
        <f>IF(AND(A3145&lt;&gt;"",ISNUMBER(A3145)),VLOOKUP(A3145,Studies!A:BR,6,FALSE),"")</f>
        <v>Plasma</v>
      </c>
      <c r="G3145" s="194">
        <v>132.25</v>
      </c>
      <c r="H3145" s="194" t="s">
        <v>60</v>
      </c>
      <c r="I3145" s="187">
        <v>7.388782</v>
      </c>
      <c r="J3145" s="187" t="s">
        <v>1090</v>
      </c>
      <c r="K3145" s="187" t="s">
        <v>116</v>
      </c>
      <c r="L3145" s="195"/>
      <c r="M3145" s="195"/>
      <c r="N3145" s="195"/>
      <c r="O3145" s="199"/>
      <c r="P3145" s="188"/>
      <c r="Q3145" s="174">
        <f>IF(ISNUMBER(VLOOKUP(A3145,NotghiID!A:A,1,FALSE)),1,0)</f>
        <v>1</v>
      </c>
    </row>
    <row r="3146" spans="1:17" ht="14.25" x14ac:dyDescent="0.2">
      <c r="A3146" s="189">
        <v>304</v>
      </c>
      <c r="B3146" s="232" t="str">
        <f>IF(AND(A3146&lt;&gt;"",ISNUMBER(A3146)),VLOOKUP(A3146,Studies!A:BR,2,FALSE),"")</f>
        <v>Kharasch 2011</v>
      </c>
      <c r="C3146" s="232" t="str">
        <f>IF(AND(A3146&lt;&gt;"",ISNUMBER(A3146)),VLOOKUP(A3146,Studies!A:BR,3,FALSE),"")</f>
        <v>https://www.ncbi.nlm.nih.gov/pubmed/21562488</v>
      </c>
      <c r="D3146" s="232" t="str">
        <f>IF(AND(A3146&lt;&gt;"",ISNUMBER(A3146)),VLOOKUP(A3146,Studies!A:BR,4,FALSE),"")</f>
        <v>po with Perpetrator (Rifampicin @ 5 mg)</v>
      </c>
      <c r="E3146" s="206" t="str">
        <f>IF(AND(A3146&lt;&gt;"",ISNUMBER(A3146)),VLOOKUP(A3146,Studies!A:BR,5,FALSE),"")</f>
        <v>Midazolam</v>
      </c>
      <c r="F3146" s="207" t="str">
        <f>IF(AND(A3146&lt;&gt;"",ISNUMBER(A3146)),VLOOKUP(A3146,Studies!A:BR,6,FALSE),"")</f>
        <v>Plasma</v>
      </c>
      <c r="G3146" s="194">
        <v>132.33000000000001</v>
      </c>
      <c r="H3146" s="194" t="s">
        <v>60</v>
      </c>
      <c r="I3146" s="187">
        <v>9.6324950000000005</v>
      </c>
      <c r="J3146" s="187" t="s">
        <v>1090</v>
      </c>
      <c r="K3146" s="187" t="s">
        <v>116</v>
      </c>
      <c r="L3146" s="195"/>
      <c r="M3146" s="195"/>
      <c r="N3146" s="195"/>
      <c r="O3146" s="199"/>
      <c r="P3146" s="188"/>
      <c r="Q3146" s="174">
        <f>IF(ISNUMBER(VLOOKUP(A3146,NotghiID!A:A,1,FALSE)),1,0)</f>
        <v>1</v>
      </c>
    </row>
    <row r="3147" spans="1:17" ht="14.25" x14ac:dyDescent="0.2">
      <c r="A3147" s="189">
        <v>304</v>
      </c>
      <c r="B3147" s="232" t="str">
        <f>IF(AND(A3147&lt;&gt;"",ISNUMBER(A3147)),VLOOKUP(A3147,Studies!A:BR,2,FALSE),"")</f>
        <v>Kharasch 2011</v>
      </c>
      <c r="C3147" s="232" t="str">
        <f>IF(AND(A3147&lt;&gt;"",ISNUMBER(A3147)),VLOOKUP(A3147,Studies!A:BR,3,FALSE),"")</f>
        <v>https://www.ncbi.nlm.nih.gov/pubmed/21562488</v>
      </c>
      <c r="D3147" s="232" t="str">
        <f>IF(AND(A3147&lt;&gt;"",ISNUMBER(A3147)),VLOOKUP(A3147,Studies!A:BR,4,FALSE),"")</f>
        <v>po with Perpetrator (Rifampicin @ 5 mg)</v>
      </c>
      <c r="E3147" s="206" t="str">
        <f>IF(AND(A3147&lt;&gt;"",ISNUMBER(A3147)),VLOOKUP(A3147,Studies!A:BR,5,FALSE),"")</f>
        <v>Midazolam</v>
      </c>
      <c r="F3147" s="207" t="str">
        <f>IF(AND(A3147&lt;&gt;"",ISNUMBER(A3147)),VLOOKUP(A3147,Studies!A:BR,6,FALSE),"")</f>
        <v>Plasma</v>
      </c>
      <c r="G3147" s="194">
        <v>132.5</v>
      </c>
      <c r="H3147" s="194" t="s">
        <v>60</v>
      </c>
      <c r="I3147" s="187">
        <v>10.560930000000001</v>
      </c>
      <c r="J3147" s="187" t="s">
        <v>1090</v>
      </c>
      <c r="K3147" s="187" t="s">
        <v>116</v>
      </c>
      <c r="L3147" s="195"/>
      <c r="M3147" s="195"/>
      <c r="N3147" s="195"/>
      <c r="O3147" s="199"/>
      <c r="P3147" s="188"/>
      <c r="Q3147" s="174">
        <f>IF(ISNUMBER(VLOOKUP(A3147,NotghiID!A:A,1,FALSE)),1,0)</f>
        <v>1</v>
      </c>
    </row>
    <row r="3148" spans="1:17" ht="14.25" x14ac:dyDescent="0.2">
      <c r="A3148" s="189">
        <v>304</v>
      </c>
      <c r="B3148" s="232" t="str">
        <f>IF(AND(A3148&lt;&gt;"",ISNUMBER(A3148)),VLOOKUP(A3148,Studies!A:BR,2,FALSE),"")</f>
        <v>Kharasch 2011</v>
      </c>
      <c r="C3148" s="232" t="str">
        <f>IF(AND(A3148&lt;&gt;"",ISNUMBER(A3148)),VLOOKUP(A3148,Studies!A:BR,3,FALSE),"")</f>
        <v>https://www.ncbi.nlm.nih.gov/pubmed/21562488</v>
      </c>
      <c r="D3148" s="232" t="str">
        <f>IF(AND(A3148&lt;&gt;"",ISNUMBER(A3148)),VLOOKUP(A3148,Studies!A:BR,4,FALSE),"")</f>
        <v>po with Perpetrator (Rifampicin @ 5 mg)</v>
      </c>
      <c r="E3148" s="206" t="str">
        <f>IF(AND(A3148&lt;&gt;"",ISNUMBER(A3148)),VLOOKUP(A3148,Studies!A:BR,5,FALSE),"")</f>
        <v>Midazolam</v>
      </c>
      <c r="F3148" s="207" t="str">
        <f>IF(AND(A3148&lt;&gt;"",ISNUMBER(A3148)),VLOOKUP(A3148,Studies!A:BR,6,FALSE),"")</f>
        <v>Plasma</v>
      </c>
      <c r="G3148" s="194">
        <v>132.75</v>
      </c>
      <c r="H3148" s="194" t="s">
        <v>60</v>
      </c>
      <c r="I3148" s="187">
        <v>9.2456479999999992</v>
      </c>
      <c r="J3148" s="187" t="s">
        <v>1090</v>
      </c>
      <c r="K3148" s="187" t="s">
        <v>116</v>
      </c>
      <c r="L3148" s="195"/>
      <c r="M3148" s="195"/>
      <c r="N3148" s="195"/>
      <c r="O3148" s="199"/>
      <c r="P3148" s="188"/>
      <c r="Q3148" s="174">
        <f>IF(ISNUMBER(VLOOKUP(A3148,NotghiID!A:A,1,FALSE)),1,0)</f>
        <v>1</v>
      </c>
    </row>
    <row r="3149" spans="1:17" ht="14.25" x14ac:dyDescent="0.2">
      <c r="A3149" s="189">
        <v>304</v>
      </c>
      <c r="B3149" s="232" t="str">
        <f>IF(AND(A3149&lt;&gt;"",ISNUMBER(A3149)),VLOOKUP(A3149,Studies!A:BR,2,FALSE),"")</f>
        <v>Kharasch 2011</v>
      </c>
      <c r="C3149" s="232" t="str">
        <f>IF(AND(A3149&lt;&gt;"",ISNUMBER(A3149)),VLOOKUP(A3149,Studies!A:BR,3,FALSE),"")</f>
        <v>https://www.ncbi.nlm.nih.gov/pubmed/21562488</v>
      </c>
      <c r="D3149" s="232" t="str">
        <f>IF(AND(A3149&lt;&gt;"",ISNUMBER(A3149)),VLOOKUP(A3149,Studies!A:BR,4,FALSE),"")</f>
        <v>po with Perpetrator (Rifampicin @ 5 mg)</v>
      </c>
      <c r="E3149" s="206" t="str">
        <f>IF(AND(A3149&lt;&gt;"",ISNUMBER(A3149)),VLOOKUP(A3149,Studies!A:BR,5,FALSE),"")</f>
        <v>Midazolam</v>
      </c>
      <c r="F3149" s="207" t="str">
        <f>IF(AND(A3149&lt;&gt;"",ISNUMBER(A3149)),VLOOKUP(A3149,Studies!A:BR,6,FALSE),"")</f>
        <v>Plasma</v>
      </c>
      <c r="G3149" s="194">
        <v>133.08000000000001</v>
      </c>
      <c r="H3149" s="194" t="s">
        <v>60</v>
      </c>
      <c r="I3149" s="187">
        <v>6.8471950000000001</v>
      </c>
      <c r="J3149" s="187" t="s">
        <v>1090</v>
      </c>
      <c r="K3149" s="187" t="s">
        <v>116</v>
      </c>
      <c r="L3149" s="195"/>
      <c r="M3149" s="195"/>
      <c r="N3149" s="195"/>
      <c r="O3149" s="199"/>
      <c r="P3149" s="188"/>
      <c r="Q3149" s="174">
        <f>IF(ISNUMBER(VLOOKUP(A3149,NotghiID!A:A,1,FALSE)),1,0)</f>
        <v>1</v>
      </c>
    </row>
    <row r="3150" spans="1:17" ht="14.25" x14ac:dyDescent="0.2">
      <c r="A3150" s="189">
        <v>304</v>
      </c>
      <c r="B3150" s="232" t="str">
        <f>IF(AND(A3150&lt;&gt;"",ISNUMBER(A3150)),VLOOKUP(A3150,Studies!A:BR,2,FALSE),"")</f>
        <v>Kharasch 2011</v>
      </c>
      <c r="C3150" s="232" t="str">
        <f>IF(AND(A3150&lt;&gt;"",ISNUMBER(A3150)),VLOOKUP(A3150,Studies!A:BR,3,FALSE),"")</f>
        <v>https://www.ncbi.nlm.nih.gov/pubmed/21562488</v>
      </c>
      <c r="D3150" s="232" t="str">
        <f>IF(AND(A3150&lt;&gt;"",ISNUMBER(A3150)),VLOOKUP(A3150,Studies!A:BR,4,FALSE),"")</f>
        <v>po with Perpetrator (Rifampicin @ 5 mg)</v>
      </c>
      <c r="E3150" s="206" t="str">
        <f>IF(AND(A3150&lt;&gt;"",ISNUMBER(A3150)),VLOOKUP(A3150,Studies!A:BR,5,FALSE),"")</f>
        <v>Midazolam</v>
      </c>
      <c r="F3150" s="207" t="str">
        <f>IF(AND(A3150&lt;&gt;"",ISNUMBER(A3150)),VLOOKUP(A3150,Studies!A:BR,6,FALSE),"")</f>
        <v>Plasma</v>
      </c>
      <c r="G3150" s="194">
        <v>133.16999999999999</v>
      </c>
      <c r="H3150" s="194" t="s">
        <v>60</v>
      </c>
      <c r="I3150" s="187">
        <v>6.3442939999999997</v>
      </c>
      <c r="J3150" s="187" t="s">
        <v>1090</v>
      </c>
      <c r="K3150" s="187" t="s">
        <v>116</v>
      </c>
      <c r="L3150" s="195"/>
      <c r="M3150" s="195"/>
      <c r="N3150" s="195"/>
      <c r="O3150" s="199"/>
      <c r="P3150" s="188"/>
      <c r="Q3150" s="174">
        <f>IF(ISNUMBER(VLOOKUP(A3150,NotghiID!A:A,1,FALSE)),1,0)</f>
        <v>1</v>
      </c>
    </row>
    <row r="3151" spans="1:17" ht="14.25" x14ac:dyDescent="0.2">
      <c r="A3151" s="189">
        <v>304</v>
      </c>
      <c r="B3151" s="232" t="str">
        <f>IF(AND(A3151&lt;&gt;"",ISNUMBER(A3151)),VLOOKUP(A3151,Studies!A:BR,2,FALSE),"")</f>
        <v>Kharasch 2011</v>
      </c>
      <c r="C3151" s="232" t="str">
        <f>IF(AND(A3151&lt;&gt;"",ISNUMBER(A3151)),VLOOKUP(A3151,Studies!A:BR,3,FALSE),"")</f>
        <v>https://www.ncbi.nlm.nih.gov/pubmed/21562488</v>
      </c>
      <c r="D3151" s="232" t="str">
        <f>IF(AND(A3151&lt;&gt;"",ISNUMBER(A3151)),VLOOKUP(A3151,Studies!A:BR,4,FALSE),"")</f>
        <v>po with Perpetrator (Rifampicin @ 5 mg)</v>
      </c>
      <c r="E3151" s="206" t="str">
        <f>IF(AND(A3151&lt;&gt;"",ISNUMBER(A3151)),VLOOKUP(A3151,Studies!A:BR,5,FALSE),"")</f>
        <v>Midazolam</v>
      </c>
      <c r="F3151" s="207" t="str">
        <f>IF(AND(A3151&lt;&gt;"",ISNUMBER(A3151)),VLOOKUP(A3151,Studies!A:BR,6,FALSE),"")</f>
        <v>Plasma</v>
      </c>
      <c r="G3151" s="194">
        <v>133.25</v>
      </c>
      <c r="H3151" s="194" t="s">
        <v>60</v>
      </c>
      <c r="I3151" s="187">
        <v>6.0735010000000003</v>
      </c>
      <c r="J3151" s="187" t="s">
        <v>1090</v>
      </c>
      <c r="K3151" s="187" t="s">
        <v>116</v>
      </c>
      <c r="L3151" s="195"/>
      <c r="M3151" s="195"/>
      <c r="N3151" s="195"/>
      <c r="O3151" s="199"/>
      <c r="P3151" s="188"/>
      <c r="Q3151" s="174">
        <f>IF(ISNUMBER(VLOOKUP(A3151,NotghiID!A:A,1,FALSE)),1,0)</f>
        <v>1</v>
      </c>
    </row>
    <row r="3152" spans="1:17" ht="14.25" x14ac:dyDescent="0.2">
      <c r="A3152" s="189">
        <v>304</v>
      </c>
      <c r="B3152" s="232" t="str">
        <f>IF(AND(A3152&lt;&gt;"",ISNUMBER(A3152)),VLOOKUP(A3152,Studies!A:BR,2,FALSE),"")</f>
        <v>Kharasch 2011</v>
      </c>
      <c r="C3152" s="232" t="str">
        <f>IF(AND(A3152&lt;&gt;"",ISNUMBER(A3152)),VLOOKUP(A3152,Studies!A:BR,3,FALSE),"")</f>
        <v>https://www.ncbi.nlm.nih.gov/pubmed/21562488</v>
      </c>
      <c r="D3152" s="232" t="str">
        <f>IF(AND(A3152&lt;&gt;"",ISNUMBER(A3152)),VLOOKUP(A3152,Studies!A:BR,4,FALSE),"")</f>
        <v>po with Perpetrator (Rifampicin @ 5 mg)</v>
      </c>
      <c r="E3152" s="206" t="str">
        <f>IF(AND(A3152&lt;&gt;"",ISNUMBER(A3152)),VLOOKUP(A3152,Studies!A:BR,5,FALSE),"")</f>
        <v>Midazolam</v>
      </c>
      <c r="F3152" s="207" t="str">
        <f>IF(AND(A3152&lt;&gt;"",ISNUMBER(A3152)),VLOOKUP(A3152,Studies!A:BR,6,FALSE),"")</f>
        <v>Plasma</v>
      </c>
      <c r="G3152" s="194">
        <v>133.33000000000001</v>
      </c>
      <c r="H3152" s="194" t="s">
        <v>60</v>
      </c>
      <c r="I3152" s="187">
        <v>5.7640229999999999</v>
      </c>
      <c r="J3152" s="187" t="s">
        <v>1090</v>
      </c>
      <c r="K3152" s="187" t="s">
        <v>116</v>
      </c>
      <c r="L3152" s="195"/>
      <c r="M3152" s="195"/>
      <c r="N3152" s="195"/>
      <c r="O3152" s="199"/>
      <c r="P3152" s="188"/>
      <c r="Q3152" s="174">
        <f>IF(ISNUMBER(VLOOKUP(A3152,NotghiID!A:A,1,FALSE)),1,0)</f>
        <v>1</v>
      </c>
    </row>
    <row r="3153" spans="1:17" ht="14.25" x14ac:dyDescent="0.2">
      <c r="A3153" s="189">
        <v>304</v>
      </c>
      <c r="B3153" s="232" t="str">
        <f>IF(AND(A3153&lt;&gt;"",ISNUMBER(A3153)),VLOOKUP(A3153,Studies!A:BR,2,FALSE),"")</f>
        <v>Kharasch 2011</v>
      </c>
      <c r="C3153" s="232" t="str">
        <f>IF(AND(A3153&lt;&gt;"",ISNUMBER(A3153)),VLOOKUP(A3153,Studies!A:BR,3,FALSE),"")</f>
        <v>https://www.ncbi.nlm.nih.gov/pubmed/21562488</v>
      </c>
      <c r="D3153" s="232" t="str">
        <f>IF(AND(A3153&lt;&gt;"",ISNUMBER(A3153)),VLOOKUP(A3153,Studies!A:BR,4,FALSE),"")</f>
        <v>po with Perpetrator (Rifampicin @ 5 mg)</v>
      </c>
      <c r="E3153" s="206" t="str">
        <f>IF(AND(A3153&lt;&gt;"",ISNUMBER(A3153)),VLOOKUP(A3153,Studies!A:BR,5,FALSE),"")</f>
        <v>Midazolam</v>
      </c>
      <c r="F3153" s="207" t="str">
        <f>IF(AND(A3153&lt;&gt;"",ISNUMBER(A3153)),VLOOKUP(A3153,Studies!A:BR,6,FALSE),"")</f>
        <v>Plasma</v>
      </c>
      <c r="G3153" s="194">
        <v>133.5</v>
      </c>
      <c r="H3153" s="194" t="s">
        <v>60</v>
      </c>
      <c r="I3153" s="187">
        <v>5.2224370000000002</v>
      </c>
      <c r="J3153" s="187" t="s">
        <v>1090</v>
      </c>
      <c r="K3153" s="187" t="s">
        <v>116</v>
      </c>
      <c r="L3153" s="195"/>
      <c r="M3153" s="195"/>
      <c r="N3153" s="195"/>
      <c r="O3153" s="199"/>
      <c r="P3153" s="188"/>
      <c r="Q3153" s="174">
        <f>IF(ISNUMBER(VLOOKUP(A3153,NotghiID!A:A,1,FALSE)),1,0)</f>
        <v>1</v>
      </c>
    </row>
    <row r="3154" spans="1:17" ht="14.25" x14ac:dyDescent="0.2">
      <c r="A3154" s="189">
        <v>304</v>
      </c>
      <c r="B3154" s="232" t="str">
        <f>IF(AND(A3154&lt;&gt;"",ISNUMBER(A3154)),VLOOKUP(A3154,Studies!A:BR,2,FALSE),"")</f>
        <v>Kharasch 2011</v>
      </c>
      <c r="C3154" s="232" t="str">
        <f>IF(AND(A3154&lt;&gt;"",ISNUMBER(A3154)),VLOOKUP(A3154,Studies!A:BR,3,FALSE),"")</f>
        <v>https://www.ncbi.nlm.nih.gov/pubmed/21562488</v>
      </c>
      <c r="D3154" s="232" t="str">
        <f>IF(AND(A3154&lt;&gt;"",ISNUMBER(A3154)),VLOOKUP(A3154,Studies!A:BR,4,FALSE),"")</f>
        <v>po with Perpetrator (Rifampicin @ 5 mg)</v>
      </c>
      <c r="E3154" s="206" t="str">
        <f>IF(AND(A3154&lt;&gt;"",ISNUMBER(A3154)),VLOOKUP(A3154,Studies!A:BR,5,FALSE),"")</f>
        <v>Midazolam</v>
      </c>
      <c r="F3154" s="207" t="str">
        <f>IF(AND(A3154&lt;&gt;"",ISNUMBER(A3154)),VLOOKUP(A3154,Studies!A:BR,6,FALSE),"")</f>
        <v>Plasma</v>
      </c>
      <c r="G3154" s="194">
        <v>133.75</v>
      </c>
      <c r="H3154" s="194" t="s">
        <v>60</v>
      </c>
      <c r="I3154" s="187">
        <v>4.4100580000000003</v>
      </c>
      <c r="J3154" s="187" t="s">
        <v>1090</v>
      </c>
      <c r="K3154" s="187" t="s">
        <v>116</v>
      </c>
      <c r="L3154" s="195"/>
      <c r="M3154" s="195"/>
      <c r="N3154" s="195"/>
      <c r="O3154" s="199"/>
      <c r="P3154" s="188"/>
      <c r="Q3154" s="174">
        <f>IF(ISNUMBER(VLOOKUP(A3154,NotghiID!A:A,1,FALSE)),1,0)</f>
        <v>1</v>
      </c>
    </row>
    <row r="3155" spans="1:17" ht="14.25" x14ac:dyDescent="0.2">
      <c r="A3155" s="189">
        <v>304</v>
      </c>
      <c r="B3155" s="232" t="str">
        <f>IF(AND(A3155&lt;&gt;"",ISNUMBER(A3155)),VLOOKUP(A3155,Studies!A:BR,2,FALSE),"")</f>
        <v>Kharasch 2011</v>
      </c>
      <c r="C3155" s="232" t="str">
        <f>IF(AND(A3155&lt;&gt;"",ISNUMBER(A3155)),VLOOKUP(A3155,Studies!A:BR,3,FALSE),"")</f>
        <v>https://www.ncbi.nlm.nih.gov/pubmed/21562488</v>
      </c>
      <c r="D3155" s="232" t="str">
        <f>IF(AND(A3155&lt;&gt;"",ISNUMBER(A3155)),VLOOKUP(A3155,Studies!A:BR,4,FALSE),"")</f>
        <v>po with Perpetrator (Rifampicin @ 5 mg)</v>
      </c>
      <c r="E3155" s="206" t="str">
        <f>IF(AND(A3155&lt;&gt;"",ISNUMBER(A3155)),VLOOKUP(A3155,Studies!A:BR,5,FALSE),"")</f>
        <v>Midazolam</v>
      </c>
      <c r="F3155" s="207" t="str">
        <f>IF(AND(A3155&lt;&gt;"",ISNUMBER(A3155)),VLOOKUP(A3155,Studies!A:BR,6,FALSE),"")</f>
        <v>Plasma</v>
      </c>
      <c r="G3155" s="194">
        <v>134</v>
      </c>
      <c r="H3155" s="194" t="s">
        <v>60</v>
      </c>
      <c r="I3155" s="187">
        <v>4.0618949999999998</v>
      </c>
      <c r="J3155" s="187" t="s">
        <v>1090</v>
      </c>
      <c r="K3155" s="187" t="s">
        <v>116</v>
      </c>
      <c r="L3155" s="195"/>
      <c r="M3155" s="195"/>
      <c r="N3155" s="195"/>
      <c r="O3155" s="199"/>
      <c r="P3155" s="188"/>
      <c r="Q3155" s="174">
        <f>IF(ISNUMBER(VLOOKUP(A3155,NotghiID!A:A,1,FALSE)),1,0)</f>
        <v>1</v>
      </c>
    </row>
    <row r="3156" spans="1:17" ht="14.25" x14ac:dyDescent="0.2">
      <c r="A3156" s="189">
        <v>304</v>
      </c>
      <c r="B3156" s="232" t="str">
        <f>IF(AND(A3156&lt;&gt;"",ISNUMBER(A3156)),VLOOKUP(A3156,Studies!A:BR,2,FALSE),"")</f>
        <v>Kharasch 2011</v>
      </c>
      <c r="C3156" s="232" t="str">
        <f>IF(AND(A3156&lt;&gt;"",ISNUMBER(A3156)),VLOOKUP(A3156,Studies!A:BR,3,FALSE),"")</f>
        <v>https://www.ncbi.nlm.nih.gov/pubmed/21562488</v>
      </c>
      <c r="D3156" s="232" t="str">
        <f>IF(AND(A3156&lt;&gt;"",ISNUMBER(A3156)),VLOOKUP(A3156,Studies!A:BR,4,FALSE),"")</f>
        <v>po with Perpetrator (Rifampicin @ 5 mg)</v>
      </c>
      <c r="E3156" s="206" t="str">
        <f>IF(AND(A3156&lt;&gt;"",ISNUMBER(A3156)),VLOOKUP(A3156,Studies!A:BR,5,FALSE),"")</f>
        <v>Midazolam</v>
      </c>
      <c r="F3156" s="207" t="str">
        <f>IF(AND(A3156&lt;&gt;"",ISNUMBER(A3156)),VLOOKUP(A3156,Studies!A:BR,6,FALSE),"")</f>
        <v>Plasma</v>
      </c>
      <c r="G3156" s="194">
        <v>134.5</v>
      </c>
      <c r="H3156" s="194" t="s">
        <v>60</v>
      </c>
      <c r="I3156" s="187">
        <v>3.2882009999999999</v>
      </c>
      <c r="J3156" s="187" t="s">
        <v>1090</v>
      </c>
      <c r="K3156" s="187" t="s">
        <v>116</v>
      </c>
      <c r="L3156" s="195"/>
      <c r="M3156" s="195"/>
      <c r="N3156" s="195"/>
      <c r="O3156" s="199"/>
      <c r="P3156" s="188"/>
      <c r="Q3156" s="174">
        <f>IF(ISNUMBER(VLOOKUP(A3156,NotghiID!A:A,1,FALSE)),1,0)</f>
        <v>1</v>
      </c>
    </row>
    <row r="3157" spans="1:17" ht="14.25" x14ac:dyDescent="0.2">
      <c r="A3157" s="189">
        <v>304</v>
      </c>
      <c r="B3157" s="232" t="str">
        <f>IF(AND(A3157&lt;&gt;"",ISNUMBER(A3157)),VLOOKUP(A3157,Studies!A:BR,2,FALSE),"")</f>
        <v>Kharasch 2011</v>
      </c>
      <c r="C3157" s="232" t="str">
        <f>IF(AND(A3157&lt;&gt;"",ISNUMBER(A3157)),VLOOKUP(A3157,Studies!A:BR,3,FALSE),"")</f>
        <v>https://www.ncbi.nlm.nih.gov/pubmed/21562488</v>
      </c>
      <c r="D3157" s="232" t="str">
        <f>IF(AND(A3157&lt;&gt;"",ISNUMBER(A3157)),VLOOKUP(A3157,Studies!A:BR,4,FALSE),"")</f>
        <v>po with Perpetrator (Rifampicin @ 5 mg)</v>
      </c>
      <c r="E3157" s="206" t="str">
        <f>IF(AND(A3157&lt;&gt;"",ISNUMBER(A3157)),VLOOKUP(A3157,Studies!A:BR,5,FALSE),"")</f>
        <v>Midazolam</v>
      </c>
      <c r="F3157" s="207" t="str">
        <f>IF(AND(A3157&lt;&gt;"",ISNUMBER(A3157)),VLOOKUP(A3157,Studies!A:BR,6,FALSE),"")</f>
        <v>Plasma</v>
      </c>
      <c r="G3157" s="194">
        <v>135</v>
      </c>
      <c r="H3157" s="194" t="s">
        <v>60</v>
      </c>
      <c r="I3157" s="187">
        <v>2.9400390000000001</v>
      </c>
      <c r="J3157" s="187" t="s">
        <v>1090</v>
      </c>
      <c r="K3157" s="187" t="s">
        <v>116</v>
      </c>
      <c r="L3157" s="195"/>
      <c r="M3157" s="195"/>
      <c r="N3157" s="195"/>
      <c r="O3157" s="199"/>
      <c r="P3157" s="188"/>
      <c r="Q3157" s="174">
        <f>IF(ISNUMBER(VLOOKUP(A3157,NotghiID!A:A,1,FALSE)),1,0)</f>
        <v>1</v>
      </c>
    </row>
    <row r="3158" spans="1:17" ht="14.25" x14ac:dyDescent="0.2">
      <c r="A3158" s="189">
        <v>304</v>
      </c>
      <c r="B3158" s="232" t="str">
        <f>IF(AND(A3158&lt;&gt;"",ISNUMBER(A3158)),VLOOKUP(A3158,Studies!A:BR,2,FALSE),"")</f>
        <v>Kharasch 2011</v>
      </c>
      <c r="C3158" s="232" t="str">
        <f>IF(AND(A3158&lt;&gt;"",ISNUMBER(A3158)),VLOOKUP(A3158,Studies!A:BR,3,FALSE),"")</f>
        <v>https://www.ncbi.nlm.nih.gov/pubmed/21562488</v>
      </c>
      <c r="D3158" s="232" t="str">
        <f>IF(AND(A3158&lt;&gt;"",ISNUMBER(A3158)),VLOOKUP(A3158,Studies!A:BR,4,FALSE),"")</f>
        <v>po with Perpetrator (Rifampicin @ 5 mg)</v>
      </c>
      <c r="E3158" s="206" t="str">
        <f>IF(AND(A3158&lt;&gt;"",ISNUMBER(A3158)),VLOOKUP(A3158,Studies!A:BR,5,FALSE),"")</f>
        <v>Midazolam</v>
      </c>
      <c r="F3158" s="207" t="str">
        <f>IF(AND(A3158&lt;&gt;"",ISNUMBER(A3158)),VLOOKUP(A3158,Studies!A:BR,6,FALSE),"")</f>
        <v>Plasma</v>
      </c>
      <c r="G3158" s="194">
        <v>135.5</v>
      </c>
      <c r="H3158" s="194" t="s">
        <v>60</v>
      </c>
      <c r="I3158" s="187">
        <v>2.3597679999999999</v>
      </c>
      <c r="J3158" s="187" t="s">
        <v>1090</v>
      </c>
      <c r="K3158" s="187" t="s">
        <v>116</v>
      </c>
      <c r="L3158" s="195"/>
      <c r="M3158" s="195"/>
      <c r="N3158" s="195"/>
      <c r="O3158" s="199"/>
      <c r="P3158" s="188"/>
      <c r="Q3158" s="174">
        <f>IF(ISNUMBER(VLOOKUP(A3158,NotghiID!A:A,1,FALSE)),1,0)</f>
        <v>1</v>
      </c>
    </row>
    <row r="3159" spans="1:17" ht="14.25" x14ac:dyDescent="0.2">
      <c r="A3159" s="189">
        <v>304</v>
      </c>
      <c r="B3159" s="232" t="str">
        <f>IF(AND(A3159&lt;&gt;"",ISNUMBER(A3159)),VLOOKUP(A3159,Studies!A:BR,2,FALSE),"")</f>
        <v>Kharasch 2011</v>
      </c>
      <c r="C3159" s="232" t="str">
        <f>IF(AND(A3159&lt;&gt;"",ISNUMBER(A3159)),VLOOKUP(A3159,Studies!A:BR,3,FALSE),"")</f>
        <v>https://www.ncbi.nlm.nih.gov/pubmed/21562488</v>
      </c>
      <c r="D3159" s="232" t="str">
        <f>IF(AND(A3159&lt;&gt;"",ISNUMBER(A3159)),VLOOKUP(A3159,Studies!A:BR,4,FALSE),"")</f>
        <v>po with Perpetrator (Rifampicin @ 5 mg)</v>
      </c>
      <c r="E3159" s="206" t="str">
        <f>IF(AND(A3159&lt;&gt;"",ISNUMBER(A3159)),VLOOKUP(A3159,Studies!A:BR,5,FALSE),"")</f>
        <v>Midazolam</v>
      </c>
      <c r="F3159" s="207" t="str">
        <f>IF(AND(A3159&lt;&gt;"",ISNUMBER(A3159)),VLOOKUP(A3159,Studies!A:BR,6,FALSE),"")</f>
        <v>Plasma</v>
      </c>
      <c r="G3159" s="194">
        <v>136</v>
      </c>
      <c r="H3159" s="194" t="s">
        <v>60</v>
      </c>
      <c r="I3159" s="187">
        <v>1.895551</v>
      </c>
      <c r="J3159" s="187" t="s">
        <v>1090</v>
      </c>
      <c r="K3159" s="187" t="s">
        <v>116</v>
      </c>
      <c r="L3159" s="195"/>
      <c r="M3159" s="195"/>
      <c r="N3159" s="195"/>
      <c r="O3159" s="199"/>
      <c r="P3159" s="188"/>
      <c r="Q3159" s="174">
        <f>IF(ISNUMBER(VLOOKUP(A3159,NotghiID!A:A,1,FALSE)),1,0)</f>
        <v>1</v>
      </c>
    </row>
    <row r="3160" spans="1:17" ht="14.25" x14ac:dyDescent="0.2">
      <c r="A3160" s="189">
        <v>304</v>
      </c>
      <c r="B3160" s="232" t="str">
        <f>IF(AND(A3160&lt;&gt;"",ISNUMBER(A3160)),VLOOKUP(A3160,Studies!A:BR,2,FALSE),"")</f>
        <v>Kharasch 2011</v>
      </c>
      <c r="C3160" s="232" t="str">
        <f>IF(AND(A3160&lt;&gt;"",ISNUMBER(A3160)),VLOOKUP(A3160,Studies!A:BR,3,FALSE),"")</f>
        <v>https://www.ncbi.nlm.nih.gov/pubmed/21562488</v>
      </c>
      <c r="D3160" s="232" t="str">
        <f>IF(AND(A3160&lt;&gt;"",ISNUMBER(A3160)),VLOOKUP(A3160,Studies!A:BR,4,FALSE),"")</f>
        <v>po with Perpetrator (Rifampicin @ 5 mg)</v>
      </c>
      <c r="E3160" s="206" t="str">
        <f>IF(AND(A3160&lt;&gt;"",ISNUMBER(A3160)),VLOOKUP(A3160,Studies!A:BR,5,FALSE),"")</f>
        <v>Midazolam</v>
      </c>
      <c r="F3160" s="207" t="str">
        <f>IF(AND(A3160&lt;&gt;"",ISNUMBER(A3160)),VLOOKUP(A3160,Studies!A:BR,6,FALSE),"")</f>
        <v>Plasma</v>
      </c>
      <c r="G3160" s="194">
        <v>137</v>
      </c>
      <c r="H3160" s="194" t="s">
        <v>60</v>
      </c>
      <c r="I3160" s="187">
        <v>1.431335</v>
      </c>
      <c r="J3160" s="187" t="s">
        <v>1090</v>
      </c>
      <c r="K3160" s="187" t="s">
        <v>116</v>
      </c>
      <c r="L3160" s="195"/>
      <c r="M3160" s="195"/>
      <c r="N3160" s="195"/>
      <c r="O3160" s="199"/>
      <c r="P3160" s="188"/>
      <c r="Q3160" s="174">
        <f>IF(ISNUMBER(VLOOKUP(A3160,NotghiID!A:A,1,FALSE)),1,0)</f>
        <v>1</v>
      </c>
    </row>
    <row r="3161" spans="1:17" ht="14.25" x14ac:dyDescent="0.2">
      <c r="A3161" s="189">
        <v>304</v>
      </c>
      <c r="B3161" s="232" t="str">
        <f>IF(AND(A3161&lt;&gt;"",ISNUMBER(A3161)),VLOOKUP(A3161,Studies!A:BR,2,FALSE),"")</f>
        <v>Kharasch 2011</v>
      </c>
      <c r="C3161" s="232" t="str">
        <f>IF(AND(A3161&lt;&gt;"",ISNUMBER(A3161)),VLOOKUP(A3161,Studies!A:BR,3,FALSE),"")</f>
        <v>https://www.ncbi.nlm.nih.gov/pubmed/21562488</v>
      </c>
      <c r="D3161" s="232" t="str">
        <f>IF(AND(A3161&lt;&gt;"",ISNUMBER(A3161)),VLOOKUP(A3161,Studies!A:BR,4,FALSE),"")</f>
        <v>po with Perpetrator (Rifampicin @ 5 mg)</v>
      </c>
      <c r="E3161" s="206" t="str">
        <f>IF(AND(A3161&lt;&gt;"",ISNUMBER(A3161)),VLOOKUP(A3161,Studies!A:BR,5,FALSE),"")</f>
        <v>Midazolam</v>
      </c>
      <c r="F3161" s="207" t="str">
        <f>IF(AND(A3161&lt;&gt;"",ISNUMBER(A3161)),VLOOKUP(A3161,Studies!A:BR,6,FALSE),"")</f>
        <v>Plasma</v>
      </c>
      <c r="G3161" s="194">
        <v>138</v>
      </c>
      <c r="H3161" s="194" t="s">
        <v>60</v>
      </c>
      <c r="I3161" s="187">
        <v>1.083172</v>
      </c>
      <c r="J3161" s="187" t="s">
        <v>1090</v>
      </c>
      <c r="K3161" s="187" t="s">
        <v>116</v>
      </c>
      <c r="L3161" s="195"/>
      <c r="M3161" s="195"/>
      <c r="N3161" s="195"/>
      <c r="O3161" s="199"/>
      <c r="P3161" s="188"/>
      <c r="Q3161" s="174">
        <f>IF(ISNUMBER(VLOOKUP(A3161,NotghiID!A:A,1,FALSE)),1,0)</f>
        <v>1</v>
      </c>
    </row>
    <row r="3162" spans="1:17" ht="14.25" x14ac:dyDescent="0.2">
      <c r="A3162" s="189">
        <v>304</v>
      </c>
      <c r="B3162" s="232" t="str">
        <f>IF(AND(A3162&lt;&gt;"",ISNUMBER(A3162)),VLOOKUP(A3162,Studies!A:BR,2,FALSE),"")</f>
        <v>Kharasch 2011</v>
      </c>
      <c r="C3162" s="232" t="str">
        <f>IF(AND(A3162&lt;&gt;"",ISNUMBER(A3162)),VLOOKUP(A3162,Studies!A:BR,3,FALSE),"")</f>
        <v>https://www.ncbi.nlm.nih.gov/pubmed/21562488</v>
      </c>
      <c r="D3162" s="232" t="str">
        <f>IF(AND(A3162&lt;&gt;"",ISNUMBER(A3162)),VLOOKUP(A3162,Studies!A:BR,4,FALSE),"")</f>
        <v>po with Perpetrator (Rifampicin @ 5 mg)</v>
      </c>
      <c r="E3162" s="206" t="str">
        <f>IF(AND(A3162&lt;&gt;"",ISNUMBER(A3162)),VLOOKUP(A3162,Studies!A:BR,5,FALSE),"")</f>
        <v>Midazolam</v>
      </c>
      <c r="F3162" s="207" t="str">
        <f>IF(AND(A3162&lt;&gt;"",ISNUMBER(A3162)),VLOOKUP(A3162,Studies!A:BR,6,FALSE),"")</f>
        <v>Plasma</v>
      </c>
      <c r="G3162" s="194">
        <v>139</v>
      </c>
      <c r="H3162" s="194" t="s">
        <v>60</v>
      </c>
      <c r="I3162" s="187">
        <v>0.92843319999999996</v>
      </c>
      <c r="J3162" s="187" t="s">
        <v>1090</v>
      </c>
      <c r="K3162" s="187" t="s">
        <v>116</v>
      </c>
      <c r="L3162" s="195"/>
      <c r="M3162" s="195"/>
      <c r="N3162" s="195"/>
      <c r="O3162" s="199"/>
      <c r="P3162" s="188"/>
      <c r="Q3162" s="174">
        <f>IF(ISNUMBER(VLOOKUP(A3162,NotghiID!A:A,1,FALSE)),1,0)</f>
        <v>1</v>
      </c>
    </row>
    <row r="3163" spans="1:17" ht="14.25" x14ac:dyDescent="0.2">
      <c r="A3163" s="189">
        <v>304</v>
      </c>
      <c r="B3163" s="232" t="str">
        <f>IF(AND(A3163&lt;&gt;"",ISNUMBER(A3163)),VLOOKUP(A3163,Studies!A:BR,2,FALSE),"")</f>
        <v>Kharasch 2011</v>
      </c>
      <c r="C3163" s="232" t="str">
        <f>IF(AND(A3163&lt;&gt;"",ISNUMBER(A3163)),VLOOKUP(A3163,Studies!A:BR,3,FALSE),"")</f>
        <v>https://www.ncbi.nlm.nih.gov/pubmed/21562488</v>
      </c>
      <c r="D3163" s="232" t="str">
        <f>IF(AND(A3163&lt;&gt;"",ISNUMBER(A3163)),VLOOKUP(A3163,Studies!A:BR,4,FALSE),"")</f>
        <v>po with Perpetrator (Rifampicin @ 5 mg)</v>
      </c>
      <c r="E3163" s="206" t="str">
        <f>IF(AND(A3163&lt;&gt;"",ISNUMBER(A3163)),VLOOKUP(A3163,Studies!A:BR,5,FALSE),"")</f>
        <v>Midazolam</v>
      </c>
      <c r="F3163" s="207" t="str">
        <f>IF(AND(A3163&lt;&gt;"",ISNUMBER(A3163)),VLOOKUP(A3163,Studies!A:BR,6,FALSE),"")</f>
        <v>Plasma</v>
      </c>
      <c r="G3163" s="194">
        <v>141</v>
      </c>
      <c r="H3163" s="194" t="s">
        <v>60</v>
      </c>
      <c r="I3163" s="187">
        <v>0.54158609999999996</v>
      </c>
      <c r="J3163" s="187" t="s">
        <v>1090</v>
      </c>
      <c r="K3163" s="187" t="s">
        <v>116</v>
      </c>
      <c r="L3163" s="195"/>
      <c r="M3163" s="195"/>
      <c r="N3163" s="195"/>
      <c r="O3163" s="199"/>
      <c r="P3163" s="188"/>
      <c r="Q3163" s="174">
        <f>IF(ISNUMBER(VLOOKUP(A3163,NotghiID!A:A,1,FALSE)),1,0)</f>
        <v>1</v>
      </c>
    </row>
    <row r="3164" spans="1:17" ht="14.25" x14ac:dyDescent="0.2">
      <c r="A3164" s="189">
        <v>305</v>
      </c>
      <c r="B3164" s="232" t="str">
        <f>IF(AND(A3164&lt;&gt;"",ISNUMBER(A3164)),VLOOKUP(A3164,Studies!A:BR,2,FALSE),"")</f>
        <v>Kharasch 2011</v>
      </c>
      <c r="C3164" s="232" t="str">
        <f>IF(AND(A3164&lt;&gt;"",ISNUMBER(A3164)),VLOOKUP(A3164,Studies!A:BR,3,FALSE),"")</f>
        <v>https://www.ncbi.nlm.nih.gov/pubmed/21562488</v>
      </c>
      <c r="D3164" s="232" t="str">
        <f>IF(AND(A3164&lt;&gt;"",ISNUMBER(A3164)),VLOOKUP(A3164,Studies!A:BR,4,FALSE),"")</f>
        <v>po with Perpetrator (Rifampicin @ 10 mg)</v>
      </c>
      <c r="E3164" s="206" t="str">
        <f>IF(AND(A3164&lt;&gt;"",ISNUMBER(A3164)),VLOOKUP(A3164,Studies!A:BR,5,FALSE),"")</f>
        <v>Midazolam</v>
      </c>
      <c r="F3164" s="207" t="str">
        <f>IF(AND(A3164&lt;&gt;"",ISNUMBER(A3164)),VLOOKUP(A3164,Studies!A:BR,6,FALSE),"")</f>
        <v>Plasma</v>
      </c>
      <c r="G3164" s="194">
        <v>132</v>
      </c>
      <c r="H3164" s="194" t="s">
        <v>60</v>
      </c>
      <c r="I3164" s="187">
        <v>7.7369439999999998E-2</v>
      </c>
      <c r="J3164" s="187" t="s">
        <v>1090</v>
      </c>
      <c r="K3164" s="187" t="s">
        <v>116</v>
      </c>
      <c r="L3164" s="195"/>
      <c r="M3164" s="195"/>
      <c r="N3164" s="195"/>
      <c r="O3164" s="199"/>
      <c r="P3164" s="188"/>
      <c r="Q3164" s="174">
        <f>IF(ISNUMBER(VLOOKUP(A3164,NotghiID!A:A,1,FALSE)),1,0)</f>
        <v>1</v>
      </c>
    </row>
    <row r="3165" spans="1:17" ht="14.25" x14ac:dyDescent="0.2">
      <c r="A3165" s="189">
        <v>305</v>
      </c>
      <c r="B3165" s="232" t="str">
        <f>IF(AND(A3165&lt;&gt;"",ISNUMBER(A3165)),VLOOKUP(A3165,Studies!A:BR,2,FALSE),"")</f>
        <v>Kharasch 2011</v>
      </c>
      <c r="C3165" s="232" t="str">
        <f>IF(AND(A3165&lt;&gt;"",ISNUMBER(A3165)),VLOOKUP(A3165,Studies!A:BR,3,FALSE),"")</f>
        <v>https://www.ncbi.nlm.nih.gov/pubmed/21562488</v>
      </c>
      <c r="D3165" s="232" t="str">
        <f>IF(AND(A3165&lt;&gt;"",ISNUMBER(A3165)),VLOOKUP(A3165,Studies!A:BR,4,FALSE),"")</f>
        <v>po with Perpetrator (Rifampicin @ 10 mg)</v>
      </c>
      <c r="E3165" s="206" t="str">
        <f>IF(AND(A3165&lt;&gt;"",ISNUMBER(A3165)),VLOOKUP(A3165,Studies!A:BR,5,FALSE),"")</f>
        <v>Midazolam</v>
      </c>
      <c r="F3165" s="207" t="str">
        <f>IF(AND(A3165&lt;&gt;"",ISNUMBER(A3165)),VLOOKUP(A3165,Studies!A:BR,6,FALSE),"")</f>
        <v>Plasma</v>
      </c>
      <c r="G3165" s="194">
        <v>132.08000000000001</v>
      </c>
      <c r="H3165" s="194" t="s">
        <v>60</v>
      </c>
      <c r="I3165" s="187">
        <v>1.431335</v>
      </c>
      <c r="J3165" s="187" t="s">
        <v>1090</v>
      </c>
      <c r="K3165" s="187" t="s">
        <v>116</v>
      </c>
      <c r="L3165" s="195"/>
      <c r="M3165" s="195"/>
      <c r="N3165" s="195"/>
      <c r="O3165" s="199"/>
      <c r="P3165" s="188"/>
      <c r="Q3165" s="174">
        <f>IF(ISNUMBER(VLOOKUP(A3165,NotghiID!A:A,1,FALSE)),1,0)</f>
        <v>1</v>
      </c>
    </row>
    <row r="3166" spans="1:17" ht="14.25" x14ac:dyDescent="0.2">
      <c r="A3166" s="189">
        <v>305</v>
      </c>
      <c r="B3166" s="232" t="str">
        <f>IF(AND(A3166&lt;&gt;"",ISNUMBER(A3166)),VLOOKUP(A3166,Studies!A:BR,2,FALSE),"")</f>
        <v>Kharasch 2011</v>
      </c>
      <c r="C3166" s="232" t="str">
        <f>IF(AND(A3166&lt;&gt;"",ISNUMBER(A3166)),VLOOKUP(A3166,Studies!A:BR,3,FALSE),"")</f>
        <v>https://www.ncbi.nlm.nih.gov/pubmed/21562488</v>
      </c>
      <c r="D3166" s="232" t="str">
        <f>IF(AND(A3166&lt;&gt;"",ISNUMBER(A3166)),VLOOKUP(A3166,Studies!A:BR,4,FALSE),"")</f>
        <v>po with Perpetrator (Rifampicin @ 10 mg)</v>
      </c>
      <c r="E3166" s="206" t="str">
        <f>IF(AND(A3166&lt;&gt;"",ISNUMBER(A3166)),VLOOKUP(A3166,Studies!A:BR,5,FALSE),"")</f>
        <v>Midazolam</v>
      </c>
      <c r="F3166" s="207" t="str">
        <f>IF(AND(A3166&lt;&gt;"",ISNUMBER(A3166)),VLOOKUP(A3166,Studies!A:BR,6,FALSE),"")</f>
        <v>Plasma</v>
      </c>
      <c r="G3166" s="194">
        <v>132.16999999999999</v>
      </c>
      <c r="H3166" s="194" t="s">
        <v>60</v>
      </c>
      <c r="I3166" s="187">
        <v>5.6479689999999998</v>
      </c>
      <c r="J3166" s="187" t="s">
        <v>1090</v>
      </c>
      <c r="K3166" s="187" t="s">
        <v>116</v>
      </c>
      <c r="L3166" s="195"/>
      <c r="M3166" s="195"/>
      <c r="N3166" s="195"/>
      <c r="O3166" s="199"/>
      <c r="P3166" s="188"/>
      <c r="Q3166" s="174">
        <f>IF(ISNUMBER(VLOOKUP(A3166,NotghiID!A:A,1,FALSE)),1,0)</f>
        <v>1</v>
      </c>
    </row>
    <row r="3167" spans="1:17" ht="14.25" x14ac:dyDescent="0.2">
      <c r="A3167" s="189">
        <v>305</v>
      </c>
      <c r="B3167" s="232" t="str">
        <f>IF(AND(A3167&lt;&gt;"",ISNUMBER(A3167)),VLOOKUP(A3167,Studies!A:BR,2,FALSE),"")</f>
        <v>Kharasch 2011</v>
      </c>
      <c r="C3167" s="232" t="str">
        <f>IF(AND(A3167&lt;&gt;"",ISNUMBER(A3167)),VLOOKUP(A3167,Studies!A:BR,3,FALSE),"")</f>
        <v>https://www.ncbi.nlm.nih.gov/pubmed/21562488</v>
      </c>
      <c r="D3167" s="232" t="str">
        <f>IF(AND(A3167&lt;&gt;"",ISNUMBER(A3167)),VLOOKUP(A3167,Studies!A:BR,4,FALSE),"")</f>
        <v>po with Perpetrator (Rifampicin @ 10 mg)</v>
      </c>
      <c r="E3167" s="206" t="str">
        <f>IF(AND(A3167&lt;&gt;"",ISNUMBER(A3167)),VLOOKUP(A3167,Studies!A:BR,5,FALSE),"")</f>
        <v>Midazolam</v>
      </c>
      <c r="F3167" s="207" t="str">
        <f>IF(AND(A3167&lt;&gt;"",ISNUMBER(A3167)),VLOOKUP(A3167,Studies!A:BR,6,FALSE),"")</f>
        <v>Plasma</v>
      </c>
      <c r="G3167" s="194">
        <v>132.25</v>
      </c>
      <c r="H3167" s="194" t="s">
        <v>60</v>
      </c>
      <c r="I3167" s="187">
        <v>9.0522240000000007</v>
      </c>
      <c r="J3167" s="187" t="s">
        <v>1090</v>
      </c>
      <c r="K3167" s="187" t="s">
        <v>116</v>
      </c>
      <c r="L3167" s="195"/>
      <c r="M3167" s="195"/>
      <c r="N3167" s="195"/>
      <c r="O3167" s="199"/>
      <c r="P3167" s="188"/>
      <c r="Q3167" s="174">
        <f>IF(ISNUMBER(VLOOKUP(A3167,NotghiID!A:A,1,FALSE)),1,0)</f>
        <v>1</v>
      </c>
    </row>
    <row r="3168" spans="1:17" ht="14.25" x14ac:dyDescent="0.2">
      <c r="A3168" s="189">
        <v>305</v>
      </c>
      <c r="B3168" s="232" t="str">
        <f>IF(AND(A3168&lt;&gt;"",ISNUMBER(A3168)),VLOOKUP(A3168,Studies!A:BR,2,FALSE),"")</f>
        <v>Kharasch 2011</v>
      </c>
      <c r="C3168" s="232" t="str">
        <f>IF(AND(A3168&lt;&gt;"",ISNUMBER(A3168)),VLOOKUP(A3168,Studies!A:BR,3,FALSE),"")</f>
        <v>https://www.ncbi.nlm.nih.gov/pubmed/21562488</v>
      </c>
      <c r="D3168" s="232" t="str">
        <f>IF(AND(A3168&lt;&gt;"",ISNUMBER(A3168)),VLOOKUP(A3168,Studies!A:BR,4,FALSE),"")</f>
        <v>po with Perpetrator (Rifampicin @ 10 mg)</v>
      </c>
      <c r="E3168" s="206" t="str">
        <f>IF(AND(A3168&lt;&gt;"",ISNUMBER(A3168)),VLOOKUP(A3168,Studies!A:BR,5,FALSE),"")</f>
        <v>Midazolam</v>
      </c>
      <c r="F3168" s="207" t="str">
        <f>IF(AND(A3168&lt;&gt;"",ISNUMBER(A3168)),VLOOKUP(A3168,Studies!A:BR,6,FALSE),"")</f>
        <v>Plasma</v>
      </c>
      <c r="G3168" s="194">
        <v>132.33000000000001</v>
      </c>
      <c r="H3168" s="194" t="s">
        <v>60</v>
      </c>
      <c r="I3168" s="187">
        <v>10.40619</v>
      </c>
      <c r="J3168" s="187" t="s">
        <v>1090</v>
      </c>
      <c r="K3168" s="187" t="s">
        <v>116</v>
      </c>
      <c r="L3168" s="195"/>
      <c r="M3168" s="195"/>
      <c r="N3168" s="195"/>
      <c r="O3168" s="199"/>
      <c r="P3168" s="188"/>
      <c r="Q3168" s="174">
        <f>IF(ISNUMBER(VLOOKUP(A3168,NotghiID!A:A,1,FALSE)),1,0)</f>
        <v>1</v>
      </c>
    </row>
    <row r="3169" spans="1:17" ht="14.25" x14ac:dyDescent="0.2">
      <c r="A3169" s="189">
        <v>305</v>
      </c>
      <c r="B3169" s="232" t="str">
        <f>IF(AND(A3169&lt;&gt;"",ISNUMBER(A3169)),VLOOKUP(A3169,Studies!A:BR,2,FALSE),"")</f>
        <v>Kharasch 2011</v>
      </c>
      <c r="C3169" s="232" t="str">
        <f>IF(AND(A3169&lt;&gt;"",ISNUMBER(A3169)),VLOOKUP(A3169,Studies!A:BR,3,FALSE),"")</f>
        <v>https://www.ncbi.nlm.nih.gov/pubmed/21562488</v>
      </c>
      <c r="D3169" s="232" t="str">
        <f>IF(AND(A3169&lt;&gt;"",ISNUMBER(A3169)),VLOOKUP(A3169,Studies!A:BR,4,FALSE),"")</f>
        <v>po with Perpetrator (Rifampicin @ 10 mg)</v>
      </c>
      <c r="E3169" s="206" t="str">
        <f>IF(AND(A3169&lt;&gt;"",ISNUMBER(A3169)),VLOOKUP(A3169,Studies!A:BR,5,FALSE),"")</f>
        <v>Midazolam</v>
      </c>
      <c r="F3169" s="207" t="str">
        <f>IF(AND(A3169&lt;&gt;"",ISNUMBER(A3169)),VLOOKUP(A3169,Studies!A:BR,6,FALSE),"")</f>
        <v>Plasma</v>
      </c>
      <c r="G3169" s="194">
        <v>132.5</v>
      </c>
      <c r="H3169" s="194" t="s">
        <v>60</v>
      </c>
      <c r="I3169" s="187">
        <v>10.40619</v>
      </c>
      <c r="J3169" s="187" t="s">
        <v>1090</v>
      </c>
      <c r="K3169" s="187" t="s">
        <v>116</v>
      </c>
      <c r="L3169" s="195"/>
      <c r="M3169" s="195"/>
      <c r="N3169" s="195"/>
      <c r="O3169" s="199"/>
      <c r="P3169" s="188"/>
      <c r="Q3169" s="174">
        <f>IF(ISNUMBER(VLOOKUP(A3169,NotghiID!A:A,1,FALSE)),1,0)</f>
        <v>1</v>
      </c>
    </row>
    <row r="3170" spans="1:17" ht="14.25" x14ac:dyDescent="0.2">
      <c r="A3170" s="189">
        <v>305</v>
      </c>
      <c r="B3170" s="232" t="str">
        <f>IF(AND(A3170&lt;&gt;"",ISNUMBER(A3170)),VLOOKUP(A3170,Studies!A:BR,2,FALSE),"")</f>
        <v>Kharasch 2011</v>
      </c>
      <c r="C3170" s="232" t="str">
        <f>IF(AND(A3170&lt;&gt;"",ISNUMBER(A3170)),VLOOKUP(A3170,Studies!A:BR,3,FALSE),"")</f>
        <v>https://www.ncbi.nlm.nih.gov/pubmed/21562488</v>
      </c>
      <c r="D3170" s="232" t="str">
        <f>IF(AND(A3170&lt;&gt;"",ISNUMBER(A3170)),VLOOKUP(A3170,Studies!A:BR,4,FALSE),"")</f>
        <v>po with Perpetrator (Rifampicin @ 10 mg)</v>
      </c>
      <c r="E3170" s="206" t="str">
        <f>IF(AND(A3170&lt;&gt;"",ISNUMBER(A3170)),VLOOKUP(A3170,Studies!A:BR,5,FALSE),"")</f>
        <v>Midazolam</v>
      </c>
      <c r="F3170" s="207" t="str">
        <f>IF(AND(A3170&lt;&gt;"",ISNUMBER(A3170)),VLOOKUP(A3170,Studies!A:BR,6,FALSE),"")</f>
        <v>Plasma</v>
      </c>
      <c r="G3170" s="194">
        <v>132.75</v>
      </c>
      <c r="H3170" s="194" t="s">
        <v>60</v>
      </c>
      <c r="I3170" s="187">
        <v>8.0077370000000005</v>
      </c>
      <c r="J3170" s="187" t="s">
        <v>1090</v>
      </c>
      <c r="K3170" s="187" t="s">
        <v>116</v>
      </c>
      <c r="L3170" s="195"/>
      <c r="M3170" s="195"/>
      <c r="N3170" s="195"/>
      <c r="O3170" s="199"/>
      <c r="P3170" s="188"/>
      <c r="Q3170" s="174">
        <f>IF(ISNUMBER(VLOOKUP(A3170,NotghiID!A:A,1,FALSE)),1,0)</f>
        <v>1</v>
      </c>
    </row>
    <row r="3171" spans="1:17" ht="14.25" x14ac:dyDescent="0.2">
      <c r="A3171" s="189">
        <v>305</v>
      </c>
      <c r="B3171" s="232" t="str">
        <f>IF(AND(A3171&lt;&gt;"",ISNUMBER(A3171)),VLOOKUP(A3171,Studies!A:BR,2,FALSE),"")</f>
        <v>Kharasch 2011</v>
      </c>
      <c r="C3171" s="232" t="str">
        <f>IF(AND(A3171&lt;&gt;"",ISNUMBER(A3171)),VLOOKUP(A3171,Studies!A:BR,3,FALSE),"")</f>
        <v>https://www.ncbi.nlm.nih.gov/pubmed/21562488</v>
      </c>
      <c r="D3171" s="232" t="str">
        <f>IF(AND(A3171&lt;&gt;"",ISNUMBER(A3171)),VLOOKUP(A3171,Studies!A:BR,4,FALSE),"")</f>
        <v>po with Perpetrator (Rifampicin @ 10 mg)</v>
      </c>
      <c r="E3171" s="206" t="str">
        <f>IF(AND(A3171&lt;&gt;"",ISNUMBER(A3171)),VLOOKUP(A3171,Studies!A:BR,5,FALSE),"")</f>
        <v>Midazolam</v>
      </c>
      <c r="F3171" s="207" t="str">
        <f>IF(AND(A3171&lt;&gt;"",ISNUMBER(A3171)),VLOOKUP(A3171,Studies!A:BR,6,FALSE),"")</f>
        <v>Plasma</v>
      </c>
      <c r="G3171" s="194">
        <v>133.08000000000001</v>
      </c>
      <c r="H3171" s="194" t="s">
        <v>60</v>
      </c>
      <c r="I3171" s="187">
        <v>5.9187620000000001</v>
      </c>
      <c r="J3171" s="187" t="s">
        <v>1090</v>
      </c>
      <c r="K3171" s="187" t="s">
        <v>116</v>
      </c>
      <c r="L3171" s="195"/>
      <c r="M3171" s="195"/>
      <c r="N3171" s="195"/>
      <c r="O3171" s="199"/>
      <c r="P3171" s="188"/>
      <c r="Q3171" s="174">
        <f>IF(ISNUMBER(VLOOKUP(A3171,NotghiID!A:A,1,FALSE)),1,0)</f>
        <v>1</v>
      </c>
    </row>
    <row r="3172" spans="1:17" ht="14.25" x14ac:dyDescent="0.2">
      <c r="A3172" s="189">
        <v>305</v>
      </c>
      <c r="B3172" s="232" t="str">
        <f>IF(AND(A3172&lt;&gt;"",ISNUMBER(A3172)),VLOOKUP(A3172,Studies!A:BR,2,FALSE),"")</f>
        <v>Kharasch 2011</v>
      </c>
      <c r="C3172" s="232" t="str">
        <f>IF(AND(A3172&lt;&gt;"",ISNUMBER(A3172)),VLOOKUP(A3172,Studies!A:BR,3,FALSE),"")</f>
        <v>https://www.ncbi.nlm.nih.gov/pubmed/21562488</v>
      </c>
      <c r="D3172" s="232" t="str">
        <f>IF(AND(A3172&lt;&gt;"",ISNUMBER(A3172)),VLOOKUP(A3172,Studies!A:BR,4,FALSE),"")</f>
        <v>po with Perpetrator (Rifampicin @ 10 mg)</v>
      </c>
      <c r="E3172" s="206" t="str">
        <f>IF(AND(A3172&lt;&gt;"",ISNUMBER(A3172)),VLOOKUP(A3172,Studies!A:BR,5,FALSE),"")</f>
        <v>Midazolam</v>
      </c>
      <c r="F3172" s="207" t="str">
        <f>IF(AND(A3172&lt;&gt;"",ISNUMBER(A3172)),VLOOKUP(A3172,Studies!A:BR,6,FALSE),"")</f>
        <v>Plasma</v>
      </c>
      <c r="G3172" s="194">
        <v>133.16999999999999</v>
      </c>
      <c r="H3172" s="194" t="s">
        <v>60</v>
      </c>
      <c r="I3172" s="187">
        <v>5.5705999999999998</v>
      </c>
      <c r="J3172" s="187" t="s">
        <v>1090</v>
      </c>
      <c r="K3172" s="187" t="s">
        <v>116</v>
      </c>
      <c r="L3172" s="195"/>
      <c r="M3172" s="195"/>
      <c r="N3172" s="195"/>
      <c r="O3172" s="199"/>
      <c r="P3172" s="188"/>
      <c r="Q3172" s="174">
        <f>IF(ISNUMBER(VLOOKUP(A3172,NotghiID!A:A,1,FALSE)),1,0)</f>
        <v>1</v>
      </c>
    </row>
    <row r="3173" spans="1:17" ht="14.25" x14ac:dyDescent="0.2">
      <c r="A3173" s="189">
        <v>305</v>
      </c>
      <c r="B3173" s="232" t="str">
        <f>IF(AND(A3173&lt;&gt;"",ISNUMBER(A3173)),VLOOKUP(A3173,Studies!A:BR,2,FALSE),"")</f>
        <v>Kharasch 2011</v>
      </c>
      <c r="C3173" s="232" t="str">
        <f>IF(AND(A3173&lt;&gt;"",ISNUMBER(A3173)),VLOOKUP(A3173,Studies!A:BR,3,FALSE),"")</f>
        <v>https://www.ncbi.nlm.nih.gov/pubmed/21562488</v>
      </c>
      <c r="D3173" s="232" t="str">
        <f>IF(AND(A3173&lt;&gt;"",ISNUMBER(A3173)),VLOOKUP(A3173,Studies!A:BR,4,FALSE),"")</f>
        <v>po with Perpetrator (Rifampicin @ 10 mg)</v>
      </c>
      <c r="E3173" s="206" t="str">
        <f>IF(AND(A3173&lt;&gt;"",ISNUMBER(A3173)),VLOOKUP(A3173,Studies!A:BR,5,FALSE),"")</f>
        <v>Midazolam</v>
      </c>
      <c r="F3173" s="207" t="str">
        <f>IF(AND(A3173&lt;&gt;"",ISNUMBER(A3173)),VLOOKUP(A3173,Studies!A:BR,6,FALSE),"")</f>
        <v>Plasma</v>
      </c>
      <c r="G3173" s="194">
        <v>133.25</v>
      </c>
      <c r="H3173" s="194" t="s">
        <v>60</v>
      </c>
      <c r="I3173" s="187">
        <v>5.2611220000000003</v>
      </c>
      <c r="J3173" s="187" t="s">
        <v>1090</v>
      </c>
      <c r="K3173" s="187" t="s">
        <v>116</v>
      </c>
      <c r="L3173" s="195"/>
      <c r="M3173" s="195"/>
      <c r="N3173" s="195"/>
      <c r="O3173" s="199"/>
      <c r="P3173" s="188"/>
      <c r="Q3173" s="174">
        <f>IF(ISNUMBER(VLOOKUP(A3173,NotghiID!A:A,1,FALSE)),1,0)</f>
        <v>1</v>
      </c>
    </row>
    <row r="3174" spans="1:17" ht="14.25" x14ac:dyDescent="0.2">
      <c r="A3174" s="189">
        <v>305</v>
      </c>
      <c r="B3174" s="232" t="str">
        <f>IF(AND(A3174&lt;&gt;"",ISNUMBER(A3174)),VLOOKUP(A3174,Studies!A:BR,2,FALSE),"")</f>
        <v>Kharasch 2011</v>
      </c>
      <c r="C3174" s="232" t="str">
        <f>IF(AND(A3174&lt;&gt;"",ISNUMBER(A3174)),VLOOKUP(A3174,Studies!A:BR,3,FALSE),"")</f>
        <v>https://www.ncbi.nlm.nih.gov/pubmed/21562488</v>
      </c>
      <c r="D3174" s="232" t="str">
        <f>IF(AND(A3174&lt;&gt;"",ISNUMBER(A3174)),VLOOKUP(A3174,Studies!A:BR,4,FALSE),"")</f>
        <v>po with Perpetrator (Rifampicin @ 10 mg)</v>
      </c>
      <c r="E3174" s="206" t="str">
        <f>IF(AND(A3174&lt;&gt;"",ISNUMBER(A3174)),VLOOKUP(A3174,Studies!A:BR,5,FALSE),"")</f>
        <v>Midazolam</v>
      </c>
      <c r="F3174" s="207" t="str">
        <f>IF(AND(A3174&lt;&gt;"",ISNUMBER(A3174)),VLOOKUP(A3174,Studies!A:BR,6,FALSE),"")</f>
        <v>Plasma</v>
      </c>
      <c r="G3174" s="194">
        <v>133.33000000000001</v>
      </c>
      <c r="H3174" s="194" t="s">
        <v>60</v>
      </c>
      <c r="I3174" s="187">
        <v>4.8742749999999999</v>
      </c>
      <c r="J3174" s="187" t="s">
        <v>1090</v>
      </c>
      <c r="K3174" s="187" t="s">
        <v>116</v>
      </c>
      <c r="L3174" s="195"/>
      <c r="M3174" s="195"/>
      <c r="N3174" s="195"/>
      <c r="O3174" s="199"/>
      <c r="P3174" s="188"/>
      <c r="Q3174" s="174">
        <f>IF(ISNUMBER(VLOOKUP(A3174,NotghiID!A:A,1,FALSE)),1,0)</f>
        <v>1</v>
      </c>
    </row>
    <row r="3175" spans="1:17" ht="14.25" x14ac:dyDescent="0.2">
      <c r="A3175" s="189">
        <v>305</v>
      </c>
      <c r="B3175" s="232" t="str">
        <f>IF(AND(A3175&lt;&gt;"",ISNUMBER(A3175)),VLOOKUP(A3175,Studies!A:BR,2,FALSE),"")</f>
        <v>Kharasch 2011</v>
      </c>
      <c r="C3175" s="232" t="str">
        <f>IF(AND(A3175&lt;&gt;"",ISNUMBER(A3175)),VLOOKUP(A3175,Studies!A:BR,3,FALSE),"")</f>
        <v>https://www.ncbi.nlm.nih.gov/pubmed/21562488</v>
      </c>
      <c r="D3175" s="232" t="str">
        <f>IF(AND(A3175&lt;&gt;"",ISNUMBER(A3175)),VLOOKUP(A3175,Studies!A:BR,4,FALSE),"")</f>
        <v>po with Perpetrator (Rifampicin @ 10 mg)</v>
      </c>
      <c r="E3175" s="206" t="str">
        <f>IF(AND(A3175&lt;&gt;"",ISNUMBER(A3175)),VLOOKUP(A3175,Studies!A:BR,5,FALSE),"")</f>
        <v>Midazolam</v>
      </c>
      <c r="F3175" s="207" t="str">
        <f>IF(AND(A3175&lt;&gt;"",ISNUMBER(A3175)),VLOOKUP(A3175,Studies!A:BR,6,FALSE),"")</f>
        <v>Plasma</v>
      </c>
      <c r="G3175" s="194">
        <v>133.5</v>
      </c>
      <c r="H3175" s="194" t="s">
        <v>60</v>
      </c>
      <c r="I3175" s="187">
        <v>4.3326890000000002</v>
      </c>
      <c r="J3175" s="187" t="s">
        <v>1090</v>
      </c>
      <c r="K3175" s="187" t="s">
        <v>116</v>
      </c>
      <c r="L3175" s="195"/>
      <c r="M3175" s="195"/>
      <c r="N3175" s="195"/>
      <c r="O3175" s="199"/>
      <c r="P3175" s="188"/>
      <c r="Q3175" s="174">
        <f>IF(ISNUMBER(VLOOKUP(A3175,NotghiID!A:A,1,FALSE)),1,0)</f>
        <v>1</v>
      </c>
    </row>
    <row r="3176" spans="1:17" ht="14.25" x14ac:dyDescent="0.2">
      <c r="A3176" s="189">
        <v>305</v>
      </c>
      <c r="B3176" s="232" t="str">
        <f>IF(AND(A3176&lt;&gt;"",ISNUMBER(A3176)),VLOOKUP(A3176,Studies!A:BR,2,FALSE),"")</f>
        <v>Kharasch 2011</v>
      </c>
      <c r="C3176" s="232" t="str">
        <f>IF(AND(A3176&lt;&gt;"",ISNUMBER(A3176)),VLOOKUP(A3176,Studies!A:BR,3,FALSE),"")</f>
        <v>https://www.ncbi.nlm.nih.gov/pubmed/21562488</v>
      </c>
      <c r="D3176" s="232" t="str">
        <f>IF(AND(A3176&lt;&gt;"",ISNUMBER(A3176)),VLOOKUP(A3176,Studies!A:BR,4,FALSE),"")</f>
        <v>po with Perpetrator (Rifampicin @ 10 mg)</v>
      </c>
      <c r="E3176" s="206" t="str">
        <f>IF(AND(A3176&lt;&gt;"",ISNUMBER(A3176)),VLOOKUP(A3176,Studies!A:BR,5,FALSE),"")</f>
        <v>Midazolam</v>
      </c>
      <c r="F3176" s="207" t="str">
        <f>IF(AND(A3176&lt;&gt;"",ISNUMBER(A3176)),VLOOKUP(A3176,Studies!A:BR,6,FALSE),"")</f>
        <v>Plasma</v>
      </c>
      <c r="G3176" s="194">
        <v>133.75</v>
      </c>
      <c r="H3176" s="194" t="s">
        <v>60</v>
      </c>
      <c r="I3176" s="187">
        <v>3.6363639999999999</v>
      </c>
      <c r="J3176" s="187" t="s">
        <v>1090</v>
      </c>
      <c r="K3176" s="187" t="s">
        <v>116</v>
      </c>
      <c r="L3176" s="195"/>
      <c r="M3176" s="195"/>
      <c r="N3176" s="195"/>
      <c r="O3176" s="199"/>
      <c r="P3176" s="188"/>
      <c r="Q3176" s="174">
        <f>IF(ISNUMBER(VLOOKUP(A3176,NotghiID!A:A,1,FALSE)),1,0)</f>
        <v>1</v>
      </c>
    </row>
    <row r="3177" spans="1:17" ht="14.25" x14ac:dyDescent="0.2">
      <c r="A3177" s="189">
        <v>305</v>
      </c>
      <c r="B3177" s="232" t="str">
        <f>IF(AND(A3177&lt;&gt;"",ISNUMBER(A3177)),VLOOKUP(A3177,Studies!A:BR,2,FALSE),"")</f>
        <v>Kharasch 2011</v>
      </c>
      <c r="C3177" s="232" t="str">
        <f>IF(AND(A3177&lt;&gt;"",ISNUMBER(A3177)),VLOOKUP(A3177,Studies!A:BR,3,FALSE),"")</f>
        <v>https://www.ncbi.nlm.nih.gov/pubmed/21562488</v>
      </c>
      <c r="D3177" s="232" t="str">
        <f>IF(AND(A3177&lt;&gt;"",ISNUMBER(A3177)),VLOOKUP(A3177,Studies!A:BR,4,FALSE),"")</f>
        <v>po with Perpetrator (Rifampicin @ 10 mg)</v>
      </c>
      <c r="E3177" s="206" t="str">
        <f>IF(AND(A3177&lt;&gt;"",ISNUMBER(A3177)),VLOOKUP(A3177,Studies!A:BR,5,FALSE),"")</f>
        <v>Midazolam</v>
      </c>
      <c r="F3177" s="207" t="str">
        <f>IF(AND(A3177&lt;&gt;"",ISNUMBER(A3177)),VLOOKUP(A3177,Studies!A:BR,6,FALSE),"")</f>
        <v>Plasma</v>
      </c>
      <c r="G3177" s="194">
        <v>134</v>
      </c>
      <c r="H3177" s="194" t="s">
        <v>60</v>
      </c>
      <c r="I3177" s="187">
        <v>3.2495159999999998</v>
      </c>
      <c r="J3177" s="187" t="s">
        <v>1090</v>
      </c>
      <c r="K3177" s="187" t="s">
        <v>116</v>
      </c>
      <c r="L3177" s="195"/>
      <c r="M3177" s="195"/>
      <c r="N3177" s="195"/>
      <c r="O3177" s="199"/>
      <c r="P3177" s="188"/>
      <c r="Q3177" s="174">
        <f>IF(ISNUMBER(VLOOKUP(A3177,NotghiID!A:A,1,FALSE)),1,0)</f>
        <v>1</v>
      </c>
    </row>
    <row r="3178" spans="1:17" ht="14.25" x14ac:dyDescent="0.2">
      <c r="A3178" s="189">
        <v>305</v>
      </c>
      <c r="B3178" s="232" t="str">
        <f>IF(AND(A3178&lt;&gt;"",ISNUMBER(A3178)),VLOOKUP(A3178,Studies!A:BR,2,FALSE),"")</f>
        <v>Kharasch 2011</v>
      </c>
      <c r="C3178" s="232" t="str">
        <f>IF(AND(A3178&lt;&gt;"",ISNUMBER(A3178)),VLOOKUP(A3178,Studies!A:BR,3,FALSE),"")</f>
        <v>https://www.ncbi.nlm.nih.gov/pubmed/21562488</v>
      </c>
      <c r="D3178" s="232" t="str">
        <f>IF(AND(A3178&lt;&gt;"",ISNUMBER(A3178)),VLOOKUP(A3178,Studies!A:BR,4,FALSE),"")</f>
        <v>po with Perpetrator (Rifampicin @ 10 mg)</v>
      </c>
      <c r="E3178" s="206" t="str">
        <f>IF(AND(A3178&lt;&gt;"",ISNUMBER(A3178)),VLOOKUP(A3178,Studies!A:BR,5,FALSE),"")</f>
        <v>Midazolam</v>
      </c>
      <c r="F3178" s="207" t="str">
        <f>IF(AND(A3178&lt;&gt;"",ISNUMBER(A3178)),VLOOKUP(A3178,Studies!A:BR,6,FALSE),"")</f>
        <v>Plasma</v>
      </c>
      <c r="G3178" s="194">
        <v>134.5</v>
      </c>
      <c r="H3178" s="194" t="s">
        <v>60</v>
      </c>
      <c r="I3178" s="187">
        <v>2.553191</v>
      </c>
      <c r="J3178" s="187" t="s">
        <v>1090</v>
      </c>
      <c r="K3178" s="187" t="s">
        <v>116</v>
      </c>
      <c r="L3178" s="195"/>
      <c r="M3178" s="195"/>
      <c r="N3178" s="195"/>
      <c r="O3178" s="199"/>
      <c r="P3178" s="188"/>
      <c r="Q3178" s="174">
        <f>IF(ISNUMBER(VLOOKUP(A3178,NotghiID!A:A,1,FALSE)),1,0)</f>
        <v>1</v>
      </c>
    </row>
    <row r="3179" spans="1:17" ht="14.25" x14ac:dyDescent="0.2">
      <c r="A3179" s="189">
        <v>305</v>
      </c>
      <c r="B3179" s="232" t="str">
        <f>IF(AND(A3179&lt;&gt;"",ISNUMBER(A3179)),VLOOKUP(A3179,Studies!A:BR,2,FALSE),"")</f>
        <v>Kharasch 2011</v>
      </c>
      <c r="C3179" s="232" t="str">
        <f>IF(AND(A3179&lt;&gt;"",ISNUMBER(A3179)),VLOOKUP(A3179,Studies!A:BR,3,FALSE),"")</f>
        <v>https://www.ncbi.nlm.nih.gov/pubmed/21562488</v>
      </c>
      <c r="D3179" s="232" t="str">
        <f>IF(AND(A3179&lt;&gt;"",ISNUMBER(A3179)),VLOOKUP(A3179,Studies!A:BR,4,FALSE),"")</f>
        <v>po with Perpetrator (Rifampicin @ 10 mg)</v>
      </c>
      <c r="E3179" s="206" t="str">
        <f>IF(AND(A3179&lt;&gt;"",ISNUMBER(A3179)),VLOOKUP(A3179,Studies!A:BR,5,FALSE),"")</f>
        <v>Midazolam</v>
      </c>
      <c r="F3179" s="207" t="str">
        <f>IF(AND(A3179&lt;&gt;"",ISNUMBER(A3179)),VLOOKUP(A3179,Studies!A:BR,6,FALSE),"")</f>
        <v>Plasma</v>
      </c>
      <c r="G3179" s="194">
        <v>135</v>
      </c>
      <c r="H3179" s="194" t="s">
        <v>60</v>
      </c>
      <c r="I3179" s="187">
        <v>2.2437140000000002</v>
      </c>
      <c r="J3179" s="187" t="s">
        <v>1090</v>
      </c>
      <c r="K3179" s="187" t="s">
        <v>116</v>
      </c>
      <c r="L3179" s="195"/>
      <c r="M3179" s="195"/>
      <c r="N3179" s="195"/>
      <c r="O3179" s="199"/>
      <c r="P3179" s="188"/>
      <c r="Q3179" s="174">
        <f>IF(ISNUMBER(VLOOKUP(A3179,NotghiID!A:A,1,FALSE)),1,0)</f>
        <v>1</v>
      </c>
    </row>
    <row r="3180" spans="1:17" ht="14.25" x14ac:dyDescent="0.2">
      <c r="A3180" s="189">
        <v>305</v>
      </c>
      <c r="B3180" s="232" t="str">
        <f>IF(AND(A3180&lt;&gt;"",ISNUMBER(A3180)),VLOOKUP(A3180,Studies!A:BR,2,FALSE),"")</f>
        <v>Kharasch 2011</v>
      </c>
      <c r="C3180" s="232" t="str">
        <f>IF(AND(A3180&lt;&gt;"",ISNUMBER(A3180)),VLOOKUP(A3180,Studies!A:BR,3,FALSE),"")</f>
        <v>https://www.ncbi.nlm.nih.gov/pubmed/21562488</v>
      </c>
      <c r="D3180" s="232" t="str">
        <f>IF(AND(A3180&lt;&gt;"",ISNUMBER(A3180)),VLOOKUP(A3180,Studies!A:BR,4,FALSE),"")</f>
        <v>po with Perpetrator (Rifampicin @ 10 mg)</v>
      </c>
      <c r="E3180" s="206" t="str">
        <f>IF(AND(A3180&lt;&gt;"",ISNUMBER(A3180)),VLOOKUP(A3180,Studies!A:BR,5,FALSE),"")</f>
        <v>Midazolam</v>
      </c>
      <c r="F3180" s="207" t="str">
        <f>IF(AND(A3180&lt;&gt;"",ISNUMBER(A3180)),VLOOKUP(A3180,Studies!A:BR,6,FALSE),"")</f>
        <v>Plasma</v>
      </c>
      <c r="G3180" s="194">
        <v>135.5</v>
      </c>
      <c r="H3180" s="194" t="s">
        <v>60</v>
      </c>
      <c r="I3180" s="187">
        <v>1.740812</v>
      </c>
      <c r="J3180" s="187" t="s">
        <v>1090</v>
      </c>
      <c r="K3180" s="187" t="s">
        <v>116</v>
      </c>
      <c r="L3180" s="195"/>
      <c r="M3180" s="195"/>
      <c r="N3180" s="195"/>
      <c r="O3180" s="199"/>
      <c r="P3180" s="188"/>
      <c r="Q3180" s="174">
        <f>IF(ISNUMBER(VLOOKUP(A3180,NotghiID!A:A,1,FALSE)),1,0)</f>
        <v>1</v>
      </c>
    </row>
    <row r="3181" spans="1:17" ht="14.25" x14ac:dyDescent="0.2">
      <c r="A3181" s="189">
        <v>305</v>
      </c>
      <c r="B3181" s="232" t="str">
        <f>IF(AND(A3181&lt;&gt;"",ISNUMBER(A3181)),VLOOKUP(A3181,Studies!A:BR,2,FALSE),"")</f>
        <v>Kharasch 2011</v>
      </c>
      <c r="C3181" s="232" t="str">
        <f>IF(AND(A3181&lt;&gt;"",ISNUMBER(A3181)),VLOOKUP(A3181,Studies!A:BR,3,FALSE),"")</f>
        <v>https://www.ncbi.nlm.nih.gov/pubmed/21562488</v>
      </c>
      <c r="D3181" s="232" t="str">
        <f>IF(AND(A3181&lt;&gt;"",ISNUMBER(A3181)),VLOOKUP(A3181,Studies!A:BR,4,FALSE),"")</f>
        <v>po with Perpetrator (Rifampicin @ 10 mg)</v>
      </c>
      <c r="E3181" s="206" t="str">
        <f>IF(AND(A3181&lt;&gt;"",ISNUMBER(A3181)),VLOOKUP(A3181,Studies!A:BR,5,FALSE),"")</f>
        <v>Midazolam</v>
      </c>
      <c r="F3181" s="207" t="str">
        <f>IF(AND(A3181&lt;&gt;"",ISNUMBER(A3181)),VLOOKUP(A3181,Studies!A:BR,6,FALSE),"")</f>
        <v>Plasma</v>
      </c>
      <c r="G3181" s="194">
        <v>136</v>
      </c>
      <c r="H3181" s="194" t="s">
        <v>60</v>
      </c>
      <c r="I3181" s="187">
        <v>1.431335</v>
      </c>
      <c r="J3181" s="187" t="s">
        <v>1090</v>
      </c>
      <c r="K3181" s="187" t="s">
        <v>116</v>
      </c>
      <c r="L3181" s="195"/>
      <c r="M3181" s="195"/>
      <c r="N3181" s="195"/>
      <c r="O3181" s="199"/>
      <c r="P3181" s="188"/>
      <c r="Q3181" s="174">
        <f>IF(ISNUMBER(VLOOKUP(A3181,NotghiID!A:A,1,FALSE)),1,0)</f>
        <v>1</v>
      </c>
    </row>
    <row r="3182" spans="1:17" ht="14.25" x14ac:dyDescent="0.2">
      <c r="A3182" s="189">
        <v>305</v>
      </c>
      <c r="B3182" s="232" t="str">
        <f>IF(AND(A3182&lt;&gt;"",ISNUMBER(A3182)),VLOOKUP(A3182,Studies!A:BR,2,FALSE),"")</f>
        <v>Kharasch 2011</v>
      </c>
      <c r="C3182" s="232" t="str">
        <f>IF(AND(A3182&lt;&gt;"",ISNUMBER(A3182)),VLOOKUP(A3182,Studies!A:BR,3,FALSE),"")</f>
        <v>https://www.ncbi.nlm.nih.gov/pubmed/21562488</v>
      </c>
      <c r="D3182" s="232" t="str">
        <f>IF(AND(A3182&lt;&gt;"",ISNUMBER(A3182)),VLOOKUP(A3182,Studies!A:BR,4,FALSE),"")</f>
        <v>po with Perpetrator (Rifampicin @ 10 mg)</v>
      </c>
      <c r="E3182" s="206" t="str">
        <f>IF(AND(A3182&lt;&gt;"",ISNUMBER(A3182)),VLOOKUP(A3182,Studies!A:BR,5,FALSE),"")</f>
        <v>Midazolam</v>
      </c>
      <c r="F3182" s="207" t="str">
        <f>IF(AND(A3182&lt;&gt;"",ISNUMBER(A3182)),VLOOKUP(A3182,Studies!A:BR,6,FALSE),"")</f>
        <v>Plasma</v>
      </c>
      <c r="G3182" s="194">
        <v>137</v>
      </c>
      <c r="H3182" s="194" t="s">
        <v>60</v>
      </c>
      <c r="I3182" s="187">
        <v>1.083172</v>
      </c>
      <c r="J3182" s="187" t="s">
        <v>1090</v>
      </c>
      <c r="K3182" s="187" t="s">
        <v>116</v>
      </c>
      <c r="L3182" s="195"/>
      <c r="M3182" s="195"/>
      <c r="N3182" s="195"/>
      <c r="O3182" s="199"/>
      <c r="P3182" s="188"/>
      <c r="Q3182" s="174">
        <f>IF(ISNUMBER(VLOOKUP(A3182,NotghiID!A:A,1,FALSE)),1,0)</f>
        <v>1</v>
      </c>
    </row>
    <row r="3183" spans="1:17" ht="14.25" x14ac:dyDescent="0.2">
      <c r="A3183" s="189">
        <v>305</v>
      </c>
      <c r="B3183" s="232" t="str">
        <f>IF(AND(A3183&lt;&gt;"",ISNUMBER(A3183)),VLOOKUP(A3183,Studies!A:BR,2,FALSE),"")</f>
        <v>Kharasch 2011</v>
      </c>
      <c r="C3183" s="232" t="str">
        <f>IF(AND(A3183&lt;&gt;"",ISNUMBER(A3183)),VLOOKUP(A3183,Studies!A:BR,3,FALSE),"")</f>
        <v>https://www.ncbi.nlm.nih.gov/pubmed/21562488</v>
      </c>
      <c r="D3183" s="232" t="str">
        <f>IF(AND(A3183&lt;&gt;"",ISNUMBER(A3183)),VLOOKUP(A3183,Studies!A:BR,4,FALSE),"")</f>
        <v>po with Perpetrator (Rifampicin @ 10 mg)</v>
      </c>
      <c r="E3183" s="206" t="str">
        <f>IF(AND(A3183&lt;&gt;"",ISNUMBER(A3183)),VLOOKUP(A3183,Studies!A:BR,5,FALSE),"")</f>
        <v>Midazolam</v>
      </c>
      <c r="F3183" s="207" t="str">
        <f>IF(AND(A3183&lt;&gt;"",ISNUMBER(A3183)),VLOOKUP(A3183,Studies!A:BR,6,FALSE),"")</f>
        <v>Plasma</v>
      </c>
      <c r="G3183" s="194">
        <v>138</v>
      </c>
      <c r="H3183" s="194" t="s">
        <v>60</v>
      </c>
      <c r="I3183" s="187">
        <v>0.81237910000000002</v>
      </c>
      <c r="J3183" s="187" t="s">
        <v>1090</v>
      </c>
      <c r="K3183" s="187" t="s">
        <v>116</v>
      </c>
      <c r="L3183" s="195"/>
      <c r="M3183" s="195"/>
      <c r="N3183" s="195"/>
      <c r="O3183" s="199"/>
      <c r="P3183" s="188"/>
      <c r="Q3183" s="174">
        <f>IF(ISNUMBER(VLOOKUP(A3183,NotghiID!A:A,1,FALSE)),1,0)</f>
        <v>1</v>
      </c>
    </row>
    <row r="3184" spans="1:17" ht="14.25" x14ac:dyDescent="0.2">
      <c r="A3184" s="189">
        <v>305</v>
      </c>
      <c r="B3184" s="232" t="str">
        <f>IF(AND(A3184&lt;&gt;"",ISNUMBER(A3184)),VLOOKUP(A3184,Studies!A:BR,2,FALSE),"")</f>
        <v>Kharasch 2011</v>
      </c>
      <c r="C3184" s="232" t="str">
        <f>IF(AND(A3184&lt;&gt;"",ISNUMBER(A3184)),VLOOKUP(A3184,Studies!A:BR,3,FALSE),"")</f>
        <v>https://www.ncbi.nlm.nih.gov/pubmed/21562488</v>
      </c>
      <c r="D3184" s="232" t="str">
        <f>IF(AND(A3184&lt;&gt;"",ISNUMBER(A3184)),VLOOKUP(A3184,Studies!A:BR,4,FALSE),"")</f>
        <v>po with Perpetrator (Rifampicin @ 10 mg)</v>
      </c>
      <c r="E3184" s="206" t="str">
        <f>IF(AND(A3184&lt;&gt;"",ISNUMBER(A3184)),VLOOKUP(A3184,Studies!A:BR,5,FALSE),"")</f>
        <v>Midazolam</v>
      </c>
      <c r="F3184" s="207" t="str">
        <f>IF(AND(A3184&lt;&gt;"",ISNUMBER(A3184)),VLOOKUP(A3184,Studies!A:BR,6,FALSE),"")</f>
        <v>Plasma</v>
      </c>
      <c r="G3184" s="194">
        <v>139</v>
      </c>
      <c r="H3184" s="194" t="s">
        <v>60</v>
      </c>
      <c r="I3184" s="187">
        <v>0.65764020000000001</v>
      </c>
      <c r="J3184" s="187" t="s">
        <v>1090</v>
      </c>
      <c r="K3184" s="187" t="s">
        <v>116</v>
      </c>
      <c r="L3184" s="195"/>
      <c r="M3184" s="195"/>
      <c r="N3184" s="195"/>
      <c r="O3184" s="199"/>
      <c r="P3184" s="188"/>
      <c r="Q3184" s="174">
        <f>IF(ISNUMBER(VLOOKUP(A3184,NotghiID!A:A,1,FALSE)),1,0)</f>
        <v>1</v>
      </c>
    </row>
    <row r="3185" spans="1:17" ht="14.25" x14ac:dyDescent="0.2">
      <c r="A3185" s="189">
        <v>305</v>
      </c>
      <c r="B3185" s="232" t="str">
        <f>IF(AND(A3185&lt;&gt;"",ISNUMBER(A3185)),VLOOKUP(A3185,Studies!A:BR,2,FALSE),"")</f>
        <v>Kharasch 2011</v>
      </c>
      <c r="C3185" s="232" t="str">
        <f>IF(AND(A3185&lt;&gt;"",ISNUMBER(A3185)),VLOOKUP(A3185,Studies!A:BR,3,FALSE),"")</f>
        <v>https://www.ncbi.nlm.nih.gov/pubmed/21562488</v>
      </c>
      <c r="D3185" s="232" t="str">
        <f>IF(AND(A3185&lt;&gt;"",ISNUMBER(A3185)),VLOOKUP(A3185,Studies!A:BR,4,FALSE),"")</f>
        <v>po with Perpetrator (Rifampicin @ 10 mg)</v>
      </c>
      <c r="E3185" s="206" t="str">
        <f>IF(AND(A3185&lt;&gt;"",ISNUMBER(A3185)),VLOOKUP(A3185,Studies!A:BR,5,FALSE),"")</f>
        <v>Midazolam</v>
      </c>
      <c r="F3185" s="207" t="str">
        <f>IF(AND(A3185&lt;&gt;"",ISNUMBER(A3185)),VLOOKUP(A3185,Studies!A:BR,6,FALSE),"")</f>
        <v>Plasma</v>
      </c>
      <c r="G3185" s="194">
        <v>140</v>
      </c>
      <c r="H3185" s="194" t="s">
        <v>60</v>
      </c>
      <c r="I3185" s="187">
        <v>0.58027079999999998</v>
      </c>
      <c r="J3185" s="187" t="s">
        <v>1090</v>
      </c>
      <c r="K3185" s="187" t="s">
        <v>116</v>
      </c>
      <c r="L3185" s="195"/>
      <c r="M3185" s="195"/>
      <c r="N3185" s="195"/>
      <c r="O3185" s="199"/>
      <c r="P3185" s="188"/>
      <c r="Q3185" s="174">
        <f>IF(ISNUMBER(VLOOKUP(A3185,NotghiID!A:A,1,FALSE)),1,0)</f>
        <v>1</v>
      </c>
    </row>
    <row r="3186" spans="1:17" ht="14.25" x14ac:dyDescent="0.2">
      <c r="A3186" s="189">
        <v>306</v>
      </c>
      <c r="B3186" s="232" t="str">
        <f>IF(AND(A3186&lt;&gt;"",ISNUMBER(A3186)),VLOOKUP(A3186,Studies!A:BR,2,FALSE),"")</f>
        <v>Kharasch 2011</v>
      </c>
      <c r="C3186" s="232" t="str">
        <f>IF(AND(A3186&lt;&gt;"",ISNUMBER(A3186)),VLOOKUP(A3186,Studies!A:BR,3,FALSE),"")</f>
        <v>https://www.ncbi.nlm.nih.gov/pubmed/21562488</v>
      </c>
      <c r="D3186" s="232" t="str">
        <f>IF(AND(A3186&lt;&gt;"",ISNUMBER(A3186)),VLOOKUP(A3186,Studies!A:BR,4,FALSE),"")</f>
        <v>po with Perpetrator (Rifampicin @ 25 mg)</v>
      </c>
      <c r="E3186" s="206" t="str">
        <f>IF(AND(A3186&lt;&gt;"",ISNUMBER(A3186)),VLOOKUP(A3186,Studies!A:BR,5,FALSE),"")</f>
        <v>Midazolam</v>
      </c>
      <c r="F3186" s="207" t="str">
        <f>IF(AND(A3186&lt;&gt;"",ISNUMBER(A3186)),VLOOKUP(A3186,Studies!A:BR,6,FALSE),"")</f>
        <v>Plasma</v>
      </c>
      <c r="G3186" s="194">
        <v>132</v>
      </c>
      <c r="H3186" s="194" t="s">
        <v>60</v>
      </c>
      <c r="I3186" s="187">
        <v>7.7220070000000002E-2</v>
      </c>
      <c r="J3186" s="187" t="s">
        <v>1090</v>
      </c>
      <c r="K3186" s="187" t="s">
        <v>116</v>
      </c>
      <c r="L3186" s="195"/>
      <c r="M3186" s="195"/>
      <c r="N3186" s="195"/>
      <c r="O3186" s="199"/>
      <c r="P3186" s="188"/>
      <c r="Q3186" s="174">
        <f>IF(ISNUMBER(VLOOKUP(A3186,NotghiID!A:A,1,FALSE)),1,0)</f>
        <v>1</v>
      </c>
    </row>
    <row r="3187" spans="1:17" ht="14.25" x14ac:dyDescent="0.2">
      <c r="A3187" s="189">
        <v>306</v>
      </c>
      <c r="B3187" s="232" t="str">
        <f>IF(AND(A3187&lt;&gt;"",ISNUMBER(A3187)),VLOOKUP(A3187,Studies!A:BR,2,FALSE),"")</f>
        <v>Kharasch 2011</v>
      </c>
      <c r="C3187" s="232" t="str">
        <f>IF(AND(A3187&lt;&gt;"",ISNUMBER(A3187)),VLOOKUP(A3187,Studies!A:BR,3,FALSE),"")</f>
        <v>https://www.ncbi.nlm.nih.gov/pubmed/21562488</v>
      </c>
      <c r="D3187" s="232" t="str">
        <f>IF(AND(A3187&lt;&gt;"",ISNUMBER(A3187)),VLOOKUP(A3187,Studies!A:BR,4,FALSE),"")</f>
        <v>po with Perpetrator (Rifampicin @ 25 mg)</v>
      </c>
      <c r="E3187" s="206" t="str">
        <f>IF(AND(A3187&lt;&gt;"",ISNUMBER(A3187)),VLOOKUP(A3187,Studies!A:BR,5,FALSE),"")</f>
        <v>Midazolam</v>
      </c>
      <c r="F3187" s="207" t="str">
        <f>IF(AND(A3187&lt;&gt;"",ISNUMBER(A3187)),VLOOKUP(A3187,Studies!A:BR,6,FALSE),"")</f>
        <v>Plasma</v>
      </c>
      <c r="G3187" s="194">
        <v>132.08000000000001</v>
      </c>
      <c r="H3187" s="194" t="s">
        <v>60</v>
      </c>
      <c r="I3187" s="187">
        <v>1.158301</v>
      </c>
      <c r="J3187" s="187" t="s">
        <v>1090</v>
      </c>
      <c r="K3187" s="187" t="s">
        <v>116</v>
      </c>
      <c r="L3187" s="195"/>
      <c r="M3187" s="195"/>
      <c r="N3187" s="195"/>
      <c r="O3187" s="199"/>
      <c r="P3187" s="188"/>
      <c r="Q3187" s="174">
        <f>IF(ISNUMBER(VLOOKUP(A3187,NotghiID!A:A,1,FALSE)),1,0)</f>
        <v>1</v>
      </c>
    </row>
    <row r="3188" spans="1:17" ht="14.25" x14ac:dyDescent="0.2">
      <c r="A3188" s="189">
        <v>306</v>
      </c>
      <c r="B3188" s="232" t="str">
        <f>IF(AND(A3188&lt;&gt;"",ISNUMBER(A3188)),VLOOKUP(A3188,Studies!A:BR,2,FALSE),"")</f>
        <v>Kharasch 2011</v>
      </c>
      <c r="C3188" s="232" t="str">
        <f>IF(AND(A3188&lt;&gt;"",ISNUMBER(A3188)),VLOOKUP(A3188,Studies!A:BR,3,FALSE),"")</f>
        <v>https://www.ncbi.nlm.nih.gov/pubmed/21562488</v>
      </c>
      <c r="D3188" s="232" t="str">
        <f>IF(AND(A3188&lt;&gt;"",ISNUMBER(A3188)),VLOOKUP(A3188,Studies!A:BR,4,FALSE),"")</f>
        <v>po with Perpetrator (Rifampicin @ 25 mg)</v>
      </c>
      <c r="E3188" s="206" t="str">
        <f>IF(AND(A3188&lt;&gt;"",ISNUMBER(A3188)),VLOOKUP(A3188,Studies!A:BR,5,FALSE),"")</f>
        <v>Midazolam</v>
      </c>
      <c r="F3188" s="207" t="str">
        <f>IF(AND(A3188&lt;&gt;"",ISNUMBER(A3188)),VLOOKUP(A3188,Studies!A:BR,6,FALSE),"")</f>
        <v>Plasma</v>
      </c>
      <c r="G3188" s="194">
        <v>132.16999999999999</v>
      </c>
      <c r="H3188" s="194" t="s">
        <v>60</v>
      </c>
      <c r="I3188" s="187">
        <v>3.1274130000000002</v>
      </c>
      <c r="J3188" s="187" t="s">
        <v>1090</v>
      </c>
      <c r="K3188" s="187" t="s">
        <v>116</v>
      </c>
      <c r="L3188" s="195"/>
      <c r="M3188" s="195"/>
      <c r="N3188" s="195"/>
      <c r="O3188" s="199"/>
      <c r="P3188" s="188"/>
      <c r="Q3188" s="174">
        <f>IF(ISNUMBER(VLOOKUP(A3188,NotghiID!A:A,1,FALSE)),1,0)</f>
        <v>1</v>
      </c>
    </row>
    <row r="3189" spans="1:17" ht="14.25" x14ac:dyDescent="0.2">
      <c r="A3189" s="189">
        <v>306</v>
      </c>
      <c r="B3189" s="232" t="str">
        <f>IF(AND(A3189&lt;&gt;"",ISNUMBER(A3189)),VLOOKUP(A3189,Studies!A:BR,2,FALSE),"")</f>
        <v>Kharasch 2011</v>
      </c>
      <c r="C3189" s="232" t="str">
        <f>IF(AND(A3189&lt;&gt;"",ISNUMBER(A3189)),VLOOKUP(A3189,Studies!A:BR,3,FALSE),"")</f>
        <v>https://www.ncbi.nlm.nih.gov/pubmed/21562488</v>
      </c>
      <c r="D3189" s="232" t="str">
        <f>IF(AND(A3189&lt;&gt;"",ISNUMBER(A3189)),VLOOKUP(A3189,Studies!A:BR,4,FALSE),"")</f>
        <v>po with Perpetrator (Rifampicin @ 25 mg)</v>
      </c>
      <c r="E3189" s="206" t="str">
        <f>IF(AND(A3189&lt;&gt;"",ISNUMBER(A3189)),VLOOKUP(A3189,Studies!A:BR,5,FALSE),"")</f>
        <v>Midazolam</v>
      </c>
      <c r="F3189" s="207" t="str">
        <f>IF(AND(A3189&lt;&gt;"",ISNUMBER(A3189)),VLOOKUP(A3189,Studies!A:BR,6,FALSE),"")</f>
        <v>Plasma</v>
      </c>
      <c r="G3189" s="194">
        <v>132.25</v>
      </c>
      <c r="H3189" s="194" t="s">
        <v>60</v>
      </c>
      <c r="I3189" s="187">
        <v>5.2895750000000001</v>
      </c>
      <c r="J3189" s="187" t="s">
        <v>1090</v>
      </c>
      <c r="K3189" s="187" t="s">
        <v>116</v>
      </c>
      <c r="L3189" s="195"/>
      <c r="M3189" s="195"/>
      <c r="N3189" s="195"/>
      <c r="O3189" s="199"/>
      <c r="P3189" s="188"/>
      <c r="Q3189" s="174">
        <f>IF(ISNUMBER(VLOOKUP(A3189,NotghiID!A:A,1,FALSE)),1,0)</f>
        <v>1</v>
      </c>
    </row>
    <row r="3190" spans="1:17" ht="14.25" x14ac:dyDescent="0.2">
      <c r="A3190" s="189">
        <v>306</v>
      </c>
      <c r="B3190" s="232" t="str">
        <f>IF(AND(A3190&lt;&gt;"",ISNUMBER(A3190)),VLOOKUP(A3190,Studies!A:BR,2,FALSE),"")</f>
        <v>Kharasch 2011</v>
      </c>
      <c r="C3190" s="232" t="str">
        <f>IF(AND(A3190&lt;&gt;"",ISNUMBER(A3190)),VLOOKUP(A3190,Studies!A:BR,3,FALSE),"")</f>
        <v>https://www.ncbi.nlm.nih.gov/pubmed/21562488</v>
      </c>
      <c r="D3190" s="232" t="str">
        <f>IF(AND(A3190&lt;&gt;"",ISNUMBER(A3190)),VLOOKUP(A3190,Studies!A:BR,4,FALSE),"")</f>
        <v>po with Perpetrator (Rifampicin @ 25 mg)</v>
      </c>
      <c r="E3190" s="206" t="str">
        <f>IF(AND(A3190&lt;&gt;"",ISNUMBER(A3190)),VLOOKUP(A3190,Studies!A:BR,5,FALSE),"")</f>
        <v>Midazolam</v>
      </c>
      <c r="F3190" s="207" t="str">
        <f>IF(AND(A3190&lt;&gt;"",ISNUMBER(A3190)),VLOOKUP(A3190,Studies!A:BR,6,FALSE),"")</f>
        <v>Plasma</v>
      </c>
      <c r="G3190" s="194">
        <v>132.33000000000001</v>
      </c>
      <c r="H3190" s="194" t="s">
        <v>60</v>
      </c>
      <c r="I3190" s="187">
        <v>6.4092659999999997</v>
      </c>
      <c r="J3190" s="187" t="s">
        <v>1090</v>
      </c>
      <c r="K3190" s="187" t="s">
        <v>116</v>
      </c>
      <c r="L3190" s="195"/>
      <c r="M3190" s="195"/>
      <c r="N3190" s="195"/>
      <c r="O3190" s="199"/>
      <c r="P3190" s="188"/>
      <c r="Q3190" s="174">
        <f>IF(ISNUMBER(VLOOKUP(A3190,NotghiID!A:A,1,FALSE)),1,0)</f>
        <v>1</v>
      </c>
    </row>
    <row r="3191" spans="1:17" ht="14.25" x14ac:dyDescent="0.2">
      <c r="A3191" s="189">
        <v>306</v>
      </c>
      <c r="B3191" s="232" t="str">
        <f>IF(AND(A3191&lt;&gt;"",ISNUMBER(A3191)),VLOOKUP(A3191,Studies!A:BR,2,FALSE),"")</f>
        <v>Kharasch 2011</v>
      </c>
      <c r="C3191" s="232" t="str">
        <f>IF(AND(A3191&lt;&gt;"",ISNUMBER(A3191)),VLOOKUP(A3191,Studies!A:BR,3,FALSE),"")</f>
        <v>https://www.ncbi.nlm.nih.gov/pubmed/21562488</v>
      </c>
      <c r="D3191" s="232" t="str">
        <f>IF(AND(A3191&lt;&gt;"",ISNUMBER(A3191)),VLOOKUP(A3191,Studies!A:BR,4,FALSE),"")</f>
        <v>po with Perpetrator (Rifampicin @ 25 mg)</v>
      </c>
      <c r="E3191" s="206" t="str">
        <f>IF(AND(A3191&lt;&gt;"",ISNUMBER(A3191)),VLOOKUP(A3191,Studies!A:BR,5,FALSE),"")</f>
        <v>Midazolam</v>
      </c>
      <c r="F3191" s="207" t="str">
        <f>IF(AND(A3191&lt;&gt;"",ISNUMBER(A3191)),VLOOKUP(A3191,Studies!A:BR,6,FALSE),"")</f>
        <v>Plasma</v>
      </c>
      <c r="G3191" s="194">
        <v>132.5</v>
      </c>
      <c r="H3191" s="194" t="s">
        <v>60</v>
      </c>
      <c r="I3191" s="187">
        <v>6.5637059999999998</v>
      </c>
      <c r="J3191" s="187" t="s">
        <v>1090</v>
      </c>
      <c r="K3191" s="187" t="s">
        <v>116</v>
      </c>
      <c r="L3191" s="195"/>
      <c r="M3191" s="195"/>
      <c r="N3191" s="195"/>
      <c r="O3191" s="199"/>
      <c r="P3191" s="188"/>
      <c r="Q3191" s="174">
        <f>IF(ISNUMBER(VLOOKUP(A3191,NotghiID!A:A,1,FALSE)),1,0)</f>
        <v>1</v>
      </c>
    </row>
    <row r="3192" spans="1:17" ht="14.25" x14ac:dyDescent="0.2">
      <c r="A3192" s="189">
        <v>306</v>
      </c>
      <c r="B3192" s="232" t="str">
        <f>IF(AND(A3192&lt;&gt;"",ISNUMBER(A3192)),VLOOKUP(A3192,Studies!A:BR,2,FALSE),"")</f>
        <v>Kharasch 2011</v>
      </c>
      <c r="C3192" s="232" t="str">
        <f>IF(AND(A3192&lt;&gt;"",ISNUMBER(A3192)),VLOOKUP(A3192,Studies!A:BR,3,FALSE),"")</f>
        <v>https://www.ncbi.nlm.nih.gov/pubmed/21562488</v>
      </c>
      <c r="D3192" s="232" t="str">
        <f>IF(AND(A3192&lt;&gt;"",ISNUMBER(A3192)),VLOOKUP(A3192,Studies!A:BR,4,FALSE),"")</f>
        <v>po with Perpetrator (Rifampicin @ 25 mg)</v>
      </c>
      <c r="E3192" s="206" t="str">
        <f>IF(AND(A3192&lt;&gt;"",ISNUMBER(A3192)),VLOOKUP(A3192,Studies!A:BR,5,FALSE),"")</f>
        <v>Midazolam</v>
      </c>
      <c r="F3192" s="207" t="str">
        <f>IF(AND(A3192&lt;&gt;"",ISNUMBER(A3192)),VLOOKUP(A3192,Studies!A:BR,6,FALSE),"")</f>
        <v>Plasma</v>
      </c>
      <c r="G3192" s="194">
        <v>132.75</v>
      </c>
      <c r="H3192" s="194" t="s">
        <v>60</v>
      </c>
      <c r="I3192" s="187">
        <v>5.0579150000000004</v>
      </c>
      <c r="J3192" s="187" t="s">
        <v>1090</v>
      </c>
      <c r="K3192" s="187" t="s">
        <v>116</v>
      </c>
      <c r="L3192" s="195"/>
      <c r="M3192" s="195"/>
      <c r="N3192" s="195"/>
      <c r="O3192" s="199"/>
      <c r="P3192" s="188"/>
      <c r="Q3192" s="174">
        <f>IF(ISNUMBER(VLOOKUP(A3192,NotghiID!A:A,1,FALSE)),1,0)</f>
        <v>1</v>
      </c>
    </row>
    <row r="3193" spans="1:17" ht="14.25" x14ac:dyDescent="0.2">
      <c r="A3193" s="189">
        <v>306</v>
      </c>
      <c r="B3193" s="232" t="str">
        <f>IF(AND(A3193&lt;&gt;"",ISNUMBER(A3193)),VLOOKUP(A3193,Studies!A:BR,2,FALSE),"")</f>
        <v>Kharasch 2011</v>
      </c>
      <c r="C3193" s="232" t="str">
        <f>IF(AND(A3193&lt;&gt;"",ISNUMBER(A3193)),VLOOKUP(A3193,Studies!A:BR,3,FALSE),"")</f>
        <v>https://www.ncbi.nlm.nih.gov/pubmed/21562488</v>
      </c>
      <c r="D3193" s="232" t="str">
        <f>IF(AND(A3193&lt;&gt;"",ISNUMBER(A3193)),VLOOKUP(A3193,Studies!A:BR,4,FALSE),"")</f>
        <v>po with Perpetrator (Rifampicin @ 25 mg)</v>
      </c>
      <c r="E3193" s="206" t="str">
        <f>IF(AND(A3193&lt;&gt;"",ISNUMBER(A3193)),VLOOKUP(A3193,Studies!A:BR,5,FALSE),"")</f>
        <v>Midazolam</v>
      </c>
      <c r="F3193" s="207" t="str">
        <f>IF(AND(A3193&lt;&gt;"",ISNUMBER(A3193)),VLOOKUP(A3193,Studies!A:BR,6,FALSE),"")</f>
        <v>Plasma</v>
      </c>
      <c r="G3193" s="194">
        <v>133.08000000000001</v>
      </c>
      <c r="H3193" s="194" t="s">
        <v>60</v>
      </c>
      <c r="I3193" s="187">
        <v>3.7837839999999998</v>
      </c>
      <c r="J3193" s="187" t="s">
        <v>1090</v>
      </c>
      <c r="K3193" s="187" t="s">
        <v>116</v>
      </c>
      <c r="L3193" s="195"/>
      <c r="M3193" s="195"/>
      <c r="N3193" s="195"/>
      <c r="O3193" s="199"/>
      <c r="P3193" s="188"/>
      <c r="Q3193" s="174">
        <f>IF(ISNUMBER(VLOOKUP(A3193,NotghiID!A:A,1,FALSE)),1,0)</f>
        <v>1</v>
      </c>
    </row>
    <row r="3194" spans="1:17" ht="14.25" x14ac:dyDescent="0.2">
      <c r="A3194" s="189">
        <v>306</v>
      </c>
      <c r="B3194" s="232" t="str">
        <f>IF(AND(A3194&lt;&gt;"",ISNUMBER(A3194)),VLOOKUP(A3194,Studies!A:BR,2,FALSE),"")</f>
        <v>Kharasch 2011</v>
      </c>
      <c r="C3194" s="232" t="str">
        <f>IF(AND(A3194&lt;&gt;"",ISNUMBER(A3194)),VLOOKUP(A3194,Studies!A:BR,3,FALSE),"")</f>
        <v>https://www.ncbi.nlm.nih.gov/pubmed/21562488</v>
      </c>
      <c r="D3194" s="232" t="str">
        <f>IF(AND(A3194&lt;&gt;"",ISNUMBER(A3194)),VLOOKUP(A3194,Studies!A:BR,4,FALSE),"")</f>
        <v>po with Perpetrator (Rifampicin @ 25 mg)</v>
      </c>
      <c r="E3194" s="206" t="str">
        <f>IF(AND(A3194&lt;&gt;"",ISNUMBER(A3194)),VLOOKUP(A3194,Studies!A:BR,5,FALSE),"")</f>
        <v>Midazolam</v>
      </c>
      <c r="F3194" s="207" t="str">
        <f>IF(AND(A3194&lt;&gt;"",ISNUMBER(A3194)),VLOOKUP(A3194,Studies!A:BR,6,FALSE),"")</f>
        <v>Plasma</v>
      </c>
      <c r="G3194" s="194">
        <v>133.16999999999999</v>
      </c>
      <c r="H3194" s="194" t="s">
        <v>60</v>
      </c>
      <c r="I3194" s="187">
        <v>3.436293</v>
      </c>
      <c r="J3194" s="187" t="s">
        <v>1090</v>
      </c>
      <c r="K3194" s="187" t="s">
        <v>116</v>
      </c>
      <c r="L3194" s="195"/>
      <c r="M3194" s="195"/>
      <c r="N3194" s="195"/>
      <c r="O3194" s="199"/>
      <c r="P3194" s="188"/>
      <c r="Q3194" s="174">
        <f>IF(ISNUMBER(VLOOKUP(A3194,NotghiID!A:A,1,FALSE)),1,0)</f>
        <v>1</v>
      </c>
    </row>
    <row r="3195" spans="1:17" ht="14.25" x14ac:dyDescent="0.2">
      <c r="A3195" s="189">
        <v>306</v>
      </c>
      <c r="B3195" s="232" t="str">
        <f>IF(AND(A3195&lt;&gt;"",ISNUMBER(A3195)),VLOOKUP(A3195,Studies!A:BR,2,FALSE),"")</f>
        <v>Kharasch 2011</v>
      </c>
      <c r="C3195" s="232" t="str">
        <f>IF(AND(A3195&lt;&gt;"",ISNUMBER(A3195)),VLOOKUP(A3195,Studies!A:BR,3,FALSE),"")</f>
        <v>https://www.ncbi.nlm.nih.gov/pubmed/21562488</v>
      </c>
      <c r="D3195" s="232" t="str">
        <f>IF(AND(A3195&lt;&gt;"",ISNUMBER(A3195)),VLOOKUP(A3195,Studies!A:BR,4,FALSE),"")</f>
        <v>po with Perpetrator (Rifampicin @ 25 mg)</v>
      </c>
      <c r="E3195" s="206" t="str">
        <f>IF(AND(A3195&lt;&gt;"",ISNUMBER(A3195)),VLOOKUP(A3195,Studies!A:BR,5,FALSE),"")</f>
        <v>Midazolam</v>
      </c>
      <c r="F3195" s="207" t="str">
        <f>IF(AND(A3195&lt;&gt;"",ISNUMBER(A3195)),VLOOKUP(A3195,Studies!A:BR,6,FALSE),"")</f>
        <v>Plasma</v>
      </c>
      <c r="G3195" s="194">
        <v>133.25</v>
      </c>
      <c r="H3195" s="194" t="s">
        <v>60</v>
      </c>
      <c r="I3195" s="187">
        <v>3.2046329999999998</v>
      </c>
      <c r="J3195" s="187" t="s">
        <v>1090</v>
      </c>
      <c r="K3195" s="187" t="s">
        <v>116</v>
      </c>
      <c r="L3195" s="195"/>
      <c r="M3195" s="195"/>
      <c r="N3195" s="195"/>
      <c r="O3195" s="199"/>
      <c r="P3195" s="188"/>
      <c r="Q3195" s="174">
        <f>IF(ISNUMBER(VLOOKUP(A3195,NotghiID!A:A,1,FALSE)),1,0)</f>
        <v>1</v>
      </c>
    </row>
    <row r="3196" spans="1:17" ht="14.25" x14ac:dyDescent="0.2">
      <c r="A3196" s="189">
        <v>306</v>
      </c>
      <c r="B3196" s="232" t="str">
        <f>IF(AND(A3196&lt;&gt;"",ISNUMBER(A3196)),VLOOKUP(A3196,Studies!A:BR,2,FALSE),"")</f>
        <v>Kharasch 2011</v>
      </c>
      <c r="C3196" s="232" t="str">
        <f>IF(AND(A3196&lt;&gt;"",ISNUMBER(A3196)),VLOOKUP(A3196,Studies!A:BR,3,FALSE),"")</f>
        <v>https://www.ncbi.nlm.nih.gov/pubmed/21562488</v>
      </c>
      <c r="D3196" s="232" t="str">
        <f>IF(AND(A3196&lt;&gt;"",ISNUMBER(A3196)),VLOOKUP(A3196,Studies!A:BR,4,FALSE),"")</f>
        <v>po with Perpetrator (Rifampicin @ 25 mg)</v>
      </c>
      <c r="E3196" s="206" t="str">
        <f>IF(AND(A3196&lt;&gt;"",ISNUMBER(A3196)),VLOOKUP(A3196,Studies!A:BR,5,FALSE),"")</f>
        <v>Midazolam</v>
      </c>
      <c r="F3196" s="207" t="str">
        <f>IF(AND(A3196&lt;&gt;"",ISNUMBER(A3196)),VLOOKUP(A3196,Studies!A:BR,6,FALSE),"")</f>
        <v>Plasma</v>
      </c>
      <c r="G3196" s="194">
        <v>133.33000000000001</v>
      </c>
      <c r="H3196" s="194" t="s">
        <v>60</v>
      </c>
      <c r="I3196" s="187">
        <v>2.9729730000000001</v>
      </c>
      <c r="J3196" s="187" t="s">
        <v>1090</v>
      </c>
      <c r="K3196" s="187" t="s">
        <v>116</v>
      </c>
      <c r="L3196" s="195"/>
      <c r="M3196" s="195"/>
      <c r="N3196" s="195"/>
      <c r="O3196" s="199"/>
      <c r="P3196" s="188"/>
      <c r="Q3196" s="174">
        <f>IF(ISNUMBER(VLOOKUP(A3196,NotghiID!A:A,1,FALSE)),1,0)</f>
        <v>1</v>
      </c>
    </row>
    <row r="3197" spans="1:17" ht="14.25" x14ac:dyDescent="0.2">
      <c r="A3197" s="189">
        <v>306</v>
      </c>
      <c r="B3197" s="232" t="str">
        <f>IF(AND(A3197&lt;&gt;"",ISNUMBER(A3197)),VLOOKUP(A3197,Studies!A:BR,2,FALSE),"")</f>
        <v>Kharasch 2011</v>
      </c>
      <c r="C3197" s="232" t="str">
        <f>IF(AND(A3197&lt;&gt;"",ISNUMBER(A3197)),VLOOKUP(A3197,Studies!A:BR,3,FALSE),"")</f>
        <v>https://www.ncbi.nlm.nih.gov/pubmed/21562488</v>
      </c>
      <c r="D3197" s="232" t="str">
        <f>IF(AND(A3197&lt;&gt;"",ISNUMBER(A3197)),VLOOKUP(A3197,Studies!A:BR,4,FALSE),"")</f>
        <v>po with Perpetrator (Rifampicin @ 25 mg)</v>
      </c>
      <c r="E3197" s="206" t="str">
        <f>IF(AND(A3197&lt;&gt;"",ISNUMBER(A3197)),VLOOKUP(A3197,Studies!A:BR,5,FALSE),"")</f>
        <v>Midazolam</v>
      </c>
      <c r="F3197" s="207" t="str">
        <f>IF(AND(A3197&lt;&gt;"",ISNUMBER(A3197)),VLOOKUP(A3197,Studies!A:BR,6,FALSE),"")</f>
        <v>Plasma</v>
      </c>
      <c r="G3197" s="194">
        <v>133.5</v>
      </c>
      <c r="H3197" s="194" t="s">
        <v>60</v>
      </c>
      <c r="I3197" s="187">
        <v>2.5868730000000002</v>
      </c>
      <c r="J3197" s="187" t="s">
        <v>1090</v>
      </c>
      <c r="K3197" s="187" t="s">
        <v>116</v>
      </c>
      <c r="L3197" s="195"/>
      <c r="M3197" s="195"/>
      <c r="N3197" s="195"/>
      <c r="O3197" s="199"/>
      <c r="P3197" s="188"/>
      <c r="Q3197" s="174">
        <f>IF(ISNUMBER(VLOOKUP(A3197,NotghiID!A:A,1,FALSE)),1,0)</f>
        <v>1</v>
      </c>
    </row>
    <row r="3198" spans="1:17" ht="14.25" x14ac:dyDescent="0.2">
      <c r="A3198" s="189">
        <v>306</v>
      </c>
      <c r="B3198" s="232" t="str">
        <f>IF(AND(A3198&lt;&gt;"",ISNUMBER(A3198)),VLOOKUP(A3198,Studies!A:BR,2,FALSE),"")</f>
        <v>Kharasch 2011</v>
      </c>
      <c r="C3198" s="232" t="str">
        <f>IF(AND(A3198&lt;&gt;"",ISNUMBER(A3198)),VLOOKUP(A3198,Studies!A:BR,3,FALSE),"")</f>
        <v>https://www.ncbi.nlm.nih.gov/pubmed/21562488</v>
      </c>
      <c r="D3198" s="232" t="str">
        <f>IF(AND(A3198&lt;&gt;"",ISNUMBER(A3198)),VLOOKUP(A3198,Studies!A:BR,4,FALSE),"")</f>
        <v>po with Perpetrator (Rifampicin @ 25 mg)</v>
      </c>
      <c r="E3198" s="206" t="str">
        <f>IF(AND(A3198&lt;&gt;"",ISNUMBER(A3198)),VLOOKUP(A3198,Studies!A:BR,5,FALSE),"")</f>
        <v>Midazolam</v>
      </c>
      <c r="F3198" s="207" t="str">
        <f>IF(AND(A3198&lt;&gt;"",ISNUMBER(A3198)),VLOOKUP(A3198,Studies!A:BR,6,FALSE),"")</f>
        <v>Plasma</v>
      </c>
      <c r="G3198" s="194">
        <v>133.75</v>
      </c>
      <c r="H3198" s="194" t="s">
        <v>60</v>
      </c>
      <c r="I3198" s="187">
        <v>2.239382</v>
      </c>
      <c r="J3198" s="187" t="s">
        <v>1090</v>
      </c>
      <c r="K3198" s="187" t="s">
        <v>116</v>
      </c>
      <c r="L3198" s="195"/>
      <c r="M3198" s="195"/>
      <c r="N3198" s="195"/>
      <c r="O3198" s="199"/>
      <c r="P3198" s="188"/>
      <c r="Q3198" s="174">
        <f>IF(ISNUMBER(VLOOKUP(A3198,NotghiID!A:A,1,FALSE)),1,0)</f>
        <v>1</v>
      </c>
    </row>
    <row r="3199" spans="1:17" ht="14.25" x14ac:dyDescent="0.2">
      <c r="A3199" s="189">
        <v>306</v>
      </c>
      <c r="B3199" s="232" t="str">
        <f>IF(AND(A3199&lt;&gt;"",ISNUMBER(A3199)),VLOOKUP(A3199,Studies!A:BR,2,FALSE),"")</f>
        <v>Kharasch 2011</v>
      </c>
      <c r="C3199" s="232" t="str">
        <f>IF(AND(A3199&lt;&gt;"",ISNUMBER(A3199)),VLOOKUP(A3199,Studies!A:BR,3,FALSE),"")</f>
        <v>https://www.ncbi.nlm.nih.gov/pubmed/21562488</v>
      </c>
      <c r="D3199" s="232" t="str">
        <f>IF(AND(A3199&lt;&gt;"",ISNUMBER(A3199)),VLOOKUP(A3199,Studies!A:BR,4,FALSE),"")</f>
        <v>po with Perpetrator (Rifampicin @ 25 mg)</v>
      </c>
      <c r="E3199" s="206" t="str">
        <f>IF(AND(A3199&lt;&gt;"",ISNUMBER(A3199)),VLOOKUP(A3199,Studies!A:BR,5,FALSE),"")</f>
        <v>Midazolam</v>
      </c>
      <c r="F3199" s="207" t="str">
        <f>IF(AND(A3199&lt;&gt;"",ISNUMBER(A3199)),VLOOKUP(A3199,Studies!A:BR,6,FALSE),"")</f>
        <v>Plasma</v>
      </c>
      <c r="G3199" s="194">
        <v>134</v>
      </c>
      <c r="H3199" s="194" t="s">
        <v>60</v>
      </c>
      <c r="I3199" s="187">
        <v>2.046332</v>
      </c>
      <c r="J3199" s="187" t="s">
        <v>1090</v>
      </c>
      <c r="K3199" s="187" t="s">
        <v>116</v>
      </c>
      <c r="L3199" s="195"/>
      <c r="M3199" s="195"/>
      <c r="N3199" s="195"/>
      <c r="O3199" s="199"/>
      <c r="P3199" s="188"/>
      <c r="Q3199" s="174">
        <f>IF(ISNUMBER(VLOOKUP(A3199,NotghiID!A:A,1,FALSE)),1,0)</f>
        <v>1</v>
      </c>
    </row>
    <row r="3200" spans="1:17" ht="14.25" x14ac:dyDescent="0.2">
      <c r="A3200" s="189">
        <v>306</v>
      </c>
      <c r="B3200" s="232" t="str">
        <f>IF(AND(A3200&lt;&gt;"",ISNUMBER(A3200)),VLOOKUP(A3200,Studies!A:BR,2,FALSE),"")</f>
        <v>Kharasch 2011</v>
      </c>
      <c r="C3200" s="232" t="str">
        <f>IF(AND(A3200&lt;&gt;"",ISNUMBER(A3200)),VLOOKUP(A3200,Studies!A:BR,3,FALSE),"")</f>
        <v>https://www.ncbi.nlm.nih.gov/pubmed/21562488</v>
      </c>
      <c r="D3200" s="232" t="str">
        <f>IF(AND(A3200&lt;&gt;"",ISNUMBER(A3200)),VLOOKUP(A3200,Studies!A:BR,4,FALSE),"")</f>
        <v>po with Perpetrator (Rifampicin @ 25 mg)</v>
      </c>
      <c r="E3200" s="206" t="str">
        <f>IF(AND(A3200&lt;&gt;"",ISNUMBER(A3200)),VLOOKUP(A3200,Studies!A:BR,5,FALSE),"")</f>
        <v>Midazolam</v>
      </c>
      <c r="F3200" s="207" t="str">
        <f>IF(AND(A3200&lt;&gt;"",ISNUMBER(A3200)),VLOOKUP(A3200,Studies!A:BR,6,FALSE),"")</f>
        <v>Plasma</v>
      </c>
      <c r="G3200" s="194">
        <v>134.25</v>
      </c>
      <c r="H3200" s="194" t="s">
        <v>60</v>
      </c>
      <c r="I3200" s="187">
        <v>1.8146720000000001</v>
      </c>
      <c r="J3200" s="187" t="s">
        <v>1090</v>
      </c>
      <c r="K3200" s="187" t="s">
        <v>116</v>
      </c>
      <c r="L3200" s="195"/>
      <c r="M3200" s="195"/>
      <c r="N3200" s="195"/>
      <c r="O3200" s="199"/>
      <c r="P3200" s="188"/>
      <c r="Q3200" s="174">
        <f>IF(ISNUMBER(VLOOKUP(A3200,NotghiID!A:A,1,FALSE)),1,0)</f>
        <v>1</v>
      </c>
    </row>
    <row r="3201" spans="1:17" ht="14.25" x14ac:dyDescent="0.2">
      <c r="A3201" s="189">
        <v>306</v>
      </c>
      <c r="B3201" s="232" t="str">
        <f>IF(AND(A3201&lt;&gt;"",ISNUMBER(A3201)),VLOOKUP(A3201,Studies!A:BR,2,FALSE),"")</f>
        <v>Kharasch 2011</v>
      </c>
      <c r="C3201" s="232" t="str">
        <f>IF(AND(A3201&lt;&gt;"",ISNUMBER(A3201)),VLOOKUP(A3201,Studies!A:BR,3,FALSE),"")</f>
        <v>https://www.ncbi.nlm.nih.gov/pubmed/21562488</v>
      </c>
      <c r="D3201" s="232" t="str">
        <f>IF(AND(A3201&lt;&gt;"",ISNUMBER(A3201)),VLOOKUP(A3201,Studies!A:BR,4,FALSE),"")</f>
        <v>po with Perpetrator (Rifampicin @ 25 mg)</v>
      </c>
      <c r="E3201" s="206" t="str">
        <f>IF(AND(A3201&lt;&gt;"",ISNUMBER(A3201)),VLOOKUP(A3201,Studies!A:BR,5,FALSE),"")</f>
        <v>Midazolam</v>
      </c>
      <c r="F3201" s="207" t="str">
        <f>IF(AND(A3201&lt;&gt;"",ISNUMBER(A3201)),VLOOKUP(A3201,Studies!A:BR,6,FALSE),"")</f>
        <v>Plasma</v>
      </c>
      <c r="G3201" s="194">
        <v>134.5</v>
      </c>
      <c r="H3201" s="194" t="s">
        <v>60</v>
      </c>
      <c r="I3201" s="187">
        <v>1.6216219999999999</v>
      </c>
      <c r="J3201" s="187" t="s">
        <v>1090</v>
      </c>
      <c r="K3201" s="187" t="s">
        <v>116</v>
      </c>
      <c r="L3201" s="195"/>
      <c r="M3201" s="195"/>
      <c r="N3201" s="195"/>
      <c r="O3201" s="199"/>
      <c r="P3201" s="188"/>
      <c r="Q3201" s="174">
        <f>IF(ISNUMBER(VLOOKUP(A3201,NotghiID!A:A,1,FALSE)),1,0)</f>
        <v>1</v>
      </c>
    </row>
    <row r="3202" spans="1:17" ht="14.25" x14ac:dyDescent="0.2">
      <c r="A3202" s="189">
        <v>306</v>
      </c>
      <c r="B3202" s="232" t="str">
        <f>IF(AND(A3202&lt;&gt;"",ISNUMBER(A3202)),VLOOKUP(A3202,Studies!A:BR,2,FALSE),"")</f>
        <v>Kharasch 2011</v>
      </c>
      <c r="C3202" s="232" t="str">
        <f>IF(AND(A3202&lt;&gt;"",ISNUMBER(A3202)),VLOOKUP(A3202,Studies!A:BR,3,FALSE),"")</f>
        <v>https://www.ncbi.nlm.nih.gov/pubmed/21562488</v>
      </c>
      <c r="D3202" s="232" t="str">
        <f>IF(AND(A3202&lt;&gt;"",ISNUMBER(A3202)),VLOOKUP(A3202,Studies!A:BR,4,FALSE),"")</f>
        <v>po with Perpetrator (Rifampicin @ 25 mg)</v>
      </c>
      <c r="E3202" s="206" t="str">
        <f>IF(AND(A3202&lt;&gt;"",ISNUMBER(A3202)),VLOOKUP(A3202,Studies!A:BR,5,FALSE),"")</f>
        <v>Midazolam</v>
      </c>
      <c r="F3202" s="207" t="str">
        <f>IF(AND(A3202&lt;&gt;"",ISNUMBER(A3202)),VLOOKUP(A3202,Studies!A:BR,6,FALSE),"")</f>
        <v>Plasma</v>
      </c>
      <c r="G3202" s="194">
        <v>135</v>
      </c>
      <c r="H3202" s="194" t="s">
        <v>60</v>
      </c>
      <c r="I3202" s="187">
        <v>1.351351</v>
      </c>
      <c r="J3202" s="187" t="s">
        <v>1090</v>
      </c>
      <c r="K3202" s="187" t="s">
        <v>116</v>
      </c>
      <c r="L3202" s="195"/>
      <c r="M3202" s="195"/>
      <c r="N3202" s="195"/>
      <c r="O3202" s="199"/>
      <c r="P3202" s="188"/>
      <c r="Q3202" s="174">
        <f>IF(ISNUMBER(VLOOKUP(A3202,NotghiID!A:A,1,FALSE)),1,0)</f>
        <v>1</v>
      </c>
    </row>
    <row r="3203" spans="1:17" ht="14.25" x14ac:dyDescent="0.2">
      <c r="A3203" s="189">
        <v>306</v>
      </c>
      <c r="B3203" s="232" t="str">
        <f>IF(AND(A3203&lt;&gt;"",ISNUMBER(A3203)),VLOOKUP(A3203,Studies!A:BR,2,FALSE),"")</f>
        <v>Kharasch 2011</v>
      </c>
      <c r="C3203" s="232" t="str">
        <f>IF(AND(A3203&lt;&gt;"",ISNUMBER(A3203)),VLOOKUP(A3203,Studies!A:BR,3,FALSE),"")</f>
        <v>https://www.ncbi.nlm.nih.gov/pubmed/21562488</v>
      </c>
      <c r="D3203" s="232" t="str">
        <f>IF(AND(A3203&lt;&gt;"",ISNUMBER(A3203)),VLOOKUP(A3203,Studies!A:BR,4,FALSE),"")</f>
        <v>po with Perpetrator (Rifampicin @ 25 mg)</v>
      </c>
      <c r="E3203" s="206" t="str">
        <f>IF(AND(A3203&lt;&gt;"",ISNUMBER(A3203)),VLOOKUP(A3203,Studies!A:BR,5,FALSE),"")</f>
        <v>Midazolam</v>
      </c>
      <c r="F3203" s="207" t="str">
        <f>IF(AND(A3203&lt;&gt;"",ISNUMBER(A3203)),VLOOKUP(A3203,Studies!A:BR,6,FALSE),"")</f>
        <v>Plasma</v>
      </c>
      <c r="G3203" s="194">
        <v>135.5</v>
      </c>
      <c r="H3203" s="194" t="s">
        <v>60</v>
      </c>
      <c r="I3203" s="187">
        <v>1.0424709999999999</v>
      </c>
      <c r="J3203" s="187" t="s">
        <v>1090</v>
      </c>
      <c r="K3203" s="187" t="s">
        <v>116</v>
      </c>
      <c r="L3203" s="195"/>
      <c r="M3203" s="195"/>
      <c r="N3203" s="195"/>
      <c r="O3203" s="199"/>
      <c r="P3203" s="188"/>
      <c r="Q3203" s="174">
        <f>IF(ISNUMBER(VLOOKUP(A3203,NotghiID!A:A,1,FALSE)),1,0)</f>
        <v>1</v>
      </c>
    </row>
    <row r="3204" spans="1:17" ht="14.25" x14ac:dyDescent="0.2">
      <c r="A3204" s="189">
        <v>306</v>
      </c>
      <c r="B3204" s="232" t="str">
        <f>IF(AND(A3204&lt;&gt;"",ISNUMBER(A3204)),VLOOKUP(A3204,Studies!A:BR,2,FALSE),"")</f>
        <v>Kharasch 2011</v>
      </c>
      <c r="C3204" s="232" t="str">
        <f>IF(AND(A3204&lt;&gt;"",ISNUMBER(A3204)),VLOOKUP(A3204,Studies!A:BR,3,FALSE),"")</f>
        <v>https://www.ncbi.nlm.nih.gov/pubmed/21562488</v>
      </c>
      <c r="D3204" s="232" t="str">
        <f>IF(AND(A3204&lt;&gt;"",ISNUMBER(A3204)),VLOOKUP(A3204,Studies!A:BR,4,FALSE),"")</f>
        <v>po with Perpetrator (Rifampicin @ 25 mg)</v>
      </c>
      <c r="E3204" s="206" t="str">
        <f>IF(AND(A3204&lt;&gt;"",ISNUMBER(A3204)),VLOOKUP(A3204,Studies!A:BR,5,FALSE),"")</f>
        <v>Midazolam</v>
      </c>
      <c r="F3204" s="207" t="str">
        <f>IF(AND(A3204&lt;&gt;"",ISNUMBER(A3204)),VLOOKUP(A3204,Studies!A:BR,6,FALSE),"")</f>
        <v>Plasma</v>
      </c>
      <c r="G3204" s="194">
        <v>136</v>
      </c>
      <c r="H3204" s="194" t="s">
        <v>60</v>
      </c>
      <c r="I3204" s="187">
        <v>0.88803089999999996</v>
      </c>
      <c r="J3204" s="187" t="s">
        <v>1090</v>
      </c>
      <c r="K3204" s="187" t="s">
        <v>116</v>
      </c>
      <c r="L3204" s="195"/>
      <c r="M3204" s="195"/>
      <c r="N3204" s="195"/>
      <c r="O3204" s="199"/>
      <c r="P3204" s="188"/>
      <c r="Q3204" s="174">
        <f>IF(ISNUMBER(VLOOKUP(A3204,NotghiID!A:A,1,FALSE)),1,0)</f>
        <v>1</v>
      </c>
    </row>
    <row r="3205" spans="1:17" ht="14.25" x14ac:dyDescent="0.2">
      <c r="A3205" s="189">
        <v>306</v>
      </c>
      <c r="B3205" s="232" t="str">
        <f>IF(AND(A3205&lt;&gt;"",ISNUMBER(A3205)),VLOOKUP(A3205,Studies!A:BR,2,FALSE),"")</f>
        <v>Kharasch 2011</v>
      </c>
      <c r="C3205" s="232" t="str">
        <f>IF(AND(A3205&lt;&gt;"",ISNUMBER(A3205)),VLOOKUP(A3205,Studies!A:BR,3,FALSE),"")</f>
        <v>https://www.ncbi.nlm.nih.gov/pubmed/21562488</v>
      </c>
      <c r="D3205" s="232" t="str">
        <f>IF(AND(A3205&lt;&gt;"",ISNUMBER(A3205)),VLOOKUP(A3205,Studies!A:BR,4,FALSE),"")</f>
        <v>po with Perpetrator (Rifampicin @ 25 mg)</v>
      </c>
      <c r="E3205" s="206" t="str">
        <f>IF(AND(A3205&lt;&gt;"",ISNUMBER(A3205)),VLOOKUP(A3205,Studies!A:BR,5,FALSE),"")</f>
        <v>Midazolam</v>
      </c>
      <c r="F3205" s="207" t="str">
        <f>IF(AND(A3205&lt;&gt;"",ISNUMBER(A3205)),VLOOKUP(A3205,Studies!A:BR,6,FALSE),"")</f>
        <v>Plasma</v>
      </c>
      <c r="G3205" s="194">
        <v>137</v>
      </c>
      <c r="H3205" s="194" t="s">
        <v>60</v>
      </c>
      <c r="I3205" s="187">
        <v>0.61776059999999999</v>
      </c>
      <c r="J3205" s="187" t="s">
        <v>1090</v>
      </c>
      <c r="K3205" s="187" t="s">
        <v>116</v>
      </c>
      <c r="L3205" s="195"/>
      <c r="M3205" s="195"/>
      <c r="N3205" s="195"/>
      <c r="O3205" s="199"/>
      <c r="P3205" s="188"/>
      <c r="Q3205" s="174">
        <f>IF(ISNUMBER(VLOOKUP(A3205,NotghiID!A:A,1,FALSE)),1,0)</f>
        <v>1</v>
      </c>
    </row>
    <row r="3206" spans="1:17" ht="14.25" x14ac:dyDescent="0.2">
      <c r="A3206" s="189">
        <v>306</v>
      </c>
      <c r="B3206" s="232" t="str">
        <f>IF(AND(A3206&lt;&gt;"",ISNUMBER(A3206)),VLOOKUP(A3206,Studies!A:BR,2,FALSE),"")</f>
        <v>Kharasch 2011</v>
      </c>
      <c r="C3206" s="232" t="str">
        <f>IF(AND(A3206&lt;&gt;"",ISNUMBER(A3206)),VLOOKUP(A3206,Studies!A:BR,3,FALSE),"")</f>
        <v>https://www.ncbi.nlm.nih.gov/pubmed/21562488</v>
      </c>
      <c r="D3206" s="232" t="str">
        <f>IF(AND(A3206&lt;&gt;"",ISNUMBER(A3206)),VLOOKUP(A3206,Studies!A:BR,4,FALSE),"")</f>
        <v>po with Perpetrator (Rifampicin @ 25 mg)</v>
      </c>
      <c r="E3206" s="206" t="str">
        <f>IF(AND(A3206&lt;&gt;"",ISNUMBER(A3206)),VLOOKUP(A3206,Studies!A:BR,5,FALSE),"")</f>
        <v>Midazolam</v>
      </c>
      <c r="F3206" s="207" t="str">
        <f>IF(AND(A3206&lt;&gt;"",ISNUMBER(A3206)),VLOOKUP(A3206,Studies!A:BR,6,FALSE),"")</f>
        <v>Plasma</v>
      </c>
      <c r="G3206" s="194">
        <v>138</v>
      </c>
      <c r="H3206" s="194" t="s">
        <v>60</v>
      </c>
      <c r="I3206" s="187">
        <v>0.46332050000000002</v>
      </c>
      <c r="J3206" s="187" t="s">
        <v>1090</v>
      </c>
      <c r="K3206" s="187" t="s">
        <v>116</v>
      </c>
      <c r="L3206" s="195"/>
      <c r="M3206" s="195"/>
      <c r="N3206" s="195"/>
      <c r="O3206" s="199"/>
      <c r="P3206" s="188"/>
      <c r="Q3206" s="174">
        <f>IF(ISNUMBER(VLOOKUP(A3206,NotghiID!A:A,1,FALSE)),1,0)</f>
        <v>1</v>
      </c>
    </row>
    <row r="3207" spans="1:17" ht="14.25" x14ac:dyDescent="0.2">
      <c r="A3207" s="189">
        <v>306</v>
      </c>
      <c r="B3207" s="232" t="str">
        <f>IF(AND(A3207&lt;&gt;"",ISNUMBER(A3207)),VLOOKUP(A3207,Studies!A:BR,2,FALSE),"")</f>
        <v>Kharasch 2011</v>
      </c>
      <c r="C3207" s="232" t="str">
        <f>IF(AND(A3207&lt;&gt;"",ISNUMBER(A3207)),VLOOKUP(A3207,Studies!A:BR,3,FALSE),"")</f>
        <v>https://www.ncbi.nlm.nih.gov/pubmed/21562488</v>
      </c>
      <c r="D3207" s="232" t="str">
        <f>IF(AND(A3207&lt;&gt;"",ISNUMBER(A3207)),VLOOKUP(A3207,Studies!A:BR,4,FALSE),"")</f>
        <v>po with Perpetrator (Rifampicin @ 25 mg)</v>
      </c>
      <c r="E3207" s="206" t="str">
        <f>IF(AND(A3207&lt;&gt;"",ISNUMBER(A3207)),VLOOKUP(A3207,Studies!A:BR,5,FALSE),"")</f>
        <v>Midazolam</v>
      </c>
      <c r="F3207" s="207" t="str">
        <f>IF(AND(A3207&lt;&gt;"",ISNUMBER(A3207)),VLOOKUP(A3207,Studies!A:BR,6,FALSE),"")</f>
        <v>Plasma</v>
      </c>
      <c r="G3207" s="194">
        <v>139</v>
      </c>
      <c r="H3207" s="194" t="s">
        <v>60</v>
      </c>
      <c r="I3207" s="187">
        <v>0.42471039999999999</v>
      </c>
      <c r="J3207" s="187" t="s">
        <v>1090</v>
      </c>
      <c r="K3207" s="187" t="s">
        <v>116</v>
      </c>
      <c r="L3207" s="195"/>
      <c r="M3207" s="195"/>
      <c r="N3207" s="195"/>
      <c r="O3207" s="199"/>
      <c r="P3207" s="188"/>
      <c r="Q3207" s="174">
        <f>IF(ISNUMBER(VLOOKUP(A3207,NotghiID!A:A,1,FALSE)),1,0)</f>
        <v>1</v>
      </c>
    </row>
    <row r="3208" spans="1:17" ht="14.25" x14ac:dyDescent="0.2">
      <c r="A3208" s="189">
        <v>307</v>
      </c>
      <c r="B3208" s="232" t="str">
        <f>IF(AND(A3208&lt;&gt;"",ISNUMBER(A3208)),VLOOKUP(A3208,Studies!A:BR,2,FALSE),"")</f>
        <v>Kharasch 2011</v>
      </c>
      <c r="C3208" s="232" t="str">
        <f>IF(AND(A3208&lt;&gt;"",ISNUMBER(A3208)),VLOOKUP(A3208,Studies!A:BR,3,FALSE),"")</f>
        <v>https://www.ncbi.nlm.nih.gov/pubmed/21562488</v>
      </c>
      <c r="D3208" s="232" t="str">
        <f>IF(AND(A3208&lt;&gt;"",ISNUMBER(A3208)),VLOOKUP(A3208,Studies!A:BR,4,FALSE),"")</f>
        <v>po with Perpetrator (Rifampicin @ 75 mg)</v>
      </c>
      <c r="E3208" s="206" t="str">
        <f>IF(AND(A3208&lt;&gt;"",ISNUMBER(A3208)),VLOOKUP(A3208,Studies!A:BR,5,FALSE),"")</f>
        <v>Midazolam</v>
      </c>
      <c r="F3208" s="207" t="str">
        <f>IF(AND(A3208&lt;&gt;"",ISNUMBER(A3208)),VLOOKUP(A3208,Studies!A:BR,6,FALSE),"")</f>
        <v>Plasma</v>
      </c>
      <c r="G3208" s="194">
        <v>132</v>
      </c>
      <c r="H3208" s="194" t="s">
        <v>60</v>
      </c>
      <c r="I3208" s="187">
        <v>3.8610039999999998E-2</v>
      </c>
      <c r="J3208" s="187" t="s">
        <v>1090</v>
      </c>
      <c r="K3208" s="187" t="s">
        <v>116</v>
      </c>
      <c r="L3208" s="195"/>
      <c r="M3208" s="195"/>
      <c r="N3208" s="195"/>
      <c r="O3208" s="199"/>
      <c r="P3208" s="188"/>
      <c r="Q3208" s="174">
        <f>IF(ISNUMBER(VLOOKUP(A3208,NotghiID!A:A,1,FALSE)),1,0)</f>
        <v>1</v>
      </c>
    </row>
    <row r="3209" spans="1:17" ht="14.25" x14ac:dyDescent="0.2">
      <c r="A3209" s="189">
        <v>307</v>
      </c>
      <c r="B3209" s="232" t="str">
        <f>IF(AND(A3209&lt;&gt;"",ISNUMBER(A3209)),VLOOKUP(A3209,Studies!A:BR,2,FALSE),"")</f>
        <v>Kharasch 2011</v>
      </c>
      <c r="C3209" s="232" t="str">
        <f>IF(AND(A3209&lt;&gt;"",ISNUMBER(A3209)),VLOOKUP(A3209,Studies!A:BR,3,FALSE),"")</f>
        <v>https://www.ncbi.nlm.nih.gov/pubmed/21562488</v>
      </c>
      <c r="D3209" s="232" t="str">
        <f>IF(AND(A3209&lt;&gt;"",ISNUMBER(A3209)),VLOOKUP(A3209,Studies!A:BR,4,FALSE),"")</f>
        <v>po with Perpetrator (Rifampicin @ 75 mg)</v>
      </c>
      <c r="E3209" s="206" t="str">
        <f>IF(AND(A3209&lt;&gt;"",ISNUMBER(A3209)),VLOOKUP(A3209,Studies!A:BR,5,FALSE),"")</f>
        <v>Midazolam</v>
      </c>
      <c r="F3209" s="207" t="str">
        <f>IF(AND(A3209&lt;&gt;"",ISNUMBER(A3209)),VLOOKUP(A3209,Studies!A:BR,6,FALSE),"")</f>
        <v>Plasma</v>
      </c>
      <c r="G3209" s="194">
        <v>132.08000000000001</v>
      </c>
      <c r="H3209" s="194" t="s">
        <v>60</v>
      </c>
      <c r="I3209" s="187">
        <v>1.389961</v>
      </c>
      <c r="J3209" s="187" t="s">
        <v>1090</v>
      </c>
      <c r="K3209" s="187" t="s">
        <v>116</v>
      </c>
      <c r="L3209" s="195"/>
      <c r="M3209" s="195"/>
      <c r="N3209" s="195"/>
      <c r="O3209" s="199"/>
      <c r="P3209" s="188"/>
      <c r="Q3209" s="174">
        <f>IF(ISNUMBER(VLOOKUP(A3209,NotghiID!A:A,1,FALSE)),1,0)</f>
        <v>1</v>
      </c>
    </row>
    <row r="3210" spans="1:17" ht="14.25" x14ac:dyDescent="0.2">
      <c r="A3210" s="189">
        <v>307</v>
      </c>
      <c r="B3210" s="232" t="str">
        <f>IF(AND(A3210&lt;&gt;"",ISNUMBER(A3210)),VLOOKUP(A3210,Studies!A:BR,2,FALSE),"")</f>
        <v>Kharasch 2011</v>
      </c>
      <c r="C3210" s="232" t="str">
        <f>IF(AND(A3210&lt;&gt;"",ISNUMBER(A3210)),VLOOKUP(A3210,Studies!A:BR,3,FALSE),"")</f>
        <v>https://www.ncbi.nlm.nih.gov/pubmed/21562488</v>
      </c>
      <c r="D3210" s="232" t="str">
        <f>IF(AND(A3210&lt;&gt;"",ISNUMBER(A3210)),VLOOKUP(A3210,Studies!A:BR,4,FALSE),"")</f>
        <v>po with Perpetrator (Rifampicin @ 75 mg)</v>
      </c>
      <c r="E3210" s="206" t="str">
        <f>IF(AND(A3210&lt;&gt;"",ISNUMBER(A3210)),VLOOKUP(A3210,Studies!A:BR,5,FALSE),"")</f>
        <v>Midazolam</v>
      </c>
      <c r="F3210" s="207" t="str">
        <f>IF(AND(A3210&lt;&gt;"",ISNUMBER(A3210)),VLOOKUP(A3210,Studies!A:BR,6,FALSE),"")</f>
        <v>Plasma</v>
      </c>
      <c r="G3210" s="194">
        <v>132.16999999999999</v>
      </c>
      <c r="H3210" s="194" t="s">
        <v>60</v>
      </c>
      <c r="I3210" s="187">
        <v>3.8996140000000001</v>
      </c>
      <c r="J3210" s="187" t="s">
        <v>1090</v>
      </c>
      <c r="K3210" s="187" t="s">
        <v>116</v>
      </c>
      <c r="L3210" s="195"/>
      <c r="M3210" s="195"/>
      <c r="N3210" s="195"/>
      <c r="O3210" s="199"/>
      <c r="P3210" s="188"/>
      <c r="Q3210" s="174">
        <f>IF(ISNUMBER(VLOOKUP(A3210,NotghiID!A:A,1,FALSE)),1,0)</f>
        <v>1</v>
      </c>
    </row>
    <row r="3211" spans="1:17" ht="14.25" x14ac:dyDescent="0.2">
      <c r="A3211" s="189">
        <v>307</v>
      </c>
      <c r="B3211" s="232" t="str">
        <f>IF(AND(A3211&lt;&gt;"",ISNUMBER(A3211)),VLOOKUP(A3211,Studies!A:BR,2,FALSE),"")</f>
        <v>Kharasch 2011</v>
      </c>
      <c r="C3211" s="232" t="str">
        <f>IF(AND(A3211&lt;&gt;"",ISNUMBER(A3211)),VLOOKUP(A3211,Studies!A:BR,3,FALSE),"")</f>
        <v>https://www.ncbi.nlm.nih.gov/pubmed/21562488</v>
      </c>
      <c r="D3211" s="232" t="str">
        <f>IF(AND(A3211&lt;&gt;"",ISNUMBER(A3211)),VLOOKUP(A3211,Studies!A:BR,4,FALSE),"")</f>
        <v>po with Perpetrator (Rifampicin @ 75 mg)</v>
      </c>
      <c r="E3211" s="206" t="str">
        <f>IF(AND(A3211&lt;&gt;"",ISNUMBER(A3211)),VLOOKUP(A3211,Studies!A:BR,5,FALSE),"")</f>
        <v>Midazolam</v>
      </c>
      <c r="F3211" s="207" t="str">
        <f>IF(AND(A3211&lt;&gt;"",ISNUMBER(A3211)),VLOOKUP(A3211,Studies!A:BR,6,FALSE),"")</f>
        <v>Plasma</v>
      </c>
      <c r="G3211" s="194">
        <v>132.25</v>
      </c>
      <c r="H3211" s="194" t="s">
        <v>60</v>
      </c>
      <c r="I3211" s="187">
        <v>3.7065640000000002</v>
      </c>
      <c r="J3211" s="187" t="s">
        <v>1090</v>
      </c>
      <c r="K3211" s="187" t="s">
        <v>116</v>
      </c>
      <c r="L3211" s="195"/>
      <c r="M3211" s="195"/>
      <c r="N3211" s="195"/>
      <c r="O3211" s="199"/>
      <c r="P3211" s="188"/>
      <c r="Q3211" s="174">
        <f>IF(ISNUMBER(VLOOKUP(A3211,NotghiID!A:A,1,FALSE)),1,0)</f>
        <v>1</v>
      </c>
    </row>
    <row r="3212" spans="1:17" ht="14.25" x14ac:dyDescent="0.2">
      <c r="A3212" s="189">
        <v>307</v>
      </c>
      <c r="B3212" s="232" t="str">
        <f>IF(AND(A3212&lt;&gt;"",ISNUMBER(A3212)),VLOOKUP(A3212,Studies!A:BR,2,FALSE),"")</f>
        <v>Kharasch 2011</v>
      </c>
      <c r="C3212" s="232" t="str">
        <f>IF(AND(A3212&lt;&gt;"",ISNUMBER(A3212)),VLOOKUP(A3212,Studies!A:BR,3,FALSE),"")</f>
        <v>https://www.ncbi.nlm.nih.gov/pubmed/21562488</v>
      </c>
      <c r="D3212" s="232" t="str">
        <f>IF(AND(A3212&lt;&gt;"",ISNUMBER(A3212)),VLOOKUP(A3212,Studies!A:BR,4,FALSE),"")</f>
        <v>po with Perpetrator (Rifampicin @ 75 mg)</v>
      </c>
      <c r="E3212" s="206" t="str">
        <f>IF(AND(A3212&lt;&gt;"",ISNUMBER(A3212)),VLOOKUP(A3212,Studies!A:BR,5,FALSE),"")</f>
        <v>Midazolam</v>
      </c>
      <c r="F3212" s="207" t="str">
        <f>IF(AND(A3212&lt;&gt;"",ISNUMBER(A3212)),VLOOKUP(A3212,Studies!A:BR,6,FALSE),"")</f>
        <v>Plasma</v>
      </c>
      <c r="G3212" s="194">
        <v>132.33000000000001</v>
      </c>
      <c r="H3212" s="194" t="s">
        <v>60</v>
      </c>
      <c r="I3212" s="187">
        <v>3.745174</v>
      </c>
      <c r="J3212" s="187" t="s">
        <v>1090</v>
      </c>
      <c r="K3212" s="187" t="s">
        <v>116</v>
      </c>
      <c r="L3212" s="195"/>
      <c r="M3212" s="195"/>
      <c r="N3212" s="195"/>
      <c r="O3212" s="199"/>
      <c r="P3212" s="188"/>
      <c r="Q3212" s="174">
        <f>IF(ISNUMBER(VLOOKUP(A3212,NotghiID!A:A,1,FALSE)),1,0)</f>
        <v>1</v>
      </c>
    </row>
    <row r="3213" spans="1:17" ht="14.25" x14ac:dyDescent="0.2">
      <c r="A3213" s="189">
        <v>307</v>
      </c>
      <c r="B3213" s="232" t="str">
        <f>IF(AND(A3213&lt;&gt;"",ISNUMBER(A3213)),VLOOKUP(A3213,Studies!A:BR,2,FALSE),"")</f>
        <v>Kharasch 2011</v>
      </c>
      <c r="C3213" s="232" t="str">
        <f>IF(AND(A3213&lt;&gt;"",ISNUMBER(A3213)),VLOOKUP(A3213,Studies!A:BR,3,FALSE),"")</f>
        <v>https://www.ncbi.nlm.nih.gov/pubmed/21562488</v>
      </c>
      <c r="D3213" s="232" t="str">
        <f>IF(AND(A3213&lt;&gt;"",ISNUMBER(A3213)),VLOOKUP(A3213,Studies!A:BR,4,FALSE),"")</f>
        <v>po with Perpetrator (Rifampicin @ 75 mg)</v>
      </c>
      <c r="E3213" s="206" t="str">
        <f>IF(AND(A3213&lt;&gt;"",ISNUMBER(A3213)),VLOOKUP(A3213,Studies!A:BR,5,FALSE),"")</f>
        <v>Midazolam</v>
      </c>
      <c r="F3213" s="207" t="str">
        <f>IF(AND(A3213&lt;&gt;"",ISNUMBER(A3213)),VLOOKUP(A3213,Studies!A:BR,6,FALSE),"")</f>
        <v>Plasma</v>
      </c>
      <c r="G3213" s="194">
        <v>132.5</v>
      </c>
      <c r="H3213" s="194" t="s">
        <v>60</v>
      </c>
      <c r="I3213" s="187">
        <v>3.8996140000000001</v>
      </c>
      <c r="J3213" s="187" t="s">
        <v>1090</v>
      </c>
      <c r="K3213" s="187" t="s">
        <v>116</v>
      </c>
      <c r="L3213" s="195"/>
      <c r="M3213" s="195"/>
      <c r="N3213" s="195"/>
      <c r="O3213" s="199"/>
      <c r="P3213" s="188"/>
      <c r="Q3213" s="174">
        <f>IF(ISNUMBER(VLOOKUP(A3213,NotghiID!A:A,1,FALSE)),1,0)</f>
        <v>1</v>
      </c>
    </row>
    <row r="3214" spans="1:17" ht="14.25" x14ac:dyDescent="0.2">
      <c r="A3214" s="189">
        <v>307</v>
      </c>
      <c r="B3214" s="232" t="str">
        <f>IF(AND(A3214&lt;&gt;"",ISNUMBER(A3214)),VLOOKUP(A3214,Studies!A:BR,2,FALSE),"")</f>
        <v>Kharasch 2011</v>
      </c>
      <c r="C3214" s="232" t="str">
        <f>IF(AND(A3214&lt;&gt;"",ISNUMBER(A3214)),VLOOKUP(A3214,Studies!A:BR,3,FALSE),"")</f>
        <v>https://www.ncbi.nlm.nih.gov/pubmed/21562488</v>
      </c>
      <c r="D3214" s="232" t="str">
        <f>IF(AND(A3214&lt;&gt;"",ISNUMBER(A3214)),VLOOKUP(A3214,Studies!A:BR,4,FALSE),"")</f>
        <v>po with Perpetrator (Rifampicin @ 75 mg)</v>
      </c>
      <c r="E3214" s="206" t="str">
        <f>IF(AND(A3214&lt;&gt;"",ISNUMBER(A3214)),VLOOKUP(A3214,Studies!A:BR,5,FALSE),"")</f>
        <v>Midazolam</v>
      </c>
      <c r="F3214" s="207" t="str">
        <f>IF(AND(A3214&lt;&gt;"",ISNUMBER(A3214)),VLOOKUP(A3214,Studies!A:BR,6,FALSE),"")</f>
        <v>Plasma</v>
      </c>
      <c r="G3214" s="194">
        <v>132.75</v>
      </c>
      <c r="H3214" s="194" t="s">
        <v>60</v>
      </c>
      <c r="I3214" s="187">
        <v>3.166023</v>
      </c>
      <c r="J3214" s="187" t="s">
        <v>1090</v>
      </c>
      <c r="K3214" s="187" t="s">
        <v>116</v>
      </c>
      <c r="L3214" s="195"/>
      <c r="M3214" s="195"/>
      <c r="N3214" s="195"/>
      <c r="O3214" s="199"/>
      <c r="P3214" s="188"/>
      <c r="Q3214" s="174">
        <f>IF(ISNUMBER(VLOOKUP(A3214,NotghiID!A:A,1,FALSE)),1,0)</f>
        <v>1</v>
      </c>
    </row>
    <row r="3215" spans="1:17" ht="14.25" x14ac:dyDescent="0.2">
      <c r="A3215" s="189">
        <v>307</v>
      </c>
      <c r="B3215" s="232" t="str">
        <f>IF(AND(A3215&lt;&gt;"",ISNUMBER(A3215)),VLOOKUP(A3215,Studies!A:BR,2,FALSE),"")</f>
        <v>Kharasch 2011</v>
      </c>
      <c r="C3215" s="232" t="str">
        <f>IF(AND(A3215&lt;&gt;"",ISNUMBER(A3215)),VLOOKUP(A3215,Studies!A:BR,3,FALSE),"")</f>
        <v>https://www.ncbi.nlm.nih.gov/pubmed/21562488</v>
      </c>
      <c r="D3215" s="232" t="str">
        <f>IF(AND(A3215&lt;&gt;"",ISNUMBER(A3215)),VLOOKUP(A3215,Studies!A:BR,4,FALSE),"")</f>
        <v>po with Perpetrator (Rifampicin @ 75 mg)</v>
      </c>
      <c r="E3215" s="206" t="str">
        <f>IF(AND(A3215&lt;&gt;"",ISNUMBER(A3215)),VLOOKUP(A3215,Studies!A:BR,5,FALSE),"")</f>
        <v>Midazolam</v>
      </c>
      <c r="F3215" s="207" t="str">
        <f>IF(AND(A3215&lt;&gt;"",ISNUMBER(A3215)),VLOOKUP(A3215,Studies!A:BR,6,FALSE),"")</f>
        <v>Plasma</v>
      </c>
      <c r="G3215" s="194">
        <v>133.08000000000001</v>
      </c>
      <c r="H3215" s="194" t="s">
        <v>60</v>
      </c>
      <c r="I3215" s="187">
        <v>2.5868730000000002</v>
      </c>
      <c r="J3215" s="187" t="s">
        <v>1090</v>
      </c>
      <c r="K3215" s="187" t="s">
        <v>116</v>
      </c>
      <c r="L3215" s="195"/>
      <c r="M3215" s="195"/>
      <c r="N3215" s="195"/>
      <c r="O3215" s="199"/>
      <c r="P3215" s="188"/>
      <c r="Q3215" s="174">
        <f>IF(ISNUMBER(VLOOKUP(A3215,NotghiID!A:A,1,FALSE)),1,0)</f>
        <v>1</v>
      </c>
    </row>
    <row r="3216" spans="1:17" ht="14.25" x14ac:dyDescent="0.2">
      <c r="A3216" s="189">
        <v>307</v>
      </c>
      <c r="B3216" s="232" t="str">
        <f>IF(AND(A3216&lt;&gt;"",ISNUMBER(A3216)),VLOOKUP(A3216,Studies!A:BR,2,FALSE),"")</f>
        <v>Kharasch 2011</v>
      </c>
      <c r="C3216" s="232" t="str">
        <f>IF(AND(A3216&lt;&gt;"",ISNUMBER(A3216)),VLOOKUP(A3216,Studies!A:BR,3,FALSE),"")</f>
        <v>https://www.ncbi.nlm.nih.gov/pubmed/21562488</v>
      </c>
      <c r="D3216" s="232" t="str">
        <f>IF(AND(A3216&lt;&gt;"",ISNUMBER(A3216)),VLOOKUP(A3216,Studies!A:BR,4,FALSE),"")</f>
        <v>po with Perpetrator (Rifampicin @ 75 mg)</v>
      </c>
      <c r="E3216" s="206" t="str">
        <f>IF(AND(A3216&lt;&gt;"",ISNUMBER(A3216)),VLOOKUP(A3216,Studies!A:BR,5,FALSE),"")</f>
        <v>Midazolam</v>
      </c>
      <c r="F3216" s="207" t="str">
        <f>IF(AND(A3216&lt;&gt;"",ISNUMBER(A3216)),VLOOKUP(A3216,Studies!A:BR,6,FALSE),"")</f>
        <v>Plasma</v>
      </c>
      <c r="G3216" s="194">
        <v>133.16999999999999</v>
      </c>
      <c r="H3216" s="194" t="s">
        <v>60</v>
      </c>
      <c r="I3216" s="187">
        <v>2.5482629999999999</v>
      </c>
      <c r="J3216" s="187" t="s">
        <v>1090</v>
      </c>
      <c r="K3216" s="187" t="s">
        <v>116</v>
      </c>
      <c r="L3216" s="195"/>
      <c r="M3216" s="195"/>
      <c r="N3216" s="195"/>
      <c r="O3216" s="199"/>
      <c r="P3216" s="188"/>
      <c r="Q3216" s="174">
        <f>IF(ISNUMBER(VLOOKUP(A3216,NotghiID!A:A,1,FALSE)),1,0)</f>
        <v>1</v>
      </c>
    </row>
    <row r="3217" spans="1:17" ht="14.25" x14ac:dyDescent="0.2">
      <c r="A3217" s="189">
        <v>307</v>
      </c>
      <c r="B3217" s="232" t="str">
        <f>IF(AND(A3217&lt;&gt;"",ISNUMBER(A3217)),VLOOKUP(A3217,Studies!A:BR,2,FALSE),"")</f>
        <v>Kharasch 2011</v>
      </c>
      <c r="C3217" s="232" t="str">
        <f>IF(AND(A3217&lt;&gt;"",ISNUMBER(A3217)),VLOOKUP(A3217,Studies!A:BR,3,FALSE),"")</f>
        <v>https://www.ncbi.nlm.nih.gov/pubmed/21562488</v>
      </c>
      <c r="D3217" s="232" t="str">
        <f>IF(AND(A3217&lt;&gt;"",ISNUMBER(A3217)),VLOOKUP(A3217,Studies!A:BR,4,FALSE),"")</f>
        <v>po with Perpetrator (Rifampicin @ 75 mg)</v>
      </c>
      <c r="E3217" s="206" t="str">
        <f>IF(AND(A3217&lt;&gt;"",ISNUMBER(A3217)),VLOOKUP(A3217,Studies!A:BR,5,FALSE),"")</f>
        <v>Midazolam</v>
      </c>
      <c r="F3217" s="207" t="str">
        <f>IF(AND(A3217&lt;&gt;"",ISNUMBER(A3217)),VLOOKUP(A3217,Studies!A:BR,6,FALSE),"")</f>
        <v>Plasma</v>
      </c>
      <c r="G3217" s="194">
        <v>133.25</v>
      </c>
      <c r="H3217" s="194" t="s">
        <v>60</v>
      </c>
      <c r="I3217" s="187">
        <v>2.2007720000000002</v>
      </c>
      <c r="J3217" s="187" t="s">
        <v>1090</v>
      </c>
      <c r="K3217" s="187" t="s">
        <v>116</v>
      </c>
      <c r="L3217" s="195"/>
      <c r="M3217" s="195"/>
      <c r="N3217" s="195"/>
      <c r="O3217" s="199"/>
      <c r="P3217" s="188"/>
      <c r="Q3217" s="174">
        <f>IF(ISNUMBER(VLOOKUP(A3217,NotghiID!A:A,1,FALSE)),1,0)</f>
        <v>1</v>
      </c>
    </row>
    <row r="3218" spans="1:17" ht="14.25" x14ac:dyDescent="0.2">
      <c r="A3218" s="189">
        <v>307</v>
      </c>
      <c r="B3218" s="232" t="str">
        <f>IF(AND(A3218&lt;&gt;"",ISNUMBER(A3218)),VLOOKUP(A3218,Studies!A:BR,2,FALSE),"")</f>
        <v>Kharasch 2011</v>
      </c>
      <c r="C3218" s="232" t="str">
        <f>IF(AND(A3218&lt;&gt;"",ISNUMBER(A3218)),VLOOKUP(A3218,Studies!A:BR,3,FALSE),"")</f>
        <v>https://www.ncbi.nlm.nih.gov/pubmed/21562488</v>
      </c>
      <c r="D3218" s="232" t="str">
        <f>IF(AND(A3218&lt;&gt;"",ISNUMBER(A3218)),VLOOKUP(A3218,Studies!A:BR,4,FALSE),"")</f>
        <v>po with Perpetrator (Rifampicin @ 75 mg)</v>
      </c>
      <c r="E3218" s="206" t="str">
        <f>IF(AND(A3218&lt;&gt;"",ISNUMBER(A3218)),VLOOKUP(A3218,Studies!A:BR,5,FALSE),"")</f>
        <v>Midazolam</v>
      </c>
      <c r="F3218" s="207" t="str">
        <f>IF(AND(A3218&lt;&gt;"",ISNUMBER(A3218)),VLOOKUP(A3218,Studies!A:BR,6,FALSE),"")</f>
        <v>Plasma</v>
      </c>
      <c r="G3218" s="194">
        <v>133.33000000000001</v>
      </c>
      <c r="H3218" s="194" t="s">
        <v>60</v>
      </c>
      <c r="I3218" s="187">
        <v>2.0077219999999998</v>
      </c>
      <c r="J3218" s="187" t="s">
        <v>1090</v>
      </c>
      <c r="K3218" s="187" t="s">
        <v>116</v>
      </c>
      <c r="L3218" s="195"/>
      <c r="M3218" s="195"/>
      <c r="N3218" s="195"/>
      <c r="O3218" s="199"/>
      <c r="P3218" s="188"/>
      <c r="Q3218" s="174">
        <f>IF(ISNUMBER(VLOOKUP(A3218,NotghiID!A:A,1,FALSE)),1,0)</f>
        <v>1</v>
      </c>
    </row>
    <row r="3219" spans="1:17" ht="14.25" x14ac:dyDescent="0.2">
      <c r="A3219" s="189">
        <v>307</v>
      </c>
      <c r="B3219" s="232" t="str">
        <f>IF(AND(A3219&lt;&gt;"",ISNUMBER(A3219)),VLOOKUP(A3219,Studies!A:BR,2,FALSE),"")</f>
        <v>Kharasch 2011</v>
      </c>
      <c r="C3219" s="232" t="str">
        <f>IF(AND(A3219&lt;&gt;"",ISNUMBER(A3219)),VLOOKUP(A3219,Studies!A:BR,3,FALSE),"")</f>
        <v>https://www.ncbi.nlm.nih.gov/pubmed/21562488</v>
      </c>
      <c r="D3219" s="232" t="str">
        <f>IF(AND(A3219&lt;&gt;"",ISNUMBER(A3219)),VLOOKUP(A3219,Studies!A:BR,4,FALSE),"")</f>
        <v>po with Perpetrator (Rifampicin @ 75 mg)</v>
      </c>
      <c r="E3219" s="206" t="str">
        <f>IF(AND(A3219&lt;&gt;"",ISNUMBER(A3219)),VLOOKUP(A3219,Studies!A:BR,5,FALSE),"")</f>
        <v>Midazolam</v>
      </c>
      <c r="F3219" s="207" t="str">
        <f>IF(AND(A3219&lt;&gt;"",ISNUMBER(A3219)),VLOOKUP(A3219,Studies!A:BR,6,FALSE),"")</f>
        <v>Plasma</v>
      </c>
      <c r="G3219" s="194">
        <v>133.5</v>
      </c>
      <c r="H3219" s="194" t="s">
        <v>60</v>
      </c>
      <c r="I3219" s="187">
        <v>1.776062</v>
      </c>
      <c r="J3219" s="187" t="s">
        <v>1090</v>
      </c>
      <c r="K3219" s="187" t="s">
        <v>116</v>
      </c>
      <c r="L3219" s="195"/>
      <c r="M3219" s="195"/>
      <c r="N3219" s="195"/>
      <c r="O3219" s="199"/>
      <c r="P3219" s="188"/>
      <c r="Q3219" s="174">
        <f>IF(ISNUMBER(VLOOKUP(A3219,NotghiID!A:A,1,FALSE)),1,0)</f>
        <v>1</v>
      </c>
    </row>
    <row r="3220" spans="1:17" ht="14.25" x14ac:dyDescent="0.2">
      <c r="A3220" s="189">
        <v>307</v>
      </c>
      <c r="B3220" s="232" t="str">
        <f>IF(AND(A3220&lt;&gt;"",ISNUMBER(A3220)),VLOOKUP(A3220,Studies!A:BR,2,FALSE),"")</f>
        <v>Kharasch 2011</v>
      </c>
      <c r="C3220" s="232" t="str">
        <f>IF(AND(A3220&lt;&gt;"",ISNUMBER(A3220)),VLOOKUP(A3220,Studies!A:BR,3,FALSE),"")</f>
        <v>https://www.ncbi.nlm.nih.gov/pubmed/21562488</v>
      </c>
      <c r="D3220" s="232" t="str">
        <f>IF(AND(A3220&lt;&gt;"",ISNUMBER(A3220)),VLOOKUP(A3220,Studies!A:BR,4,FALSE),"")</f>
        <v>po with Perpetrator (Rifampicin @ 75 mg)</v>
      </c>
      <c r="E3220" s="206" t="str">
        <f>IF(AND(A3220&lt;&gt;"",ISNUMBER(A3220)),VLOOKUP(A3220,Studies!A:BR,5,FALSE),"")</f>
        <v>Midazolam</v>
      </c>
      <c r="F3220" s="207" t="str">
        <f>IF(AND(A3220&lt;&gt;"",ISNUMBER(A3220)),VLOOKUP(A3220,Studies!A:BR,6,FALSE),"")</f>
        <v>Plasma</v>
      </c>
      <c r="G3220" s="194">
        <v>133.75</v>
      </c>
      <c r="H3220" s="194" t="s">
        <v>60</v>
      </c>
      <c r="I3220" s="187">
        <v>1.505792</v>
      </c>
      <c r="J3220" s="187" t="s">
        <v>1090</v>
      </c>
      <c r="K3220" s="187" t="s">
        <v>116</v>
      </c>
      <c r="L3220" s="195"/>
      <c r="M3220" s="195"/>
      <c r="N3220" s="195"/>
      <c r="O3220" s="199"/>
      <c r="P3220" s="188"/>
      <c r="Q3220" s="174">
        <f>IF(ISNUMBER(VLOOKUP(A3220,NotghiID!A:A,1,FALSE)),1,0)</f>
        <v>1</v>
      </c>
    </row>
    <row r="3221" spans="1:17" ht="14.25" x14ac:dyDescent="0.2">
      <c r="A3221" s="189">
        <v>307</v>
      </c>
      <c r="B3221" s="232" t="str">
        <f>IF(AND(A3221&lt;&gt;"",ISNUMBER(A3221)),VLOOKUP(A3221,Studies!A:BR,2,FALSE),"")</f>
        <v>Kharasch 2011</v>
      </c>
      <c r="C3221" s="232" t="str">
        <f>IF(AND(A3221&lt;&gt;"",ISNUMBER(A3221)),VLOOKUP(A3221,Studies!A:BR,3,FALSE),"")</f>
        <v>https://www.ncbi.nlm.nih.gov/pubmed/21562488</v>
      </c>
      <c r="D3221" s="232" t="str">
        <f>IF(AND(A3221&lt;&gt;"",ISNUMBER(A3221)),VLOOKUP(A3221,Studies!A:BR,4,FALSE),"")</f>
        <v>po with Perpetrator (Rifampicin @ 75 mg)</v>
      </c>
      <c r="E3221" s="206" t="str">
        <f>IF(AND(A3221&lt;&gt;"",ISNUMBER(A3221)),VLOOKUP(A3221,Studies!A:BR,5,FALSE),"")</f>
        <v>Midazolam</v>
      </c>
      <c r="F3221" s="207" t="str">
        <f>IF(AND(A3221&lt;&gt;"",ISNUMBER(A3221)),VLOOKUP(A3221,Studies!A:BR,6,FALSE),"")</f>
        <v>Plasma</v>
      </c>
      <c r="G3221" s="194">
        <v>134</v>
      </c>
      <c r="H3221" s="194" t="s">
        <v>60</v>
      </c>
      <c r="I3221" s="187">
        <v>1.2741309999999999</v>
      </c>
      <c r="J3221" s="187" t="s">
        <v>1090</v>
      </c>
      <c r="K3221" s="187" t="s">
        <v>116</v>
      </c>
      <c r="L3221" s="195"/>
      <c r="M3221" s="195"/>
      <c r="N3221" s="195"/>
      <c r="O3221" s="199"/>
      <c r="P3221" s="188"/>
      <c r="Q3221" s="174">
        <f>IF(ISNUMBER(VLOOKUP(A3221,NotghiID!A:A,1,FALSE)),1,0)</f>
        <v>1</v>
      </c>
    </row>
    <row r="3222" spans="1:17" ht="14.25" x14ac:dyDescent="0.2">
      <c r="A3222" s="189">
        <v>307</v>
      </c>
      <c r="B3222" s="232" t="str">
        <f>IF(AND(A3222&lt;&gt;"",ISNUMBER(A3222)),VLOOKUP(A3222,Studies!A:BR,2,FALSE),"")</f>
        <v>Kharasch 2011</v>
      </c>
      <c r="C3222" s="232" t="str">
        <f>IF(AND(A3222&lt;&gt;"",ISNUMBER(A3222)),VLOOKUP(A3222,Studies!A:BR,3,FALSE),"")</f>
        <v>https://www.ncbi.nlm.nih.gov/pubmed/21562488</v>
      </c>
      <c r="D3222" s="232" t="str">
        <f>IF(AND(A3222&lt;&gt;"",ISNUMBER(A3222)),VLOOKUP(A3222,Studies!A:BR,4,FALSE),"")</f>
        <v>po with Perpetrator (Rifampicin @ 75 mg)</v>
      </c>
      <c r="E3222" s="206" t="str">
        <f>IF(AND(A3222&lt;&gt;"",ISNUMBER(A3222)),VLOOKUP(A3222,Studies!A:BR,5,FALSE),"")</f>
        <v>Midazolam</v>
      </c>
      <c r="F3222" s="207" t="str">
        <f>IF(AND(A3222&lt;&gt;"",ISNUMBER(A3222)),VLOOKUP(A3222,Studies!A:BR,6,FALSE),"")</f>
        <v>Plasma</v>
      </c>
      <c r="G3222" s="194">
        <v>134.25</v>
      </c>
      <c r="H3222" s="194" t="s">
        <v>60</v>
      </c>
      <c r="I3222" s="187">
        <v>1.2355210000000001</v>
      </c>
      <c r="J3222" s="187" t="s">
        <v>1090</v>
      </c>
      <c r="K3222" s="187" t="s">
        <v>116</v>
      </c>
      <c r="L3222" s="195"/>
      <c r="M3222" s="195"/>
      <c r="N3222" s="195"/>
      <c r="O3222" s="199"/>
      <c r="P3222" s="188"/>
      <c r="Q3222" s="174">
        <f>IF(ISNUMBER(VLOOKUP(A3222,NotghiID!A:A,1,FALSE)),1,0)</f>
        <v>1</v>
      </c>
    </row>
    <row r="3223" spans="1:17" ht="14.25" x14ac:dyDescent="0.2">
      <c r="A3223" s="189">
        <v>307</v>
      </c>
      <c r="B3223" s="232" t="str">
        <f>IF(AND(A3223&lt;&gt;"",ISNUMBER(A3223)),VLOOKUP(A3223,Studies!A:BR,2,FALSE),"")</f>
        <v>Kharasch 2011</v>
      </c>
      <c r="C3223" s="232" t="str">
        <f>IF(AND(A3223&lt;&gt;"",ISNUMBER(A3223)),VLOOKUP(A3223,Studies!A:BR,3,FALSE),"")</f>
        <v>https://www.ncbi.nlm.nih.gov/pubmed/21562488</v>
      </c>
      <c r="D3223" s="232" t="str">
        <f>IF(AND(A3223&lt;&gt;"",ISNUMBER(A3223)),VLOOKUP(A3223,Studies!A:BR,4,FALSE),"")</f>
        <v>po with Perpetrator (Rifampicin @ 75 mg)</v>
      </c>
      <c r="E3223" s="206" t="str">
        <f>IF(AND(A3223&lt;&gt;"",ISNUMBER(A3223)),VLOOKUP(A3223,Studies!A:BR,5,FALSE),"")</f>
        <v>Midazolam</v>
      </c>
      <c r="F3223" s="207" t="str">
        <f>IF(AND(A3223&lt;&gt;"",ISNUMBER(A3223)),VLOOKUP(A3223,Studies!A:BR,6,FALSE),"")</f>
        <v>Plasma</v>
      </c>
      <c r="G3223" s="194">
        <v>134.5</v>
      </c>
      <c r="H3223" s="194" t="s">
        <v>60</v>
      </c>
      <c r="I3223" s="187">
        <v>1.0424709999999999</v>
      </c>
      <c r="J3223" s="187" t="s">
        <v>1090</v>
      </c>
      <c r="K3223" s="187" t="s">
        <v>116</v>
      </c>
      <c r="L3223" s="195"/>
      <c r="M3223" s="195"/>
      <c r="N3223" s="195"/>
      <c r="O3223" s="199"/>
      <c r="P3223" s="188"/>
      <c r="Q3223" s="174">
        <f>IF(ISNUMBER(VLOOKUP(A3223,NotghiID!A:A,1,FALSE)),1,0)</f>
        <v>1</v>
      </c>
    </row>
    <row r="3224" spans="1:17" ht="14.25" x14ac:dyDescent="0.2">
      <c r="A3224" s="189">
        <v>307</v>
      </c>
      <c r="B3224" s="232" t="str">
        <f>IF(AND(A3224&lt;&gt;"",ISNUMBER(A3224)),VLOOKUP(A3224,Studies!A:BR,2,FALSE),"")</f>
        <v>Kharasch 2011</v>
      </c>
      <c r="C3224" s="232" t="str">
        <f>IF(AND(A3224&lt;&gt;"",ISNUMBER(A3224)),VLOOKUP(A3224,Studies!A:BR,3,FALSE),"")</f>
        <v>https://www.ncbi.nlm.nih.gov/pubmed/21562488</v>
      </c>
      <c r="D3224" s="232" t="str">
        <f>IF(AND(A3224&lt;&gt;"",ISNUMBER(A3224)),VLOOKUP(A3224,Studies!A:BR,4,FALSE),"")</f>
        <v>po with Perpetrator (Rifampicin @ 75 mg)</v>
      </c>
      <c r="E3224" s="206" t="str">
        <f>IF(AND(A3224&lt;&gt;"",ISNUMBER(A3224)),VLOOKUP(A3224,Studies!A:BR,5,FALSE),"")</f>
        <v>Midazolam</v>
      </c>
      <c r="F3224" s="207" t="str">
        <f>IF(AND(A3224&lt;&gt;"",ISNUMBER(A3224)),VLOOKUP(A3224,Studies!A:BR,6,FALSE),"")</f>
        <v>Plasma</v>
      </c>
      <c r="G3224" s="194">
        <v>134.75</v>
      </c>
      <c r="H3224" s="194" t="s">
        <v>60</v>
      </c>
      <c r="I3224" s="187">
        <v>1.0424709999999999</v>
      </c>
      <c r="J3224" s="187" t="s">
        <v>1090</v>
      </c>
      <c r="K3224" s="187" t="s">
        <v>116</v>
      </c>
      <c r="L3224" s="195"/>
      <c r="M3224" s="195"/>
      <c r="N3224" s="195"/>
      <c r="O3224" s="199"/>
      <c r="P3224" s="188"/>
      <c r="Q3224" s="174">
        <f>IF(ISNUMBER(VLOOKUP(A3224,NotghiID!A:A,1,FALSE)),1,0)</f>
        <v>1</v>
      </c>
    </row>
    <row r="3225" spans="1:17" ht="14.25" x14ac:dyDescent="0.2">
      <c r="A3225" s="189">
        <v>307</v>
      </c>
      <c r="B3225" s="232" t="str">
        <f>IF(AND(A3225&lt;&gt;"",ISNUMBER(A3225)),VLOOKUP(A3225,Studies!A:BR,2,FALSE),"")</f>
        <v>Kharasch 2011</v>
      </c>
      <c r="C3225" s="232" t="str">
        <f>IF(AND(A3225&lt;&gt;"",ISNUMBER(A3225)),VLOOKUP(A3225,Studies!A:BR,3,FALSE),"")</f>
        <v>https://www.ncbi.nlm.nih.gov/pubmed/21562488</v>
      </c>
      <c r="D3225" s="232" t="str">
        <f>IF(AND(A3225&lt;&gt;"",ISNUMBER(A3225)),VLOOKUP(A3225,Studies!A:BR,4,FALSE),"")</f>
        <v>po with Perpetrator (Rifampicin @ 75 mg)</v>
      </c>
      <c r="E3225" s="206" t="str">
        <f>IF(AND(A3225&lt;&gt;"",ISNUMBER(A3225)),VLOOKUP(A3225,Studies!A:BR,5,FALSE),"")</f>
        <v>Midazolam</v>
      </c>
      <c r="F3225" s="207" t="str">
        <f>IF(AND(A3225&lt;&gt;"",ISNUMBER(A3225)),VLOOKUP(A3225,Studies!A:BR,6,FALSE),"")</f>
        <v>Plasma</v>
      </c>
      <c r="G3225" s="194">
        <v>135</v>
      </c>
      <c r="H3225" s="194" t="s">
        <v>60</v>
      </c>
      <c r="I3225" s="187">
        <v>0.88803089999999996</v>
      </c>
      <c r="J3225" s="187" t="s">
        <v>1090</v>
      </c>
      <c r="K3225" s="187" t="s">
        <v>116</v>
      </c>
      <c r="L3225" s="195"/>
      <c r="M3225" s="195"/>
      <c r="N3225" s="195"/>
      <c r="O3225" s="199"/>
      <c r="P3225" s="188"/>
      <c r="Q3225" s="174">
        <f>IF(ISNUMBER(VLOOKUP(A3225,NotghiID!A:A,1,FALSE)),1,0)</f>
        <v>1</v>
      </c>
    </row>
    <row r="3226" spans="1:17" ht="14.25" x14ac:dyDescent="0.2">
      <c r="A3226" s="189">
        <v>307</v>
      </c>
      <c r="B3226" s="232" t="str">
        <f>IF(AND(A3226&lt;&gt;"",ISNUMBER(A3226)),VLOOKUP(A3226,Studies!A:BR,2,FALSE),"")</f>
        <v>Kharasch 2011</v>
      </c>
      <c r="C3226" s="232" t="str">
        <f>IF(AND(A3226&lt;&gt;"",ISNUMBER(A3226)),VLOOKUP(A3226,Studies!A:BR,3,FALSE),"")</f>
        <v>https://www.ncbi.nlm.nih.gov/pubmed/21562488</v>
      </c>
      <c r="D3226" s="232" t="str">
        <f>IF(AND(A3226&lt;&gt;"",ISNUMBER(A3226)),VLOOKUP(A3226,Studies!A:BR,4,FALSE),"")</f>
        <v>po with Perpetrator (Rifampicin @ 75 mg)</v>
      </c>
      <c r="E3226" s="206" t="str">
        <f>IF(AND(A3226&lt;&gt;"",ISNUMBER(A3226)),VLOOKUP(A3226,Studies!A:BR,5,FALSE),"")</f>
        <v>Midazolam</v>
      </c>
      <c r="F3226" s="207" t="str">
        <f>IF(AND(A3226&lt;&gt;"",ISNUMBER(A3226)),VLOOKUP(A3226,Studies!A:BR,6,FALSE),"")</f>
        <v>Plasma</v>
      </c>
      <c r="G3226" s="194">
        <v>135.5</v>
      </c>
      <c r="H3226" s="194" t="s">
        <v>60</v>
      </c>
      <c r="I3226" s="187">
        <v>0.65637060000000003</v>
      </c>
      <c r="J3226" s="187" t="s">
        <v>1090</v>
      </c>
      <c r="K3226" s="187" t="s">
        <v>116</v>
      </c>
      <c r="L3226" s="195"/>
      <c r="M3226" s="195"/>
      <c r="N3226" s="195"/>
      <c r="O3226" s="199"/>
      <c r="P3226" s="188"/>
      <c r="Q3226" s="174">
        <f>IF(ISNUMBER(VLOOKUP(A3226,NotghiID!A:A,1,FALSE)),1,0)</f>
        <v>1</v>
      </c>
    </row>
    <row r="3227" spans="1:17" ht="14.25" x14ac:dyDescent="0.2">
      <c r="A3227" s="189">
        <v>307</v>
      </c>
      <c r="B3227" s="232" t="str">
        <f>IF(AND(A3227&lt;&gt;"",ISNUMBER(A3227)),VLOOKUP(A3227,Studies!A:BR,2,FALSE),"")</f>
        <v>Kharasch 2011</v>
      </c>
      <c r="C3227" s="232" t="str">
        <f>IF(AND(A3227&lt;&gt;"",ISNUMBER(A3227)),VLOOKUP(A3227,Studies!A:BR,3,FALSE),"")</f>
        <v>https://www.ncbi.nlm.nih.gov/pubmed/21562488</v>
      </c>
      <c r="D3227" s="232" t="str">
        <f>IF(AND(A3227&lt;&gt;"",ISNUMBER(A3227)),VLOOKUP(A3227,Studies!A:BR,4,FALSE),"")</f>
        <v>po with Perpetrator (Rifampicin @ 75 mg)</v>
      </c>
      <c r="E3227" s="206" t="str">
        <f>IF(AND(A3227&lt;&gt;"",ISNUMBER(A3227)),VLOOKUP(A3227,Studies!A:BR,5,FALSE),"")</f>
        <v>Midazolam</v>
      </c>
      <c r="F3227" s="207" t="str">
        <f>IF(AND(A3227&lt;&gt;"",ISNUMBER(A3227)),VLOOKUP(A3227,Studies!A:BR,6,FALSE),"")</f>
        <v>Plasma</v>
      </c>
      <c r="G3227" s="194">
        <v>136</v>
      </c>
      <c r="H3227" s="194" t="s">
        <v>60</v>
      </c>
      <c r="I3227" s="187">
        <v>0.61776059999999999</v>
      </c>
      <c r="J3227" s="187" t="s">
        <v>1090</v>
      </c>
      <c r="K3227" s="187" t="s">
        <v>116</v>
      </c>
      <c r="L3227" s="195"/>
      <c r="M3227" s="195"/>
      <c r="N3227" s="195"/>
      <c r="O3227" s="199"/>
      <c r="P3227" s="188"/>
      <c r="Q3227" s="174">
        <f>IF(ISNUMBER(VLOOKUP(A3227,NotghiID!A:A,1,FALSE)),1,0)</f>
        <v>1</v>
      </c>
    </row>
    <row r="3228" spans="1:17" ht="14.25" x14ac:dyDescent="0.2">
      <c r="A3228" s="189">
        <v>307</v>
      </c>
      <c r="B3228" s="232" t="str">
        <f>IF(AND(A3228&lt;&gt;"",ISNUMBER(A3228)),VLOOKUP(A3228,Studies!A:BR,2,FALSE),"")</f>
        <v>Kharasch 2011</v>
      </c>
      <c r="C3228" s="232" t="str">
        <f>IF(AND(A3228&lt;&gt;"",ISNUMBER(A3228)),VLOOKUP(A3228,Studies!A:BR,3,FALSE),"")</f>
        <v>https://www.ncbi.nlm.nih.gov/pubmed/21562488</v>
      </c>
      <c r="D3228" s="232" t="str">
        <f>IF(AND(A3228&lt;&gt;"",ISNUMBER(A3228)),VLOOKUP(A3228,Studies!A:BR,4,FALSE),"")</f>
        <v>po with Perpetrator (Rifampicin @ 75 mg)</v>
      </c>
      <c r="E3228" s="206" t="str">
        <f>IF(AND(A3228&lt;&gt;"",ISNUMBER(A3228)),VLOOKUP(A3228,Studies!A:BR,5,FALSE),"")</f>
        <v>Midazolam</v>
      </c>
      <c r="F3228" s="207" t="str">
        <f>IF(AND(A3228&lt;&gt;"",ISNUMBER(A3228)),VLOOKUP(A3228,Studies!A:BR,6,FALSE),"")</f>
        <v>Plasma</v>
      </c>
      <c r="G3228" s="194">
        <v>137</v>
      </c>
      <c r="H3228" s="194" t="s">
        <v>60</v>
      </c>
      <c r="I3228" s="187">
        <v>0.34749029999999997</v>
      </c>
      <c r="J3228" s="187" t="s">
        <v>1090</v>
      </c>
      <c r="K3228" s="187" t="s">
        <v>116</v>
      </c>
      <c r="L3228" s="195"/>
      <c r="M3228" s="195"/>
      <c r="N3228" s="195"/>
      <c r="O3228" s="199"/>
      <c r="P3228" s="188"/>
      <c r="Q3228" s="174">
        <f>IF(ISNUMBER(VLOOKUP(A3228,NotghiID!A:A,1,FALSE)),1,0)</f>
        <v>1</v>
      </c>
    </row>
    <row r="3229" spans="1:17" ht="14.25" x14ac:dyDescent="0.2">
      <c r="A3229" s="189">
        <v>307</v>
      </c>
      <c r="B3229" s="232" t="str">
        <f>IF(AND(A3229&lt;&gt;"",ISNUMBER(A3229)),VLOOKUP(A3229,Studies!A:BR,2,FALSE),"")</f>
        <v>Kharasch 2011</v>
      </c>
      <c r="C3229" s="232" t="str">
        <f>IF(AND(A3229&lt;&gt;"",ISNUMBER(A3229)),VLOOKUP(A3229,Studies!A:BR,3,FALSE),"")</f>
        <v>https://www.ncbi.nlm.nih.gov/pubmed/21562488</v>
      </c>
      <c r="D3229" s="232" t="str">
        <f>IF(AND(A3229&lt;&gt;"",ISNUMBER(A3229)),VLOOKUP(A3229,Studies!A:BR,4,FALSE),"")</f>
        <v>po with Perpetrator (Rifampicin @ 75 mg)</v>
      </c>
      <c r="E3229" s="206" t="str">
        <f>IF(AND(A3229&lt;&gt;"",ISNUMBER(A3229)),VLOOKUP(A3229,Studies!A:BR,5,FALSE),"")</f>
        <v>Midazolam</v>
      </c>
      <c r="F3229" s="207" t="str">
        <f>IF(AND(A3229&lt;&gt;"",ISNUMBER(A3229)),VLOOKUP(A3229,Studies!A:BR,6,FALSE),"")</f>
        <v>Plasma</v>
      </c>
      <c r="G3229" s="194">
        <v>138</v>
      </c>
      <c r="H3229" s="194" t="s">
        <v>60</v>
      </c>
      <c r="I3229" s="187">
        <v>0.23166020000000001</v>
      </c>
      <c r="J3229" s="187" t="s">
        <v>1090</v>
      </c>
      <c r="K3229" s="187" t="s">
        <v>116</v>
      </c>
      <c r="L3229" s="195"/>
      <c r="M3229" s="195"/>
      <c r="N3229" s="195"/>
      <c r="O3229" s="199"/>
      <c r="P3229" s="188"/>
      <c r="Q3229" s="174">
        <f>IF(ISNUMBER(VLOOKUP(A3229,NotghiID!A:A,1,FALSE)),1,0)</f>
        <v>1</v>
      </c>
    </row>
    <row r="3230" spans="1:17" ht="14.25" x14ac:dyDescent="0.2">
      <c r="A3230" s="189">
        <v>308</v>
      </c>
      <c r="B3230" s="232" t="str">
        <f>IF(AND(A3230&lt;&gt;"",ISNUMBER(A3230)),VLOOKUP(A3230,Studies!A:BR,2,FALSE),"")</f>
        <v>Kharasch 2011</v>
      </c>
      <c r="C3230" s="232" t="str">
        <f>IF(AND(A3230&lt;&gt;"",ISNUMBER(A3230)),VLOOKUP(A3230,Studies!A:BR,3,FALSE),"")</f>
        <v>https://www.ncbi.nlm.nih.gov/pubmed/21562488</v>
      </c>
      <c r="D3230" s="232" t="str">
        <f>IF(AND(A3230&lt;&gt;"",ISNUMBER(A3230)),VLOOKUP(A3230,Studies!A:BR,4,FALSE),"")</f>
        <v>po Control (Perpetrator Placebo)</v>
      </c>
      <c r="E3230" s="206" t="str">
        <f>IF(AND(A3230&lt;&gt;"",ISNUMBER(A3230)),VLOOKUP(A3230,Studies!A:BR,5,FALSE),"")</f>
        <v>Alfentanil</v>
      </c>
      <c r="F3230" s="207" t="str">
        <f>IF(AND(A3230&lt;&gt;"",ISNUMBER(A3230)),VLOOKUP(A3230,Studies!A:BR,6,FALSE),"")</f>
        <v>Plasma</v>
      </c>
      <c r="G3230" s="194">
        <v>0</v>
      </c>
      <c r="H3230" s="194" t="s">
        <v>60</v>
      </c>
      <c r="I3230" s="187">
        <v>0.1160542</v>
      </c>
      <c r="J3230" s="187" t="s">
        <v>1090</v>
      </c>
      <c r="K3230" s="187" t="s">
        <v>116</v>
      </c>
      <c r="L3230" s="195">
        <v>0.1160542</v>
      </c>
      <c r="M3230" s="195" t="s">
        <v>1090</v>
      </c>
      <c r="N3230" s="195" t="s">
        <v>117</v>
      </c>
      <c r="O3230" s="199"/>
      <c r="P3230" s="188"/>
      <c r="Q3230" s="174">
        <f>IF(ISNUMBER(VLOOKUP(A3230,NotghiID!A:A,1,FALSE)),1,0)</f>
        <v>1</v>
      </c>
    </row>
    <row r="3231" spans="1:17" ht="14.25" x14ac:dyDescent="0.2">
      <c r="A3231" s="189">
        <v>308</v>
      </c>
      <c r="B3231" s="232" t="str">
        <f>IF(AND(A3231&lt;&gt;"",ISNUMBER(A3231)),VLOOKUP(A3231,Studies!A:BR,2,FALSE),"")</f>
        <v>Kharasch 2011</v>
      </c>
      <c r="C3231" s="232" t="str">
        <f>IF(AND(A3231&lt;&gt;"",ISNUMBER(A3231)),VLOOKUP(A3231,Studies!A:BR,3,FALSE),"")</f>
        <v>https://www.ncbi.nlm.nih.gov/pubmed/21562488</v>
      </c>
      <c r="D3231" s="232" t="str">
        <f>IF(AND(A3231&lt;&gt;"",ISNUMBER(A3231)),VLOOKUP(A3231,Studies!A:BR,4,FALSE),"")</f>
        <v>po Control (Perpetrator Placebo)</v>
      </c>
      <c r="E3231" s="206" t="str">
        <f>IF(AND(A3231&lt;&gt;"",ISNUMBER(A3231)),VLOOKUP(A3231,Studies!A:BR,5,FALSE),"")</f>
        <v>Alfentanil</v>
      </c>
      <c r="F3231" s="207" t="str">
        <f>IF(AND(A3231&lt;&gt;"",ISNUMBER(A3231)),VLOOKUP(A3231,Studies!A:BR,6,FALSE),"")</f>
        <v>Plasma</v>
      </c>
      <c r="G3231" s="194">
        <v>0.08</v>
      </c>
      <c r="H3231" s="194" t="s">
        <v>60</v>
      </c>
      <c r="I3231" s="187">
        <v>3.8297870000000001</v>
      </c>
      <c r="J3231" s="187" t="s">
        <v>1090</v>
      </c>
      <c r="K3231" s="187" t="s">
        <v>116</v>
      </c>
      <c r="L3231" s="195">
        <v>6.1508700000000003</v>
      </c>
      <c r="M3231" s="195" t="s">
        <v>1090</v>
      </c>
      <c r="N3231" s="195" t="s">
        <v>117</v>
      </c>
      <c r="O3231" s="199"/>
      <c r="P3231" s="188"/>
      <c r="Q3231" s="174">
        <f>IF(ISNUMBER(VLOOKUP(A3231,NotghiID!A:A,1,FALSE)),1,0)</f>
        <v>1</v>
      </c>
    </row>
    <row r="3232" spans="1:17" ht="14.25" x14ac:dyDescent="0.2">
      <c r="A3232" s="189">
        <v>308</v>
      </c>
      <c r="B3232" s="232" t="str">
        <f>IF(AND(A3232&lt;&gt;"",ISNUMBER(A3232)),VLOOKUP(A3232,Studies!A:BR,2,FALSE),"")</f>
        <v>Kharasch 2011</v>
      </c>
      <c r="C3232" s="232" t="str">
        <f>IF(AND(A3232&lt;&gt;"",ISNUMBER(A3232)),VLOOKUP(A3232,Studies!A:BR,3,FALSE),"")</f>
        <v>https://www.ncbi.nlm.nih.gov/pubmed/21562488</v>
      </c>
      <c r="D3232" s="232" t="str">
        <f>IF(AND(A3232&lt;&gt;"",ISNUMBER(A3232)),VLOOKUP(A3232,Studies!A:BR,4,FALSE),"")</f>
        <v>po Control (Perpetrator Placebo)</v>
      </c>
      <c r="E3232" s="206" t="str">
        <f>IF(AND(A3232&lt;&gt;"",ISNUMBER(A3232)),VLOOKUP(A3232,Studies!A:BR,5,FALSE),"")</f>
        <v>Alfentanil</v>
      </c>
      <c r="F3232" s="207" t="str">
        <f>IF(AND(A3232&lt;&gt;"",ISNUMBER(A3232)),VLOOKUP(A3232,Studies!A:BR,6,FALSE),"")</f>
        <v>Plasma</v>
      </c>
      <c r="G3232" s="194">
        <v>0.17</v>
      </c>
      <c r="H3232" s="194" t="s">
        <v>60</v>
      </c>
      <c r="I3232" s="187">
        <v>12.06963</v>
      </c>
      <c r="J3232" s="187" t="s">
        <v>1090</v>
      </c>
      <c r="K3232" s="187" t="s">
        <v>116</v>
      </c>
      <c r="L3232" s="195">
        <v>12.64991</v>
      </c>
      <c r="M3232" s="195" t="s">
        <v>1090</v>
      </c>
      <c r="N3232" s="195" t="s">
        <v>117</v>
      </c>
      <c r="O3232" s="199"/>
      <c r="P3232" s="188"/>
      <c r="Q3232" s="174">
        <f>IF(ISNUMBER(VLOOKUP(A3232,NotghiID!A:A,1,FALSE)),1,0)</f>
        <v>1</v>
      </c>
    </row>
    <row r="3233" spans="1:17" ht="14.25" x14ac:dyDescent="0.2">
      <c r="A3233" s="189">
        <v>308</v>
      </c>
      <c r="B3233" s="232" t="str">
        <f>IF(AND(A3233&lt;&gt;"",ISNUMBER(A3233)),VLOOKUP(A3233,Studies!A:BR,2,FALSE),"")</f>
        <v>Kharasch 2011</v>
      </c>
      <c r="C3233" s="232" t="str">
        <f>IF(AND(A3233&lt;&gt;"",ISNUMBER(A3233)),VLOOKUP(A3233,Studies!A:BR,3,FALSE),"")</f>
        <v>https://www.ncbi.nlm.nih.gov/pubmed/21562488</v>
      </c>
      <c r="D3233" s="232" t="str">
        <f>IF(AND(A3233&lt;&gt;"",ISNUMBER(A3233)),VLOOKUP(A3233,Studies!A:BR,4,FALSE),"")</f>
        <v>po Control (Perpetrator Placebo)</v>
      </c>
      <c r="E3233" s="206" t="str">
        <f>IF(AND(A3233&lt;&gt;"",ISNUMBER(A3233)),VLOOKUP(A3233,Studies!A:BR,5,FALSE),"")</f>
        <v>Alfentanil</v>
      </c>
      <c r="F3233" s="207" t="str">
        <f>IF(AND(A3233&lt;&gt;"",ISNUMBER(A3233)),VLOOKUP(A3233,Studies!A:BR,6,FALSE),"")</f>
        <v>Plasma</v>
      </c>
      <c r="G3233" s="194">
        <v>0.25</v>
      </c>
      <c r="H3233" s="194" t="s">
        <v>60</v>
      </c>
      <c r="I3233" s="187">
        <v>20.889749999999999</v>
      </c>
      <c r="J3233" s="187" t="s">
        <v>1090</v>
      </c>
      <c r="K3233" s="187" t="s">
        <v>116</v>
      </c>
      <c r="L3233" s="195">
        <v>16.595739999999999</v>
      </c>
      <c r="M3233" s="195" t="s">
        <v>1090</v>
      </c>
      <c r="N3233" s="195" t="s">
        <v>117</v>
      </c>
      <c r="O3233" s="199"/>
      <c r="P3233" s="188"/>
      <c r="Q3233" s="174">
        <f>IF(ISNUMBER(VLOOKUP(A3233,NotghiID!A:A,1,FALSE)),1,0)</f>
        <v>1</v>
      </c>
    </row>
    <row r="3234" spans="1:17" ht="14.25" x14ac:dyDescent="0.2">
      <c r="A3234" s="189">
        <v>308</v>
      </c>
      <c r="B3234" s="232" t="str">
        <f>IF(AND(A3234&lt;&gt;"",ISNUMBER(A3234)),VLOOKUP(A3234,Studies!A:BR,2,FALSE),"")</f>
        <v>Kharasch 2011</v>
      </c>
      <c r="C3234" s="232" t="str">
        <f>IF(AND(A3234&lt;&gt;"",ISNUMBER(A3234)),VLOOKUP(A3234,Studies!A:BR,3,FALSE),"")</f>
        <v>https://www.ncbi.nlm.nih.gov/pubmed/21562488</v>
      </c>
      <c r="D3234" s="232" t="str">
        <f>IF(AND(A3234&lt;&gt;"",ISNUMBER(A3234)),VLOOKUP(A3234,Studies!A:BR,4,FALSE),"")</f>
        <v>po Control (Perpetrator Placebo)</v>
      </c>
      <c r="E3234" s="206" t="str">
        <f>IF(AND(A3234&lt;&gt;"",ISNUMBER(A3234)),VLOOKUP(A3234,Studies!A:BR,5,FALSE),"")</f>
        <v>Alfentanil</v>
      </c>
      <c r="F3234" s="207" t="str">
        <f>IF(AND(A3234&lt;&gt;"",ISNUMBER(A3234)),VLOOKUP(A3234,Studies!A:BR,6,FALSE),"")</f>
        <v>Plasma</v>
      </c>
      <c r="G3234" s="194">
        <v>0.33</v>
      </c>
      <c r="H3234" s="194" t="s">
        <v>60</v>
      </c>
      <c r="I3234" s="187">
        <v>27.388780000000001</v>
      </c>
      <c r="J3234" s="187" t="s">
        <v>1090</v>
      </c>
      <c r="K3234" s="187" t="s">
        <v>116</v>
      </c>
      <c r="L3234" s="195">
        <v>19.4971</v>
      </c>
      <c r="M3234" s="195" t="s">
        <v>1090</v>
      </c>
      <c r="N3234" s="195" t="s">
        <v>117</v>
      </c>
      <c r="O3234" s="199"/>
      <c r="P3234" s="188"/>
      <c r="Q3234" s="174">
        <f>IF(ISNUMBER(VLOOKUP(A3234,NotghiID!A:A,1,FALSE)),1,0)</f>
        <v>1</v>
      </c>
    </row>
    <row r="3235" spans="1:17" ht="14.25" x14ac:dyDescent="0.2">
      <c r="A3235" s="189">
        <v>308</v>
      </c>
      <c r="B3235" s="232" t="str">
        <f>IF(AND(A3235&lt;&gt;"",ISNUMBER(A3235)),VLOOKUP(A3235,Studies!A:BR,2,FALSE),"")</f>
        <v>Kharasch 2011</v>
      </c>
      <c r="C3235" s="232" t="str">
        <f>IF(AND(A3235&lt;&gt;"",ISNUMBER(A3235)),VLOOKUP(A3235,Studies!A:BR,3,FALSE),"")</f>
        <v>https://www.ncbi.nlm.nih.gov/pubmed/21562488</v>
      </c>
      <c r="D3235" s="232" t="str">
        <f>IF(AND(A3235&lt;&gt;"",ISNUMBER(A3235)),VLOOKUP(A3235,Studies!A:BR,4,FALSE),"")</f>
        <v>po Control (Perpetrator Placebo)</v>
      </c>
      <c r="E3235" s="206" t="str">
        <f>IF(AND(A3235&lt;&gt;"",ISNUMBER(A3235)),VLOOKUP(A3235,Studies!A:BR,5,FALSE),"")</f>
        <v>Alfentanil</v>
      </c>
      <c r="F3235" s="207" t="str">
        <f>IF(AND(A3235&lt;&gt;"",ISNUMBER(A3235)),VLOOKUP(A3235,Studies!A:BR,6,FALSE),"")</f>
        <v>Plasma</v>
      </c>
      <c r="G3235" s="194">
        <v>0.5</v>
      </c>
      <c r="H3235" s="194" t="s">
        <v>60</v>
      </c>
      <c r="I3235" s="187">
        <v>34.235979999999998</v>
      </c>
      <c r="J3235" s="187" t="s">
        <v>1090</v>
      </c>
      <c r="K3235" s="187" t="s">
        <v>116</v>
      </c>
      <c r="L3235" s="195">
        <v>19.613150000000001</v>
      </c>
      <c r="M3235" s="195" t="s">
        <v>1090</v>
      </c>
      <c r="N3235" s="195" t="s">
        <v>117</v>
      </c>
      <c r="O3235" s="199"/>
      <c r="P3235" s="188"/>
      <c r="Q3235" s="174">
        <f>IF(ISNUMBER(VLOOKUP(A3235,NotghiID!A:A,1,FALSE)),1,0)</f>
        <v>1</v>
      </c>
    </row>
    <row r="3236" spans="1:17" ht="14.25" x14ac:dyDescent="0.2">
      <c r="A3236" s="189">
        <v>308</v>
      </c>
      <c r="B3236" s="232" t="str">
        <f>IF(AND(A3236&lt;&gt;"",ISNUMBER(A3236)),VLOOKUP(A3236,Studies!A:BR,2,FALSE),"")</f>
        <v>Kharasch 2011</v>
      </c>
      <c r="C3236" s="232" t="str">
        <f>IF(AND(A3236&lt;&gt;"",ISNUMBER(A3236)),VLOOKUP(A3236,Studies!A:BR,3,FALSE),"")</f>
        <v>https://www.ncbi.nlm.nih.gov/pubmed/21562488</v>
      </c>
      <c r="D3236" s="232" t="str">
        <f>IF(AND(A3236&lt;&gt;"",ISNUMBER(A3236)),VLOOKUP(A3236,Studies!A:BR,4,FALSE),"")</f>
        <v>po Control (Perpetrator Placebo)</v>
      </c>
      <c r="E3236" s="206" t="str">
        <f>IF(AND(A3236&lt;&gt;"",ISNUMBER(A3236)),VLOOKUP(A3236,Studies!A:BR,5,FALSE),"")</f>
        <v>Alfentanil</v>
      </c>
      <c r="F3236" s="207" t="str">
        <f>IF(AND(A3236&lt;&gt;"",ISNUMBER(A3236)),VLOOKUP(A3236,Studies!A:BR,6,FALSE),"")</f>
        <v>Plasma</v>
      </c>
      <c r="G3236" s="194">
        <v>0.75</v>
      </c>
      <c r="H3236" s="194" t="s">
        <v>60</v>
      </c>
      <c r="I3236" s="187">
        <v>37.833660000000002</v>
      </c>
      <c r="J3236" s="187" t="s">
        <v>1090</v>
      </c>
      <c r="K3236" s="187" t="s">
        <v>116</v>
      </c>
      <c r="L3236" s="195">
        <v>9.2843280000000004</v>
      </c>
      <c r="M3236" s="195" t="s">
        <v>1090</v>
      </c>
      <c r="N3236" s="195" t="s">
        <v>117</v>
      </c>
      <c r="O3236" s="199"/>
      <c r="P3236" s="188"/>
      <c r="Q3236" s="174">
        <f>IF(ISNUMBER(VLOOKUP(A3236,NotghiID!A:A,1,FALSE)),1,0)</f>
        <v>1</v>
      </c>
    </row>
    <row r="3237" spans="1:17" ht="14.25" x14ac:dyDescent="0.2">
      <c r="A3237" s="189">
        <v>308</v>
      </c>
      <c r="B3237" s="232" t="str">
        <f>IF(AND(A3237&lt;&gt;"",ISNUMBER(A3237)),VLOOKUP(A3237,Studies!A:BR,2,FALSE),"")</f>
        <v>Kharasch 2011</v>
      </c>
      <c r="C3237" s="232" t="str">
        <f>IF(AND(A3237&lt;&gt;"",ISNUMBER(A3237)),VLOOKUP(A3237,Studies!A:BR,3,FALSE),"")</f>
        <v>https://www.ncbi.nlm.nih.gov/pubmed/21562488</v>
      </c>
      <c r="D3237" s="232" t="str">
        <f>IF(AND(A3237&lt;&gt;"",ISNUMBER(A3237)),VLOOKUP(A3237,Studies!A:BR,4,FALSE),"")</f>
        <v>po Control (Perpetrator Placebo)</v>
      </c>
      <c r="E3237" s="206" t="str">
        <f>IF(AND(A3237&lt;&gt;"",ISNUMBER(A3237)),VLOOKUP(A3237,Studies!A:BR,5,FALSE),"")</f>
        <v>Alfentanil</v>
      </c>
      <c r="F3237" s="207" t="str">
        <f>IF(AND(A3237&lt;&gt;"",ISNUMBER(A3237)),VLOOKUP(A3237,Studies!A:BR,6,FALSE),"")</f>
        <v>Plasma</v>
      </c>
      <c r="G3237" s="194">
        <v>1</v>
      </c>
      <c r="H3237" s="194" t="s">
        <v>60</v>
      </c>
      <c r="I3237" s="187">
        <v>37.369439999999997</v>
      </c>
      <c r="J3237" s="187" t="s">
        <v>1090</v>
      </c>
      <c r="K3237" s="187" t="s">
        <v>116</v>
      </c>
      <c r="L3237" s="195">
        <v>12.99807</v>
      </c>
      <c r="M3237" s="195" t="s">
        <v>1090</v>
      </c>
      <c r="N3237" s="195" t="s">
        <v>117</v>
      </c>
      <c r="O3237" s="199"/>
      <c r="P3237" s="188"/>
      <c r="Q3237" s="174">
        <f>IF(ISNUMBER(VLOOKUP(A3237,NotghiID!A:A,1,FALSE)),1,0)</f>
        <v>1</v>
      </c>
    </row>
    <row r="3238" spans="1:17" ht="14.25" x14ac:dyDescent="0.2">
      <c r="A3238" s="189">
        <v>308</v>
      </c>
      <c r="B3238" s="232" t="str">
        <f>IF(AND(A3238&lt;&gt;"",ISNUMBER(A3238)),VLOOKUP(A3238,Studies!A:BR,2,FALSE),"")</f>
        <v>Kharasch 2011</v>
      </c>
      <c r="C3238" s="232" t="str">
        <f>IF(AND(A3238&lt;&gt;"",ISNUMBER(A3238)),VLOOKUP(A3238,Studies!A:BR,3,FALSE),"")</f>
        <v>https://www.ncbi.nlm.nih.gov/pubmed/21562488</v>
      </c>
      <c r="D3238" s="232" t="str">
        <f>IF(AND(A3238&lt;&gt;"",ISNUMBER(A3238)),VLOOKUP(A3238,Studies!A:BR,4,FALSE),"")</f>
        <v>po Control (Perpetrator Placebo)</v>
      </c>
      <c r="E3238" s="206" t="str">
        <f>IF(AND(A3238&lt;&gt;"",ISNUMBER(A3238)),VLOOKUP(A3238,Studies!A:BR,5,FALSE),"")</f>
        <v>Alfentanil</v>
      </c>
      <c r="F3238" s="207" t="str">
        <f>IF(AND(A3238&lt;&gt;"",ISNUMBER(A3238)),VLOOKUP(A3238,Studies!A:BR,6,FALSE),"")</f>
        <v>Plasma</v>
      </c>
      <c r="G3238" s="194">
        <v>1.5</v>
      </c>
      <c r="H3238" s="194" t="s">
        <v>60</v>
      </c>
      <c r="I3238" s="187">
        <v>35.164409999999997</v>
      </c>
      <c r="J3238" s="187" t="s">
        <v>1090</v>
      </c>
      <c r="K3238" s="187" t="s">
        <v>116</v>
      </c>
      <c r="L3238" s="195">
        <v>12.76596</v>
      </c>
      <c r="M3238" s="195" t="s">
        <v>1090</v>
      </c>
      <c r="N3238" s="195" t="s">
        <v>117</v>
      </c>
      <c r="O3238" s="199"/>
      <c r="P3238" s="188"/>
      <c r="Q3238" s="174">
        <f>IF(ISNUMBER(VLOOKUP(A3238,NotghiID!A:A,1,FALSE)),1,0)</f>
        <v>1</v>
      </c>
    </row>
    <row r="3239" spans="1:17" ht="14.25" x14ac:dyDescent="0.2">
      <c r="A3239" s="189">
        <v>308</v>
      </c>
      <c r="B3239" s="232" t="str">
        <f>IF(AND(A3239&lt;&gt;"",ISNUMBER(A3239)),VLOOKUP(A3239,Studies!A:BR,2,FALSE),"")</f>
        <v>Kharasch 2011</v>
      </c>
      <c r="C3239" s="232" t="str">
        <f>IF(AND(A3239&lt;&gt;"",ISNUMBER(A3239)),VLOOKUP(A3239,Studies!A:BR,3,FALSE),"")</f>
        <v>https://www.ncbi.nlm.nih.gov/pubmed/21562488</v>
      </c>
      <c r="D3239" s="232" t="str">
        <f>IF(AND(A3239&lt;&gt;"",ISNUMBER(A3239)),VLOOKUP(A3239,Studies!A:BR,4,FALSE),"")</f>
        <v>po Control (Perpetrator Placebo)</v>
      </c>
      <c r="E3239" s="206" t="str">
        <f>IF(AND(A3239&lt;&gt;"",ISNUMBER(A3239)),VLOOKUP(A3239,Studies!A:BR,5,FALSE),"")</f>
        <v>Alfentanil</v>
      </c>
      <c r="F3239" s="207" t="str">
        <f>IF(AND(A3239&lt;&gt;"",ISNUMBER(A3239)),VLOOKUP(A3239,Studies!A:BR,6,FALSE),"")</f>
        <v>Plasma</v>
      </c>
      <c r="G3239" s="194">
        <v>2</v>
      </c>
      <c r="H3239" s="194" t="s">
        <v>60</v>
      </c>
      <c r="I3239" s="187">
        <v>34.584139999999998</v>
      </c>
      <c r="J3239" s="187" t="s">
        <v>1090</v>
      </c>
      <c r="K3239" s="187" t="s">
        <v>116</v>
      </c>
      <c r="L3239" s="195">
        <v>22.978719999999999</v>
      </c>
      <c r="M3239" s="195" t="s">
        <v>1090</v>
      </c>
      <c r="N3239" s="195" t="s">
        <v>117</v>
      </c>
      <c r="O3239" s="199"/>
      <c r="P3239" s="188"/>
      <c r="Q3239" s="174">
        <f>IF(ISNUMBER(VLOOKUP(A3239,NotghiID!A:A,1,FALSE)),1,0)</f>
        <v>1</v>
      </c>
    </row>
    <row r="3240" spans="1:17" ht="14.25" x14ac:dyDescent="0.2">
      <c r="A3240" s="189">
        <v>308</v>
      </c>
      <c r="B3240" s="232" t="str">
        <f>IF(AND(A3240&lt;&gt;"",ISNUMBER(A3240)),VLOOKUP(A3240,Studies!A:BR,2,FALSE),"")</f>
        <v>Kharasch 2011</v>
      </c>
      <c r="C3240" s="232" t="str">
        <f>IF(AND(A3240&lt;&gt;"",ISNUMBER(A3240)),VLOOKUP(A3240,Studies!A:BR,3,FALSE),"")</f>
        <v>https://www.ncbi.nlm.nih.gov/pubmed/21562488</v>
      </c>
      <c r="D3240" s="232" t="str">
        <f>IF(AND(A3240&lt;&gt;"",ISNUMBER(A3240)),VLOOKUP(A3240,Studies!A:BR,4,FALSE),"")</f>
        <v>po Control (Perpetrator Placebo)</v>
      </c>
      <c r="E3240" s="206" t="str">
        <f>IF(AND(A3240&lt;&gt;"",ISNUMBER(A3240)),VLOOKUP(A3240,Studies!A:BR,5,FALSE),"")</f>
        <v>Alfentanil</v>
      </c>
      <c r="F3240" s="207" t="str">
        <f>IF(AND(A3240&lt;&gt;"",ISNUMBER(A3240)),VLOOKUP(A3240,Studies!A:BR,6,FALSE),"")</f>
        <v>Plasma</v>
      </c>
      <c r="G3240" s="194">
        <v>2.5</v>
      </c>
      <c r="H3240" s="194" t="s">
        <v>60</v>
      </c>
      <c r="I3240" s="187">
        <v>29.47776</v>
      </c>
      <c r="J3240" s="187" t="s">
        <v>1090</v>
      </c>
      <c r="K3240" s="187" t="s">
        <v>116</v>
      </c>
      <c r="L3240" s="195">
        <v>19.961310000000001</v>
      </c>
      <c r="M3240" s="195" t="s">
        <v>1090</v>
      </c>
      <c r="N3240" s="195" t="s">
        <v>117</v>
      </c>
      <c r="O3240" s="199"/>
      <c r="P3240" s="188"/>
      <c r="Q3240" s="174">
        <f>IF(ISNUMBER(VLOOKUP(A3240,NotghiID!A:A,1,FALSE)),1,0)</f>
        <v>1</v>
      </c>
    </row>
    <row r="3241" spans="1:17" ht="14.25" x14ac:dyDescent="0.2">
      <c r="A3241" s="189">
        <v>308</v>
      </c>
      <c r="B3241" s="232" t="str">
        <f>IF(AND(A3241&lt;&gt;"",ISNUMBER(A3241)),VLOOKUP(A3241,Studies!A:BR,2,FALSE),"")</f>
        <v>Kharasch 2011</v>
      </c>
      <c r="C3241" s="232" t="str">
        <f>IF(AND(A3241&lt;&gt;"",ISNUMBER(A3241)),VLOOKUP(A3241,Studies!A:BR,3,FALSE),"")</f>
        <v>https://www.ncbi.nlm.nih.gov/pubmed/21562488</v>
      </c>
      <c r="D3241" s="232" t="str">
        <f>IF(AND(A3241&lt;&gt;"",ISNUMBER(A3241)),VLOOKUP(A3241,Studies!A:BR,4,FALSE),"")</f>
        <v>po Control (Perpetrator Placebo)</v>
      </c>
      <c r="E3241" s="206" t="str">
        <f>IF(AND(A3241&lt;&gt;"",ISNUMBER(A3241)),VLOOKUP(A3241,Studies!A:BR,5,FALSE),"")</f>
        <v>Alfentanil</v>
      </c>
      <c r="F3241" s="207" t="str">
        <f>IF(AND(A3241&lt;&gt;"",ISNUMBER(A3241)),VLOOKUP(A3241,Studies!A:BR,6,FALSE),"")</f>
        <v>Plasma</v>
      </c>
      <c r="G3241" s="194">
        <v>3</v>
      </c>
      <c r="H3241" s="194" t="s">
        <v>60</v>
      </c>
      <c r="I3241" s="187">
        <v>23.210830000000001</v>
      </c>
      <c r="J3241" s="187" t="s">
        <v>1090</v>
      </c>
      <c r="K3241" s="187" t="s">
        <v>116</v>
      </c>
      <c r="L3241" s="195">
        <v>18.220500000000001</v>
      </c>
      <c r="M3241" s="195" t="s">
        <v>1090</v>
      </c>
      <c r="N3241" s="195" t="s">
        <v>117</v>
      </c>
      <c r="O3241" s="199"/>
      <c r="P3241" s="188"/>
      <c r="Q3241" s="174">
        <f>IF(ISNUMBER(VLOOKUP(A3241,NotghiID!A:A,1,FALSE)),1,0)</f>
        <v>1</v>
      </c>
    </row>
    <row r="3242" spans="1:17" ht="14.25" x14ac:dyDescent="0.2">
      <c r="A3242" s="189">
        <v>308</v>
      </c>
      <c r="B3242" s="232" t="str">
        <f>IF(AND(A3242&lt;&gt;"",ISNUMBER(A3242)),VLOOKUP(A3242,Studies!A:BR,2,FALSE),"")</f>
        <v>Kharasch 2011</v>
      </c>
      <c r="C3242" s="232" t="str">
        <f>IF(AND(A3242&lt;&gt;"",ISNUMBER(A3242)),VLOOKUP(A3242,Studies!A:BR,3,FALSE),"")</f>
        <v>https://www.ncbi.nlm.nih.gov/pubmed/21562488</v>
      </c>
      <c r="D3242" s="232" t="str">
        <f>IF(AND(A3242&lt;&gt;"",ISNUMBER(A3242)),VLOOKUP(A3242,Studies!A:BR,4,FALSE),"")</f>
        <v>po Control (Perpetrator Placebo)</v>
      </c>
      <c r="E3242" s="206" t="str">
        <f>IF(AND(A3242&lt;&gt;"",ISNUMBER(A3242)),VLOOKUP(A3242,Studies!A:BR,5,FALSE),"")</f>
        <v>Alfentanil</v>
      </c>
      <c r="F3242" s="207" t="str">
        <f>IF(AND(A3242&lt;&gt;"",ISNUMBER(A3242)),VLOOKUP(A3242,Studies!A:BR,6,FALSE),"")</f>
        <v>Plasma</v>
      </c>
      <c r="G3242" s="194">
        <v>4</v>
      </c>
      <c r="H3242" s="194" t="s">
        <v>60</v>
      </c>
      <c r="I3242" s="187">
        <v>14.622820000000001</v>
      </c>
      <c r="J3242" s="187" t="s">
        <v>1090</v>
      </c>
      <c r="K3242" s="187" t="s">
        <v>116</v>
      </c>
      <c r="L3242" s="195">
        <v>11.837529999999999</v>
      </c>
      <c r="M3242" s="195" t="s">
        <v>1090</v>
      </c>
      <c r="N3242" s="195" t="s">
        <v>117</v>
      </c>
      <c r="O3242" s="199"/>
      <c r="P3242" s="188"/>
      <c r="Q3242" s="174">
        <f>IF(ISNUMBER(VLOOKUP(A3242,NotghiID!A:A,1,FALSE)),1,0)</f>
        <v>1</v>
      </c>
    </row>
    <row r="3243" spans="1:17" ht="14.25" x14ac:dyDescent="0.2">
      <c r="A3243" s="189">
        <v>308</v>
      </c>
      <c r="B3243" s="232" t="str">
        <f>IF(AND(A3243&lt;&gt;"",ISNUMBER(A3243)),VLOOKUP(A3243,Studies!A:BR,2,FALSE),"")</f>
        <v>Kharasch 2011</v>
      </c>
      <c r="C3243" s="232" t="str">
        <f>IF(AND(A3243&lt;&gt;"",ISNUMBER(A3243)),VLOOKUP(A3243,Studies!A:BR,3,FALSE),"")</f>
        <v>https://www.ncbi.nlm.nih.gov/pubmed/21562488</v>
      </c>
      <c r="D3243" s="232" t="str">
        <f>IF(AND(A3243&lt;&gt;"",ISNUMBER(A3243)),VLOOKUP(A3243,Studies!A:BR,4,FALSE),"")</f>
        <v>po Control (Perpetrator Placebo)</v>
      </c>
      <c r="E3243" s="206" t="str">
        <f>IF(AND(A3243&lt;&gt;"",ISNUMBER(A3243)),VLOOKUP(A3243,Studies!A:BR,5,FALSE),"")</f>
        <v>Alfentanil</v>
      </c>
      <c r="F3243" s="207" t="str">
        <f>IF(AND(A3243&lt;&gt;"",ISNUMBER(A3243)),VLOOKUP(A3243,Studies!A:BR,6,FALSE),"")</f>
        <v>Plasma</v>
      </c>
      <c r="G3243" s="194">
        <v>5</v>
      </c>
      <c r="H3243" s="194" t="s">
        <v>60</v>
      </c>
      <c r="I3243" s="187">
        <v>9.6324950000000005</v>
      </c>
      <c r="J3243" s="187" t="s">
        <v>1090</v>
      </c>
      <c r="K3243" s="187" t="s">
        <v>116</v>
      </c>
      <c r="L3243" s="195">
        <v>8.8201169999999998</v>
      </c>
      <c r="M3243" s="195" t="s">
        <v>1090</v>
      </c>
      <c r="N3243" s="195" t="s">
        <v>117</v>
      </c>
      <c r="O3243" s="199"/>
      <c r="P3243" s="188"/>
      <c r="Q3243" s="174">
        <f>IF(ISNUMBER(VLOOKUP(A3243,NotghiID!A:A,1,FALSE)),1,0)</f>
        <v>1</v>
      </c>
    </row>
    <row r="3244" spans="1:17" ht="14.25" x14ac:dyDescent="0.2">
      <c r="A3244" s="189">
        <v>308</v>
      </c>
      <c r="B3244" s="232" t="str">
        <f>IF(AND(A3244&lt;&gt;"",ISNUMBER(A3244)),VLOOKUP(A3244,Studies!A:BR,2,FALSE),"")</f>
        <v>Kharasch 2011</v>
      </c>
      <c r="C3244" s="232" t="str">
        <f>IF(AND(A3244&lt;&gt;"",ISNUMBER(A3244)),VLOOKUP(A3244,Studies!A:BR,3,FALSE),"")</f>
        <v>https://www.ncbi.nlm.nih.gov/pubmed/21562488</v>
      </c>
      <c r="D3244" s="232" t="str">
        <f>IF(AND(A3244&lt;&gt;"",ISNUMBER(A3244)),VLOOKUP(A3244,Studies!A:BR,4,FALSE),"")</f>
        <v>po Control (Perpetrator Placebo)</v>
      </c>
      <c r="E3244" s="206" t="str">
        <f>IF(AND(A3244&lt;&gt;"",ISNUMBER(A3244)),VLOOKUP(A3244,Studies!A:BR,5,FALSE),"")</f>
        <v>Alfentanil</v>
      </c>
      <c r="F3244" s="207" t="str">
        <f>IF(AND(A3244&lt;&gt;"",ISNUMBER(A3244)),VLOOKUP(A3244,Studies!A:BR,6,FALSE),"")</f>
        <v>Plasma</v>
      </c>
      <c r="G3244" s="194">
        <v>6</v>
      </c>
      <c r="H3244" s="194" t="s">
        <v>60</v>
      </c>
      <c r="I3244" s="187">
        <v>6.731141</v>
      </c>
      <c r="J3244" s="187" t="s">
        <v>1090</v>
      </c>
      <c r="K3244" s="187" t="s">
        <v>116</v>
      </c>
      <c r="L3244" s="195">
        <v>6.731141</v>
      </c>
      <c r="M3244" s="195" t="s">
        <v>1090</v>
      </c>
      <c r="N3244" s="195" t="s">
        <v>117</v>
      </c>
      <c r="O3244" s="199"/>
      <c r="P3244" s="188"/>
      <c r="Q3244" s="174">
        <f>IF(ISNUMBER(VLOOKUP(A3244,NotghiID!A:A,1,FALSE)),1,0)</f>
        <v>1</v>
      </c>
    </row>
    <row r="3245" spans="1:17" ht="14.25" x14ac:dyDescent="0.2">
      <c r="A3245" s="189">
        <v>308</v>
      </c>
      <c r="B3245" s="232" t="str">
        <f>IF(AND(A3245&lt;&gt;"",ISNUMBER(A3245)),VLOOKUP(A3245,Studies!A:BR,2,FALSE),"")</f>
        <v>Kharasch 2011</v>
      </c>
      <c r="C3245" s="232" t="str">
        <f>IF(AND(A3245&lt;&gt;"",ISNUMBER(A3245)),VLOOKUP(A3245,Studies!A:BR,3,FALSE),"")</f>
        <v>https://www.ncbi.nlm.nih.gov/pubmed/21562488</v>
      </c>
      <c r="D3245" s="232" t="str">
        <f>IF(AND(A3245&lt;&gt;"",ISNUMBER(A3245)),VLOOKUP(A3245,Studies!A:BR,4,FALSE),"")</f>
        <v>po Control (Perpetrator Placebo)</v>
      </c>
      <c r="E3245" s="206" t="str">
        <f>IF(AND(A3245&lt;&gt;"",ISNUMBER(A3245)),VLOOKUP(A3245,Studies!A:BR,5,FALSE),"")</f>
        <v>Alfentanil</v>
      </c>
      <c r="F3245" s="207" t="str">
        <f>IF(AND(A3245&lt;&gt;"",ISNUMBER(A3245)),VLOOKUP(A3245,Studies!A:BR,6,FALSE),"")</f>
        <v>Plasma</v>
      </c>
      <c r="G3245" s="194">
        <v>8</v>
      </c>
      <c r="H3245" s="194" t="s">
        <v>60</v>
      </c>
      <c r="I3245" s="187">
        <v>2.7852999999999999</v>
      </c>
      <c r="J3245" s="187" t="s">
        <v>1090</v>
      </c>
      <c r="K3245" s="187" t="s">
        <v>116</v>
      </c>
      <c r="L3245" s="195">
        <v>3.2495159999999998</v>
      </c>
      <c r="M3245" s="195" t="s">
        <v>1090</v>
      </c>
      <c r="N3245" s="195" t="s">
        <v>117</v>
      </c>
      <c r="O3245" s="199"/>
      <c r="P3245" s="188"/>
      <c r="Q3245" s="174">
        <f>IF(ISNUMBER(VLOOKUP(A3245,NotghiID!A:A,1,FALSE)),1,0)</f>
        <v>1</v>
      </c>
    </row>
    <row r="3246" spans="1:17" ht="14.25" x14ac:dyDescent="0.2">
      <c r="A3246" s="189">
        <v>309</v>
      </c>
      <c r="B3246" s="232" t="str">
        <f>IF(AND(A3246&lt;&gt;"",ISNUMBER(A3246)),VLOOKUP(A3246,Studies!A:BR,2,FALSE),"")</f>
        <v>Kharasch 2011</v>
      </c>
      <c r="C3246" s="232" t="str">
        <f>IF(AND(A3246&lt;&gt;"",ISNUMBER(A3246)),VLOOKUP(A3246,Studies!A:BR,3,FALSE),"")</f>
        <v>https://www.ncbi.nlm.nih.gov/pubmed/21562488</v>
      </c>
      <c r="D3246" s="232" t="str">
        <f>IF(AND(A3246&lt;&gt;"",ISNUMBER(A3246)),VLOOKUP(A3246,Studies!A:BR,4,FALSE),"")</f>
        <v>po with Perpetrator (Rifampicin @ 5 mg)</v>
      </c>
      <c r="E3246" s="206" t="str">
        <f>IF(AND(A3246&lt;&gt;"",ISNUMBER(A3246)),VLOOKUP(A3246,Studies!A:BR,5,FALSE),"")</f>
        <v>Alfentanil</v>
      </c>
      <c r="F3246" s="207" t="str">
        <f>IF(AND(A3246&lt;&gt;"",ISNUMBER(A3246)),VLOOKUP(A3246,Studies!A:BR,6,FALSE),"")</f>
        <v>Plasma</v>
      </c>
      <c r="G3246" s="194">
        <v>133</v>
      </c>
      <c r="H3246" s="194" t="s">
        <v>60</v>
      </c>
      <c r="I3246" s="187">
        <v>0</v>
      </c>
      <c r="J3246" s="187" t="s">
        <v>1090</v>
      </c>
      <c r="K3246" s="187" t="s">
        <v>116</v>
      </c>
      <c r="L3246" s="195"/>
      <c r="M3246" s="195"/>
      <c r="N3246" s="195"/>
      <c r="O3246" s="199"/>
      <c r="P3246" s="188"/>
      <c r="Q3246" s="174">
        <f>IF(ISNUMBER(VLOOKUP(A3246,NotghiID!A:A,1,FALSE)),1,0)</f>
        <v>1</v>
      </c>
    </row>
    <row r="3247" spans="1:17" ht="14.25" x14ac:dyDescent="0.2">
      <c r="A3247" s="189">
        <v>309</v>
      </c>
      <c r="B3247" s="232" t="str">
        <f>IF(AND(A3247&lt;&gt;"",ISNUMBER(A3247)),VLOOKUP(A3247,Studies!A:BR,2,FALSE),"")</f>
        <v>Kharasch 2011</v>
      </c>
      <c r="C3247" s="232" t="str">
        <f>IF(AND(A3247&lt;&gt;"",ISNUMBER(A3247)),VLOOKUP(A3247,Studies!A:BR,3,FALSE),"")</f>
        <v>https://www.ncbi.nlm.nih.gov/pubmed/21562488</v>
      </c>
      <c r="D3247" s="232" t="str">
        <f>IF(AND(A3247&lt;&gt;"",ISNUMBER(A3247)),VLOOKUP(A3247,Studies!A:BR,4,FALSE),"")</f>
        <v>po with Perpetrator (Rifampicin @ 5 mg)</v>
      </c>
      <c r="E3247" s="206" t="str">
        <f>IF(AND(A3247&lt;&gt;"",ISNUMBER(A3247)),VLOOKUP(A3247,Studies!A:BR,5,FALSE),"")</f>
        <v>Alfentanil</v>
      </c>
      <c r="F3247" s="207" t="str">
        <f>IF(AND(A3247&lt;&gt;"",ISNUMBER(A3247)),VLOOKUP(A3247,Studies!A:BR,6,FALSE),"")</f>
        <v>Plasma</v>
      </c>
      <c r="G3247" s="194">
        <v>133.08000000000001</v>
      </c>
      <c r="H3247" s="194" t="s">
        <v>60</v>
      </c>
      <c r="I3247" s="187">
        <v>6.9632500000000004</v>
      </c>
      <c r="J3247" s="187" t="s">
        <v>1090</v>
      </c>
      <c r="K3247" s="187" t="s">
        <v>116</v>
      </c>
      <c r="L3247" s="195"/>
      <c r="M3247" s="195"/>
      <c r="N3247" s="195"/>
      <c r="O3247" s="199"/>
      <c r="P3247" s="188"/>
      <c r="Q3247" s="174">
        <f>IF(ISNUMBER(VLOOKUP(A3247,NotghiID!A:A,1,FALSE)),1,0)</f>
        <v>1</v>
      </c>
    </row>
    <row r="3248" spans="1:17" ht="14.25" x14ac:dyDescent="0.2">
      <c r="A3248" s="189">
        <v>309</v>
      </c>
      <c r="B3248" s="232" t="str">
        <f>IF(AND(A3248&lt;&gt;"",ISNUMBER(A3248)),VLOOKUP(A3248,Studies!A:BR,2,FALSE),"")</f>
        <v>Kharasch 2011</v>
      </c>
      <c r="C3248" s="232" t="str">
        <f>IF(AND(A3248&lt;&gt;"",ISNUMBER(A3248)),VLOOKUP(A3248,Studies!A:BR,3,FALSE),"")</f>
        <v>https://www.ncbi.nlm.nih.gov/pubmed/21562488</v>
      </c>
      <c r="D3248" s="232" t="str">
        <f>IF(AND(A3248&lt;&gt;"",ISNUMBER(A3248)),VLOOKUP(A3248,Studies!A:BR,4,FALSE),"")</f>
        <v>po with Perpetrator (Rifampicin @ 5 mg)</v>
      </c>
      <c r="E3248" s="206" t="str">
        <f>IF(AND(A3248&lt;&gt;"",ISNUMBER(A3248)),VLOOKUP(A3248,Studies!A:BR,5,FALSE),"")</f>
        <v>Alfentanil</v>
      </c>
      <c r="F3248" s="207" t="str">
        <f>IF(AND(A3248&lt;&gt;"",ISNUMBER(A3248)),VLOOKUP(A3248,Studies!A:BR,6,FALSE),"")</f>
        <v>Plasma</v>
      </c>
      <c r="G3248" s="194">
        <v>133.16999999999999</v>
      </c>
      <c r="H3248" s="194" t="s">
        <v>60</v>
      </c>
      <c r="I3248" s="187">
        <v>18.45261</v>
      </c>
      <c r="J3248" s="187" t="s">
        <v>1090</v>
      </c>
      <c r="K3248" s="187" t="s">
        <v>116</v>
      </c>
      <c r="L3248" s="195"/>
      <c r="M3248" s="195"/>
      <c r="N3248" s="195"/>
      <c r="O3248" s="199"/>
      <c r="P3248" s="188"/>
      <c r="Q3248" s="174">
        <f>IF(ISNUMBER(VLOOKUP(A3248,NotghiID!A:A,1,FALSE)),1,0)</f>
        <v>1</v>
      </c>
    </row>
    <row r="3249" spans="1:17" ht="14.25" x14ac:dyDescent="0.2">
      <c r="A3249" s="189">
        <v>309</v>
      </c>
      <c r="B3249" s="232" t="str">
        <f>IF(AND(A3249&lt;&gt;"",ISNUMBER(A3249)),VLOOKUP(A3249,Studies!A:BR,2,FALSE),"")</f>
        <v>Kharasch 2011</v>
      </c>
      <c r="C3249" s="232" t="str">
        <f>IF(AND(A3249&lt;&gt;"",ISNUMBER(A3249)),VLOOKUP(A3249,Studies!A:BR,3,FALSE),"")</f>
        <v>https://www.ncbi.nlm.nih.gov/pubmed/21562488</v>
      </c>
      <c r="D3249" s="232" t="str">
        <f>IF(AND(A3249&lt;&gt;"",ISNUMBER(A3249)),VLOOKUP(A3249,Studies!A:BR,4,FALSE),"")</f>
        <v>po with Perpetrator (Rifampicin @ 5 mg)</v>
      </c>
      <c r="E3249" s="206" t="str">
        <f>IF(AND(A3249&lt;&gt;"",ISNUMBER(A3249)),VLOOKUP(A3249,Studies!A:BR,5,FALSE),"")</f>
        <v>Alfentanil</v>
      </c>
      <c r="F3249" s="207" t="str">
        <f>IF(AND(A3249&lt;&gt;"",ISNUMBER(A3249)),VLOOKUP(A3249,Studies!A:BR,6,FALSE),"")</f>
        <v>Plasma</v>
      </c>
      <c r="G3249" s="194">
        <v>133.25</v>
      </c>
      <c r="H3249" s="194" t="s">
        <v>60</v>
      </c>
      <c r="I3249" s="187">
        <v>22.862670000000001</v>
      </c>
      <c r="J3249" s="187" t="s">
        <v>1090</v>
      </c>
      <c r="K3249" s="187" t="s">
        <v>116</v>
      </c>
      <c r="L3249" s="195"/>
      <c r="M3249" s="195"/>
      <c r="N3249" s="195"/>
      <c r="O3249" s="199"/>
      <c r="P3249" s="188"/>
      <c r="Q3249" s="174">
        <f>IF(ISNUMBER(VLOOKUP(A3249,NotghiID!A:A,1,FALSE)),1,0)</f>
        <v>1</v>
      </c>
    </row>
    <row r="3250" spans="1:17" ht="14.25" x14ac:dyDescent="0.2">
      <c r="A3250" s="189">
        <v>309</v>
      </c>
      <c r="B3250" s="232" t="str">
        <f>IF(AND(A3250&lt;&gt;"",ISNUMBER(A3250)),VLOOKUP(A3250,Studies!A:BR,2,FALSE),"")</f>
        <v>Kharasch 2011</v>
      </c>
      <c r="C3250" s="232" t="str">
        <f>IF(AND(A3250&lt;&gt;"",ISNUMBER(A3250)),VLOOKUP(A3250,Studies!A:BR,3,FALSE),"")</f>
        <v>https://www.ncbi.nlm.nih.gov/pubmed/21562488</v>
      </c>
      <c r="D3250" s="232" t="str">
        <f>IF(AND(A3250&lt;&gt;"",ISNUMBER(A3250)),VLOOKUP(A3250,Studies!A:BR,4,FALSE),"")</f>
        <v>po with Perpetrator (Rifampicin @ 5 mg)</v>
      </c>
      <c r="E3250" s="206" t="str">
        <f>IF(AND(A3250&lt;&gt;"",ISNUMBER(A3250)),VLOOKUP(A3250,Studies!A:BR,5,FALSE),"")</f>
        <v>Alfentanil</v>
      </c>
      <c r="F3250" s="207" t="str">
        <f>IF(AND(A3250&lt;&gt;"",ISNUMBER(A3250)),VLOOKUP(A3250,Studies!A:BR,6,FALSE),"")</f>
        <v>Plasma</v>
      </c>
      <c r="G3250" s="194">
        <v>133.33000000000001</v>
      </c>
      <c r="H3250" s="194" t="s">
        <v>60</v>
      </c>
      <c r="I3250" s="187">
        <v>24.13927</v>
      </c>
      <c r="J3250" s="187" t="s">
        <v>1090</v>
      </c>
      <c r="K3250" s="187" t="s">
        <v>116</v>
      </c>
      <c r="L3250" s="195"/>
      <c r="M3250" s="195"/>
      <c r="N3250" s="195"/>
      <c r="O3250" s="199"/>
      <c r="P3250" s="188"/>
      <c r="Q3250" s="174">
        <f>IF(ISNUMBER(VLOOKUP(A3250,NotghiID!A:A,1,FALSE)),1,0)</f>
        <v>1</v>
      </c>
    </row>
    <row r="3251" spans="1:17" ht="14.25" x14ac:dyDescent="0.2">
      <c r="A3251" s="189">
        <v>309</v>
      </c>
      <c r="B3251" s="232" t="str">
        <f>IF(AND(A3251&lt;&gt;"",ISNUMBER(A3251)),VLOOKUP(A3251,Studies!A:BR,2,FALSE),"")</f>
        <v>Kharasch 2011</v>
      </c>
      <c r="C3251" s="232" t="str">
        <f>IF(AND(A3251&lt;&gt;"",ISNUMBER(A3251)),VLOOKUP(A3251,Studies!A:BR,3,FALSE),"")</f>
        <v>https://www.ncbi.nlm.nih.gov/pubmed/21562488</v>
      </c>
      <c r="D3251" s="232" t="str">
        <f>IF(AND(A3251&lt;&gt;"",ISNUMBER(A3251)),VLOOKUP(A3251,Studies!A:BR,4,FALSE),"")</f>
        <v>po with Perpetrator (Rifampicin @ 5 mg)</v>
      </c>
      <c r="E3251" s="206" t="str">
        <f>IF(AND(A3251&lt;&gt;"",ISNUMBER(A3251)),VLOOKUP(A3251,Studies!A:BR,5,FALSE),"")</f>
        <v>Alfentanil</v>
      </c>
      <c r="F3251" s="207" t="str">
        <f>IF(AND(A3251&lt;&gt;"",ISNUMBER(A3251)),VLOOKUP(A3251,Studies!A:BR,6,FALSE),"")</f>
        <v>Plasma</v>
      </c>
      <c r="G3251" s="194">
        <v>133.5</v>
      </c>
      <c r="H3251" s="194" t="s">
        <v>60</v>
      </c>
      <c r="I3251" s="187">
        <v>26.344290000000001</v>
      </c>
      <c r="J3251" s="187" t="s">
        <v>1090</v>
      </c>
      <c r="K3251" s="187" t="s">
        <v>116</v>
      </c>
      <c r="L3251" s="195"/>
      <c r="M3251" s="195"/>
      <c r="N3251" s="195"/>
      <c r="O3251" s="199"/>
      <c r="P3251" s="188"/>
      <c r="Q3251" s="174">
        <f>IF(ISNUMBER(VLOOKUP(A3251,NotghiID!A:A,1,FALSE)),1,0)</f>
        <v>1</v>
      </c>
    </row>
    <row r="3252" spans="1:17" ht="14.25" x14ac:dyDescent="0.2">
      <c r="A3252" s="189">
        <v>309</v>
      </c>
      <c r="B3252" s="232" t="str">
        <f>IF(AND(A3252&lt;&gt;"",ISNUMBER(A3252)),VLOOKUP(A3252,Studies!A:BR,2,FALSE),"")</f>
        <v>Kharasch 2011</v>
      </c>
      <c r="C3252" s="232" t="str">
        <f>IF(AND(A3252&lt;&gt;"",ISNUMBER(A3252)),VLOOKUP(A3252,Studies!A:BR,3,FALSE),"")</f>
        <v>https://www.ncbi.nlm.nih.gov/pubmed/21562488</v>
      </c>
      <c r="D3252" s="232" t="str">
        <f>IF(AND(A3252&lt;&gt;"",ISNUMBER(A3252)),VLOOKUP(A3252,Studies!A:BR,4,FALSE),"")</f>
        <v>po with Perpetrator (Rifampicin @ 5 mg)</v>
      </c>
      <c r="E3252" s="206" t="str">
        <f>IF(AND(A3252&lt;&gt;"",ISNUMBER(A3252)),VLOOKUP(A3252,Studies!A:BR,5,FALSE),"")</f>
        <v>Alfentanil</v>
      </c>
      <c r="F3252" s="207" t="str">
        <f>IF(AND(A3252&lt;&gt;"",ISNUMBER(A3252)),VLOOKUP(A3252,Studies!A:BR,6,FALSE),"")</f>
        <v>Plasma</v>
      </c>
      <c r="G3252" s="194">
        <v>133.75</v>
      </c>
      <c r="H3252" s="194" t="s">
        <v>60</v>
      </c>
      <c r="I3252" s="187">
        <v>36.2089</v>
      </c>
      <c r="J3252" s="187" t="s">
        <v>1090</v>
      </c>
      <c r="K3252" s="187" t="s">
        <v>116</v>
      </c>
      <c r="L3252" s="195"/>
      <c r="M3252" s="195"/>
      <c r="N3252" s="195"/>
      <c r="O3252" s="199"/>
      <c r="P3252" s="188"/>
      <c r="Q3252" s="174">
        <f>IF(ISNUMBER(VLOOKUP(A3252,NotghiID!A:A,1,FALSE)),1,0)</f>
        <v>1</v>
      </c>
    </row>
    <row r="3253" spans="1:17" ht="14.25" x14ac:dyDescent="0.2">
      <c r="A3253" s="189">
        <v>309</v>
      </c>
      <c r="B3253" s="232" t="str">
        <f>IF(AND(A3253&lt;&gt;"",ISNUMBER(A3253)),VLOOKUP(A3253,Studies!A:BR,2,FALSE),"")</f>
        <v>Kharasch 2011</v>
      </c>
      <c r="C3253" s="232" t="str">
        <f>IF(AND(A3253&lt;&gt;"",ISNUMBER(A3253)),VLOOKUP(A3253,Studies!A:BR,3,FALSE),"")</f>
        <v>https://www.ncbi.nlm.nih.gov/pubmed/21562488</v>
      </c>
      <c r="D3253" s="232" t="str">
        <f>IF(AND(A3253&lt;&gt;"",ISNUMBER(A3253)),VLOOKUP(A3253,Studies!A:BR,4,FALSE),"")</f>
        <v>po with Perpetrator (Rifampicin @ 5 mg)</v>
      </c>
      <c r="E3253" s="206" t="str">
        <f>IF(AND(A3253&lt;&gt;"",ISNUMBER(A3253)),VLOOKUP(A3253,Studies!A:BR,5,FALSE),"")</f>
        <v>Alfentanil</v>
      </c>
      <c r="F3253" s="207" t="str">
        <f>IF(AND(A3253&lt;&gt;"",ISNUMBER(A3253)),VLOOKUP(A3253,Studies!A:BR,6,FALSE),"")</f>
        <v>Plasma</v>
      </c>
      <c r="G3253" s="194">
        <v>134</v>
      </c>
      <c r="H3253" s="194" t="s">
        <v>60</v>
      </c>
      <c r="I3253" s="187">
        <v>36.90522</v>
      </c>
      <c r="J3253" s="187" t="s">
        <v>1090</v>
      </c>
      <c r="K3253" s="187" t="s">
        <v>116</v>
      </c>
      <c r="L3253" s="195"/>
      <c r="M3253" s="195"/>
      <c r="N3253" s="195"/>
      <c r="O3253" s="199"/>
      <c r="P3253" s="188"/>
      <c r="Q3253" s="174">
        <f>IF(ISNUMBER(VLOOKUP(A3253,NotghiID!A:A,1,FALSE)),1,0)</f>
        <v>1</v>
      </c>
    </row>
    <row r="3254" spans="1:17" ht="14.25" x14ac:dyDescent="0.2">
      <c r="A3254" s="189">
        <v>309</v>
      </c>
      <c r="B3254" s="232" t="str">
        <f>IF(AND(A3254&lt;&gt;"",ISNUMBER(A3254)),VLOOKUP(A3254,Studies!A:BR,2,FALSE),"")</f>
        <v>Kharasch 2011</v>
      </c>
      <c r="C3254" s="232" t="str">
        <f>IF(AND(A3254&lt;&gt;"",ISNUMBER(A3254)),VLOOKUP(A3254,Studies!A:BR,3,FALSE),"")</f>
        <v>https://www.ncbi.nlm.nih.gov/pubmed/21562488</v>
      </c>
      <c r="D3254" s="232" t="str">
        <f>IF(AND(A3254&lt;&gt;"",ISNUMBER(A3254)),VLOOKUP(A3254,Studies!A:BR,4,FALSE),"")</f>
        <v>po with Perpetrator (Rifampicin @ 5 mg)</v>
      </c>
      <c r="E3254" s="206" t="str">
        <f>IF(AND(A3254&lt;&gt;"",ISNUMBER(A3254)),VLOOKUP(A3254,Studies!A:BR,5,FALSE),"")</f>
        <v>Alfentanil</v>
      </c>
      <c r="F3254" s="207" t="str">
        <f>IF(AND(A3254&lt;&gt;"",ISNUMBER(A3254)),VLOOKUP(A3254,Studies!A:BR,6,FALSE),"")</f>
        <v>Plasma</v>
      </c>
      <c r="G3254" s="194">
        <v>134.5</v>
      </c>
      <c r="H3254" s="194" t="s">
        <v>60</v>
      </c>
      <c r="I3254" s="187">
        <v>33.07544</v>
      </c>
      <c r="J3254" s="187" t="s">
        <v>1090</v>
      </c>
      <c r="K3254" s="187" t="s">
        <v>116</v>
      </c>
      <c r="L3254" s="195"/>
      <c r="M3254" s="195"/>
      <c r="N3254" s="195"/>
      <c r="O3254" s="199"/>
      <c r="P3254" s="188"/>
      <c r="Q3254" s="174">
        <f>IF(ISNUMBER(VLOOKUP(A3254,NotghiID!A:A,1,FALSE)),1,0)</f>
        <v>1</v>
      </c>
    </row>
    <row r="3255" spans="1:17" ht="14.25" x14ac:dyDescent="0.2">
      <c r="A3255" s="189">
        <v>309</v>
      </c>
      <c r="B3255" s="232" t="str">
        <f>IF(AND(A3255&lt;&gt;"",ISNUMBER(A3255)),VLOOKUP(A3255,Studies!A:BR,2,FALSE),"")</f>
        <v>Kharasch 2011</v>
      </c>
      <c r="C3255" s="232" t="str">
        <f>IF(AND(A3255&lt;&gt;"",ISNUMBER(A3255)),VLOOKUP(A3255,Studies!A:BR,3,FALSE),"")</f>
        <v>https://www.ncbi.nlm.nih.gov/pubmed/21562488</v>
      </c>
      <c r="D3255" s="232" t="str">
        <f>IF(AND(A3255&lt;&gt;"",ISNUMBER(A3255)),VLOOKUP(A3255,Studies!A:BR,4,FALSE),"")</f>
        <v>po with Perpetrator (Rifampicin @ 5 mg)</v>
      </c>
      <c r="E3255" s="206" t="str">
        <f>IF(AND(A3255&lt;&gt;"",ISNUMBER(A3255)),VLOOKUP(A3255,Studies!A:BR,5,FALSE),"")</f>
        <v>Alfentanil</v>
      </c>
      <c r="F3255" s="207" t="str">
        <f>IF(AND(A3255&lt;&gt;"",ISNUMBER(A3255)),VLOOKUP(A3255,Studies!A:BR,6,FALSE),"")</f>
        <v>Plasma</v>
      </c>
      <c r="G3255" s="194">
        <v>135</v>
      </c>
      <c r="H3255" s="194" t="s">
        <v>60</v>
      </c>
      <c r="I3255" s="187">
        <v>25.067699999999999</v>
      </c>
      <c r="J3255" s="187" t="s">
        <v>1090</v>
      </c>
      <c r="K3255" s="187" t="s">
        <v>116</v>
      </c>
      <c r="L3255" s="195"/>
      <c r="M3255" s="195"/>
      <c r="N3255" s="195"/>
      <c r="O3255" s="199"/>
      <c r="P3255" s="188"/>
      <c r="Q3255" s="174">
        <f>IF(ISNUMBER(VLOOKUP(A3255,NotghiID!A:A,1,FALSE)),1,0)</f>
        <v>1</v>
      </c>
    </row>
    <row r="3256" spans="1:17" ht="14.25" x14ac:dyDescent="0.2">
      <c r="A3256" s="189">
        <v>309</v>
      </c>
      <c r="B3256" s="232" t="str">
        <f>IF(AND(A3256&lt;&gt;"",ISNUMBER(A3256)),VLOOKUP(A3256,Studies!A:BR,2,FALSE),"")</f>
        <v>Kharasch 2011</v>
      </c>
      <c r="C3256" s="232" t="str">
        <f>IF(AND(A3256&lt;&gt;"",ISNUMBER(A3256)),VLOOKUP(A3256,Studies!A:BR,3,FALSE),"")</f>
        <v>https://www.ncbi.nlm.nih.gov/pubmed/21562488</v>
      </c>
      <c r="D3256" s="232" t="str">
        <f>IF(AND(A3256&lt;&gt;"",ISNUMBER(A3256)),VLOOKUP(A3256,Studies!A:BR,4,FALSE),"")</f>
        <v>po with Perpetrator (Rifampicin @ 5 mg)</v>
      </c>
      <c r="E3256" s="206" t="str">
        <f>IF(AND(A3256&lt;&gt;"",ISNUMBER(A3256)),VLOOKUP(A3256,Studies!A:BR,5,FALSE),"")</f>
        <v>Alfentanil</v>
      </c>
      <c r="F3256" s="207" t="str">
        <f>IF(AND(A3256&lt;&gt;"",ISNUMBER(A3256)),VLOOKUP(A3256,Studies!A:BR,6,FALSE),"")</f>
        <v>Plasma</v>
      </c>
      <c r="G3256" s="194">
        <v>135.5</v>
      </c>
      <c r="H3256" s="194" t="s">
        <v>60</v>
      </c>
      <c r="I3256" s="187">
        <v>18.916830000000001</v>
      </c>
      <c r="J3256" s="187" t="s">
        <v>1090</v>
      </c>
      <c r="K3256" s="187" t="s">
        <v>116</v>
      </c>
      <c r="L3256" s="195"/>
      <c r="M3256" s="195"/>
      <c r="N3256" s="195"/>
      <c r="O3256" s="199"/>
      <c r="P3256" s="188"/>
      <c r="Q3256" s="174">
        <f>IF(ISNUMBER(VLOOKUP(A3256,NotghiID!A:A,1,FALSE)),1,0)</f>
        <v>1</v>
      </c>
    </row>
    <row r="3257" spans="1:17" ht="14.25" x14ac:dyDescent="0.2">
      <c r="A3257" s="189">
        <v>309</v>
      </c>
      <c r="B3257" s="232" t="str">
        <f>IF(AND(A3257&lt;&gt;"",ISNUMBER(A3257)),VLOOKUP(A3257,Studies!A:BR,2,FALSE),"")</f>
        <v>Kharasch 2011</v>
      </c>
      <c r="C3257" s="232" t="str">
        <f>IF(AND(A3257&lt;&gt;"",ISNUMBER(A3257)),VLOOKUP(A3257,Studies!A:BR,3,FALSE),"")</f>
        <v>https://www.ncbi.nlm.nih.gov/pubmed/21562488</v>
      </c>
      <c r="D3257" s="232" t="str">
        <f>IF(AND(A3257&lt;&gt;"",ISNUMBER(A3257)),VLOOKUP(A3257,Studies!A:BR,4,FALSE),"")</f>
        <v>po with Perpetrator (Rifampicin @ 5 mg)</v>
      </c>
      <c r="E3257" s="206" t="str">
        <f>IF(AND(A3257&lt;&gt;"",ISNUMBER(A3257)),VLOOKUP(A3257,Studies!A:BR,5,FALSE),"")</f>
        <v>Alfentanil</v>
      </c>
      <c r="F3257" s="207" t="str">
        <f>IF(AND(A3257&lt;&gt;"",ISNUMBER(A3257)),VLOOKUP(A3257,Studies!A:BR,6,FALSE),"")</f>
        <v>Plasma</v>
      </c>
      <c r="G3257" s="194">
        <v>136</v>
      </c>
      <c r="H3257" s="194" t="s">
        <v>60</v>
      </c>
      <c r="I3257" s="187">
        <v>13.578340000000001</v>
      </c>
      <c r="J3257" s="187" t="s">
        <v>1090</v>
      </c>
      <c r="K3257" s="187" t="s">
        <v>116</v>
      </c>
      <c r="L3257" s="195"/>
      <c r="M3257" s="195"/>
      <c r="N3257" s="195"/>
      <c r="O3257" s="199"/>
      <c r="P3257" s="188"/>
      <c r="Q3257" s="174">
        <f>IF(ISNUMBER(VLOOKUP(A3257,NotghiID!A:A,1,FALSE)),1,0)</f>
        <v>1</v>
      </c>
    </row>
    <row r="3258" spans="1:17" ht="14.25" x14ac:dyDescent="0.2">
      <c r="A3258" s="189">
        <v>309</v>
      </c>
      <c r="B3258" s="232" t="str">
        <f>IF(AND(A3258&lt;&gt;"",ISNUMBER(A3258)),VLOOKUP(A3258,Studies!A:BR,2,FALSE),"")</f>
        <v>Kharasch 2011</v>
      </c>
      <c r="C3258" s="232" t="str">
        <f>IF(AND(A3258&lt;&gt;"",ISNUMBER(A3258)),VLOOKUP(A3258,Studies!A:BR,3,FALSE),"")</f>
        <v>https://www.ncbi.nlm.nih.gov/pubmed/21562488</v>
      </c>
      <c r="D3258" s="232" t="str">
        <f>IF(AND(A3258&lt;&gt;"",ISNUMBER(A3258)),VLOOKUP(A3258,Studies!A:BR,4,FALSE),"")</f>
        <v>po with Perpetrator (Rifampicin @ 5 mg)</v>
      </c>
      <c r="E3258" s="206" t="str">
        <f>IF(AND(A3258&lt;&gt;"",ISNUMBER(A3258)),VLOOKUP(A3258,Studies!A:BR,5,FALSE),"")</f>
        <v>Alfentanil</v>
      </c>
      <c r="F3258" s="207" t="str">
        <f>IF(AND(A3258&lt;&gt;"",ISNUMBER(A3258)),VLOOKUP(A3258,Studies!A:BR,6,FALSE),"")</f>
        <v>Plasma</v>
      </c>
      <c r="G3258" s="194">
        <v>137</v>
      </c>
      <c r="H3258" s="194" t="s">
        <v>60</v>
      </c>
      <c r="I3258" s="187">
        <v>7.54352</v>
      </c>
      <c r="J3258" s="187" t="s">
        <v>1090</v>
      </c>
      <c r="K3258" s="187" t="s">
        <v>116</v>
      </c>
      <c r="L3258" s="195"/>
      <c r="M3258" s="195"/>
      <c r="N3258" s="195"/>
      <c r="O3258" s="199"/>
      <c r="P3258" s="188"/>
      <c r="Q3258" s="174">
        <f>IF(ISNUMBER(VLOOKUP(A3258,NotghiID!A:A,1,FALSE)),1,0)</f>
        <v>1</v>
      </c>
    </row>
    <row r="3259" spans="1:17" ht="14.25" x14ac:dyDescent="0.2">
      <c r="A3259" s="189">
        <v>309</v>
      </c>
      <c r="B3259" s="232" t="str">
        <f>IF(AND(A3259&lt;&gt;"",ISNUMBER(A3259)),VLOOKUP(A3259,Studies!A:BR,2,FALSE),"")</f>
        <v>Kharasch 2011</v>
      </c>
      <c r="C3259" s="232" t="str">
        <f>IF(AND(A3259&lt;&gt;"",ISNUMBER(A3259)),VLOOKUP(A3259,Studies!A:BR,3,FALSE),"")</f>
        <v>https://www.ncbi.nlm.nih.gov/pubmed/21562488</v>
      </c>
      <c r="D3259" s="232" t="str">
        <f>IF(AND(A3259&lt;&gt;"",ISNUMBER(A3259)),VLOOKUP(A3259,Studies!A:BR,4,FALSE),"")</f>
        <v>po with Perpetrator (Rifampicin @ 5 mg)</v>
      </c>
      <c r="E3259" s="206" t="str">
        <f>IF(AND(A3259&lt;&gt;"",ISNUMBER(A3259)),VLOOKUP(A3259,Studies!A:BR,5,FALSE),"")</f>
        <v>Alfentanil</v>
      </c>
      <c r="F3259" s="207" t="str">
        <f>IF(AND(A3259&lt;&gt;"",ISNUMBER(A3259)),VLOOKUP(A3259,Studies!A:BR,6,FALSE),"")</f>
        <v>Plasma</v>
      </c>
      <c r="G3259" s="194">
        <v>138</v>
      </c>
      <c r="H3259" s="194" t="s">
        <v>60</v>
      </c>
      <c r="I3259" s="187">
        <v>4.1779500000000001</v>
      </c>
      <c r="J3259" s="187" t="s">
        <v>1090</v>
      </c>
      <c r="K3259" s="187" t="s">
        <v>116</v>
      </c>
      <c r="L3259" s="195"/>
      <c r="M3259" s="195"/>
      <c r="N3259" s="195"/>
      <c r="O3259" s="199"/>
      <c r="P3259" s="188"/>
      <c r="Q3259" s="174">
        <f>IF(ISNUMBER(VLOOKUP(A3259,NotghiID!A:A,1,FALSE)),1,0)</f>
        <v>1</v>
      </c>
    </row>
    <row r="3260" spans="1:17" ht="14.25" x14ac:dyDescent="0.2">
      <c r="A3260" s="189">
        <v>309</v>
      </c>
      <c r="B3260" s="232" t="str">
        <f>IF(AND(A3260&lt;&gt;"",ISNUMBER(A3260)),VLOOKUP(A3260,Studies!A:BR,2,FALSE),"")</f>
        <v>Kharasch 2011</v>
      </c>
      <c r="C3260" s="232" t="str">
        <f>IF(AND(A3260&lt;&gt;"",ISNUMBER(A3260)),VLOOKUP(A3260,Studies!A:BR,3,FALSE),"")</f>
        <v>https://www.ncbi.nlm.nih.gov/pubmed/21562488</v>
      </c>
      <c r="D3260" s="232" t="str">
        <f>IF(AND(A3260&lt;&gt;"",ISNUMBER(A3260)),VLOOKUP(A3260,Studies!A:BR,4,FALSE),"")</f>
        <v>po with Perpetrator (Rifampicin @ 5 mg)</v>
      </c>
      <c r="E3260" s="206" t="str">
        <f>IF(AND(A3260&lt;&gt;"",ISNUMBER(A3260)),VLOOKUP(A3260,Studies!A:BR,5,FALSE),"")</f>
        <v>Alfentanil</v>
      </c>
      <c r="F3260" s="207" t="str">
        <f>IF(AND(A3260&lt;&gt;"",ISNUMBER(A3260)),VLOOKUP(A3260,Studies!A:BR,6,FALSE),"")</f>
        <v>Plasma</v>
      </c>
      <c r="G3260" s="194">
        <v>139</v>
      </c>
      <c r="H3260" s="194" t="s">
        <v>60</v>
      </c>
      <c r="I3260" s="187">
        <v>2.6692459999999998</v>
      </c>
      <c r="J3260" s="187" t="s">
        <v>1090</v>
      </c>
      <c r="K3260" s="187" t="s">
        <v>116</v>
      </c>
      <c r="L3260" s="195"/>
      <c r="M3260" s="195"/>
      <c r="N3260" s="195"/>
      <c r="O3260" s="199"/>
      <c r="P3260" s="188"/>
      <c r="Q3260" s="174">
        <f>IF(ISNUMBER(VLOOKUP(A3260,NotghiID!A:A,1,FALSE)),1,0)</f>
        <v>1</v>
      </c>
    </row>
    <row r="3261" spans="1:17" ht="14.25" x14ac:dyDescent="0.2">
      <c r="A3261" s="189">
        <v>309</v>
      </c>
      <c r="B3261" s="232" t="str">
        <f>IF(AND(A3261&lt;&gt;"",ISNUMBER(A3261)),VLOOKUP(A3261,Studies!A:BR,2,FALSE),"")</f>
        <v>Kharasch 2011</v>
      </c>
      <c r="C3261" s="232" t="str">
        <f>IF(AND(A3261&lt;&gt;"",ISNUMBER(A3261)),VLOOKUP(A3261,Studies!A:BR,3,FALSE),"")</f>
        <v>https://www.ncbi.nlm.nih.gov/pubmed/21562488</v>
      </c>
      <c r="D3261" s="232" t="str">
        <f>IF(AND(A3261&lt;&gt;"",ISNUMBER(A3261)),VLOOKUP(A3261,Studies!A:BR,4,FALSE),"")</f>
        <v>po with Perpetrator (Rifampicin @ 5 mg)</v>
      </c>
      <c r="E3261" s="206" t="str">
        <f>IF(AND(A3261&lt;&gt;"",ISNUMBER(A3261)),VLOOKUP(A3261,Studies!A:BR,5,FALSE),"")</f>
        <v>Alfentanil</v>
      </c>
      <c r="F3261" s="207" t="str">
        <f>IF(AND(A3261&lt;&gt;"",ISNUMBER(A3261)),VLOOKUP(A3261,Studies!A:BR,6,FALSE),"")</f>
        <v>Plasma</v>
      </c>
      <c r="G3261" s="194">
        <v>141</v>
      </c>
      <c r="H3261" s="194" t="s">
        <v>60</v>
      </c>
      <c r="I3261" s="187">
        <v>0.92843319999999996</v>
      </c>
      <c r="J3261" s="187" t="s">
        <v>1090</v>
      </c>
      <c r="K3261" s="187" t="s">
        <v>116</v>
      </c>
      <c r="L3261" s="195"/>
      <c r="M3261" s="195"/>
      <c r="N3261" s="195"/>
      <c r="O3261" s="199"/>
      <c r="P3261" s="188"/>
      <c r="Q3261" s="174">
        <f>IF(ISNUMBER(VLOOKUP(A3261,NotghiID!A:A,1,FALSE)),1,0)</f>
        <v>1</v>
      </c>
    </row>
    <row r="3262" spans="1:17" ht="14.25" x14ac:dyDescent="0.2">
      <c r="A3262" s="189">
        <v>310</v>
      </c>
      <c r="B3262" s="232" t="str">
        <f>IF(AND(A3262&lt;&gt;"",ISNUMBER(A3262)),VLOOKUP(A3262,Studies!A:BR,2,FALSE),"")</f>
        <v>Kharasch 2011</v>
      </c>
      <c r="C3262" s="232" t="str">
        <f>IF(AND(A3262&lt;&gt;"",ISNUMBER(A3262)),VLOOKUP(A3262,Studies!A:BR,3,FALSE),"")</f>
        <v>https://www.ncbi.nlm.nih.gov/pubmed/21562488</v>
      </c>
      <c r="D3262" s="232" t="str">
        <f>IF(AND(A3262&lt;&gt;"",ISNUMBER(A3262)),VLOOKUP(A3262,Studies!A:BR,4,FALSE),"")</f>
        <v>po with Perpetrator (Rifampicin @ 10 mg)</v>
      </c>
      <c r="E3262" s="206" t="str">
        <f>IF(AND(A3262&lt;&gt;"",ISNUMBER(A3262)),VLOOKUP(A3262,Studies!A:BR,5,FALSE),"")</f>
        <v>Alfentanil</v>
      </c>
      <c r="F3262" s="207" t="str">
        <f>IF(AND(A3262&lt;&gt;"",ISNUMBER(A3262)),VLOOKUP(A3262,Studies!A:BR,6,FALSE),"")</f>
        <v>Plasma</v>
      </c>
      <c r="G3262" s="194">
        <v>133</v>
      </c>
      <c r="H3262" s="194" t="s">
        <v>60</v>
      </c>
      <c r="I3262" s="187">
        <v>0</v>
      </c>
      <c r="J3262" s="187" t="s">
        <v>1090</v>
      </c>
      <c r="K3262" s="187" t="s">
        <v>116</v>
      </c>
      <c r="L3262" s="195"/>
      <c r="M3262" s="195"/>
      <c r="N3262" s="195"/>
      <c r="O3262" s="199"/>
      <c r="P3262" s="188"/>
      <c r="Q3262" s="174">
        <f>IF(ISNUMBER(VLOOKUP(A3262,NotghiID!A:A,1,FALSE)),1,0)</f>
        <v>1</v>
      </c>
    </row>
    <row r="3263" spans="1:17" ht="14.25" x14ac:dyDescent="0.2">
      <c r="A3263" s="189">
        <v>310</v>
      </c>
      <c r="B3263" s="232" t="str">
        <f>IF(AND(A3263&lt;&gt;"",ISNUMBER(A3263)),VLOOKUP(A3263,Studies!A:BR,2,FALSE),"")</f>
        <v>Kharasch 2011</v>
      </c>
      <c r="C3263" s="232" t="str">
        <f>IF(AND(A3263&lt;&gt;"",ISNUMBER(A3263)),VLOOKUP(A3263,Studies!A:BR,3,FALSE),"")</f>
        <v>https://www.ncbi.nlm.nih.gov/pubmed/21562488</v>
      </c>
      <c r="D3263" s="232" t="str">
        <f>IF(AND(A3263&lt;&gt;"",ISNUMBER(A3263)),VLOOKUP(A3263,Studies!A:BR,4,FALSE),"")</f>
        <v>po with Perpetrator (Rifampicin @ 10 mg)</v>
      </c>
      <c r="E3263" s="206" t="str">
        <f>IF(AND(A3263&lt;&gt;"",ISNUMBER(A3263)),VLOOKUP(A3263,Studies!A:BR,5,FALSE),"")</f>
        <v>Alfentanil</v>
      </c>
      <c r="F3263" s="207" t="str">
        <f>IF(AND(A3263&lt;&gt;"",ISNUMBER(A3263)),VLOOKUP(A3263,Studies!A:BR,6,FALSE),"")</f>
        <v>Plasma</v>
      </c>
      <c r="G3263" s="194">
        <v>133.08000000000001</v>
      </c>
      <c r="H3263" s="194" t="s">
        <v>60</v>
      </c>
      <c r="I3263" s="187">
        <v>3.1334620000000002</v>
      </c>
      <c r="J3263" s="187" t="s">
        <v>1090</v>
      </c>
      <c r="K3263" s="187" t="s">
        <v>116</v>
      </c>
      <c r="L3263" s="195"/>
      <c r="M3263" s="195"/>
      <c r="N3263" s="195"/>
      <c r="O3263" s="199"/>
      <c r="P3263" s="188"/>
      <c r="Q3263" s="174">
        <f>IF(ISNUMBER(VLOOKUP(A3263,NotghiID!A:A,1,FALSE)),1,0)</f>
        <v>1</v>
      </c>
    </row>
    <row r="3264" spans="1:17" ht="14.25" x14ac:dyDescent="0.2">
      <c r="A3264" s="189">
        <v>310</v>
      </c>
      <c r="B3264" s="232" t="str">
        <f>IF(AND(A3264&lt;&gt;"",ISNUMBER(A3264)),VLOOKUP(A3264,Studies!A:BR,2,FALSE),"")</f>
        <v>Kharasch 2011</v>
      </c>
      <c r="C3264" s="232" t="str">
        <f>IF(AND(A3264&lt;&gt;"",ISNUMBER(A3264)),VLOOKUP(A3264,Studies!A:BR,3,FALSE),"")</f>
        <v>https://www.ncbi.nlm.nih.gov/pubmed/21562488</v>
      </c>
      <c r="D3264" s="232" t="str">
        <f>IF(AND(A3264&lt;&gt;"",ISNUMBER(A3264)),VLOOKUP(A3264,Studies!A:BR,4,FALSE),"")</f>
        <v>po with Perpetrator (Rifampicin @ 10 mg)</v>
      </c>
      <c r="E3264" s="206" t="str">
        <f>IF(AND(A3264&lt;&gt;"",ISNUMBER(A3264)),VLOOKUP(A3264,Studies!A:BR,5,FALSE),"")</f>
        <v>Alfentanil</v>
      </c>
      <c r="F3264" s="207" t="str">
        <f>IF(AND(A3264&lt;&gt;"",ISNUMBER(A3264)),VLOOKUP(A3264,Studies!A:BR,6,FALSE),"")</f>
        <v>Plasma</v>
      </c>
      <c r="G3264" s="194">
        <v>133.16999999999999</v>
      </c>
      <c r="H3264" s="194" t="s">
        <v>60</v>
      </c>
      <c r="I3264" s="187">
        <v>12.99807</v>
      </c>
      <c r="J3264" s="187" t="s">
        <v>1090</v>
      </c>
      <c r="K3264" s="187" t="s">
        <v>116</v>
      </c>
      <c r="L3264" s="195"/>
      <c r="M3264" s="195"/>
      <c r="N3264" s="195"/>
      <c r="O3264" s="199"/>
      <c r="P3264" s="188"/>
      <c r="Q3264" s="174">
        <f>IF(ISNUMBER(VLOOKUP(A3264,NotghiID!A:A,1,FALSE)),1,0)</f>
        <v>1</v>
      </c>
    </row>
    <row r="3265" spans="1:17" ht="14.25" x14ac:dyDescent="0.2">
      <c r="A3265" s="189">
        <v>310</v>
      </c>
      <c r="B3265" s="232" t="str">
        <f>IF(AND(A3265&lt;&gt;"",ISNUMBER(A3265)),VLOOKUP(A3265,Studies!A:BR,2,FALSE),"")</f>
        <v>Kharasch 2011</v>
      </c>
      <c r="C3265" s="232" t="str">
        <f>IF(AND(A3265&lt;&gt;"",ISNUMBER(A3265)),VLOOKUP(A3265,Studies!A:BR,3,FALSE),"")</f>
        <v>https://www.ncbi.nlm.nih.gov/pubmed/21562488</v>
      </c>
      <c r="D3265" s="232" t="str">
        <f>IF(AND(A3265&lt;&gt;"",ISNUMBER(A3265)),VLOOKUP(A3265,Studies!A:BR,4,FALSE),"")</f>
        <v>po with Perpetrator (Rifampicin @ 10 mg)</v>
      </c>
      <c r="E3265" s="206" t="str">
        <f>IF(AND(A3265&lt;&gt;"",ISNUMBER(A3265)),VLOOKUP(A3265,Studies!A:BR,5,FALSE),"")</f>
        <v>Alfentanil</v>
      </c>
      <c r="F3265" s="207" t="str">
        <f>IF(AND(A3265&lt;&gt;"",ISNUMBER(A3265)),VLOOKUP(A3265,Studies!A:BR,6,FALSE),"")</f>
        <v>Plasma</v>
      </c>
      <c r="G3265" s="194">
        <v>133.25</v>
      </c>
      <c r="H3265" s="194" t="s">
        <v>60</v>
      </c>
      <c r="I3265" s="187">
        <v>20.425529999999998</v>
      </c>
      <c r="J3265" s="187" t="s">
        <v>1090</v>
      </c>
      <c r="K3265" s="187" t="s">
        <v>116</v>
      </c>
      <c r="L3265" s="195"/>
      <c r="M3265" s="195"/>
      <c r="N3265" s="195"/>
      <c r="O3265" s="199"/>
      <c r="P3265" s="188"/>
      <c r="Q3265" s="174">
        <f>IF(ISNUMBER(VLOOKUP(A3265,NotghiID!A:A,1,FALSE)),1,0)</f>
        <v>1</v>
      </c>
    </row>
    <row r="3266" spans="1:17" ht="14.25" x14ac:dyDescent="0.2">
      <c r="A3266" s="189">
        <v>310</v>
      </c>
      <c r="B3266" s="232" t="str">
        <f>IF(AND(A3266&lt;&gt;"",ISNUMBER(A3266)),VLOOKUP(A3266,Studies!A:BR,2,FALSE),"")</f>
        <v>Kharasch 2011</v>
      </c>
      <c r="C3266" s="232" t="str">
        <f>IF(AND(A3266&lt;&gt;"",ISNUMBER(A3266)),VLOOKUP(A3266,Studies!A:BR,3,FALSE),"")</f>
        <v>https://www.ncbi.nlm.nih.gov/pubmed/21562488</v>
      </c>
      <c r="D3266" s="232" t="str">
        <f>IF(AND(A3266&lt;&gt;"",ISNUMBER(A3266)),VLOOKUP(A3266,Studies!A:BR,4,FALSE),"")</f>
        <v>po with Perpetrator (Rifampicin @ 10 mg)</v>
      </c>
      <c r="E3266" s="206" t="str">
        <f>IF(AND(A3266&lt;&gt;"",ISNUMBER(A3266)),VLOOKUP(A3266,Studies!A:BR,5,FALSE),"")</f>
        <v>Alfentanil</v>
      </c>
      <c r="F3266" s="207" t="str">
        <f>IF(AND(A3266&lt;&gt;"",ISNUMBER(A3266)),VLOOKUP(A3266,Studies!A:BR,6,FALSE),"")</f>
        <v>Plasma</v>
      </c>
      <c r="G3266" s="194">
        <v>133.33000000000001</v>
      </c>
      <c r="H3266" s="194" t="s">
        <v>60</v>
      </c>
      <c r="I3266" s="187">
        <v>26.808509999999998</v>
      </c>
      <c r="J3266" s="187" t="s">
        <v>1090</v>
      </c>
      <c r="K3266" s="187" t="s">
        <v>116</v>
      </c>
      <c r="L3266" s="195"/>
      <c r="M3266" s="195"/>
      <c r="N3266" s="195"/>
      <c r="O3266" s="199"/>
      <c r="P3266" s="188"/>
      <c r="Q3266" s="174">
        <f>IF(ISNUMBER(VLOOKUP(A3266,NotghiID!A:A,1,FALSE)),1,0)</f>
        <v>1</v>
      </c>
    </row>
    <row r="3267" spans="1:17" ht="14.25" x14ac:dyDescent="0.2">
      <c r="A3267" s="189">
        <v>310</v>
      </c>
      <c r="B3267" s="232" t="str">
        <f>IF(AND(A3267&lt;&gt;"",ISNUMBER(A3267)),VLOOKUP(A3267,Studies!A:BR,2,FALSE),"")</f>
        <v>Kharasch 2011</v>
      </c>
      <c r="C3267" s="232" t="str">
        <f>IF(AND(A3267&lt;&gt;"",ISNUMBER(A3267)),VLOOKUP(A3267,Studies!A:BR,3,FALSE),"")</f>
        <v>https://www.ncbi.nlm.nih.gov/pubmed/21562488</v>
      </c>
      <c r="D3267" s="232" t="str">
        <f>IF(AND(A3267&lt;&gt;"",ISNUMBER(A3267)),VLOOKUP(A3267,Studies!A:BR,4,FALSE),"")</f>
        <v>po with Perpetrator (Rifampicin @ 10 mg)</v>
      </c>
      <c r="E3267" s="206" t="str">
        <f>IF(AND(A3267&lt;&gt;"",ISNUMBER(A3267)),VLOOKUP(A3267,Studies!A:BR,5,FALSE),"")</f>
        <v>Alfentanil</v>
      </c>
      <c r="F3267" s="207" t="str">
        <f>IF(AND(A3267&lt;&gt;"",ISNUMBER(A3267)),VLOOKUP(A3267,Studies!A:BR,6,FALSE),"")</f>
        <v>Plasma</v>
      </c>
      <c r="G3267" s="194">
        <v>133.5</v>
      </c>
      <c r="H3267" s="194" t="s">
        <v>60</v>
      </c>
      <c r="I3267" s="187">
        <v>28.08511</v>
      </c>
      <c r="J3267" s="187" t="s">
        <v>1090</v>
      </c>
      <c r="K3267" s="187" t="s">
        <v>116</v>
      </c>
      <c r="L3267" s="195"/>
      <c r="M3267" s="195"/>
      <c r="N3267" s="195"/>
      <c r="O3267" s="199"/>
      <c r="P3267" s="188"/>
      <c r="Q3267" s="174">
        <f>IF(ISNUMBER(VLOOKUP(A3267,NotghiID!A:A,1,FALSE)),1,0)</f>
        <v>1</v>
      </c>
    </row>
    <row r="3268" spans="1:17" ht="14.25" x14ac:dyDescent="0.2">
      <c r="A3268" s="189">
        <v>310</v>
      </c>
      <c r="B3268" s="232" t="str">
        <f>IF(AND(A3268&lt;&gt;"",ISNUMBER(A3268)),VLOOKUP(A3268,Studies!A:BR,2,FALSE),"")</f>
        <v>Kharasch 2011</v>
      </c>
      <c r="C3268" s="232" t="str">
        <f>IF(AND(A3268&lt;&gt;"",ISNUMBER(A3268)),VLOOKUP(A3268,Studies!A:BR,3,FALSE),"")</f>
        <v>https://www.ncbi.nlm.nih.gov/pubmed/21562488</v>
      </c>
      <c r="D3268" s="232" t="str">
        <f>IF(AND(A3268&lt;&gt;"",ISNUMBER(A3268)),VLOOKUP(A3268,Studies!A:BR,4,FALSE),"")</f>
        <v>po with Perpetrator (Rifampicin @ 10 mg)</v>
      </c>
      <c r="E3268" s="206" t="str">
        <f>IF(AND(A3268&lt;&gt;"",ISNUMBER(A3268)),VLOOKUP(A3268,Studies!A:BR,5,FALSE),"")</f>
        <v>Alfentanil</v>
      </c>
      <c r="F3268" s="207" t="str">
        <f>IF(AND(A3268&lt;&gt;"",ISNUMBER(A3268)),VLOOKUP(A3268,Studies!A:BR,6,FALSE),"")</f>
        <v>Plasma</v>
      </c>
      <c r="G3268" s="194">
        <v>133.75</v>
      </c>
      <c r="H3268" s="194" t="s">
        <v>60</v>
      </c>
      <c r="I3268" s="187">
        <v>37.137329999999999</v>
      </c>
      <c r="J3268" s="187" t="s">
        <v>1090</v>
      </c>
      <c r="K3268" s="187" t="s">
        <v>116</v>
      </c>
      <c r="L3268" s="195"/>
      <c r="M3268" s="195"/>
      <c r="N3268" s="195"/>
      <c r="O3268" s="199"/>
      <c r="P3268" s="188"/>
      <c r="Q3268" s="174">
        <f>IF(ISNUMBER(VLOOKUP(A3268,NotghiID!A:A,1,FALSE)),1,0)</f>
        <v>1</v>
      </c>
    </row>
    <row r="3269" spans="1:17" ht="14.25" x14ac:dyDescent="0.2">
      <c r="A3269" s="189">
        <v>310</v>
      </c>
      <c r="B3269" s="232" t="str">
        <f>IF(AND(A3269&lt;&gt;"",ISNUMBER(A3269)),VLOOKUP(A3269,Studies!A:BR,2,FALSE),"")</f>
        <v>Kharasch 2011</v>
      </c>
      <c r="C3269" s="232" t="str">
        <f>IF(AND(A3269&lt;&gt;"",ISNUMBER(A3269)),VLOOKUP(A3269,Studies!A:BR,3,FALSE),"")</f>
        <v>https://www.ncbi.nlm.nih.gov/pubmed/21562488</v>
      </c>
      <c r="D3269" s="232" t="str">
        <f>IF(AND(A3269&lt;&gt;"",ISNUMBER(A3269)),VLOOKUP(A3269,Studies!A:BR,4,FALSE),"")</f>
        <v>po with Perpetrator (Rifampicin @ 10 mg)</v>
      </c>
      <c r="E3269" s="206" t="str">
        <f>IF(AND(A3269&lt;&gt;"",ISNUMBER(A3269)),VLOOKUP(A3269,Studies!A:BR,5,FALSE),"")</f>
        <v>Alfentanil</v>
      </c>
      <c r="F3269" s="207" t="str">
        <f>IF(AND(A3269&lt;&gt;"",ISNUMBER(A3269)),VLOOKUP(A3269,Studies!A:BR,6,FALSE),"")</f>
        <v>Plasma</v>
      </c>
      <c r="G3269" s="194">
        <v>134</v>
      </c>
      <c r="H3269" s="194" t="s">
        <v>60</v>
      </c>
      <c r="I3269" s="187">
        <v>30.058029999999999</v>
      </c>
      <c r="J3269" s="187" t="s">
        <v>1090</v>
      </c>
      <c r="K3269" s="187" t="s">
        <v>116</v>
      </c>
      <c r="L3269" s="195"/>
      <c r="M3269" s="195"/>
      <c r="N3269" s="195"/>
      <c r="O3269" s="199"/>
      <c r="P3269" s="188"/>
      <c r="Q3269" s="174">
        <f>IF(ISNUMBER(VLOOKUP(A3269,NotghiID!A:A,1,FALSE)),1,0)</f>
        <v>1</v>
      </c>
    </row>
    <row r="3270" spans="1:17" ht="14.25" x14ac:dyDescent="0.2">
      <c r="A3270" s="189">
        <v>310</v>
      </c>
      <c r="B3270" s="232" t="str">
        <f>IF(AND(A3270&lt;&gt;"",ISNUMBER(A3270)),VLOOKUP(A3270,Studies!A:BR,2,FALSE),"")</f>
        <v>Kharasch 2011</v>
      </c>
      <c r="C3270" s="232" t="str">
        <f>IF(AND(A3270&lt;&gt;"",ISNUMBER(A3270)),VLOOKUP(A3270,Studies!A:BR,3,FALSE),"")</f>
        <v>https://www.ncbi.nlm.nih.gov/pubmed/21562488</v>
      </c>
      <c r="D3270" s="232" t="str">
        <f>IF(AND(A3270&lt;&gt;"",ISNUMBER(A3270)),VLOOKUP(A3270,Studies!A:BR,4,FALSE),"")</f>
        <v>po with Perpetrator (Rifampicin @ 10 mg)</v>
      </c>
      <c r="E3270" s="206" t="str">
        <f>IF(AND(A3270&lt;&gt;"",ISNUMBER(A3270)),VLOOKUP(A3270,Studies!A:BR,5,FALSE),"")</f>
        <v>Alfentanil</v>
      </c>
      <c r="F3270" s="207" t="str">
        <f>IF(AND(A3270&lt;&gt;"",ISNUMBER(A3270)),VLOOKUP(A3270,Studies!A:BR,6,FALSE),"")</f>
        <v>Plasma</v>
      </c>
      <c r="G3270" s="194">
        <v>134.5</v>
      </c>
      <c r="H3270" s="194" t="s">
        <v>60</v>
      </c>
      <c r="I3270" s="187">
        <v>22.978719999999999</v>
      </c>
      <c r="J3270" s="187" t="s">
        <v>1090</v>
      </c>
      <c r="K3270" s="187" t="s">
        <v>116</v>
      </c>
      <c r="L3270" s="195"/>
      <c r="M3270" s="195"/>
      <c r="N3270" s="195"/>
      <c r="O3270" s="199"/>
      <c r="P3270" s="188"/>
      <c r="Q3270" s="174">
        <f>IF(ISNUMBER(VLOOKUP(A3270,NotghiID!A:A,1,FALSE)),1,0)</f>
        <v>1</v>
      </c>
    </row>
    <row r="3271" spans="1:17" ht="14.25" x14ac:dyDescent="0.2">
      <c r="A3271" s="189">
        <v>310</v>
      </c>
      <c r="B3271" s="232" t="str">
        <f>IF(AND(A3271&lt;&gt;"",ISNUMBER(A3271)),VLOOKUP(A3271,Studies!A:BR,2,FALSE),"")</f>
        <v>Kharasch 2011</v>
      </c>
      <c r="C3271" s="232" t="str">
        <f>IF(AND(A3271&lt;&gt;"",ISNUMBER(A3271)),VLOOKUP(A3271,Studies!A:BR,3,FALSE),"")</f>
        <v>https://www.ncbi.nlm.nih.gov/pubmed/21562488</v>
      </c>
      <c r="D3271" s="232" t="str">
        <f>IF(AND(A3271&lt;&gt;"",ISNUMBER(A3271)),VLOOKUP(A3271,Studies!A:BR,4,FALSE),"")</f>
        <v>po with Perpetrator (Rifampicin @ 10 mg)</v>
      </c>
      <c r="E3271" s="206" t="str">
        <f>IF(AND(A3271&lt;&gt;"",ISNUMBER(A3271)),VLOOKUP(A3271,Studies!A:BR,5,FALSE),"")</f>
        <v>Alfentanil</v>
      </c>
      <c r="F3271" s="207" t="str">
        <f>IF(AND(A3271&lt;&gt;"",ISNUMBER(A3271)),VLOOKUP(A3271,Studies!A:BR,6,FALSE),"")</f>
        <v>Plasma</v>
      </c>
      <c r="G3271" s="194">
        <v>135</v>
      </c>
      <c r="H3271" s="194" t="s">
        <v>60</v>
      </c>
      <c r="I3271" s="187">
        <v>18.10445</v>
      </c>
      <c r="J3271" s="187" t="s">
        <v>1090</v>
      </c>
      <c r="K3271" s="187" t="s">
        <v>116</v>
      </c>
      <c r="L3271" s="195"/>
      <c r="M3271" s="195"/>
      <c r="N3271" s="195"/>
      <c r="O3271" s="199"/>
      <c r="P3271" s="188"/>
      <c r="Q3271" s="174">
        <f>IF(ISNUMBER(VLOOKUP(A3271,NotghiID!A:A,1,FALSE)),1,0)</f>
        <v>1</v>
      </c>
    </row>
    <row r="3272" spans="1:17" ht="14.25" x14ac:dyDescent="0.2">
      <c r="A3272" s="189">
        <v>310</v>
      </c>
      <c r="B3272" s="232" t="str">
        <f>IF(AND(A3272&lt;&gt;"",ISNUMBER(A3272)),VLOOKUP(A3272,Studies!A:BR,2,FALSE),"")</f>
        <v>Kharasch 2011</v>
      </c>
      <c r="C3272" s="232" t="str">
        <f>IF(AND(A3272&lt;&gt;"",ISNUMBER(A3272)),VLOOKUP(A3272,Studies!A:BR,3,FALSE),"")</f>
        <v>https://www.ncbi.nlm.nih.gov/pubmed/21562488</v>
      </c>
      <c r="D3272" s="232" t="str">
        <f>IF(AND(A3272&lt;&gt;"",ISNUMBER(A3272)),VLOOKUP(A3272,Studies!A:BR,4,FALSE),"")</f>
        <v>po with Perpetrator (Rifampicin @ 10 mg)</v>
      </c>
      <c r="E3272" s="206" t="str">
        <f>IF(AND(A3272&lt;&gt;"",ISNUMBER(A3272)),VLOOKUP(A3272,Studies!A:BR,5,FALSE),"")</f>
        <v>Alfentanil</v>
      </c>
      <c r="F3272" s="207" t="str">
        <f>IF(AND(A3272&lt;&gt;"",ISNUMBER(A3272)),VLOOKUP(A3272,Studies!A:BR,6,FALSE),"")</f>
        <v>Plasma</v>
      </c>
      <c r="G3272" s="194">
        <v>135.5</v>
      </c>
      <c r="H3272" s="194" t="s">
        <v>60</v>
      </c>
      <c r="I3272" s="187">
        <v>14.274660000000001</v>
      </c>
      <c r="J3272" s="187" t="s">
        <v>1090</v>
      </c>
      <c r="K3272" s="187" t="s">
        <v>116</v>
      </c>
      <c r="L3272" s="195"/>
      <c r="M3272" s="195"/>
      <c r="N3272" s="195"/>
      <c r="O3272" s="199"/>
      <c r="P3272" s="188"/>
      <c r="Q3272" s="174">
        <f>IF(ISNUMBER(VLOOKUP(A3272,NotghiID!A:A,1,FALSE)),1,0)</f>
        <v>1</v>
      </c>
    </row>
    <row r="3273" spans="1:17" ht="14.25" x14ac:dyDescent="0.2">
      <c r="A3273" s="189">
        <v>310</v>
      </c>
      <c r="B3273" s="232" t="str">
        <f>IF(AND(A3273&lt;&gt;"",ISNUMBER(A3273)),VLOOKUP(A3273,Studies!A:BR,2,FALSE),"")</f>
        <v>Kharasch 2011</v>
      </c>
      <c r="C3273" s="232" t="str">
        <f>IF(AND(A3273&lt;&gt;"",ISNUMBER(A3273)),VLOOKUP(A3273,Studies!A:BR,3,FALSE),"")</f>
        <v>https://www.ncbi.nlm.nih.gov/pubmed/21562488</v>
      </c>
      <c r="D3273" s="232" t="str">
        <f>IF(AND(A3273&lt;&gt;"",ISNUMBER(A3273)),VLOOKUP(A3273,Studies!A:BR,4,FALSE),"")</f>
        <v>po with Perpetrator (Rifampicin @ 10 mg)</v>
      </c>
      <c r="E3273" s="206" t="str">
        <f>IF(AND(A3273&lt;&gt;"",ISNUMBER(A3273)),VLOOKUP(A3273,Studies!A:BR,5,FALSE),"")</f>
        <v>Alfentanil</v>
      </c>
      <c r="F3273" s="207" t="str">
        <f>IF(AND(A3273&lt;&gt;"",ISNUMBER(A3273)),VLOOKUP(A3273,Studies!A:BR,6,FALSE),"")</f>
        <v>Plasma</v>
      </c>
      <c r="G3273" s="194">
        <v>136</v>
      </c>
      <c r="H3273" s="194" t="s">
        <v>60</v>
      </c>
      <c r="I3273" s="187">
        <v>10.79304</v>
      </c>
      <c r="J3273" s="187" t="s">
        <v>1090</v>
      </c>
      <c r="K3273" s="187" t="s">
        <v>116</v>
      </c>
      <c r="L3273" s="195"/>
      <c r="M3273" s="195"/>
      <c r="N3273" s="195"/>
      <c r="O3273" s="199"/>
      <c r="P3273" s="188"/>
      <c r="Q3273" s="174">
        <f>IF(ISNUMBER(VLOOKUP(A3273,NotghiID!A:A,1,FALSE)),1,0)</f>
        <v>1</v>
      </c>
    </row>
    <row r="3274" spans="1:17" ht="14.25" x14ac:dyDescent="0.2">
      <c r="A3274" s="189">
        <v>310</v>
      </c>
      <c r="B3274" s="232" t="str">
        <f>IF(AND(A3274&lt;&gt;"",ISNUMBER(A3274)),VLOOKUP(A3274,Studies!A:BR,2,FALSE),"")</f>
        <v>Kharasch 2011</v>
      </c>
      <c r="C3274" s="232" t="str">
        <f>IF(AND(A3274&lt;&gt;"",ISNUMBER(A3274)),VLOOKUP(A3274,Studies!A:BR,3,FALSE),"")</f>
        <v>https://www.ncbi.nlm.nih.gov/pubmed/21562488</v>
      </c>
      <c r="D3274" s="232" t="str">
        <f>IF(AND(A3274&lt;&gt;"",ISNUMBER(A3274)),VLOOKUP(A3274,Studies!A:BR,4,FALSE),"")</f>
        <v>po with Perpetrator (Rifampicin @ 10 mg)</v>
      </c>
      <c r="E3274" s="206" t="str">
        <f>IF(AND(A3274&lt;&gt;"",ISNUMBER(A3274)),VLOOKUP(A3274,Studies!A:BR,5,FALSE),"")</f>
        <v>Alfentanil</v>
      </c>
      <c r="F3274" s="207" t="str">
        <f>IF(AND(A3274&lt;&gt;"",ISNUMBER(A3274)),VLOOKUP(A3274,Studies!A:BR,6,FALSE),"")</f>
        <v>Plasma</v>
      </c>
      <c r="G3274" s="194">
        <v>137</v>
      </c>
      <c r="H3274" s="194" t="s">
        <v>60</v>
      </c>
      <c r="I3274" s="187">
        <v>6.2669240000000004</v>
      </c>
      <c r="J3274" s="187" t="s">
        <v>1090</v>
      </c>
      <c r="K3274" s="187" t="s">
        <v>116</v>
      </c>
      <c r="L3274" s="195"/>
      <c r="M3274" s="195"/>
      <c r="N3274" s="195"/>
      <c r="O3274" s="199"/>
      <c r="P3274" s="188"/>
      <c r="Q3274" s="174">
        <f>IF(ISNUMBER(VLOOKUP(A3274,NotghiID!A:A,1,FALSE)),1,0)</f>
        <v>1</v>
      </c>
    </row>
    <row r="3275" spans="1:17" ht="14.25" x14ac:dyDescent="0.2">
      <c r="A3275" s="189">
        <v>310</v>
      </c>
      <c r="B3275" s="232" t="str">
        <f>IF(AND(A3275&lt;&gt;"",ISNUMBER(A3275)),VLOOKUP(A3275,Studies!A:BR,2,FALSE),"")</f>
        <v>Kharasch 2011</v>
      </c>
      <c r="C3275" s="232" t="str">
        <f>IF(AND(A3275&lt;&gt;"",ISNUMBER(A3275)),VLOOKUP(A3275,Studies!A:BR,3,FALSE),"")</f>
        <v>https://www.ncbi.nlm.nih.gov/pubmed/21562488</v>
      </c>
      <c r="D3275" s="232" t="str">
        <f>IF(AND(A3275&lt;&gt;"",ISNUMBER(A3275)),VLOOKUP(A3275,Studies!A:BR,4,FALSE),"")</f>
        <v>po with Perpetrator (Rifampicin @ 10 mg)</v>
      </c>
      <c r="E3275" s="206" t="str">
        <f>IF(AND(A3275&lt;&gt;"",ISNUMBER(A3275)),VLOOKUP(A3275,Studies!A:BR,5,FALSE),"")</f>
        <v>Alfentanil</v>
      </c>
      <c r="F3275" s="207" t="str">
        <f>IF(AND(A3275&lt;&gt;"",ISNUMBER(A3275)),VLOOKUP(A3275,Studies!A:BR,6,FALSE),"")</f>
        <v>Plasma</v>
      </c>
      <c r="G3275" s="194">
        <v>138</v>
      </c>
      <c r="H3275" s="194" t="s">
        <v>60</v>
      </c>
      <c r="I3275" s="187">
        <v>3.3655710000000001</v>
      </c>
      <c r="J3275" s="187" t="s">
        <v>1090</v>
      </c>
      <c r="K3275" s="187" t="s">
        <v>116</v>
      </c>
      <c r="L3275" s="195"/>
      <c r="M3275" s="195"/>
      <c r="N3275" s="195"/>
      <c r="O3275" s="199"/>
      <c r="P3275" s="188"/>
      <c r="Q3275" s="174">
        <f>IF(ISNUMBER(VLOOKUP(A3275,NotghiID!A:A,1,FALSE)),1,0)</f>
        <v>1</v>
      </c>
    </row>
    <row r="3276" spans="1:17" ht="14.25" x14ac:dyDescent="0.2">
      <c r="A3276" s="189">
        <v>310</v>
      </c>
      <c r="B3276" s="232" t="str">
        <f>IF(AND(A3276&lt;&gt;"",ISNUMBER(A3276)),VLOOKUP(A3276,Studies!A:BR,2,FALSE),"")</f>
        <v>Kharasch 2011</v>
      </c>
      <c r="C3276" s="232" t="str">
        <f>IF(AND(A3276&lt;&gt;"",ISNUMBER(A3276)),VLOOKUP(A3276,Studies!A:BR,3,FALSE),"")</f>
        <v>https://www.ncbi.nlm.nih.gov/pubmed/21562488</v>
      </c>
      <c r="D3276" s="232" t="str">
        <f>IF(AND(A3276&lt;&gt;"",ISNUMBER(A3276)),VLOOKUP(A3276,Studies!A:BR,4,FALSE),"")</f>
        <v>po with Perpetrator (Rifampicin @ 10 mg)</v>
      </c>
      <c r="E3276" s="206" t="str">
        <f>IF(AND(A3276&lt;&gt;"",ISNUMBER(A3276)),VLOOKUP(A3276,Studies!A:BR,5,FALSE),"")</f>
        <v>Alfentanil</v>
      </c>
      <c r="F3276" s="207" t="str">
        <f>IF(AND(A3276&lt;&gt;"",ISNUMBER(A3276)),VLOOKUP(A3276,Studies!A:BR,6,FALSE),"")</f>
        <v>Plasma</v>
      </c>
      <c r="G3276" s="194">
        <v>139</v>
      </c>
      <c r="H3276" s="194" t="s">
        <v>60</v>
      </c>
      <c r="I3276" s="187">
        <v>2.088975</v>
      </c>
      <c r="J3276" s="187" t="s">
        <v>1090</v>
      </c>
      <c r="K3276" s="187" t="s">
        <v>116</v>
      </c>
      <c r="L3276" s="195"/>
      <c r="M3276" s="195"/>
      <c r="N3276" s="195"/>
      <c r="O3276" s="199"/>
      <c r="P3276" s="188"/>
      <c r="Q3276" s="174">
        <f>IF(ISNUMBER(VLOOKUP(A3276,NotghiID!A:A,1,FALSE)),1,0)</f>
        <v>1</v>
      </c>
    </row>
    <row r="3277" spans="1:17" ht="14.25" x14ac:dyDescent="0.2">
      <c r="A3277" s="189">
        <v>310</v>
      </c>
      <c r="B3277" s="232" t="str">
        <f>IF(AND(A3277&lt;&gt;"",ISNUMBER(A3277)),VLOOKUP(A3277,Studies!A:BR,2,FALSE),"")</f>
        <v>Kharasch 2011</v>
      </c>
      <c r="C3277" s="232" t="str">
        <f>IF(AND(A3277&lt;&gt;"",ISNUMBER(A3277)),VLOOKUP(A3277,Studies!A:BR,3,FALSE),"")</f>
        <v>https://www.ncbi.nlm.nih.gov/pubmed/21562488</v>
      </c>
      <c r="D3277" s="232" t="str">
        <f>IF(AND(A3277&lt;&gt;"",ISNUMBER(A3277)),VLOOKUP(A3277,Studies!A:BR,4,FALSE),"")</f>
        <v>po with Perpetrator (Rifampicin @ 10 mg)</v>
      </c>
      <c r="E3277" s="206" t="str">
        <f>IF(AND(A3277&lt;&gt;"",ISNUMBER(A3277)),VLOOKUP(A3277,Studies!A:BR,5,FALSE),"")</f>
        <v>Alfentanil</v>
      </c>
      <c r="F3277" s="207" t="str">
        <f>IF(AND(A3277&lt;&gt;"",ISNUMBER(A3277)),VLOOKUP(A3277,Studies!A:BR,6,FALSE),"")</f>
        <v>Plasma</v>
      </c>
      <c r="G3277" s="194">
        <v>140</v>
      </c>
      <c r="H3277" s="194" t="s">
        <v>60</v>
      </c>
      <c r="I3277" s="187">
        <v>1.0444869999999999</v>
      </c>
      <c r="J3277" s="187" t="s">
        <v>1090</v>
      </c>
      <c r="K3277" s="187" t="s">
        <v>116</v>
      </c>
      <c r="L3277" s="195"/>
      <c r="M3277" s="195"/>
      <c r="N3277" s="195"/>
      <c r="O3277" s="199"/>
      <c r="P3277" s="188"/>
      <c r="Q3277" s="174">
        <f>IF(ISNUMBER(VLOOKUP(A3277,NotghiID!A:A,1,FALSE)),1,0)</f>
        <v>1</v>
      </c>
    </row>
    <row r="3278" spans="1:17" ht="14.25" x14ac:dyDescent="0.2">
      <c r="A3278" s="189">
        <v>311</v>
      </c>
      <c r="B3278" s="232" t="str">
        <f>IF(AND(A3278&lt;&gt;"",ISNUMBER(A3278)),VLOOKUP(A3278,Studies!A:BR,2,FALSE),"")</f>
        <v>Kharasch 2011</v>
      </c>
      <c r="C3278" s="232" t="str">
        <f>IF(AND(A3278&lt;&gt;"",ISNUMBER(A3278)),VLOOKUP(A3278,Studies!A:BR,3,FALSE),"")</f>
        <v>https://www.ncbi.nlm.nih.gov/pubmed/21562488</v>
      </c>
      <c r="D3278" s="232" t="str">
        <f>IF(AND(A3278&lt;&gt;"",ISNUMBER(A3278)),VLOOKUP(A3278,Studies!A:BR,4,FALSE),"")</f>
        <v>po with Perpetrator (Rifampicin @ 25 mg)</v>
      </c>
      <c r="E3278" s="206" t="str">
        <f>IF(AND(A3278&lt;&gt;"",ISNUMBER(A3278)),VLOOKUP(A3278,Studies!A:BR,5,FALSE),"")</f>
        <v>Alfentanil</v>
      </c>
      <c r="F3278" s="207" t="str">
        <f>IF(AND(A3278&lt;&gt;"",ISNUMBER(A3278)),VLOOKUP(A3278,Studies!A:BR,6,FALSE),"")</f>
        <v>Plasma</v>
      </c>
      <c r="G3278" s="194">
        <v>133</v>
      </c>
      <c r="H3278" s="194" t="s">
        <v>60</v>
      </c>
      <c r="I3278" s="187">
        <v>0.1160542</v>
      </c>
      <c r="J3278" s="187" t="s">
        <v>1090</v>
      </c>
      <c r="K3278" s="187" t="s">
        <v>116</v>
      </c>
      <c r="L3278" s="195"/>
      <c r="M3278" s="195"/>
      <c r="N3278" s="195"/>
      <c r="O3278" s="199"/>
      <c r="P3278" s="188"/>
      <c r="Q3278" s="174">
        <f>IF(ISNUMBER(VLOOKUP(A3278,NotghiID!A:A,1,FALSE)),1,0)</f>
        <v>1</v>
      </c>
    </row>
    <row r="3279" spans="1:17" ht="14.25" x14ac:dyDescent="0.2">
      <c r="A3279" s="189">
        <v>311</v>
      </c>
      <c r="B3279" s="232" t="str">
        <f>IF(AND(A3279&lt;&gt;"",ISNUMBER(A3279)),VLOOKUP(A3279,Studies!A:BR,2,FALSE),"")</f>
        <v>Kharasch 2011</v>
      </c>
      <c r="C3279" s="232" t="str">
        <f>IF(AND(A3279&lt;&gt;"",ISNUMBER(A3279)),VLOOKUP(A3279,Studies!A:BR,3,FALSE),"")</f>
        <v>https://www.ncbi.nlm.nih.gov/pubmed/21562488</v>
      </c>
      <c r="D3279" s="232" t="str">
        <f>IF(AND(A3279&lt;&gt;"",ISNUMBER(A3279)),VLOOKUP(A3279,Studies!A:BR,4,FALSE),"")</f>
        <v>po with Perpetrator (Rifampicin @ 25 mg)</v>
      </c>
      <c r="E3279" s="206" t="str">
        <f>IF(AND(A3279&lt;&gt;"",ISNUMBER(A3279)),VLOOKUP(A3279,Studies!A:BR,5,FALSE),"")</f>
        <v>Alfentanil</v>
      </c>
      <c r="F3279" s="207" t="str">
        <f>IF(AND(A3279&lt;&gt;"",ISNUMBER(A3279)),VLOOKUP(A3279,Studies!A:BR,6,FALSE),"")</f>
        <v>Plasma</v>
      </c>
      <c r="G3279" s="194">
        <v>133.08000000000001</v>
      </c>
      <c r="H3279" s="194" t="s">
        <v>60</v>
      </c>
      <c r="I3279" s="187">
        <v>2.3210829999999998</v>
      </c>
      <c r="J3279" s="187" t="s">
        <v>1090</v>
      </c>
      <c r="K3279" s="187" t="s">
        <v>116</v>
      </c>
      <c r="L3279" s="195"/>
      <c r="M3279" s="195"/>
      <c r="N3279" s="195"/>
      <c r="O3279" s="199"/>
      <c r="P3279" s="188"/>
      <c r="Q3279" s="174">
        <f>IF(ISNUMBER(VLOOKUP(A3279,NotghiID!A:A,1,FALSE)),1,0)</f>
        <v>1</v>
      </c>
    </row>
    <row r="3280" spans="1:17" ht="14.25" x14ac:dyDescent="0.2">
      <c r="A3280" s="189">
        <v>311</v>
      </c>
      <c r="B3280" s="232" t="str">
        <f>IF(AND(A3280&lt;&gt;"",ISNUMBER(A3280)),VLOOKUP(A3280,Studies!A:BR,2,FALSE),"")</f>
        <v>Kharasch 2011</v>
      </c>
      <c r="C3280" s="232" t="str">
        <f>IF(AND(A3280&lt;&gt;"",ISNUMBER(A3280)),VLOOKUP(A3280,Studies!A:BR,3,FALSE),"")</f>
        <v>https://www.ncbi.nlm.nih.gov/pubmed/21562488</v>
      </c>
      <c r="D3280" s="232" t="str">
        <f>IF(AND(A3280&lt;&gt;"",ISNUMBER(A3280)),VLOOKUP(A3280,Studies!A:BR,4,FALSE),"")</f>
        <v>po with Perpetrator (Rifampicin @ 25 mg)</v>
      </c>
      <c r="E3280" s="206" t="str">
        <f>IF(AND(A3280&lt;&gt;"",ISNUMBER(A3280)),VLOOKUP(A3280,Studies!A:BR,5,FALSE),"")</f>
        <v>Alfentanil</v>
      </c>
      <c r="F3280" s="207" t="str">
        <f>IF(AND(A3280&lt;&gt;"",ISNUMBER(A3280)),VLOOKUP(A3280,Studies!A:BR,6,FALSE),"")</f>
        <v>Plasma</v>
      </c>
      <c r="G3280" s="194">
        <v>133.16999999999999</v>
      </c>
      <c r="H3280" s="194" t="s">
        <v>60</v>
      </c>
      <c r="I3280" s="187">
        <v>11.48936</v>
      </c>
      <c r="J3280" s="187" t="s">
        <v>1090</v>
      </c>
      <c r="K3280" s="187" t="s">
        <v>116</v>
      </c>
      <c r="L3280" s="195"/>
      <c r="M3280" s="195"/>
      <c r="N3280" s="195"/>
      <c r="O3280" s="199"/>
      <c r="P3280" s="188"/>
      <c r="Q3280" s="174">
        <f>IF(ISNUMBER(VLOOKUP(A3280,NotghiID!A:A,1,FALSE)),1,0)</f>
        <v>1</v>
      </c>
    </row>
    <row r="3281" spans="1:17" ht="14.25" x14ac:dyDescent="0.2">
      <c r="A3281" s="189">
        <v>311</v>
      </c>
      <c r="B3281" s="232" t="str">
        <f>IF(AND(A3281&lt;&gt;"",ISNUMBER(A3281)),VLOOKUP(A3281,Studies!A:BR,2,FALSE),"")</f>
        <v>Kharasch 2011</v>
      </c>
      <c r="C3281" s="232" t="str">
        <f>IF(AND(A3281&lt;&gt;"",ISNUMBER(A3281)),VLOOKUP(A3281,Studies!A:BR,3,FALSE),"")</f>
        <v>https://www.ncbi.nlm.nih.gov/pubmed/21562488</v>
      </c>
      <c r="D3281" s="232" t="str">
        <f>IF(AND(A3281&lt;&gt;"",ISNUMBER(A3281)),VLOOKUP(A3281,Studies!A:BR,4,FALSE),"")</f>
        <v>po with Perpetrator (Rifampicin @ 25 mg)</v>
      </c>
      <c r="E3281" s="206" t="str">
        <f>IF(AND(A3281&lt;&gt;"",ISNUMBER(A3281)),VLOOKUP(A3281,Studies!A:BR,5,FALSE),"")</f>
        <v>Alfentanil</v>
      </c>
      <c r="F3281" s="207" t="str">
        <f>IF(AND(A3281&lt;&gt;"",ISNUMBER(A3281)),VLOOKUP(A3281,Studies!A:BR,6,FALSE),"")</f>
        <v>Plasma</v>
      </c>
      <c r="G3281" s="194">
        <v>133.25</v>
      </c>
      <c r="H3281" s="194" t="s">
        <v>60</v>
      </c>
      <c r="I3281" s="187">
        <v>18.568660000000001</v>
      </c>
      <c r="J3281" s="187" t="s">
        <v>1090</v>
      </c>
      <c r="K3281" s="187" t="s">
        <v>116</v>
      </c>
      <c r="L3281" s="195"/>
      <c r="M3281" s="195"/>
      <c r="N3281" s="195"/>
      <c r="O3281" s="199"/>
      <c r="P3281" s="188"/>
      <c r="Q3281" s="174">
        <f>IF(ISNUMBER(VLOOKUP(A3281,NotghiID!A:A,1,FALSE)),1,0)</f>
        <v>1</v>
      </c>
    </row>
    <row r="3282" spans="1:17" ht="14.25" x14ac:dyDescent="0.2">
      <c r="A3282" s="189">
        <v>311</v>
      </c>
      <c r="B3282" s="232" t="str">
        <f>IF(AND(A3282&lt;&gt;"",ISNUMBER(A3282)),VLOOKUP(A3282,Studies!A:BR,2,FALSE),"")</f>
        <v>Kharasch 2011</v>
      </c>
      <c r="C3282" s="232" t="str">
        <f>IF(AND(A3282&lt;&gt;"",ISNUMBER(A3282)),VLOOKUP(A3282,Studies!A:BR,3,FALSE),"")</f>
        <v>https://www.ncbi.nlm.nih.gov/pubmed/21562488</v>
      </c>
      <c r="D3282" s="232" t="str">
        <f>IF(AND(A3282&lt;&gt;"",ISNUMBER(A3282)),VLOOKUP(A3282,Studies!A:BR,4,FALSE),"")</f>
        <v>po with Perpetrator (Rifampicin @ 25 mg)</v>
      </c>
      <c r="E3282" s="206" t="str">
        <f>IF(AND(A3282&lt;&gt;"",ISNUMBER(A3282)),VLOOKUP(A3282,Studies!A:BR,5,FALSE),"")</f>
        <v>Alfentanil</v>
      </c>
      <c r="F3282" s="207" t="str">
        <f>IF(AND(A3282&lt;&gt;"",ISNUMBER(A3282)),VLOOKUP(A3282,Studies!A:BR,6,FALSE),"")</f>
        <v>Plasma</v>
      </c>
      <c r="G3282" s="194">
        <v>133.33000000000001</v>
      </c>
      <c r="H3282" s="194" t="s">
        <v>60</v>
      </c>
      <c r="I3282" s="187">
        <v>17.988389999999999</v>
      </c>
      <c r="J3282" s="187" t="s">
        <v>1090</v>
      </c>
      <c r="K3282" s="187" t="s">
        <v>116</v>
      </c>
      <c r="L3282" s="195"/>
      <c r="M3282" s="195"/>
      <c r="N3282" s="195"/>
      <c r="O3282" s="199"/>
      <c r="P3282" s="188"/>
      <c r="Q3282" s="174">
        <f>IF(ISNUMBER(VLOOKUP(A3282,NotghiID!A:A,1,FALSE)),1,0)</f>
        <v>1</v>
      </c>
    </row>
    <row r="3283" spans="1:17" ht="14.25" x14ac:dyDescent="0.2">
      <c r="A3283" s="189">
        <v>311</v>
      </c>
      <c r="B3283" s="232" t="str">
        <f>IF(AND(A3283&lt;&gt;"",ISNUMBER(A3283)),VLOOKUP(A3283,Studies!A:BR,2,FALSE),"")</f>
        <v>Kharasch 2011</v>
      </c>
      <c r="C3283" s="232" t="str">
        <f>IF(AND(A3283&lt;&gt;"",ISNUMBER(A3283)),VLOOKUP(A3283,Studies!A:BR,3,FALSE),"")</f>
        <v>https://www.ncbi.nlm.nih.gov/pubmed/21562488</v>
      </c>
      <c r="D3283" s="232" t="str">
        <f>IF(AND(A3283&lt;&gt;"",ISNUMBER(A3283)),VLOOKUP(A3283,Studies!A:BR,4,FALSE),"")</f>
        <v>po with Perpetrator (Rifampicin @ 25 mg)</v>
      </c>
      <c r="E3283" s="206" t="str">
        <f>IF(AND(A3283&lt;&gt;"",ISNUMBER(A3283)),VLOOKUP(A3283,Studies!A:BR,5,FALSE),"")</f>
        <v>Alfentanil</v>
      </c>
      <c r="F3283" s="207" t="str">
        <f>IF(AND(A3283&lt;&gt;"",ISNUMBER(A3283)),VLOOKUP(A3283,Studies!A:BR,6,FALSE),"")</f>
        <v>Plasma</v>
      </c>
      <c r="G3283" s="194">
        <v>133.5</v>
      </c>
      <c r="H3283" s="194" t="s">
        <v>60</v>
      </c>
      <c r="I3283" s="187">
        <v>17.988389999999999</v>
      </c>
      <c r="J3283" s="187" t="s">
        <v>1090</v>
      </c>
      <c r="K3283" s="187" t="s">
        <v>116</v>
      </c>
      <c r="L3283" s="195"/>
      <c r="M3283" s="195"/>
      <c r="N3283" s="195"/>
      <c r="O3283" s="199"/>
      <c r="P3283" s="188"/>
      <c r="Q3283" s="174">
        <f>IF(ISNUMBER(VLOOKUP(A3283,NotghiID!A:A,1,FALSE)),1,0)</f>
        <v>1</v>
      </c>
    </row>
    <row r="3284" spans="1:17" ht="14.25" x14ac:dyDescent="0.2">
      <c r="A3284" s="189">
        <v>311</v>
      </c>
      <c r="B3284" s="232" t="str">
        <f>IF(AND(A3284&lt;&gt;"",ISNUMBER(A3284)),VLOOKUP(A3284,Studies!A:BR,2,FALSE),"")</f>
        <v>Kharasch 2011</v>
      </c>
      <c r="C3284" s="232" t="str">
        <f>IF(AND(A3284&lt;&gt;"",ISNUMBER(A3284)),VLOOKUP(A3284,Studies!A:BR,3,FALSE),"")</f>
        <v>https://www.ncbi.nlm.nih.gov/pubmed/21562488</v>
      </c>
      <c r="D3284" s="232" t="str">
        <f>IF(AND(A3284&lt;&gt;"",ISNUMBER(A3284)),VLOOKUP(A3284,Studies!A:BR,4,FALSE),"")</f>
        <v>po with Perpetrator (Rifampicin @ 25 mg)</v>
      </c>
      <c r="E3284" s="206" t="str">
        <f>IF(AND(A3284&lt;&gt;"",ISNUMBER(A3284)),VLOOKUP(A3284,Studies!A:BR,5,FALSE),"")</f>
        <v>Alfentanil</v>
      </c>
      <c r="F3284" s="207" t="str">
        <f>IF(AND(A3284&lt;&gt;"",ISNUMBER(A3284)),VLOOKUP(A3284,Studies!A:BR,6,FALSE),"")</f>
        <v>Plasma</v>
      </c>
      <c r="G3284" s="194">
        <v>133.75</v>
      </c>
      <c r="H3284" s="194" t="s">
        <v>60</v>
      </c>
      <c r="I3284" s="187">
        <v>17.292069999999999</v>
      </c>
      <c r="J3284" s="187" t="s">
        <v>1090</v>
      </c>
      <c r="K3284" s="187" t="s">
        <v>116</v>
      </c>
      <c r="L3284" s="195"/>
      <c r="M3284" s="195"/>
      <c r="N3284" s="195"/>
      <c r="O3284" s="199"/>
      <c r="P3284" s="188"/>
      <c r="Q3284" s="174">
        <f>IF(ISNUMBER(VLOOKUP(A3284,NotghiID!A:A,1,FALSE)),1,0)</f>
        <v>1</v>
      </c>
    </row>
    <row r="3285" spans="1:17" ht="14.25" x14ac:dyDescent="0.2">
      <c r="A3285" s="189">
        <v>311</v>
      </c>
      <c r="B3285" s="232" t="str">
        <f>IF(AND(A3285&lt;&gt;"",ISNUMBER(A3285)),VLOOKUP(A3285,Studies!A:BR,2,FALSE),"")</f>
        <v>Kharasch 2011</v>
      </c>
      <c r="C3285" s="232" t="str">
        <f>IF(AND(A3285&lt;&gt;"",ISNUMBER(A3285)),VLOOKUP(A3285,Studies!A:BR,3,FALSE),"")</f>
        <v>https://www.ncbi.nlm.nih.gov/pubmed/21562488</v>
      </c>
      <c r="D3285" s="232" t="str">
        <f>IF(AND(A3285&lt;&gt;"",ISNUMBER(A3285)),VLOOKUP(A3285,Studies!A:BR,4,FALSE),"")</f>
        <v>po with Perpetrator (Rifampicin @ 25 mg)</v>
      </c>
      <c r="E3285" s="206" t="str">
        <f>IF(AND(A3285&lt;&gt;"",ISNUMBER(A3285)),VLOOKUP(A3285,Studies!A:BR,5,FALSE),"")</f>
        <v>Alfentanil</v>
      </c>
      <c r="F3285" s="207" t="str">
        <f>IF(AND(A3285&lt;&gt;"",ISNUMBER(A3285)),VLOOKUP(A3285,Studies!A:BR,6,FALSE),"")</f>
        <v>Plasma</v>
      </c>
      <c r="G3285" s="194">
        <v>134</v>
      </c>
      <c r="H3285" s="194" t="s">
        <v>60</v>
      </c>
      <c r="I3285" s="187">
        <v>17.40812</v>
      </c>
      <c r="J3285" s="187" t="s">
        <v>1090</v>
      </c>
      <c r="K3285" s="187" t="s">
        <v>116</v>
      </c>
      <c r="L3285" s="195"/>
      <c r="M3285" s="195"/>
      <c r="N3285" s="195"/>
      <c r="O3285" s="199"/>
      <c r="P3285" s="188"/>
      <c r="Q3285" s="174">
        <f>IF(ISNUMBER(VLOOKUP(A3285,NotghiID!A:A,1,FALSE)),1,0)</f>
        <v>1</v>
      </c>
    </row>
    <row r="3286" spans="1:17" ht="14.25" x14ac:dyDescent="0.2">
      <c r="A3286" s="189">
        <v>311</v>
      </c>
      <c r="B3286" s="232" t="str">
        <f>IF(AND(A3286&lt;&gt;"",ISNUMBER(A3286)),VLOOKUP(A3286,Studies!A:BR,2,FALSE),"")</f>
        <v>Kharasch 2011</v>
      </c>
      <c r="C3286" s="232" t="str">
        <f>IF(AND(A3286&lt;&gt;"",ISNUMBER(A3286)),VLOOKUP(A3286,Studies!A:BR,3,FALSE),"")</f>
        <v>https://www.ncbi.nlm.nih.gov/pubmed/21562488</v>
      </c>
      <c r="D3286" s="232" t="str">
        <f>IF(AND(A3286&lt;&gt;"",ISNUMBER(A3286)),VLOOKUP(A3286,Studies!A:BR,4,FALSE),"")</f>
        <v>po with Perpetrator (Rifampicin @ 25 mg)</v>
      </c>
      <c r="E3286" s="206" t="str">
        <f>IF(AND(A3286&lt;&gt;"",ISNUMBER(A3286)),VLOOKUP(A3286,Studies!A:BR,5,FALSE),"")</f>
        <v>Alfentanil</v>
      </c>
      <c r="F3286" s="207" t="str">
        <f>IF(AND(A3286&lt;&gt;"",ISNUMBER(A3286)),VLOOKUP(A3286,Studies!A:BR,6,FALSE),"")</f>
        <v>Plasma</v>
      </c>
      <c r="G3286" s="194">
        <v>134.25</v>
      </c>
      <c r="H3286" s="194" t="s">
        <v>60</v>
      </c>
      <c r="I3286" s="187">
        <v>16.015470000000001</v>
      </c>
      <c r="J3286" s="187" t="s">
        <v>1090</v>
      </c>
      <c r="K3286" s="187" t="s">
        <v>116</v>
      </c>
      <c r="L3286" s="195"/>
      <c r="M3286" s="195"/>
      <c r="N3286" s="195"/>
      <c r="O3286" s="199"/>
      <c r="P3286" s="188"/>
      <c r="Q3286" s="174">
        <f>IF(ISNUMBER(VLOOKUP(A3286,NotghiID!A:A,1,FALSE)),1,0)</f>
        <v>1</v>
      </c>
    </row>
    <row r="3287" spans="1:17" ht="14.25" x14ac:dyDescent="0.2">
      <c r="A3287" s="189">
        <v>311</v>
      </c>
      <c r="B3287" s="232" t="str">
        <f>IF(AND(A3287&lt;&gt;"",ISNUMBER(A3287)),VLOOKUP(A3287,Studies!A:BR,2,FALSE),"")</f>
        <v>Kharasch 2011</v>
      </c>
      <c r="C3287" s="232" t="str">
        <f>IF(AND(A3287&lt;&gt;"",ISNUMBER(A3287)),VLOOKUP(A3287,Studies!A:BR,3,FALSE),"")</f>
        <v>https://www.ncbi.nlm.nih.gov/pubmed/21562488</v>
      </c>
      <c r="D3287" s="232" t="str">
        <f>IF(AND(A3287&lt;&gt;"",ISNUMBER(A3287)),VLOOKUP(A3287,Studies!A:BR,4,FALSE),"")</f>
        <v>po with Perpetrator (Rifampicin @ 25 mg)</v>
      </c>
      <c r="E3287" s="206" t="str">
        <f>IF(AND(A3287&lt;&gt;"",ISNUMBER(A3287)),VLOOKUP(A3287,Studies!A:BR,5,FALSE),"")</f>
        <v>Alfentanil</v>
      </c>
      <c r="F3287" s="207" t="str">
        <f>IF(AND(A3287&lt;&gt;"",ISNUMBER(A3287)),VLOOKUP(A3287,Studies!A:BR,6,FALSE),"")</f>
        <v>Plasma</v>
      </c>
      <c r="G3287" s="194">
        <v>134.5</v>
      </c>
      <c r="H3287" s="194" t="s">
        <v>60</v>
      </c>
      <c r="I3287" s="187">
        <v>13.578340000000001</v>
      </c>
      <c r="J3287" s="187" t="s">
        <v>1090</v>
      </c>
      <c r="K3287" s="187" t="s">
        <v>116</v>
      </c>
      <c r="L3287" s="195"/>
      <c r="M3287" s="195"/>
      <c r="N3287" s="195"/>
      <c r="O3287" s="199"/>
      <c r="P3287" s="188"/>
      <c r="Q3287" s="174">
        <f>IF(ISNUMBER(VLOOKUP(A3287,NotghiID!A:A,1,FALSE)),1,0)</f>
        <v>1</v>
      </c>
    </row>
    <row r="3288" spans="1:17" ht="14.25" x14ac:dyDescent="0.2">
      <c r="A3288" s="189">
        <v>311</v>
      </c>
      <c r="B3288" s="232" t="str">
        <f>IF(AND(A3288&lt;&gt;"",ISNUMBER(A3288)),VLOOKUP(A3288,Studies!A:BR,2,FALSE),"")</f>
        <v>Kharasch 2011</v>
      </c>
      <c r="C3288" s="232" t="str">
        <f>IF(AND(A3288&lt;&gt;"",ISNUMBER(A3288)),VLOOKUP(A3288,Studies!A:BR,3,FALSE),"")</f>
        <v>https://www.ncbi.nlm.nih.gov/pubmed/21562488</v>
      </c>
      <c r="D3288" s="232" t="str">
        <f>IF(AND(A3288&lt;&gt;"",ISNUMBER(A3288)),VLOOKUP(A3288,Studies!A:BR,4,FALSE),"")</f>
        <v>po with Perpetrator (Rifampicin @ 25 mg)</v>
      </c>
      <c r="E3288" s="206" t="str">
        <f>IF(AND(A3288&lt;&gt;"",ISNUMBER(A3288)),VLOOKUP(A3288,Studies!A:BR,5,FALSE),"")</f>
        <v>Alfentanil</v>
      </c>
      <c r="F3288" s="207" t="str">
        <f>IF(AND(A3288&lt;&gt;"",ISNUMBER(A3288)),VLOOKUP(A3288,Studies!A:BR,6,FALSE),"")</f>
        <v>Plasma</v>
      </c>
      <c r="G3288" s="194">
        <v>135</v>
      </c>
      <c r="H3288" s="194" t="s">
        <v>60</v>
      </c>
      <c r="I3288" s="187">
        <v>10.09671</v>
      </c>
      <c r="J3288" s="187" t="s">
        <v>1090</v>
      </c>
      <c r="K3288" s="187" t="s">
        <v>116</v>
      </c>
      <c r="L3288" s="195"/>
      <c r="M3288" s="195"/>
      <c r="N3288" s="195"/>
      <c r="O3288" s="199"/>
      <c r="P3288" s="188"/>
      <c r="Q3288" s="174">
        <f>IF(ISNUMBER(VLOOKUP(A3288,NotghiID!A:A,1,FALSE)),1,0)</f>
        <v>1</v>
      </c>
    </row>
    <row r="3289" spans="1:17" ht="14.25" x14ac:dyDescent="0.2">
      <c r="A3289" s="189">
        <v>311</v>
      </c>
      <c r="B3289" s="232" t="str">
        <f>IF(AND(A3289&lt;&gt;"",ISNUMBER(A3289)),VLOOKUP(A3289,Studies!A:BR,2,FALSE),"")</f>
        <v>Kharasch 2011</v>
      </c>
      <c r="C3289" s="232" t="str">
        <f>IF(AND(A3289&lt;&gt;"",ISNUMBER(A3289)),VLOOKUP(A3289,Studies!A:BR,3,FALSE),"")</f>
        <v>https://www.ncbi.nlm.nih.gov/pubmed/21562488</v>
      </c>
      <c r="D3289" s="232" t="str">
        <f>IF(AND(A3289&lt;&gt;"",ISNUMBER(A3289)),VLOOKUP(A3289,Studies!A:BR,4,FALSE),"")</f>
        <v>po with Perpetrator (Rifampicin @ 25 mg)</v>
      </c>
      <c r="E3289" s="206" t="str">
        <f>IF(AND(A3289&lt;&gt;"",ISNUMBER(A3289)),VLOOKUP(A3289,Studies!A:BR,5,FALSE),"")</f>
        <v>Alfentanil</v>
      </c>
      <c r="F3289" s="207" t="str">
        <f>IF(AND(A3289&lt;&gt;"",ISNUMBER(A3289)),VLOOKUP(A3289,Studies!A:BR,6,FALSE),"")</f>
        <v>Plasma</v>
      </c>
      <c r="G3289" s="194">
        <v>135.5</v>
      </c>
      <c r="H3289" s="194" t="s">
        <v>60</v>
      </c>
      <c r="I3289" s="187">
        <v>6.731141</v>
      </c>
      <c r="J3289" s="187" t="s">
        <v>1090</v>
      </c>
      <c r="K3289" s="187" t="s">
        <v>116</v>
      </c>
      <c r="L3289" s="195"/>
      <c r="M3289" s="195"/>
      <c r="N3289" s="195"/>
      <c r="O3289" s="199"/>
      <c r="P3289" s="188"/>
      <c r="Q3289" s="174">
        <f>IF(ISNUMBER(VLOOKUP(A3289,NotghiID!A:A,1,FALSE)),1,0)</f>
        <v>1</v>
      </c>
    </row>
    <row r="3290" spans="1:17" ht="14.25" x14ac:dyDescent="0.2">
      <c r="A3290" s="189">
        <v>311</v>
      </c>
      <c r="B3290" s="232" t="str">
        <f>IF(AND(A3290&lt;&gt;"",ISNUMBER(A3290)),VLOOKUP(A3290,Studies!A:BR,2,FALSE),"")</f>
        <v>Kharasch 2011</v>
      </c>
      <c r="C3290" s="232" t="str">
        <f>IF(AND(A3290&lt;&gt;"",ISNUMBER(A3290)),VLOOKUP(A3290,Studies!A:BR,3,FALSE),"")</f>
        <v>https://www.ncbi.nlm.nih.gov/pubmed/21562488</v>
      </c>
      <c r="D3290" s="232" t="str">
        <f>IF(AND(A3290&lt;&gt;"",ISNUMBER(A3290)),VLOOKUP(A3290,Studies!A:BR,4,FALSE),"")</f>
        <v>po with Perpetrator (Rifampicin @ 25 mg)</v>
      </c>
      <c r="E3290" s="206" t="str">
        <f>IF(AND(A3290&lt;&gt;"",ISNUMBER(A3290)),VLOOKUP(A3290,Studies!A:BR,5,FALSE),"")</f>
        <v>Alfentanil</v>
      </c>
      <c r="F3290" s="207" t="str">
        <f>IF(AND(A3290&lt;&gt;"",ISNUMBER(A3290)),VLOOKUP(A3290,Studies!A:BR,6,FALSE),"")</f>
        <v>Plasma</v>
      </c>
      <c r="G3290" s="194">
        <v>136</v>
      </c>
      <c r="H3290" s="194" t="s">
        <v>60</v>
      </c>
      <c r="I3290" s="187">
        <v>4.6421659999999996</v>
      </c>
      <c r="J3290" s="187" t="s">
        <v>1090</v>
      </c>
      <c r="K3290" s="187" t="s">
        <v>116</v>
      </c>
      <c r="L3290" s="195"/>
      <c r="M3290" s="195"/>
      <c r="N3290" s="195"/>
      <c r="O3290" s="199"/>
      <c r="P3290" s="188"/>
      <c r="Q3290" s="174">
        <f>IF(ISNUMBER(VLOOKUP(A3290,NotghiID!A:A,1,FALSE)),1,0)</f>
        <v>1</v>
      </c>
    </row>
    <row r="3291" spans="1:17" ht="14.25" x14ac:dyDescent="0.2">
      <c r="A3291" s="189">
        <v>311</v>
      </c>
      <c r="B3291" s="232" t="str">
        <f>IF(AND(A3291&lt;&gt;"",ISNUMBER(A3291)),VLOOKUP(A3291,Studies!A:BR,2,FALSE),"")</f>
        <v>Kharasch 2011</v>
      </c>
      <c r="C3291" s="232" t="str">
        <f>IF(AND(A3291&lt;&gt;"",ISNUMBER(A3291)),VLOOKUP(A3291,Studies!A:BR,3,FALSE),"")</f>
        <v>https://www.ncbi.nlm.nih.gov/pubmed/21562488</v>
      </c>
      <c r="D3291" s="232" t="str">
        <f>IF(AND(A3291&lt;&gt;"",ISNUMBER(A3291)),VLOOKUP(A3291,Studies!A:BR,4,FALSE),"")</f>
        <v>po with Perpetrator (Rifampicin @ 25 mg)</v>
      </c>
      <c r="E3291" s="206" t="str">
        <f>IF(AND(A3291&lt;&gt;"",ISNUMBER(A3291)),VLOOKUP(A3291,Studies!A:BR,5,FALSE),"")</f>
        <v>Alfentanil</v>
      </c>
      <c r="F3291" s="207" t="str">
        <f>IF(AND(A3291&lt;&gt;"",ISNUMBER(A3291)),VLOOKUP(A3291,Studies!A:BR,6,FALSE),"")</f>
        <v>Plasma</v>
      </c>
      <c r="G3291" s="194">
        <v>137</v>
      </c>
      <c r="H3291" s="194" t="s">
        <v>60</v>
      </c>
      <c r="I3291" s="187">
        <v>2.2050290000000001</v>
      </c>
      <c r="J3291" s="187" t="s">
        <v>1090</v>
      </c>
      <c r="K3291" s="187" t="s">
        <v>116</v>
      </c>
      <c r="L3291" s="195"/>
      <c r="M3291" s="195"/>
      <c r="N3291" s="195"/>
      <c r="O3291" s="199"/>
      <c r="P3291" s="188"/>
      <c r="Q3291" s="174">
        <f>IF(ISNUMBER(VLOOKUP(A3291,NotghiID!A:A,1,FALSE)),1,0)</f>
        <v>1</v>
      </c>
    </row>
    <row r="3292" spans="1:17" ht="14.25" x14ac:dyDescent="0.2">
      <c r="A3292" s="189">
        <v>311</v>
      </c>
      <c r="B3292" s="232" t="str">
        <f>IF(AND(A3292&lt;&gt;"",ISNUMBER(A3292)),VLOOKUP(A3292,Studies!A:BR,2,FALSE),"")</f>
        <v>Kharasch 2011</v>
      </c>
      <c r="C3292" s="232" t="str">
        <f>IF(AND(A3292&lt;&gt;"",ISNUMBER(A3292)),VLOOKUP(A3292,Studies!A:BR,3,FALSE),"")</f>
        <v>https://www.ncbi.nlm.nih.gov/pubmed/21562488</v>
      </c>
      <c r="D3292" s="232" t="str">
        <f>IF(AND(A3292&lt;&gt;"",ISNUMBER(A3292)),VLOOKUP(A3292,Studies!A:BR,4,FALSE),"")</f>
        <v>po with Perpetrator (Rifampicin @ 25 mg)</v>
      </c>
      <c r="E3292" s="206" t="str">
        <f>IF(AND(A3292&lt;&gt;"",ISNUMBER(A3292)),VLOOKUP(A3292,Studies!A:BR,5,FALSE),"")</f>
        <v>Alfentanil</v>
      </c>
      <c r="F3292" s="207" t="str">
        <f>IF(AND(A3292&lt;&gt;"",ISNUMBER(A3292)),VLOOKUP(A3292,Studies!A:BR,6,FALSE),"")</f>
        <v>Plasma</v>
      </c>
      <c r="G3292" s="194">
        <v>138</v>
      </c>
      <c r="H3292" s="194" t="s">
        <v>60</v>
      </c>
      <c r="I3292" s="187">
        <v>1.160542</v>
      </c>
      <c r="J3292" s="187" t="s">
        <v>1090</v>
      </c>
      <c r="K3292" s="187" t="s">
        <v>116</v>
      </c>
      <c r="L3292" s="195"/>
      <c r="M3292" s="195"/>
      <c r="N3292" s="195"/>
      <c r="O3292" s="199"/>
      <c r="P3292" s="188"/>
      <c r="Q3292" s="174">
        <f>IF(ISNUMBER(VLOOKUP(A3292,NotghiID!A:A,1,FALSE)),1,0)</f>
        <v>1</v>
      </c>
    </row>
    <row r="3293" spans="1:17" ht="14.25" x14ac:dyDescent="0.2">
      <c r="A3293" s="189">
        <v>311</v>
      </c>
      <c r="B3293" s="232" t="str">
        <f>IF(AND(A3293&lt;&gt;"",ISNUMBER(A3293)),VLOOKUP(A3293,Studies!A:BR,2,FALSE),"")</f>
        <v>Kharasch 2011</v>
      </c>
      <c r="C3293" s="232" t="str">
        <f>IF(AND(A3293&lt;&gt;"",ISNUMBER(A3293)),VLOOKUP(A3293,Studies!A:BR,3,FALSE),"")</f>
        <v>https://www.ncbi.nlm.nih.gov/pubmed/21562488</v>
      </c>
      <c r="D3293" s="232" t="str">
        <f>IF(AND(A3293&lt;&gt;"",ISNUMBER(A3293)),VLOOKUP(A3293,Studies!A:BR,4,FALSE),"")</f>
        <v>po with Perpetrator (Rifampicin @ 25 mg)</v>
      </c>
      <c r="E3293" s="206" t="str">
        <f>IF(AND(A3293&lt;&gt;"",ISNUMBER(A3293)),VLOOKUP(A3293,Studies!A:BR,5,FALSE),"")</f>
        <v>Alfentanil</v>
      </c>
      <c r="F3293" s="207" t="str">
        <f>IF(AND(A3293&lt;&gt;"",ISNUMBER(A3293)),VLOOKUP(A3293,Studies!A:BR,6,FALSE),"")</f>
        <v>Plasma</v>
      </c>
      <c r="G3293" s="194">
        <v>139</v>
      </c>
      <c r="H3293" s="194" t="s">
        <v>60</v>
      </c>
      <c r="I3293" s="187">
        <v>0.69632490000000002</v>
      </c>
      <c r="J3293" s="187" t="s">
        <v>1090</v>
      </c>
      <c r="K3293" s="187" t="s">
        <v>116</v>
      </c>
      <c r="L3293" s="195"/>
      <c r="M3293" s="195"/>
      <c r="N3293" s="195"/>
      <c r="O3293" s="199"/>
      <c r="P3293" s="188"/>
      <c r="Q3293" s="174">
        <f>IF(ISNUMBER(VLOOKUP(A3293,NotghiID!A:A,1,FALSE)),1,0)</f>
        <v>1</v>
      </c>
    </row>
    <row r="3294" spans="1:17" ht="14.25" x14ac:dyDescent="0.2">
      <c r="A3294" s="189">
        <v>312</v>
      </c>
      <c r="B3294" s="232" t="str">
        <f>IF(AND(A3294&lt;&gt;"",ISNUMBER(A3294)),VLOOKUP(A3294,Studies!A:BR,2,FALSE),"")</f>
        <v>Kharasch 2011</v>
      </c>
      <c r="C3294" s="232" t="str">
        <f>IF(AND(A3294&lt;&gt;"",ISNUMBER(A3294)),VLOOKUP(A3294,Studies!A:BR,3,FALSE),"")</f>
        <v>https://www.ncbi.nlm.nih.gov/pubmed/21562488</v>
      </c>
      <c r="D3294" s="232" t="str">
        <f>IF(AND(A3294&lt;&gt;"",ISNUMBER(A3294)),VLOOKUP(A3294,Studies!A:BR,4,FALSE),"")</f>
        <v>po with Perpetrator (Rifampicin @ 75 mg)</v>
      </c>
      <c r="E3294" s="206" t="str">
        <f>IF(AND(A3294&lt;&gt;"",ISNUMBER(A3294)),VLOOKUP(A3294,Studies!A:BR,5,FALSE),"")</f>
        <v>Alfentanil</v>
      </c>
      <c r="F3294" s="207" t="str">
        <f>IF(AND(A3294&lt;&gt;"",ISNUMBER(A3294)),VLOOKUP(A3294,Studies!A:BR,6,FALSE),"")</f>
        <v>Plasma</v>
      </c>
      <c r="G3294" s="194">
        <v>133</v>
      </c>
      <c r="H3294" s="194" t="s">
        <v>60</v>
      </c>
      <c r="I3294" s="187">
        <v>0.1160542</v>
      </c>
      <c r="J3294" s="187" t="s">
        <v>1090</v>
      </c>
      <c r="K3294" s="187" t="s">
        <v>116</v>
      </c>
      <c r="L3294" s="195"/>
      <c r="M3294" s="195"/>
      <c r="N3294" s="195"/>
      <c r="O3294" s="199"/>
      <c r="P3294" s="188"/>
      <c r="Q3294" s="174">
        <f>IF(ISNUMBER(VLOOKUP(A3294,NotghiID!A:A,1,FALSE)),1,0)</f>
        <v>1</v>
      </c>
    </row>
    <row r="3295" spans="1:17" ht="14.25" x14ac:dyDescent="0.2">
      <c r="A3295" s="189">
        <v>312</v>
      </c>
      <c r="B3295" s="232" t="str">
        <f>IF(AND(A3295&lt;&gt;"",ISNUMBER(A3295)),VLOOKUP(A3295,Studies!A:BR,2,FALSE),"")</f>
        <v>Kharasch 2011</v>
      </c>
      <c r="C3295" s="232" t="str">
        <f>IF(AND(A3295&lt;&gt;"",ISNUMBER(A3295)),VLOOKUP(A3295,Studies!A:BR,3,FALSE),"")</f>
        <v>https://www.ncbi.nlm.nih.gov/pubmed/21562488</v>
      </c>
      <c r="D3295" s="232" t="str">
        <f>IF(AND(A3295&lt;&gt;"",ISNUMBER(A3295)),VLOOKUP(A3295,Studies!A:BR,4,FALSE),"")</f>
        <v>po with Perpetrator (Rifampicin @ 75 mg)</v>
      </c>
      <c r="E3295" s="206" t="str">
        <f>IF(AND(A3295&lt;&gt;"",ISNUMBER(A3295)),VLOOKUP(A3295,Studies!A:BR,5,FALSE),"")</f>
        <v>Alfentanil</v>
      </c>
      <c r="F3295" s="207" t="str">
        <f>IF(AND(A3295&lt;&gt;"",ISNUMBER(A3295)),VLOOKUP(A3295,Studies!A:BR,6,FALSE),"")</f>
        <v>Plasma</v>
      </c>
      <c r="G3295" s="194">
        <v>133.08000000000001</v>
      </c>
      <c r="H3295" s="194" t="s">
        <v>60</v>
      </c>
      <c r="I3295" s="187">
        <v>2.553191</v>
      </c>
      <c r="J3295" s="187" t="s">
        <v>1090</v>
      </c>
      <c r="K3295" s="187" t="s">
        <v>116</v>
      </c>
      <c r="L3295" s="195"/>
      <c r="M3295" s="195"/>
      <c r="N3295" s="195"/>
      <c r="O3295" s="199"/>
      <c r="P3295" s="188"/>
      <c r="Q3295" s="174">
        <f>IF(ISNUMBER(VLOOKUP(A3295,NotghiID!A:A,1,FALSE)),1,0)</f>
        <v>1</v>
      </c>
    </row>
    <row r="3296" spans="1:17" ht="14.25" x14ac:dyDescent="0.2">
      <c r="A3296" s="189">
        <v>312</v>
      </c>
      <c r="B3296" s="232" t="str">
        <f>IF(AND(A3296&lt;&gt;"",ISNUMBER(A3296)),VLOOKUP(A3296,Studies!A:BR,2,FALSE),"")</f>
        <v>Kharasch 2011</v>
      </c>
      <c r="C3296" s="232" t="str">
        <f>IF(AND(A3296&lt;&gt;"",ISNUMBER(A3296)),VLOOKUP(A3296,Studies!A:BR,3,FALSE),"")</f>
        <v>https://www.ncbi.nlm.nih.gov/pubmed/21562488</v>
      </c>
      <c r="D3296" s="232" t="str">
        <f>IF(AND(A3296&lt;&gt;"",ISNUMBER(A3296)),VLOOKUP(A3296,Studies!A:BR,4,FALSE),"")</f>
        <v>po with Perpetrator (Rifampicin @ 75 mg)</v>
      </c>
      <c r="E3296" s="206" t="str">
        <f>IF(AND(A3296&lt;&gt;"",ISNUMBER(A3296)),VLOOKUP(A3296,Studies!A:BR,5,FALSE),"")</f>
        <v>Alfentanil</v>
      </c>
      <c r="F3296" s="207" t="str">
        <f>IF(AND(A3296&lt;&gt;"",ISNUMBER(A3296)),VLOOKUP(A3296,Studies!A:BR,6,FALSE),"")</f>
        <v>Plasma</v>
      </c>
      <c r="G3296" s="194">
        <v>133.16999999999999</v>
      </c>
      <c r="H3296" s="194" t="s">
        <v>60</v>
      </c>
      <c r="I3296" s="187">
        <v>6.8471950000000001</v>
      </c>
      <c r="J3296" s="187" t="s">
        <v>1090</v>
      </c>
      <c r="K3296" s="187" t="s">
        <v>116</v>
      </c>
      <c r="L3296" s="195"/>
      <c r="M3296" s="195"/>
      <c r="N3296" s="195"/>
      <c r="O3296" s="199"/>
      <c r="P3296" s="188"/>
      <c r="Q3296" s="174">
        <f>IF(ISNUMBER(VLOOKUP(A3296,NotghiID!A:A,1,FALSE)),1,0)</f>
        <v>1</v>
      </c>
    </row>
    <row r="3297" spans="1:17" ht="14.25" x14ac:dyDescent="0.2">
      <c r="A3297" s="189">
        <v>312</v>
      </c>
      <c r="B3297" s="232" t="str">
        <f>IF(AND(A3297&lt;&gt;"",ISNUMBER(A3297)),VLOOKUP(A3297,Studies!A:BR,2,FALSE),"")</f>
        <v>Kharasch 2011</v>
      </c>
      <c r="C3297" s="232" t="str">
        <f>IF(AND(A3297&lt;&gt;"",ISNUMBER(A3297)),VLOOKUP(A3297,Studies!A:BR,3,FALSE),"")</f>
        <v>https://www.ncbi.nlm.nih.gov/pubmed/21562488</v>
      </c>
      <c r="D3297" s="232" t="str">
        <f>IF(AND(A3297&lt;&gt;"",ISNUMBER(A3297)),VLOOKUP(A3297,Studies!A:BR,4,FALSE),"")</f>
        <v>po with Perpetrator (Rifampicin @ 75 mg)</v>
      </c>
      <c r="E3297" s="206" t="str">
        <f>IF(AND(A3297&lt;&gt;"",ISNUMBER(A3297)),VLOOKUP(A3297,Studies!A:BR,5,FALSE),"")</f>
        <v>Alfentanil</v>
      </c>
      <c r="F3297" s="207" t="str">
        <f>IF(AND(A3297&lt;&gt;"",ISNUMBER(A3297)),VLOOKUP(A3297,Studies!A:BR,6,FALSE),"")</f>
        <v>Plasma</v>
      </c>
      <c r="G3297" s="194">
        <v>133.25</v>
      </c>
      <c r="H3297" s="194" t="s">
        <v>60</v>
      </c>
      <c r="I3297" s="187">
        <v>8.3559000000000001</v>
      </c>
      <c r="J3297" s="187" t="s">
        <v>1090</v>
      </c>
      <c r="K3297" s="187" t="s">
        <v>116</v>
      </c>
      <c r="L3297" s="195"/>
      <c r="M3297" s="195"/>
      <c r="N3297" s="195"/>
      <c r="O3297" s="199"/>
      <c r="P3297" s="188"/>
      <c r="Q3297" s="174">
        <f>IF(ISNUMBER(VLOOKUP(A3297,NotghiID!A:A,1,FALSE)),1,0)</f>
        <v>1</v>
      </c>
    </row>
    <row r="3298" spans="1:17" ht="14.25" x14ac:dyDescent="0.2">
      <c r="A3298" s="189">
        <v>312</v>
      </c>
      <c r="B3298" s="232" t="str">
        <f>IF(AND(A3298&lt;&gt;"",ISNUMBER(A3298)),VLOOKUP(A3298,Studies!A:BR,2,FALSE),"")</f>
        <v>Kharasch 2011</v>
      </c>
      <c r="C3298" s="232" t="str">
        <f>IF(AND(A3298&lt;&gt;"",ISNUMBER(A3298)),VLOOKUP(A3298,Studies!A:BR,3,FALSE),"")</f>
        <v>https://www.ncbi.nlm.nih.gov/pubmed/21562488</v>
      </c>
      <c r="D3298" s="232" t="str">
        <f>IF(AND(A3298&lt;&gt;"",ISNUMBER(A3298)),VLOOKUP(A3298,Studies!A:BR,4,FALSE),"")</f>
        <v>po with Perpetrator (Rifampicin @ 75 mg)</v>
      </c>
      <c r="E3298" s="206" t="str">
        <f>IF(AND(A3298&lt;&gt;"",ISNUMBER(A3298)),VLOOKUP(A3298,Studies!A:BR,5,FALSE),"")</f>
        <v>Alfentanil</v>
      </c>
      <c r="F3298" s="207" t="str">
        <f>IF(AND(A3298&lt;&gt;"",ISNUMBER(A3298)),VLOOKUP(A3298,Studies!A:BR,6,FALSE),"")</f>
        <v>Plasma</v>
      </c>
      <c r="G3298" s="194">
        <v>133.33000000000001</v>
      </c>
      <c r="H3298" s="194" t="s">
        <v>60</v>
      </c>
      <c r="I3298" s="187">
        <v>8.9361709999999999</v>
      </c>
      <c r="J3298" s="187" t="s">
        <v>1090</v>
      </c>
      <c r="K3298" s="187" t="s">
        <v>116</v>
      </c>
      <c r="L3298" s="195"/>
      <c r="M3298" s="195"/>
      <c r="N3298" s="195"/>
      <c r="O3298" s="199"/>
      <c r="P3298" s="188"/>
      <c r="Q3298" s="174">
        <f>IF(ISNUMBER(VLOOKUP(A3298,NotghiID!A:A,1,FALSE)),1,0)</f>
        <v>1</v>
      </c>
    </row>
    <row r="3299" spans="1:17" ht="14.25" x14ac:dyDescent="0.2">
      <c r="A3299" s="189">
        <v>312</v>
      </c>
      <c r="B3299" s="232" t="str">
        <f>IF(AND(A3299&lt;&gt;"",ISNUMBER(A3299)),VLOOKUP(A3299,Studies!A:BR,2,FALSE),"")</f>
        <v>Kharasch 2011</v>
      </c>
      <c r="C3299" s="232" t="str">
        <f>IF(AND(A3299&lt;&gt;"",ISNUMBER(A3299)),VLOOKUP(A3299,Studies!A:BR,3,FALSE),"")</f>
        <v>https://www.ncbi.nlm.nih.gov/pubmed/21562488</v>
      </c>
      <c r="D3299" s="232" t="str">
        <f>IF(AND(A3299&lt;&gt;"",ISNUMBER(A3299)),VLOOKUP(A3299,Studies!A:BR,4,FALSE),"")</f>
        <v>po with Perpetrator (Rifampicin @ 75 mg)</v>
      </c>
      <c r="E3299" s="206" t="str">
        <f>IF(AND(A3299&lt;&gt;"",ISNUMBER(A3299)),VLOOKUP(A3299,Studies!A:BR,5,FALSE),"")</f>
        <v>Alfentanil</v>
      </c>
      <c r="F3299" s="207" t="str">
        <f>IF(AND(A3299&lt;&gt;"",ISNUMBER(A3299)),VLOOKUP(A3299,Studies!A:BR,6,FALSE),"")</f>
        <v>Plasma</v>
      </c>
      <c r="G3299" s="194">
        <v>133.5</v>
      </c>
      <c r="H3299" s="194" t="s">
        <v>60</v>
      </c>
      <c r="I3299" s="187">
        <v>11.48936</v>
      </c>
      <c r="J3299" s="187" t="s">
        <v>1090</v>
      </c>
      <c r="K3299" s="187" t="s">
        <v>116</v>
      </c>
      <c r="L3299" s="195"/>
      <c r="M3299" s="195"/>
      <c r="N3299" s="195"/>
      <c r="O3299" s="199"/>
      <c r="P3299" s="188"/>
      <c r="Q3299" s="174">
        <f>IF(ISNUMBER(VLOOKUP(A3299,NotghiID!A:A,1,FALSE)),1,0)</f>
        <v>1</v>
      </c>
    </row>
    <row r="3300" spans="1:17" ht="14.25" x14ac:dyDescent="0.2">
      <c r="A3300" s="189">
        <v>312</v>
      </c>
      <c r="B3300" s="232" t="str">
        <f>IF(AND(A3300&lt;&gt;"",ISNUMBER(A3300)),VLOOKUP(A3300,Studies!A:BR,2,FALSE),"")</f>
        <v>Kharasch 2011</v>
      </c>
      <c r="C3300" s="232" t="str">
        <f>IF(AND(A3300&lt;&gt;"",ISNUMBER(A3300)),VLOOKUP(A3300,Studies!A:BR,3,FALSE),"")</f>
        <v>https://www.ncbi.nlm.nih.gov/pubmed/21562488</v>
      </c>
      <c r="D3300" s="232" t="str">
        <f>IF(AND(A3300&lt;&gt;"",ISNUMBER(A3300)),VLOOKUP(A3300,Studies!A:BR,4,FALSE),"")</f>
        <v>po with Perpetrator (Rifampicin @ 75 mg)</v>
      </c>
      <c r="E3300" s="206" t="str">
        <f>IF(AND(A3300&lt;&gt;"",ISNUMBER(A3300)),VLOOKUP(A3300,Studies!A:BR,5,FALSE),"")</f>
        <v>Alfentanil</v>
      </c>
      <c r="F3300" s="207" t="str">
        <f>IF(AND(A3300&lt;&gt;"",ISNUMBER(A3300)),VLOOKUP(A3300,Studies!A:BR,6,FALSE),"")</f>
        <v>Plasma</v>
      </c>
      <c r="G3300" s="194">
        <v>133.75</v>
      </c>
      <c r="H3300" s="194" t="s">
        <v>60</v>
      </c>
      <c r="I3300" s="187">
        <v>10.09671</v>
      </c>
      <c r="J3300" s="187" t="s">
        <v>1090</v>
      </c>
      <c r="K3300" s="187" t="s">
        <v>116</v>
      </c>
      <c r="L3300" s="195"/>
      <c r="M3300" s="195"/>
      <c r="N3300" s="195"/>
      <c r="O3300" s="199"/>
      <c r="P3300" s="188"/>
      <c r="Q3300" s="174">
        <f>IF(ISNUMBER(VLOOKUP(A3300,NotghiID!A:A,1,FALSE)),1,0)</f>
        <v>1</v>
      </c>
    </row>
    <row r="3301" spans="1:17" ht="14.25" x14ac:dyDescent="0.2">
      <c r="A3301" s="189">
        <v>312</v>
      </c>
      <c r="B3301" s="232" t="str">
        <f>IF(AND(A3301&lt;&gt;"",ISNUMBER(A3301)),VLOOKUP(A3301,Studies!A:BR,2,FALSE),"")</f>
        <v>Kharasch 2011</v>
      </c>
      <c r="C3301" s="232" t="str">
        <f>IF(AND(A3301&lt;&gt;"",ISNUMBER(A3301)),VLOOKUP(A3301,Studies!A:BR,3,FALSE),"")</f>
        <v>https://www.ncbi.nlm.nih.gov/pubmed/21562488</v>
      </c>
      <c r="D3301" s="232" t="str">
        <f>IF(AND(A3301&lt;&gt;"",ISNUMBER(A3301)),VLOOKUP(A3301,Studies!A:BR,4,FALSE),"")</f>
        <v>po with Perpetrator (Rifampicin @ 75 mg)</v>
      </c>
      <c r="E3301" s="206" t="str">
        <f>IF(AND(A3301&lt;&gt;"",ISNUMBER(A3301)),VLOOKUP(A3301,Studies!A:BR,5,FALSE),"")</f>
        <v>Alfentanil</v>
      </c>
      <c r="F3301" s="207" t="str">
        <f>IF(AND(A3301&lt;&gt;"",ISNUMBER(A3301)),VLOOKUP(A3301,Studies!A:BR,6,FALSE),"")</f>
        <v>Plasma</v>
      </c>
      <c r="G3301" s="194">
        <v>134</v>
      </c>
      <c r="H3301" s="194" t="s">
        <v>60</v>
      </c>
      <c r="I3301" s="187">
        <v>7.8916829999999996</v>
      </c>
      <c r="J3301" s="187" t="s">
        <v>1090</v>
      </c>
      <c r="K3301" s="187" t="s">
        <v>116</v>
      </c>
      <c r="L3301" s="195"/>
      <c r="M3301" s="195"/>
      <c r="N3301" s="195"/>
      <c r="O3301" s="199"/>
      <c r="P3301" s="188"/>
      <c r="Q3301" s="174">
        <f>IF(ISNUMBER(VLOOKUP(A3301,NotghiID!A:A,1,FALSE)),1,0)</f>
        <v>1</v>
      </c>
    </row>
    <row r="3302" spans="1:17" ht="14.25" x14ac:dyDescent="0.2">
      <c r="A3302" s="189">
        <v>312</v>
      </c>
      <c r="B3302" s="232" t="str">
        <f>IF(AND(A3302&lt;&gt;"",ISNUMBER(A3302)),VLOOKUP(A3302,Studies!A:BR,2,FALSE),"")</f>
        <v>Kharasch 2011</v>
      </c>
      <c r="C3302" s="232" t="str">
        <f>IF(AND(A3302&lt;&gt;"",ISNUMBER(A3302)),VLOOKUP(A3302,Studies!A:BR,3,FALSE),"")</f>
        <v>https://www.ncbi.nlm.nih.gov/pubmed/21562488</v>
      </c>
      <c r="D3302" s="232" t="str">
        <f>IF(AND(A3302&lt;&gt;"",ISNUMBER(A3302)),VLOOKUP(A3302,Studies!A:BR,4,FALSE),"")</f>
        <v>po with Perpetrator (Rifampicin @ 75 mg)</v>
      </c>
      <c r="E3302" s="206" t="str">
        <f>IF(AND(A3302&lt;&gt;"",ISNUMBER(A3302)),VLOOKUP(A3302,Studies!A:BR,5,FALSE),"")</f>
        <v>Alfentanil</v>
      </c>
      <c r="F3302" s="207" t="str">
        <f>IF(AND(A3302&lt;&gt;"",ISNUMBER(A3302)),VLOOKUP(A3302,Studies!A:BR,6,FALSE),"")</f>
        <v>Plasma</v>
      </c>
      <c r="G3302" s="194">
        <v>134.25</v>
      </c>
      <c r="H3302" s="194" t="s">
        <v>60</v>
      </c>
      <c r="I3302" s="187">
        <v>6.3829789999999997</v>
      </c>
      <c r="J3302" s="187" t="s">
        <v>1090</v>
      </c>
      <c r="K3302" s="187" t="s">
        <v>116</v>
      </c>
      <c r="L3302" s="195"/>
      <c r="M3302" s="195"/>
      <c r="N3302" s="195"/>
      <c r="O3302" s="199"/>
      <c r="P3302" s="188"/>
      <c r="Q3302" s="174">
        <f>IF(ISNUMBER(VLOOKUP(A3302,NotghiID!A:A,1,FALSE)),1,0)</f>
        <v>1</v>
      </c>
    </row>
    <row r="3303" spans="1:17" ht="14.25" x14ac:dyDescent="0.2">
      <c r="A3303" s="189">
        <v>312</v>
      </c>
      <c r="B3303" s="232" t="str">
        <f>IF(AND(A3303&lt;&gt;"",ISNUMBER(A3303)),VLOOKUP(A3303,Studies!A:BR,2,FALSE),"")</f>
        <v>Kharasch 2011</v>
      </c>
      <c r="C3303" s="232" t="str">
        <f>IF(AND(A3303&lt;&gt;"",ISNUMBER(A3303)),VLOOKUP(A3303,Studies!A:BR,3,FALSE),"")</f>
        <v>https://www.ncbi.nlm.nih.gov/pubmed/21562488</v>
      </c>
      <c r="D3303" s="232" t="str">
        <f>IF(AND(A3303&lt;&gt;"",ISNUMBER(A3303)),VLOOKUP(A3303,Studies!A:BR,4,FALSE),"")</f>
        <v>po with Perpetrator (Rifampicin @ 75 mg)</v>
      </c>
      <c r="E3303" s="206" t="str">
        <f>IF(AND(A3303&lt;&gt;"",ISNUMBER(A3303)),VLOOKUP(A3303,Studies!A:BR,5,FALSE),"")</f>
        <v>Alfentanil</v>
      </c>
      <c r="F3303" s="207" t="str">
        <f>IF(AND(A3303&lt;&gt;"",ISNUMBER(A3303)),VLOOKUP(A3303,Studies!A:BR,6,FALSE),"")</f>
        <v>Plasma</v>
      </c>
      <c r="G3303" s="194">
        <v>134.5</v>
      </c>
      <c r="H3303" s="194" t="s">
        <v>60</v>
      </c>
      <c r="I3303" s="187">
        <v>4.990329</v>
      </c>
      <c r="J3303" s="187" t="s">
        <v>1090</v>
      </c>
      <c r="K3303" s="187" t="s">
        <v>116</v>
      </c>
      <c r="L3303" s="195"/>
      <c r="M3303" s="195"/>
      <c r="N3303" s="195"/>
      <c r="O3303" s="199"/>
      <c r="P3303" s="188"/>
      <c r="Q3303" s="174">
        <f>IF(ISNUMBER(VLOOKUP(A3303,NotghiID!A:A,1,FALSE)),1,0)</f>
        <v>1</v>
      </c>
    </row>
    <row r="3304" spans="1:17" ht="14.25" x14ac:dyDescent="0.2">
      <c r="A3304" s="189">
        <v>312</v>
      </c>
      <c r="B3304" s="232" t="str">
        <f>IF(AND(A3304&lt;&gt;"",ISNUMBER(A3304)),VLOOKUP(A3304,Studies!A:BR,2,FALSE),"")</f>
        <v>Kharasch 2011</v>
      </c>
      <c r="C3304" s="232" t="str">
        <f>IF(AND(A3304&lt;&gt;"",ISNUMBER(A3304)),VLOOKUP(A3304,Studies!A:BR,3,FALSE),"")</f>
        <v>https://www.ncbi.nlm.nih.gov/pubmed/21562488</v>
      </c>
      <c r="D3304" s="232" t="str">
        <f>IF(AND(A3304&lt;&gt;"",ISNUMBER(A3304)),VLOOKUP(A3304,Studies!A:BR,4,FALSE),"")</f>
        <v>po with Perpetrator (Rifampicin @ 75 mg)</v>
      </c>
      <c r="E3304" s="206" t="str">
        <f>IF(AND(A3304&lt;&gt;"",ISNUMBER(A3304)),VLOOKUP(A3304,Studies!A:BR,5,FALSE),"")</f>
        <v>Alfentanil</v>
      </c>
      <c r="F3304" s="207" t="str">
        <f>IF(AND(A3304&lt;&gt;"",ISNUMBER(A3304)),VLOOKUP(A3304,Studies!A:BR,6,FALSE),"")</f>
        <v>Plasma</v>
      </c>
      <c r="G3304" s="194">
        <v>134.75</v>
      </c>
      <c r="H3304" s="194" t="s">
        <v>60</v>
      </c>
      <c r="I3304" s="187">
        <v>4.1779500000000001</v>
      </c>
      <c r="J3304" s="187" t="s">
        <v>1090</v>
      </c>
      <c r="K3304" s="187" t="s">
        <v>116</v>
      </c>
      <c r="L3304" s="195"/>
      <c r="M3304" s="195"/>
      <c r="N3304" s="195"/>
      <c r="O3304" s="199"/>
      <c r="P3304" s="188"/>
      <c r="Q3304" s="174">
        <f>IF(ISNUMBER(VLOOKUP(A3304,NotghiID!A:A,1,FALSE)),1,0)</f>
        <v>1</v>
      </c>
    </row>
    <row r="3305" spans="1:17" ht="14.25" x14ac:dyDescent="0.2">
      <c r="A3305" s="189">
        <v>312</v>
      </c>
      <c r="B3305" s="232" t="str">
        <f>IF(AND(A3305&lt;&gt;"",ISNUMBER(A3305)),VLOOKUP(A3305,Studies!A:BR,2,FALSE),"")</f>
        <v>Kharasch 2011</v>
      </c>
      <c r="C3305" s="232" t="str">
        <f>IF(AND(A3305&lt;&gt;"",ISNUMBER(A3305)),VLOOKUP(A3305,Studies!A:BR,3,FALSE),"")</f>
        <v>https://www.ncbi.nlm.nih.gov/pubmed/21562488</v>
      </c>
      <c r="D3305" s="232" t="str">
        <f>IF(AND(A3305&lt;&gt;"",ISNUMBER(A3305)),VLOOKUP(A3305,Studies!A:BR,4,FALSE),"")</f>
        <v>po with Perpetrator (Rifampicin @ 75 mg)</v>
      </c>
      <c r="E3305" s="206" t="str">
        <f>IF(AND(A3305&lt;&gt;"",ISNUMBER(A3305)),VLOOKUP(A3305,Studies!A:BR,5,FALSE),"")</f>
        <v>Alfentanil</v>
      </c>
      <c r="F3305" s="207" t="str">
        <f>IF(AND(A3305&lt;&gt;"",ISNUMBER(A3305)),VLOOKUP(A3305,Studies!A:BR,6,FALSE),"")</f>
        <v>Plasma</v>
      </c>
      <c r="G3305" s="194">
        <v>135</v>
      </c>
      <c r="H3305" s="194" t="s">
        <v>60</v>
      </c>
      <c r="I3305" s="187">
        <v>3.5976789999999998</v>
      </c>
      <c r="J3305" s="187" t="s">
        <v>1090</v>
      </c>
      <c r="K3305" s="187" t="s">
        <v>116</v>
      </c>
      <c r="L3305" s="195"/>
      <c r="M3305" s="195"/>
      <c r="N3305" s="195"/>
      <c r="O3305" s="199"/>
      <c r="P3305" s="188"/>
      <c r="Q3305" s="174">
        <f>IF(ISNUMBER(VLOOKUP(A3305,NotghiID!A:A,1,FALSE)),1,0)</f>
        <v>1</v>
      </c>
    </row>
    <row r="3306" spans="1:17" ht="14.25" x14ac:dyDescent="0.2">
      <c r="A3306" s="189">
        <v>312</v>
      </c>
      <c r="B3306" s="232" t="str">
        <f>IF(AND(A3306&lt;&gt;"",ISNUMBER(A3306)),VLOOKUP(A3306,Studies!A:BR,2,FALSE),"")</f>
        <v>Kharasch 2011</v>
      </c>
      <c r="C3306" s="232" t="str">
        <f>IF(AND(A3306&lt;&gt;"",ISNUMBER(A3306)),VLOOKUP(A3306,Studies!A:BR,3,FALSE),"")</f>
        <v>https://www.ncbi.nlm.nih.gov/pubmed/21562488</v>
      </c>
      <c r="D3306" s="232" t="str">
        <f>IF(AND(A3306&lt;&gt;"",ISNUMBER(A3306)),VLOOKUP(A3306,Studies!A:BR,4,FALSE),"")</f>
        <v>po with Perpetrator (Rifampicin @ 75 mg)</v>
      </c>
      <c r="E3306" s="206" t="str">
        <f>IF(AND(A3306&lt;&gt;"",ISNUMBER(A3306)),VLOOKUP(A3306,Studies!A:BR,5,FALSE),"")</f>
        <v>Alfentanil</v>
      </c>
      <c r="F3306" s="207" t="str">
        <f>IF(AND(A3306&lt;&gt;"",ISNUMBER(A3306)),VLOOKUP(A3306,Studies!A:BR,6,FALSE),"")</f>
        <v>Plasma</v>
      </c>
      <c r="G3306" s="194">
        <v>135.5</v>
      </c>
      <c r="H3306" s="194" t="s">
        <v>60</v>
      </c>
      <c r="I3306" s="187">
        <v>2.3210829999999998</v>
      </c>
      <c r="J3306" s="187" t="s">
        <v>1090</v>
      </c>
      <c r="K3306" s="187" t="s">
        <v>116</v>
      </c>
      <c r="L3306" s="195"/>
      <c r="M3306" s="195"/>
      <c r="N3306" s="195"/>
      <c r="O3306" s="199"/>
      <c r="P3306" s="188"/>
      <c r="Q3306" s="174">
        <f>IF(ISNUMBER(VLOOKUP(A3306,NotghiID!A:A,1,FALSE)),1,0)</f>
        <v>1</v>
      </c>
    </row>
    <row r="3307" spans="1:17" ht="14.25" x14ac:dyDescent="0.2">
      <c r="A3307" s="189">
        <v>312</v>
      </c>
      <c r="B3307" s="232" t="str">
        <f>IF(AND(A3307&lt;&gt;"",ISNUMBER(A3307)),VLOOKUP(A3307,Studies!A:BR,2,FALSE),"")</f>
        <v>Kharasch 2011</v>
      </c>
      <c r="C3307" s="232" t="str">
        <f>IF(AND(A3307&lt;&gt;"",ISNUMBER(A3307)),VLOOKUP(A3307,Studies!A:BR,3,FALSE),"")</f>
        <v>https://www.ncbi.nlm.nih.gov/pubmed/21562488</v>
      </c>
      <c r="D3307" s="232" t="str">
        <f>IF(AND(A3307&lt;&gt;"",ISNUMBER(A3307)),VLOOKUP(A3307,Studies!A:BR,4,FALSE),"")</f>
        <v>po with Perpetrator (Rifampicin @ 75 mg)</v>
      </c>
      <c r="E3307" s="206" t="str">
        <f>IF(AND(A3307&lt;&gt;"",ISNUMBER(A3307)),VLOOKUP(A3307,Studies!A:BR,5,FALSE),"")</f>
        <v>Alfentanil</v>
      </c>
      <c r="F3307" s="207" t="str">
        <f>IF(AND(A3307&lt;&gt;"",ISNUMBER(A3307)),VLOOKUP(A3307,Studies!A:BR,6,FALSE),"")</f>
        <v>Plasma</v>
      </c>
      <c r="G3307" s="194">
        <v>136</v>
      </c>
      <c r="H3307" s="194" t="s">
        <v>60</v>
      </c>
      <c r="I3307" s="187">
        <v>1.508704</v>
      </c>
      <c r="J3307" s="187" t="s">
        <v>1090</v>
      </c>
      <c r="K3307" s="187" t="s">
        <v>116</v>
      </c>
      <c r="L3307" s="195"/>
      <c r="M3307" s="195"/>
      <c r="N3307" s="195"/>
      <c r="O3307" s="199"/>
      <c r="P3307" s="188"/>
      <c r="Q3307" s="174">
        <f>IF(ISNUMBER(VLOOKUP(A3307,NotghiID!A:A,1,FALSE)),1,0)</f>
        <v>1</v>
      </c>
    </row>
    <row r="3308" spans="1:17" ht="14.25" x14ac:dyDescent="0.2">
      <c r="A3308" s="189">
        <v>312</v>
      </c>
      <c r="B3308" s="232" t="str">
        <f>IF(AND(A3308&lt;&gt;"",ISNUMBER(A3308)),VLOOKUP(A3308,Studies!A:BR,2,FALSE),"")</f>
        <v>Kharasch 2011</v>
      </c>
      <c r="C3308" s="232" t="str">
        <f>IF(AND(A3308&lt;&gt;"",ISNUMBER(A3308)),VLOOKUP(A3308,Studies!A:BR,3,FALSE),"")</f>
        <v>https://www.ncbi.nlm.nih.gov/pubmed/21562488</v>
      </c>
      <c r="D3308" s="232" t="str">
        <f>IF(AND(A3308&lt;&gt;"",ISNUMBER(A3308)),VLOOKUP(A3308,Studies!A:BR,4,FALSE),"")</f>
        <v>po with Perpetrator (Rifampicin @ 75 mg)</v>
      </c>
      <c r="E3308" s="206" t="str">
        <f>IF(AND(A3308&lt;&gt;"",ISNUMBER(A3308)),VLOOKUP(A3308,Studies!A:BR,5,FALSE),"")</f>
        <v>Alfentanil</v>
      </c>
      <c r="F3308" s="207" t="str">
        <f>IF(AND(A3308&lt;&gt;"",ISNUMBER(A3308)),VLOOKUP(A3308,Studies!A:BR,6,FALSE),"")</f>
        <v>Plasma</v>
      </c>
      <c r="G3308" s="194">
        <v>137</v>
      </c>
      <c r="H3308" s="194" t="s">
        <v>60</v>
      </c>
      <c r="I3308" s="187">
        <v>0.46421659999999998</v>
      </c>
      <c r="J3308" s="187" t="s">
        <v>1090</v>
      </c>
      <c r="K3308" s="187" t="s">
        <v>116</v>
      </c>
      <c r="L3308" s="195"/>
      <c r="M3308" s="195"/>
      <c r="N3308" s="195"/>
      <c r="O3308" s="199"/>
      <c r="P3308" s="188"/>
      <c r="Q3308" s="174">
        <f>IF(ISNUMBER(VLOOKUP(A3308,NotghiID!A:A,1,FALSE)),1,0)</f>
        <v>1</v>
      </c>
    </row>
    <row r="3309" spans="1:17" ht="14.25" x14ac:dyDescent="0.2">
      <c r="A3309" s="189">
        <v>312</v>
      </c>
      <c r="B3309" s="232" t="str">
        <f>IF(AND(A3309&lt;&gt;"",ISNUMBER(A3309)),VLOOKUP(A3309,Studies!A:BR,2,FALSE),"")</f>
        <v>Kharasch 2011</v>
      </c>
      <c r="C3309" s="232" t="str">
        <f>IF(AND(A3309&lt;&gt;"",ISNUMBER(A3309)),VLOOKUP(A3309,Studies!A:BR,3,FALSE),"")</f>
        <v>https://www.ncbi.nlm.nih.gov/pubmed/21562488</v>
      </c>
      <c r="D3309" s="232" t="str">
        <f>IF(AND(A3309&lt;&gt;"",ISNUMBER(A3309)),VLOOKUP(A3309,Studies!A:BR,4,FALSE),"")</f>
        <v>po with Perpetrator (Rifampicin @ 75 mg)</v>
      </c>
      <c r="E3309" s="206" t="str">
        <f>IF(AND(A3309&lt;&gt;"",ISNUMBER(A3309)),VLOOKUP(A3309,Studies!A:BR,5,FALSE),"")</f>
        <v>Alfentanil</v>
      </c>
      <c r="F3309" s="207" t="str">
        <f>IF(AND(A3309&lt;&gt;"",ISNUMBER(A3309)),VLOOKUP(A3309,Studies!A:BR,6,FALSE),"")</f>
        <v>Plasma</v>
      </c>
      <c r="G3309" s="194">
        <v>138</v>
      </c>
      <c r="H3309" s="194" t="s">
        <v>60</v>
      </c>
      <c r="I3309" s="187">
        <v>0.34816249999999999</v>
      </c>
      <c r="J3309" s="187" t="s">
        <v>1090</v>
      </c>
      <c r="K3309" s="187" t="s">
        <v>116</v>
      </c>
      <c r="L3309" s="195"/>
      <c r="M3309" s="195"/>
      <c r="N3309" s="195"/>
      <c r="O3309" s="199"/>
      <c r="P3309" s="188"/>
      <c r="Q3309" s="174">
        <f>IF(ISNUMBER(VLOOKUP(A3309,NotghiID!A:A,1,FALSE)),1,0)</f>
        <v>1</v>
      </c>
    </row>
    <row r="3310" spans="1:17" ht="14.25" x14ac:dyDescent="0.2">
      <c r="A3310" s="189">
        <v>421</v>
      </c>
      <c r="B3310" s="232" t="str">
        <f>IF(AND(A3310&lt;&gt;"",ISNUMBER(A3310)),VLOOKUP(A3310,Studies!A:BR,2,FALSE),"")</f>
        <v>Szalat 2007</v>
      </c>
      <c r="C3310" s="232" t="str">
        <f>IF(AND(A3310&lt;&gt;"",ISNUMBER(A3310)),VLOOKUP(A3310,Studies!A:BR,3,FALSE),"")</f>
        <v>https://www.ncbi.nlm.nih.gov/pubmed/17553741</v>
      </c>
      <c r="D3310" s="232" t="str">
        <f>IF(AND(A3310&lt;&gt;"",ISNUMBER(A3310)),VLOOKUP(A3310,Studies!A:BR,4,FALSE),"")</f>
        <v>Control (Perpetrator Placebo)</v>
      </c>
      <c r="E3310" s="206" t="str">
        <f>IF(AND(A3310&lt;&gt;"",ISNUMBER(A3310)),VLOOKUP(A3310,Studies!A:BR,5,FALSE),"")</f>
        <v>Midazolam</v>
      </c>
      <c r="F3310" s="207" t="str">
        <f>IF(AND(A3310&lt;&gt;"",ISNUMBER(A3310)),VLOOKUP(A3310,Studies!A:BR,6,FALSE),"")</f>
        <v>Plasma</v>
      </c>
      <c r="G3310" s="194">
        <v>5</v>
      </c>
      <c r="H3310" s="194" t="s">
        <v>1041</v>
      </c>
      <c r="I3310" s="187">
        <v>68.264809999999997</v>
      </c>
      <c r="J3310" s="187" t="s">
        <v>1090</v>
      </c>
      <c r="K3310" s="187" t="s">
        <v>116</v>
      </c>
      <c r="L3310" s="195">
        <v>20.488910000000001</v>
      </c>
      <c r="M3310" s="195" t="s">
        <v>1090</v>
      </c>
      <c r="N3310" s="195" t="s">
        <v>1034</v>
      </c>
      <c r="O3310" s="199">
        <v>2</v>
      </c>
      <c r="P3310" s="188"/>
      <c r="Q3310" s="174">
        <f>IF(ISNUMBER(VLOOKUP(A3310,NotghiID!A:A,1,FALSE)),1,0)</f>
        <v>1</v>
      </c>
    </row>
    <row r="3311" spans="1:17" ht="14.25" x14ac:dyDescent="0.2">
      <c r="A3311" s="189">
        <v>421</v>
      </c>
      <c r="B3311" s="232" t="str">
        <f>IF(AND(A3311&lt;&gt;"",ISNUMBER(A3311)),VLOOKUP(A3311,Studies!A:BR,2,FALSE),"")</f>
        <v>Szalat 2007</v>
      </c>
      <c r="C3311" s="232" t="str">
        <f>IF(AND(A3311&lt;&gt;"",ISNUMBER(A3311)),VLOOKUP(A3311,Studies!A:BR,3,FALSE),"")</f>
        <v>https://www.ncbi.nlm.nih.gov/pubmed/17553741</v>
      </c>
      <c r="D3311" s="232" t="str">
        <f>IF(AND(A3311&lt;&gt;"",ISNUMBER(A3311)),VLOOKUP(A3311,Studies!A:BR,4,FALSE),"")</f>
        <v>Control (Perpetrator Placebo)</v>
      </c>
      <c r="E3311" s="206" t="str">
        <f>IF(AND(A3311&lt;&gt;"",ISNUMBER(A3311)),VLOOKUP(A3311,Studies!A:BR,5,FALSE),"")</f>
        <v>Midazolam</v>
      </c>
      <c r="F3311" s="207" t="str">
        <f>IF(AND(A3311&lt;&gt;"",ISNUMBER(A3311)),VLOOKUP(A3311,Studies!A:BR,6,FALSE),"")</f>
        <v>Plasma</v>
      </c>
      <c r="G3311" s="194">
        <v>15</v>
      </c>
      <c r="H3311" s="194" t="s">
        <v>1041</v>
      </c>
      <c r="I3311" s="187">
        <v>65.083590000000001</v>
      </c>
      <c r="J3311" s="187" t="s">
        <v>1090</v>
      </c>
      <c r="K3311" s="187" t="s">
        <v>116</v>
      </c>
      <c r="L3311" s="195">
        <v>10.91911</v>
      </c>
      <c r="M3311" s="195" t="s">
        <v>1090</v>
      </c>
      <c r="N3311" s="195" t="s">
        <v>1034</v>
      </c>
      <c r="O3311" s="199">
        <v>2</v>
      </c>
      <c r="P3311" s="188"/>
      <c r="Q3311" s="174">
        <f>IF(ISNUMBER(VLOOKUP(A3311,NotghiID!A:A,1,FALSE)),1,0)</f>
        <v>1</v>
      </c>
    </row>
    <row r="3312" spans="1:17" ht="14.25" x14ac:dyDescent="0.2">
      <c r="A3312" s="189">
        <v>421</v>
      </c>
      <c r="B3312" s="232" t="str">
        <f>IF(AND(A3312&lt;&gt;"",ISNUMBER(A3312)),VLOOKUP(A3312,Studies!A:BR,2,FALSE),"")</f>
        <v>Szalat 2007</v>
      </c>
      <c r="C3312" s="232" t="str">
        <f>IF(AND(A3312&lt;&gt;"",ISNUMBER(A3312)),VLOOKUP(A3312,Studies!A:BR,3,FALSE),"")</f>
        <v>https://www.ncbi.nlm.nih.gov/pubmed/17553741</v>
      </c>
      <c r="D3312" s="232" t="str">
        <f>IF(AND(A3312&lt;&gt;"",ISNUMBER(A3312)),VLOOKUP(A3312,Studies!A:BR,4,FALSE),"")</f>
        <v>Control (Perpetrator Placebo)</v>
      </c>
      <c r="E3312" s="206" t="str">
        <f>IF(AND(A3312&lt;&gt;"",ISNUMBER(A3312)),VLOOKUP(A3312,Studies!A:BR,5,FALSE),"")</f>
        <v>Midazolam</v>
      </c>
      <c r="F3312" s="207" t="str">
        <f>IF(AND(A3312&lt;&gt;"",ISNUMBER(A3312)),VLOOKUP(A3312,Studies!A:BR,6,FALSE),"")</f>
        <v>Plasma</v>
      </c>
      <c r="G3312" s="194">
        <v>30</v>
      </c>
      <c r="H3312" s="194" t="s">
        <v>1041</v>
      </c>
      <c r="I3312" s="187">
        <v>38.502789999999997</v>
      </c>
      <c r="J3312" s="187" t="s">
        <v>1090</v>
      </c>
      <c r="K3312" s="187" t="s">
        <v>116</v>
      </c>
      <c r="L3312" s="195">
        <v>5.9264029999999996</v>
      </c>
      <c r="M3312" s="195" t="s">
        <v>1090</v>
      </c>
      <c r="N3312" s="195" t="s">
        <v>1034</v>
      </c>
      <c r="O3312" s="199">
        <v>2</v>
      </c>
      <c r="P3312" s="188"/>
      <c r="Q3312" s="174">
        <f>IF(ISNUMBER(VLOOKUP(A3312,NotghiID!A:A,1,FALSE)),1,0)</f>
        <v>1</v>
      </c>
    </row>
    <row r="3313" spans="1:17" ht="14.25" x14ac:dyDescent="0.2">
      <c r="A3313" s="189">
        <v>421</v>
      </c>
      <c r="B3313" s="232" t="str">
        <f>IF(AND(A3313&lt;&gt;"",ISNUMBER(A3313)),VLOOKUP(A3313,Studies!A:BR,2,FALSE),"")</f>
        <v>Szalat 2007</v>
      </c>
      <c r="C3313" s="232" t="str">
        <f>IF(AND(A3313&lt;&gt;"",ISNUMBER(A3313)),VLOOKUP(A3313,Studies!A:BR,3,FALSE),"")</f>
        <v>https://www.ncbi.nlm.nih.gov/pubmed/17553741</v>
      </c>
      <c r="D3313" s="232" t="str">
        <f>IF(AND(A3313&lt;&gt;"",ISNUMBER(A3313)),VLOOKUP(A3313,Studies!A:BR,4,FALSE),"")</f>
        <v>Control (Perpetrator Placebo)</v>
      </c>
      <c r="E3313" s="206" t="str">
        <f>IF(AND(A3313&lt;&gt;"",ISNUMBER(A3313)),VLOOKUP(A3313,Studies!A:BR,5,FALSE),"")</f>
        <v>Midazolam</v>
      </c>
      <c r="F3313" s="207" t="str">
        <f>IF(AND(A3313&lt;&gt;"",ISNUMBER(A3313)),VLOOKUP(A3313,Studies!A:BR,6,FALSE),"")</f>
        <v>Plasma</v>
      </c>
      <c r="G3313" s="194">
        <v>60</v>
      </c>
      <c r="H3313" s="194" t="s">
        <v>1041</v>
      </c>
      <c r="I3313" s="187">
        <v>26.918559999999999</v>
      </c>
      <c r="J3313" s="187" t="s">
        <v>1090</v>
      </c>
      <c r="K3313" s="187" t="s">
        <v>116</v>
      </c>
      <c r="L3313" s="195">
        <v>4.51614</v>
      </c>
      <c r="M3313" s="195" t="s">
        <v>1090</v>
      </c>
      <c r="N3313" s="195" t="s">
        <v>1034</v>
      </c>
      <c r="O3313" s="199">
        <v>2</v>
      </c>
      <c r="P3313" s="188"/>
      <c r="Q3313" s="174">
        <f>IF(ISNUMBER(VLOOKUP(A3313,NotghiID!A:A,1,FALSE)),1,0)</f>
        <v>1</v>
      </c>
    </row>
    <row r="3314" spans="1:17" ht="14.25" x14ac:dyDescent="0.2">
      <c r="A3314" s="189">
        <v>421</v>
      </c>
      <c r="B3314" s="232" t="str">
        <f>IF(AND(A3314&lt;&gt;"",ISNUMBER(A3314)),VLOOKUP(A3314,Studies!A:BR,2,FALSE),"")</f>
        <v>Szalat 2007</v>
      </c>
      <c r="C3314" s="232" t="str">
        <f>IF(AND(A3314&lt;&gt;"",ISNUMBER(A3314)),VLOOKUP(A3314,Studies!A:BR,3,FALSE),"")</f>
        <v>https://www.ncbi.nlm.nih.gov/pubmed/17553741</v>
      </c>
      <c r="D3314" s="232" t="str">
        <f>IF(AND(A3314&lt;&gt;"",ISNUMBER(A3314)),VLOOKUP(A3314,Studies!A:BR,4,FALSE),"")</f>
        <v>Control (Perpetrator Placebo)</v>
      </c>
      <c r="E3314" s="206" t="str">
        <f>IF(AND(A3314&lt;&gt;"",ISNUMBER(A3314)),VLOOKUP(A3314,Studies!A:BR,5,FALSE),"")</f>
        <v>Midazolam</v>
      </c>
      <c r="F3314" s="207" t="str">
        <f>IF(AND(A3314&lt;&gt;"",ISNUMBER(A3314)),VLOOKUP(A3314,Studies!A:BR,6,FALSE),"")</f>
        <v>Plasma</v>
      </c>
      <c r="G3314" s="194">
        <v>90</v>
      </c>
      <c r="H3314" s="194" t="s">
        <v>1041</v>
      </c>
      <c r="I3314" s="187">
        <v>16.3093</v>
      </c>
      <c r="J3314" s="187" t="s">
        <v>1090</v>
      </c>
      <c r="K3314" s="187" t="s">
        <v>116</v>
      </c>
      <c r="L3314" s="195">
        <v>3.4302290000000002</v>
      </c>
      <c r="M3314" s="195" t="s">
        <v>1090</v>
      </c>
      <c r="N3314" s="195" t="s">
        <v>1034</v>
      </c>
      <c r="O3314" s="199">
        <v>2</v>
      </c>
      <c r="P3314" s="188"/>
      <c r="Q3314" s="174">
        <f>IF(ISNUMBER(VLOOKUP(A3314,NotghiID!A:A,1,FALSE)),1,0)</f>
        <v>1</v>
      </c>
    </row>
    <row r="3315" spans="1:17" ht="14.25" x14ac:dyDescent="0.2">
      <c r="A3315" s="189">
        <v>421</v>
      </c>
      <c r="B3315" s="232" t="str">
        <f>IF(AND(A3315&lt;&gt;"",ISNUMBER(A3315)),VLOOKUP(A3315,Studies!A:BR,2,FALSE),"")</f>
        <v>Szalat 2007</v>
      </c>
      <c r="C3315" s="232" t="str">
        <f>IF(AND(A3315&lt;&gt;"",ISNUMBER(A3315)),VLOOKUP(A3315,Studies!A:BR,3,FALSE),"")</f>
        <v>https://www.ncbi.nlm.nih.gov/pubmed/17553741</v>
      </c>
      <c r="D3315" s="232" t="str">
        <f>IF(AND(A3315&lt;&gt;"",ISNUMBER(A3315)),VLOOKUP(A3315,Studies!A:BR,4,FALSE),"")</f>
        <v>Control (Perpetrator Placebo)</v>
      </c>
      <c r="E3315" s="206" t="str">
        <f>IF(AND(A3315&lt;&gt;"",ISNUMBER(A3315)),VLOOKUP(A3315,Studies!A:BR,5,FALSE),"")</f>
        <v>Midazolam</v>
      </c>
      <c r="F3315" s="207" t="str">
        <f>IF(AND(A3315&lt;&gt;"",ISNUMBER(A3315)),VLOOKUP(A3315,Studies!A:BR,6,FALSE),"")</f>
        <v>Plasma</v>
      </c>
      <c r="G3315" s="194">
        <v>120</v>
      </c>
      <c r="H3315" s="194" t="s">
        <v>1041</v>
      </c>
      <c r="I3315" s="187">
        <v>15.54926</v>
      </c>
      <c r="J3315" s="187" t="s">
        <v>1090</v>
      </c>
      <c r="K3315" s="187" t="s">
        <v>116</v>
      </c>
      <c r="L3315" s="195">
        <v>1.7625299999999999</v>
      </c>
      <c r="M3315" s="195" t="s">
        <v>1090</v>
      </c>
      <c r="N3315" s="195" t="s">
        <v>1034</v>
      </c>
      <c r="O3315" s="199">
        <v>2</v>
      </c>
      <c r="P3315" s="188"/>
      <c r="Q3315" s="174">
        <f>IF(ISNUMBER(VLOOKUP(A3315,NotghiID!A:A,1,FALSE)),1,0)</f>
        <v>1</v>
      </c>
    </row>
    <row r="3316" spans="1:17" ht="14.25" x14ac:dyDescent="0.2">
      <c r="A3316" s="189">
        <v>421</v>
      </c>
      <c r="B3316" s="232" t="str">
        <f>IF(AND(A3316&lt;&gt;"",ISNUMBER(A3316)),VLOOKUP(A3316,Studies!A:BR,2,FALSE),"")</f>
        <v>Szalat 2007</v>
      </c>
      <c r="C3316" s="232" t="str">
        <f>IF(AND(A3316&lt;&gt;"",ISNUMBER(A3316)),VLOOKUP(A3316,Studies!A:BR,3,FALSE),"")</f>
        <v>https://www.ncbi.nlm.nih.gov/pubmed/17553741</v>
      </c>
      <c r="D3316" s="232" t="str">
        <f>IF(AND(A3316&lt;&gt;"",ISNUMBER(A3316)),VLOOKUP(A3316,Studies!A:BR,4,FALSE),"")</f>
        <v>Control (Perpetrator Placebo)</v>
      </c>
      <c r="E3316" s="206" t="str">
        <f>IF(AND(A3316&lt;&gt;"",ISNUMBER(A3316)),VLOOKUP(A3316,Studies!A:BR,5,FALSE),"")</f>
        <v>Midazolam</v>
      </c>
      <c r="F3316" s="207" t="str">
        <f>IF(AND(A3316&lt;&gt;"",ISNUMBER(A3316)),VLOOKUP(A3316,Studies!A:BR,6,FALSE),"")</f>
        <v>Plasma</v>
      </c>
      <c r="G3316" s="194">
        <v>150</v>
      </c>
      <c r="H3316" s="194" t="s">
        <v>1041</v>
      </c>
      <c r="I3316" s="187">
        <v>10</v>
      </c>
      <c r="J3316" s="187" t="s">
        <v>1090</v>
      </c>
      <c r="K3316" s="187" t="s">
        <v>116</v>
      </c>
      <c r="L3316" s="195">
        <v>2.8471950000000001</v>
      </c>
      <c r="M3316" s="195" t="s">
        <v>1090</v>
      </c>
      <c r="N3316" s="195" t="s">
        <v>1034</v>
      </c>
      <c r="O3316" s="199">
        <v>2</v>
      </c>
      <c r="P3316" s="188"/>
      <c r="Q3316" s="174">
        <f>IF(ISNUMBER(VLOOKUP(A3316,NotghiID!A:A,1,FALSE)),1,0)</f>
        <v>1</v>
      </c>
    </row>
    <row r="3317" spans="1:17" ht="14.25" x14ac:dyDescent="0.2">
      <c r="A3317" s="189">
        <v>421</v>
      </c>
      <c r="B3317" s="232" t="str">
        <f>IF(AND(A3317&lt;&gt;"",ISNUMBER(A3317)),VLOOKUP(A3317,Studies!A:BR,2,FALSE),"")</f>
        <v>Szalat 2007</v>
      </c>
      <c r="C3317" s="232" t="str">
        <f>IF(AND(A3317&lt;&gt;"",ISNUMBER(A3317)),VLOOKUP(A3317,Studies!A:BR,3,FALSE),"")</f>
        <v>https://www.ncbi.nlm.nih.gov/pubmed/17553741</v>
      </c>
      <c r="D3317" s="232" t="str">
        <f>IF(AND(A3317&lt;&gt;"",ISNUMBER(A3317)),VLOOKUP(A3317,Studies!A:BR,4,FALSE),"")</f>
        <v>Control (Perpetrator Placebo)</v>
      </c>
      <c r="E3317" s="206" t="str">
        <f>IF(AND(A3317&lt;&gt;"",ISNUMBER(A3317)),VLOOKUP(A3317,Studies!A:BR,5,FALSE),"")</f>
        <v>Midazolam</v>
      </c>
      <c r="F3317" s="207" t="str">
        <f>IF(AND(A3317&lt;&gt;"",ISNUMBER(A3317)),VLOOKUP(A3317,Studies!A:BR,6,FALSE),"")</f>
        <v>Plasma</v>
      </c>
      <c r="G3317" s="194">
        <v>180</v>
      </c>
      <c r="H3317" s="194" t="s">
        <v>1041</v>
      </c>
      <c r="I3317" s="187">
        <v>8.6661020000000004</v>
      </c>
      <c r="J3317" s="187" t="s">
        <v>1090</v>
      </c>
      <c r="K3317" s="187" t="s">
        <v>116</v>
      </c>
      <c r="L3317" s="195">
        <v>2.075971</v>
      </c>
      <c r="M3317" s="195" t="s">
        <v>1090</v>
      </c>
      <c r="N3317" s="195" t="s">
        <v>1034</v>
      </c>
      <c r="O3317" s="199">
        <v>2</v>
      </c>
      <c r="P3317" s="188"/>
      <c r="Q3317" s="174">
        <f>IF(ISNUMBER(VLOOKUP(A3317,NotghiID!A:A,1,FALSE)),1,0)</f>
        <v>1</v>
      </c>
    </row>
    <row r="3318" spans="1:17" ht="14.25" x14ac:dyDescent="0.2">
      <c r="A3318" s="189">
        <v>422</v>
      </c>
      <c r="B3318" s="232" t="str">
        <f>IF(AND(A3318&lt;&gt;"",ISNUMBER(A3318)),VLOOKUP(A3318,Studies!A:BR,2,FALSE),"")</f>
        <v>Szalat 2007</v>
      </c>
      <c r="C3318" s="232" t="str">
        <f>IF(AND(A3318&lt;&gt;"",ISNUMBER(A3318)),VLOOKUP(A3318,Studies!A:BR,3,FALSE),"")</f>
        <v>https://www.ncbi.nlm.nih.gov/pubmed/17553741</v>
      </c>
      <c r="D3318" s="232" t="str">
        <f>IF(AND(A3318&lt;&gt;"",ISNUMBER(A3318)),VLOOKUP(A3318,Studies!A:BR,4,FALSE),"")</f>
        <v>with Perpetrator (Rifampicin)</v>
      </c>
      <c r="E3318" s="206" t="str">
        <f>IF(AND(A3318&lt;&gt;"",ISNUMBER(A3318)),VLOOKUP(A3318,Studies!A:BR,5,FALSE),"")</f>
        <v>Midazolam</v>
      </c>
      <c r="F3318" s="207" t="str">
        <f>IF(AND(A3318&lt;&gt;"",ISNUMBER(A3318)),VLOOKUP(A3318,Studies!A:BR,6,FALSE),"")</f>
        <v>Plasma</v>
      </c>
      <c r="G3318" s="194">
        <f>G3310+132*60</f>
        <v>7925</v>
      </c>
      <c r="H3318" s="194" t="s">
        <v>1041</v>
      </c>
      <c r="I3318" s="187">
        <v>73.330560000000006</v>
      </c>
      <c r="J3318" s="187" t="s">
        <v>1090</v>
      </c>
      <c r="K3318" s="187" t="s">
        <v>116</v>
      </c>
      <c r="L3318" s="195">
        <v>14.370570000000001</v>
      </c>
      <c r="M3318" s="195" t="s">
        <v>1090</v>
      </c>
      <c r="N3318" s="195" t="s">
        <v>1034</v>
      </c>
      <c r="O3318" s="199">
        <v>2</v>
      </c>
      <c r="P3318" s="188"/>
      <c r="Q3318" s="174">
        <f>IF(ISNUMBER(VLOOKUP(A3318,NotghiID!A:A,1,FALSE)),1,0)</f>
        <v>1</v>
      </c>
    </row>
    <row r="3319" spans="1:17" ht="14.25" x14ac:dyDescent="0.2">
      <c r="A3319" s="189">
        <v>422</v>
      </c>
      <c r="B3319" s="232" t="str">
        <f>IF(AND(A3319&lt;&gt;"",ISNUMBER(A3319)),VLOOKUP(A3319,Studies!A:BR,2,FALSE),"")</f>
        <v>Szalat 2007</v>
      </c>
      <c r="C3319" s="232" t="str">
        <f>IF(AND(A3319&lt;&gt;"",ISNUMBER(A3319)),VLOOKUP(A3319,Studies!A:BR,3,FALSE),"")</f>
        <v>https://www.ncbi.nlm.nih.gov/pubmed/17553741</v>
      </c>
      <c r="D3319" s="232" t="str">
        <f>IF(AND(A3319&lt;&gt;"",ISNUMBER(A3319)),VLOOKUP(A3319,Studies!A:BR,4,FALSE),"")</f>
        <v>with Perpetrator (Rifampicin)</v>
      </c>
      <c r="E3319" s="206" t="str">
        <f>IF(AND(A3319&lt;&gt;"",ISNUMBER(A3319)),VLOOKUP(A3319,Studies!A:BR,5,FALSE),"")</f>
        <v>Midazolam</v>
      </c>
      <c r="F3319" s="207" t="str">
        <f>IF(AND(A3319&lt;&gt;"",ISNUMBER(A3319)),VLOOKUP(A3319,Studies!A:BR,6,FALSE),"")</f>
        <v>Plasma</v>
      </c>
      <c r="G3319" s="194">
        <f t="shared" ref="G3319:G3325" si="9">G3311+132*60</f>
        <v>7935</v>
      </c>
      <c r="H3319" s="194" t="s">
        <v>1041</v>
      </c>
      <c r="I3319" s="187">
        <v>34.582790000000003</v>
      </c>
      <c r="J3319" s="187" t="s">
        <v>1090</v>
      </c>
      <c r="K3319" s="187" t="s">
        <v>116</v>
      </c>
      <c r="L3319" s="195">
        <v>4.8497659999999998</v>
      </c>
      <c r="M3319" s="195" t="s">
        <v>1090</v>
      </c>
      <c r="N3319" s="195" t="s">
        <v>1034</v>
      </c>
      <c r="O3319" s="199">
        <v>2</v>
      </c>
      <c r="P3319" s="188"/>
      <c r="Q3319" s="174">
        <f>IF(ISNUMBER(VLOOKUP(A3319,NotghiID!A:A,1,FALSE)),1,0)</f>
        <v>1</v>
      </c>
    </row>
    <row r="3320" spans="1:17" ht="14.25" x14ac:dyDescent="0.2">
      <c r="A3320" s="189">
        <v>422</v>
      </c>
      <c r="B3320" s="232" t="str">
        <f>IF(AND(A3320&lt;&gt;"",ISNUMBER(A3320)),VLOOKUP(A3320,Studies!A:BR,2,FALSE),"")</f>
        <v>Szalat 2007</v>
      </c>
      <c r="C3320" s="232" t="str">
        <f>IF(AND(A3320&lt;&gt;"",ISNUMBER(A3320)),VLOOKUP(A3320,Studies!A:BR,3,FALSE),"")</f>
        <v>https://www.ncbi.nlm.nih.gov/pubmed/17553741</v>
      </c>
      <c r="D3320" s="232" t="str">
        <f>IF(AND(A3320&lt;&gt;"",ISNUMBER(A3320)),VLOOKUP(A3320,Studies!A:BR,4,FALSE),"")</f>
        <v>with Perpetrator (Rifampicin)</v>
      </c>
      <c r="E3320" s="206" t="str">
        <f>IF(AND(A3320&lt;&gt;"",ISNUMBER(A3320)),VLOOKUP(A3320,Studies!A:BR,5,FALSE),"")</f>
        <v>Midazolam</v>
      </c>
      <c r="F3320" s="207" t="str">
        <f>IF(AND(A3320&lt;&gt;"",ISNUMBER(A3320)),VLOOKUP(A3320,Studies!A:BR,6,FALSE),"")</f>
        <v>Plasma</v>
      </c>
      <c r="G3320" s="194">
        <f t="shared" si="9"/>
        <v>7950</v>
      </c>
      <c r="H3320" s="194" t="s">
        <v>1041</v>
      </c>
      <c r="I3320" s="187">
        <v>25.059000000000001</v>
      </c>
      <c r="J3320" s="187" t="s">
        <v>1090</v>
      </c>
      <c r="K3320" s="187" t="s">
        <v>116</v>
      </c>
      <c r="L3320" s="195">
        <v>4.204161</v>
      </c>
      <c r="M3320" s="195" t="s">
        <v>1090</v>
      </c>
      <c r="N3320" s="195" t="s">
        <v>1034</v>
      </c>
      <c r="O3320" s="199">
        <v>2</v>
      </c>
      <c r="P3320" s="188"/>
      <c r="Q3320" s="174">
        <f>IF(ISNUMBER(VLOOKUP(A3320,NotghiID!A:A,1,FALSE)),1,0)</f>
        <v>1</v>
      </c>
    </row>
    <row r="3321" spans="1:17" ht="14.25" x14ac:dyDescent="0.2">
      <c r="A3321" s="189">
        <v>422</v>
      </c>
      <c r="B3321" s="232" t="str">
        <f>IF(AND(A3321&lt;&gt;"",ISNUMBER(A3321)),VLOOKUP(A3321,Studies!A:BR,2,FALSE),"")</f>
        <v>Szalat 2007</v>
      </c>
      <c r="C3321" s="232" t="str">
        <f>IF(AND(A3321&lt;&gt;"",ISNUMBER(A3321)),VLOOKUP(A3321,Studies!A:BR,3,FALSE),"")</f>
        <v>https://www.ncbi.nlm.nih.gov/pubmed/17553741</v>
      </c>
      <c r="D3321" s="232" t="str">
        <f>IF(AND(A3321&lt;&gt;"",ISNUMBER(A3321)),VLOOKUP(A3321,Studies!A:BR,4,FALSE),"")</f>
        <v>with Perpetrator (Rifampicin)</v>
      </c>
      <c r="E3321" s="206" t="str">
        <f>IF(AND(A3321&lt;&gt;"",ISNUMBER(A3321)),VLOOKUP(A3321,Studies!A:BR,5,FALSE),"")</f>
        <v>Midazolam</v>
      </c>
      <c r="F3321" s="207" t="str">
        <f>IF(AND(A3321&lt;&gt;"",ISNUMBER(A3321)),VLOOKUP(A3321,Studies!A:BR,6,FALSE),"")</f>
        <v>Plasma</v>
      </c>
      <c r="G3321" s="194">
        <f t="shared" si="9"/>
        <v>7980</v>
      </c>
      <c r="H3321" s="194" t="s">
        <v>1041</v>
      </c>
      <c r="I3321" s="187">
        <v>17.106480000000001</v>
      </c>
      <c r="J3321" s="187" t="s">
        <v>1090</v>
      </c>
      <c r="K3321" s="187" t="s">
        <v>116</v>
      </c>
      <c r="L3321" s="195">
        <v>2.8699629999999998</v>
      </c>
      <c r="M3321" s="195" t="s">
        <v>1090</v>
      </c>
      <c r="N3321" s="195" t="s">
        <v>1034</v>
      </c>
      <c r="O3321" s="199">
        <v>2</v>
      </c>
      <c r="P3321" s="188"/>
      <c r="Q3321" s="174">
        <f>IF(ISNUMBER(VLOOKUP(A3321,NotghiID!A:A,1,FALSE)),1,0)</f>
        <v>1</v>
      </c>
    </row>
    <row r="3322" spans="1:17" ht="14.25" x14ac:dyDescent="0.2">
      <c r="A3322" s="189">
        <v>422</v>
      </c>
      <c r="B3322" s="232" t="str">
        <f>IF(AND(A3322&lt;&gt;"",ISNUMBER(A3322)),VLOOKUP(A3322,Studies!A:BR,2,FALSE),"")</f>
        <v>Szalat 2007</v>
      </c>
      <c r="C3322" s="232" t="str">
        <f>IF(AND(A3322&lt;&gt;"",ISNUMBER(A3322)),VLOOKUP(A3322,Studies!A:BR,3,FALSE),"")</f>
        <v>https://www.ncbi.nlm.nih.gov/pubmed/17553741</v>
      </c>
      <c r="D3322" s="232" t="str">
        <f>IF(AND(A3322&lt;&gt;"",ISNUMBER(A3322)),VLOOKUP(A3322,Studies!A:BR,4,FALSE),"")</f>
        <v>with Perpetrator (Rifampicin)</v>
      </c>
      <c r="E3322" s="206" t="str">
        <f>IF(AND(A3322&lt;&gt;"",ISNUMBER(A3322)),VLOOKUP(A3322,Studies!A:BR,5,FALSE),"")</f>
        <v>Midazolam</v>
      </c>
      <c r="F3322" s="207" t="str">
        <f>IF(AND(A3322&lt;&gt;"",ISNUMBER(A3322)),VLOOKUP(A3322,Studies!A:BR,6,FALSE),"")</f>
        <v>Plasma</v>
      </c>
      <c r="G3322" s="194">
        <f t="shared" si="9"/>
        <v>8010</v>
      </c>
      <c r="H3322" s="194" t="s">
        <v>1041</v>
      </c>
      <c r="I3322" s="187">
        <v>9.4209180000000003</v>
      </c>
      <c r="J3322" s="187" t="s">
        <v>1090</v>
      </c>
      <c r="K3322" s="187" t="s">
        <v>116</v>
      </c>
      <c r="L3322" s="195">
        <v>2.6823190000000001</v>
      </c>
      <c r="M3322" s="195" t="s">
        <v>1090</v>
      </c>
      <c r="N3322" s="195" t="s">
        <v>1034</v>
      </c>
      <c r="O3322" s="199">
        <v>2</v>
      </c>
      <c r="P3322" s="188"/>
      <c r="Q3322" s="174">
        <f>IF(ISNUMBER(VLOOKUP(A3322,NotghiID!A:A,1,FALSE)),1,0)</f>
        <v>1</v>
      </c>
    </row>
    <row r="3323" spans="1:17" ht="14.25" x14ac:dyDescent="0.2">
      <c r="A3323" s="189">
        <v>422</v>
      </c>
      <c r="B3323" s="232" t="str">
        <f>IF(AND(A3323&lt;&gt;"",ISNUMBER(A3323)),VLOOKUP(A3323,Studies!A:BR,2,FALSE),"")</f>
        <v>Szalat 2007</v>
      </c>
      <c r="C3323" s="232" t="str">
        <f>IF(AND(A3323&lt;&gt;"",ISNUMBER(A3323)),VLOOKUP(A3323,Studies!A:BR,3,FALSE),"")</f>
        <v>https://www.ncbi.nlm.nih.gov/pubmed/17553741</v>
      </c>
      <c r="D3323" s="232" t="str">
        <f>IF(AND(A3323&lt;&gt;"",ISNUMBER(A3323)),VLOOKUP(A3323,Studies!A:BR,4,FALSE),"")</f>
        <v>with Perpetrator (Rifampicin)</v>
      </c>
      <c r="E3323" s="206" t="str">
        <f>IF(AND(A3323&lt;&gt;"",ISNUMBER(A3323)),VLOOKUP(A3323,Studies!A:BR,5,FALSE),"")</f>
        <v>Midazolam</v>
      </c>
      <c r="F3323" s="207" t="str">
        <f>IF(AND(A3323&lt;&gt;"",ISNUMBER(A3323)),VLOOKUP(A3323,Studies!A:BR,6,FALSE),"")</f>
        <v>Plasma</v>
      </c>
      <c r="G3323" s="194">
        <f t="shared" si="9"/>
        <v>8040</v>
      </c>
      <c r="H3323" s="194" t="s">
        <v>1041</v>
      </c>
      <c r="I3323" s="187">
        <v>8.7701130000000003</v>
      </c>
      <c r="J3323" s="187" t="s">
        <v>1090</v>
      </c>
      <c r="K3323" s="187" t="s">
        <v>116</v>
      </c>
      <c r="L3323" s="195">
        <v>1.718677</v>
      </c>
      <c r="M3323" s="195" t="s">
        <v>1090</v>
      </c>
      <c r="N3323" s="195" t="s">
        <v>1034</v>
      </c>
      <c r="O3323" s="199">
        <v>2</v>
      </c>
      <c r="P3323" s="188"/>
      <c r="Q3323" s="174">
        <f>IF(ISNUMBER(VLOOKUP(A3323,NotghiID!A:A,1,FALSE)),1,0)</f>
        <v>1</v>
      </c>
    </row>
    <row r="3324" spans="1:17" ht="14.25" x14ac:dyDescent="0.2">
      <c r="A3324" s="189">
        <v>422</v>
      </c>
      <c r="B3324" s="232" t="str">
        <f>IF(AND(A3324&lt;&gt;"",ISNUMBER(A3324)),VLOOKUP(A3324,Studies!A:BR,2,FALSE),"")</f>
        <v>Szalat 2007</v>
      </c>
      <c r="C3324" s="232" t="str">
        <f>IF(AND(A3324&lt;&gt;"",ISNUMBER(A3324)),VLOOKUP(A3324,Studies!A:BR,3,FALSE),"")</f>
        <v>https://www.ncbi.nlm.nih.gov/pubmed/17553741</v>
      </c>
      <c r="D3324" s="232" t="str">
        <f>IF(AND(A3324&lt;&gt;"",ISNUMBER(A3324)),VLOOKUP(A3324,Studies!A:BR,4,FALSE),"")</f>
        <v>with Perpetrator (Rifampicin)</v>
      </c>
      <c r="E3324" s="206" t="str">
        <f>IF(AND(A3324&lt;&gt;"",ISNUMBER(A3324)),VLOOKUP(A3324,Studies!A:BR,5,FALSE),"")</f>
        <v>Midazolam</v>
      </c>
      <c r="F3324" s="207" t="str">
        <f>IF(AND(A3324&lt;&gt;"",ISNUMBER(A3324)),VLOOKUP(A3324,Studies!A:BR,6,FALSE),"")</f>
        <v>Plasma</v>
      </c>
      <c r="G3324" s="194">
        <f t="shared" si="9"/>
        <v>8070</v>
      </c>
      <c r="H3324" s="194" t="s">
        <v>1041</v>
      </c>
      <c r="I3324" s="187">
        <v>4.9465279999999998</v>
      </c>
      <c r="J3324" s="187" t="s">
        <v>1090</v>
      </c>
      <c r="K3324" s="187" t="s">
        <v>116</v>
      </c>
      <c r="L3324" s="195">
        <v>0.56069469999999999</v>
      </c>
      <c r="M3324" s="195" t="s">
        <v>1090</v>
      </c>
      <c r="N3324" s="195" t="s">
        <v>1034</v>
      </c>
      <c r="O3324" s="199">
        <v>2</v>
      </c>
      <c r="P3324" s="188"/>
      <c r="Q3324" s="174">
        <f>IF(ISNUMBER(VLOOKUP(A3324,NotghiID!A:A,1,FALSE)),1,0)</f>
        <v>1</v>
      </c>
    </row>
    <row r="3325" spans="1:17" ht="14.25" x14ac:dyDescent="0.2">
      <c r="A3325" s="189">
        <v>422</v>
      </c>
      <c r="B3325" s="232" t="str">
        <f>IF(AND(A3325&lt;&gt;"",ISNUMBER(A3325)),VLOOKUP(A3325,Studies!A:BR,2,FALSE),"")</f>
        <v>Szalat 2007</v>
      </c>
      <c r="C3325" s="232" t="str">
        <f>IF(AND(A3325&lt;&gt;"",ISNUMBER(A3325)),VLOOKUP(A3325,Studies!A:BR,3,FALSE),"")</f>
        <v>https://www.ncbi.nlm.nih.gov/pubmed/17553741</v>
      </c>
      <c r="D3325" s="232" t="str">
        <f>IF(AND(A3325&lt;&gt;"",ISNUMBER(A3325)),VLOOKUP(A3325,Studies!A:BR,4,FALSE),"")</f>
        <v>with Perpetrator (Rifampicin)</v>
      </c>
      <c r="E3325" s="206" t="str">
        <f>IF(AND(A3325&lt;&gt;"",ISNUMBER(A3325)),VLOOKUP(A3325,Studies!A:BR,5,FALSE),"")</f>
        <v>Midazolam</v>
      </c>
      <c r="F3325" s="207" t="str">
        <f>IF(AND(A3325&lt;&gt;"",ISNUMBER(A3325)),VLOOKUP(A3325,Studies!A:BR,6,FALSE),"")</f>
        <v>Plasma</v>
      </c>
      <c r="G3325" s="194">
        <f t="shared" si="9"/>
        <v>8100</v>
      </c>
      <c r="H3325" s="194" t="s">
        <v>1041</v>
      </c>
      <c r="I3325" s="187">
        <v>3.850279</v>
      </c>
      <c r="J3325" s="187" t="s">
        <v>1090</v>
      </c>
      <c r="K3325" s="187" t="s">
        <v>116</v>
      </c>
      <c r="L3325" s="195">
        <v>0.75453879999999995</v>
      </c>
      <c r="M3325" s="195" t="s">
        <v>1090</v>
      </c>
      <c r="N3325" s="195" t="s">
        <v>1034</v>
      </c>
      <c r="O3325" s="199">
        <v>2</v>
      </c>
      <c r="P3325" s="188"/>
      <c r="Q3325" s="174">
        <f>IF(ISNUMBER(VLOOKUP(A3325,NotghiID!A:A,1,FALSE)),1,0)</f>
        <v>1</v>
      </c>
    </row>
    <row r="3326" spans="1:17" ht="14.25" x14ac:dyDescent="0.2">
      <c r="A3326" s="189">
        <v>341</v>
      </c>
      <c r="B3326" s="232" t="str">
        <f>IF(AND(A3326&lt;&gt;"",ISNUMBER(A3326)),VLOOKUP(A3326,Studies!A:BR,2,FALSE),"")</f>
        <v>Link 2008</v>
      </c>
      <c r="C3326" s="232" t="str">
        <f>IF(AND(A3326&lt;&gt;"",ISNUMBER(A3326)),VLOOKUP(A3326,Studies!A:BR,3,FALSE),"")</f>
        <v>https://www.ncbi.nlm.nih.gov/pubmed/18537963</v>
      </c>
      <c r="D3326" s="232" t="str">
        <f>IF(AND(A3326&lt;&gt;"",ISNUMBER(A3326)),VLOOKUP(A3326,Studies!A:BR,4,FALSE),"")</f>
        <v>iv Control (Perpetrator Placebo)</v>
      </c>
      <c r="E3326" s="206" t="str">
        <f>IF(AND(A3326&lt;&gt;"",ISNUMBER(A3326)),VLOOKUP(A3326,Studies!A:BR,5,FALSE),"")</f>
        <v>Midazolam</v>
      </c>
      <c r="F3326" s="207" t="str">
        <f>IF(AND(A3326&lt;&gt;"",ISNUMBER(A3326)),VLOOKUP(A3326,Studies!A:BR,6,FALSE),"")</f>
        <v>Plasma</v>
      </c>
      <c r="G3326" s="194">
        <v>5</v>
      </c>
      <c r="H3326" s="194" t="s">
        <v>1041</v>
      </c>
      <c r="I3326" s="187">
        <v>177.35679999999999</v>
      </c>
      <c r="J3326" s="187" t="s">
        <v>1026</v>
      </c>
      <c r="K3326" s="187" t="s">
        <v>116</v>
      </c>
      <c r="L3326" s="195">
        <v>88.081220000000002</v>
      </c>
      <c r="M3326" s="195" t="s">
        <v>1026</v>
      </c>
      <c r="N3326" s="195" t="s">
        <v>117</v>
      </c>
      <c r="O3326" s="199">
        <v>0.05</v>
      </c>
      <c r="P3326" s="188"/>
      <c r="Q3326" s="174">
        <f>IF(ISNUMBER(VLOOKUP(A3326,NotghiID!A:A,1,FALSE)),1,0)</f>
        <v>1</v>
      </c>
    </row>
    <row r="3327" spans="1:17" ht="14.25" x14ac:dyDescent="0.2">
      <c r="A3327" s="189">
        <v>341</v>
      </c>
      <c r="B3327" s="232" t="str">
        <f>IF(AND(A3327&lt;&gt;"",ISNUMBER(A3327)),VLOOKUP(A3327,Studies!A:BR,2,FALSE),"")</f>
        <v>Link 2008</v>
      </c>
      <c r="C3327" s="232" t="str">
        <f>IF(AND(A3327&lt;&gt;"",ISNUMBER(A3327)),VLOOKUP(A3327,Studies!A:BR,3,FALSE),"")</f>
        <v>https://www.ncbi.nlm.nih.gov/pubmed/18537963</v>
      </c>
      <c r="D3327" s="232" t="str">
        <f>IF(AND(A3327&lt;&gt;"",ISNUMBER(A3327)),VLOOKUP(A3327,Studies!A:BR,4,FALSE),"")</f>
        <v>iv Control (Perpetrator Placebo)</v>
      </c>
      <c r="E3327" s="206" t="str">
        <f>IF(AND(A3327&lt;&gt;"",ISNUMBER(A3327)),VLOOKUP(A3327,Studies!A:BR,5,FALSE),"")</f>
        <v>Midazolam</v>
      </c>
      <c r="F3327" s="207" t="str">
        <f>IF(AND(A3327&lt;&gt;"",ISNUMBER(A3327)),VLOOKUP(A3327,Studies!A:BR,6,FALSE),"")</f>
        <v>Plasma</v>
      </c>
      <c r="G3327" s="194">
        <v>10</v>
      </c>
      <c r="H3327" s="194" t="s">
        <v>1041</v>
      </c>
      <c r="I3327" s="187">
        <v>47.579439999999998</v>
      </c>
      <c r="J3327" s="187" t="s">
        <v>1026</v>
      </c>
      <c r="K3327" s="187" t="s">
        <v>116</v>
      </c>
      <c r="L3327" s="195">
        <v>12.51051</v>
      </c>
      <c r="M3327" s="195" t="s">
        <v>1026</v>
      </c>
      <c r="N3327" s="195" t="s">
        <v>117</v>
      </c>
      <c r="O3327" s="199">
        <v>0.05</v>
      </c>
      <c r="P3327" s="188"/>
      <c r="Q3327" s="174">
        <f>IF(ISNUMBER(VLOOKUP(A3327,NotghiID!A:A,1,FALSE)),1,0)</f>
        <v>1</v>
      </c>
    </row>
    <row r="3328" spans="1:17" ht="14.25" x14ac:dyDescent="0.2">
      <c r="A3328" s="189">
        <v>341</v>
      </c>
      <c r="B3328" s="232" t="str">
        <f>IF(AND(A3328&lt;&gt;"",ISNUMBER(A3328)),VLOOKUP(A3328,Studies!A:BR,2,FALSE),"")</f>
        <v>Link 2008</v>
      </c>
      <c r="C3328" s="232" t="str">
        <f>IF(AND(A3328&lt;&gt;"",ISNUMBER(A3328)),VLOOKUP(A3328,Studies!A:BR,3,FALSE),"")</f>
        <v>https://www.ncbi.nlm.nih.gov/pubmed/18537963</v>
      </c>
      <c r="D3328" s="232" t="str">
        <f>IF(AND(A3328&lt;&gt;"",ISNUMBER(A3328)),VLOOKUP(A3328,Studies!A:BR,4,FALSE),"")</f>
        <v>iv Control (Perpetrator Placebo)</v>
      </c>
      <c r="E3328" s="206" t="str">
        <f>IF(AND(A3328&lt;&gt;"",ISNUMBER(A3328)),VLOOKUP(A3328,Studies!A:BR,5,FALSE),"")</f>
        <v>Midazolam</v>
      </c>
      <c r="F3328" s="207" t="str">
        <f>IF(AND(A3328&lt;&gt;"",ISNUMBER(A3328)),VLOOKUP(A3328,Studies!A:BR,6,FALSE),"")</f>
        <v>Plasma</v>
      </c>
      <c r="G3328" s="194">
        <v>20</v>
      </c>
      <c r="H3328" s="194" t="s">
        <v>1041</v>
      </c>
      <c r="I3328" s="187">
        <v>33.169379999999997</v>
      </c>
      <c r="J3328" s="187" t="s">
        <v>1026</v>
      </c>
      <c r="K3328" s="187" t="s">
        <v>116</v>
      </c>
      <c r="L3328" s="195">
        <v>6.980721</v>
      </c>
      <c r="M3328" s="195" t="s">
        <v>1026</v>
      </c>
      <c r="N3328" s="195" t="s">
        <v>117</v>
      </c>
      <c r="O3328" s="199">
        <v>0.05</v>
      </c>
      <c r="P3328" s="188"/>
      <c r="Q3328" s="174">
        <f>IF(ISNUMBER(VLOOKUP(A3328,NotghiID!A:A,1,FALSE)),1,0)</f>
        <v>1</v>
      </c>
    </row>
    <row r="3329" spans="1:17" ht="14.25" x14ac:dyDescent="0.2">
      <c r="A3329" s="189">
        <v>341</v>
      </c>
      <c r="B3329" s="232" t="str">
        <f>IF(AND(A3329&lt;&gt;"",ISNUMBER(A3329)),VLOOKUP(A3329,Studies!A:BR,2,FALSE),"")</f>
        <v>Link 2008</v>
      </c>
      <c r="C3329" s="232" t="str">
        <f>IF(AND(A3329&lt;&gt;"",ISNUMBER(A3329)),VLOOKUP(A3329,Studies!A:BR,3,FALSE),"")</f>
        <v>https://www.ncbi.nlm.nih.gov/pubmed/18537963</v>
      </c>
      <c r="D3329" s="232" t="str">
        <f>IF(AND(A3329&lt;&gt;"",ISNUMBER(A3329)),VLOOKUP(A3329,Studies!A:BR,4,FALSE),"")</f>
        <v>iv Control (Perpetrator Placebo)</v>
      </c>
      <c r="E3329" s="206" t="str">
        <f>IF(AND(A3329&lt;&gt;"",ISNUMBER(A3329)),VLOOKUP(A3329,Studies!A:BR,5,FALSE),"")</f>
        <v>Midazolam</v>
      </c>
      <c r="F3329" s="207" t="str">
        <f>IF(AND(A3329&lt;&gt;"",ISNUMBER(A3329)),VLOOKUP(A3329,Studies!A:BR,6,FALSE),"")</f>
        <v>Plasma</v>
      </c>
      <c r="G3329" s="194">
        <v>30</v>
      </c>
      <c r="H3329" s="194" t="s">
        <v>1041</v>
      </c>
      <c r="I3329" s="187">
        <v>28.59046</v>
      </c>
      <c r="J3329" s="187" t="s">
        <v>1026</v>
      </c>
      <c r="K3329" s="187" t="s">
        <v>116</v>
      </c>
      <c r="L3329" s="195">
        <v>4.5789169999999997</v>
      </c>
      <c r="M3329" s="195" t="s">
        <v>1026</v>
      </c>
      <c r="N3329" s="195" t="s">
        <v>117</v>
      </c>
      <c r="O3329" s="199">
        <v>0.05</v>
      </c>
      <c r="P3329" s="188"/>
      <c r="Q3329" s="174">
        <f>IF(ISNUMBER(VLOOKUP(A3329,NotghiID!A:A,1,FALSE)),1,0)</f>
        <v>1</v>
      </c>
    </row>
    <row r="3330" spans="1:17" ht="14.25" x14ac:dyDescent="0.2">
      <c r="A3330" s="189">
        <v>341</v>
      </c>
      <c r="B3330" s="232" t="str">
        <f>IF(AND(A3330&lt;&gt;"",ISNUMBER(A3330)),VLOOKUP(A3330,Studies!A:BR,2,FALSE),"")</f>
        <v>Link 2008</v>
      </c>
      <c r="C3330" s="232" t="str">
        <f>IF(AND(A3330&lt;&gt;"",ISNUMBER(A3330)),VLOOKUP(A3330,Studies!A:BR,3,FALSE),"")</f>
        <v>https://www.ncbi.nlm.nih.gov/pubmed/18537963</v>
      </c>
      <c r="D3330" s="232" t="str">
        <f>IF(AND(A3330&lt;&gt;"",ISNUMBER(A3330)),VLOOKUP(A3330,Studies!A:BR,4,FALSE),"")</f>
        <v>iv Control (Perpetrator Placebo)</v>
      </c>
      <c r="E3330" s="206" t="str">
        <f>IF(AND(A3330&lt;&gt;"",ISNUMBER(A3330)),VLOOKUP(A3330,Studies!A:BR,5,FALSE),"")</f>
        <v>Midazolam</v>
      </c>
      <c r="F3330" s="207" t="str">
        <f>IF(AND(A3330&lt;&gt;"",ISNUMBER(A3330)),VLOOKUP(A3330,Studies!A:BR,6,FALSE),"")</f>
        <v>Plasma</v>
      </c>
      <c r="G3330" s="194">
        <v>40</v>
      </c>
      <c r="H3330" s="194" t="s">
        <v>1041</v>
      </c>
      <c r="I3330" s="187">
        <v>25.712140000000002</v>
      </c>
      <c r="J3330" s="187" t="s">
        <v>1026</v>
      </c>
      <c r="K3330" s="187" t="s">
        <v>116</v>
      </c>
      <c r="L3330" s="195">
        <v>2.8783249999999998</v>
      </c>
      <c r="M3330" s="195" t="s">
        <v>1026</v>
      </c>
      <c r="N3330" s="195" t="s">
        <v>117</v>
      </c>
      <c r="O3330" s="199">
        <v>0.05</v>
      </c>
      <c r="P3330" s="188"/>
      <c r="Q3330" s="174">
        <f>IF(ISNUMBER(VLOOKUP(A3330,NotghiID!A:A,1,FALSE)),1,0)</f>
        <v>1</v>
      </c>
    </row>
    <row r="3331" spans="1:17" ht="14.25" x14ac:dyDescent="0.2">
      <c r="A3331" s="189">
        <v>341</v>
      </c>
      <c r="B3331" s="232" t="str">
        <f>IF(AND(A3331&lt;&gt;"",ISNUMBER(A3331)),VLOOKUP(A3331,Studies!A:BR,2,FALSE),"")</f>
        <v>Link 2008</v>
      </c>
      <c r="C3331" s="232" t="str">
        <f>IF(AND(A3331&lt;&gt;"",ISNUMBER(A3331)),VLOOKUP(A3331,Studies!A:BR,3,FALSE),"")</f>
        <v>https://www.ncbi.nlm.nih.gov/pubmed/18537963</v>
      </c>
      <c r="D3331" s="232" t="str">
        <f>IF(AND(A3331&lt;&gt;"",ISNUMBER(A3331)),VLOOKUP(A3331,Studies!A:BR,4,FALSE),"")</f>
        <v>iv Control (Perpetrator Placebo)</v>
      </c>
      <c r="E3331" s="206" t="str">
        <f>IF(AND(A3331&lt;&gt;"",ISNUMBER(A3331)),VLOOKUP(A3331,Studies!A:BR,5,FALSE),"")</f>
        <v>Midazolam</v>
      </c>
      <c r="F3331" s="207" t="str">
        <f>IF(AND(A3331&lt;&gt;"",ISNUMBER(A3331)),VLOOKUP(A3331,Studies!A:BR,6,FALSE),"")</f>
        <v>Plasma</v>
      </c>
      <c r="G3331" s="194">
        <v>60</v>
      </c>
      <c r="H3331" s="194" t="s">
        <v>1041</v>
      </c>
      <c r="I3331" s="187">
        <v>19.512930000000001</v>
      </c>
      <c r="J3331" s="187" t="s">
        <v>1026</v>
      </c>
      <c r="K3331" s="187" t="s">
        <v>116</v>
      </c>
      <c r="L3331" s="195">
        <v>3.610662</v>
      </c>
      <c r="M3331" s="195" t="s">
        <v>1026</v>
      </c>
      <c r="N3331" s="195" t="s">
        <v>117</v>
      </c>
      <c r="O3331" s="199">
        <v>0.05</v>
      </c>
      <c r="P3331" s="188"/>
      <c r="Q3331" s="174">
        <f>IF(ISNUMBER(VLOOKUP(A3331,NotghiID!A:A,1,FALSE)),1,0)</f>
        <v>1</v>
      </c>
    </row>
    <row r="3332" spans="1:17" ht="14.25" x14ac:dyDescent="0.2">
      <c r="A3332" s="189">
        <v>341</v>
      </c>
      <c r="B3332" s="232" t="str">
        <f>IF(AND(A3332&lt;&gt;"",ISNUMBER(A3332)),VLOOKUP(A3332,Studies!A:BR,2,FALSE),"")</f>
        <v>Link 2008</v>
      </c>
      <c r="C3332" s="232" t="str">
        <f>IF(AND(A3332&lt;&gt;"",ISNUMBER(A3332)),VLOOKUP(A3332,Studies!A:BR,3,FALSE),"")</f>
        <v>https://www.ncbi.nlm.nih.gov/pubmed/18537963</v>
      </c>
      <c r="D3332" s="232" t="str">
        <f>IF(AND(A3332&lt;&gt;"",ISNUMBER(A3332)),VLOOKUP(A3332,Studies!A:BR,4,FALSE),"")</f>
        <v>iv Control (Perpetrator Placebo)</v>
      </c>
      <c r="E3332" s="206" t="str">
        <f>IF(AND(A3332&lt;&gt;"",ISNUMBER(A3332)),VLOOKUP(A3332,Studies!A:BR,5,FALSE),"")</f>
        <v>Midazolam</v>
      </c>
      <c r="F3332" s="207" t="str">
        <f>IF(AND(A3332&lt;&gt;"",ISNUMBER(A3332)),VLOOKUP(A3332,Studies!A:BR,6,FALSE),"")</f>
        <v>Plasma</v>
      </c>
      <c r="G3332" s="194">
        <v>90</v>
      </c>
      <c r="H3332" s="194" t="s">
        <v>1041</v>
      </c>
      <c r="I3332" s="187">
        <v>15.78181</v>
      </c>
      <c r="J3332" s="187" t="s">
        <v>1026</v>
      </c>
      <c r="K3332" s="187" t="s">
        <v>116</v>
      </c>
      <c r="L3332" s="195">
        <v>2.9202490000000001</v>
      </c>
      <c r="M3332" s="195" t="s">
        <v>1026</v>
      </c>
      <c r="N3332" s="195" t="s">
        <v>117</v>
      </c>
      <c r="O3332" s="199">
        <v>0.05</v>
      </c>
      <c r="P3332" s="188"/>
      <c r="Q3332" s="174">
        <f>IF(ISNUMBER(VLOOKUP(A3332,NotghiID!A:A,1,FALSE)),1,0)</f>
        <v>1</v>
      </c>
    </row>
    <row r="3333" spans="1:17" ht="14.25" x14ac:dyDescent="0.2">
      <c r="A3333" s="189">
        <v>341</v>
      </c>
      <c r="B3333" s="232" t="str">
        <f>IF(AND(A3333&lt;&gt;"",ISNUMBER(A3333)),VLOOKUP(A3333,Studies!A:BR,2,FALSE),"")</f>
        <v>Link 2008</v>
      </c>
      <c r="C3333" s="232" t="str">
        <f>IF(AND(A3333&lt;&gt;"",ISNUMBER(A3333)),VLOOKUP(A3333,Studies!A:BR,3,FALSE),"")</f>
        <v>https://www.ncbi.nlm.nih.gov/pubmed/18537963</v>
      </c>
      <c r="D3333" s="232" t="str">
        <f>IF(AND(A3333&lt;&gt;"",ISNUMBER(A3333)),VLOOKUP(A3333,Studies!A:BR,4,FALSE),"")</f>
        <v>iv Control (Perpetrator Placebo)</v>
      </c>
      <c r="E3333" s="206" t="str">
        <f>IF(AND(A3333&lt;&gt;"",ISNUMBER(A3333)),VLOOKUP(A3333,Studies!A:BR,5,FALSE),"")</f>
        <v>Midazolam</v>
      </c>
      <c r="F3333" s="207" t="str">
        <f>IF(AND(A3333&lt;&gt;"",ISNUMBER(A3333)),VLOOKUP(A3333,Studies!A:BR,6,FALSE),"")</f>
        <v>Plasma</v>
      </c>
      <c r="G3333" s="194">
        <v>120</v>
      </c>
      <c r="H3333" s="194" t="s">
        <v>1041</v>
      </c>
      <c r="I3333" s="187">
        <v>11.97681</v>
      </c>
      <c r="J3333" s="187" t="s">
        <v>1026</v>
      </c>
      <c r="K3333" s="187" t="s">
        <v>116</v>
      </c>
      <c r="L3333" s="195">
        <v>1.9181440000000001</v>
      </c>
      <c r="M3333" s="195" t="s">
        <v>1026</v>
      </c>
      <c r="N3333" s="195" t="s">
        <v>117</v>
      </c>
      <c r="O3333" s="199">
        <v>0.05</v>
      </c>
      <c r="P3333" s="188"/>
      <c r="Q3333" s="174">
        <f>IF(ISNUMBER(VLOOKUP(A3333,NotghiID!A:A,1,FALSE)),1,0)</f>
        <v>1</v>
      </c>
    </row>
    <row r="3334" spans="1:17" ht="14.25" x14ac:dyDescent="0.2">
      <c r="A3334" s="189">
        <v>341</v>
      </c>
      <c r="B3334" s="232" t="str">
        <f>IF(AND(A3334&lt;&gt;"",ISNUMBER(A3334)),VLOOKUP(A3334,Studies!A:BR,2,FALSE),"")</f>
        <v>Link 2008</v>
      </c>
      <c r="C3334" s="232" t="str">
        <f>IF(AND(A3334&lt;&gt;"",ISNUMBER(A3334)),VLOOKUP(A3334,Studies!A:BR,3,FALSE),"")</f>
        <v>https://www.ncbi.nlm.nih.gov/pubmed/18537963</v>
      </c>
      <c r="D3334" s="232" t="str">
        <f>IF(AND(A3334&lt;&gt;"",ISNUMBER(A3334)),VLOOKUP(A3334,Studies!A:BR,4,FALSE),"")</f>
        <v>iv Control (Perpetrator Placebo)</v>
      </c>
      <c r="E3334" s="206" t="str">
        <f>IF(AND(A3334&lt;&gt;"",ISNUMBER(A3334)),VLOOKUP(A3334,Studies!A:BR,5,FALSE),"")</f>
        <v>Midazolam</v>
      </c>
      <c r="F3334" s="207" t="str">
        <f>IF(AND(A3334&lt;&gt;"",ISNUMBER(A3334)),VLOOKUP(A3334,Studies!A:BR,6,FALSE),"")</f>
        <v>Plasma</v>
      </c>
      <c r="G3334" s="194">
        <v>240</v>
      </c>
      <c r="H3334" s="194" t="s">
        <v>1041</v>
      </c>
      <c r="I3334" s="187">
        <v>6.336411</v>
      </c>
      <c r="J3334" s="187" t="s">
        <v>1026</v>
      </c>
      <c r="K3334" s="187" t="s">
        <v>116</v>
      </c>
      <c r="L3334" s="195">
        <v>1.3335410000000001</v>
      </c>
      <c r="M3334" s="195" t="s">
        <v>1026</v>
      </c>
      <c r="N3334" s="195" t="s">
        <v>117</v>
      </c>
      <c r="O3334" s="199">
        <v>0.05</v>
      </c>
      <c r="P3334" s="188"/>
      <c r="Q3334" s="174">
        <f>IF(ISNUMBER(VLOOKUP(A3334,NotghiID!A:A,1,FALSE)),1,0)</f>
        <v>1</v>
      </c>
    </row>
    <row r="3335" spans="1:17" ht="14.25" x14ac:dyDescent="0.2">
      <c r="A3335" s="189">
        <v>341</v>
      </c>
      <c r="B3335" s="232" t="str">
        <f>IF(AND(A3335&lt;&gt;"",ISNUMBER(A3335)),VLOOKUP(A3335,Studies!A:BR,2,FALSE),"")</f>
        <v>Link 2008</v>
      </c>
      <c r="C3335" s="232" t="str">
        <f>IF(AND(A3335&lt;&gt;"",ISNUMBER(A3335)),VLOOKUP(A3335,Studies!A:BR,3,FALSE),"")</f>
        <v>https://www.ncbi.nlm.nih.gov/pubmed/18537963</v>
      </c>
      <c r="D3335" s="232" t="str">
        <f>IF(AND(A3335&lt;&gt;"",ISNUMBER(A3335)),VLOOKUP(A3335,Studies!A:BR,4,FALSE),"")</f>
        <v>iv Control (Perpetrator Placebo)</v>
      </c>
      <c r="E3335" s="206" t="str">
        <f>IF(AND(A3335&lt;&gt;"",ISNUMBER(A3335)),VLOOKUP(A3335,Studies!A:BR,5,FALSE),"")</f>
        <v>Midazolam</v>
      </c>
      <c r="F3335" s="207" t="str">
        <f>IF(AND(A3335&lt;&gt;"",ISNUMBER(A3335)),VLOOKUP(A3335,Studies!A:BR,6,FALSE),"")</f>
        <v>Plasma</v>
      </c>
      <c r="G3335" s="194">
        <v>360</v>
      </c>
      <c r="H3335" s="194" t="s">
        <v>1041</v>
      </c>
      <c r="I3335" s="187">
        <v>3.4242240000000002</v>
      </c>
      <c r="J3335" s="187" t="s">
        <v>1026</v>
      </c>
      <c r="K3335" s="187" t="s">
        <v>116</v>
      </c>
      <c r="L3335" s="195">
        <v>0.72065210000000002</v>
      </c>
      <c r="M3335" s="195" t="s">
        <v>1026</v>
      </c>
      <c r="N3335" s="195" t="s">
        <v>117</v>
      </c>
      <c r="O3335" s="199">
        <v>0.05</v>
      </c>
      <c r="P3335" s="188"/>
      <c r="Q3335" s="174">
        <f>IF(ISNUMBER(VLOOKUP(A3335,NotghiID!A:A,1,FALSE)),1,0)</f>
        <v>1</v>
      </c>
    </row>
    <row r="3336" spans="1:17" ht="14.25" x14ac:dyDescent="0.2">
      <c r="A3336" s="189">
        <v>341</v>
      </c>
      <c r="B3336" s="232" t="str">
        <f>IF(AND(A3336&lt;&gt;"",ISNUMBER(A3336)),VLOOKUP(A3336,Studies!A:BR,2,FALSE),"")</f>
        <v>Link 2008</v>
      </c>
      <c r="C3336" s="232" t="str">
        <f>IF(AND(A3336&lt;&gt;"",ISNUMBER(A3336)),VLOOKUP(A3336,Studies!A:BR,3,FALSE),"")</f>
        <v>https://www.ncbi.nlm.nih.gov/pubmed/18537963</v>
      </c>
      <c r="D3336" s="232" t="str">
        <f>IF(AND(A3336&lt;&gt;"",ISNUMBER(A3336)),VLOOKUP(A3336,Studies!A:BR,4,FALSE),"")</f>
        <v>iv Control (Perpetrator Placebo)</v>
      </c>
      <c r="E3336" s="206" t="str">
        <f>IF(AND(A3336&lt;&gt;"",ISNUMBER(A3336)),VLOOKUP(A3336,Studies!A:BR,5,FALSE),"")</f>
        <v>Midazolam</v>
      </c>
      <c r="F3336" s="207" t="str">
        <f>IF(AND(A3336&lt;&gt;"",ISNUMBER(A3336)),VLOOKUP(A3336,Studies!A:BR,6,FALSE),"")</f>
        <v>Plasma</v>
      </c>
      <c r="G3336" s="194">
        <v>480</v>
      </c>
      <c r="H3336" s="194" t="s">
        <v>1041</v>
      </c>
      <c r="I3336" s="187">
        <v>1.8504659999999999</v>
      </c>
      <c r="J3336" s="187" t="s">
        <v>1026</v>
      </c>
      <c r="K3336" s="187" t="s">
        <v>116</v>
      </c>
      <c r="L3336" s="195">
        <v>0.58788799999999997</v>
      </c>
      <c r="M3336" s="195" t="s">
        <v>1026</v>
      </c>
      <c r="N3336" s="195" t="s">
        <v>117</v>
      </c>
      <c r="O3336" s="199">
        <v>0.05</v>
      </c>
      <c r="P3336" s="188"/>
      <c r="Q3336" s="174">
        <f>IF(ISNUMBER(VLOOKUP(A3336,NotghiID!A:A,1,FALSE)),1,0)</f>
        <v>1</v>
      </c>
    </row>
    <row r="3337" spans="1:17" ht="14.25" x14ac:dyDescent="0.2">
      <c r="A3337" s="189">
        <v>341</v>
      </c>
      <c r="B3337" s="232" t="str">
        <f>IF(AND(A3337&lt;&gt;"",ISNUMBER(A3337)),VLOOKUP(A3337,Studies!A:BR,2,FALSE),"")</f>
        <v>Link 2008</v>
      </c>
      <c r="C3337" s="232" t="str">
        <f>IF(AND(A3337&lt;&gt;"",ISNUMBER(A3337)),VLOOKUP(A3337,Studies!A:BR,3,FALSE),"")</f>
        <v>https://www.ncbi.nlm.nih.gov/pubmed/18537963</v>
      </c>
      <c r="D3337" s="232" t="str">
        <f>IF(AND(A3337&lt;&gt;"",ISNUMBER(A3337)),VLOOKUP(A3337,Studies!A:BR,4,FALSE),"")</f>
        <v>iv Control (Perpetrator Placebo)</v>
      </c>
      <c r="E3337" s="206" t="str">
        <f>IF(AND(A3337&lt;&gt;"",ISNUMBER(A3337)),VLOOKUP(A3337,Studies!A:BR,5,FALSE),"")</f>
        <v>Midazolam</v>
      </c>
      <c r="F3337" s="207" t="str">
        <f>IF(AND(A3337&lt;&gt;"",ISNUMBER(A3337)),VLOOKUP(A3337,Studies!A:BR,6,FALSE),"")</f>
        <v>Plasma</v>
      </c>
      <c r="G3337" s="194">
        <v>600</v>
      </c>
      <c r="H3337" s="194" t="s">
        <v>1041</v>
      </c>
      <c r="I3337" s="187">
        <v>1.3176969999999999</v>
      </c>
      <c r="J3337" s="187" t="s">
        <v>1026</v>
      </c>
      <c r="K3337" s="187" t="s">
        <v>116</v>
      </c>
      <c r="L3337" s="195">
        <v>0.41862919999999998</v>
      </c>
      <c r="M3337" s="195" t="s">
        <v>1026</v>
      </c>
      <c r="N3337" s="195" t="s">
        <v>117</v>
      </c>
      <c r="O3337" s="199">
        <v>0.05</v>
      </c>
      <c r="P3337" s="188"/>
      <c r="Q3337" s="174">
        <f>IF(ISNUMBER(VLOOKUP(A3337,NotghiID!A:A,1,FALSE)),1,0)</f>
        <v>1</v>
      </c>
    </row>
    <row r="3338" spans="1:17" ht="14.25" x14ac:dyDescent="0.2">
      <c r="A3338" s="189">
        <v>341</v>
      </c>
      <c r="B3338" s="232" t="str">
        <f>IF(AND(A3338&lt;&gt;"",ISNUMBER(A3338)),VLOOKUP(A3338,Studies!A:BR,2,FALSE),"")</f>
        <v>Link 2008</v>
      </c>
      <c r="C3338" s="232" t="str">
        <f>IF(AND(A3338&lt;&gt;"",ISNUMBER(A3338)),VLOOKUP(A3338,Studies!A:BR,3,FALSE),"")</f>
        <v>https://www.ncbi.nlm.nih.gov/pubmed/18537963</v>
      </c>
      <c r="D3338" s="232" t="str">
        <f>IF(AND(A3338&lt;&gt;"",ISNUMBER(A3338)),VLOOKUP(A3338,Studies!A:BR,4,FALSE),"")</f>
        <v>iv Control (Perpetrator Placebo)</v>
      </c>
      <c r="E3338" s="206" t="str">
        <f>IF(AND(A3338&lt;&gt;"",ISNUMBER(A3338)),VLOOKUP(A3338,Studies!A:BR,5,FALSE),"")</f>
        <v>Midazolam</v>
      </c>
      <c r="F3338" s="207" t="str">
        <f>IF(AND(A3338&lt;&gt;"",ISNUMBER(A3338)),VLOOKUP(A3338,Studies!A:BR,6,FALSE),"")</f>
        <v>Plasma</v>
      </c>
      <c r="G3338" s="194">
        <v>1440</v>
      </c>
      <c r="H3338" s="194" t="s">
        <v>1041</v>
      </c>
      <c r="I3338" s="187">
        <v>8.5285570000000005E-2</v>
      </c>
      <c r="J3338" s="187" t="s">
        <v>1026</v>
      </c>
      <c r="K3338" s="187" t="s">
        <v>116</v>
      </c>
      <c r="L3338" s="195">
        <v>3.4482489999999998E-2</v>
      </c>
      <c r="M3338" s="195" t="s">
        <v>1026</v>
      </c>
      <c r="N3338" s="195" t="s">
        <v>117</v>
      </c>
      <c r="O3338" s="199">
        <v>0.05</v>
      </c>
      <c r="P3338" s="188"/>
      <c r="Q3338" s="174">
        <f>IF(ISNUMBER(VLOOKUP(A3338,NotghiID!A:A,1,FALSE)),1,0)</f>
        <v>1</v>
      </c>
    </row>
    <row r="3339" spans="1:17" ht="14.25" x14ac:dyDescent="0.2">
      <c r="A3339" s="189">
        <v>342</v>
      </c>
      <c r="B3339" s="232" t="str">
        <f>IF(AND(A3339&lt;&gt;"",ISNUMBER(A3339)),VLOOKUP(A3339,Studies!A:BR,2,FALSE),"")</f>
        <v>Link 2008</v>
      </c>
      <c r="C3339" s="232" t="str">
        <f>IF(AND(A3339&lt;&gt;"",ISNUMBER(A3339)),VLOOKUP(A3339,Studies!A:BR,3,FALSE),"")</f>
        <v>https://www.ncbi.nlm.nih.gov/pubmed/18537963</v>
      </c>
      <c r="D3339" s="232" t="str">
        <f>IF(AND(A3339&lt;&gt;"",ISNUMBER(A3339)),VLOOKUP(A3339,Studies!A:BR,4,FALSE),"")</f>
        <v>iv with Perpetrator (Rifampicin)</v>
      </c>
      <c r="E3339" s="206" t="str">
        <f>IF(AND(A3339&lt;&gt;"",ISNUMBER(A3339)),VLOOKUP(A3339,Studies!A:BR,5,FALSE),"")</f>
        <v>Midazolam</v>
      </c>
      <c r="F3339" s="207" t="str">
        <f>IF(AND(A3339&lt;&gt;"",ISNUMBER(A3339)),VLOOKUP(A3339,Studies!A:BR,6,FALSE),"")</f>
        <v>Plasma</v>
      </c>
      <c r="G3339" s="194">
        <v>8645</v>
      </c>
      <c r="H3339" s="194" t="s">
        <v>1041</v>
      </c>
      <c r="I3339" s="187">
        <v>166.41720000000001</v>
      </c>
      <c r="J3339" s="187" t="s">
        <v>1026</v>
      </c>
      <c r="K3339" s="187" t="s">
        <v>116</v>
      </c>
      <c r="L3339" s="195">
        <v>52.870269999999998</v>
      </c>
      <c r="M3339" s="195" t="s">
        <v>1026</v>
      </c>
      <c r="N3339" s="195" t="s">
        <v>117</v>
      </c>
      <c r="O3339" s="199">
        <v>0.05</v>
      </c>
      <c r="P3339" s="188"/>
      <c r="Q3339" s="174">
        <f>IF(ISNUMBER(VLOOKUP(A3339,NotghiID!A:A,1,FALSE)),1,0)</f>
        <v>1</v>
      </c>
    </row>
    <row r="3340" spans="1:17" ht="14.25" x14ac:dyDescent="0.2">
      <c r="A3340" s="189">
        <v>342</v>
      </c>
      <c r="B3340" s="232" t="str">
        <f>IF(AND(A3340&lt;&gt;"",ISNUMBER(A3340)),VLOOKUP(A3340,Studies!A:BR,2,FALSE),"")</f>
        <v>Link 2008</v>
      </c>
      <c r="C3340" s="232" t="str">
        <f>IF(AND(A3340&lt;&gt;"",ISNUMBER(A3340)),VLOOKUP(A3340,Studies!A:BR,3,FALSE),"")</f>
        <v>https://www.ncbi.nlm.nih.gov/pubmed/18537963</v>
      </c>
      <c r="D3340" s="232" t="str">
        <f>IF(AND(A3340&lt;&gt;"",ISNUMBER(A3340)),VLOOKUP(A3340,Studies!A:BR,4,FALSE),"")</f>
        <v>iv with Perpetrator (Rifampicin)</v>
      </c>
      <c r="E3340" s="206" t="str">
        <f>IF(AND(A3340&lt;&gt;"",ISNUMBER(A3340)),VLOOKUP(A3340,Studies!A:BR,5,FALSE),"")</f>
        <v>Midazolam</v>
      </c>
      <c r="F3340" s="207" t="str">
        <f>IF(AND(A3340&lt;&gt;"",ISNUMBER(A3340)),VLOOKUP(A3340,Studies!A:BR,6,FALSE),"")</f>
        <v>Plasma</v>
      </c>
      <c r="G3340" s="194">
        <v>8650</v>
      </c>
      <c r="H3340" s="194" t="s">
        <v>1041</v>
      </c>
      <c r="I3340" s="187">
        <v>39.307009999999998</v>
      </c>
      <c r="J3340" s="187" t="s">
        <v>1026</v>
      </c>
      <c r="K3340" s="187" t="s">
        <v>116</v>
      </c>
      <c r="L3340" s="195">
        <v>3.4824099999999998</v>
      </c>
      <c r="M3340" s="195" t="s">
        <v>1026</v>
      </c>
      <c r="N3340" s="195" t="s">
        <v>117</v>
      </c>
      <c r="O3340" s="199">
        <v>0.05</v>
      </c>
      <c r="P3340" s="188"/>
      <c r="Q3340" s="174">
        <f>IF(ISNUMBER(VLOOKUP(A3340,NotghiID!A:A,1,FALSE)),1,0)</f>
        <v>1</v>
      </c>
    </row>
    <row r="3341" spans="1:17" ht="14.25" x14ac:dyDescent="0.2">
      <c r="A3341" s="189">
        <v>342</v>
      </c>
      <c r="B3341" s="232" t="str">
        <f>IF(AND(A3341&lt;&gt;"",ISNUMBER(A3341)),VLOOKUP(A3341,Studies!A:BR,2,FALSE),"")</f>
        <v>Link 2008</v>
      </c>
      <c r="C3341" s="232" t="str">
        <f>IF(AND(A3341&lt;&gt;"",ISNUMBER(A3341)),VLOOKUP(A3341,Studies!A:BR,3,FALSE),"")</f>
        <v>https://www.ncbi.nlm.nih.gov/pubmed/18537963</v>
      </c>
      <c r="D3341" s="232" t="str">
        <f>IF(AND(A3341&lt;&gt;"",ISNUMBER(A3341)),VLOOKUP(A3341,Studies!A:BR,4,FALSE),"")</f>
        <v>iv with Perpetrator (Rifampicin)</v>
      </c>
      <c r="E3341" s="206" t="str">
        <f>IF(AND(A3341&lt;&gt;"",ISNUMBER(A3341)),VLOOKUP(A3341,Studies!A:BR,5,FALSE),"")</f>
        <v>Midazolam</v>
      </c>
      <c r="F3341" s="207" t="str">
        <f>IF(AND(A3341&lt;&gt;"",ISNUMBER(A3341)),VLOOKUP(A3341,Studies!A:BR,6,FALSE),"")</f>
        <v>Plasma</v>
      </c>
      <c r="G3341" s="194">
        <v>8660</v>
      </c>
      <c r="H3341" s="194" t="s">
        <v>1041</v>
      </c>
      <c r="I3341" s="187">
        <v>25.712140000000002</v>
      </c>
      <c r="J3341" s="187" t="s">
        <v>1026</v>
      </c>
      <c r="K3341" s="187" t="s">
        <v>116</v>
      </c>
      <c r="L3341" s="195">
        <v>2.8783249999999998</v>
      </c>
      <c r="M3341" s="195" t="s">
        <v>1026</v>
      </c>
      <c r="N3341" s="195" t="s">
        <v>117</v>
      </c>
      <c r="O3341" s="199">
        <v>0.05</v>
      </c>
      <c r="P3341" s="188"/>
      <c r="Q3341" s="174">
        <f>IF(ISNUMBER(VLOOKUP(A3341,NotghiID!A:A,1,FALSE)),1,0)</f>
        <v>1</v>
      </c>
    </row>
    <row r="3342" spans="1:17" ht="14.25" x14ac:dyDescent="0.2">
      <c r="A3342" s="189">
        <v>342</v>
      </c>
      <c r="B3342" s="232" t="str">
        <f>IF(AND(A3342&lt;&gt;"",ISNUMBER(A3342)),VLOOKUP(A3342,Studies!A:BR,2,FALSE),"")</f>
        <v>Link 2008</v>
      </c>
      <c r="C3342" s="232" t="str">
        <f>IF(AND(A3342&lt;&gt;"",ISNUMBER(A3342)),VLOOKUP(A3342,Studies!A:BR,3,FALSE),"")</f>
        <v>https://www.ncbi.nlm.nih.gov/pubmed/18537963</v>
      </c>
      <c r="D3342" s="232" t="str">
        <f>IF(AND(A3342&lt;&gt;"",ISNUMBER(A3342)),VLOOKUP(A3342,Studies!A:BR,4,FALSE),"")</f>
        <v>iv with Perpetrator (Rifampicin)</v>
      </c>
      <c r="E3342" s="206" t="str">
        <f>IF(AND(A3342&lt;&gt;"",ISNUMBER(A3342)),VLOOKUP(A3342,Studies!A:BR,5,FALSE),"")</f>
        <v>Midazolam</v>
      </c>
      <c r="F3342" s="207" t="str">
        <f>IF(AND(A3342&lt;&gt;"",ISNUMBER(A3342)),VLOOKUP(A3342,Studies!A:BR,6,FALSE),"")</f>
        <v>Plasma</v>
      </c>
      <c r="G3342" s="194">
        <v>8670</v>
      </c>
      <c r="H3342" s="194" t="s">
        <v>1041</v>
      </c>
      <c r="I3342" s="187">
        <v>19.103200000000001</v>
      </c>
      <c r="J3342" s="187" t="s">
        <v>1026</v>
      </c>
      <c r="K3342" s="187" t="s">
        <v>116</v>
      </c>
      <c r="L3342" s="195">
        <v>3.0594709999999998</v>
      </c>
      <c r="M3342" s="195" t="s">
        <v>1026</v>
      </c>
      <c r="N3342" s="195" t="s">
        <v>117</v>
      </c>
      <c r="O3342" s="199">
        <v>0.05</v>
      </c>
      <c r="P3342" s="188"/>
      <c r="Q3342" s="174">
        <f>IF(ISNUMBER(VLOOKUP(A3342,NotghiID!A:A,1,FALSE)),1,0)</f>
        <v>1</v>
      </c>
    </row>
    <row r="3343" spans="1:17" ht="14.25" x14ac:dyDescent="0.2">
      <c r="A3343" s="189">
        <v>342</v>
      </c>
      <c r="B3343" s="232" t="str">
        <f>IF(AND(A3343&lt;&gt;"",ISNUMBER(A3343)),VLOOKUP(A3343,Studies!A:BR,2,FALSE),"")</f>
        <v>Link 2008</v>
      </c>
      <c r="C3343" s="232" t="str">
        <f>IF(AND(A3343&lt;&gt;"",ISNUMBER(A3343)),VLOOKUP(A3343,Studies!A:BR,3,FALSE),"")</f>
        <v>https://www.ncbi.nlm.nih.gov/pubmed/18537963</v>
      </c>
      <c r="D3343" s="232" t="str">
        <f>IF(AND(A3343&lt;&gt;"",ISNUMBER(A3343)),VLOOKUP(A3343,Studies!A:BR,4,FALSE),"")</f>
        <v>iv with Perpetrator (Rifampicin)</v>
      </c>
      <c r="E3343" s="206" t="str">
        <f>IF(AND(A3343&lt;&gt;"",ISNUMBER(A3343)),VLOOKUP(A3343,Studies!A:BR,5,FALSE),"")</f>
        <v>Midazolam</v>
      </c>
      <c r="F3343" s="207" t="str">
        <f>IF(AND(A3343&lt;&gt;"",ISNUMBER(A3343)),VLOOKUP(A3343,Studies!A:BR,6,FALSE),"")</f>
        <v>Plasma</v>
      </c>
      <c r="G3343" s="194">
        <v>8680</v>
      </c>
      <c r="H3343" s="194" t="s">
        <v>1041</v>
      </c>
      <c r="I3343" s="187">
        <v>15.78181</v>
      </c>
      <c r="J3343" s="187" t="s">
        <v>1026</v>
      </c>
      <c r="K3343" s="187" t="s">
        <v>116</v>
      </c>
      <c r="L3343" s="195">
        <v>2.1430690000000001</v>
      </c>
      <c r="M3343" s="195" t="s">
        <v>1026</v>
      </c>
      <c r="N3343" s="195" t="s">
        <v>117</v>
      </c>
      <c r="O3343" s="199">
        <v>0.05</v>
      </c>
      <c r="P3343" s="188"/>
      <c r="Q3343" s="174">
        <f>IF(ISNUMBER(VLOOKUP(A3343,NotghiID!A:A,1,FALSE)),1,0)</f>
        <v>1</v>
      </c>
    </row>
    <row r="3344" spans="1:17" ht="14.25" x14ac:dyDescent="0.2">
      <c r="A3344" s="189">
        <v>342</v>
      </c>
      <c r="B3344" s="232" t="str">
        <f>IF(AND(A3344&lt;&gt;"",ISNUMBER(A3344)),VLOOKUP(A3344,Studies!A:BR,2,FALSE),"")</f>
        <v>Link 2008</v>
      </c>
      <c r="C3344" s="232" t="str">
        <f>IF(AND(A3344&lt;&gt;"",ISNUMBER(A3344)),VLOOKUP(A3344,Studies!A:BR,3,FALSE),"")</f>
        <v>https://www.ncbi.nlm.nih.gov/pubmed/18537963</v>
      </c>
      <c r="D3344" s="232" t="str">
        <f>IF(AND(A3344&lt;&gt;"",ISNUMBER(A3344)),VLOOKUP(A3344,Studies!A:BR,4,FALSE),"")</f>
        <v>iv with Perpetrator (Rifampicin)</v>
      </c>
      <c r="E3344" s="206" t="str">
        <f>IF(AND(A3344&lt;&gt;"",ISNUMBER(A3344)),VLOOKUP(A3344,Studies!A:BR,5,FALSE),"")</f>
        <v>Midazolam</v>
      </c>
      <c r="F3344" s="207" t="str">
        <f>IF(AND(A3344&lt;&gt;"",ISNUMBER(A3344)),VLOOKUP(A3344,Studies!A:BR,6,FALSE),"")</f>
        <v>Plasma</v>
      </c>
      <c r="G3344" s="194">
        <v>8700</v>
      </c>
      <c r="H3344" s="194" t="s">
        <v>1041</v>
      </c>
      <c r="I3344" s="187">
        <v>11.97681</v>
      </c>
      <c r="J3344" s="187" t="s">
        <v>1026</v>
      </c>
      <c r="K3344" s="187" t="s">
        <v>116</v>
      </c>
      <c r="L3344" s="195">
        <v>1.6263730000000001</v>
      </c>
      <c r="M3344" s="195" t="s">
        <v>1026</v>
      </c>
      <c r="N3344" s="195" t="s">
        <v>117</v>
      </c>
      <c r="O3344" s="199">
        <v>0.05</v>
      </c>
      <c r="P3344" s="188"/>
      <c r="Q3344" s="174">
        <f>IF(ISNUMBER(VLOOKUP(A3344,NotghiID!A:A,1,FALSE)),1,0)</f>
        <v>1</v>
      </c>
    </row>
    <row r="3345" spans="1:17" ht="14.25" x14ac:dyDescent="0.2">
      <c r="A3345" s="189">
        <v>342</v>
      </c>
      <c r="B3345" s="232" t="str">
        <f>IF(AND(A3345&lt;&gt;"",ISNUMBER(A3345)),VLOOKUP(A3345,Studies!A:BR,2,FALSE),"")</f>
        <v>Link 2008</v>
      </c>
      <c r="C3345" s="232" t="str">
        <f>IF(AND(A3345&lt;&gt;"",ISNUMBER(A3345)),VLOOKUP(A3345,Studies!A:BR,3,FALSE),"")</f>
        <v>https://www.ncbi.nlm.nih.gov/pubmed/18537963</v>
      </c>
      <c r="D3345" s="232" t="str">
        <f>IF(AND(A3345&lt;&gt;"",ISNUMBER(A3345)),VLOOKUP(A3345,Studies!A:BR,4,FALSE),"")</f>
        <v>iv with Perpetrator (Rifampicin)</v>
      </c>
      <c r="E3345" s="206" t="str">
        <f>IF(AND(A3345&lt;&gt;"",ISNUMBER(A3345)),VLOOKUP(A3345,Studies!A:BR,5,FALSE),"")</f>
        <v>Midazolam</v>
      </c>
      <c r="F3345" s="207" t="str">
        <f>IF(AND(A3345&lt;&gt;"",ISNUMBER(A3345)),VLOOKUP(A3345,Studies!A:BR,6,FALSE),"")</f>
        <v>Plasma</v>
      </c>
      <c r="G3345" s="194">
        <v>8730</v>
      </c>
      <c r="H3345" s="194" t="s">
        <v>1041</v>
      </c>
      <c r="I3345" s="187">
        <v>7.5088949999999999</v>
      </c>
      <c r="J3345" s="187" t="s">
        <v>1026</v>
      </c>
      <c r="K3345" s="187" t="s">
        <v>116</v>
      </c>
      <c r="L3345" s="195">
        <v>1.3894409999999999</v>
      </c>
      <c r="M3345" s="195" t="s">
        <v>1026</v>
      </c>
      <c r="N3345" s="195" t="s">
        <v>117</v>
      </c>
      <c r="O3345" s="199">
        <v>0.05</v>
      </c>
      <c r="P3345" s="188"/>
      <c r="Q3345" s="174">
        <f>IF(ISNUMBER(VLOOKUP(A3345,NotghiID!A:A,1,FALSE)),1,0)</f>
        <v>1</v>
      </c>
    </row>
    <row r="3346" spans="1:17" ht="14.25" x14ac:dyDescent="0.2">
      <c r="A3346" s="189">
        <v>342</v>
      </c>
      <c r="B3346" s="232" t="str">
        <f>IF(AND(A3346&lt;&gt;"",ISNUMBER(A3346)),VLOOKUP(A3346,Studies!A:BR,2,FALSE),"")</f>
        <v>Link 2008</v>
      </c>
      <c r="C3346" s="232" t="str">
        <f>IF(AND(A3346&lt;&gt;"",ISNUMBER(A3346)),VLOOKUP(A3346,Studies!A:BR,3,FALSE),"")</f>
        <v>https://www.ncbi.nlm.nih.gov/pubmed/18537963</v>
      </c>
      <c r="D3346" s="232" t="str">
        <f>IF(AND(A3346&lt;&gt;"",ISNUMBER(A3346)),VLOOKUP(A3346,Studies!A:BR,4,FALSE),"")</f>
        <v>iv with Perpetrator (Rifampicin)</v>
      </c>
      <c r="E3346" s="206" t="str">
        <f>IF(AND(A3346&lt;&gt;"",ISNUMBER(A3346)),VLOOKUP(A3346,Studies!A:BR,5,FALSE),"")</f>
        <v>Midazolam</v>
      </c>
      <c r="F3346" s="207" t="str">
        <f>IF(AND(A3346&lt;&gt;"",ISNUMBER(A3346)),VLOOKUP(A3346,Studies!A:BR,6,FALSE),"")</f>
        <v>Plasma</v>
      </c>
      <c r="G3346" s="194">
        <v>8760</v>
      </c>
      <c r="H3346" s="194" t="s">
        <v>1041</v>
      </c>
      <c r="I3346" s="187">
        <v>5.3470050000000002</v>
      </c>
      <c r="J3346" s="187" t="s">
        <v>1026</v>
      </c>
      <c r="K3346" s="187" t="s">
        <v>116</v>
      </c>
      <c r="L3346" s="195">
        <v>0.85635139999999998</v>
      </c>
      <c r="M3346" s="195" t="s">
        <v>1026</v>
      </c>
      <c r="N3346" s="195" t="s">
        <v>117</v>
      </c>
      <c r="O3346" s="199">
        <v>0.05</v>
      </c>
      <c r="P3346" s="188"/>
      <c r="Q3346" s="174">
        <f>IF(ISNUMBER(VLOOKUP(A3346,NotghiID!A:A,1,FALSE)),1,0)</f>
        <v>1</v>
      </c>
    </row>
    <row r="3347" spans="1:17" ht="14.25" x14ac:dyDescent="0.2">
      <c r="A3347" s="189">
        <v>342</v>
      </c>
      <c r="B3347" s="232" t="str">
        <f>IF(AND(A3347&lt;&gt;"",ISNUMBER(A3347)),VLOOKUP(A3347,Studies!A:BR,2,FALSE),"")</f>
        <v>Link 2008</v>
      </c>
      <c r="C3347" s="232" t="str">
        <f>IF(AND(A3347&lt;&gt;"",ISNUMBER(A3347)),VLOOKUP(A3347,Studies!A:BR,3,FALSE),"")</f>
        <v>https://www.ncbi.nlm.nih.gov/pubmed/18537963</v>
      </c>
      <c r="D3347" s="232" t="str">
        <f>IF(AND(A3347&lt;&gt;"",ISNUMBER(A3347)),VLOOKUP(A3347,Studies!A:BR,4,FALSE),"")</f>
        <v>iv with Perpetrator (Rifampicin)</v>
      </c>
      <c r="E3347" s="206" t="str">
        <f>IF(AND(A3347&lt;&gt;"",ISNUMBER(A3347)),VLOOKUP(A3347,Studies!A:BR,5,FALSE),"")</f>
        <v>Midazolam</v>
      </c>
      <c r="F3347" s="207" t="str">
        <f>IF(AND(A3347&lt;&gt;"",ISNUMBER(A3347)),VLOOKUP(A3347,Studies!A:BR,6,FALSE),"")</f>
        <v>Plasma</v>
      </c>
      <c r="G3347" s="194">
        <v>8880</v>
      </c>
      <c r="H3347" s="194" t="s">
        <v>1041</v>
      </c>
      <c r="I3347" s="187">
        <v>1.930698</v>
      </c>
      <c r="J3347" s="187" t="s">
        <v>1026</v>
      </c>
      <c r="K3347" s="187" t="s">
        <v>116</v>
      </c>
      <c r="L3347" s="195">
        <v>0.30921110000000002</v>
      </c>
      <c r="M3347" s="195" t="s">
        <v>1026</v>
      </c>
      <c r="N3347" s="195" t="s">
        <v>117</v>
      </c>
      <c r="O3347" s="199">
        <v>0.05</v>
      </c>
      <c r="P3347" s="188"/>
      <c r="Q3347" s="174">
        <f>IF(ISNUMBER(VLOOKUP(A3347,NotghiID!A:A,1,FALSE)),1,0)</f>
        <v>1</v>
      </c>
    </row>
    <row r="3348" spans="1:17" ht="14.25" x14ac:dyDescent="0.2">
      <c r="A3348" s="189">
        <v>342</v>
      </c>
      <c r="B3348" s="232" t="str">
        <f>IF(AND(A3348&lt;&gt;"",ISNUMBER(A3348)),VLOOKUP(A3348,Studies!A:BR,2,FALSE),"")</f>
        <v>Link 2008</v>
      </c>
      <c r="C3348" s="232" t="str">
        <f>IF(AND(A3348&lt;&gt;"",ISNUMBER(A3348)),VLOOKUP(A3348,Studies!A:BR,3,FALSE),"")</f>
        <v>https://www.ncbi.nlm.nih.gov/pubmed/18537963</v>
      </c>
      <c r="D3348" s="232" t="str">
        <f>IF(AND(A3348&lt;&gt;"",ISNUMBER(A3348)),VLOOKUP(A3348,Studies!A:BR,4,FALSE),"")</f>
        <v>iv with Perpetrator (Rifampicin)</v>
      </c>
      <c r="E3348" s="206" t="str">
        <f>IF(AND(A3348&lt;&gt;"",ISNUMBER(A3348)),VLOOKUP(A3348,Studies!A:BR,5,FALSE),"")</f>
        <v>Midazolam</v>
      </c>
      <c r="F3348" s="207" t="str">
        <f>IF(AND(A3348&lt;&gt;"",ISNUMBER(A3348)),VLOOKUP(A3348,Studies!A:BR,6,FALSE),"")</f>
        <v>Plasma</v>
      </c>
      <c r="G3348" s="194">
        <v>9000</v>
      </c>
      <c r="H3348" s="194" t="s">
        <v>1041</v>
      </c>
      <c r="I3348" s="187">
        <v>0.75889960000000001</v>
      </c>
      <c r="J3348" s="187" t="s">
        <v>1026</v>
      </c>
      <c r="K3348" s="187" t="s">
        <v>116</v>
      </c>
      <c r="L3348" s="195">
        <v>0.24110039999999999</v>
      </c>
      <c r="M3348" s="195" t="s">
        <v>1026</v>
      </c>
      <c r="N3348" s="195" t="s">
        <v>117</v>
      </c>
      <c r="O3348" s="199">
        <v>0.05</v>
      </c>
      <c r="P3348" s="188"/>
      <c r="Q3348" s="174">
        <f>IF(ISNUMBER(VLOOKUP(A3348,NotghiID!A:A,1,FALSE)),1,0)</f>
        <v>1</v>
      </c>
    </row>
    <row r="3349" spans="1:17" ht="14.25" x14ac:dyDescent="0.2">
      <c r="A3349" s="189">
        <v>342</v>
      </c>
      <c r="B3349" s="232" t="str">
        <f>IF(AND(A3349&lt;&gt;"",ISNUMBER(A3349)),VLOOKUP(A3349,Studies!A:BR,2,FALSE),"")</f>
        <v>Link 2008</v>
      </c>
      <c r="C3349" s="232" t="str">
        <f>IF(AND(A3349&lt;&gt;"",ISNUMBER(A3349)),VLOOKUP(A3349,Studies!A:BR,3,FALSE),"")</f>
        <v>https://www.ncbi.nlm.nih.gov/pubmed/18537963</v>
      </c>
      <c r="D3349" s="232" t="str">
        <f>IF(AND(A3349&lt;&gt;"",ISNUMBER(A3349)),VLOOKUP(A3349,Studies!A:BR,4,FALSE),"")</f>
        <v>iv with Perpetrator (Rifampicin)</v>
      </c>
      <c r="E3349" s="206" t="str">
        <f>IF(AND(A3349&lt;&gt;"",ISNUMBER(A3349)),VLOOKUP(A3349,Studies!A:BR,5,FALSE),"")</f>
        <v>Midazolam</v>
      </c>
      <c r="F3349" s="207" t="str">
        <f>IF(AND(A3349&lt;&gt;"",ISNUMBER(A3349)),VLOOKUP(A3349,Studies!A:BR,6,FALSE),"")</f>
        <v>Plasma</v>
      </c>
      <c r="G3349" s="194">
        <v>9120</v>
      </c>
      <c r="H3349" s="194" t="s">
        <v>1041</v>
      </c>
      <c r="I3349" s="187">
        <v>0.29830079999999998</v>
      </c>
      <c r="J3349" s="187" t="s">
        <v>1026</v>
      </c>
      <c r="K3349" s="187" t="s">
        <v>116</v>
      </c>
      <c r="L3349" s="195">
        <v>0.1774936</v>
      </c>
      <c r="M3349" s="195" t="s">
        <v>1026</v>
      </c>
      <c r="N3349" s="195" t="s">
        <v>117</v>
      </c>
      <c r="O3349" s="199">
        <v>0.05</v>
      </c>
      <c r="P3349" s="188"/>
      <c r="Q3349" s="174">
        <f>IF(ISNUMBER(VLOOKUP(A3349,NotghiID!A:A,1,FALSE)),1,0)</f>
        <v>1</v>
      </c>
    </row>
    <row r="3350" spans="1:17" ht="14.25" x14ac:dyDescent="0.2">
      <c r="A3350" s="189">
        <v>342</v>
      </c>
      <c r="B3350" s="232" t="str">
        <f>IF(AND(A3350&lt;&gt;"",ISNUMBER(A3350)),VLOOKUP(A3350,Studies!A:BR,2,FALSE),"")</f>
        <v>Link 2008</v>
      </c>
      <c r="C3350" s="232" t="str">
        <f>IF(AND(A3350&lt;&gt;"",ISNUMBER(A3350)),VLOOKUP(A3350,Studies!A:BR,3,FALSE),"")</f>
        <v>https://www.ncbi.nlm.nih.gov/pubmed/18537963</v>
      </c>
      <c r="D3350" s="232" t="str">
        <f>IF(AND(A3350&lt;&gt;"",ISNUMBER(A3350)),VLOOKUP(A3350,Studies!A:BR,4,FALSE),"")</f>
        <v>iv with Perpetrator (Rifampicin)</v>
      </c>
      <c r="E3350" s="206" t="str">
        <f>IF(AND(A3350&lt;&gt;"",ISNUMBER(A3350)),VLOOKUP(A3350,Studies!A:BR,5,FALSE),"")</f>
        <v>Midazolam</v>
      </c>
      <c r="F3350" s="207" t="str">
        <f>IF(AND(A3350&lt;&gt;"",ISNUMBER(A3350)),VLOOKUP(A3350,Studies!A:BR,6,FALSE),"")</f>
        <v>Plasma</v>
      </c>
      <c r="G3350" s="194">
        <v>9240</v>
      </c>
      <c r="H3350" s="194" t="s">
        <v>1041</v>
      </c>
      <c r="I3350" s="187">
        <v>0.17180000000000001</v>
      </c>
      <c r="J3350" s="187" t="s">
        <v>1026</v>
      </c>
      <c r="K3350" s="187" t="s">
        <v>116</v>
      </c>
      <c r="L3350" s="195">
        <v>0.1141046</v>
      </c>
      <c r="M3350" s="195" t="s">
        <v>1026</v>
      </c>
      <c r="N3350" s="195" t="s">
        <v>117</v>
      </c>
      <c r="O3350" s="199">
        <v>0.05</v>
      </c>
      <c r="P3350" s="188"/>
      <c r="Q3350" s="174">
        <f>IF(ISNUMBER(VLOOKUP(A3350,NotghiID!A:A,1,FALSE)),1,0)</f>
        <v>1</v>
      </c>
    </row>
    <row r="3351" spans="1:17" ht="14.25" x14ac:dyDescent="0.2">
      <c r="A3351" s="189">
        <v>343</v>
      </c>
      <c r="B3351" s="232" t="str">
        <f>IF(AND(A3351&lt;&gt;"",ISNUMBER(A3351)),VLOOKUP(A3351,Studies!A:BR,2,FALSE),"")</f>
        <v>Link 2008</v>
      </c>
      <c r="C3351" s="232" t="str">
        <f>IF(AND(A3351&lt;&gt;"",ISNUMBER(A3351)),VLOOKUP(A3351,Studies!A:BR,3,FALSE),"")</f>
        <v>https://www.ncbi.nlm.nih.gov/pubmed/18537963</v>
      </c>
      <c r="D3351" s="232" t="str">
        <f>IF(AND(A3351&lt;&gt;"",ISNUMBER(A3351)),VLOOKUP(A3351,Studies!A:BR,4,FALSE),"")</f>
        <v>po Control (Perpetrator Placebo)</v>
      </c>
      <c r="E3351" s="206" t="str">
        <f>IF(AND(A3351&lt;&gt;"",ISNUMBER(A3351)),VLOOKUP(A3351,Studies!A:BR,5,FALSE),"")</f>
        <v>Midazolam</v>
      </c>
      <c r="F3351" s="207" t="str">
        <f>IF(AND(A3351&lt;&gt;"",ISNUMBER(A3351)),VLOOKUP(A3351,Studies!A:BR,6,FALSE),"")</f>
        <v>Plasma</v>
      </c>
      <c r="G3351" s="194">
        <v>10</v>
      </c>
      <c r="H3351" s="194" t="s">
        <v>1041</v>
      </c>
      <c r="I3351" s="187">
        <v>12.056089999999999</v>
      </c>
      <c r="J3351" s="187" t="s">
        <v>1026</v>
      </c>
      <c r="K3351" s="187" t="s">
        <v>116</v>
      </c>
      <c r="L3351" s="195">
        <v>17.523879999999998</v>
      </c>
      <c r="M3351" s="195" t="s">
        <v>1026</v>
      </c>
      <c r="N3351" s="195" t="s">
        <v>117</v>
      </c>
      <c r="O3351" s="199">
        <v>0.05</v>
      </c>
      <c r="P3351" s="188"/>
      <c r="Q3351" s="174">
        <f>IF(ISNUMBER(VLOOKUP(A3351,NotghiID!A:A,1,FALSE)),1,0)</f>
        <v>1</v>
      </c>
    </row>
    <row r="3352" spans="1:17" ht="14.25" x14ac:dyDescent="0.2">
      <c r="A3352" s="189">
        <v>343</v>
      </c>
      <c r="B3352" s="232" t="str">
        <f>IF(AND(A3352&lt;&gt;"",ISNUMBER(A3352)),VLOOKUP(A3352,Studies!A:BR,2,FALSE),"")</f>
        <v>Link 2008</v>
      </c>
      <c r="C3352" s="232" t="str">
        <f>IF(AND(A3352&lt;&gt;"",ISNUMBER(A3352)),VLOOKUP(A3352,Studies!A:BR,3,FALSE),"")</f>
        <v>https://www.ncbi.nlm.nih.gov/pubmed/18537963</v>
      </c>
      <c r="D3352" s="232" t="str">
        <f>IF(AND(A3352&lt;&gt;"",ISNUMBER(A3352)),VLOOKUP(A3352,Studies!A:BR,4,FALSE),"")</f>
        <v>po Control (Perpetrator Placebo)</v>
      </c>
      <c r="E3352" s="206" t="str">
        <f>IF(AND(A3352&lt;&gt;"",ISNUMBER(A3352)),VLOOKUP(A3352,Studies!A:BR,5,FALSE),"")</f>
        <v>Midazolam</v>
      </c>
      <c r="F3352" s="207" t="str">
        <f>IF(AND(A3352&lt;&gt;"",ISNUMBER(A3352)),VLOOKUP(A3352,Studies!A:BR,6,FALSE),"")</f>
        <v>Plasma</v>
      </c>
      <c r="G3352" s="194">
        <v>20</v>
      </c>
      <c r="H3352" s="194" t="s">
        <v>1041</v>
      </c>
      <c r="I3352" s="187">
        <v>48.356490000000001</v>
      </c>
      <c r="J3352" s="187" t="s">
        <v>1026</v>
      </c>
      <c r="K3352" s="187" t="s">
        <v>116</v>
      </c>
      <c r="L3352" s="195">
        <v>22.684360000000002</v>
      </c>
      <c r="M3352" s="195" t="s">
        <v>1026</v>
      </c>
      <c r="N3352" s="195" t="s">
        <v>117</v>
      </c>
      <c r="O3352" s="199">
        <v>0.05</v>
      </c>
      <c r="P3352" s="188"/>
      <c r="Q3352" s="174">
        <f>IF(ISNUMBER(VLOOKUP(A3352,NotghiID!A:A,1,FALSE)),1,0)</f>
        <v>1</v>
      </c>
    </row>
    <row r="3353" spans="1:17" ht="14.25" x14ac:dyDescent="0.2">
      <c r="A3353" s="189">
        <v>343</v>
      </c>
      <c r="B3353" s="232" t="str">
        <f>IF(AND(A3353&lt;&gt;"",ISNUMBER(A3353)),VLOOKUP(A3353,Studies!A:BR,2,FALSE),"")</f>
        <v>Link 2008</v>
      </c>
      <c r="C3353" s="232" t="str">
        <f>IF(AND(A3353&lt;&gt;"",ISNUMBER(A3353)),VLOOKUP(A3353,Studies!A:BR,3,FALSE),"")</f>
        <v>https://www.ncbi.nlm.nih.gov/pubmed/18537963</v>
      </c>
      <c r="D3353" s="232" t="str">
        <f>IF(AND(A3353&lt;&gt;"",ISNUMBER(A3353)),VLOOKUP(A3353,Studies!A:BR,4,FALSE),"")</f>
        <v>po Control (Perpetrator Placebo)</v>
      </c>
      <c r="E3353" s="206" t="str">
        <f>IF(AND(A3353&lt;&gt;"",ISNUMBER(A3353)),VLOOKUP(A3353,Studies!A:BR,5,FALSE),"")</f>
        <v>Midazolam</v>
      </c>
      <c r="F3353" s="207" t="str">
        <f>IF(AND(A3353&lt;&gt;"",ISNUMBER(A3353)),VLOOKUP(A3353,Studies!A:BR,6,FALSE),"")</f>
        <v>Plasma</v>
      </c>
      <c r="G3353" s="194">
        <v>30</v>
      </c>
      <c r="H3353" s="194" t="s">
        <v>1041</v>
      </c>
      <c r="I3353" s="187">
        <v>45.353679999999997</v>
      </c>
      <c r="J3353" s="187" t="s">
        <v>1026</v>
      </c>
      <c r="K3353" s="187" t="s">
        <v>116</v>
      </c>
      <c r="L3353" s="195">
        <v>21.27572</v>
      </c>
      <c r="M3353" s="195" t="s">
        <v>1026</v>
      </c>
      <c r="N3353" s="195" t="s">
        <v>117</v>
      </c>
      <c r="O3353" s="199">
        <v>0.05</v>
      </c>
      <c r="P3353" s="188"/>
      <c r="Q3353" s="174">
        <f>IF(ISNUMBER(VLOOKUP(A3353,NotghiID!A:A,1,FALSE)),1,0)</f>
        <v>1</v>
      </c>
    </row>
    <row r="3354" spans="1:17" ht="14.25" x14ac:dyDescent="0.2">
      <c r="A3354" s="189">
        <v>343</v>
      </c>
      <c r="B3354" s="232" t="str">
        <f>IF(AND(A3354&lt;&gt;"",ISNUMBER(A3354)),VLOOKUP(A3354,Studies!A:BR,2,FALSE),"")</f>
        <v>Link 2008</v>
      </c>
      <c r="C3354" s="232" t="str">
        <f>IF(AND(A3354&lt;&gt;"",ISNUMBER(A3354)),VLOOKUP(A3354,Studies!A:BR,3,FALSE),"")</f>
        <v>https://www.ncbi.nlm.nih.gov/pubmed/18537963</v>
      </c>
      <c r="D3354" s="232" t="str">
        <f>IF(AND(A3354&lt;&gt;"",ISNUMBER(A3354)),VLOOKUP(A3354,Studies!A:BR,4,FALSE),"")</f>
        <v>po Control (Perpetrator Placebo)</v>
      </c>
      <c r="E3354" s="206" t="str">
        <f>IF(AND(A3354&lt;&gt;"",ISNUMBER(A3354)),VLOOKUP(A3354,Studies!A:BR,5,FALSE),"")</f>
        <v>Midazolam</v>
      </c>
      <c r="F3354" s="207" t="str">
        <f>IF(AND(A3354&lt;&gt;"",ISNUMBER(A3354)),VLOOKUP(A3354,Studies!A:BR,6,FALSE),"")</f>
        <v>Plasma</v>
      </c>
      <c r="G3354" s="194">
        <v>40</v>
      </c>
      <c r="H3354" s="194" t="s">
        <v>1041</v>
      </c>
      <c r="I3354" s="187">
        <v>38.226680000000002</v>
      </c>
      <c r="J3354" s="187" t="s">
        <v>1026</v>
      </c>
      <c r="K3354" s="187" t="s">
        <v>116</v>
      </c>
      <c r="L3354" s="195">
        <v>16.74503</v>
      </c>
      <c r="M3354" s="195" t="s">
        <v>1026</v>
      </c>
      <c r="N3354" s="195" t="s">
        <v>117</v>
      </c>
      <c r="O3354" s="199">
        <v>0.05</v>
      </c>
      <c r="P3354" s="188"/>
      <c r="Q3354" s="174">
        <f>IF(ISNUMBER(VLOOKUP(A3354,NotghiID!A:A,1,FALSE)),1,0)</f>
        <v>1</v>
      </c>
    </row>
    <row r="3355" spans="1:17" ht="14.25" x14ac:dyDescent="0.2">
      <c r="A3355" s="189">
        <v>343</v>
      </c>
      <c r="B3355" s="232" t="str">
        <f>IF(AND(A3355&lt;&gt;"",ISNUMBER(A3355)),VLOOKUP(A3355,Studies!A:BR,2,FALSE),"")</f>
        <v>Link 2008</v>
      </c>
      <c r="C3355" s="232" t="str">
        <f>IF(AND(A3355&lt;&gt;"",ISNUMBER(A3355)),VLOOKUP(A3355,Studies!A:BR,3,FALSE),"")</f>
        <v>https://www.ncbi.nlm.nih.gov/pubmed/18537963</v>
      </c>
      <c r="D3355" s="232" t="str">
        <f>IF(AND(A3355&lt;&gt;"",ISNUMBER(A3355)),VLOOKUP(A3355,Studies!A:BR,4,FALSE),"")</f>
        <v>po Control (Perpetrator Placebo)</v>
      </c>
      <c r="E3355" s="206" t="str">
        <f>IF(AND(A3355&lt;&gt;"",ISNUMBER(A3355)),VLOOKUP(A3355,Studies!A:BR,5,FALSE),"")</f>
        <v>Midazolam</v>
      </c>
      <c r="F3355" s="207" t="str">
        <f>IF(AND(A3355&lt;&gt;"",ISNUMBER(A3355)),VLOOKUP(A3355,Studies!A:BR,6,FALSE),"")</f>
        <v>Plasma</v>
      </c>
      <c r="G3355" s="194">
        <v>60</v>
      </c>
      <c r="H3355" s="194" t="s">
        <v>1041</v>
      </c>
      <c r="I3355" s="187">
        <v>27.156559999999999</v>
      </c>
      <c r="J3355" s="187" t="s">
        <v>1026</v>
      </c>
      <c r="K3355" s="187" t="s">
        <v>116</v>
      </c>
      <c r="L3355" s="195">
        <v>9.4707550000000005</v>
      </c>
      <c r="M3355" s="195" t="s">
        <v>1026</v>
      </c>
      <c r="N3355" s="195" t="s">
        <v>117</v>
      </c>
      <c r="O3355" s="199">
        <v>0.05</v>
      </c>
      <c r="P3355" s="188"/>
      <c r="Q3355" s="174">
        <f>IF(ISNUMBER(VLOOKUP(A3355,NotghiID!A:A,1,FALSE)),1,0)</f>
        <v>1</v>
      </c>
    </row>
    <row r="3356" spans="1:17" ht="14.25" x14ac:dyDescent="0.2">
      <c r="A3356" s="189">
        <v>343</v>
      </c>
      <c r="B3356" s="232" t="str">
        <f>IF(AND(A3356&lt;&gt;"",ISNUMBER(A3356)),VLOOKUP(A3356,Studies!A:BR,2,FALSE),"")</f>
        <v>Link 2008</v>
      </c>
      <c r="C3356" s="232" t="str">
        <f>IF(AND(A3356&lt;&gt;"",ISNUMBER(A3356)),VLOOKUP(A3356,Studies!A:BR,3,FALSE),"")</f>
        <v>https://www.ncbi.nlm.nih.gov/pubmed/18537963</v>
      </c>
      <c r="D3356" s="232" t="str">
        <f>IF(AND(A3356&lt;&gt;"",ISNUMBER(A3356)),VLOOKUP(A3356,Studies!A:BR,4,FALSE),"")</f>
        <v>po Control (Perpetrator Placebo)</v>
      </c>
      <c r="E3356" s="206" t="str">
        <f>IF(AND(A3356&lt;&gt;"",ISNUMBER(A3356)),VLOOKUP(A3356,Studies!A:BR,5,FALSE),"")</f>
        <v>Midazolam</v>
      </c>
      <c r="F3356" s="207" t="str">
        <f>IF(AND(A3356&lt;&gt;"",ISNUMBER(A3356)),VLOOKUP(A3356,Studies!A:BR,6,FALSE),"")</f>
        <v>Plasma</v>
      </c>
      <c r="G3356" s="194">
        <v>90</v>
      </c>
      <c r="H3356" s="194" t="s">
        <v>1041</v>
      </c>
      <c r="I3356" s="187">
        <v>22.405159999999999</v>
      </c>
      <c r="J3356" s="187" t="s">
        <v>1026</v>
      </c>
      <c r="K3356" s="187" t="s">
        <v>116</v>
      </c>
      <c r="L3356" s="195">
        <v>7.8137230000000004</v>
      </c>
      <c r="M3356" s="195" t="s">
        <v>1026</v>
      </c>
      <c r="N3356" s="195" t="s">
        <v>117</v>
      </c>
      <c r="O3356" s="199">
        <v>0.05</v>
      </c>
      <c r="P3356" s="188"/>
      <c r="Q3356" s="174">
        <f>IF(ISNUMBER(VLOOKUP(A3356,NotghiID!A:A,1,FALSE)),1,0)</f>
        <v>1</v>
      </c>
    </row>
    <row r="3357" spans="1:17" ht="14.25" x14ac:dyDescent="0.2">
      <c r="A3357" s="189">
        <v>343</v>
      </c>
      <c r="B3357" s="232" t="str">
        <f>IF(AND(A3357&lt;&gt;"",ISNUMBER(A3357)),VLOOKUP(A3357,Studies!A:BR,2,FALSE),"")</f>
        <v>Link 2008</v>
      </c>
      <c r="C3357" s="232" t="str">
        <f>IF(AND(A3357&lt;&gt;"",ISNUMBER(A3357)),VLOOKUP(A3357,Studies!A:BR,3,FALSE),"")</f>
        <v>https://www.ncbi.nlm.nih.gov/pubmed/18537963</v>
      </c>
      <c r="D3357" s="232" t="str">
        <f>IF(AND(A3357&lt;&gt;"",ISNUMBER(A3357)),VLOOKUP(A3357,Studies!A:BR,4,FALSE),"")</f>
        <v>po Control (Perpetrator Placebo)</v>
      </c>
      <c r="E3357" s="206" t="str">
        <f>IF(AND(A3357&lt;&gt;"",ISNUMBER(A3357)),VLOOKUP(A3357,Studies!A:BR,5,FALSE),"")</f>
        <v>Midazolam</v>
      </c>
      <c r="F3357" s="207" t="str">
        <f>IF(AND(A3357&lt;&gt;"",ISNUMBER(A3357)),VLOOKUP(A3357,Studies!A:BR,6,FALSE),"")</f>
        <v>Plasma</v>
      </c>
      <c r="G3357" s="194">
        <v>120</v>
      </c>
      <c r="H3357" s="194" t="s">
        <v>1041</v>
      </c>
      <c r="I3357" s="187">
        <v>16.970649999999999</v>
      </c>
      <c r="J3357" s="187" t="s">
        <v>1026</v>
      </c>
      <c r="K3357" s="187" t="s">
        <v>116</v>
      </c>
      <c r="L3357" s="195">
        <v>6.9179269999999997</v>
      </c>
      <c r="M3357" s="195" t="s">
        <v>1026</v>
      </c>
      <c r="N3357" s="195" t="s">
        <v>117</v>
      </c>
      <c r="O3357" s="199">
        <v>0.05</v>
      </c>
      <c r="P3357" s="188"/>
      <c r="Q3357" s="174">
        <f>IF(ISNUMBER(VLOOKUP(A3357,NotghiID!A:A,1,FALSE)),1,0)</f>
        <v>1</v>
      </c>
    </row>
    <row r="3358" spans="1:17" ht="14.25" x14ac:dyDescent="0.2">
      <c r="A3358" s="189">
        <v>343</v>
      </c>
      <c r="B3358" s="232" t="str">
        <f>IF(AND(A3358&lt;&gt;"",ISNUMBER(A3358)),VLOOKUP(A3358,Studies!A:BR,2,FALSE),"")</f>
        <v>Link 2008</v>
      </c>
      <c r="C3358" s="232" t="str">
        <f>IF(AND(A3358&lt;&gt;"",ISNUMBER(A3358)),VLOOKUP(A3358,Studies!A:BR,3,FALSE),"")</f>
        <v>https://www.ncbi.nlm.nih.gov/pubmed/18537963</v>
      </c>
      <c r="D3358" s="232" t="str">
        <f>IF(AND(A3358&lt;&gt;"",ISNUMBER(A3358)),VLOOKUP(A3358,Studies!A:BR,4,FALSE),"")</f>
        <v>po Control (Perpetrator Placebo)</v>
      </c>
      <c r="E3358" s="206" t="str">
        <f>IF(AND(A3358&lt;&gt;"",ISNUMBER(A3358)),VLOOKUP(A3358,Studies!A:BR,5,FALSE),"")</f>
        <v>Midazolam</v>
      </c>
      <c r="F3358" s="207" t="str">
        <f>IF(AND(A3358&lt;&gt;"",ISNUMBER(A3358)),VLOOKUP(A3358,Studies!A:BR,6,FALSE),"")</f>
        <v>Plasma</v>
      </c>
      <c r="G3358" s="194">
        <v>180</v>
      </c>
      <c r="H3358" s="194" t="s">
        <v>1041</v>
      </c>
      <c r="I3358" s="187">
        <v>10.834350000000001</v>
      </c>
      <c r="J3358" s="187" t="s">
        <v>1026</v>
      </c>
      <c r="K3358" s="187" t="s">
        <v>116</v>
      </c>
      <c r="L3358" s="195">
        <v>3.4694829999999999</v>
      </c>
      <c r="M3358" s="195" t="s">
        <v>1026</v>
      </c>
      <c r="N3358" s="195" t="s">
        <v>117</v>
      </c>
      <c r="O3358" s="199">
        <v>0.05</v>
      </c>
      <c r="P3358" s="188"/>
      <c r="Q3358" s="174">
        <f>IF(ISNUMBER(VLOOKUP(A3358,NotghiID!A:A,1,FALSE)),1,0)</f>
        <v>1</v>
      </c>
    </row>
    <row r="3359" spans="1:17" ht="14.25" x14ac:dyDescent="0.2">
      <c r="A3359" s="189">
        <v>343</v>
      </c>
      <c r="B3359" s="232" t="str">
        <f>IF(AND(A3359&lt;&gt;"",ISNUMBER(A3359)),VLOOKUP(A3359,Studies!A:BR,2,FALSE),"")</f>
        <v>Link 2008</v>
      </c>
      <c r="C3359" s="232" t="str">
        <f>IF(AND(A3359&lt;&gt;"",ISNUMBER(A3359)),VLOOKUP(A3359,Studies!A:BR,3,FALSE),"")</f>
        <v>https://www.ncbi.nlm.nih.gov/pubmed/18537963</v>
      </c>
      <c r="D3359" s="232" t="str">
        <f>IF(AND(A3359&lt;&gt;"",ISNUMBER(A3359)),VLOOKUP(A3359,Studies!A:BR,4,FALSE),"")</f>
        <v>po Control (Perpetrator Placebo)</v>
      </c>
      <c r="E3359" s="206" t="str">
        <f>IF(AND(A3359&lt;&gt;"",ISNUMBER(A3359)),VLOOKUP(A3359,Studies!A:BR,5,FALSE),"")</f>
        <v>Midazolam</v>
      </c>
      <c r="F3359" s="207" t="str">
        <f>IF(AND(A3359&lt;&gt;"",ISNUMBER(A3359)),VLOOKUP(A3359,Studies!A:BR,6,FALSE),"")</f>
        <v>Plasma</v>
      </c>
      <c r="G3359" s="194">
        <v>240</v>
      </c>
      <c r="H3359" s="194" t="s">
        <v>1041</v>
      </c>
      <c r="I3359" s="187">
        <v>7.5340790000000002</v>
      </c>
      <c r="J3359" s="187" t="s">
        <v>1026</v>
      </c>
      <c r="K3359" s="187" t="s">
        <v>116</v>
      </c>
      <c r="L3359" s="195">
        <v>2.2023359999999998</v>
      </c>
      <c r="M3359" s="195" t="s">
        <v>1026</v>
      </c>
      <c r="N3359" s="195" t="s">
        <v>117</v>
      </c>
      <c r="O3359" s="199">
        <v>0.05</v>
      </c>
      <c r="P3359" s="188"/>
      <c r="Q3359" s="174">
        <f>IF(ISNUMBER(VLOOKUP(A3359,NotghiID!A:A,1,FALSE)),1,0)</f>
        <v>1</v>
      </c>
    </row>
    <row r="3360" spans="1:17" ht="14.25" x14ac:dyDescent="0.2">
      <c r="A3360" s="189">
        <v>343</v>
      </c>
      <c r="B3360" s="232" t="str">
        <f>IF(AND(A3360&lt;&gt;"",ISNUMBER(A3360)),VLOOKUP(A3360,Studies!A:BR,2,FALSE),"")</f>
        <v>Link 2008</v>
      </c>
      <c r="C3360" s="232" t="str">
        <f>IF(AND(A3360&lt;&gt;"",ISNUMBER(A3360)),VLOOKUP(A3360,Studies!A:BR,3,FALSE),"")</f>
        <v>https://www.ncbi.nlm.nih.gov/pubmed/18537963</v>
      </c>
      <c r="D3360" s="232" t="str">
        <f>IF(AND(A3360&lt;&gt;"",ISNUMBER(A3360)),VLOOKUP(A3360,Studies!A:BR,4,FALSE),"")</f>
        <v>po Control (Perpetrator Placebo)</v>
      </c>
      <c r="E3360" s="206" t="str">
        <f>IF(AND(A3360&lt;&gt;"",ISNUMBER(A3360)),VLOOKUP(A3360,Studies!A:BR,5,FALSE),"")</f>
        <v>Midazolam</v>
      </c>
      <c r="F3360" s="207" t="str">
        <f>IF(AND(A3360&lt;&gt;"",ISNUMBER(A3360)),VLOOKUP(A3360,Studies!A:BR,6,FALSE),"")</f>
        <v>Plasma</v>
      </c>
      <c r="G3360" s="194">
        <v>360</v>
      </c>
      <c r="H3360" s="194" t="s">
        <v>1041</v>
      </c>
      <c r="I3360" s="187">
        <v>3.9683310000000001</v>
      </c>
      <c r="J3360" s="187" t="s">
        <v>1026</v>
      </c>
      <c r="K3360" s="187" t="s">
        <v>116</v>
      </c>
      <c r="L3360" s="195">
        <v>1.1600090000000001</v>
      </c>
      <c r="M3360" s="195" t="s">
        <v>1026</v>
      </c>
      <c r="N3360" s="195" t="s">
        <v>117</v>
      </c>
      <c r="O3360" s="199">
        <v>0.05</v>
      </c>
      <c r="P3360" s="188"/>
      <c r="Q3360" s="174">
        <f>IF(ISNUMBER(VLOOKUP(A3360,NotghiID!A:A,1,FALSE)),1,0)</f>
        <v>1</v>
      </c>
    </row>
    <row r="3361" spans="1:17" ht="14.25" x14ac:dyDescent="0.2">
      <c r="A3361" s="189">
        <v>343</v>
      </c>
      <c r="B3361" s="232" t="str">
        <f>IF(AND(A3361&lt;&gt;"",ISNUMBER(A3361)),VLOOKUP(A3361,Studies!A:BR,2,FALSE),"")</f>
        <v>Link 2008</v>
      </c>
      <c r="C3361" s="232" t="str">
        <f>IF(AND(A3361&lt;&gt;"",ISNUMBER(A3361)),VLOOKUP(A3361,Studies!A:BR,3,FALSE),"")</f>
        <v>https://www.ncbi.nlm.nih.gov/pubmed/18537963</v>
      </c>
      <c r="D3361" s="232" t="str">
        <f>IF(AND(A3361&lt;&gt;"",ISNUMBER(A3361)),VLOOKUP(A3361,Studies!A:BR,4,FALSE),"")</f>
        <v>po Control (Perpetrator Placebo)</v>
      </c>
      <c r="E3361" s="206" t="str">
        <f>IF(AND(A3361&lt;&gt;"",ISNUMBER(A3361)),VLOOKUP(A3361,Studies!A:BR,5,FALSE),"")</f>
        <v>Midazolam</v>
      </c>
      <c r="F3361" s="207" t="str">
        <f>IF(AND(A3361&lt;&gt;"",ISNUMBER(A3361)),VLOOKUP(A3361,Studies!A:BR,6,FALSE),"")</f>
        <v>Plasma</v>
      </c>
      <c r="G3361" s="194">
        <v>480</v>
      </c>
      <c r="H3361" s="194" t="s">
        <v>1041</v>
      </c>
      <c r="I3361" s="187">
        <v>2.0459960000000001</v>
      </c>
      <c r="J3361" s="187" t="s">
        <v>1026</v>
      </c>
      <c r="K3361" s="187" t="s">
        <v>116</v>
      </c>
      <c r="L3361" s="195">
        <v>0.89624000000000004</v>
      </c>
      <c r="M3361" s="195" t="s">
        <v>1026</v>
      </c>
      <c r="N3361" s="195" t="s">
        <v>117</v>
      </c>
      <c r="O3361" s="199">
        <v>0.05</v>
      </c>
      <c r="P3361" s="188"/>
      <c r="Q3361" s="174">
        <f>IF(ISNUMBER(VLOOKUP(A3361,NotghiID!A:A,1,FALSE)),1,0)</f>
        <v>1</v>
      </c>
    </row>
    <row r="3362" spans="1:17" ht="14.25" x14ac:dyDescent="0.2">
      <c r="A3362" s="189">
        <v>343</v>
      </c>
      <c r="B3362" s="232" t="str">
        <f>IF(AND(A3362&lt;&gt;"",ISNUMBER(A3362)),VLOOKUP(A3362,Studies!A:BR,2,FALSE),"")</f>
        <v>Link 2008</v>
      </c>
      <c r="C3362" s="232" t="str">
        <f>IF(AND(A3362&lt;&gt;"",ISNUMBER(A3362)),VLOOKUP(A3362,Studies!A:BR,3,FALSE),"")</f>
        <v>https://www.ncbi.nlm.nih.gov/pubmed/18537963</v>
      </c>
      <c r="D3362" s="232" t="str">
        <f>IF(AND(A3362&lt;&gt;"",ISNUMBER(A3362)),VLOOKUP(A3362,Studies!A:BR,4,FALSE),"")</f>
        <v>po Control (Perpetrator Placebo)</v>
      </c>
      <c r="E3362" s="206" t="str">
        <f>IF(AND(A3362&lt;&gt;"",ISNUMBER(A3362)),VLOOKUP(A3362,Studies!A:BR,5,FALSE),"")</f>
        <v>Midazolam</v>
      </c>
      <c r="F3362" s="207" t="str">
        <f>IF(AND(A3362&lt;&gt;"",ISNUMBER(A3362)),VLOOKUP(A3362,Studies!A:BR,6,FALSE),"")</f>
        <v>Plasma</v>
      </c>
      <c r="G3362" s="194">
        <v>600</v>
      </c>
      <c r="H3362" s="194" t="s">
        <v>1041</v>
      </c>
      <c r="I3362" s="187">
        <v>1.2785820000000001</v>
      </c>
      <c r="J3362" s="187" t="s">
        <v>1026</v>
      </c>
      <c r="K3362" s="187" t="s">
        <v>116</v>
      </c>
      <c r="L3362" s="195">
        <v>0.64036360000000003</v>
      </c>
      <c r="M3362" s="195" t="s">
        <v>1026</v>
      </c>
      <c r="N3362" s="195" t="s">
        <v>117</v>
      </c>
      <c r="O3362" s="199">
        <v>0.05</v>
      </c>
      <c r="P3362" s="188"/>
      <c r="Q3362" s="174">
        <f>IF(ISNUMBER(VLOOKUP(A3362,NotghiID!A:A,1,FALSE)),1,0)</f>
        <v>1</v>
      </c>
    </row>
    <row r="3363" spans="1:17" ht="14.25" x14ac:dyDescent="0.2">
      <c r="A3363" s="189">
        <v>343</v>
      </c>
      <c r="B3363" s="232" t="str">
        <f>IF(AND(A3363&lt;&gt;"",ISNUMBER(A3363)),VLOOKUP(A3363,Studies!A:BR,2,FALSE),"")</f>
        <v>Link 2008</v>
      </c>
      <c r="C3363" s="232" t="str">
        <f>IF(AND(A3363&lt;&gt;"",ISNUMBER(A3363)),VLOOKUP(A3363,Studies!A:BR,3,FALSE),"")</f>
        <v>https://www.ncbi.nlm.nih.gov/pubmed/18537963</v>
      </c>
      <c r="D3363" s="232" t="str">
        <f>IF(AND(A3363&lt;&gt;"",ISNUMBER(A3363)),VLOOKUP(A3363,Studies!A:BR,4,FALSE),"")</f>
        <v>po Control (Perpetrator Placebo)</v>
      </c>
      <c r="E3363" s="206" t="str">
        <f>IF(AND(A3363&lt;&gt;"",ISNUMBER(A3363)),VLOOKUP(A3363,Studies!A:BR,5,FALSE),"")</f>
        <v>Midazolam</v>
      </c>
      <c r="F3363" s="207" t="str">
        <f>IF(AND(A3363&lt;&gt;"",ISNUMBER(A3363)),VLOOKUP(A3363,Studies!A:BR,6,FALSE),"")</f>
        <v>Plasma</v>
      </c>
      <c r="G3363" s="194">
        <v>1440</v>
      </c>
      <c r="H3363" s="194" t="s">
        <v>1041</v>
      </c>
      <c r="I3363" s="187">
        <v>0.1142891</v>
      </c>
      <c r="J3363" s="187" t="s">
        <v>1026</v>
      </c>
      <c r="K3363" s="187" t="s">
        <v>116</v>
      </c>
      <c r="L3363" s="195">
        <v>9.361614E-2</v>
      </c>
      <c r="M3363" s="195" t="s">
        <v>1026</v>
      </c>
      <c r="N3363" s="195" t="s">
        <v>117</v>
      </c>
      <c r="O3363" s="199">
        <v>0.05</v>
      </c>
      <c r="P3363" s="188"/>
      <c r="Q3363" s="174">
        <f>IF(ISNUMBER(VLOOKUP(A3363,NotghiID!A:A,1,FALSE)),1,0)</f>
        <v>1</v>
      </c>
    </row>
    <row r="3364" spans="1:17" ht="14.25" x14ac:dyDescent="0.2">
      <c r="A3364" s="189">
        <v>344</v>
      </c>
      <c r="B3364" s="232" t="str">
        <f>IF(AND(A3364&lt;&gt;"",ISNUMBER(A3364)),VLOOKUP(A3364,Studies!A:BR,2,FALSE),"")</f>
        <v>Link 2008</v>
      </c>
      <c r="C3364" s="232" t="str">
        <f>IF(AND(A3364&lt;&gt;"",ISNUMBER(A3364)),VLOOKUP(A3364,Studies!A:BR,3,FALSE),"")</f>
        <v>https://www.ncbi.nlm.nih.gov/pubmed/18537963</v>
      </c>
      <c r="D3364" s="232" t="str">
        <f>IF(AND(A3364&lt;&gt;"",ISNUMBER(A3364)),VLOOKUP(A3364,Studies!A:BR,4,FALSE),"")</f>
        <v>po with Perpetrator (Rifampicin)</v>
      </c>
      <c r="E3364" s="206" t="str">
        <f>IF(AND(A3364&lt;&gt;"",ISNUMBER(A3364)),VLOOKUP(A3364,Studies!A:BR,5,FALSE),"")</f>
        <v>Midazolam</v>
      </c>
      <c r="F3364" s="207" t="str">
        <f>IF(AND(A3364&lt;&gt;"",ISNUMBER(A3364)),VLOOKUP(A3364,Studies!A:BR,6,FALSE),"")</f>
        <v>Plasma</v>
      </c>
      <c r="G3364" s="194">
        <v>8650</v>
      </c>
      <c r="H3364" s="194" t="s">
        <v>1041</v>
      </c>
      <c r="I3364" s="187">
        <v>0.55562219999999996</v>
      </c>
      <c r="J3364" s="187" t="s">
        <v>1026</v>
      </c>
      <c r="K3364" s="187" t="s">
        <v>116</v>
      </c>
      <c r="L3364" s="195">
        <v>0.56909690000000002</v>
      </c>
      <c r="M3364" s="195" t="s">
        <v>1026</v>
      </c>
      <c r="N3364" s="195" t="s">
        <v>117</v>
      </c>
      <c r="O3364" s="199">
        <v>0.05</v>
      </c>
      <c r="P3364" s="188"/>
      <c r="Q3364" s="174">
        <f>IF(ISNUMBER(VLOOKUP(A3364,NotghiID!A:A,1,FALSE)),1,0)</f>
        <v>1</v>
      </c>
    </row>
    <row r="3365" spans="1:17" ht="14.25" x14ac:dyDescent="0.2">
      <c r="A3365" s="189">
        <v>344</v>
      </c>
      <c r="B3365" s="232" t="str">
        <f>IF(AND(A3365&lt;&gt;"",ISNUMBER(A3365)),VLOOKUP(A3365,Studies!A:BR,2,FALSE),"")</f>
        <v>Link 2008</v>
      </c>
      <c r="C3365" s="232" t="str">
        <f>IF(AND(A3365&lt;&gt;"",ISNUMBER(A3365)),VLOOKUP(A3365,Studies!A:BR,3,FALSE),"")</f>
        <v>https://www.ncbi.nlm.nih.gov/pubmed/18537963</v>
      </c>
      <c r="D3365" s="232" t="str">
        <f>IF(AND(A3365&lt;&gt;"",ISNUMBER(A3365)),VLOOKUP(A3365,Studies!A:BR,4,FALSE),"")</f>
        <v>po with Perpetrator (Rifampicin)</v>
      </c>
      <c r="E3365" s="206" t="str">
        <f>IF(AND(A3365&lt;&gt;"",ISNUMBER(A3365)),VLOOKUP(A3365,Studies!A:BR,5,FALSE),"")</f>
        <v>Midazolam</v>
      </c>
      <c r="F3365" s="207" t="str">
        <f>IF(AND(A3365&lt;&gt;"",ISNUMBER(A3365)),VLOOKUP(A3365,Studies!A:BR,6,FALSE),"")</f>
        <v>Plasma</v>
      </c>
      <c r="G3365" s="194">
        <v>8660</v>
      </c>
      <c r="H3365" s="194" t="s">
        <v>1041</v>
      </c>
      <c r="I3365" s="187">
        <v>2.5334500000000002</v>
      </c>
      <c r="J3365" s="187" t="s">
        <v>1026</v>
      </c>
      <c r="K3365" s="187" t="s">
        <v>116</v>
      </c>
      <c r="L3365" s="195">
        <v>3.17319</v>
      </c>
      <c r="M3365" s="195" t="s">
        <v>1026</v>
      </c>
      <c r="N3365" s="195" t="s">
        <v>117</v>
      </c>
      <c r="O3365" s="199">
        <v>0.05</v>
      </c>
      <c r="P3365" s="188"/>
      <c r="Q3365" s="174">
        <f>IF(ISNUMBER(VLOOKUP(A3365,NotghiID!A:A,1,FALSE)),1,0)</f>
        <v>1</v>
      </c>
    </row>
    <row r="3366" spans="1:17" ht="14.25" x14ac:dyDescent="0.2">
      <c r="A3366" s="189">
        <v>344</v>
      </c>
      <c r="B3366" s="232" t="str">
        <f>IF(AND(A3366&lt;&gt;"",ISNUMBER(A3366)),VLOOKUP(A3366,Studies!A:BR,2,FALSE),"")</f>
        <v>Link 2008</v>
      </c>
      <c r="C3366" s="232" t="str">
        <f>IF(AND(A3366&lt;&gt;"",ISNUMBER(A3366)),VLOOKUP(A3366,Studies!A:BR,3,FALSE),"")</f>
        <v>https://www.ncbi.nlm.nih.gov/pubmed/18537963</v>
      </c>
      <c r="D3366" s="232" t="str">
        <f>IF(AND(A3366&lt;&gt;"",ISNUMBER(A3366)),VLOOKUP(A3366,Studies!A:BR,4,FALSE),"")</f>
        <v>po with Perpetrator (Rifampicin)</v>
      </c>
      <c r="E3366" s="206" t="str">
        <f>IF(AND(A3366&lt;&gt;"",ISNUMBER(A3366)),VLOOKUP(A3366,Studies!A:BR,5,FALSE),"")</f>
        <v>Midazolam</v>
      </c>
      <c r="F3366" s="207" t="str">
        <f>IF(AND(A3366&lt;&gt;"",ISNUMBER(A3366)),VLOOKUP(A3366,Studies!A:BR,6,FALSE),"")</f>
        <v>Plasma</v>
      </c>
      <c r="G3366" s="194">
        <v>8670</v>
      </c>
      <c r="H3366" s="194" t="s">
        <v>1041</v>
      </c>
      <c r="I3366" s="187">
        <v>1.6880219999999999</v>
      </c>
      <c r="J3366" s="187" t="s">
        <v>1026</v>
      </c>
      <c r="K3366" s="187" t="s">
        <v>116</v>
      </c>
      <c r="L3366" s="195">
        <v>1.2542139999999999</v>
      </c>
      <c r="M3366" s="195" t="s">
        <v>1026</v>
      </c>
      <c r="N3366" s="195" t="s">
        <v>117</v>
      </c>
      <c r="O3366" s="199">
        <v>0.05</v>
      </c>
      <c r="P3366" s="188"/>
      <c r="Q3366" s="174">
        <f>IF(ISNUMBER(VLOOKUP(A3366,NotghiID!A:A,1,FALSE)),1,0)</f>
        <v>1</v>
      </c>
    </row>
    <row r="3367" spans="1:17" ht="14.25" x14ac:dyDescent="0.2">
      <c r="A3367" s="189">
        <v>344</v>
      </c>
      <c r="B3367" s="232" t="str">
        <f>IF(AND(A3367&lt;&gt;"",ISNUMBER(A3367)),VLOOKUP(A3367,Studies!A:BR,2,FALSE),"")</f>
        <v>Link 2008</v>
      </c>
      <c r="C3367" s="232" t="str">
        <f>IF(AND(A3367&lt;&gt;"",ISNUMBER(A3367)),VLOOKUP(A3367,Studies!A:BR,3,FALSE),"")</f>
        <v>https://www.ncbi.nlm.nih.gov/pubmed/18537963</v>
      </c>
      <c r="D3367" s="232" t="str">
        <f>IF(AND(A3367&lt;&gt;"",ISNUMBER(A3367)),VLOOKUP(A3367,Studies!A:BR,4,FALSE),"")</f>
        <v>po with Perpetrator (Rifampicin)</v>
      </c>
      <c r="E3367" s="206" t="str">
        <f>IF(AND(A3367&lt;&gt;"",ISNUMBER(A3367)),VLOOKUP(A3367,Studies!A:BR,5,FALSE),"")</f>
        <v>Midazolam</v>
      </c>
      <c r="F3367" s="207" t="str">
        <f>IF(AND(A3367&lt;&gt;"",ISNUMBER(A3367)),VLOOKUP(A3367,Studies!A:BR,6,FALSE),"")</f>
        <v>Plasma</v>
      </c>
      <c r="G3367" s="194">
        <v>8680</v>
      </c>
      <c r="H3367" s="194" t="s">
        <v>1041</v>
      </c>
      <c r="I3367" s="187">
        <v>1.5832010000000001</v>
      </c>
      <c r="J3367" s="187" t="s">
        <v>1026</v>
      </c>
      <c r="K3367" s="187" t="s">
        <v>116</v>
      </c>
      <c r="L3367" s="195">
        <v>1.296827</v>
      </c>
      <c r="M3367" s="195" t="s">
        <v>1026</v>
      </c>
      <c r="N3367" s="195" t="s">
        <v>117</v>
      </c>
      <c r="O3367" s="199">
        <v>0.05</v>
      </c>
      <c r="P3367" s="188"/>
      <c r="Q3367" s="174">
        <f>IF(ISNUMBER(VLOOKUP(A3367,NotghiID!A:A,1,FALSE)),1,0)</f>
        <v>1</v>
      </c>
    </row>
    <row r="3368" spans="1:17" ht="14.25" x14ac:dyDescent="0.2">
      <c r="A3368" s="189">
        <v>344</v>
      </c>
      <c r="B3368" s="232" t="str">
        <f>IF(AND(A3368&lt;&gt;"",ISNUMBER(A3368)),VLOOKUP(A3368,Studies!A:BR,2,FALSE),"")</f>
        <v>Link 2008</v>
      </c>
      <c r="C3368" s="232" t="str">
        <f>IF(AND(A3368&lt;&gt;"",ISNUMBER(A3368)),VLOOKUP(A3368,Studies!A:BR,3,FALSE),"")</f>
        <v>https://www.ncbi.nlm.nih.gov/pubmed/18537963</v>
      </c>
      <c r="D3368" s="232" t="str">
        <f>IF(AND(A3368&lt;&gt;"",ISNUMBER(A3368)),VLOOKUP(A3368,Studies!A:BR,4,FALSE),"")</f>
        <v>po with Perpetrator (Rifampicin)</v>
      </c>
      <c r="E3368" s="206" t="str">
        <f>IF(AND(A3368&lt;&gt;"",ISNUMBER(A3368)),VLOOKUP(A3368,Studies!A:BR,5,FALSE),"")</f>
        <v>Midazolam</v>
      </c>
      <c r="F3368" s="207" t="str">
        <f>IF(AND(A3368&lt;&gt;"",ISNUMBER(A3368)),VLOOKUP(A3368,Studies!A:BR,6,FALSE),"")</f>
        <v>Plasma</v>
      </c>
      <c r="G3368" s="194">
        <v>8700</v>
      </c>
      <c r="H3368" s="194" t="s">
        <v>1041</v>
      </c>
      <c r="I3368" s="187">
        <v>1.363235</v>
      </c>
      <c r="J3368" s="187" t="s">
        <v>1026</v>
      </c>
      <c r="K3368" s="187" t="s">
        <v>116</v>
      </c>
      <c r="L3368" s="195">
        <v>1.773803</v>
      </c>
      <c r="M3368" s="195" t="s">
        <v>1026</v>
      </c>
      <c r="N3368" s="195" t="s">
        <v>117</v>
      </c>
      <c r="O3368" s="199">
        <v>0.05</v>
      </c>
      <c r="P3368" s="188"/>
      <c r="Q3368" s="174">
        <f>IF(ISNUMBER(VLOOKUP(A3368,NotghiID!A:A,1,FALSE)),1,0)</f>
        <v>1</v>
      </c>
    </row>
    <row r="3369" spans="1:17" ht="14.25" x14ac:dyDescent="0.2">
      <c r="A3369" s="189">
        <v>344</v>
      </c>
      <c r="B3369" s="232" t="str">
        <f>IF(AND(A3369&lt;&gt;"",ISNUMBER(A3369)),VLOOKUP(A3369,Studies!A:BR,2,FALSE),"")</f>
        <v>Link 2008</v>
      </c>
      <c r="C3369" s="232" t="str">
        <f>IF(AND(A3369&lt;&gt;"",ISNUMBER(A3369)),VLOOKUP(A3369,Studies!A:BR,3,FALSE),"")</f>
        <v>https://www.ncbi.nlm.nih.gov/pubmed/18537963</v>
      </c>
      <c r="D3369" s="232" t="str">
        <f>IF(AND(A3369&lt;&gt;"",ISNUMBER(A3369)),VLOOKUP(A3369,Studies!A:BR,4,FALSE),"")</f>
        <v>po with Perpetrator (Rifampicin)</v>
      </c>
      <c r="E3369" s="206" t="str">
        <f>IF(AND(A3369&lt;&gt;"",ISNUMBER(A3369)),VLOOKUP(A3369,Studies!A:BR,5,FALSE),"")</f>
        <v>Midazolam</v>
      </c>
      <c r="F3369" s="207" t="str">
        <f>IF(AND(A3369&lt;&gt;"",ISNUMBER(A3369)),VLOOKUP(A3369,Studies!A:BR,6,FALSE),"")</f>
        <v>Plasma</v>
      </c>
      <c r="G3369" s="194">
        <v>8730</v>
      </c>
      <c r="H3369" s="194" t="s">
        <v>1041</v>
      </c>
      <c r="I3369" s="187">
        <v>0.65921260000000004</v>
      </c>
      <c r="J3369" s="187" t="s">
        <v>1026</v>
      </c>
      <c r="K3369" s="187" t="s">
        <v>116</v>
      </c>
      <c r="L3369" s="195">
        <v>0.76354940000000004</v>
      </c>
      <c r="M3369" s="195" t="s">
        <v>1026</v>
      </c>
      <c r="N3369" s="195" t="s">
        <v>117</v>
      </c>
      <c r="O3369" s="199">
        <v>0.05</v>
      </c>
      <c r="P3369" s="188"/>
      <c r="Q3369" s="174">
        <f>IF(ISNUMBER(VLOOKUP(A3369,NotghiID!A:A,1,FALSE)),1,0)</f>
        <v>1</v>
      </c>
    </row>
    <row r="3370" spans="1:17" ht="14.25" x14ac:dyDescent="0.2">
      <c r="A3370" s="189">
        <v>344</v>
      </c>
      <c r="B3370" s="232" t="str">
        <f>IF(AND(A3370&lt;&gt;"",ISNUMBER(A3370)),VLOOKUP(A3370,Studies!A:BR,2,FALSE),"")</f>
        <v>Link 2008</v>
      </c>
      <c r="C3370" s="232" t="str">
        <f>IF(AND(A3370&lt;&gt;"",ISNUMBER(A3370)),VLOOKUP(A3370,Studies!A:BR,3,FALSE),"")</f>
        <v>https://www.ncbi.nlm.nih.gov/pubmed/18537963</v>
      </c>
      <c r="D3370" s="232" t="str">
        <f>IF(AND(A3370&lt;&gt;"",ISNUMBER(A3370)),VLOOKUP(A3370,Studies!A:BR,4,FALSE),"")</f>
        <v>po with Perpetrator (Rifampicin)</v>
      </c>
      <c r="E3370" s="206" t="str">
        <f>IF(AND(A3370&lt;&gt;"",ISNUMBER(A3370)),VLOOKUP(A3370,Studies!A:BR,5,FALSE),"")</f>
        <v>Midazolam</v>
      </c>
      <c r="F3370" s="207" t="str">
        <f>IF(AND(A3370&lt;&gt;"",ISNUMBER(A3370)),VLOOKUP(A3370,Studies!A:BR,6,FALSE),"")</f>
        <v>Plasma</v>
      </c>
      <c r="G3370" s="194">
        <v>8760</v>
      </c>
      <c r="H3370" s="194" t="s">
        <v>1041</v>
      </c>
      <c r="I3370" s="187">
        <v>0.31203229999999998</v>
      </c>
      <c r="J3370" s="187" t="s">
        <v>1026</v>
      </c>
      <c r="K3370" s="187" t="s">
        <v>116</v>
      </c>
      <c r="L3370" s="195">
        <v>0.26785160000000002</v>
      </c>
      <c r="M3370" s="195" t="s">
        <v>1026</v>
      </c>
      <c r="N3370" s="195" t="s">
        <v>117</v>
      </c>
      <c r="O3370" s="199">
        <v>0.05</v>
      </c>
      <c r="P3370" s="188"/>
      <c r="Q3370" s="174">
        <f>IF(ISNUMBER(VLOOKUP(A3370,NotghiID!A:A,1,FALSE)),1,0)</f>
        <v>1</v>
      </c>
    </row>
    <row r="3371" spans="1:17" ht="14.25" x14ac:dyDescent="0.2">
      <c r="A3371" s="189">
        <v>344</v>
      </c>
      <c r="B3371" s="232" t="str">
        <f>IF(AND(A3371&lt;&gt;"",ISNUMBER(A3371)),VLOOKUP(A3371,Studies!A:BR,2,FALSE),"")</f>
        <v>Link 2008</v>
      </c>
      <c r="C3371" s="232" t="str">
        <f>IF(AND(A3371&lt;&gt;"",ISNUMBER(A3371)),VLOOKUP(A3371,Studies!A:BR,3,FALSE),"")</f>
        <v>https://www.ncbi.nlm.nih.gov/pubmed/18537963</v>
      </c>
      <c r="D3371" s="232" t="str">
        <f>IF(AND(A3371&lt;&gt;"",ISNUMBER(A3371)),VLOOKUP(A3371,Studies!A:BR,4,FALSE),"")</f>
        <v>po with Perpetrator (Rifampicin)</v>
      </c>
      <c r="E3371" s="206" t="str">
        <f>IF(AND(A3371&lt;&gt;"",ISNUMBER(A3371)),VLOOKUP(A3371,Studies!A:BR,5,FALSE),"")</f>
        <v>Midazolam</v>
      </c>
      <c r="F3371" s="207" t="str">
        <f>IF(AND(A3371&lt;&gt;"",ISNUMBER(A3371)),VLOOKUP(A3371,Studies!A:BR,6,FALSE),"")</f>
        <v>Plasma</v>
      </c>
      <c r="G3371" s="194">
        <v>8820</v>
      </c>
      <c r="H3371" s="194" t="s">
        <v>1041</v>
      </c>
      <c r="I3371" s="187">
        <v>0.12992390000000001</v>
      </c>
      <c r="J3371" s="187" t="s">
        <v>1026</v>
      </c>
      <c r="K3371" s="187" t="s">
        <v>116</v>
      </c>
      <c r="L3371" s="195">
        <v>7.3585600000000001E-2</v>
      </c>
      <c r="M3371" s="195" t="s">
        <v>1026</v>
      </c>
      <c r="N3371" s="195" t="s">
        <v>117</v>
      </c>
      <c r="O3371" s="199">
        <v>0.05</v>
      </c>
      <c r="P3371" s="188"/>
      <c r="Q3371" s="174">
        <f>IF(ISNUMBER(VLOOKUP(A3371,NotghiID!A:A,1,FALSE)),1,0)</f>
        <v>1</v>
      </c>
    </row>
    <row r="3372" spans="1:17" ht="14.25" x14ac:dyDescent="0.2">
      <c r="A3372" s="189">
        <v>344</v>
      </c>
      <c r="B3372" s="232" t="str">
        <f>IF(AND(A3372&lt;&gt;"",ISNUMBER(A3372)),VLOOKUP(A3372,Studies!A:BR,2,FALSE),"")</f>
        <v>Link 2008</v>
      </c>
      <c r="C3372" s="232" t="str">
        <f>IF(AND(A3372&lt;&gt;"",ISNUMBER(A3372)),VLOOKUP(A3372,Studies!A:BR,3,FALSE),"")</f>
        <v>https://www.ncbi.nlm.nih.gov/pubmed/18537963</v>
      </c>
      <c r="D3372" s="232" t="str">
        <f>IF(AND(A3372&lt;&gt;"",ISNUMBER(A3372)),VLOOKUP(A3372,Studies!A:BR,4,FALSE),"")</f>
        <v>po with Perpetrator (Rifampicin)</v>
      </c>
      <c r="E3372" s="206" t="str">
        <f>IF(AND(A3372&lt;&gt;"",ISNUMBER(A3372)),VLOOKUP(A3372,Studies!A:BR,5,FALSE),"")</f>
        <v>Midazolam</v>
      </c>
      <c r="F3372" s="207" t="str">
        <f>IF(AND(A3372&lt;&gt;"",ISNUMBER(A3372)),VLOOKUP(A3372,Studies!A:BR,6,FALSE),"")</f>
        <v>Plasma</v>
      </c>
      <c r="G3372" s="194">
        <v>8880</v>
      </c>
      <c r="H3372" s="194" t="s">
        <v>1041</v>
      </c>
      <c r="I3372" s="187">
        <v>8.2945630000000006E-2</v>
      </c>
      <c r="J3372" s="187" t="s">
        <v>1026</v>
      </c>
      <c r="K3372" s="187" t="s">
        <v>116</v>
      </c>
      <c r="L3372" s="195">
        <v>3.8910350000000003E-2</v>
      </c>
      <c r="M3372" s="195" t="s">
        <v>1026</v>
      </c>
      <c r="N3372" s="195" t="s">
        <v>117</v>
      </c>
      <c r="O3372" s="199">
        <v>0.05</v>
      </c>
      <c r="P3372" s="188"/>
      <c r="Q3372" s="174">
        <f>IF(ISNUMBER(VLOOKUP(A3372,NotghiID!A:A,1,FALSE)),1,0)</f>
        <v>1</v>
      </c>
    </row>
    <row r="3373" spans="1:17" ht="14.25" x14ac:dyDescent="0.2">
      <c r="A3373" s="189">
        <v>344</v>
      </c>
      <c r="B3373" s="232" t="str">
        <f>IF(AND(A3373&lt;&gt;"",ISNUMBER(A3373)),VLOOKUP(A3373,Studies!A:BR,2,FALSE),"")</f>
        <v>Link 2008</v>
      </c>
      <c r="C3373" s="232" t="str">
        <f>IF(AND(A3373&lt;&gt;"",ISNUMBER(A3373)),VLOOKUP(A3373,Studies!A:BR,3,FALSE),"")</f>
        <v>https://www.ncbi.nlm.nih.gov/pubmed/18537963</v>
      </c>
      <c r="D3373" s="232" t="str">
        <f>IF(AND(A3373&lt;&gt;"",ISNUMBER(A3373)),VLOOKUP(A3373,Studies!A:BR,4,FALSE),"")</f>
        <v>po with Perpetrator (Rifampicin)</v>
      </c>
      <c r="E3373" s="206" t="str">
        <f>IF(AND(A3373&lt;&gt;"",ISNUMBER(A3373)),VLOOKUP(A3373,Studies!A:BR,5,FALSE),"")</f>
        <v>Midazolam</v>
      </c>
      <c r="F3373" s="207" t="str">
        <f>IF(AND(A3373&lt;&gt;"",ISNUMBER(A3373)),VLOOKUP(A3373,Studies!A:BR,6,FALSE),"")</f>
        <v>Plasma</v>
      </c>
      <c r="G3373" s="194">
        <v>9000</v>
      </c>
      <c r="H3373" s="194" t="s">
        <v>1041</v>
      </c>
      <c r="I3373" s="187">
        <v>6.2826640000000003E-2</v>
      </c>
      <c r="J3373" s="187" t="s">
        <v>1026</v>
      </c>
      <c r="K3373" s="187" t="s">
        <v>116</v>
      </c>
      <c r="L3373" s="195"/>
      <c r="M3373" s="195"/>
      <c r="N3373" s="195"/>
      <c r="O3373" s="199">
        <v>0.05</v>
      </c>
      <c r="P3373" s="188"/>
      <c r="Q3373" s="174">
        <f>IF(ISNUMBER(VLOOKUP(A3373,NotghiID!A:A,1,FALSE)),1,0)</f>
        <v>1</v>
      </c>
    </row>
    <row r="3374" spans="1:17" s="183" customFormat="1" x14ac:dyDescent="0.2">
      <c r="A3374" s="189">
        <v>383</v>
      </c>
      <c r="B3374" s="232" t="str">
        <f>IF(AND(A3374&lt;&gt;"",ISNUMBER(A3374)),VLOOKUP(A3374,Studies!A:BR,2,FALSE),"")</f>
        <v>Peloquin 1997</v>
      </c>
      <c r="C3374" s="232" t="str">
        <f>IF(AND(A3374&lt;&gt;"",ISNUMBER(A3374)),VLOOKUP(A3374,Studies!A:BR,3,FALSE),"")</f>
        <v>https://www.ncbi.nlm.nih.gov/pubmed/9420037</v>
      </c>
      <c r="D3374" s="232" t="str">
        <f>IF(AND(A3374&lt;&gt;"",ISNUMBER(A3374)),VLOOKUP(A3374,Studies!A:BR,4,FALSE),"")</f>
        <v>600 mg</v>
      </c>
      <c r="E3374" s="206" t="str">
        <f>IF(AND(A3374&lt;&gt;"",ISNUMBER(A3374)),VLOOKUP(A3374,Studies!A:BR,5,FALSE),"")</f>
        <v>Rifampicin</v>
      </c>
      <c r="F3374" s="207" t="str">
        <f>IF(AND(A3374&lt;&gt;"",ISNUMBER(A3374)),VLOOKUP(A3374,Studies!A:BR,6,FALSE),"")</f>
        <v>Plasma</v>
      </c>
      <c r="G3374" s="194">
        <v>0</v>
      </c>
      <c r="H3374" s="194" t="s">
        <v>60</v>
      </c>
      <c r="I3374" s="187" t="s">
        <v>1114</v>
      </c>
      <c r="J3374" s="187" t="s">
        <v>1054</v>
      </c>
      <c r="K3374" s="187" t="s">
        <v>116</v>
      </c>
      <c r="L3374" s="195"/>
      <c r="M3374" s="195"/>
      <c r="N3374" s="195"/>
      <c r="O3374" s="199">
        <v>0.4</v>
      </c>
      <c r="P3374" s="188"/>
    </row>
    <row r="3375" spans="1:17" s="183" customFormat="1" x14ac:dyDescent="0.2">
      <c r="A3375" s="189">
        <v>383</v>
      </c>
      <c r="B3375" s="232" t="str">
        <f>IF(AND(A3375&lt;&gt;"",ISNUMBER(A3375)),VLOOKUP(A3375,Studies!A:BR,2,FALSE),"")</f>
        <v>Peloquin 1997</v>
      </c>
      <c r="C3375" s="232" t="str">
        <f>IF(AND(A3375&lt;&gt;"",ISNUMBER(A3375)),VLOOKUP(A3375,Studies!A:BR,3,FALSE),"")</f>
        <v>https://www.ncbi.nlm.nih.gov/pubmed/9420037</v>
      </c>
      <c r="D3375" s="232" t="str">
        <f>IF(AND(A3375&lt;&gt;"",ISNUMBER(A3375)),VLOOKUP(A3375,Studies!A:BR,4,FALSE),"")</f>
        <v>600 mg</v>
      </c>
      <c r="E3375" s="206" t="str">
        <f>IF(AND(A3375&lt;&gt;"",ISNUMBER(A3375)),VLOOKUP(A3375,Studies!A:BR,5,FALSE),"")</f>
        <v>Rifampicin</v>
      </c>
      <c r="F3375" s="207" t="str">
        <f>IF(AND(A3375&lt;&gt;"",ISNUMBER(A3375)),VLOOKUP(A3375,Studies!A:BR,6,FALSE),"")</f>
        <v>Plasma</v>
      </c>
      <c r="G3375" s="194">
        <v>0.5</v>
      </c>
      <c r="H3375" s="194" t="s">
        <v>60</v>
      </c>
      <c r="I3375" s="187">
        <v>2.5764710000000002</v>
      </c>
      <c r="J3375" s="187" t="s">
        <v>1054</v>
      </c>
      <c r="K3375" s="187" t="s">
        <v>116</v>
      </c>
      <c r="L3375" s="195">
        <v>1.764705</v>
      </c>
      <c r="M3375" s="195" t="s">
        <v>1054</v>
      </c>
      <c r="N3375" s="195" t="s">
        <v>117</v>
      </c>
      <c r="O3375" s="199">
        <v>0.4</v>
      </c>
      <c r="P3375" s="188"/>
    </row>
    <row r="3376" spans="1:17" s="183" customFormat="1" x14ac:dyDescent="0.2">
      <c r="A3376" s="189">
        <v>383</v>
      </c>
      <c r="B3376" s="232" t="str">
        <f>IF(AND(A3376&lt;&gt;"",ISNUMBER(A3376)),VLOOKUP(A3376,Studies!A:BR,2,FALSE),"")</f>
        <v>Peloquin 1997</v>
      </c>
      <c r="C3376" s="232" t="str">
        <f>IF(AND(A3376&lt;&gt;"",ISNUMBER(A3376)),VLOOKUP(A3376,Studies!A:BR,3,FALSE),"")</f>
        <v>https://www.ncbi.nlm.nih.gov/pubmed/9420037</v>
      </c>
      <c r="D3376" s="232" t="str">
        <f>IF(AND(A3376&lt;&gt;"",ISNUMBER(A3376)),VLOOKUP(A3376,Studies!A:BR,4,FALSE),"")</f>
        <v>600 mg</v>
      </c>
      <c r="E3376" s="206" t="str">
        <f>IF(AND(A3376&lt;&gt;"",ISNUMBER(A3376)),VLOOKUP(A3376,Studies!A:BR,5,FALSE),"")</f>
        <v>Rifampicin</v>
      </c>
      <c r="F3376" s="207" t="str">
        <f>IF(AND(A3376&lt;&gt;"",ISNUMBER(A3376)),VLOOKUP(A3376,Studies!A:BR,6,FALSE),"")</f>
        <v>Plasma</v>
      </c>
      <c r="G3376" s="194">
        <v>1</v>
      </c>
      <c r="H3376" s="194" t="s">
        <v>60</v>
      </c>
      <c r="I3376" s="187">
        <v>10.44706</v>
      </c>
      <c r="J3376" s="187" t="s">
        <v>1054</v>
      </c>
      <c r="K3376" s="187" t="s">
        <v>116</v>
      </c>
      <c r="L3376" s="195">
        <v>4.9411750000000003</v>
      </c>
      <c r="M3376" s="195" t="s">
        <v>1054</v>
      </c>
      <c r="N3376" s="195" t="s">
        <v>117</v>
      </c>
      <c r="O3376" s="199">
        <v>0.4</v>
      </c>
      <c r="P3376" s="188"/>
    </row>
    <row r="3377" spans="1:17" s="183" customFormat="1" x14ac:dyDescent="0.2">
      <c r="A3377" s="189">
        <v>383</v>
      </c>
      <c r="B3377" s="232" t="str">
        <f>IF(AND(A3377&lt;&gt;"",ISNUMBER(A3377)),VLOOKUP(A3377,Studies!A:BR,2,FALSE),"")</f>
        <v>Peloquin 1997</v>
      </c>
      <c r="C3377" s="232" t="str">
        <f>IF(AND(A3377&lt;&gt;"",ISNUMBER(A3377)),VLOOKUP(A3377,Studies!A:BR,3,FALSE),"")</f>
        <v>https://www.ncbi.nlm.nih.gov/pubmed/9420037</v>
      </c>
      <c r="D3377" s="232" t="str">
        <f>IF(AND(A3377&lt;&gt;"",ISNUMBER(A3377)),VLOOKUP(A3377,Studies!A:BR,4,FALSE),"")</f>
        <v>600 mg</v>
      </c>
      <c r="E3377" s="206" t="str">
        <f>IF(AND(A3377&lt;&gt;"",ISNUMBER(A3377)),VLOOKUP(A3377,Studies!A:BR,5,FALSE),"")</f>
        <v>Rifampicin</v>
      </c>
      <c r="F3377" s="207" t="str">
        <f>IF(AND(A3377&lt;&gt;"",ISNUMBER(A3377)),VLOOKUP(A3377,Studies!A:BR,6,FALSE),"")</f>
        <v>Plasma</v>
      </c>
      <c r="G3377" s="194">
        <v>1.5</v>
      </c>
      <c r="H3377" s="194" t="s">
        <v>60</v>
      </c>
      <c r="I3377" s="187">
        <v>12.494120000000001</v>
      </c>
      <c r="J3377" s="187" t="s">
        <v>1054</v>
      </c>
      <c r="K3377" s="187" t="s">
        <v>116</v>
      </c>
      <c r="L3377" s="195">
        <v>4.0235269999999996</v>
      </c>
      <c r="M3377" s="195" t="s">
        <v>1054</v>
      </c>
      <c r="N3377" s="195" t="s">
        <v>117</v>
      </c>
      <c r="O3377" s="199">
        <v>0.4</v>
      </c>
      <c r="P3377" s="188"/>
    </row>
    <row r="3378" spans="1:17" s="183" customFormat="1" x14ac:dyDescent="0.2">
      <c r="A3378" s="189">
        <v>383</v>
      </c>
      <c r="B3378" s="232" t="str">
        <f>IF(AND(A3378&lt;&gt;"",ISNUMBER(A3378)),VLOOKUP(A3378,Studies!A:BR,2,FALSE),"")</f>
        <v>Peloquin 1997</v>
      </c>
      <c r="C3378" s="232" t="str">
        <f>IF(AND(A3378&lt;&gt;"",ISNUMBER(A3378)),VLOOKUP(A3378,Studies!A:BR,3,FALSE),"")</f>
        <v>https://www.ncbi.nlm.nih.gov/pubmed/9420037</v>
      </c>
      <c r="D3378" s="232" t="str">
        <f>IF(AND(A3378&lt;&gt;"",ISNUMBER(A3378)),VLOOKUP(A3378,Studies!A:BR,4,FALSE),"")</f>
        <v>600 mg</v>
      </c>
      <c r="E3378" s="206" t="str">
        <f>IF(AND(A3378&lt;&gt;"",ISNUMBER(A3378)),VLOOKUP(A3378,Studies!A:BR,5,FALSE),"")</f>
        <v>Rifampicin</v>
      </c>
      <c r="F3378" s="207" t="str">
        <f>IF(AND(A3378&lt;&gt;"",ISNUMBER(A3378)),VLOOKUP(A3378,Studies!A:BR,6,FALSE),"")</f>
        <v>Plasma</v>
      </c>
      <c r="G3378" s="194">
        <v>2</v>
      </c>
      <c r="H3378" s="194" t="s">
        <v>60</v>
      </c>
      <c r="I3378" s="187">
        <v>11.82353</v>
      </c>
      <c r="J3378" s="187" t="s">
        <v>1054</v>
      </c>
      <c r="K3378" s="187" t="s">
        <v>116</v>
      </c>
      <c r="L3378" s="195">
        <v>3.7764700000000002</v>
      </c>
      <c r="M3378" s="195" t="s">
        <v>1054</v>
      </c>
      <c r="N3378" s="195" t="s">
        <v>117</v>
      </c>
      <c r="O3378" s="199">
        <v>0.4</v>
      </c>
      <c r="P3378" s="188"/>
    </row>
    <row r="3379" spans="1:17" s="183" customFormat="1" x14ac:dyDescent="0.2">
      <c r="A3379" s="189">
        <v>383</v>
      </c>
      <c r="B3379" s="232" t="str">
        <f>IF(AND(A3379&lt;&gt;"",ISNUMBER(A3379)),VLOOKUP(A3379,Studies!A:BR,2,FALSE),"")</f>
        <v>Peloquin 1997</v>
      </c>
      <c r="C3379" s="232" t="str">
        <f>IF(AND(A3379&lt;&gt;"",ISNUMBER(A3379)),VLOOKUP(A3379,Studies!A:BR,3,FALSE),"")</f>
        <v>https://www.ncbi.nlm.nih.gov/pubmed/9420037</v>
      </c>
      <c r="D3379" s="232" t="str">
        <f>IF(AND(A3379&lt;&gt;"",ISNUMBER(A3379)),VLOOKUP(A3379,Studies!A:BR,4,FALSE),"")</f>
        <v>600 mg</v>
      </c>
      <c r="E3379" s="206" t="str">
        <f>IF(AND(A3379&lt;&gt;"",ISNUMBER(A3379)),VLOOKUP(A3379,Studies!A:BR,5,FALSE),"")</f>
        <v>Rifampicin</v>
      </c>
      <c r="F3379" s="207" t="str">
        <f>IF(AND(A3379&lt;&gt;"",ISNUMBER(A3379)),VLOOKUP(A3379,Studies!A:BR,6,FALSE),"")</f>
        <v>Plasma</v>
      </c>
      <c r="G3379" s="194">
        <v>2.5</v>
      </c>
      <c r="H3379" s="194" t="s">
        <v>60</v>
      </c>
      <c r="I3379" s="187">
        <v>10.588229999999999</v>
      </c>
      <c r="J3379" s="187" t="s">
        <v>1054</v>
      </c>
      <c r="K3379" s="187" t="s">
        <v>116</v>
      </c>
      <c r="L3379" s="195">
        <v>2.223535</v>
      </c>
      <c r="M3379" s="195" t="s">
        <v>1054</v>
      </c>
      <c r="N3379" s="195" t="s">
        <v>117</v>
      </c>
      <c r="O3379" s="199">
        <v>0.4</v>
      </c>
      <c r="P3379" s="188"/>
    </row>
    <row r="3380" spans="1:17" s="183" customFormat="1" x14ac:dyDescent="0.2">
      <c r="A3380" s="189">
        <v>383</v>
      </c>
      <c r="B3380" s="232" t="str">
        <f>IF(AND(A3380&lt;&gt;"",ISNUMBER(A3380)),VLOOKUP(A3380,Studies!A:BR,2,FALSE),"")</f>
        <v>Peloquin 1997</v>
      </c>
      <c r="C3380" s="232" t="str">
        <f>IF(AND(A3380&lt;&gt;"",ISNUMBER(A3380)),VLOOKUP(A3380,Studies!A:BR,3,FALSE),"")</f>
        <v>https://www.ncbi.nlm.nih.gov/pubmed/9420037</v>
      </c>
      <c r="D3380" s="232" t="str">
        <f>IF(AND(A3380&lt;&gt;"",ISNUMBER(A3380)),VLOOKUP(A3380,Studies!A:BR,4,FALSE),"")</f>
        <v>600 mg</v>
      </c>
      <c r="E3380" s="206" t="str">
        <f>IF(AND(A3380&lt;&gt;"",ISNUMBER(A3380)),VLOOKUP(A3380,Studies!A:BR,5,FALSE),"")</f>
        <v>Rifampicin</v>
      </c>
      <c r="F3380" s="207" t="str">
        <f>IF(AND(A3380&lt;&gt;"",ISNUMBER(A3380)),VLOOKUP(A3380,Studies!A:BR,6,FALSE),"")</f>
        <v>Plasma</v>
      </c>
      <c r="G3380" s="194">
        <v>3</v>
      </c>
      <c r="H3380" s="194" t="s">
        <v>60</v>
      </c>
      <c r="I3380" s="187">
        <v>9.6</v>
      </c>
      <c r="J3380" s="187" t="s">
        <v>1054</v>
      </c>
      <c r="K3380" s="187" t="s">
        <v>116</v>
      </c>
      <c r="L3380" s="195">
        <v>2.329412</v>
      </c>
      <c r="M3380" s="195" t="s">
        <v>1054</v>
      </c>
      <c r="N3380" s="195" t="s">
        <v>117</v>
      </c>
      <c r="O3380" s="199">
        <v>0.4</v>
      </c>
      <c r="P3380" s="188"/>
    </row>
    <row r="3381" spans="1:17" s="183" customFormat="1" x14ac:dyDescent="0.2">
      <c r="A3381" s="189">
        <v>383</v>
      </c>
      <c r="B3381" s="232" t="str">
        <f>IF(AND(A3381&lt;&gt;"",ISNUMBER(A3381)),VLOOKUP(A3381,Studies!A:BR,2,FALSE),"")</f>
        <v>Peloquin 1997</v>
      </c>
      <c r="C3381" s="232" t="str">
        <f>IF(AND(A3381&lt;&gt;"",ISNUMBER(A3381)),VLOOKUP(A3381,Studies!A:BR,3,FALSE),"")</f>
        <v>https://www.ncbi.nlm.nih.gov/pubmed/9420037</v>
      </c>
      <c r="D3381" s="232" t="str">
        <f>IF(AND(A3381&lt;&gt;"",ISNUMBER(A3381)),VLOOKUP(A3381,Studies!A:BR,4,FALSE),"")</f>
        <v>600 mg</v>
      </c>
      <c r="E3381" s="206" t="str">
        <f>IF(AND(A3381&lt;&gt;"",ISNUMBER(A3381)),VLOOKUP(A3381,Studies!A:BR,5,FALSE),"")</f>
        <v>Rifampicin</v>
      </c>
      <c r="F3381" s="207" t="str">
        <f>IF(AND(A3381&lt;&gt;"",ISNUMBER(A3381)),VLOOKUP(A3381,Studies!A:BR,6,FALSE),"")</f>
        <v>Plasma</v>
      </c>
      <c r="G3381" s="194">
        <v>4</v>
      </c>
      <c r="H3381" s="194" t="s">
        <v>60</v>
      </c>
      <c r="I3381" s="187">
        <v>8.1882350000000006</v>
      </c>
      <c r="J3381" s="187" t="s">
        <v>1054</v>
      </c>
      <c r="K3381" s="187" t="s">
        <v>116</v>
      </c>
      <c r="L3381" s="195">
        <v>2.4</v>
      </c>
      <c r="M3381" s="195" t="s">
        <v>1054</v>
      </c>
      <c r="N3381" s="195" t="s">
        <v>117</v>
      </c>
      <c r="O3381" s="199">
        <v>0.4</v>
      </c>
      <c r="P3381" s="188"/>
    </row>
    <row r="3382" spans="1:17" s="183" customFormat="1" x14ac:dyDescent="0.2">
      <c r="A3382" s="189">
        <v>383</v>
      </c>
      <c r="B3382" s="232" t="str">
        <f>IF(AND(A3382&lt;&gt;"",ISNUMBER(A3382)),VLOOKUP(A3382,Studies!A:BR,2,FALSE),"")</f>
        <v>Peloquin 1997</v>
      </c>
      <c r="C3382" s="232" t="str">
        <f>IF(AND(A3382&lt;&gt;"",ISNUMBER(A3382)),VLOOKUP(A3382,Studies!A:BR,3,FALSE),"")</f>
        <v>https://www.ncbi.nlm.nih.gov/pubmed/9420037</v>
      </c>
      <c r="D3382" s="232" t="str">
        <f>IF(AND(A3382&lt;&gt;"",ISNUMBER(A3382)),VLOOKUP(A3382,Studies!A:BR,4,FALSE),"")</f>
        <v>600 mg</v>
      </c>
      <c r="E3382" s="206" t="str">
        <f>IF(AND(A3382&lt;&gt;"",ISNUMBER(A3382)),VLOOKUP(A3382,Studies!A:BR,5,FALSE),"")</f>
        <v>Rifampicin</v>
      </c>
      <c r="F3382" s="207" t="str">
        <f>IF(AND(A3382&lt;&gt;"",ISNUMBER(A3382)),VLOOKUP(A3382,Studies!A:BR,6,FALSE),"")</f>
        <v>Plasma</v>
      </c>
      <c r="G3382" s="194">
        <v>6</v>
      </c>
      <c r="H3382" s="194" t="s">
        <v>60</v>
      </c>
      <c r="I3382" s="187">
        <v>5.6470589999999996</v>
      </c>
      <c r="J3382" s="187" t="s">
        <v>1054</v>
      </c>
      <c r="K3382" s="187" t="s">
        <v>116</v>
      </c>
      <c r="L3382" s="195">
        <v>1.835294</v>
      </c>
      <c r="M3382" s="195" t="s">
        <v>1054</v>
      </c>
      <c r="N3382" s="195" t="s">
        <v>117</v>
      </c>
      <c r="O3382" s="199">
        <v>0.4</v>
      </c>
      <c r="P3382" s="188"/>
    </row>
    <row r="3383" spans="1:17" s="183" customFormat="1" x14ac:dyDescent="0.2">
      <c r="A3383" s="189">
        <v>383</v>
      </c>
      <c r="B3383" s="232" t="str">
        <f>IF(AND(A3383&lt;&gt;"",ISNUMBER(A3383)),VLOOKUP(A3383,Studies!A:BR,2,FALSE),"")</f>
        <v>Peloquin 1997</v>
      </c>
      <c r="C3383" s="232" t="str">
        <f>IF(AND(A3383&lt;&gt;"",ISNUMBER(A3383)),VLOOKUP(A3383,Studies!A:BR,3,FALSE),"")</f>
        <v>https://www.ncbi.nlm.nih.gov/pubmed/9420037</v>
      </c>
      <c r="D3383" s="232" t="str">
        <f>IF(AND(A3383&lt;&gt;"",ISNUMBER(A3383)),VLOOKUP(A3383,Studies!A:BR,4,FALSE),"")</f>
        <v>600 mg</v>
      </c>
      <c r="E3383" s="206" t="str">
        <f>IF(AND(A3383&lt;&gt;"",ISNUMBER(A3383)),VLOOKUP(A3383,Studies!A:BR,5,FALSE),"")</f>
        <v>Rifampicin</v>
      </c>
      <c r="F3383" s="207" t="str">
        <f>IF(AND(A3383&lt;&gt;"",ISNUMBER(A3383)),VLOOKUP(A3383,Studies!A:BR,6,FALSE),"")</f>
        <v>Plasma</v>
      </c>
      <c r="G3383" s="194">
        <v>9</v>
      </c>
      <c r="H3383" s="194" t="s">
        <v>60</v>
      </c>
      <c r="I3383" s="187">
        <v>3.4235289999999998</v>
      </c>
      <c r="J3383" s="187" t="s">
        <v>1054</v>
      </c>
      <c r="K3383" s="187" t="s">
        <v>116</v>
      </c>
      <c r="L3383" s="195">
        <v>1.376471</v>
      </c>
      <c r="M3383" s="195" t="s">
        <v>1054</v>
      </c>
      <c r="N3383" s="195" t="s">
        <v>117</v>
      </c>
      <c r="O3383" s="199">
        <v>0.4</v>
      </c>
      <c r="P3383" s="188"/>
    </row>
    <row r="3384" spans="1:17" s="183" customFormat="1" x14ac:dyDescent="0.2">
      <c r="A3384" s="189">
        <v>383</v>
      </c>
      <c r="B3384" s="232" t="str">
        <f>IF(AND(A3384&lt;&gt;"",ISNUMBER(A3384)),VLOOKUP(A3384,Studies!A:BR,2,FALSE),"")</f>
        <v>Peloquin 1997</v>
      </c>
      <c r="C3384" s="232" t="str">
        <f>IF(AND(A3384&lt;&gt;"",ISNUMBER(A3384)),VLOOKUP(A3384,Studies!A:BR,3,FALSE),"")</f>
        <v>https://www.ncbi.nlm.nih.gov/pubmed/9420037</v>
      </c>
      <c r="D3384" s="232" t="str">
        <f>IF(AND(A3384&lt;&gt;"",ISNUMBER(A3384)),VLOOKUP(A3384,Studies!A:BR,4,FALSE),"")</f>
        <v>600 mg</v>
      </c>
      <c r="E3384" s="206" t="str">
        <f>IF(AND(A3384&lt;&gt;"",ISNUMBER(A3384)),VLOOKUP(A3384,Studies!A:BR,5,FALSE),"")</f>
        <v>Rifampicin</v>
      </c>
      <c r="F3384" s="207" t="str">
        <f>IF(AND(A3384&lt;&gt;"",ISNUMBER(A3384)),VLOOKUP(A3384,Studies!A:BR,6,FALSE),"")</f>
        <v>Plasma</v>
      </c>
      <c r="G3384" s="194">
        <v>12</v>
      </c>
      <c r="H3384" s="194" t="s">
        <v>60</v>
      </c>
      <c r="I3384" s="187">
        <v>1.7294119999999999</v>
      </c>
      <c r="J3384" s="187" t="s">
        <v>1054</v>
      </c>
      <c r="K3384" s="187" t="s">
        <v>116</v>
      </c>
      <c r="L3384" s="195">
        <v>1.2</v>
      </c>
      <c r="M3384" s="195" t="s">
        <v>1054</v>
      </c>
      <c r="N3384" s="195" t="s">
        <v>117</v>
      </c>
      <c r="O3384" s="199">
        <v>0.4</v>
      </c>
      <c r="P3384" s="188"/>
    </row>
    <row r="3385" spans="1:17" s="183" customFormat="1" x14ac:dyDescent="0.2">
      <c r="A3385" s="189">
        <v>383</v>
      </c>
      <c r="B3385" s="232" t="str">
        <f>IF(AND(A3385&lt;&gt;"",ISNUMBER(A3385)),VLOOKUP(A3385,Studies!A:BR,2,FALSE),"")</f>
        <v>Peloquin 1997</v>
      </c>
      <c r="C3385" s="232" t="str">
        <f>IF(AND(A3385&lt;&gt;"",ISNUMBER(A3385)),VLOOKUP(A3385,Studies!A:BR,3,FALSE),"")</f>
        <v>https://www.ncbi.nlm.nih.gov/pubmed/9420037</v>
      </c>
      <c r="D3385" s="232" t="str">
        <f>IF(AND(A3385&lt;&gt;"",ISNUMBER(A3385)),VLOOKUP(A3385,Studies!A:BR,4,FALSE),"")</f>
        <v>600 mg</v>
      </c>
      <c r="E3385" s="206" t="str">
        <f>IF(AND(A3385&lt;&gt;"",ISNUMBER(A3385)),VLOOKUP(A3385,Studies!A:BR,5,FALSE),"")</f>
        <v>Rifampicin</v>
      </c>
      <c r="F3385" s="207" t="str">
        <f>IF(AND(A3385&lt;&gt;"",ISNUMBER(A3385)),VLOOKUP(A3385,Studies!A:BR,6,FALSE),"")</f>
        <v>Plasma</v>
      </c>
      <c r="G3385" s="194">
        <v>18</v>
      </c>
      <c r="H3385" s="194" t="s">
        <v>60</v>
      </c>
      <c r="I3385" s="187">
        <v>0.95294120000000004</v>
      </c>
      <c r="J3385" s="187" t="s">
        <v>1054</v>
      </c>
      <c r="K3385" s="187" t="s">
        <v>116</v>
      </c>
      <c r="L3385" s="195">
        <v>0.6</v>
      </c>
      <c r="M3385" s="195" t="s">
        <v>1054</v>
      </c>
      <c r="N3385" s="195" t="s">
        <v>117</v>
      </c>
      <c r="O3385" s="199">
        <v>0.4</v>
      </c>
      <c r="P3385" s="188"/>
    </row>
    <row r="3386" spans="1:17" s="183" customFormat="1" x14ac:dyDescent="0.2">
      <c r="A3386" s="189">
        <v>383</v>
      </c>
      <c r="B3386" s="232" t="str">
        <f>IF(AND(A3386&lt;&gt;"",ISNUMBER(A3386)),VLOOKUP(A3386,Studies!A:BR,2,FALSE),"")</f>
        <v>Peloquin 1997</v>
      </c>
      <c r="C3386" s="232" t="str">
        <f>IF(AND(A3386&lt;&gt;"",ISNUMBER(A3386)),VLOOKUP(A3386,Studies!A:BR,3,FALSE),"")</f>
        <v>https://www.ncbi.nlm.nih.gov/pubmed/9420037</v>
      </c>
      <c r="D3386" s="232" t="str">
        <f>IF(AND(A3386&lt;&gt;"",ISNUMBER(A3386)),VLOOKUP(A3386,Studies!A:BR,4,FALSE),"")</f>
        <v>600 mg</v>
      </c>
      <c r="E3386" s="206" t="str">
        <f>IF(AND(A3386&lt;&gt;"",ISNUMBER(A3386)),VLOOKUP(A3386,Studies!A:BR,5,FALSE),"")</f>
        <v>Rifampicin</v>
      </c>
      <c r="F3386" s="207" t="str">
        <f>IF(AND(A3386&lt;&gt;"",ISNUMBER(A3386)),VLOOKUP(A3386,Studies!A:BR,6,FALSE),"")</f>
        <v>Plasma</v>
      </c>
      <c r="G3386" s="194">
        <v>24</v>
      </c>
      <c r="H3386" s="194" t="s">
        <v>60</v>
      </c>
      <c r="I3386" s="187">
        <v>0.70588240000000002</v>
      </c>
      <c r="J3386" s="187" t="s">
        <v>1054</v>
      </c>
      <c r="K3386" s="187" t="s">
        <v>116</v>
      </c>
      <c r="L3386" s="195">
        <v>0.2470588</v>
      </c>
      <c r="M3386" s="195" t="s">
        <v>1054</v>
      </c>
      <c r="N3386" s="195" t="s">
        <v>117</v>
      </c>
      <c r="O3386" s="199">
        <v>0.4</v>
      </c>
      <c r="P3386" s="188"/>
    </row>
    <row r="3387" spans="1:17" s="183" customFormat="1" x14ac:dyDescent="0.2">
      <c r="A3387" s="189">
        <v>383</v>
      </c>
      <c r="B3387" s="232" t="str">
        <f>IF(AND(A3387&lt;&gt;"",ISNUMBER(A3387)),VLOOKUP(A3387,Studies!A:BR,2,FALSE),"")</f>
        <v>Peloquin 1997</v>
      </c>
      <c r="C3387" s="232" t="str">
        <f>IF(AND(A3387&lt;&gt;"",ISNUMBER(A3387)),VLOOKUP(A3387,Studies!A:BR,3,FALSE),"")</f>
        <v>https://www.ncbi.nlm.nih.gov/pubmed/9420037</v>
      </c>
      <c r="D3387" s="232" t="str">
        <f>IF(AND(A3387&lt;&gt;"",ISNUMBER(A3387)),VLOOKUP(A3387,Studies!A:BR,4,FALSE),"")</f>
        <v>600 mg</v>
      </c>
      <c r="E3387" s="206" t="str">
        <f>IF(AND(A3387&lt;&gt;"",ISNUMBER(A3387)),VLOOKUP(A3387,Studies!A:BR,5,FALSE),"")</f>
        <v>Rifampicin</v>
      </c>
      <c r="F3387" s="207" t="str">
        <f>IF(AND(A3387&lt;&gt;"",ISNUMBER(A3387)),VLOOKUP(A3387,Studies!A:BR,6,FALSE),"")</f>
        <v>Plasma</v>
      </c>
      <c r="G3387" s="194">
        <v>30</v>
      </c>
      <c r="H3387" s="194" t="s">
        <v>60</v>
      </c>
      <c r="I3387" s="187">
        <v>-7.0588239999999997E-2</v>
      </c>
      <c r="J3387" s="187" t="s">
        <v>1054</v>
      </c>
      <c r="K3387" s="187" t="s">
        <v>116</v>
      </c>
      <c r="L3387" s="195"/>
      <c r="M3387" s="195"/>
      <c r="N3387" s="195"/>
      <c r="O3387" s="199">
        <v>0.4</v>
      </c>
      <c r="P3387" s="188"/>
    </row>
    <row r="3388" spans="1:17" ht="14.25" x14ac:dyDescent="0.2">
      <c r="A3388" s="189">
        <v>384</v>
      </c>
      <c r="B3388" s="232" t="str">
        <f>IF(AND(A3388&lt;&gt;"",ISNUMBER(A3388)),VLOOKUP(A3388,Studies!A:BR,2,FALSE),"")</f>
        <v>Peloquin 1999</v>
      </c>
      <c r="C3388" s="232" t="str">
        <f>IF(AND(A3388&lt;&gt;"",ISNUMBER(A3388)),VLOOKUP(A3388,Studies!A:BR,3,FALSE),"")</f>
        <v>https://www.ncbi.nlm.nih.gov/pubmed/9925057</v>
      </c>
      <c r="D3388" s="232" t="str">
        <f>IF(AND(A3388&lt;&gt;"",ISNUMBER(A3388)),VLOOKUP(A3388,Studies!A:BR,4,FALSE),"")</f>
        <v>fast1</v>
      </c>
      <c r="E3388" s="206" t="str">
        <f>IF(AND(A3388&lt;&gt;"",ISNUMBER(A3388)),VLOOKUP(A3388,Studies!A:BR,5,FALSE),"")</f>
        <v>Rifampicin</v>
      </c>
      <c r="F3388" s="207" t="str">
        <f>IF(AND(A3388&lt;&gt;"",ISNUMBER(A3388)),VLOOKUP(A3388,Studies!A:BR,6,FALSE),"")</f>
        <v>Serum</v>
      </c>
      <c r="G3388" s="194">
        <v>0</v>
      </c>
      <c r="H3388" s="194" t="s">
        <v>60</v>
      </c>
      <c r="I3388" s="187">
        <v>0</v>
      </c>
      <c r="J3388" s="187" t="s">
        <v>1054</v>
      </c>
      <c r="K3388" s="187" t="s">
        <v>389</v>
      </c>
      <c r="L3388" s="195"/>
      <c r="M3388" s="195"/>
      <c r="N3388" s="195"/>
      <c r="O3388" s="199"/>
      <c r="P3388" s="188"/>
      <c r="Q3388" s="174">
        <f>IF(ISNUMBER(VLOOKUP(A3388,NotghiID!A:A,1,FALSE)),1,0)</f>
        <v>1</v>
      </c>
    </row>
    <row r="3389" spans="1:17" ht="14.25" x14ac:dyDescent="0.2">
      <c r="A3389" s="189">
        <v>384</v>
      </c>
      <c r="B3389" s="232" t="str">
        <f>IF(AND(A3389&lt;&gt;"",ISNUMBER(A3389)),VLOOKUP(A3389,Studies!A:BR,2,FALSE),"")</f>
        <v>Peloquin 1999</v>
      </c>
      <c r="C3389" s="232" t="str">
        <f>IF(AND(A3389&lt;&gt;"",ISNUMBER(A3389)),VLOOKUP(A3389,Studies!A:BR,3,FALSE),"")</f>
        <v>https://www.ncbi.nlm.nih.gov/pubmed/9925057</v>
      </c>
      <c r="D3389" s="232" t="str">
        <f>IF(AND(A3389&lt;&gt;"",ISNUMBER(A3389)),VLOOKUP(A3389,Studies!A:BR,4,FALSE),"")</f>
        <v>fast1</v>
      </c>
      <c r="E3389" s="206" t="str">
        <f>IF(AND(A3389&lt;&gt;"",ISNUMBER(A3389)),VLOOKUP(A3389,Studies!A:BR,5,FALSE),"")</f>
        <v>Rifampicin</v>
      </c>
      <c r="F3389" s="207" t="str">
        <f>IF(AND(A3389&lt;&gt;"",ISNUMBER(A3389)),VLOOKUP(A3389,Studies!A:BR,6,FALSE),"")</f>
        <v>Serum</v>
      </c>
      <c r="G3389" s="194">
        <v>0.25</v>
      </c>
      <c r="H3389" s="194" t="s">
        <v>60</v>
      </c>
      <c r="I3389" s="187"/>
      <c r="J3389" s="187"/>
      <c r="K3389" s="187"/>
      <c r="L3389" s="195"/>
      <c r="M3389" s="195"/>
      <c r="N3389" s="195"/>
      <c r="O3389" s="199"/>
      <c r="P3389" s="188" t="s">
        <v>1148</v>
      </c>
      <c r="Q3389" s="174">
        <f>IF(ISNUMBER(VLOOKUP(A3389,NotghiID!A:A,1,FALSE)),1,0)</f>
        <v>1</v>
      </c>
    </row>
    <row r="3390" spans="1:17" ht="14.25" x14ac:dyDescent="0.2">
      <c r="A3390" s="189">
        <v>384</v>
      </c>
      <c r="B3390" s="232" t="str">
        <f>IF(AND(A3390&lt;&gt;"",ISNUMBER(A3390)),VLOOKUP(A3390,Studies!A:BR,2,FALSE),"")</f>
        <v>Peloquin 1999</v>
      </c>
      <c r="C3390" s="232" t="str">
        <f>IF(AND(A3390&lt;&gt;"",ISNUMBER(A3390)),VLOOKUP(A3390,Studies!A:BR,3,FALSE),"")</f>
        <v>https://www.ncbi.nlm.nih.gov/pubmed/9925057</v>
      </c>
      <c r="D3390" s="232" t="str">
        <f>IF(AND(A3390&lt;&gt;"",ISNUMBER(A3390)),VLOOKUP(A3390,Studies!A:BR,4,FALSE),"")</f>
        <v>fast1</v>
      </c>
      <c r="E3390" s="206" t="str">
        <f>IF(AND(A3390&lt;&gt;"",ISNUMBER(A3390)),VLOOKUP(A3390,Studies!A:BR,5,FALSE),"")</f>
        <v>Rifampicin</v>
      </c>
      <c r="F3390" s="207" t="str">
        <f>IF(AND(A3390&lt;&gt;"",ISNUMBER(A3390)),VLOOKUP(A3390,Studies!A:BR,6,FALSE),"")</f>
        <v>Serum</v>
      </c>
      <c r="G3390" s="194">
        <v>0.5</v>
      </c>
      <c r="H3390" s="194" t="s">
        <v>60</v>
      </c>
      <c r="I3390" s="187">
        <v>0.1655954</v>
      </c>
      <c r="J3390" s="187" t="s">
        <v>1054</v>
      </c>
      <c r="K3390" s="187" t="s">
        <v>389</v>
      </c>
      <c r="L3390" s="195"/>
      <c r="M3390" s="195"/>
      <c r="N3390" s="195"/>
      <c r="O3390" s="199"/>
      <c r="P3390" s="188"/>
      <c r="Q3390" s="174">
        <f>IF(ISNUMBER(VLOOKUP(A3390,NotghiID!A:A,1,FALSE)),1,0)</f>
        <v>1</v>
      </c>
    </row>
    <row r="3391" spans="1:17" ht="14.25" x14ac:dyDescent="0.2">
      <c r="A3391" s="189">
        <v>384</v>
      </c>
      <c r="B3391" s="232" t="str">
        <f>IF(AND(A3391&lt;&gt;"",ISNUMBER(A3391)),VLOOKUP(A3391,Studies!A:BR,2,FALSE),"")</f>
        <v>Peloquin 1999</v>
      </c>
      <c r="C3391" s="232" t="str">
        <f>IF(AND(A3391&lt;&gt;"",ISNUMBER(A3391)),VLOOKUP(A3391,Studies!A:BR,3,FALSE),"")</f>
        <v>https://www.ncbi.nlm.nih.gov/pubmed/9925057</v>
      </c>
      <c r="D3391" s="232" t="str">
        <f>IF(AND(A3391&lt;&gt;"",ISNUMBER(A3391)),VLOOKUP(A3391,Studies!A:BR,4,FALSE),"")</f>
        <v>fast1</v>
      </c>
      <c r="E3391" s="206" t="str">
        <f>IF(AND(A3391&lt;&gt;"",ISNUMBER(A3391)),VLOOKUP(A3391,Studies!A:BR,5,FALSE),"")</f>
        <v>Rifampicin</v>
      </c>
      <c r="F3391" s="207" t="str">
        <f>IF(AND(A3391&lt;&gt;"",ISNUMBER(A3391)),VLOOKUP(A3391,Studies!A:BR,6,FALSE),"")</f>
        <v>Serum</v>
      </c>
      <c r="G3391" s="194">
        <v>0.75</v>
      </c>
      <c r="H3391" s="194" t="s">
        <v>60</v>
      </c>
      <c r="I3391" s="187">
        <v>2.0657399999999999</v>
      </c>
      <c r="J3391" s="187" t="s">
        <v>1054</v>
      </c>
      <c r="K3391" s="187" t="s">
        <v>389</v>
      </c>
      <c r="L3391" s="195"/>
      <c r="M3391" s="195"/>
      <c r="N3391" s="195"/>
      <c r="O3391" s="199"/>
      <c r="P3391" s="188"/>
      <c r="Q3391" s="174">
        <f>IF(ISNUMBER(VLOOKUP(A3391,NotghiID!A:A,1,FALSE)),1,0)</f>
        <v>1</v>
      </c>
    </row>
    <row r="3392" spans="1:17" ht="14.25" x14ac:dyDescent="0.2">
      <c r="A3392" s="189">
        <v>384</v>
      </c>
      <c r="B3392" s="232" t="str">
        <f>IF(AND(A3392&lt;&gt;"",ISNUMBER(A3392)),VLOOKUP(A3392,Studies!A:BR,2,FALSE),"")</f>
        <v>Peloquin 1999</v>
      </c>
      <c r="C3392" s="232" t="str">
        <f>IF(AND(A3392&lt;&gt;"",ISNUMBER(A3392)),VLOOKUP(A3392,Studies!A:BR,3,FALSE),"")</f>
        <v>https://www.ncbi.nlm.nih.gov/pubmed/9925057</v>
      </c>
      <c r="D3392" s="232" t="str">
        <f>IF(AND(A3392&lt;&gt;"",ISNUMBER(A3392)),VLOOKUP(A3392,Studies!A:BR,4,FALSE),"")</f>
        <v>fast1</v>
      </c>
      <c r="E3392" s="206" t="str">
        <f>IF(AND(A3392&lt;&gt;"",ISNUMBER(A3392)),VLOOKUP(A3392,Studies!A:BR,5,FALSE),"")</f>
        <v>Rifampicin</v>
      </c>
      <c r="F3392" s="207" t="str">
        <f>IF(AND(A3392&lt;&gt;"",ISNUMBER(A3392)),VLOOKUP(A3392,Studies!A:BR,6,FALSE),"")</f>
        <v>Serum</v>
      </c>
      <c r="G3392" s="194">
        <v>1</v>
      </c>
      <c r="H3392" s="194" t="s">
        <v>60</v>
      </c>
      <c r="I3392" s="187">
        <v>3.5890930000000001</v>
      </c>
      <c r="J3392" s="187" t="s">
        <v>1054</v>
      </c>
      <c r="K3392" s="187" t="s">
        <v>389</v>
      </c>
      <c r="L3392" s="195"/>
      <c r="M3392" s="195"/>
      <c r="N3392" s="195"/>
      <c r="O3392" s="199"/>
      <c r="P3392" s="188"/>
      <c r="Q3392" s="174">
        <f>IF(ISNUMBER(VLOOKUP(A3392,NotghiID!A:A,1,FALSE)),1,0)</f>
        <v>1</v>
      </c>
    </row>
    <row r="3393" spans="1:17" ht="14.25" x14ac:dyDescent="0.2">
      <c r="A3393" s="189">
        <v>384</v>
      </c>
      <c r="B3393" s="232" t="str">
        <f>IF(AND(A3393&lt;&gt;"",ISNUMBER(A3393)),VLOOKUP(A3393,Studies!A:BR,2,FALSE),"")</f>
        <v>Peloquin 1999</v>
      </c>
      <c r="C3393" s="232" t="str">
        <f>IF(AND(A3393&lt;&gt;"",ISNUMBER(A3393)),VLOOKUP(A3393,Studies!A:BR,3,FALSE),"")</f>
        <v>https://www.ncbi.nlm.nih.gov/pubmed/9925057</v>
      </c>
      <c r="D3393" s="232" t="str">
        <f>IF(AND(A3393&lt;&gt;"",ISNUMBER(A3393)),VLOOKUP(A3393,Studies!A:BR,4,FALSE),"")</f>
        <v>fast1</v>
      </c>
      <c r="E3393" s="206" t="str">
        <f>IF(AND(A3393&lt;&gt;"",ISNUMBER(A3393)),VLOOKUP(A3393,Studies!A:BR,5,FALSE),"")</f>
        <v>Rifampicin</v>
      </c>
      <c r="F3393" s="207" t="str">
        <f>IF(AND(A3393&lt;&gt;"",ISNUMBER(A3393)),VLOOKUP(A3393,Studies!A:BR,6,FALSE),"")</f>
        <v>Serum</v>
      </c>
      <c r="G3393" s="194">
        <v>1.5</v>
      </c>
      <c r="H3393" s="194" t="s">
        <v>60</v>
      </c>
      <c r="I3393" s="187">
        <v>5.8450189999999997</v>
      </c>
      <c r="J3393" s="187" t="s">
        <v>1054</v>
      </c>
      <c r="K3393" s="187" t="s">
        <v>389</v>
      </c>
      <c r="L3393" s="195"/>
      <c r="M3393" s="195"/>
      <c r="N3393" s="195"/>
      <c r="O3393" s="199"/>
      <c r="P3393" s="188"/>
      <c r="Q3393" s="174">
        <f>IF(ISNUMBER(VLOOKUP(A3393,NotghiID!A:A,1,FALSE)),1,0)</f>
        <v>1</v>
      </c>
    </row>
    <row r="3394" spans="1:17" ht="14.25" x14ac:dyDescent="0.2">
      <c r="A3394" s="189">
        <v>384</v>
      </c>
      <c r="B3394" s="232" t="str">
        <f>IF(AND(A3394&lt;&gt;"",ISNUMBER(A3394)),VLOOKUP(A3394,Studies!A:BR,2,FALSE),"")</f>
        <v>Peloquin 1999</v>
      </c>
      <c r="C3394" s="232" t="str">
        <f>IF(AND(A3394&lt;&gt;"",ISNUMBER(A3394)),VLOOKUP(A3394,Studies!A:BR,3,FALSE),"")</f>
        <v>https://www.ncbi.nlm.nih.gov/pubmed/9925057</v>
      </c>
      <c r="D3394" s="232" t="str">
        <f>IF(AND(A3394&lt;&gt;"",ISNUMBER(A3394)),VLOOKUP(A3394,Studies!A:BR,4,FALSE),"")</f>
        <v>fast1</v>
      </c>
      <c r="E3394" s="206" t="str">
        <f>IF(AND(A3394&lt;&gt;"",ISNUMBER(A3394)),VLOOKUP(A3394,Studies!A:BR,5,FALSE),"")</f>
        <v>Rifampicin</v>
      </c>
      <c r="F3394" s="207" t="str">
        <f>IF(AND(A3394&lt;&gt;"",ISNUMBER(A3394)),VLOOKUP(A3394,Studies!A:BR,6,FALSE),"")</f>
        <v>Serum</v>
      </c>
      <c r="G3394" s="194">
        <v>2</v>
      </c>
      <c r="H3394" s="194" t="s">
        <v>60</v>
      </c>
      <c r="I3394" s="187">
        <v>7.8749630000000002</v>
      </c>
      <c r="J3394" s="187" t="s">
        <v>1054</v>
      </c>
      <c r="K3394" s="187" t="s">
        <v>389</v>
      </c>
      <c r="L3394" s="195"/>
      <c r="M3394" s="195"/>
      <c r="N3394" s="195"/>
      <c r="O3394" s="199"/>
      <c r="P3394" s="188"/>
      <c r="Q3394" s="174">
        <f>IF(ISNUMBER(VLOOKUP(A3394,NotghiID!A:A,1,FALSE)),1,0)</f>
        <v>1</v>
      </c>
    </row>
    <row r="3395" spans="1:17" ht="14.25" x14ac:dyDescent="0.2">
      <c r="A3395" s="189">
        <v>384</v>
      </c>
      <c r="B3395" s="232" t="str">
        <f>IF(AND(A3395&lt;&gt;"",ISNUMBER(A3395)),VLOOKUP(A3395,Studies!A:BR,2,FALSE),"")</f>
        <v>Peloquin 1999</v>
      </c>
      <c r="C3395" s="232" t="str">
        <f>IF(AND(A3395&lt;&gt;"",ISNUMBER(A3395)),VLOOKUP(A3395,Studies!A:BR,3,FALSE),"")</f>
        <v>https://www.ncbi.nlm.nih.gov/pubmed/9925057</v>
      </c>
      <c r="D3395" s="232" t="str">
        <f>IF(AND(A3395&lt;&gt;"",ISNUMBER(A3395)),VLOOKUP(A3395,Studies!A:BR,4,FALSE),"")</f>
        <v>fast1</v>
      </c>
      <c r="E3395" s="206" t="str">
        <f>IF(AND(A3395&lt;&gt;"",ISNUMBER(A3395)),VLOOKUP(A3395,Studies!A:BR,5,FALSE),"")</f>
        <v>Rifampicin</v>
      </c>
      <c r="F3395" s="207" t="str">
        <f>IF(AND(A3395&lt;&gt;"",ISNUMBER(A3395)),VLOOKUP(A3395,Studies!A:BR,6,FALSE),"")</f>
        <v>Serum</v>
      </c>
      <c r="G3395" s="194">
        <v>2.5</v>
      </c>
      <c r="H3395" s="194" t="s">
        <v>60</v>
      </c>
      <c r="I3395" s="187">
        <v>8.1722249999999992</v>
      </c>
      <c r="J3395" s="187" t="s">
        <v>1054</v>
      </c>
      <c r="K3395" s="187" t="s">
        <v>389</v>
      </c>
      <c r="L3395" s="195"/>
      <c r="M3395" s="195"/>
      <c r="N3395" s="195"/>
      <c r="O3395" s="199"/>
      <c r="P3395" s="188"/>
      <c r="Q3395" s="174">
        <f>IF(ISNUMBER(VLOOKUP(A3395,NotghiID!A:A,1,FALSE)),1,0)</f>
        <v>1</v>
      </c>
    </row>
    <row r="3396" spans="1:17" ht="14.25" x14ac:dyDescent="0.2">
      <c r="A3396" s="189">
        <v>384</v>
      </c>
      <c r="B3396" s="232" t="str">
        <f>IF(AND(A3396&lt;&gt;"",ISNUMBER(A3396)),VLOOKUP(A3396,Studies!A:BR,2,FALSE),"")</f>
        <v>Peloquin 1999</v>
      </c>
      <c r="C3396" s="232" t="str">
        <f>IF(AND(A3396&lt;&gt;"",ISNUMBER(A3396)),VLOOKUP(A3396,Studies!A:BR,3,FALSE),"")</f>
        <v>https://www.ncbi.nlm.nih.gov/pubmed/9925057</v>
      </c>
      <c r="D3396" s="232" t="str">
        <f>IF(AND(A3396&lt;&gt;"",ISNUMBER(A3396)),VLOOKUP(A3396,Studies!A:BR,4,FALSE),"")</f>
        <v>fast1</v>
      </c>
      <c r="E3396" s="206" t="str">
        <f>IF(AND(A3396&lt;&gt;"",ISNUMBER(A3396)),VLOOKUP(A3396,Studies!A:BR,5,FALSE),"")</f>
        <v>Rifampicin</v>
      </c>
      <c r="F3396" s="207" t="str">
        <f>IF(AND(A3396&lt;&gt;"",ISNUMBER(A3396)),VLOOKUP(A3396,Studies!A:BR,6,FALSE),"")</f>
        <v>Serum</v>
      </c>
      <c r="G3396" s="194">
        <v>3</v>
      </c>
      <c r="H3396" s="194" t="s">
        <v>60</v>
      </c>
      <c r="I3396" s="187">
        <v>8.3756400000000006</v>
      </c>
      <c r="J3396" s="187" t="s">
        <v>1054</v>
      </c>
      <c r="K3396" s="187" t="s">
        <v>389</v>
      </c>
      <c r="L3396" s="195"/>
      <c r="M3396" s="195"/>
      <c r="N3396" s="195"/>
      <c r="O3396" s="199"/>
      <c r="P3396" s="188"/>
      <c r="Q3396" s="174">
        <f>IF(ISNUMBER(VLOOKUP(A3396,NotghiID!A:A,1,FALSE)),1,0)</f>
        <v>1</v>
      </c>
    </row>
    <row r="3397" spans="1:17" ht="14.25" x14ac:dyDescent="0.2">
      <c r="A3397" s="189">
        <v>384</v>
      </c>
      <c r="B3397" s="232" t="str">
        <f>IF(AND(A3397&lt;&gt;"",ISNUMBER(A3397)),VLOOKUP(A3397,Studies!A:BR,2,FALSE),"")</f>
        <v>Peloquin 1999</v>
      </c>
      <c r="C3397" s="232" t="str">
        <f>IF(AND(A3397&lt;&gt;"",ISNUMBER(A3397)),VLOOKUP(A3397,Studies!A:BR,3,FALSE),"")</f>
        <v>https://www.ncbi.nlm.nih.gov/pubmed/9925057</v>
      </c>
      <c r="D3397" s="232" t="str">
        <f>IF(AND(A3397&lt;&gt;"",ISNUMBER(A3397)),VLOOKUP(A3397,Studies!A:BR,4,FALSE),"")</f>
        <v>fast1</v>
      </c>
      <c r="E3397" s="206" t="str">
        <f>IF(AND(A3397&lt;&gt;"",ISNUMBER(A3397)),VLOOKUP(A3397,Studies!A:BR,5,FALSE),"")</f>
        <v>Rifampicin</v>
      </c>
      <c r="F3397" s="207" t="str">
        <f>IF(AND(A3397&lt;&gt;"",ISNUMBER(A3397)),VLOOKUP(A3397,Studies!A:BR,6,FALSE),"")</f>
        <v>Serum</v>
      </c>
      <c r="G3397" s="194">
        <v>4</v>
      </c>
      <c r="H3397" s="194" t="s">
        <v>60</v>
      </c>
      <c r="I3397" s="187">
        <v>7.0493209999999999</v>
      </c>
      <c r="J3397" s="187" t="s">
        <v>1054</v>
      </c>
      <c r="K3397" s="187" t="s">
        <v>389</v>
      </c>
      <c r="L3397" s="195"/>
      <c r="M3397" s="195"/>
      <c r="N3397" s="195"/>
      <c r="O3397" s="199"/>
      <c r="P3397" s="188"/>
      <c r="Q3397" s="174">
        <f>IF(ISNUMBER(VLOOKUP(A3397,NotghiID!A:A,1,FALSE)),1,0)</f>
        <v>1</v>
      </c>
    </row>
    <row r="3398" spans="1:17" ht="14.25" x14ac:dyDescent="0.2">
      <c r="A3398" s="189">
        <v>384</v>
      </c>
      <c r="B3398" s="232" t="str">
        <f>IF(AND(A3398&lt;&gt;"",ISNUMBER(A3398)),VLOOKUP(A3398,Studies!A:BR,2,FALSE),"")</f>
        <v>Peloquin 1999</v>
      </c>
      <c r="C3398" s="232" t="str">
        <f>IF(AND(A3398&lt;&gt;"",ISNUMBER(A3398)),VLOOKUP(A3398,Studies!A:BR,3,FALSE),"")</f>
        <v>https://www.ncbi.nlm.nih.gov/pubmed/9925057</v>
      </c>
      <c r="D3398" s="232" t="str">
        <f>IF(AND(A3398&lt;&gt;"",ISNUMBER(A3398)),VLOOKUP(A3398,Studies!A:BR,4,FALSE),"")</f>
        <v>fast1</v>
      </c>
      <c r="E3398" s="206" t="str">
        <f>IF(AND(A3398&lt;&gt;"",ISNUMBER(A3398)),VLOOKUP(A3398,Studies!A:BR,5,FALSE),"")</f>
        <v>Rifampicin</v>
      </c>
      <c r="F3398" s="207" t="str">
        <f>IF(AND(A3398&lt;&gt;"",ISNUMBER(A3398)),VLOOKUP(A3398,Studies!A:BR,6,FALSE),"")</f>
        <v>Serum</v>
      </c>
      <c r="G3398" s="194">
        <v>6</v>
      </c>
      <c r="H3398" s="194" t="s">
        <v>60</v>
      </c>
      <c r="I3398" s="187">
        <v>5.0375860000000001</v>
      </c>
      <c r="J3398" s="187" t="s">
        <v>1054</v>
      </c>
      <c r="K3398" s="187" t="s">
        <v>389</v>
      </c>
      <c r="L3398" s="195"/>
      <c r="M3398" s="195"/>
      <c r="N3398" s="195"/>
      <c r="O3398" s="199"/>
      <c r="P3398" s="188"/>
      <c r="Q3398" s="174">
        <f>IF(ISNUMBER(VLOOKUP(A3398,NotghiID!A:A,1,FALSE)),1,0)</f>
        <v>1</v>
      </c>
    </row>
    <row r="3399" spans="1:17" ht="14.25" x14ac:dyDescent="0.2">
      <c r="A3399" s="189">
        <v>384</v>
      </c>
      <c r="B3399" s="232" t="str">
        <f>IF(AND(A3399&lt;&gt;"",ISNUMBER(A3399)),VLOOKUP(A3399,Studies!A:BR,2,FALSE),"")</f>
        <v>Peloquin 1999</v>
      </c>
      <c r="C3399" s="232" t="str">
        <f>IF(AND(A3399&lt;&gt;"",ISNUMBER(A3399)),VLOOKUP(A3399,Studies!A:BR,3,FALSE),"")</f>
        <v>https://www.ncbi.nlm.nih.gov/pubmed/9925057</v>
      </c>
      <c r="D3399" s="232" t="str">
        <f>IF(AND(A3399&lt;&gt;"",ISNUMBER(A3399)),VLOOKUP(A3399,Studies!A:BR,4,FALSE),"")</f>
        <v>fast1</v>
      </c>
      <c r="E3399" s="206" t="str">
        <f>IF(AND(A3399&lt;&gt;"",ISNUMBER(A3399)),VLOOKUP(A3399,Studies!A:BR,5,FALSE),"")</f>
        <v>Rifampicin</v>
      </c>
      <c r="F3399" s="207" t="str">
        <f>IF(AND(A3399&lt;&gt;"",ISNUMBER(A3399)),VLOOKUP(A3399,Studies!A:BR,6,FALSE),"")</f>
        <v>Serum</v>
      </c>
      <c r="G3399" s="194">
        <v>8</v>
      </c>
      <c r="H3399" s="194" t="s">
        <v>60</v>
      </c>
      <c r="I3399" s="187">
        <v>3.6093259999999998</v>
      </c>
      <c r="J3399" s="187" t="s">
        <v>1054</v>
      </c>
      <c r="K3399" s="187" t="s">
        <v>389</v>
      </c>
      <c r="L3399" s="195"/>
      <c r="M3399" s="195"/>
      <c r="N3399" s="195"/>
      <c r="O3399" s="199"/>
      <c r="P3399" s="188"/>
      <c r="Q3399" s="174">
        <f>IF(ISNUMBER(VLOOKUP(A3399,NotghiID!A:A,1,FALSE)),1,0)</f>
        <v>1</v>
      </c>
    </row>
    <row r="3400" spans="1:17" ht="14.25" x14ac:dyDescent="0.2">
      <c r="A3400" s="189">
        <v>384</v>
      </c>
      <c r="B3400" s="232" t="str">
        <f>IF(AND(A3400&lt;&gt;"",ISNUMBER(A3400)),VLOOKUP(A3400,Studies!A:BR,2,FALSE),"")</f>
        <v>Peloquin 1999</v>
      </c>
      <c r="C3400" s="232" t="str">
        <f>IF(AND(A3400&lt;&gt;"",ISNUMBER(A3400)),VLOOKUP(A3400,Studies!A:BR,3,FALSE),"")</f>
        <v>https://www.ncbi.nlm.nih.gov/pubmed/9925057</v>
      </c>
      <c r="D3400" s="232" t="str">
        <f>IF(AND(A3400&lt;&gt;"",ISNUMBER(A3400)),VLOOKUP(A3400,Studies!A:BR,4,FALSE),"")</f>
        <v>fast1</v>
      </c>
      <c r="E3400" s="206" t="str">
        <f>IF(AND(A3400&lt;&gt;"",ISNUMBER(A3400)),VLOOKUP(A3400,Studies!A:BR,5,FALSE),"")</f>
        <v>Rifampicin</v>
      </c>
      <c r="F3400" s="207" t="str">
        <f>IF(AND(A3400&lt;&gt;"",ISNUMBER(A3400)),VLOOKUP(A3400,Studies!A:BR,6,FALSE),"")</f>
        <v>Serum</v>
      </c>
      <c r="G3400" s="194">
        <v>10</v>
      </c>
      <c r="H3400" s="194" t="s">
        <v>60</v>
      </c>
      <c r="I3400" s="187">
        <v>2.3507069999999999</v>
      </c>
      <c r="J3400" s="187" t="s">
        <v>1054</v>
      </c>
      <c r="K3400" s="187" t="s">
        <v>389</v>
      </c>
      <c r="L3400" s="195"/>
      <c r="M3400" s="195"/>
      <c r="N3400" s="195"/>
      <c r="O3400" s="199"/>
      <c r="P3400" s="188"/>
      <c r="Q3400" s="174">
        <f>IF(ISNUMBER(VLOOKUP(A3400,NotghiID!A:A,1,FALSE)),1,0)</f>
        <v>1</v>
      </c>
    </row>
    <row r="3401" spans="1:17" ht="14.25" x14ac:dyDescent="0.2">
      <c r="A3401" s="189">
        <v>384</v>
      </c>
      <c r="B3401" s="232" t="str">
        <f>IF(AND(A3401&lt;&gt;"",ISNUMBER(A3401)),VLOOKUP(A3401,Studies!A:BR,2,FALSE),"")</f>
        <v>Peloquin 1999</v>
      </c>
      <c r="C3401" s="232" t="str">
        <f>IF(AND(A3401&lt;&gt;"",ISNUMBER(A3401)),VLOOKUP(A3401,Studies!A:BR,3,FALSE),"")</f>
        <v>https://www.ncbi.nlm.nih.gov/pubmed/9925057</v>
      </c>
      <c r="D3401" s="232" t="str">
        <f>IF(AND(A3401&lt;&gt;"",ISNUMBER(A3401)),VLOOKUP(A3401,Studies!A:BR,4,FALSE),"")</f>
        <v>fast1</v>
      </c>
      <c r="E3401" s="206" t="str">
        <f>IF(AND(A3401&lt;&gt;"",ISNUMBER(A3401)),VLOOKUP(A3401,Studies!A:BR,5,FALSE),"")</f>
        <v>Rifampicin</v>
      </c>
      <c r="F3401" s="207" t="str">
        <f>IF(AND(A3401&lt;&gt;"",ISNUMBER(A3401)),VLOOKUP(A3401,Studies!A:BR,6,FALSE),"")</f>
        <v>Serum</v>
      </c>
      <c r="G3401" s="194">
        <v>12</v>
      </c>
      <c r="H3401" s="194" t="s">
        <v>60</v>
      </c>
      <c r="I3401" s="187">
        <v>1.412385</v>
      </c>
      <c r="J3401" s="187" t="s">
        <v>1054</v>
      </c>
      <c r="K3401" s="187" t="s">
        <v>389</v>
      </c>
      <c r="L3401" s="195"/>
      <c r="M3401" s="195"/>
      <c r="N3401" s="195"/>
      <c r="O3401" s="199"/>
      <c r="P3401" s="188"/>
      <c r="Q3401" s="174">
        <f>IF(ISNUMBER(VLOOKUP(A3401,NotghiID!A:A,1,FALSE)),1,0)</f>
        <v>1</v>
      </c>
    </row>
    <row r="3402" spans="1:17" ht="14.25" x14ac:dyDescent="0.2">
      <c r="A3402" s="189">
        <v>384</v>
      </c>
      <c r="B3402" s="232" t="str">
        <f>IF(AND(A3402&lt;&gt;"",ISNUMBER(A3402)),VLOOKUP(A3402,Studies!A:BR,2,FALSE),"")</f>
        <v>Peloquin 1999</v>
      </c>
      <c r="C3402" s="232" t="str">
        <f>IF(AND(A3402&lt;&gt;"",ISNUMBER(A3402)),VLOOKUP(A3402,Studies!A:BR,3,FALSE),"")</f>
        <v>https://www.ncbi.nlm.nih.gov/pubmed/9925057</v>
      </c>
      <c r="D3402" s="232" t="str">
        <f>IF(AND(A3402&lt;&gt;"",ISNUMBER(A3402)),VLOOKUP(A3402,Studies!A:BR,4,FALSE),"")</f>
        <v>fast1</v>
      </c>
      <c r="E3402" s="206" t="str">
        <f>IF(AND(A3402&lt;&gt;"",ISNUMBER(A3402)),VLOOKUP(A3402,Studies!A:BR,5,FALSE),"")</f>
        <v>Rifampicin</v>
      </c>
      <c r="F3402" s="207" t="str">
        <f>IF(AND(A3402&lt;&gt;"",ISNUMBER(A3402)),VLOOKUP(A3402,Studies!A:BR,6,FALSE),"")</f>
        <v>Serum</v>
      </c>
      <c r="G3402" s="194">
        <v>16</v>
      </c>
      <c r="H3402" s="194" t="s">
        <v>60</v>
      </c>
      <c r="I3402" s="187">
        <v>0.51452850000000006</v>
      </c>
      <c r="J3402" s="187" t="s">
        <v>1054</v>
      </c>
      <c r="K3402" s="187" t="s">
        <v>389</v>
      </c>
      <c r="L3402" s="195"/>
      <c r="M3402" s="195"/>
      <c r="N3402" s="195"/>
      <c r="O3402" s="199"/>
      <c r="P3402" s="188"/>
      <c r="Q3402" s="174">
        <f>IF(ISNUMBER(VLOOKUP(A3402,NotghiID!A:A,1,FALSE)),1,0)</f>
        <v>1</v>
      </c>
    </row>
    <row r="3403" spans="1:17" ht="14.25" x14ac:dyDescent="0.2">
      <c r="A3403" s="189">
        <v>384</v>
      </c>
      <c r="B3403" s="232" t="str">
        <f>IF(AND(A3403&lt;&gt;"",ISNUMBER(A3403)),VLOOKUP(A3403,Studies!A:BR,2,FALSE),"")</f>
        <v>Peloquin 1999</v>
      </c>
      <c r="C3403" s="232" t="str">
        <f>IF(AND(A3403&lt;&gt;"",ISNUMBER(A3403)),VLOOKUP(A3403,Studies!A:BR,3,FALSE),"")</f>
        <v>https://www.ncbi.nlm.nih.gov/pubmed/9925057</v>
      </c>
      <c r="D3403" s="232" t="str">
        <f>IF(AND(A3403&lt;&gt;"",ISNUMBER(A3403)),VLOOKUP(A3403,Studies!A:BR,4,FALSE),"")</f>
        <v>fast1</v>
      </c>
      <c r="E3403" s="206" t="str">
        <f>IF(AND(A3403&lt;&gt;"",ISNUMBER(A3403)),VLOOKUP(A3403,Studies!A:BR,5,FALSE),"")</f>
        <v>Rifampicin</v>
      </c>
      <c r="F3403" s="207" t="str">
        <f>IF(AND(A3403&lt;&gt;"",ISNUMBER(A3403)),VLOOKUP(A3403,Studies!A:BR,6,FALSE),"")</f>
        <v>Serum</v>
      </c>
      <c r="G3403" s="194">
        <v>24</v>
      </c>
      <c r="H3403" s="194" t="s">
        <v>60</v>
      </c>
      <c r="I3403" s="187">
        <v>3.7196710000000001E-2</v>
      </c>
      <c r="J3403" s="187" t="s">
        <v>1054</v>
      </c>
      <c r="K3403" s="187" t="s">
        <v>389</v>
      </c>
      <c r="L3403" s="195"/>
      <c r="M3403" s="195"/>
      <c r="N3403" s="195"/>
      <c r="O3403" s="199"/>
      <c r="P3403" s="188"/>
      <c r="Q3403" s="174">
        <f>IF(ISNUMBER(VLOOKUP(A3403,NotghiID!A:A,1,FALSE)),1,0)</f>
        <v>1</v>
      </c>
    </row>
    <row r="3404" spans="1:17" ht="14.25" x14ac:dyDescent="0.2">
      <c r="A3404" s="189">
        <v>385</v>
      </c>
      <c r="B3404" s="232" t="str">
        <f>IF(AND(A3404&lt;&gt;"",ISNUMBER(A3404)),VLOOKUP(A3404,Studies!A:BR,2,FALSE),"")</f>
        <v>Peloquin 1999</v>
      </c>
      <c r="C3404" s="232" t="str">
        <f>IF(AND(A3404&lt;&gt;"",ISNUMBER(A3404)),VLOOKUP(A3404,Studies!A:BR,3,FALSE),"")</f>
        <v>https://www.ncbi.nlm.nih.gov/pubmed/9925057</v>
      </c>
      <c r="D3404" s="232" t="str">
        <f>IF(AND(A3404&lt;&gt;"",ISNUMBER(A3404)),VLOOKUP(A3404,Studies!A:BR,4,FALSE),"")</f>
        <v>fast2</v>
      </c>
      <c r="E3404" s="206" t="str">
        <f>IF(AND(A3404&lt;&gt;"",ISNUMBER(A3404)),VLOOKUP(A3404,Studies!A:BR,5,FALSE),"")</f>
        <v>Rifampicin</v>
      </c>
      <c r="F3404" s="207" t="str">
        <f>IF(AND(A3404&lt;&gt;"",ISNUMBER(A3404)),VLOOKUP(A3404,Studies!A:BR,6,FALSE),"")</f>
        <v>Serum</v>
      </c>
      <c r="G3404" s="194">
        <v>0</v>
      </c>
      <c r="H3404" s="194" t="s">
        <v>60</v>
      </c>
      <c r="I3404" s="187">
        <v>0</v>
      </c>
      <c r="J3404" s="187" t="s">
        <v>1054</v>
      </c>
      <c r="K3404" s="187" t="s">
        <v>389</v>
      </c>
      <c r="L3404" s="195"/>
      <c r="M3404" s="195"/>
      <c r="N3404" s="195"/>
      <c r="O3404" s="199"/>
      <c r="P3404" s="188"/>
      <c r="Q3404" s="174">
        <f>IF(ISNUMBER(VLOOKUP(A3404,NotghiID!A:A,1,FALSE)),1,0)</f>
        <v>1</v>
      </c>
    </row>
    <row r="3405" spans="1:17" ht="14.25" x14ac:dyDescent="0.2">
      <c r="A3405" s="189">
        <v>385</v>
      </c>
      <c r="B3405" s="232" t="str">
        <f>IF(AND(A3405&lt;&gt;"",ISNUMBER(A3405)),VLOOKUP(A3405,Studies!A:BR,2,FALSE),"")</f>
        <v>Peloquin 1999</v>
      </c>
      <c r="C3405" s="232" t="str">
        <f>IF(AND(A3405&lt;&gt;"",ISNUMBER(A3405)),VLOOKUP(A3405,Studies!A:BR,3,FALSE),"")</f>
        <v>https://www.ncbi.nlm.nih.gov/pubmed/9925057</v>
      </c>
      <c r="D3405" s="232" t="str">
        <f>IF(AND(A3405&lt;&gt;"",ISNUMBER(A3405)),VLOOKUP(A3405,Studies!A:BR,4,FALSE),"")</f>
        <v>fast2</v>
      </c>
      <c r="E3405" s="206" t="str">
        <f>IF(AND(A3405&lt;&gt;"",ISNUMBER(A3405)),VLOOKUP(A3405,Studies!A:BR,5,FALSE),"")</f>
        <v>Rifampicin</v>
      </c>
      <c r="F3405" s="207" t="str">
        <f>IF(AND(A3405&lt;&gt;"",ISNUMBER(A3405)),VLOOKUP(A3405,Studies!A:BR,6,FALSE),"")</f>
        <v>Serum</v>
      </c>
      <c r="G3405" s="194">
        <v>0.25</v>
      </c>
      <c r="H3405" s="194" t="s">
        <v>60</v>
      </c>
      <c r="I3405" s="187">
        <v>-2.069942E-2</v>
      </c>
      <c r="J3405" s="187" t="s">
        <v>1054</v>
      </c>
      <c r="K3405" s="187" t="s">
        <v>389</v>
      </c>
      <c r="L3405" s="195"/>
      <c r="M3405" s="195"/>
      <c r="N3405" s="195"/>
      <c r="O3405" s="199"/>
      <c r="P3405" s="188"/>
      <c r="Q3405" s="174">
        <f>IF(ISNUMBER(VLOOKUP(A3405,NotghiID!A:A,1,FALSE)),1,0)</f>
        <v>1</v>
      </c>
    </row>
    <row r="3406" spans="1:17" ht="14.25" x14ac:dyDescent="0.2">
      <c r="A3406" s="189">
        <v>385</v>
      </c>
      <c r="B3406" s="232" t="str">
        <f>IF(AND(A3406&lt;&gt;"",ISNUMBER(A3406)),VLOOKUP(A3406,Studies!A:BR,2,FALSE),"")</f>
        <v>Peloquin 1999</v>
      </c>
      <c r="C3406" s="232" t="str">
        <f>IF(AND(A3406&lt;&gt;"",ISNUMBER(A3406)),VLOOKUP(A3406,Studies!A:BR,3,FALSE),"")</f>
        <v>https://www.ncbi.nlm.nih.gov/pubmed/9925057</v>
      </c>
      <c r="D3406" s="232" t="str">
        <f>IF(AND(A3406&lt;&gt;"",ISNUMBER(A3406)),VLOOKUP(A3406,Studies!A:BR,4,FALSE),"")</f>
        <v>fast2</v>
      </c>
      <c r="E3406" s="206" t="str">
        <f>IF(AND(A3406&lt;&gt;"",ISNUMBER(A3406)),VLOOKUP(A3406,Studies!A:BR,5,FALSE),"")</f>
        <v>Rifampicin</v>
      </c>
      <c r="F3406" s="207" t="str">
        <f>IF(AND(A3406&lt;&gt;"",ISNUMBER(A3406)),VLOOKUP(A3406,Studies!A:BR,6,FALSE),"")</f>
        <v>Serum</v>
      </c>
      <c r="G3406" s="194">
        <v>0.5</v>
      </c>
      <c r="H3406" s="194" t="s">
        <v>60</v>
      </c>
      <c r="I3406" s="187">
        <v>0.14660790000000001</v>
      </c>
      <c r="J3406" s="187" t="s">
        <v>1054</v>
      </c>
      <c r="K3406" s="187" t="s">
        <v>389</v>
      </c>
      <c r="L3406" s="195"/>
      <c r="M3406" s="195"/>
      <c r="N3406" s="195"/>
      <c r="O3406" s="199"/>
      <c r="P3406" s="188"/>
      <c r="Q3406" s="174">
        <f>IF(ISNUMBER(VLOOKUP(A3406,NotghiID!A:A,1,FALSE)),1,0)</f>
        <v>1</v>
      </c>
    </row>
    <row r="3407" spans="1:17" ht="14.25" x14ac:dyDescent="0.2">
      <c r="A3407" s="189">
        <v>385</v>
      </c>
      <c r="B3407" s="232" t="str">
        <f>IF(AND(A3407&lt;&gt;"",ISNUMBER(A3407)),VLOOKUP(A3407,Studies!A:BR,2,FALSE),"")</f>
        <v>Peloquin 1999</v>
      </c>
      <c r="C3407" s="232" t="str">
        <f>IF(AND(A3407&lt;&gt;"",ISNUMBER(A3407)),VLOOKUP(A3407,Studies!A:BR,3,FALSE),"")</f>
        <v>https://www.ncbi.nlm.nih.gov/pubmed/9925057</v>
      </c>
      <c r="D3407" s="232" t="str">
        <f>IF(AND(A3407&lt;&gt;"",ISNUMBER(A3407)),VLOOKUP(A3407,Studies!A:BR,4,FALSE),"")</f>
        <v>fast2</v>
      </c>
      <c r="E3407" s="206" t="str">
        <f>IF(AND(A3407&lt;&gt;"",ISNUMBER(A3407)),VLOOKUP(A3407,Studies!A:BR,5,FALSE),"")</f>
        <v>Rifampicin</v>
      </c>
      <c r="F3407" s="207" t="str">
        <f>IF(AND(A3407&lt;&gt;"",ISNUMBER(A3407)),VLOOKUP(A3407,Studies!A:BR,6,FALSE),"")</f>
        <v>Serum</v>
      </c>
      <c r="G3407" s="194">
        <v>0.75</v>
      </c>
      <c r="H3407" s="194" t="s">
        <v>60</v>
      </c>
      <c r="I3407" s="187">
        <v>3.2521439999999999</v>
      </c>
      <c r="J3407" s="187" t="s">
        <v>1054</v>
      </c>
      <c r="K3407" s="187" t="s">
        <v>389</v>
      </c>
      <c r="L3407" s="195"/>
      <c r="M3407" s="195"/>
      <c r="N3407" s="195"/>
      <c r="O3407" s="199"/>
      <c r="P3407" s="188"/>
      <c r="Q3407" s="174">
        <f>IF(ISNUMBER(VLOOKUP(A3407,NotghiID!A:A,1,FALSE)),1,0)</f>
        <v>1</v>
      </c>
    </row>
    <row r="3408" spans="1:17" ht="14.25" x14ac:dyDescent="0.2">
      <c r="A3408" s="189">
        <v>385</v>
      </c>
      <c r="B3408" s="232" t="str">
        <f>IF(AND(A3408&lt;&gt;"",ISNUMBER(A3408)),VLOOKUP(A3408,Studies!A:BR,2,FALSE),"")</f>
        <v>Peloquin 1999</v>
      </c>
      <c r="C3408" s="232" t="str">
        <f>IF(AND(A3408&lt;&gt;"",ISNUMBER(A3408)),VLOOKUP(A3408,Studies!A:BR,3,FALSE),"")</f>
        <v>https://www.ncbi.nlm.nih.gov/pubmed/9925057</v>
      </c>
      <c r="D3408" s="232" t="str">
        <f>IF(AND(A3408&lt;&gt;"",ISNUMBER(A3408)),VLOOKUP(A3408,Studies!A:BR,4,FALSE),"")</f>
        <v>fast2</v>
      </c>
      <c r="E3408" s="206" t="str">
        <f>IF(AND(A3408&lt;&gt;"",ISNUMBER(A3408)),VLOOKUP(A3408,Studies!A:BR,5,FALSE),"")</f>
        <v>Rifampicin</v>
      </c>
      <c r="F3408" s="207" t="str">
        <f>IF(AND(A3408&lt;&gt;"",ISNUMBER(A3408)),VLOOKUP(A3408,Studies!A:BR,6,FALSE),"")</f>
        <v>Serum</v>
      </c>
      <c r="G3408" s="194">
        <v>1</v>
      </c>
      <c r="H3408" s="194" t="s">
        <v>60</v>
      </c>
      <c r="I3408" s="187">
        <v>5.8865730000000003</v>
      </c>
      <c r="J3408" s="187" t="s">
        <v>1054</v>
      </c>
      <c r="K3408" s="187" t="s">
        <v>389</v>
      </c>
      <c r="L3408" s="195"/>
      <c r="M3408" s="195"/>
      <c r="N3408" s="195"/>
      <c r="O3408" s="199"/>
      <c r="P3408" s="188"/>
      <c r="Q3408" s="174">
        <f>IF(ISNUMBER(VLOOKUP(A3408,NotghiID!A:A,1,FALSE)),1,0)</f>
        <v>1</v>
      </c>
    </row>
    <row r="3409" spans="1:17" ht="14.25" x14ac:dyDescent="0.2">
      <c r="A3409" s="189">
        <v>385</v>
      </c>
      <c r="B3409" s="232" t="str">
        <f>IF(AND(A3409&lt;&gt;"",ISNUMBER(A3409)),VLOOKUP(A3409,Studies!A:BR,2,FALSE),"")</f>
        <v>Peloquin 1999</v>
      </c>
      <c r="C3409" s="232" t="str">
        <f>IF(AND(A3409&lt;&gt;"",ISNUMBER(A3409)),VLOOKUP(A3409,Studies!A:BR,3,FALSE),"")</f>
        <v>https://www.ncbi.nlm.nih.gov/pubmed/9925057</v>
      </c>
      <c r="D3409" s="232" t="str">
        <f>IF(AND(A3409&lt;&gt;"",ISNUMBER(A3409)),VLOOKUP(A3409,Studies!A:BR,4,FALSE),"")</f>
        <v>fast2</v>
      </c>
      <c r="E3409" s="206" t="str">
        <f>IF(AND(A3409&lt;&gt;"",ISNUMBER(A3409)),VLOOKUP(A3409,Studies!A:BR,5,FALSE),"")</f>
        <v>Rifampicin</v>
      </c>
      <c r="F3409" s="207" t="str">
        <f>IF(AND(A3409&lt;&gt;"",ISNUMBER(A3409)),VLOOKUP(A3409,Studies!A:BR,6,FALSE),"")</f>
        <v>Serum</v>
      </c>
      <c r="G3409" s="194">
        <v>1.5</v>
      </c>
      <c r="H3409" s="194" t="s">
        <v>60</v>
      </c>
      <c r="I3409" s="187">
        <v>8.2178269999999998</v>
      </c>
      <c r="J3409" s="187" t="s">
        <v>1054</v>
      </c>
      <c r="K3409" s="187" t="s">
        <v>389</v>
      </c>
      <c r="L3409" s="195"/>
      <c r="M3409" s="195"/>
      <c r="N3409" s="195"/>
      <c r="O3409" s="199"/>
      <c r="P3409" s="188"/>
      <c r="Q3409" s="174">
        <f>IF(ISNUMBER(VLOOKUP(A3409,NotghiID!A:A,1,FALSE)),1,0)</f>
        <v>1</v>
      </c>
    </row>
    <row r="3410" spans="1:17" ht="14.25" x14ac:dyDescent="0.2">
      <c r="A3410" s="189">
        <v>385</v>
      </c>
      <c r="B3410" s="232" t="str">
        <f>IF(AND(A3410&lt;&gt;"",ISNUMBER(A3410)),VLOOKUP(A3410,Studies!A:BR,2,FALSE),"")</f>
        <v>Peloquin 1999</v>
      </c>
      <c r="C3410" s="232" t="str">
        <f>IF(AND(A3410&lt;&gt;"",ISNUMBER(A3410)),VLOOKUP(A3410,Studies!A:BR,3,FALSE),"")</f>
        <v>https://www.ncbi.nlm.nih.gov/pubmed/9925057</v>
      </c>
      <c r="D3410" s="232" t="str">
        <f>IF(AND(A3410&lt;&gt;"",ISNUMBER(A3410)),VLOOKUP(A3410,Studies!A:BR,4,FALSE),"")</f>
        <v>fast2</v>
      </c>
      <c r="E3410" s="206" t="str">
        <f>IF(AND(A3410&lt;&gt;"",ISNUMBER(A3410)),VLOOKUP(A3410,Studies!A:BR,5,FALSE),"")</f>
        <v>Rifampicin</v>
      </c>
      <c r="F3410" s="207" t="str">
        <f>IF(AND(A3410&lt;&gt;"",ISNUMBER(A3410)),VLOOKUP(A3410,Studies!A:BR,6,FALSE),"")</f>
        <v>Serum</v>
      </c>
      <c r="G3410" s="194">
        <v>2</v>
      </c>
      <c r="H3410" s="194" t="s">
        <v>60</v>
      </c>
      <c r="I3410" s="187">
        <v>8.4399180000000005</v>
      </c>
      <c r="J3410" s="187" t="s">
        <v>1054</v>
      </c>
      <c r="K3410" s="187" t="s">
        <v>389</v>
      </c>
      <c r="L3410" s="195"/>
      <c r="M3410" s="195"/>
      <c r="N3410" s="195"/>
      <c r="O3410" s="199"/>
      <c r="P3410" s="188"/>
      <c r="Q3410" s="174">
        <f>IF(ISNUMBER(VLOOKUP(A3410,NotghiID!A:A,1,FALSE)),1,0)</f>
        <v>1</v>
      </c>
    </row>
    <row r="3411" spans="1:17" ht="14.25" x14ac:dyDescent="0.2">
      <c r="A3411" s="189">
        <v>385</v>
      </c>
      <c r="B3411" s="232" t="str">
        <f>IF(AND(A3411&lt;&gt;"",ISNUMBER(A3411)),VLOOKUP(A3411,Studies!A:BR,2,FALSE),"")</f>
        <v>Peloquin 1999</v>
      </c>
      <c r="C3411" s="232" t="str">
        <f>IF(AND(A3411&lt;&gt;"",ISNUMBER(A3411)),VLOOKUP(A3411,Studies!A:BR,3,FALSE),"")</f>
        <v>https://www.ncbi.nlm.nih.gov/pubmed/9925057</v>
      </c>
      <c r="D3411" s="232" t="str">
        <f>IF(AND(A3411&lt;&gt;"",ISNUMBER(A3411)),VLOOKUP(A3411,Studies!A:BR,4,FALSE),"")</f>
        <v>fast2</v>
      </c>
      <c r="E3411" s="206" t="str">
        <f>IF(AND(A3411&lt;&gt;"",ISNUMBER(A3411)),VLOOKUP(A3411,Studies!A:BR,5,FALSE),"")</f>
        <v>Rifampicin</v>
      </c>
      <c r="F3411" s="207" t="str">
        <f>IF(AND(A3411&lt;&gt;"",ISNUMBER(A3411)),VLOOKUP(A3411,Studies!A:BR,6,FALSE),"")</f>
        <v>Serum</v>
      </c>
      <c r="G3411" s="194">
        <v>2.5</v>
      </c>
      <c r="H3411" s="194" t="s">
        <v>60</v>
      </c>
      <c r="I3411" s="187">
        <v>7.6449350000000003</v>
      </c>
      <c r="J3411" s="187" t="s">
        <v>1054</v>
      </c>
      <c r="K3411" s="187" t="s">
        <v>389</v>
      </c>
      <c r="L3411" s="195"/>
      <c r="M3411" s="195"/>
      <c r="N3411" s="195"/>
      <c r="O3411" s="199"/>
      <c r="P3411" s="188"/>
      <c r="Q3411" s="174">
        <f>IF(ISNUMBER(VLOOKUP(A3411,NotghiID!A:A,1,FALSE)),1,0)</f>
        <v>1</v>
      </c>
    </row>
    <row r="3412" spans="1:17" ht="14.25" x14ac:dyDescent="0.2">
      <c r="A3412" s="189">
        <v>385</v>
      </c>
      <c r="B3412" s="232" t="str">
        <f>IF(AND(A3412&lt;&gt;"",ISNUMBER(A3412)),VLOOKUP(A3412,Studies!A:BR,2,FALSE),"")</f>
        <v>Peloquin 1999</v>
      </c>
      <c r="C3412" s="232" t="str">
        <f>IF(AND(A3412&lt;&gt;"",ISNUMBER(A3412)),VLOOKUP(A3412,Studies!A:BR,3,FALSE),"")</f>
        <v>https://www.ncbi.nlm.nih.gov/pubmed/9925057</v>
      </c>
      <c r="D3412" s="232" t="str">
        <f>IF(AND(A3412&lt;&gt;"",ISNUMBER(A3412)),VLOOKUP(A3412,Studies!A:BR,4,FALSE),"")</f>
        <v>fast2</v>
      </c>
      <c r="E3412" s="206" t="str">
        <f>IF(AND(A3412&lt;&gt;"",ISNUMBER(A3412)),VLOOKUP(A3412,Studies!A:BR,5,FALSE),"")</f>
        <v>Rifampicin</v>
      </c>
      <c r="F3412" s="207" t="str">
        <f>IF(AND(A3412&lt;&gt;"",ISNUMBER(A3412)),VLOOKUP(A3412,Studies!A:BR,6,FALSE),"")</f>
        <v>Serum</v>
      </c>
      <c r="G3412" s="194">
        <v>3</v>
      </c>
      <c r="H3412" s="194" t="s">
        <v>60</v>
      </c>
      <c r="I3412" s="187">
        <v>7.1325849999999997</v>
      </c>
      <c r="J3412" s="187" t="s">
        <v>1054</v>
      </c>
      <c r="K3412" s="187" t="s">
        <v>389</v>
      </c>
      <c r="L3412" s="195"/>
      <c r="M3412" s="195"/>
      <c r="N3412" s="195"/>
      <c r="O3412" s="199"/>
      <c r="P3412" s="188"/>
      <c r="Q3412" s="174">
        <f>IF(ISNUMBER(VLOOKUP(A3412,NotghiID!A:A,1,FALSE)),1,0)</f>
        <v>1</v>
      </c>
    </row>
    <row r="3413" spans="1:17" ht="14.25" x14ac:dyDescent="0.2">
      <c r="A3413" s="189">
        <v>385</v>
      </c>
      <c r="B3413" s="232" t="str">
        <f>IF(AND(A3413&lt;&gt;"",ISNUMBER(A3413)),VLOOKUP(A3413,Studies!A:BR,2,FALSE),"")</f>
        <v>Peloquin 1999</v>
      </c>
      <c r="C3413" s="232" t="str">
        <f>IF(AND(A3413&lt;&gt;"",ISNUMBER(A3413)),VLOOKUP(A3413,Studies!A:BR,3,FALSE),"")</f>
        <v>https://www.ncbi.nlm.nih.gov/pubmed/9925057</v>
      </c>
      <c r="D3413" s="232" t="str">
        <f>IF(AND(A3413&lt;&gt;"",ISNUMBER(A3413)),VLOOKUP(A3413,Studies!A:BR,4,FALSE),"")</f>
        <v>fast2</v>
      </c>
      <c r="E3413" s="206" t="str">
        <f>IF(AND(A3413&lt;&gt;"",ISNUMBER(A3413)),VLOOKUP(A3413,Studies!A:BR,5,FALSE),"")</f>
        <v>Rifampicin</v>
      </c>
      <c r="F3413" s="207" t="str">
        <f>IF(AND(A3413&lt;&gt;"",ISNUMBER(A3413)),VLOOKUP(A3413,Studies!A:BR,6,FALSE),"")</f>
        <v>Serum</v>
      </c>
      <c r="G3413" s="194">
        <v>4</v>
      </c>
      <c r="H3413" s="194" t="s">
        <v>60</v>
      </c>
      <c r="I3413" s="187">
        <v>6.8045070000000001</v>
      </c>
      <c r="J3413" s="187" t="s">
        <v>1054</v>
      </c>
      <c r="K3413" s="187" t="s">
        <v>389</v>
      </c>
      <c r="L3413" s="195"/>
      <c r="M3413" s="195"/>
      <c r="N3413" s="195"/>
      <c r="O3413" s="199"/>
      <c r="P3413" s="188"/>
      <c r="Q3413" s="174">
        <f>IF(ISNUMBER(VLOOKUP(A3413,NotghiID!A:A,1,FALSE)),1,0)</f>
        <v>1</v>
      </c>
    </row>
    <row r="3414" spans="1:17" ht="14.25" x14ac:dyDescent="0.2">
      <c r="A3414" s="189">
        <v>385</v>
      </c>
      <c r="B3414" s="232" t="str">
        <f>IF(AND(A3414&lt;&gt;"",ISNUMBER(A3414)),VLOOKUP(A3414,Studies!A:BR,2,FALSE),"")</f>
        <v>Peloquin 1999</v>
      </c>
      <c r="C3414" s="232" t="str">
        <f>IF(AND(A3414&lt;&gt;"",ISNUMBER(A3414)),VLOOKUP(A3414,Studies!A:BR,3,FALSE),"")</f>
        <v>https://www.ncbi.nlm.nih.gov/pubmed/9925057</v>
      </c>
      <c r="D3414" s="232" t="str">
        <f>IF(AND(A3414&lt;&gt;"",ISNUMBER(A3414)),VLOOKUP(A3414,Studies!A:BR,4,FALSE),"")</f>
        <v>fast2</v>
      </c>
      <c r="E3414" s="206" t="str">
        <f>IF(AND(A3414&lt;&gt;"",ISNUMBER(A3414)),VLOOKUP(A3414,Studies!A:BR,5,FALSE),"")</f>
        <v>Rifampicin</v>
      </c>
      <c r="F3414" s="207" t="str">
        <f>IF(AND(A3414&lt;&gt;"",ISNUMBER(A3414)),VLOOKUP(A3414,Studies!A:BR,6,FALSE),"")</f>
        <v>Serum</v>
      </c>
      <c r="G3414" s="194">
        <v>6</v>
      </c>
      <c r="H3414" s="194" t="s">
        <v>60</v>
      </c>
      <c r="I3414" s="187">
        <v>4.8304359999999997</v>
      </c>
      <c r="J3414" s="187" t="s">
        <v>1054</v>
      </c>
      <c r="K3414" s="187" t="s">
        <v>389</v>
      </c>
      <c r="L3414" s="195"/>
      <c r="M3414" s="195"/>
      <c r="N3414" s="195"/>
      <c r="O3414" s="199"/>
      <c r="P3414" s="188"/>
      <c r="Q3414" s="174">
        <f>IF(ISNUMBER(VLOOKUP(A3414,NotghiID!A:A,1,FALSE)),1,0)</f>
        <v>1</v>
      </c>
    </row>
    <row r="3415" spans="1:17" ht="14.25" x14ac:dyDescent="0.2">
      <c r="A3415" s="189">
        <v>385</v>
      </c>
      <c r="B3415" s="232" t="str">
        <f>IF(AND(A3415&lt;&gt;"",ISNUMBER(A3415)),VLOOKUP(A3415,Studies!A:BR,2,FALSE),"")</f>
        <v>Peloquin 1999</v>
      </c>
      <c r="C3415" s="232" t="str">
        <f>IF(AND(A3415&lt;&gt;"",ISNUMBER(A3415)),VLOOKUP(A3415,Studies!A:BR,3,FALSE),"")</f>
        <v>https://www.ncbi.nlm.nih.gov/pubmed/9925057</v>
      </c>
      <c r="D3415" s="232" t="str">
        <f>IF(AND(A3415&lt;&gt;"",ISNUMBER(A3415)),VLOOKUP(A3415,Studies!A:BR,4,FALSE),"")</f>
        <v>fast2</v>
      </c>
      <c r="E3415" s="206" t="str">
        <f>IF(AND(A3415&lt;&gt;"",ISNUMBER(A3415)),VLOOKUP(A3415,Studies!A:BR,5,FALSE),"")</f>
        <v>Rifampicin</v>
      </c>
      <c r="F3415" s="207" t="str">
        <f>IF(AND(A3415&lt;&gt;"",ISNUMBER(A3415)),VLOOKUP(A3415,Studies!A:BR,6,FALSE),"")</f>
        <v>Serum</v>
      </c>
      <c r="G3415" s="194">
        <v>8</v>
      </c>
      <c r="H3415" s="194" t="s">
        <v>60</v>
      </c>
      <c r="I3415" s="187">
        <v>3.2138580000000001</v>
      </c>
      <c r="J3415" s="187" t="s">
        <v>1054</v>
      </c>
      <c r="K3415" s="187" t="s">
        <v>389</v>
      </c>
      <c r="L3415" s="195"/>
      <c r="M3415" s="195"/>
      <c r="N3415" s="195"/>
      <c r="O3415" s="199"/>
      <c r="P3415" s="188"/>
      <c r="Q3415" s="174">
        <f>IF(ISNUMBER(VLOOKUP(A3415,NotghiID!A:A,1,FALSE)),1,0)</f>
        <v>1</v>
      </c>
    </row>
    <row r="3416" spans="1:17" ht="14.25" x14ac:dyDescent="0.2">
      <c r="A3416" s="189">
        <v>385</v>
      </c>
      <c r="B3416" s="232" t="str">
        <f>IF(AND(A3416&lt;&gt;"",ISNUMBER(A3416)),VLOOKUP(A3416,Studies!A:BR,2,FALSE),"")</f>
        <v>Peloquin 1999</v>
      </c>
      <c r="C3416" s="232" t="str">
        <f>IF(AND(A3416&lt;&gt;"",ISNUMBER(A3416)),VLOOKUP(A3416,Studies!A:BR,3,FALSE),"")</f>
        <v>https://www.ncbi.nlm.nih.gov/pubmed/9925057</v>
      </c>
      <c r="D3416" s="232" t="str">
        <f>IF(AND(A3416&lt;&gt;"",ISNUMBER(A3416)),VLOOKUP(A3416,Studies!A:BR,4,FALSE),"")</f>
        <v>fast2</v>
      </c>
      <c r="E3416" s="206" t="str">
        <f>IF(AND(A3416&lt;&gt;"",ISNUMBER(A3416)),VLOOKUP(A3416,Studies!A:BR,5,FALSE),"")</f>
        <v>Rifampicin</v>
      </c>
      <c r="F3416" s="207" t="str">
        <f>IF(AND(A3416&lt;&gt;"",ISNUMBER(A3416)),VLOOKUP(A3416,Studies!A:BR,6,FALSE),"")</f>
        <v>Serum</v>
      </c>
      <c r="G3416" s="194">
        <v>10</v>
      </c>
      <c r="H3416" s="194" t="s">
        <v>60</v>
      </c>
      <c r="I3416" s="187">
        <v>2.2377159999999998</v>
      </c>
      <c r="J3416" s="187" t="s">
        <v>1054</v>
      </c>
      <c r="K3416" s="187" t="s">
        <v>389</v>
      </c>
      <c r="L3416" s="195"/>
      <c r="M3416" s="195"/>
      <c r="N3416" s="195"/>
      <c r="O3416" s="199"/>
      <c r="P3416" s="188"/>
      <c r="Q3416" s="174">
        <f>IF(ISNUMBER(VLOOKUP(A3416,NotghiID!A:A,1,FALSE)),1,0)</f>
        <v>1</v>
      </c>
    </row>
    <row r="3417" spans="1:17" ht="14.25" x14ac:dyDescent="0.2">
      <c r="A3417" s="189">
        <v>385</v>
      </c>
      <c r="B3417" s="232" t="str">
        <f>IF(AND(A3417&lt;&gt;"",ISNUMBER(A3417)),VLOOKUP(A3417,Studies!A:BR,2,FALSE),"")</f>
        <v>Peloquin 1999</v>
      </c>
      <c r="C3417" s="232" t="str">
        <f>IF(AND(A3417&lt;&gt;"",ISNUMBER(A3417)),VLOOKUP(A3417,Studies!A:BR,3,FALSE),"")</f>
        <v>https://www.ncbi.nlm.nih.gov/pubmed/9925057</v>
      </c>
      <c r="D3417" s="232" t="str">
        <f>IF(AND(A3417&lt;&gt;"",ISNUMBER(A3417)),VLOOKUP(A3417,Studies!A:BR,4,FALSE),"")</f>
        <v>fast2</v>
      </c>
      <c r="E3417" s="206" t="str">
        <f>IF(AND(A3417&lt;&gt;"",ISNUMBER(A3417)),VLOOKUP(A3417,Studies!A:BR,5,FALSE),"")</f>
        <v>Rifampicin</v>
      </c>
      <c r="F3417" s="207" t="str">
        <f>IF(AND(A3417&lt;&gt;"",ISNUMBER(A3417)),VLOOKUP(A3417,Studies!A:BR,6,FALSE),"")</f>
        <v>Serum</v>
      </c>
      <c r="G3417" s="194">
        <v>12</v>
      </c>
      <c r="H3417" s="194" t="s">
        <v>60</v>
      </c>
      <c r="I3417" s="187">
        <v>1.242899</v>
      </c>
      <c r="J3417" s="187" t="s">
        <v>1054</v>
      </c>
      <c r="K3417" s="187" t="s">
        <v>389</v>
      </c>
      <c r="L3417" s="195"/>
      <c r="M3417" s="195"/>
      <c r="N3417" s="195"/>
      <c r="O3417" s="199"/>
      <c r="P3417" s="188"/>
      <c r="Q3417" s="174">
        <f>IF(ISNUMBER(VLOOKUP(A3417,NotghiID!A:A,1,FALSE)),1,0)</f>
        <v>1</v>
      </c>
    </row>
    <row r="3418" spans="1:17" ht="14.25" x14ac:dyDescent="0.2">
      <c r="A3418" s="189">
        <v>385</v>
      </c>
      <c r="B3418" s="232" t="str">
        <f>IF(AND(A3418&lt;&gt;"",ISNUMBER(A3418)),VLOOKUP(A3418,Studies!A:BR,2,FALSE),"")</f>
        <v>Peloquin 1999</v>
      </c>
      <c r="C3418" s="232" t="str">
        <f>IF(AND(A3418&lt;&gt;"",ISNUMBER(A3418)),VLOOKUP(A3418,Studies!A:BR,3,FALSE),"")</f>
        <v>https://www.ncbi.nlm.nih.gov/pubmed/9925057</v>
      </c>
      <c r="D3418" s="232" t="str">
        <f>IF(AND(A3418&lt;&gt;"",ISNUMBER(A3418)),VLOOKUP(A3418,Studies!A:BR,4,FALSE),"")</f>
        <v>fast2</v>
      </c>
      <c r="E3418" s="206" t="str">
        <f>IF(AND(A3418&lt;&gt;"",ISNUMBER(A3418)),VLOOKUP(A3418,Studies!A:BR,5,FALSE),"")</f>
        <v>Rifampicin</v>
      </c>
      <c r="F3418" s="207" t="str">
        <f>IF(AND(A3418&lt;&gt;"",ISNUMBER(A3418)),VLOOKUP(A3418,Studies!A:BR,6,FALSE),"")</f>
        <v>Serum</v>
      </c>
      <c r="G3418" s="194">
        <v>16</v>
      </c>
      <c r="H3418" s="194" t="s">
        <v>60</v>
      </c>
      <c r="I3418" s="187">
        <v>0.32621040000000001</v>
      </c>
      <c r="J3418" s="187" t="s">
        <v>1054</v>
      </c>
      <c r="K3418" s="187" t="s">
        <v>389</v>
      </c>
      <c r="L3418" s="195"/>
      <c r="M3418" s="195"/>
      <c r="N3418" s="195"/>
      <c r="O3418" s="199"/>
      <c r="P3418" s="188"/>
      <c r="Q3418" s="174">
        <f>IF(ISNUMBER(VLOOKUP(A3418,NotghiID!A:A,1,FALSE)),1,0)</f>
        <v>1</v>
      </c>
    </row>
    <row r="3419" spans="1:17" ht="14.25" x14ac:dyDescent="0.2">
      <c r="A3419" s="189">
        <v>385</v>
      </c>
      <c r="B3419" s="232" t="str">
        <f>IF(AND(A3419&lt;&gt;"",ISNUMBER(A3419)),VLOOKUP(A3419,Studies!A:BR,2,FALSE),"")</f>
        <v>Peloquin 1999</v>
      </c>
      <c r="C3419" s="232" t="str">
        <f>IF(AND(A3419&lt;&gt;"",ISNUMBER(A3419)),VLOOKUP(A3419,Studies!A:BR,3,FALSE),"")</f>
        <v>https://www.ncbi.nlm.nih.gov/pubmed/9925057</v>
      </c>
      <c r="D3419" s="232" t="str">
        <f>IF(AND(A3419&lt;&gt;"",ISNUMBER(A3419)),VLOOKUP(A3419,Studies!A:BR,4,FALSE),"")</f>
        <v>fast2</v>
      </c>
      <c r="E3419" s="206" t="str">
        <f>IF(AND(A3419&lt;&gt;"",ISNUMBER(A3419)),VLOOKUP(A3419,Studies!A:BR,5,FALSE),"")</f>
        <v>Rifampicin</v>
      </c>
      <c r="F3419" s="207" t="str">
        <f>IF(AND(A3419&lt;&gt;"",ISNUMBER(A3419)),VLOOKUP(A3419,Studies!A:BR,6,FALSE),"")</f>
        <v>Serum</v>
      </c>
      <c r="G3419" s="194">
        <v>24</v>
      </c>
      <c r="H3419" s="194" t="s">
        <v>60</v>
      </c>
      <c r="I3419" s="187">
        <v>-1.9454349999999999E-2</v>
      </c>
      <c r="J3419" s="187" t="s">
        <v>1054</v>
      </c>
      <c r="K3419" s="187" t="s">
        <v>389</v>
      </c>
      <c r="L3419" s="195"/>
      <c r="M3419" s="195"/>
      <c r="N3419" s="195"/>
      <c r="O3419" s="199"/>
      <c r="P3419" s="188"/>
      <c r="Q3419" s="174">
        <f>IF(ISNUMBER(VLOOKUP(A3419,NotghiID!A:A,1,FALSE)),1,0)</f>
        <v>1</v>
      </c>
    </row>
    <row r="3420" spans="1:17" ht="14.25" x14ac:dyDescent="0.2">
      <c r="A3420" s="189">
        <v>386</v>
      </c>
      <c r="B3420" s="232" t="str">
        <f>IF(AND(A3420&lt;&gt;"",ISNUMBER(A3420)),VLOOKUP(A3420,Studies!A:BR,2,FALSE),"")</f>
        <v>Peloquin 1999</v>
      </c>
      <c r="C3420" s="232" t="str">
        <f>IF(AND(A3420&lt;&gt;"",ISNUMBER(A3420)),VLOOKUP(A3420,Studies!A:BR,3,FALSE),"")</f>
        <v>https://www.ncbi.nlm.nih.gov/pubmed/9925057</v>
      </c>
      <c r="D3420" s="232" t="str">
        <f>IF(AND(A3420&lt;&gt;"",ISNUMBER(A3420)),VLOOKUP(A3420,Studies!A:BR,4,FALSE),"")</f>
        <v>antacid</v>
      </c>
      <c r="E3420" s="206" t="str">
        <f>IF(AND(A3420&lt;&gt;"",ISNUMBER(A3420)),VLOOKUP(A3420,Studies!A:BR,5,FALSE),"")</f>
        <v>Rifampicin</v>
      </c>
      <c r="F3420" s="207" t="str">
        <f>IF(AND(A3420&lt;&gt;"",ISNUMBER(A3420)),VLOOKUP(A3420,Studies!A:BR,6,FALSE),"")</f>
        <v>Serum</v>
      </c>
      <c r="G3420" s="194">
        <v>0</v>
      </c>
      <c r="H3420" s="194" t="s">
        <v>60</v>
      </c>
      <c r="I3420" s="187">
        <v>0</v>
      </c>
      <c r="J3420" s="187" t="s">
        <v>1054</v>
      </c>
      <c r="K3420" s="187" t="s">
        <v>389</v>
      </c>
      <c r="L3420" s="195"/>
      <c r="M3420" s="195"/>
      <c r="N3420" s="195"/>
      <c r="O3420" s="199"/>
      <c r="P3420" s="188"/>
      <c r="Q3420" s="174">
        <f>IF(ISNUMBER(VLOOKUP(A3420,NotghiID!A:A,1,FALSE)),1,0)</f>
        <v>1</v>
      </c>
    </row>
    <row r="3421" spans="1:17" ht="14.25" x14ac:dyDescent="0.2">
      <c r="A3421" s="189">
        <v>386</v>
      </c>
      <c r="B3421" s="232" t="str">
        <f>IF(AND(A3421&lt;&gt;"",ISNUMBER(A3421)),VLOOKUP(A3421,Studies!A:BR,2,FALSE),"")</f>
        <v>Peloquin 1999</v>
      </c>
      <c r="C3421" s="232" t="str">
        <f>IF(AND(A3421&lt;&gt;"",ISNUMBER(A3421)),VLOOKUP(A3421,Studies!A:BR,3,FALSE),"")</f>
        <v>https://www.ncbi.nlm.nih.gov/pubmed/9925057</v>
      </c>
      <c r="D3421" s="232" t="str">
        <f>IF(AND(A3421&lt;&gt;"",ISNUMBER(A3421)),VLOOKUP(A3421,Studies!A:BR,4,FALSE),"")</f>
        <v>antacid</v>
      </c>
      <c r="E3421" s="206" t="str">
        <f>IF(AND(A3421&lt;&gt;"",ISNUMBER(A3421)),VLOOKUP(A3421,Studies!A:BR,5,FALSE),"")</f>
        <v>Rifampicin</v>
      </c>
      <c r="F3421" s="207" t="str">
        <f>IF(AND(A3421&lt;&gt;"",ISNUMBER(A3421)),VLOOKUP(A3421,Studies!A:BR,6,FALSE),"")</f>
        <v>Serum</v>
      </c>
      <c r="G3421" s="194">
        <v>0.25</v>
      </c>
      <c r="H3421" s="194" t="s">
        <v>60</v>
      </c>
      <c r="I3421" s="187"/>
      <c r="J3421" s="187"/>
      <c r="K3421" s="187"/>
      <c r="L3421" s="195"/>
      <c r="M3421" s="195"/>
      <c r="N3421" s="195"/>
      <c r="O3421" s="199"/>
      <c r="P3421" s="188" t="s">
        <v>1148</v>
      </c>
      <c r="Q3421" s="174">
        <f>IF(ISNUMBER(VLOOKUP(A3421,NotghiID!A:A,1,FALSE)),1,0)</f>
        <v>1</v>
      </c>
    </row>
    <row r="3422" spans="1:17" ht="14.25" x14ac:dyDescent="0.2">
      <c r="A3422" s="189">
        <v>386</v>
      </c>
      <c r="B3422" s="232" t="str">
        <f>IF(AND(A3422&lt;&gt;"",ISNUMBER(A3422)),VLOOKUP(A3422,Studies!A:BR,2,FALSE),"")</f>
        <v>Peloquin 1999</v>
      </c>
      <c r="C3422" s="232" t="str">
        <f>IF(AND(A3422&lt;&gt;"",ISNUMBER(A3422)),VLOOKUP(A3422,Studies!A:BR,3,FALSE),"")</f>
        <v>https://www.ncbi.nlm.nih.gov/pubmed/9925057</v>
      </c>
      <c r="D3422" s="232" t="str">
        <f>IF(AND(A3422&lt;&gt;"",ISNUMBER(A3422)),VLOOKUP(A3422,Studies!A:BR,4,FALSE),"")</f>
        <v>antacid</v>
      </c>
      <c r="E3422" s="206" t="str">
        <f>IF(AND(A3422&lt;&gt;"",ISNUMBER(A3422)),VLOOKUP(A3422,Studies!A:BR,5,FALSE),"")</f>
        <v>Rifampicin</v>
      </c>
      <c r="F3422" s="207" t="str">
        <f>IF(AND(A3422&lt;&gt;"",ISNUMBER(A3422)),VLOOKUP(A3422,Studies!A:BR,6,FALSE),"")</f>
        <v>Serum</v>
      </c>
      <c r="G3422" s="194">
        <v>0.5</v>
      </c>
      <c r="H3422" s="194" t="s">
        <v>60</v>
      </c>
      <c r="I3422" s="187">
        <v>0.14676359999999999</v>
      </c>
      <c r="J3422" s="187" t="s">
        <v>1054</v>
      </c>
      <c r="K3422" s="187" t="s">
        <v>389</v>
      </c>
      <c r="L3422" s="195"/>
      <c r="M3422" s="195"/>
      <c r="N3422" s="195"/>
      <c r="O3422" s="199"/>
      <c r="P3422" s="188"/>
      <c r="Q3422" s="174">
        <f>IF(ISNUMBER(VLOOKUP(A3422,NotghiID!A:A,1,FALSE)),1,0)</f>
        <v>1</v>
      </c>
    </row>
    <row r="3423" spans="1:17" ht="14.25" x14ac:dyDescent="0.2">
      <c r="A3423" s="189">
        <v>386</v>
      </c>
      <c r="B3423" s="232" t="str">
        <f>IF(AND(A3423&lt;&gt;"",ISNUMBER(A3423)),VLOOKUP(A3423,Studies!A:BR,2,FALSE),"")</f>
        <v>Peloquin 1999</v>
      </c>
      <c r="C3423" s="232" t="str">
        <f>IF(AND(A3423&lt;&gt;"",ISNUMBER(A3423)),VLOOKUP(A3423,Studies!A:BR,3,FALSE),"")</f>
        <v>https://www.ncbi.nlm.nih.gov/pubmed/9925057</v>
      </c>
      <c r="D3423" s="232" t="str">
        <f>IF(AND(A3423&lt;&gt;"",ISNUMBER(A3423)),VLOOKUP(A3423,Studies!A:BR,4,FALSE),"")</f>
        <v>antacid</v>
      </c>
      <c r="E3423" s="206" t="str">
        <f>IF(AND(A3423&lt;&gt;"",ISNUMBER(A3423)),VLOOKUP(A3423,Studies!A:BR,5,FALSE),"")</f>
        <v>Rifampicin</v>
      </c>
      <c r="F3423" s="207" t="str">
        <f>IF(AND(A3423&lt;&gt;"",ISNUMBER(A3423)),VLOOKUP(A3423,Studies!A:BR,6,FALSE),"")</f>
        <v>Serum</v>
      </c>
      <c r="G3423" s="194">
        <v>0.75</v>
      </c>
      <c r="H3423" s="194" t="s">
        <v>60</v>
      </c>
      <c r="I3423" s="187">
        <v>0.78502170000000004</v>
      </c>
      <c r="J3423" s="187" t="s">
        <v>1054</v>
      </c>
      <c r="K3423" s="187" t="s">
        <v>389</v>
      </c>
      <c r="L3423" s="195"/>
      <c r="M3423" s="195"/>
      <c r="N3423" s="195"/>
      <c r="O3423" s="199"/>
      <c r="P3423" s="188"/>
      <c r="Q3423" s="174">
        <f>IF(ISNUMBER(VLOOKUP(A3423,NotghiID!A:A,1,FALSE)),1,0)</f>
        <v>1</v>
      </c>
    </row>
    <row r="3424" spans="1:17" ht="14.25" x14ac:dyDescent="0.2">
      <c r="A3424" s="189">
        <v>386</v>
      </c>
      <c r="B3424" s="232" t="str">
        <f>IF(AND(A3424&lt;&gt;"",ISNUMBER(A3424)),VLOOKUP(A3424,Studies!A:BR,2,FALSE),"")</f>
        <v>Peloquin 1999</v>
      </c>
      <c r="C3424" s="232" t="str">
        <f>IF(AND(A3424&lt;&gt;"",ISNUMBER(A3424)),VLOOKUP(A3424,Studies!A:BR,3,FALSE),"")</f>
        <v>https://www.ncbi.nlm.nih.gov/pubmed/9925057</v>
      </c>
      <c r="D3424" s="232" t="str">
        <f>IF(AND(A3424&lt;&gt;"",ISNUMBER(A3424)),VLOOKUP(A3424,Studies!A:BR,4,FALSE),"")</f>
        <v>antacid</v>
      </c>
      <c r="E3424" s="206" t="str">
        <f>IF(AND(A3424&lt;&gt;"",ISNUMBER(A3424)),VLOOKUP(A3424,Studies!A:BR,5,FALSE),"")</f>
        <v>Rifampicin</v>
      </c>
      <c r="F3424" s="207" t="str">
        <f>IF(AND(A3424&lt;&gt;"",ISNUMBER(A3424)),VLOOKUP(A3424,Studies!A:BR,6,FALSE),"")</f>
        <v>Serum</v>
      </c>
      <c r="G3424" s="194">
        <v>1</v>
      </c>
      <c r="H3424" s="194" t="s">
        <v>60</v>
      </c>
      <c r="I3424" s="187">
        <v>2.233203</v>
      </c>
      <c r="J3424" s="187" t="s">
        <v>1054</v>
      </c>
      <c r="K3424" s="187" t="s">
        <v>389</v>
      </c>
      <c r="L3424" s="195"/>
      <c r="M3424" s="195"/>
      <c r="N3424" s="195"/>
      <c r="O3424" s="199"/>
      <c r="P3424" s="188"/>
      <c r="Q3424" s="174">
        <f>IF(ISNUMBER(VLOOKUP(A3424,NotghiID!A:A,1,FALSE)),1,0)</f>
        <v>1</v>
      </c>
    </row>
    <row r="3425" spans="1:17" ht="14.25" x14ac:dyDescent="0.2">
      <c r="A3425" s="189">
        <v>386</v>
      </c>
      <c r="B3425" s="232" t="str">
        <f>IF(AND(A3425&lt;&gt;"",ISNUMBER(A3425)),VLOOKUP(A3425,Studies!A:BR,2,FALSE),"")</f>
        <v>Peloquin 1999</v>
      </c>
      <c r="C3425" s="232" t="str">
        <f>IF(AND(A3425&lt;&gt;"",ISNUMBER(A3425)),VLOOKUP(A3425,Studies!A:BR,3,FALSE),"")</f>
        <v>https://www.ncbi.nlm.nih.gov/pubmed/9925057</v>
      </c>
      <c r="D3425" s="232" t="str">
        <f>IF(AND(A3425&lt;&gt;"",ISNUMBER(A3425)),VLOOKUP(A3425,Studies!A:BR,4,FALSE),"")</f>
        <v>antacid</v>
      </c>
      <c r="E3425" s="206" t="str">
        <f>IF(AND(A3425&lt;&gt;"",ISNUMBER(A3425)),VLOOKUP(A3425,Studies!A:BR,5,FALSE),"")</f>
        <v>Rifampicin</v>
      </c>
      <c r="F3425" s="207" t="str">
        <f>IF(AND(A3425&lt;&gt;"",ISNUMBER(A3425)),VLOOKUP(A3425,Studies!A:BR,6,FALSE),"")</f>
        <v>Serum</v>
      </c>
      <c r="G3425" s="194">
        <v>1.5</v>
      </c>
      <c r="H3425" s="194" t="s">
        <v>60</v>
      </c>
      <c r="I3425" s="187">
        <v>5.3553920000000002</v>
      </c>
      <c r="J3425" s="187" t="s">
        <v>1054</v>
      </c>
      <c r="K3425" s="187" t="s">
        <v>389</v>
      </c>
      <c r="L3425" s="195"/>
      <c r="M3425" s="195"/>
      <c r="N3425" s="195"/>
      <c r="O3425" s="199"/>
      <c r="P3425" s="188"/>
      <c r="Q3425" s="174">
        <f>IF(ISNUMBER(VLOOKUP(A3425,NotghiID!A:A,1,FALSE)),1,0)</f>
        <v>1</v>
      </c>
    </row>
    <row r="3426" spans="1:17" ht="14.25" x14ac:dyDescent="0.2">
      <c r="A3426" s="189">
        <v>386</v>
      </c>
      <c r="B3426" s="232" t="str">
        <f>IF(AND(A3426&lt;&gt;"",ISNUMBER(A3426)),VLOOKUP(A3426,Studies!A:BR,2,FALSE),"")</f>
        <v>Peloquin 1999</v>
      </c>
      <c r="C3426" s="232" t="str">
        <f>IF(AND(A3426&lt;&gt;"",ISNUMBER(A3426)),VLOOKUP(A3426,Studies!A:BR,3,FALSE),"")</f>
        <v>https://www.ncbi.nlm.nih.gov/pubmed/9925057</v>
      </c>
      <c r="D3426" s="232" t="str">
        <f>IF(AND(A3426&lt;&gt;"",ISNUMBER(A3426)),VLOOKUP(A3426,Studies!A:BR,4,FALSE),"")</f>
        <v>antacid</v>
      </c>
      <c r="E3426" s="206" t="str">
        <f>IF(AND(A3426&lt;&gt;"",ISNUMBER(A3426)),VLOOKUP(A3426,Studies!A:BR,5,FALSE),"")</f>
        <v>Rifampicin</v>
      </c>
      <c r="F3426" s="207" t="str">
        <f>IF(AND(A3426&lt;&gt;"",ISNUMBER(A3426)),VLOOKUP(A3426,Studies!A:BR,6,FALSE),"")</f>
        <v>Serum</v>
      </c>
      <c r="G3426" s="194">
        <v>2</v>
      </c>
      <c r="H3426" s="194" t="s">
        <v>60</v>
      </c>
      <c r="I3426" s="187">
        <v>8.0632809999999999</v>
      </c>
      <c r="J3426" s="187" t="s">
        <v>1054</v>
      </c>
      <c r="K3426" s="187" t="s">
        <v>389</v>
      </c>
      <c r="L3426" s="195"/>
      <c r="M3426" s="195"/>
      <c r="N3426" s="195"/>
      <c r="O3426" s="199"/>
      <c r="P3426" s="188"/>
      <c r="Q3426" s="174">
        <f>IF(ISNUMBER(VLOOKUP(A3426,NotghiID!A:A,1,FALSE)),1,0)</f>
        <v>1</v>
      </c>
    </row>
    <row r="3427" spans="1:17" ht="14.25" x14ac:dyDescent="0.2">
      <c r="A3427" s="189">
        <v>386</v>
      </c>
      <c r="B3427" s="232" t="str">
        <f>IF(AND(A3427&lt;&gt;"",ISNUMBER(A3427)),VLOOKUP(A3427,Studies!A:BR,2,FALSE),"")</f>
        <v>Peloquin 1999</v>
      </c>
      <c r="C3427" s="232" t="str">
        <f>IF(AND(A3427&lt;&gt;"",ISNUMBER(A3427)),VLOOKUP(A3427,Studies!A:BR,3,FALSE),"")</f>
        <v>https://www.ncbi.nlm.nih.gov/pubmed/9925057</v>
      </c>
      <c r="D3427" s="232" t="str">
        <f>IF(AND(A3427&lt;&gt;"",ISNUMBER(A3427)),VLOOKUP(A3427,Studies!A:BR,4,FALSE),"")</f>
        <v>antacid</v>
      </c>
      <c r="E3427" s="206" t="str">
        <f>IF(AND(A3427&lt;&gt;"",ISNUMBER(A3427)),VLOOKUP(A3427,Studies!A:BR,5,FALSE),"")</f>
        <v>Rifampicin</v>
      </c>
      <c r="F3427" s="207" t="str">
        <f>IF(AND(A3427&lt;&gt;"",ISNUMBER(A3427)),VLOOKUP(A3427,Studies!A:BR,6,FALSE),"")</f>
        <v>Serum</v>
      </c>
      <c r="G3427" s="194">
        <v>2.5</v>
      </c>
      <c r="H3427" s="194" t="s">
        <v>60</v>
      </c>
      <c r="I3427" s="187">
        <v>8.5678490000000007</v>
      </c>
      <c r="J3427" s="187" t="s">
        <v>1054</v>
      </c>
      <c r="K3427" s="187" t="s">
        <v>389</v>
      </c>
      <c r="L3427" s="195"/>
      <c r="M3427" s="195"/>
      <c r="N3427" s="195"/>
      <c r="O3427" s="199"/>
      <c r="P3427" s="188"/>
      <c r="Q3427" s="174">
        <f>IF(ISNUMBER(VLOOKUP(A3427,NotghiID!A:A,1,FALSE)),1,0)</f>
        <v>1</v>
      </c>
    </row>
    <row r="3428" spans="1:17" ht="14.25" x14ac:dyDescent="0.2">
      <c r="A3428" s="189">
        <v>386</v>
      </c>
      <c r="B3428" s="232" t="str">
        <f>IF(AND(A3428&lt;&gt;"",ISNUMBER(A3428)),VLOOKUP(A3428,Studies!A:BR,2,FALSE),"")</f>
        <v>Peloquin 1999</v>
      </c>
      <c r="C3428" s="232" t="str">
        <f>IF(AND(A3428&lt;&gt;"",ISNUMBER(A3428)),VLOOKUP(A3428,Studies!A:BR,3,FALSE),"")</f>
        <v>https://www.ncbi.nlm.nih.gov/pubmed/9925057</v>
      </c>
      <c r="D3428" s="232" t="str">
        <f>IF(AND(A3428&lt;&gt;"",ISNUMBER(A3428)),VLOOKUP(A3428,Studies!A:BR,4,FALSE),"")</f>
        <v>antacid</v>
      </c>
      <c r="E3428" s="206" t="str">
        <f>IF(AND(A3428&lt;&gt;"",ISNUMBER(A3428)),VLOOKUP(A3428,Studies!A:BR,5,FALSE),"")</f>
        <v>Rifampicin</v>
      </c>
      <c r="F3428" s="207" t="str">
        <f>IF(AND(A3428&lt;&gt;"",ISNUMBER(A3428)),VLOOKUP(A3428,Studies!A:BR,6,FALSE),"")</f>
        <v>Serum</v>
      </c>
      <c r="G3428" s="194">
        <v>3</v>
      </c>
      <c r="H3428" s="194" t="s">
        <v>60</v>
      </c>
      <c r="I3428" s="187">
        <v>7.8858579999999998</v>
      </c>
      <c r="J3428" s="187" t="s">
        <v>1054</v>
      </c>
      <c r="K3428" s="187" t="s">
        <v>389</v>
      </c>
      <c r="L3428" s="195"/>
      <c r="M3428" s="195"/>
      <c r="N3428" s="195"/>
      <c r="O3428" s="199"/>
      <c r="P3428" s="188"/>
      <c r="Q3428" s="174">
        <f>IF(ISNUMBER(VLOOKUP(A3428,NotghiID!A:A,1,FALSE)),1,0)</f>
        <v>1</v>
      </c>
    </row>
    <row r="3429" spans="1:17" ht="14.25" x14ac:dyDescent="0.2">
      <c r="A3429" s="189">
        <v>386</v>
      </c>
      <c r="B3429" s="232" t="str">
        <f>IF(AND(A3429&lt;&gt;"",ISNUMBER(A3429)),VLOOKUP(A3429,Studies!A:BR,2,FALSE),"")</f>
        <v>Peloquin 1999</v>
      </c>
      <c r="C3429" s="232" t="str">
        <f>IF(AND(A3429&lt;&gt;"",ISNUMBER(A3429)),VLOOKUP(A3429,Studies!A:BR,3,FALSE),"")</f>
        <v>https://www.ncbi.nlm.nih.gov/pubmed/9925057</v>
      </c>
      <c r="D3429" s="232" t="str">
        <f>IF(AND(A3429&lt;&gt;"",ISNUMBER(A3429)),VLOOKUP(A3429,Studies!A:BR,4,FALSE),"")</f>
        <v>antacid</v>
      </c>
      <c r="E3429" s="206" t="str">
        <f>IF(AND(A3429&lt;&gt;"",ISNUMBER(A3429)),VLOOKUP(A3429,Studies!A:BR,5,FALSE),"")</f>
        <v>Rifampicin</v>
      </c>
      <c r="F3429" s="207" t="str">
        <f>IF(AND(A3429&lt;&gt;"",ISNUMBER(A3429)),VLOOKUP(A3429,Studies!A:BR,6,FALSE),"")</f>
        <v>Serum</v>
      </c>
      <c r="G3429" s="194">
        <v>4</v>
      </c>
      <c r="H3429" s="194" t="s">
        <v>60</v>
      </c>
      <c r="I3429" s="187">
        <v>6.955317</v>
      </c>
      <c r="J3429" s="187" t="s">
        <v>1054</v>
      </c>
      <c r="K3429" s="187" t="s">
        <v>389</v>
      </c>
      <c r="L3429" s="195"/>
      <c r="M3429" s="195"/>
      <c r="N3429" s="195"/>
      <c r="O3429" s="199"/>
      <c r="P3429" s="188"/>
      <c r="Q3429" s="174">
        <f>IF(ISNUMBER(VLOOKUP(A3429,NotghiID!A:A,1,FALSE)),1,0)</f>
        <v>1</v>
      </c>
    </row>
    <row r="3430" spans="1:17" ht="14.25" x14ac:dyDescent="0.2">
      <c r="A3430" s="189">
        <v>386</v>
      </c>
      <c r="B3430" s="232" t="str">
        <f>IF(AND(A3430&lt;&gt;"",ISNUMBER(A3430)),VLOOKUP(A3430,Studies!A:BR,2,FALSE),"")</f>
        <v>Peloquin 1999</v>
      </c>
      <c r="C3430" s="232" t="str">
        <f>IF(AND(A3430&lt;&gt;"",ISNUMBER(A3430)),VLOOKUP(A3430,Studies!A:BR,3,FALSE),"")</f>
        <v>https://www.ncbi.nlm.nih.gov/pubmed/9925057</v>
      </c>
      <c r="D3430" s="232" t="str">
        <f>IF(AND(A3430&lt;&gt;"",ISNUMBER(A3430)),VLOOKUP(A3430,Studies!A:BR,4,FALSE),"")</f>
        <v>antacid</v>
      </c>
      <c r="E3430" s="206" t="str">
        <f>IF(AND(A3430&lt;&gt;"",ISNUMBER(A3430)),VLOOKUP(A3430,Studies!A:BR,5,FALSE),"")</f>
        <v>Rifampicin</v>
      </c>
      <c r="F3430" s="207" t="str">
        <f>IF(AND(A3430&lt;&gt;"",ISNUMBER(A3430)),VLOOKUP(A3430,Studies!A:BR,6,FALSE),"")</f>
        <v>Serum</v>
      </c>
      <c r="G3430" s="194">
        <v>6</v>
      </c>
      <c r="H3430" s="194" t="s">
        <v>60</v>
      </c>
      <c r="I3430" s="187">
        <v>5.075094</v>
      </c>
      <c r="J3430" s="187" t="s">
        <v>1054</v>
      </c>
      <c r="K3430" s="187" t="s">
        <v>389</v>
      </c>
      <c r="L3430" s="195"/>
      <c r="M3430" s="195"/>
      <c r="N3430" s="195"/>
      <c r="O3430" s="199"/>
      <c r="P3430" s="188"/>
      <c r="Q3430" s="174">
        <f>IF(ISNUMBER(VLOOKUP(A3430,NotghiID!A:A,1,FALSE)),1,0)</f>
        <v>1</v>
      </c>
    </row>
    <row r="3431" spans="1:17" ht="14.25" x14ac:dyDescent="0.2">
      <c r="A3431" s="189">
        <v>386</v>
      </c>
      <c r="B3431" s="232" t="str">
        <f>IF(AND(A3431&lt;&gt;"",ISNUMBER(A3431)),VLOOKUP(A3431,Studies!A:BR,2,FALSE),"")</f>
        <v>Peloquin 1999</v>
      </c>
      <c r="C3431" s="232" t="str">
        <f>IF(AND(A3431&lt;&gt;"",ISNUMBER(A3431)),VLOOKUP(A3431,Studies!A:BR,3,FALSE),"")</f>
        <v>https://www.ncbi.nlm.nih.gov/pubmed/9925057</v>
      </c>
      <c r="D3431" s="232" t="str">
        <f>IF(AND(A3431&lt;&gt;"",ISNUMBER(A3431)),VLOOKUP(A3431,Studies!A:BR,4,FALSE),"")</f>
        <v>antacid</v>
      </c>
      <c r="E3431" s="206" t="str">
        <f>IF(AND(A3431&lt;&gt;"",ISNUMBER(A3431)),VLOOKUP(A3431,Studies!A:BR,5,FALSE),"")</f>
        <v>Rifampicin</v>
      </c>
      <c r="F3431" s="207" t="str">
        <f>IF(AND(A3431&lt;&gt;"",ISNUMBER(A3431)),VLOOKUP(A3431,Studies!A:BR,6,FALSE),"")</f>
        <v>Serum</v>
      </c>
      <c r="G3431" s="194">
        <v>8</v>
      </c>
      <c r="H3431" s="194" t="s">
        <v>60</v>
      </c>
      <c r="I3431" s="187">
        <v>3.4020199999999998</v>
      </c>
      <c r="J3431" s="187" t="s">
        <v>1054</v>
      </c>
      <c r="K3431" s="187" t="s">
        <v>389</v>
      </c>
      <c r="L3431" s="195"/>
      <c r="M3431" s="195"/>
      <c r="N3431" s="195"/>
      <c r="O3431" s="199"/>
      <c r="P3431" s="188"/>
      <c r="Q3431" s="174">
        <f>IF(ISNUMBER(VLOOKUP(A3431,NotghiID!A:A,1,FALSE)),1,0)</f>
        <v>1</v>
      </c>
    </row>
    <row r="3432" spans="1:17" ht="14.25" x14ac:dyDescent="0.2">
      <c r="A3432" s="189">
        <v>386</v>
      </c>
      <c r="B3432" s="232" t="str">
        <f>IF(AND(A3432&lt;&gt;"",ISNUMBER(A3432)),VLOOKUP(A3432,Studies!A:BR,2,FALSE),"")</f>
        <v>Peloquin 1999</v>
      </c>
      <c r="C3432" s="232" t="str">
        <f>IF(AND(A3432&lt;&gt;"",ISNUMBER(A3432)),VLOOKUP(A3432,Studies!A:BR,3,FALSE),"")</f>
        <v>https://www.ncbi.nlm.nih.gov/pubmed/9925057</v>
      </c>
      <c r="D3432" s="232" t="str">
        <f>IF(AND(A3432&lt;&gt;"",ISNUMBER(A3432)),VLOOKUP(A3432,Studies!A:BR,4,FALSE),"")</f>
        <v>antacid</v>
      </c>
      <c r="E3432" s="206" t="str">
        <f>IF(AND(A3432&lt;&gt;"",ISNUMBER(A3432)),VLOOKUP(A3432,Studies!A:BR,5,FALSE),"")</f>
        <v>Rifampicin</v>
      </c>
      <c r="F3432" s="207" t="str">
        <f>IF(AND(A3432&lt;&gt;"",ISNUMBER(A3432)),VLOOKUP(A3432,Studies!A:BR,6,FALSE),"")</f>
        <v>Serum</v>
      </c>
      <c r="G3432" s="194">
        <v>10</v>
      </c>
      <c r="H3432" s="194" t="s">
        <v>60</v>
      </c>
      <c r="I3432" s="187">
        <v>2.2377159999999998</v>
      </c>
      <c r="J3432" s="187" t="s">
        <v>1054</v>
      </c>
      <c r="K3432" s="187" t="s">
        <v>389</v>
      </c>
      <c r="L3432" s="195"/>
      <c r="M3432" s="195"/>
      <c r="N3432" s="195"/>
      <c r="O3432" s="199"/>
      <c r="P3432" s="188"/>
      <c r="Q3432" s="174">
        <f>IF(ISNUMBER(VLOOKUP(A3432,NotghiID!A:A,1,FALSE)),1,0)</f>
        <v>1</v>
      </c>
    </row>
    <row r="3433" spans="1:17" ht="14.25" x14ac:dyDescent="0.2">
      <c r="A3433" s="189">
        <v>386</v>
      </c>
      <c r="B3433" s="232" t="str">
        <f>IF(AND(A3433&lt;&gt;"",ISNUMBER(A3433)),VLOOKUP(A3433,Studies!A:BR,2,FALSE),"")</f>
        <v>Peloquin 1999</v>
      </c>
      <c r="C3433" s="232" t="str">
        <f>IF(AND(A3433&lt;&gt;"",ISNUMBER(A3433)),VLOOKUP(A3433,Studies!A:BR,3,FALSE),"")</f>
        <v>https://www.ncbi.nlm.nih.gov/pubmed/9925057</v>
      </c>
      <c r="D3433" s="232" t="str">
        <f>IF(AND(A3433&lt;&gt;"",ISNUMBER(A3433)),VLOOKUP(A3433,Studies!A:BR,4,FALSE),"")</f>
        <v>antacid</v>
      </c>
      <c r="E3433" s="206" t="str">
        <f>IF(AND(A3433&lt;&gt;"",ISNUMBER(A3433)),VLOOKUP(A3433,Studies!A:BR,5,FALSE),"")</f>
        <v>Rifampicin</v>
      </c>
      <c r="F3433" s="207" t="str">
        <f>IF(AND(A3433&lt;&gt;"",ISNUMBER(A3433)),VLOOKUP(A3433,Studies!A:BR,6,FALSE),"")</f>
        <v>Serum</v>
      </c>
      <c r="G3433" s="194">
        <v>12</v>
      </c>
      <c r="H3433" s="194" t="s">
        <v>60</v>
      </c>
      <c r="I3433" s="187">
        <v>1.242899</v>
      </c>
      <c r="J3433" s="187" t="s">
        <v>1054</v>
      </c>
      <c r="K3433" s="187" t="s">
        <v>389</v>
      </c>
      <c r="L3433" s="195"/>
      <c r="M3433" s="195"/>
      <c r="N3433" s="195"/>
      <c r="O3433" s="199"/>
      <c r="P3433" s="188"/>
      <c r="Q3433" s="174">
        <f>IF(ISNUMBER(VLOOKUP(A3433,NotghiID!A:A,1,FALSE)),1,0)</f>
        <v>1</v>
      </c>
    </row>
    <row r="3434" spans="1:17" ht="14.25" x14ac:dyDescent="0.2">
      <c r="A3434" s="189">
        <v>386</v>
      </c>
      <c r="B3434" s="232" t="str">
        <f>IF(AND(A3434&lt;&gt;"",ISNUMBER(A3434)),VLOOKUP(A3434,Studies!A:BR,2,FALSE),"")</f>
        <v>Peloquin 1999</v>
      </c>
      <c r="C3434" s="232" t="str">
        <f>IF(AND(A3434&lt;&gt;"",ISNUMBER(A3434)),VLOOKUP(A3434,Studies!A:BR,3,FALSE),"")</f>
        <v>https://www.ncbi.nlm.nih.gov/pubmed/9925057</v>
      </c>
      <c r="D3434" s="232" t="str">
        <f>IF(AND(A3434&lt;&gt;"",ISNUMBER(A3434)),VLOOKUP(A3434,Studies!A:BR,4,FALSE),"")</f>
        <v>antacid</v>
      </c>
      <c r="E3434" s="206" t="str">
        <f>IF(AND(A3434&lt;&gt;"",ISNUMBER(A3434)),VLOOKUP(A3434,Studies!A:BR,5,FALSE),"")</f>
        <v>Rifampicin</v>
      </c>
      <c r="F3434" s="207" t="str">
        <f>IF(AND(A3434&lt;&gt;"",ISNUMBER(A3434)),VLOOKUP(A3434,Studies!A:BR,6,FALSE),"")</f>
        <v>Serum</v>
      </c>
      <c r="G3434" s="194">
        <v>16</v>
      </c>
      <c r="H3434" s="194" t="s">
        <v>60</v>
      </c>
      <c r="I3434" s="187">
        <v>0.25088319999999997</v>
      </c>
      <c r="J3434" s="187" t="s">
        <v>1054</v>
      </c>
      <c r="K3434" s="187" t="s">
        <v>389</v>
      </c>
      <c r="L3434" s="195"/>
      <c r="M3434" s="195"/>
      <c r="N3434" s="195"/>
      <c r="O3434" s="199"/>
      <c r="P3434" s="188"/>
      <c r="Q3434" s="174">
        <f>IF(ISNUMBER(VLOOKUP(A3434,NotghiID!A:A,1,FALSE)),1,0)</f>
        <v>1</v>
      </c>
    </row>
    <row r="3435" spans="1:17" ht="14.25" x14ac:dyDescent="0.2">
      <c r="A3435" s="189">
        <v>386</v>
      </c>
      <c r="B3435" s="232" t="str">
        <f>IF(AND(A3435&lt;&gt;"",ISNUMBER(A3435)),VLOOKUP(A3435,Studies!A:BR,2,FALSE),"")</f>
        <v>Peloquin 1999</v>
      </c>
      <c r="C3435" s="232" t="str">
        <f>IF(AND(A3435&lt;&gt;"",ISNUMBER(A3435)),VLOOKUP(A3435,Studies!A:BR,3,FALSE),"")</f>
        <v>https://www.ncbi.nlm.nih.gov/pubmed/9925057</v>
      </c>
      <c r="D3435" s="232" t="str">
        <f>IF(AND(A3435&lt;&gt;"",ISNUMBER(A3435)),VLOOKUP(A3435,Studies!A:BR,4,FALSE),"")</f>
        <v>antacid</v>
      </c>
      <c r="E3435" s="206" t="str">
        <f>IF(AND(A3435&lt;&gt;"",ISNUMBER(A3435)),VLOOKUP(A3435,Studies!A:BR,5,FALSE),"")</f>
        <v>Rifampicin</v>
      </c>
      <c r="F3435" s="207" t="str">
        <f>IF(AND(A3435&lt;&gt;"",ISNUMBER(A3435)),VLOOKUP(A3435,Studies!A:BR,6,FALSE),"")</f>
        <v>Serum</v>
      </c>
      <c r="G3435" s="194">
        <v>24</v>
      </c>
      <c r="H3435" s="194" t="s">
        <v>60</v>
      </c>
      <c r="I3435" s="187">
        <v>-1.9454349999999999E-2</v>
      </c>
      <c r="J3435" s="187" t="s">
        <v>1054</v>
      </c>
      <c r="K3435" s="187" t="s">
        <v>389</v>
      </c>
      <c r="L3435" s="195"/>
      <c r="M3435" s="195"/>
      <c r="N3435" s="195"/>
      <c r="O3435" s="199"/>
      <c r="P3435" s="188"/>
      <c r="Q3435" s="174">
        <f>IF(ISNUMBER(VLOOKUP(A3435,NotghiID!A:A,1,FALSE)),1,0)</f>
        <v>1</v>
      </c>
    </row>
    <row r="3436" spans="1:17" ht="14.25" x14ac:dyDescent="0.2">
      <c r="A3436" s="189">
        <v>387</v>
      </c>
      <c r="B3436" s="232" t="str">
        <f>IF(AND(A3436&lt;&gt;"",ISNUMBER(A3436)),VLOOKUP(A3436,Studies!A:BR,2,FALSE),"")</f>
        <v>Peloquin 1999</v>
      </c>
      <c r="C3436" s="232" t="str">
        <f>IF(AND(A3436&lt;&gt;"",ISNUMBER(A3436)),VLOOKUP(A3436,Studies!A:BR,3,FALSE),"")</f>
        <v>https://www.ncbi.nlm.nih.gov/pubmed/9925057</v>
      </c>
      <c r="D3436" s="232" t="str">
        <f>IF(AND(A3436&lt;&gt;"",ISNUMBER(A3436)),VLOOKUP(A3436,Studies!A:BR,4,FALSE),"")</f>
        <v>fed</v>
      </c>
      <c r="E3436" s="206" t="str">
        <f>IF(AND(A3436&lt;&gt;"",ISNUMBER(A3436)),VLOOKUP(A3436,Studies!A:BR,5,FALSE),"")</f>
        <v>Rifampicin</v>
      </c>
      <c r="F3436" s="207" t="str">
        <f>IF(AND(A3436&lt;&gt;"",ISNUMBER(A3436)),VLOOKUP(A3436,Studies!A:BR,6,FALSE),"")</f>
        <v>Serum</v>
      </c>
      <c r="G3436" s="194">
        <v>0</v>
      </c>
      <c r="H3436" s="194" t="s">
        <v>60</v>
      </c>
      <c r="I3436" s="187">
        <v>0</v>
      </c>
      <c r="J3436" s="187" t="s">
        <v>1054</v>
      </c>
      <c r="K3436" s="187" t="s">
        <v>389</v>
      </c>
      <c r="L3436" s="195"/>
      <c r="M3436" s="195"/>
      <c r="N3436" s="195"/>
      <c r="O3436" s="199"/>
      <c r="P3436" s="188"/>
      <c r="Q3436" s="174">
        <f>IF(ISNUMBER(VLOOKUP(A3436,NotghiID!A:A,1,FALSE)),1,0)</f>
        <v>1</v>
      </c>
    </row>
    <row r="3437" spans="1:17" ht="14.25" x14ac:dyDescent="0.2">
      <c r="A3437" s="189">
        <v>387</v>
      </c>
      <c r="B3437" s="232" t="str">
        <f>IF(AND(A3437&lt;&gt;"",ISNUMBER(A3437)),VLOOKUP(A3437,Studies!A:BR,2,FALSE),"")</f>
        <v>Peloquin 1999</v>
      </c>
      <c r="C3437" s="232" t="str">
        <f>IF(AND(A3437&lt;&gt;"",ISNUMBER(A3437)),VLOOKUP(A3437,Studies!A:BR,3,FALSE),"")</f>
        <v>https://www.ncbi.nlm.nih.gov/pubmed/9925057</v>
      </c>
      <c r="D3437" s="232" t="str">
        <f>IF(AND(A3437&lt;&gt;"",ISNUMBER(A3437)),VLOOKUP(A3437,Studies!A:BR,4,FALSE),"")</f>
        <v>fed</v>
      </c>
      <c r="E3437" s="206" t="str">
        <f>IF(AND(A3437&lt;&gt;"",ISNUMBER(A3437)),VLOOKUP(A3437,Studies!A:BR,5,FALSE),"")</f>
        <v>Rifampicin</v>
      </c>
      <c r="F3437" s="207" t="str">
        <f>IF(AND(A3437&lt;&gt;"",ISNUMBER(A3437)),VLOOKUP(A3437,Studies!A:BR,6,FALSE),"")</f>
        <v>Serum</v>
      </c>
      <c r="G3437" s="194">
        <v>0.25</v>
      </c>
      <c r="H3437" s="194" t="s">
        <v>60</v>
      </c>
      <c r="I3437" s="187"/>
      <c r="J3437" s="187"/>
      <c r="K3437" s="187"/>
      <c r="L3437" s="195"/>
      <c r="M3437" s="195"/>
      <c r="N3437" s="195"/>
      <c r="O3437" s="199"/>
      <c r="P3437" s="188" t="s">
        <v>1148</v>
      </c>
      <c r="Q3437" s="174">
        <f>IF(ISNUMBER(VLOOKUP(A3437,NotghiID!A:A,1,FALSE)),1,0)</f>
        <v>1</v>
      </c>
    </row>
    <row r="3438" spans="1:17" ht="14.25" x14ac:dyDescent="0.2">
      <c r="A3438" s="189">
        <v>387</v>
      </c>
      <c r="B3438" s="232" t="str">
        <f>IF(AND(A3438&lt;&gt;"",ISNUMBER(A3438)),VLOOKUP(A3438,Studies!A:BR,2,FALSE),"")</f>
        <v>Peloquin 1999</v>
      </c>
      <c r="C3438" s="232" t="str">
        <f>IF(AND(A3438&lt;&gt;"",ISNUMBER(A3438)),VLOOKUP(A3438,Studies!A:BR,3,FALSE),"")</f>
        <v>https://www.ncbi.nlm.nih.gov/pubmed/9925057</v>
      </c>
      <c r="D3438" s="232" t="str">
        <f>IF(AND(A3438&lt;&gt;"",ISNUMBER(A3438)),VLOOKUP(A3438,Studies!A:BR,4,FALSE),"")</f>
        <v>fed</v>
      </c>
      <c r="E3438" s="206" t="str">
        <f>IF(AND(A3438&lt;&gt;"",ISNUMBER(A3438)),VLOOKUP(A3438,Studies!A:BR,5,FALSE),"")</f>
        <v>Rifampicin</v>
      </c>
      <c r="F3438" s="207" t="str">
        <f>IF(AND(A3438&lt;&gt;"",ISNUMBER(A3438)),VLOOKUP(A3438,Studies!A:BR,6,FALSE),"")</f>
        <v>Serum</v>
      </c>
      <c r="G3438" s="194">
        <v>0.5</v>
      </c>
      <c r="H3438" s="194" t="s">
        <v>60</v>
      </c>
      <c r="I3438" s="187">
        <v>-3.8908689999999999E-3</v>
      </c>
      <c r="J3438" s="187" t="s">
        <v>1054</v>
      </c>
      <c r="K3438" s="187" t="s">
        <v>389</v>
      </c>
      <c r="L3438" s="195"/>
      <c r="M3438" s="195"/>
      <c r="N3438" s="195"/>
      <c r="O3438" s="199"/>
      <c r="P3438" s="188"/>
      <c r="Q3438" s="174">
        <f>IF(ISNUMBER(VLOOKUP(A3438,NotghiID!A:A,1,FALSE)),1,0)</f>
        <v>1</v>
      </c>
    </row>
    <row r="3439" spans="1:17" ht="14.25" x14ac:dyDescent="0.2">
      <c r="A3439" s="189">
        <v>387</v>
      </c>
      <c r="B3439" s="232" t="str">
        <f>IF(AND(A3439&lt;&gt;"",ISNUMBER(A3439)),VLOOKUP(A3439,Studies!A:BR,2,FALSE),"")</f>
        <v>Peloquin 1999</v>
      </c>
      <c r="C3439" s="232" t="str">
        <f>IF(AND(A3439&lt;&gt;"",ISNUMBER(A3439)),VLOOKUP(A3439,Studies!A:BR,3,FALSE),"")</f>
        <v>https://www.ncbi.nlm.nih.gov/pubmed/9925057</v>
      </c>
      <c r="D3439" s="232" t="str">
        <f>IF(AND(A3439&lt;&gt;"",ISNUMBER(A3439)),VLOOKUP(A3439,Studies!A:BR,4,FALSE),"")</f>
        <v>fed</v>
      </c>
      <c r="E3439" s="206" t="str">
        <f>IF(AND(A3439&lt;&gt;"",ISNUMBER(A3439)),VLOOKUP(A3439,Studies!A:BR,5,FALSE),"")</f>
        <v>Rifampicin</v>
      </c>
      <c r="F3439" s="207" t="str">
        <f>IF(AND(A3439&lt;&gt;"",ISNUMBER(A3439)),VLOOKUP(A3439,Studies!A:BR,6,FALSE),"")</f>
        <v>Serum</v>
      </c>
      <c r="G3439" s="194">
        <v>0.75</v>
      </c>
      <c r="H3439" s="194" t="s">
        <v>60</v>
      </c>
      <c r="I3439" s="187">
        <v>-5.9141209999999996E-3</v>
      </c>
      <c r="J3439" s="187" t="s">
        <v>1054</v>
      </c>
      <c r="K3439" s="187" t="s">
        <v>389</v>
      </c>
      <c r="L3439" s="195"/>
      <c r="M3439" s="195"/>
      <c r="N3439" s="195"/>
      <c r="O3439" s="199"/>
      <c r="P3439" s="188"/>
      <c r="Q3439" s="174">
        <f>IF(ISNUMBER(VLOOKUP(A3439,NotghiID!A:A,1,FALSE)),1,0)</f>
        <v>1</v>
      </c>
    </row>
    <row r="3440" spans="1:17" ht="14.25" x14ac:dyDescent="0.2">
      <c r="A3440" s="189">
        <v>387</v>
      </c>
      <c r="B3440" s="232" t="str">
        <f>IF(AND(A3440&lt;&gt;"",ISNUMBER(A3440)),VLOOKUP(A3440,Studies!A:BR,2,FALSE),"")</f>
        <v>Peloquin 1999</v>
      </c>
      <c r="C3440" s="232" t="str">
        <f>IF(AND(A3440&lt;&gt;"",ISNUMBER(A3440)),VLOOKUP(A3440,Studies!A:BR,3,FALSE),"")</f>
        <v>https://www.ncbi.nlm.nih.gov/pubmed/9925057</v>
      </c>
      <c r="D3440" s="232" t="str">
        <f>IF(AND(A3440&lt;&gt;"",ISNUMBER(A3440)),VLOOKUP(A3440,Studies!A:BR,4,FALSE),"")</f>
        <v>fed</v>
      </c>
      <c r="E3440" s="206" t="str">
        <f>IF(AND(A3440&lt;&gt;"",ISNUMBER(A3440)),VLOOKUP(A3440,Studies!A:BR,5,FALSE),"")</f>
        <v>Rifampicin</v>
      </c>
      <c r="F3440" s="207" t="str">
        <f>IF(AND(A3440&lt;&gt;"",ISNUMBER(A3440)),VLOOKUP(A3440,Studies!A:BR,6,FALSE),"")</f>
        <v>Serum</v>
      </c>
      <c r="G3440" s="194">
        <v>1</v>
      </c>
      <c r="H3440" s="194" t="s">
        <v>60</v>
      </c>
      <c r="I3440" s="187">
        <v>-7.9373729999999993E-3</v>
      </c>
      <c r="J3440" s="187" t="s">
        <v>1054</v>
      </c>
      <c r="K3440" s="187" t="s">
        <v>389</v>
      </c>
      <c r="L3440" s="195"/>
      <c r="M3440" s="195"/>
      <c r="N3440" s="195"/>
      <c r="O3440" s="199"/>
      <c r="P3440" s="188"/>
      <c r="Q3440" s="174">
        <f>IF(ISNUMBER(VLOOKUP(A3440,NotghiID!A:A,1,FALSE)),1,0)</f>
        <v>1</v>
      </c>
    </row>
    <row r="3441" spans="1:17" ht="14.25" x14ac:dyDescent="0.2">
      <c r="A3441" s="189">
        <v>387</v>
      </c>
      <c r="B3441" s="232" t="str">
        <f>IF(AND(A3441&lt;&gt;"",ISNUMBER(A3441)),VLOOKUP(A3441,Studies!A:BR,2,FALSE),"")</f>
        <v>Peloquin 1999</v>
      </c>
      <c r="C3441" s="232" t="str">
        <f>IF(AND(A3441&lt;&gt;"",ISNUMBER(A3441)),VLOOKUP(A3441,Studies!A:BR,3,FALSE),"")</f>
        <v>https://www.ncbi.nlm.nih.gov/pubmed/9925057</v>
      </c>
      <c r="D3441" s="232" t="str">
        <f>IF(AND(A3441&lt;&gt;"",ISNUMBER(A3441)),VLOOKUP(A3441,Studies!A:BR,4,FALSE),"")</f>
        <v>fed</v>
      </c>
      <c r="E3441" s="206" t="str">
        <f>IF(AND(A3441&lt;&gt;"",ISNUMBER(A3441)),VLOOKUP(A3441,Studies!A:BR,5,FALSE),"")</f>
        <v>Rifampicin</v>
      </c>
      <c r="F3441" s="207" t="str">
        <f>IF(AND(A3441&lt;&gt;"",ISNUMBER(A3441)),VLOOKUP(A3441,Studies!A:BR,6,FALSE),"")</f>
        <v>Serum</v>
      </c>
      <c r="G3441" s="194">
        <v>1.5</v>
      </c>
      <c r="H3441" s="194" t="s">
        <v>60</v>
      </c>
      <c r="I3441" s="187">
        <v>0.15765799999999999</v>
      </c>
      <c r="J3441" s="187" t="s">
        <v>1054</v>
      </c>
      <c r="K3441" s="187" t="s">
        <v>389</v>
      </c>
      <c r="L3441" s="195"/>
      <c r="M3441" s="195"/>
      <c r="N3441" s="195"/>
      <c r="O3441" s="199"/>
      <c r="P3441" s="188"/>
      <c r="Q3441" s="174">
        <f>IF(ISNUMBER(VLOOKUP(A3441,NotghiID!A:A,1,FALSE)),1,0)</f>
        <v>1</v>
      </c>
    </row>
    <row r="3442" spans="1:17" ht="14.25" x14ac:dyDescent="0.2">
      <c r="A3442" s="189">
        <v>387</v>
      </c>
      <c r="B3442" s="232" t="str">
        <f>IF(AND(A3442&lt;&gt;"",ISNUMBER(A3442)),VLOOKUP(A3442,Studies!A:BR,2,FALSE),"")</f>
        <v>Peloquin 1999</v>
      </c>
      <c r="C3442" s="232" t="str">
        <f>IF(AND(A3442&lt;&gt;"",ISNUMBER(A3442)),VLOOKUP(A3442,Studies!A:BR,3,FALSE),"")</f>
        <v>https://www.ncbi.nlm.nih.gov/pubmed/9925057</v>
      </c>
      <c r="D3442" s="232" t="str">
        <f>IF(AND(A3442&lt;&gt;"",ISNUMBER(A3442)),VLOOKUP(A3442,Studies!A:BR,4,FALSE),"")</f>
        <v>fed</v>
      </c>
      <c r="E3442" s="206" t="str">
        <f>IF(AND(A3442&lt;&gt;"",ISNUMBER(A3442)),VLOOKUP(A3442,Studies!A:BR,5,FALSE),"")</f>
        <v>Rifampicin</v>
      </c>
      <c r="F3442" s="207" t="str">
        <f>IF(AND(A3442&lt;&gt;"",ISNUMBER(A3442)),VLOOKUP(A3442,Studies!A:BR,6,FALSE),"")</f>
        <v>Serum</v>
      </c>
      <c r="G3442" s="194">
        <v>2</v>
      </c>
      <c r="H3442" s="194" t="s">
        <v>60</v>
      </c>
      <c r="I3442" s="187">
        <v>1.0575380000000001</v>
      </c>
      <c r="J3442" s="187" t="s">
        <v>1054</v>
      </c>
      <c r="K3442" s="187" t="s">
        <v>389</v>
      </c>
      <c r="L3442" s="195"/>
      <c r="M3442" s="195"/>
      <c r="N3442" s="195"/>
      <c r="O3442" s="199"/>
      <c r="P3442" s="188"/>
      <c r="Q3442" s="174">
        <f>IF(ISNUMBER(VLOOKUP(A3442,NotghiID!A:A,1,FALSE)),1,0)</f>
        <v>1</v>
      </c>
    </row>
    <row r="3443" spans="1:17" ht="14.25" x14ac:dyDescent="0.2">
      <c r="A3443" s="189">
        <v>387</v>
      </c>
      <c r="B3443" s="232" t="str">
        <f>IF(AND(A3443&lt;&gt;"",ISNUMBER(A3443)),VLOOKUP(A3443,Studies!A:BR,2,FALSE),"")</f>
        <v>Peloquin 1999</v>
      </c>
      <c r="C3443" s="232" t="str">
        <f>IF(AND(A3443&lt;&gt;"",ISNUMBER(A3443)),VLOOKUP(A3443,Studies!A:BR,3,FALSE),"")</f>
        <v>https://www.ncbi.nlm.nih.gov/pubmed/9925057</v>
      </c>
      <c r="D3443" s="232" t="str">
        <f>IF(AND(A3443&lt;&gt;"",ISNUMBER(A3443)),VLOOKUP(A3443,Studies!A:BR,4,FALSE),"")</f>
        <v>fed</v>
      </c>
      <c r="E3443" s="206" t="str">
        <f>IF(AND(A3443&lt;&gt;"",ISNUMBER(A3443)),VLOOKUP(A3443,Studies!A:BR,5,FALSE),"")</f>
        <v>Rifampicin</v>
      </c>
      <c r="F3443" s="207" t="str">
        <f>IF(AND(A3443&lt;&gt;"",ISNUMBER(A3443)),VLOOKUP(A3443,Studies!A:BR,6,FALSE),"")</f>
        <v>Serum</v>
      </c>
      <c r="G3443" s="194">
        <v>2.5</v>
      </c>
      <c r="H3443" s="194" t="s">
        <v>60</v>
      </c>
      <c r="I3443" s="187">
        <v>2.1647240000000001</v>
      </c>
      <c r="J3443" s="187" t="s">
        <v>1054</v>
      </c>
      <c r="K3443" s="187" t="s">
        <v>389</v>
      </c>
      <c r="L3443" s="195"/>
      <c r="M3443" s="195"/>
      <c r="N3443" s="195"/>
      <c r="O3443" s="199"/>
      <c r="P3443" s="188"/>
      <c r="Q3443" s="174">
        <f>IF(ISNUMBER(VLOOKUP(A3443,NotghiID!A:A,1,FALSE)),1,0)</f>
        <v>1</v>
      </c>
    </row>
    <row r="3444" spans="1:17" ht="14.25" x14ac:dyDescent="0.2">
      <c r="A3444" s="189">
        <v>387</v>
      </c>
      <c r="B3444" s="232" t="str">
        <f>IF(AND(A3444&lt;&gt;"",ISNUMBER(A3444)),VLOOKUP(A3444,Studies!A:BR,2,FALSE),"")</f>
        <v>Peloquin 1999</v>
      </c>
      <c r="C3444" s="232" t="str">
        <f>IF(AND(A3444&lt;&gt;"",ISNUMBER(A3444)),VLOOKUP(A3444,Studies!A:BR,3,FALSE),"")</f>
        <v>https://www.ncbi.nlm.nih.gov/pubmed/9925057</v>
      </c>
      <c r="D3444" s="232" t="str">
        <f>IF(AND(A3444&lt;&gt;"",ISNUMBER(A3444)),VLOOKUP(A3444,Studies!A:BR,4,FALSE),"")</f>
        <v>fed</v>
      </c>
      <c r="E3444" s="206" t="str">
        <f>IF(AND(A3444&lt;&gt;"",ISNUMBER(A3444)),VLOOKUP(A3444,Studies!A:BR,5,FALSE),"")</f>
        <v>Rifampicin</v>
      </c>
      <c r="F3444" s="207" t="str">
        <f>IF(AND(A3444&lt;&gt;"",ISNUMBER(A3444)),VLOOKUP(A3444,Studies!A:BR,6,FALSE),"")</f>
        <v>Serum</v>
      </c>
      <c r="G3444" s="194">
        <v>3</v>
      </c>
      <c r="H3444" s="194" t="s">
        <v>60</v>
      </c>
      <c r="I3444" s="187">
        <v>4.1946680000000001</v>
      </c>
      <c r="J3444" s="187" t="s">
        <v>1054</v>
      </c>
      <c r="K3444" s="187" t="s">
        <v>389</v>
      </c>
      <c r="L3444" s="195"/>
      <c r="M3444" s="195"/>
      <c r="N3444" s="195"/>
      <c r="O3444" s="199"/>
      <c r="P3444" s="188"/>
      <c r="Q3444" s="174">
        <f>IF(ISNUMBER(VLOOKUP(A3444,NotghiID!A:A,1,FALSE)),1,0)</f>
        <v>1</v>
      </c>
    </row>
    <row r="3445" spans="1:17" ht="14.25" x14ac:dyDescent="0.2">
      <c r="A3445" s="189">
        <v>387</v>
      </c>
      <c r="B3445" s="232" t="str">
        <f>IF(AND(A3445&lt;&gt;"",ISNUMBER(A3445)),VLOOKUP(A3445,Studies!A:BR,2,FALSE),"")</f>
        <v>Peloquin 1999</v>
      </c>
      <c r="C3445" s="232" t="str">
        <f>IF(AND(A3445&lt;&gt;"",ISNUMBER(A3445)),VLOOKUP(A3445,Studies!A:BR,3,FALSE),"")</f>
        <v>https://www.ncbi.nlm.nih.gov/pubmed/9925057</v>
      </c>
      <c r="D3445" s="232" t="str">
        <f>IF(AND(A3445&lt;&gt;"",ISNUMBER(A3445)),VLOOKUP(A3445,Studies!A:BR,4,FALSE),"")</f>
        <v>fed</v>
      </c>
      <c r="E3445" s="206" t="str">
        <f>IF(AND(A3445&lt;&gt;"",ISNUMBER(A3445)),VLOOKUP(A3445,Studies!A:BR,5,FALSE),"")</f>
        <v>Rifampicin</v>
      </c>
      <c r="F3445" s="207" t="str">
        <f>IF(AND(A3445&lt;&gt;"",ISNUMBER(A3445)),VLOOKUP(A3445,Studies!A:BR,6,FALSE),"")</f>
        <v>Serum</v>
      </c>
      <c r="G3445" s="194">
        <v>4</v>
      </c>
      <c r="H3445" s="194" t="s">
        <v>60</v>
      </c>
      <c r="I3445" s="187">
        <v>5.3167939999999998</v>
      </c>
      <c r="J3445" s="187" t="s">
        <v>1054</v>
      </c>
      <c r="K3445" s="187" t="s">
        <v>389</v>
      </c>
      <c r="L3445" s="195"/>
      <c r="M3445" s="195"/>
      <c r="N3445" s="195"/>
      <c r="O3445" s="199"/>
      <c r="P3445" s="188"/>
      <c r="Q3445" s="174">
        <f>IF(ISNUMBER(VLOOKUP(A3445,NotghiID!A:A,1,FALSE)),1,0)</f>
        <v>1</v>
      </c>
    </row>
    <row r="3446" spans="1:17" ht="14.25" x14ac:dyDescent="0.2">
      <c r="A3446" s="189">
        <v>387</v>
      </c>
      <c r="B3446" s="232" t="str">
        <f>IF(AND(A3446&lt;&gt;"",ISNUMBER(A3446)),VLOOKUP(A3446,Studies!A:BR,2,FALSE),"")</f>
        <v>Peloquin 1999</v>
      </c>
      <c r="C3446" s="232" t="str">
        <f>IF(AND(A3446&lt;&gt;"",ISNUMBER(A3446)),VLOOKUP(A3446,Studies!A:BR,3,FALSE),"")</f>
        <v>https://www.ncbi.nlm.nih.gov/pubmed/9925057</v>
      </c>
      <c r="D3446" s="232" t="str">
        <f>IF(AND(A3446&lt;&gt;"",ISNUMBER(A3446)),VLOOKUP(A3446,Studies!A:BR,4,FALSE),"")</f>
        <v>fed</v>
      </c>
      <c r="E3446" s="206" t="str">
        <f>IF(AND(A3446&lt;&gt;"",ISNUMBER(A3446)),VLOOKUP(A3446,Studies!A:BR,5,FALSE),"")</f>
        <v>Rifampicin</v>
      </c>
      <c r="F3446" s="207" t="str">
        <f>IF(AND(A3446&lt;&gt;"",ISNUMBER(A3446)),VLOOKUP(A3446,Studies!A:BR,6,FALSE),"")</f>
        <v>Serum</v>
      </c>
      <c r="G3446" s="194">
        <v>6</v>
      </c>
      <c r="H3446" s="194" t="s">
        <v>60</v>
      </c>
      <c r="I3446" s="187">
        <v>5.9226809999999999</v>
      </c>
      <c r="J3446" s="187" t="s">
        <v>1054</v>
      </c>
      <c r="K3446" s="187" t="s">
        <v>389</v>
      </c>
      <c r="L3446" s="195"/>
      <c r="M3446" s="195"/>
      <c r="N3446" s="195"/>
      <c r="O3446" s="199"/>
      <c r="P3446" s="188"/>
      <c r="Q3446" s="174">
        <f>IF(ISNUMBER(VLOOKUP(A3446,NotghiID!A:A,1,FALSE)),1,0)</f>
        <v>1</v>
      </c>
    </row>
    <row r="3447" spans="1:17" ht="14.25" x14ac:dyDescent="0.2">
      <c r="A3447" s="189">
        <v>387</v>
      </c>
      <c r="B3447" s="232" t="str">
        <f>IF(AND(A3447&lt;&gt;"",ISNUMBER(A3447)),VLOOKUP(A3447,Studies!A:BR,2,FALSE),"")</f>
        <v>Peloquin 1999</v>
      </c>
      <c r="C3447" s="232" t="str">
        <f>IF(AND(A3447&lt;&gt;"",ISNUMBER(A3447)),VLOOKUP(A3447,Studies!A:BR,3,FALSE),"")</f>
        <v>https://www.ncbi.nlm.nih.gov/pubmed/9925057</v>
      </c>
      <c r="D3447" s="232" t="str">
        <f>IF(AND(A3447&lt;&gt;"",ISNUMBER(A3447)),VLOOKUP(A3447,Studies!A:BR,4,FALSE),"")</f>
        <v>fed</v>
      </c>
      <c r="E3447" s="206" t="str">
        <f>IF(AND(A3447&lt;&gt;"",ISNUMBER(A3447)),VLOOKUP(A3447,Studies!A:BR,5,FALSE),"")</f>
        <v>Rifampicin</v>
      </c>
      <c r="F3447" s="207" t="str">
        <f>IF(AND(A3447&lt;&gt;"",ISNUMBER(A3447)),VLOOKUP(A3447,Studies!A:BR,6,FALSE),"")</f>
        <v>Serum</v>
      </c>
      <c r="G3447" s="194">
        <v>8</v>
      </c>
      <c r="H3447" s="194" t="s">
        <v>60</v>
      </c>
      <c r="I3447" s="187">
        <v>4.2496070000000001</v>
      </c>
      <c r="J3447" s="187" t="s">
        <v>1054</v>
      </c>
      <c r="K3447" s="187" t="s">
        <v>389</v>
      </c>
      <c r="L3447" s="195"/>
      <c r="M3447" s="195"/>
      <c r="N3447" s="195"/>
      <c r="O3447" s="199"/>
      <c r="P3447" s="188"/>
      <c r="Q3447" s="174">
        <f>IF(ISNUMBER(VLOOKUP(A3447,NotghiID!A:A,1,FALSE)),1,0)</f>
        <v>1</v>
      </c>
    </row>
    <row r="3448" spans="1:17" ht="14.25" x14ac:dyDescent="0.2">
      <c r="A3448" s="189">
        <v>387</v>
      </c>
      <c r="B3448" s="232" t="str">
        <f>IF(AND(A3448&lt;&gt;"",ISNUMBER(A3448)),VLOOKUP(A3448,Studies!A:BR,2,FALSE),"")</f>
        <v>Peloquin 1999</v>
      </c>
      <c r="C3448" s="232" t="str">
        <f>IF(AND(A3448&lt;&gt;"",ISNUMBER(A3448)),VLOOKUP(A3448,Studies!A:BR,3,FALSE),"")</f>
        <v>https://www.ncbi.nlm.nih.gov/pubmed/9925057</v>
      </c>
      <c r="D3448" s="232" t="str">
        <f>IF(AND(A3448&lt;&gt;"",ISNUMBER(A3448)),VLOOKUP(A3448,Studies!A:BR,4,FALSE),"")</f>
        <v>fed</v>
      </c>
      <c r="E3448" s="206" t="str">
        <f>IF(AND(A3448&lt;&gt;"",ISNUMBER(A3448)),VLOOKUP(A3448,Studies!A:BR,5,FALSE),"")</f>
        <v>Rifampicin</v>
      </c>
      <c r="F3448" s="207" t="str">
        <f>IF(AND(A3448&lt;&gt;"",ISNUMBER(A3448)),VLOOKUP(A3448,Studies!A:BR,6,FALSE),"")</f>
        <v>Serum</v>
      </c>
      <c r="G3448" s="194">
        <v>10</v>
      </c>
      <c r="H3448" s="194" t="s">
        <v>60</v>
      </c>
      <c r="I3448" s="187">
        <v>3.4806159999999999</v>
      </c>
      <c r="J3448" s="187" t="s">
        <v>1054</v>
      </c>
      <c r="K3448" s="187" t="s">
        <v>389</v>
      </c>
      <c r="L3448" s="195"/>
      <c r="M3448" s="195"/>
      <c r="N3448" s="195"/>
      <c r="O3448" s="199"/>
      <c r="P3448" s="188"/>
      <c r="Q3448" s="174">
        <f>IF(ISNUMBER(VLOOKUP(A3448,NotghiID!A:A,1,FALSE)),1,0)</f>
        <v>1</v>
      </c>
    </row>
    <row r="3449" spans="1:17" ht="14.25" x14ac:dyDescent="0.2">
      <c r="A3449" s="189">
        <v>387</v>
      </c>
      <c r="B3449" s="232" t="str">
        <f>IF(AND(A3449&lt;&gt;"",ISNUMBER(A3449)),VLOOKUP(A3449,Studies!A:BR,2,FALSE),"")</f>
        <v>Peloquin 1999</v>
      </c>
      <c r="C3449" s="232" t="str">
        <f>IF(AND(A3449&lt;&gt;"",ISNUMBER(A3449)),VLOOKUP(A3449,Studies!A:BR,3,FALSE),"")</f>
        <v>https://www.ncbi.nlm.nih.gov/pubmed/9925057</v>
      </c>
      <c r="D3449" s="232" t="str">
        <f>IF(AND(A3449&lt;&gt;"",ISNUMBER(A3449)),VLOOKUP(A3449,Studies!A:BR,4,FALSE),"")</f>
        <v>fed</v>
      </c>
      <c r="E3449" s="206" t="str">
        <f>IF(AND(A3449&lt;&gt;"",ISNUMBER(A3449)),VLOOKUP(A3449,Studies!A:BR,5,FALSE),"")</f>
        <v>Rifampicin</v>
      </c>
      <c r="F3449" s="207" t="str">
        <f>IF(AND(A3449&lt;&gt;"",ISNUMBER(A3449)),VLOOKUP(A3449,Studies!A:BR,6,FALSE),"")</f>
        <v>Serum</v>
      </c>
      <c r="G3449" s="194">
        <v>12</v>
      </c>
      <c r="H3449" s="194" t="s">
        <v>60</v>
      </c>
      <c r="I3449" s="187">
        <v>2.2033209999999999</v>
      </c>
      <c r="J3449" s="187" t="s">
        <v>1054</v>
      </c>
      <c r="K3449" s="187" t="s">
        <v>389</v>
      </c>
      <c r="L3449" s="195"/>
      <c r="M3449" s="195"/>
      <c r="N3449" s="195"/>
      <c r="O3449" s="199"/>
      <c r="P3449" s="188"/>
      <c r="Q3449" s="174">
        <f>IF(ISNUMBER(VLOOKUP(A3449,NotghiID!A:A,1,FALSE)),1,0)</f>
        <v>1</v>
      </c>
    </row>
    <row r="3450" spans="1:17" ht="14.25" x14ac:dyDescent="0.2">
      <c r="A3450" s="189">
        <v>387</v>
      </c>
      <c r="B3450" s="232" t="str">
        <f>IF(AND(A3450&lt;&gt;"",ISNUMBER(A3450)),VLOOKUP(A3450,Studies!A:BR,2,FALSE),"")</f>
        <v>Peloquin 1999</v>
      </c>
      <c r="C3450" s="232" t="str">
        <f>IF(AND(A3450&lt;&gt;"",ISNUMBER(A3450)),VLOOKUP(A3450,Studies!A:BR,3,FALSE),"")</f>
        <v>https://www.ncbi.nlm.nih.gov/pubmed/9925057</v>
      </c>
      <c r="D3450" s="232" t="str">
        <f>IF(AND(A3450&lt;&gt;"",ISNUMBER(A3450)),VLOOKUP(A3450,Studies!A:BR,4,FALSE),"")</f>
        <v>fed</v>
      </c>
      <c r="E3450" s="206" t="str">
        <f>IF(AND(A3450&lt;&gt;"",ISNUMBER(A3450)),VLOOKUP(A3450,Studies!A:BR,5,FALSE),"")</f>
        <v>Rifampicin</v>
      </c>
      <c r="F3450" s="207" t="str">
        <f>IF(AND(A3450&lt;&gt;"",ISNUMBER(A3450)),VLOOKUP(A3450,Studies!A:BR,6,FALSE),"")</f>
        <v>Serum</v>
      </c>
      <c r="G3450" s="194">
        <v>16</v>
      </c>
      <c r="H3450" s="194" t="s">
        <v>60</v>
      </c>
      <c r="I3450" s="187">
        <v>0.87233280000000002</v>
      </c>
      <c r="J3450" s="187" t="s">
        <v>1054</v>
      </c>
      <c r="K3450" s="187" t="s">
        <v>389</v>
      </c>
      <c r="L3450" s="195"/>
      <c r="M3450" s="195"/>
      <c r="N3450" s="195"/>
      <c r="O3450" s="199"/>
      <c r="P3450" s="188"/>
      <c r="Q3450" s="174">
        <f>IF(ISNUMBER(VLOOKUP(A3450,NotghiID!A:A,1,FALSE)),1,0)</f>
        <v>1</v>
      </c>
    </row>
    <row r="3451" spans="1:17" ht="14.25" x14ac:dyDescent="0.2">
      <c r="A3451" s="189">
        <v>387</v>
      </c>
      <c r="B3451" s="232" t="str">
        <f>IF(AND(A3451&lt;&gt;"",ISNUMBER(A3451)),VLOOKUP(A3451,Studies!A:BR,2,FALSE),"")</f>
        <v>Peloquin 1999</v>
      </c>
      <c r="C3451" s="232" t="str">
        <f>IF(AND(A3451&lt;&gt;"",ISNUMBER(A3451)),VLOOKUP(A3451,Studies!A:BR,3,FALSE),"")</f>
        <v>https://www.ncbi.nlm.nih.gov/pubmed/9925057</v>
      </c>
      <c r="D3451" s="232" t="str">
        <f>IF(AND(A3451&lt;&gt;"",ISNUMBER(A3451)),VLOOKUP(A3451,Studies!A:BR,4,FALSE),"")</f>
        <v>fed</v>
      </c>
      <c r="E3451" s="206" t="str">
        <f>IF(AND(A3451&lt;&gt;"",ISNUMBER(A3451)),VLOOKUP(A3451,Studies!A:BR,5,FALSE),"")</f>
        <v>Rifampicin</v>
      </c>
      <c r="F3451" s="207" t="str">
        <f>IF(AND(A3451&lt;&gt;"",ISNUMBER(A3451)),VLOOKUP(A3451,Studies!A:BR,6,FALSE),"")</f>
        <v>Serum</v>
      </c>
      <c r="G3451" s="194">
        <v>24</v>
      </c>
      <c r="H3451" s="194" t="s">
        <v>60</v>
      </c>
      <c r="I3451" s="187">
        <v>0.1125239</v>
      </c>
      <c r="J3451" s="187" t="s">
        <v>1054</v>
      </c>
      <c r="K3451" s="187" t="s">
        <v>389</v>
      </c>
      <c r="L3451" s="195"/>
      <c r="M3451" s="195"/>
      <c r="N3451" s="195"/>
      <c r="O3451" s="199"/>
      <c r="P3451" s="188"/>
      <c r="Q3451" s="174">
        <f>IF(ISNUMBER(VLOOKUP(A3451,NotghiID!A:A,1,FALSE)),1,0)</f>
        <v>1</v>
      </c>
    </row>
    <row r="3452" spans="1:17" ht="14.25" x14ac:dyDescent="0.2">
      <c r="A3452" s="189">
        <v>388</v>
      </c>
      <c r="B3452" s="232" t="str">
        <f>IF(AND(A3452&lt;&gt;"",ISNUMBER(A3452)),VLOOKUP(A3452,Studies!A:BR,2,FALSE),"")</f>
        <v>Phimmasone 2001</v>
      </c>
      <c r="C3452" s="232" t="str">
        <f>IF(AND(A3452&lt;&gt;"",ISNUMBER(A3452)),VLOOKUP(A3452,Studies!A:BR,3,FALSE),"")</f>
        <v>https://www.ncbi.nlm.nih.gov/pubmed/11753266</v>
      </c>
      <c r="D3452" s="232" t="str">
        <f>IF(AND(A3452&lt;&gt;"",ISNUMBER(A3452)),VLOOKUP(A3452,Studies!A:BR,4,FALSE),"")</f>
        <v>Control (Perpetrator Placebo)</v>
      </c>
      <c r="E3452" s="206" t="str">
        <f>IF(AND(A3452&lt;&gt;"",ISNUMBER(A3452)),VLOOKUP(A3452,Studies!A:BR,5,FALSE),"")</f>
        <v>Midazolam</v>
      </c>
      <c r="F3452" s="207" t="str">
        <f>IF(AND(A3452&lt;&gt;"",ISNUMBER(A3452)),VLOOKUP(A3452,Studies!A:BR,6,FALSE),"")</f>
        <v>Plasma</v>
      </c>
      <c r="G3452" s="194">
        <v>2</v>
      </c>
      <c r="H3452" s="194" t="s">
        <v>1041</v>
      </c>
      <c r="I3452" s="187">
        <v>88.439930000000004</v>
      </c>
      <c r="J3452" s="187" t="s">
        <v>1090</v>
      </c>
      <c r="K3452" s="187" t="s">
        <v>389</v>
      </c>
      <c r="L3452" s="195">
        <v>32.639279999999999</v>
      </c>
      <c r="M3452" s="195" t="s">
        <v>1090</v>
      </c>
      <c r="N3452" s="195" t="s">
        <v>117</v>
      </c>
      <c r="O3452" s="199"/>
      <c r="P3452" s="188"/>
      <c r="Q3452" s="174">
        <f>IF(ISNUMBER(VLOOKUP(A3452,NotghiID!A:A,1,FALSE)),1,0)</f>
        <v>1</v>
      </c>
    </row>
    <row r="3453" spans="1:17" ht="14.25" x14ac:dyDescent="0.2">
      <c r="A3453" s="189">
        <v>388</v>
      </c>
      <c r="B3453" s="232" t="str">
        <f>IF(AND(A3453&lt;&gt;"",ISNUMBER(A3453)),VLOOKUP(A3453,Studies!A:BR,2,FALSE),"")</f>
        <v>Phimmasone 2001</v>
      </c>
      <c r="C3453" s="232" t="str">
        <f>IF(AND(A3453&lt;&gt;"",ISNUMBER(A3453)),VLOOKUP(A3453,Studies!A:BR,3,FALSE),"")</f>
        <v>https://www.ncbi.nlm.nih.gov/pubmed/11753266</v>
      </c>
      <c r="D3453" s="232" t="str">
        <f>IF(AND(A3453&lt;&gt;"",ISNUMBER(A3453)),VLOOKUP(A3453,Studies!A:BR,4,FALSE),"")</f>
        <v>Control (Perpetrator Placebo)</v>
      </c>
      <c r="E3453" s="206" t="str">
        <f>IF(AND(A3453&lt;&gt;"",ISNUMBER(A3453)),VLOOKUP(A3453,Studies!A:BR,5,FALSE),"")</f>
        <v>Midazolam</v>
      </c>
      <c r="F3453" s="207" t="str">
        <f>IF(AND(A3453&lt;&gt;"",ISNUMBER(A3453)),VLOOKUP(A3453,Studies!A:BR,6,FALSE),"")</f>
        <v>Plasma</v>
      </c>
      <c r="G3453" s="194">
        <v>5</v>
      </c>
      <c r="H3453" s="194" t="s">
        <v>1041</v>
      </c>
      <c r="I3453" s="187">
        <v>43.646079999999998</v>
      </c>
      <c r="J3453" s="187" t="s">
        <v>1090</v>
      </c>
      <c r="K3453" s="187" t="s">
        <v>389</v>
      </c>
      <c r="L3453" s="195">
        <v>14.66147</v>
      </c>
      <c r="M3453" s="195" t="s">
        <v>1090</v>
      </c>
      <c r="N3453" s="195" t="s">
        <v>117</v>
      </c>
      <c r="O3453" s="199"/>
      <c r="P3453" s="188"/>
      <c r="Q3453" s="174">
        <f>IF(ISNUMBER(VLOOKUP(A3453,NotghiID!A:A,1,FALSE)),1,0)</f>
        <v>1</v>
      </c>
    </row>
    <row r="3454" spans="1:17" ht="14.25" x14ac:dyDescent="0.2">
      <c r="A3454" s="189">
        <v>388</v>
      </c>
      <c r="B3454" s="232" t="str">
        <f>IF(AND(A3454&lt;&gt;"",ISNUMBER(A3454)),VLOOKUP(A3454,Studies!A:BR,2,FALSE),"")</f>
        <v>Phimmasone 2001</v>
      </c>
      <c r="C3454" s="232" t="str">
        <f>IF(AND(A3454&lt;&gt;"",ISNUMBER(A3454)),VLOOKUP(A3454,Studies!A:BR,3,FALSE),"")</f>
        <v>https://www.ncbi.nlm.nih.gov/pubmed/11753266</v>
      </c>
      <c r="D3454" s="232" t="str">
        <f>IF(AND(A3454&lt;&gt;"",ISNUMBER(A3454)),VLOOKUP(A3454,Studies!A:BR,4,FALSE),"")</f>
        <v>Control (Perpetrator Placebo)</v>
      </c>
      <c r="E3454" s="206" t="str">
        <f>IF(AND(A3454&lt;&gt;"",ISNUMBER(A3454)),VLOOKUP(A3454,Studies!A:BR,5,FALSE),"")</f>
        <v>Midazolam</v>
      </c>
      <c r="F3454" s="207" t="str">
        <f>IF(AND(A3454&lt;&gt;"",ISNUMBER(A3454)),VLOOKUP(A3454,Studies!A:BR,6,FALSE),"")</f>
        <v>Plasma</v>
      </c>
      <c r="G3454" s="194">
        <v>10</v>
      </c>
      <c r="H3454" s="194" t="s">
        <v>1041</v>
      </c>
      <c r="I3454" s="187">
        <v>24.10632</v>
      </c>
      <c r="J3454" s="187" t="s">
        <v>1090</v>
      </c>
      <c r="K3454" s="187" t="s">
        <v>389</v>
      </c>
      <c r="L3454" s="195">
        <v>4.0551320000000004</v>
      </c>
      <c r="M3454" s="195" t="s">
        <v>1090</v>
      </c>
      <c r="N3454" s="195" t="s">
        <v>117</v>
      </c>
      <c r="O3454" s="199"/>
      <c r="P3454" s="188"/>
      <c r="Q3454" s="174">
        <f>IF(ISNUMBER(VLOOKUP(A3454,NotghiID!A:A,1,FALSE)),1,0)</f>
        <v>1</v>
      </c>
    </row>
    <row r="3455" spans="1:17" ht="14.25" x14ac:dyDescent="0.2">
      <c r="A3455" s="189">
        <v>388</v>
      </c>
      <c r="B3455" s="232" t="str">
        <f>IF(AND(A3455&lt;&gt;"",ISNUMBER(A3455)),VLOOKUP(A3455,Studies!A:BR,2,FALSE),"")</f>
        <v>Phimmasone 2001</v>
      </c>
      <c r="C3455" s="232" t="str">
        <f>IF(AND(A3455&lt;&gt;"",ISNUMBER(A3455)),VLOOKUP(A3455,Studies!A:BR,3,FALSE),"")</f>
        <v>https://www.ncbi.nlm.nih.gov/pubmed/11753266</v>
      </c>
      <c r="D3455" s="232" t="str">
        <f>IF(AND(A3455&lt;&gt;"",ISNUMBER(A3455)),VLOOKUP(A3455,Studies!A:BR,4,FALSE),"")</f>
        <v>Control (Perpetrator Placebo)</v>
      </c>
      <c r="E3455" s="206" t="str">
        <f>IF(AND(A3455&lt;&gt;"",ISNUMBER(A3455)),VLOOKUP(A3455,Studies!A:BR,5,FALSE),"")</f>
        <v>Midazolam</v>
      </c>
      <c r="F3455" s="207" t="str">
        <f>IF(AND(A3455&lt;&gt;"",ISNUMBER(A3455)),VLOOKUP(A3455,Studies!A:BR,6,FALSE),"")</f>
        <v>Plasma</v>
      </c>
      <c r="G3455" s="194">
        <v>15</v>
      </c>
      <c r="H3455" s="194" t="s">
        <v>1041</v>
      </c>
      <c r="I3455" s="187">
        <v>21.101220000000001</v>
      </c>
      <c r="J3455" s="187" t="s">
        <v>1090</v>
      </c>
      <c r="K3455" s="187" t="s">
        <v>389</v>
      </c>
      <c r="L3455" s="195">
        <v>6.6513770000000001</v>
      </c>
      <c r="M3455" s="195" t="s">
        <v>1090</v>
      </c>
      <c r="N3455" s="195" t="s">
        <v>117</v>
      </c>
      <c r="O3455" s="199"/>
      <c r="P3455" s="189" t="s">
        <v>1149</v>
      </c>
      <c r="Q3455" s="174">
        <f>IF(ISNUMBER(VLOOKUP(A3455,NotghiID!A:A,1,FALSE)),1,0)</f>
        <v>1</v>
      </c>
    </row>
    <row r="3456" spans="1:17" ht="14.25" x14ac:dyDescent="0.2">
      <c r="A3456" s="189">
        <v>388</v>
      </c>
      <c r="B3456" s="232" t="str">
        <f>IF(AND(A3456&lt;&gt;"",ISNUMBER(A3456)),VLOOKUP(A3456,Studies!A:BR,2,FALSE),"")</f>
        <v>Phimmasone 2001</v>
      </c>
      <c r="C3456" s="232" t="str">
        <f>IF(AND(A3456&lt;&gt;"",ISNUMBER(A3456)),VLOOKUP(A3456,Studies!A:BR,3,FALSE),"")</f>
        <v>https://www.ncbi.nlm.nih.gov/pubmed/11753266</v>
      </c>
      <c r="D3456" s="232" t="str">
        <f>IF(AND(A3456&lt;&gt;"",ISNUMBER(A3456)),VLOOKUP(A3456,Studies!A:BR,4,FALSE),"")</f>
        <v>Control (Perpetrator Placebo)</v>
      </c>
      <c r="E3456" s="206" t="str">
        <f>IF(AND(A3456&lt;&gt;"",ISNUMBER(A3456)),VLOOKUP(A3456,Studies!A:BR,5,FALSE),"")</f>
        <v>Midazolam</v>
      </c>
      <c r="F3456" s="207" t="str">
        <f>IF(AND(A3456&lt;&gt;"",ISNUMBER(A3456)),VLOOKUP(A3456,Studies!A:BR,6,FALSE),"")</f>
        <v>Plasma</v>
      </c>
      <c r="G3456" s="194">
        <v>30</v>
      </c>
      <c r="H3456" s="194" t="s">
        <v>1041</v>
      </c>
      <c r="I3456" s="187">
        <v>14.15264</v>
      </c>
      <c r="J3456" s="187" t="s">
        <v>1090</v>
      </c>
      <c r="K3456" s="187" t="s">
        <v>389</v>
      </c>
      <c r="L3456" s="195">
        <v>4.7539220000000002</v>
      </c>
      <c r="M3456" s="195" t="s">
        <v>1090</v>
      </c>
      <c r="N3456" s="195" t="s">
        <v>117</v>
      </c>
      <c r="O3456" s="199"/>
      <c r="P3456" s="188"/>
      <c r="Q3456" s="174">
        <f>IF(ISNUMBER(VLOOKUP(A3456,NotghiID!A:A,1,FALSE)),1,0)</f>
        <v>1</v>
      </c>
    </row>
    <row r="3457" spans="1:17" ht="14.25" x14ac:dyDescent="0.2">
      <c r="A3457" s="189">
        <v>388</v>
      </c>
      <c r="B3457" s="232" t="str">
        <f>IF(AND(A3457&lt;&gt;"",ISNUMBER(A3457)),VLOOKUP(A3457,Studies!A:BR,2,FALSE),"")</f>
        <v>Phimmasone 2001</v>
      </c>
      <c r="C3457" s="232" t="str">
        <f>IF(AND(A3457&lt;&gt;"",ISNUMBER(A3457)),VLOOKUP(A3457,Studies!A:BR,3,FALSE),"")</f>
        <v>https://www.ncbi.nlm.nih.gov/pubmed/11753266</v>
      </c>
      <c r="D3457" s="232" t="str">
        <f>IF(AND(A3457&lt;&gt;"",ISNUMBER(A3457)),VLOOKUP(A3457,Studies!A:BR,4,FALSE),"")</f>
        <v>Control (Perpetrator Placebo)</v>
      </c>
      <c r="E3457" s="206" t="str">
        <f>IF(AND(A3457&lt;&gt;"",ISNUMBER(A3457)),VLOOKUP(A3457,Studies!A:BR,5,FALSE),"")</f>
        <v>Midazolam</v>
      </c>
      <c r="F3457" s="207" t="str">
        <f>IF(AND(A3457&lt;&gt;"",ISNUMBER(A3457)),VLOOKUP(A3457,Studies!A:BR,6,FALSE),"")</f>
        <v>Plasma</v>
      </c>
      <c r="G3457" s="194">
        <v>60</v>
      </c>
      <c r="H3457" s="194" t="s">
        <v>1041</v>
      </c>
      <c r="I3457" s="187">
        <v>9.7846499999999992</v>
      </c>
      <c r="J3457" s="187" t="s">
        <v>1090</v>
      </c>
      <c r="K3457" s="187" t="s">
        <v>389</v>
      </c>
      <c r="L3457" s="195">
        <v>3.4186079999999999</v>
      </c>
      <c r="M3457" s="195" t="s">
        <v>1090</v>
      </c>
      <c r="N3457" s="195" t="s">
        <v>117</v>
      </c>
      <c r="O3457" s="199"/>
      <c r="P3457" s="188"/>
      <c r="Q3457" s="174">
        <f>IF(ISNUMBER(VLOOKUP(A3457,NotghiID!A:A,1,FALSE)),1,0)</f>
        <v>1</v>
      </c>
    </row>
    <row r="3458" spans="1:17" ht="14.25" x14ac:dyDescent="0.2">
      <c r="A3458" s="189">
        <v>388</v>
      </c>
      <c r="B3458" s="232" t="str">
        <f>IF(AND(A3458&lt;&gt;"",ISNUMBER(A3458)),VLOOKUP(A3458,Studies!A:BR,2,FALSE),"")</f>
        <v>Phimmasone 2001</v>
      </c>
      <c r="C3458" s="232" t="str">
        <f>IF(AND(A3458&lt;&gt;"",ISNUMBER(A3458)),VLOOKUP(A3458,Studies!A:BR,3,FALSE),"")</f>
        <v>https://www.ncbi.nlm.nih.gov/pubmed/11753266</v>
      </c>
      <c r="D3458" s="232" t="str">
        <f>IF(AND(A3458&lt;&gt;"",ISNUMBER(A3458)),VLOOKUP(A3458,Studies!A:BR,4,FALSE),"")</f>
        <v>Control (Perpetrator Placebo)</v>
      </c>
      <c r="E3458" s="206" t="str">
        <f>IF(AND(A3458&lt;&gt;"",ISNUMBER(A3458)),VLOOKUP(A3458,Studies!A:BR,5,FALSE),"")</f>
        <v>Midazolam</v>
      </c>
      <c r="F3458" s="207" t="str">
        <f>IF(AND(A3458&lt;&gt;"",ISNUMBER(A3458)),VLOOKUP(A3458,Studies!A:BR,6,FALSE),"")</f>
        <v>Plasma</v>
      </c>
      <c r="G3458" s="189">
        <v>65</v>
      </c>
      <c r="H3458" s="194" t="s">
        <v>1041</v>
      </c>
      <c r="I3458" s="187">
        <v>9.4880169999999993</v>
      </c>
      <c r="J3458" s="187" t="s">
        <v>1090</v>
      </c>
      <c r="K3458" s="187" t="s">
        <v>389</v>
      </c>
      <c r="L3458" s="195">
        <v>3.3776920000000001</v>
      </c>
      <c r="M3458" s="195" t="s">
        <v>1090</v>
      </c>
      <c r="N3458" s="195" t="s">
        <v>117</v>
      </c>
      <c r="O3458" s="199"/>
      <c r="P3458" s="189" t="s">
        <v>1150</v>
      </c>
      <c r="Q3458" s="174">
        <f>IF(ISNUMBER(VLOOKUP(A3458,NotghiID!A:A,1,FALSE)),1,0)</f>
        <v>1</v>
      </c>
    </row>
    <row r="3459" spans="1:17" ht="14.25" x14ac:dyDescent="0.2">
      <c r="A3459" s="189">
        <v>388</v>
      </c>
      <c r="B3459" s="232" t="str">
        <f>IF(AND(A3459&lt;&gt;"",ISNUMBER(A3459)),VLOOKUP(A3459,Studies!A:BR,2,FALSE),"")</f>
        <v>Phimmasone 2001</v>
      </c>
      <c r="C3459" s="232" t="str">
        <f>IF(AND(A3459&lt;&gt;"",ISNUMBER(A3459)),VLOOKUP(A3459,Studies!A:BR,3,FALSE),"")</f>
        <v>https://www.ncbi.nlm.nih.gov/pubmed/11753266</v>
      </c>
      <c r="D3459" s="232" t="str">
        <f>IF(AND(A3459&lt;&gt;"",ISNUMBER(A3459)),VLOOKUP(A3459,Studies!A:BR,4,FALSE),"")</f>
        <v>Control (Perpetrator Placebo)</v>
      </c>
      <c r="E3459" s="206" t="str">
        <f>IF(AND(A3459&lt;&gt;"",ISNUMBER(A3459)),VLOOKUP(A3459,Studies!A:BR,5,FALSE),"")</f>
        <v>Midazolam</v>
      </c>
      <c r="F3459" s="207" t="str">
        <f>IF(AND(A3459&lt;&gt;"",ISNUMBER(A3459)),VLOOKUP(A3459,Studies!A:BR,6,FALSE),"")</f>
        <v>Plasma</v>
      </c>
      <c r="G3459" s="189">
        <v>70</v>
      </c>
      <c r="H3459" s="194" t="s">
        <v>1041</v>
      </c>
      <c r="I3459" s="187">
        <v>9.1065109999999994</v>
      </c>
      <c r="J3459" s="187" t="s">
        <v>1090</v>
      </c>
      <c r="K3459" s="187" t="s">
        <v>389</v>
      </c>
      <c r="L3459" s="195">
        <v>3.8662610000000002</v>
      </c>
      <c r="M3459" s="195" t="s">
        <v>1090</v>
      </c>
      <c r="N3459" s="195" t="s">
        <v>117</v>
      </c>
      <c r="O3459" s="199"/>
      <c r="P3459" s="189" t="s">
        <v>1150</v>
      </c>
      <c r="Q3459" s="174">
        <f>IF(ISNUMBER(VLOOKUP(A3459,NotghiID!A:A,1,FALSE)),1,0)</f>
        <v>1</v>
      </c>
    </row>
    <row r="3460" spans="1:17" ht="14.25" x14ac:dyDescent="0.2">
      <c r="A3460" s="189">
        <v>388</v>
      </c>
      <c r="B3460" s="232" t="str">
        <f>IF(AND(A3460&lt;&gt;"",ISNUMBER(A3460)),VLOOKUP(A3460,Studies!A:BR,2,FALSE),"")</f>
        <v>Phimmasone 2001</v>
      </c>
      <c r="C3460" s="232" t="str">
        <f>IF(AND(A3460&lt;&gt;"",ISNUMBER(A3460)),VLOOKUP(A3460,Studies!A:BR,3,FALSE),"")</f>
        <v>https://www.ncbi.nlm.nih.gov/pubmed/11753266</v>
      </c>
      <c r="D3460" s="232" t="str">
        <f>IF(AND(A3460&lt;&gt;"",ISNUMBER(A3460)),VLOOKUP(A3460,Studies!A:BR,4,FALSE),"")</f>
        <v>Control (Perpetrator Placebo)</v>
      </c>
      <c r="E3460" s="206" t="str">
        <f>IF(AND(A3460&lt;&gt;"",ISNUMBER(A3460)),VLOOKUP(A3460,Studies!A:BR,5,FALSE),"")</f>
        <v>Midazolam</v>
      </c>
      <c r="F3460" s="207" t="str">
        <f>IF(AND(A3460&lt;&gt;"",ISNUMBER(A3460)),VLOOKUP(A3460,Studies!A:BR,6,FALSE),"")</f>
        <v>Plasma</v>
      </c>
      <c r="G3460" s="189">
        <v>75</v>
      </c>
      <c r="H3460" s="194" t="s">
        <v>1041</v>
      </c>
      <c r="I3460" s="187">
        <v>8.5632719999999996</v>
      </c>
      <c r="J3460" s="187" t="s">
        <v>1090</v>
      </c>
      <c r="K3460" s="187" t="s">
        <v>389</v>
      </c>
      <c r="L3460" s="195">
        <v>3.6857950000000002</v>
      </c>
      <c r="M3460" s="195" t="s">
        <v>1090</v>
      </c>
      <c r="N3460" s="195" t="s">
        <v>117</v>
      </c>
      <c r="O3460" s="199"/>
      <c r="P3460" s="189" t="s">
        <v>1150</v>
      </c>
      <c r="Q3460" s="174">
        <f>IF(ISNUMBER(VLOOKUP(A3460,NotghiID!A:A,1,FALSE)),1,0)</f>
        <v>1</v>
      </c>
    </row>
    <row r="3461" spans="1:17" ht="14.25" x14ac:dyDescent="0.2">
      <c r="A3461" s="189">
        <v>388</v>
      </c>
      <c r="B3461" s="232" t="str">
        <f>IF(AND(A3461&lt;&gt;"",ISNUMBER(A3461)),VLOOKUP(A3461,Studies!A:BR,2,FALSE),"")</f>
        <v>Phimmasone 2001</v>
      </c>
      <c r="C3461" s="232" t="str">
        <f>IF(AND(A3461&lt;&gt;"",ISNUMBER(A3461)),VLOOKUP(A3461,Studies!A:BR,3,FALSE),"")</f>
        <v>https://www.ncbi.nlm.nih.gov/pubmed/11753266</v>
      </c>
      <c r="D3461" s="232" t="str">
        <f>IF(AND(A3461&lt;&gt;"",ISNUMBER(A3461)),VLOOKUP(A3461,Studies!A:BR,4,FALSE),"")</f>
        <v>Control (Perpetrator Placebo)</v>
      </c>
      <c r="E3461" s="206" t="str">
        <f>IF(AND(A3461&lt;&gt;"",ISNUMBER(A3461)),VLOOKUP(A3461,Studies!A:BR,5,FALSE),"")</f>
        <v>Midazolam</v>
      </c>
      <c r="F3461" s="207" t="str">
        <f>IF(AND(A3461&lt;&gt;"",ISNUMBER(A3461)),VLOOKUP(A3461,Studies!A:BR,6,FALSE),"")</f>
        <v>Plasma</v>
      </c>
      <c r="G3461" s="189">
        <v>80</v>
      </c>
      <c r="H3461" s="194" t="s">
        <v>1041</v>
      </c>
      <c r="I3461" s="187">
        <v>7.970453</v>
      </c>
      <c r="J3461" s="187" t="s">
        <v>1090</v>
      </c>
      <c r="K3461" s="187" t="s">
        <v>389</v>
      </c>
      <c r="L3461" s="195">
        <v>3.2409409999999998</v>
      </c>
      <c r="M3461" s="195" t="s">
        <v>1090</v>
      </c>
      <c r="N3461" s="195" t="s">
        <v>117</v>
      </c>
      <c r="O3461" s="199"/>
      <c r="P3461" s="189" t="s">
        <v>1150</v>
      </c>
      <c r="Q3461" s="174">
        <f>IF(ISNUMBER(VLOOKUP(A3461,NotghiID!A:A,1,FALSE)),1,0)</f>
        <v>1</v>
      </c>
    </row>
    <row r="3462" spans="1:17" ht="14.25" x14ac:dyDescent="0.2">
      <c r="A3462" s="189">
        <v>388</v>
      </c>
      <c r="B3462" s="232" t="str">
        <f>IF(AND(A3462&lt;&gt;"",ISNUMBER(A3462)),VLOOKUP(A3462,Studies!A:BR,2,FALSE),"")</f>
        <v>Phimmasone 2001</v>
      </c>
      <c r="C3462" s="232" t="str">
        <f>IF(AND(A3462&lt;&gt;"",ISNUMBER(A3462)),VLOOKUP(A3462,Studies!A:BR,3,FALSE),"")</f>
        <v>https://www.ncbi.nlm.nih.gov/pubmed/11753266</v>
      </c>
      <c r="D3462" s="232" t="str">
        <f>IF(AND(A3462&lt;&gt;"",ISNUMBER(A3462)),VLOOKUP(A3462,Studies!A:BR,4,FALSE),"")</f>
        <v>Control (Perpetrator Placebo)</v>
      </c>
      <c r="E3462" s="206" t="str">
        <f>IF(AND(A3462&lt;&gt;"",ISNUMBER(A3462)),VLOOKUP(A3462,Studies!A:BR,5,FALSE),"")</f>
        <v>Midazolam</v>
      </c>
      <c r="F3462" s="207" t="str">
        <f>IF(AND(A3462&lt;&gt;"",ISNUMBER(A3462)),VLOOKUP(A3462,Studies!A:BR,6,FALSE),"")</f>
        <v>Plasma</v>
      </c>
      <c r="G3462" s="194">
        <v>90</v>
      </c>
      <c r="H3462" s="194" t="s">
        <v>1041</v>
      </c>
      <c r="I3462" s="187">
        <v>7.8073360000000003</v>
      </c>
      <c r="J3462" s="187" t="s">
        <v>1090</v>
      </c>
      <c r="K3462" s="187" t="s">
        <v>389</v>
      </c>
      <c r="L3462" s="195">
        <v>3.5822440000000002</v>
      </c>
      <c r="M3462" s="195" t="s">
        <v>1090</v>
      </c>
      <c r="N3462" s="195" t="s">
        <v>117</v>
      </c>
      <c r="O3462" s="199"/>
      <c r="P3462" s="188"/>
      <c r="Q3462" s="174">
        <f>IF(ISNUMBER(VLOOKUP(A3462,NotghiID!A:A,1,FALSE)),1,0)</f>
        <v>1</v>
      </c>
    </row>
    <row r="3463" spans="1:17" ht="14.25" x14ac:dyDescent="0.2">
      <c r="A3463" s="189">
        <v>388</v>
      </c>
      <c r="B3463" s="232" t="str">
        <f>IF(AND(A3463&lt;&gt;"",ISNUMBER(A3463)),VLOOKUP(A3463,Studies!A:BR,2,FALSE),"")</f>
        <v>Phimmasone 2001</v>
      </c>
      <c r="C3463" s="232" t="str">
        <f>IF(AND(A3463&lt;&gt;"",ISNUMBER(A3463)),VLOOKUP(A3463,Studies!A:BR,3,FALSE),"")</f>
        <v>https://www.ncbi.nlm.nih.gov/pubmed/11753266</v>
      </c>
      <c r="D3463" s="232" t="str">
        <f>IF(AND(A3463&lt;&gt;"",ISNUMBER(A3463)),VLOOKUP(A3463,Studies!A:BR,4,FALSE),"")</f>
        <v>Control (Perpetrator Placebo)</v>
      </c>
      <c r="E3463" s="206" t="str">
        <f>IF(AND(A3463&lt;&gt;"",ISNUMBER(A3463)),VLOOKUP(A3463,Studies!A:BR,5,FALSE),"")</f>
        <v>Midazolam</v>
      </c>
      <c r="F3463" s="207" t="str">
        <f>IF(AND(A3463&lt;&gt;"",ISNUMBER(A3463)),VLOOKUP(A3463,Studies!A:BR,6,FALSE),"")</f>
        <v>Plasma</v>
      </c>
      <c r="G3463" s="189">
        <v>110</v>
      </c>
      <c r="H3463" s="194" t="s">
        <v>1041</v>
      </c>
      <c r="I3463" s="187">
        <v>6.8317730000000001</v>
      </c>
      <c r="J3463" s="187" t="s">
        <v>1090</v>
      </c>
      <c r="K3463" s="187" t="s">
        <v>389</v>
      </c>
      <c r="L3463" s="195">
        <v>2.9004979999999998</v>
      </c>
      <c r="M3463" s="195" t="s">
        <v>1090</v>
      </c>
      <c r="N3463" s="195" t="s">
        <v>117</v>
      </c>
      <c r="O3463" s="199"/>
      <c r="P3463" s="189" t="s">
        <v>1150</v>
      </c>
      <c r="Q3463" s="174">
        <f>IF(ISNUMBER(VLOOKUP(A3463,NotghiID!A:A,1,FALSE)),1,0)</f>
        <v>1</v>
      </c>
    </row>
    <row r="3464" spans="1:17" ht="14.25" x14ac:dyDescent="0.2">
      <c r="A3464" s="189">
        <v>388</v>
      </c>
      <c r="B3464" s="232" t="str">
        <f>IF(AND(A3464&lt;&gt;"",ISNUMBER(A3464)),VLOOKUP(A3464,Studies!A:BR,2,FALSE),"")</f>
        <v>Phimmasone 2001</v>
      </c>
      <c r="C3464" s="232" t="str">
        <f>IF(AND(A3464&lt;&gt;"",ISNUMBER(A3464)),VLOOKUP(A3464,Studies!A:BR,3,FALSE),"")</f>
        <v>https://www.ncbi.nlm.nih.gov/pubmed/11753266</v>
      </c>
      <c r="D3464" s="232" t="str">
        <f>IF(AND(A3464&lt;&gt;"",ISNUMBER(A3464)),VLOOKUP(A3464,Studies!A:BR,4,FALSE),"")</f>
        <v>Control (Perpetrator Placebo)</v>
      </c>
      <c r="E3464" s="206" t="str">
        <f>IF(AND(A3464&lt;&gt;"",ISNUMBER(A3464)),VLOOKUP(A3464,Studies!A:BR,5,FALSE),"")</f>
        <v>Midazolam</v>
      </c>
      <c r="F3464" s="207" t="str">
        <f>IF(AND(A3464&lt;&gt;"",ISNUMBER(A3464)),VLOOKUP(A3464,Studies!A:BR,6,FALSE),"")</f>
        <v>Plasma</v>
      </c>
      <c r="G3464" s="194">
        <v>120</v>
      </c>
      <c r="H3464" s="194" t="s">
        <v>1041</v>
      </c>
      <c r="I3464" s="187">
        <v>6.1659170000000003</v>
      </c>
      <c r="J3464" s="187" t="s">
        <v>1090</v>
      </c>
      <c r="K3464" s="187" t="s">
        <v>389</v>
      </c>
      <c r="L3464" s="195">
        <v>2.2754859999999999</v>
      </c>
      <c r="M3464" s="195" t="s">
        <v>1090</v>
      </c>
      <c r="N3464" s="195" t="s">
        <v>117</v>
      </c>
      <c r="O3464" s="199"/>
      <c r="P3464" s="188"/>
      <c r="Q3464" s="174">
        <f>IF(ISNUMBER(VLOOKUP(A3464,NotghiID!A:A,1,FALSE)),1,0)</f>
        <v>1</v>
      </c>
    </row>
    <row r="3465" spans="1:17" ht="14.25" x14ac:dyDescent="0.2">
      <c r="A3465" s="189">
        <v>388</v>
      </c>
      <c r="B3465" s="232" t="str">
        <f>IF(AND(A3465&lt;&gt;"",ISNUMBER(A3465)),VLOOKUP(A3465,Studies!A:BR,2,FALSE),"")</f>
        <v>Phimmasone 2001</v>
      </c>
      <c r="C3465" s="232" t="str">
        <f>IF(AND(A3465&lt;&gt;"",ISNUMBER(A3465)),VLOOKUP(A3465,Studies!A:BR,3,FALSE),"")</f>
        <v>https://www.ncbi.nlm.nih.gov/pubmed/11753266</v>
      </c>
      <c r="D3465" s="232" t="str">
        <f>IF(AND(A3465&lt;&gt;"",ISNUMBER(A3465)),VLOOKUP(A3465,Studies!A:BR,4,FALSE),"")</f>
        <v>Control (Perpetrator Placebo)</v>
      </c>
      <c r="E3465" s="206" t="str">
        <f>IF(AND(A3465&lt;&gt;"",ISNUMBER(A3465)),VLOOKUP(A3465,Studies!A:BR,5,FALSE),"")</f>
        <v>Midazolam</v>
      </c>
      <c r="F3465" s="207" t="str">
        <f>IF(AND(A3465&lt;&gt;"",ISNUMBER(A3465)),VLOOKUP(A3465,Studies!A:BR,6,FALSE),"")</f>
        <v>Plasma</v>
      </c>
      <c r="G3465" s="189">
        <v>150</v>
      </c>
      <c r="H3465" s="194" t="s">
        <v>1041</v>
      </c>
      <c r="I3465" s="187">
        <v>4.9703920000000004</v>
      </c>
      <c r="J3465" s="187" t="s">
        <v>1090</v>
      </c>
      <c r="K3465" s="187" t="s">
        <v>389</v>
      </c>
      <c r="L3465" s="195">
        <v>1.601458</v>
      </c>
      <c r="M3465" s="195" t="s">
        <v>1090</v>
      </c>
      <c r="N3465" s="195" t="s">
        <v>117</v>
      </c>
      <c r="O3465" s="199"/>
      <c r="P3465" s="189" t="s">
        <v>1150</v>
      </c>
      <c r="Q3465" s="174">
        <f>IF(ISNUMBER(VLOOKUP(A3465,NotghiID!A:A,1,FALSE)),1,0)</f>
        <v>1</v>
      </c>
    </row>
    <row r="3466" spans="1:17" ht="14.25" x14ac:dyDescent="0.2">
      <c r="A3466" s="189">
        <v>388</v>
      </c>
      <c r="B3466" s="232" t="str">
        <f>IF(AND(A3466&lt;&gt;"",ISNUMBER(A3466)),VLOOKUP(A3466,Studies!A:BR,2,FALSE),"")</f>
        <v>Phimmasone 2001</v>
      </c>
      <c r="C3466" s="232" t="str">
        <f>IF(AND(A3466&lt;&gt;"",ISNUMBER(A3466)),VLOOKUP(A3466,Studies!A:BR,3,FALSE),"")</f>
        <v>https://www.ncbi.nlm.nih.gov/pubmed/11753266</v>
      </c>
      <c r="D3466" s="232" t="str">
        <f>IF(AND(A3466&lt;&gt;"",ISNUMBER(A3466)),VLOOKUP(A3466,Studies!A:BR,4,FALSE),"")</f>
        <v>Control (Perpetrator Placebo)</v>
      </c>
      <c r="E3466" s="206" t="str">
        <f>IF(AND(A3466&lt;&gt;"",ISNUMBER(A3466)),VLOOKUP(A3466,Studies!A:BR,5,FALSE),"")</f>
        <v>Midazolam</v>
      </c>
      <c r="F3466" s="207" t="str">
        <f>IF(AND(A3466&lt;&gt;"",ISNUMBER(A3466)),VLOOKUP(A3466,Studies!A:BR,6,FALSE),"")</f>
        <v>Plasma</v>
      </c>
      <c r="G3466" s="194">
        <v>180</v>
      </c>
      <c r="H3466" s="194" t="s">
        <v>1041</v>
      </c>
      <c r="I3466" s="187">
        <v>4.7679309999999999</v>
      </c>
      <c r="J3466" s="187" t="s">
        <v>1090</v>
      </c>
      <c r="K3466" s="187" t="s">
        <v>389</v>
      </c>
      <c r="L3466" s="195">
        <v>1.9096919999999999</v>
      </c>
      <c r="M3466" s="195" t="s">
        <v>1090</v>
      </c>
      <c r="N3466" s="195" t="s">
        <v>117</v>
      </c>
      <c r="O3466" s="199"/>
      <c r="P3466" s="188"/>
      <c r="Q3466" s="174">
        <f>IF(ISNUMBER(VLOOKUP(A3466,NotghiID!A:A,1,FALSE)),1,0)</f>
        <v>1</v>
      </c>
    </row>
    <row r="3467" spans="1:17" ht="14.25" x14ac:dyDescent="0.2">
      <c r="A3467" s="189">
        <v>388</v>
      </c>
      <c r="B3467" s="232" t="str">
        <f>IF(AND(A3467&lt;&gt;"",ISNUMBER(A3467)),VLOOKUP(A3467,Studies!A:BR,2,FALSE),"")</f>
        <v>Phimmasone 2001</v>
      </c>
      <c r="C3467" s="232" t="str">
        <f>IF(AND(A3467&lt;&gt;"",ISNUMBER(A3467)),VLOOKUP(A3467,Studies!A:BR,3,FALSE),"")</f>
        <v>https://www.ncbi.nlm.nih.gov/pubmed/11753266</v>
      </c>
      <c r="D3467" s="232" t="str">
        <f>IF(AND(A3467&lt;&gt;"",ISNUMBER(A3467)),VLOOKUP(A3467,Studies!A:BR,4,FALSE),"")</f>
        <v>Control (Perpetrator Placebo)</v>
      </c>
      <c r="E3467" s="206" t="str">
        <f>IF(AND(A3467&lt;&gt;"",ISNUMBER(A3467)),VLOOKUP(A3467,Studies!A:BR,5,FALSE),"")</f>
        <v>Midazolam</v>
      </c>
      <c r="F3467" s="207" t="str">
        <f>IF(AND(A3467&lt;&gt;"",ISNUMBER(A3467)),VLOOKUP(A3467,Studies!A:BR,6,FALSE),"")</f>
        <v>Plasma</v>
      </c>
      <c r="G3467" s="194">
        <v>240</v>
      </c>
      <c r="H3467" s="194" t="s">
        <v>1041</v>
      </c>
      <c r="I3467" s="187">
        <v>2.9136669999999998</v>
      </c>
      <c r="J3467" s="187" t="s">
        <v>1090</v>
      </c>
      <c r="K3467" s="187" t="s">
        <v>389</v>
      </c>
      <c r="L3467" s="195">
        <v>1.3845529999999999</v>
      </c>
      <c r="M3467" s="195" t="s">
        <v>1090</v>
      </c>
      <c r="N3467" s="195" t="s">
        <v>117</v>
      </c>
      <c r="O3467" s="199"/>
      <c r="P3467" s="188"/>
      <c r="Q3467" s="174">
        <f>IF(ISNUMBER(VLOOKUP(A3467,NotghiID!A:A,1,FALSE)),1,0)</f>
        <v>1</v>
      </c>
    </row>
    <row r="3468" spans="1:17" ht="14.25" x14ac:dyDescent="0.2">
      <c r="A3468" s="189">
        <v>388</v>
      </c>
      <c r="B3468" s="232" t="str">
        <f>IF(AND(A3468&lt;&gt;"",ISNUMBER(A3468)),VLOOKUP(A3468,Studies!A:BR,2,FALSE),"")</f>
        <v>Phimmasone 2001</v>
      </c>
      <c r="C3468" s="232" t="str">
        <f>IF(AND(A3468&lt;&gt;"",ISNUMBER(A3468)),VLOOKUP(A3468,Studies!A:BR,3,FALSE),"")</f>
        <v>https://www.ncbi.nlm.nih.gov/pubmed/11753266</v>
      </c>
      <c r="D3468" s="232" t="str">
        <f>IF(AND(A3468&lt;&gt;"",ISNUMBER(A3468)),VLOOKUP(A3468,Studies!A:BR,4,FALSE),"")</f>
        <v>Control (Perpetrator Placebo)</v>
      </c>
      <c r="E3468" s="206" t="str">
        <f>IF(AND(A3468&lt;&gt;"",ISNUMBER(A3468)),VLOOKUP(A3468,Studies!A:BR,5,FALSE),"")</f>
        <v>Midazolam</v>
      </c>
      <c r="F3468" s="207" t="str">
        <f>IF(AND(A3468&lt;&gt;"",ISNUMBER(A3468)),VLOOKUP(A3468,Studies!A:BR,6,FALSE),"")</f>
        <v>Plasma</v>
      </c>
      <c r="G3468" s="194">
        <v>300</v>
      </c>
      <c r="H3468" s="194" t="s">
        <v>1041</v>
      </c>
      <c r="I3468" s="187">
        <v>2.0759479999999999</v>
      </c>
      <c r="J3468" s="187" t="s">
        <v>1090</v>
      </c>
      <c r="K3468" s="187" t="s">
        <v>389</v>
      </c>
      <c r="L3468" s="195">
        <v>0.56434150000000005</v>
      </c>
      <c r="M3468" s="195" t="s">
        <v>1090</v>
      </c>
      <c r="N3468" s="195" t="s">
        <v>117</v>
      </c>
      <c r="O3468" s="199"/>
      <c r="P3468" s="188"/>
      <c r="Q3468" s="174">
        <f>IF(ISNUMBER(VLOOKUP(A3468,NotghiID!A:A,1,FALSE)),1,0)</f>
        <v>1</v>
      </c>
    </row>
    <row r="3469" spans="1:17" ht="14.25" x14ac:dyDescent="0.2">
      <c r="A3469" s="189">
        <v>388</v>
      </c>
      <c r="B3469" s="232" t="str">
        <f>IF(AND(A3469&lt;&gt;"",ISNUMBER(A3469)),VLOOKUP(A3469,Studies!A:BR,2,FALSE),"")</f>
        <v>Phimmasone 2001</v>
      </c>
      <c r="C3469" s="232" t="str">
        <f>IF(AND(A3469&lt;&gt;"",ISNUMBER(A3469)),VLOOKUP(A3469,Studies!A:BR,3,FALSE),"")</f>
        <v>https://www.ncbi.nlm.nih.gov/pubmed/11753266</v>
      </c>
      <c r="D3469" s="232" t="str">
        <f>IF(AND(A3469&lt;&gt;"",ISNUMBER(A3469)),VLOOKUP(A3469,Studies!A:BR,4,FALSE),"")</f>
        <v>Control (Perpetrator Placebo)</v>
      </c>
      <c r="E3469" s="206" t="str">
        <f>IF(AND(A3469&lt;&gt;"",ISNUMBER(A3469)),VLOOKUP(A3469,Studies!A:BR,5,FALSE),"")</f>
        <v>Midazolam</v>
      </c>
      <c r="F3469" s="207" t="str">
        <f>IF(AND(A3469&lt;&gt;"",ISNUMBER(A3469)),VLOOKUP(A3469,Studies!A:BR,6,FALSE),"")</f>
        <v>Plasma</v>
      </c>
      <c r="G3469" s="194">
        <v>360</v>
      </c>
      <c r="H3469" s="194" t="s">
        <v>1041</v>
      </c>
      <c r="I3469" s="187">
        <v>1.890862</v>
      </c>
      <c r="J3469" s="187" t="s">
        <v>1090</v>
      </c>
      <c r="K3469" s="187" t="s">
        <v>389</v>
      </c>
      <c r="L3469" s="195">
        <v>0.64795789999999998</v>
      </c>
      <c r="M3469" s="195" t="s">
        <v>1090</v>
      </c>
      <c r="N3469" s="195" t="s">
        <v>117</v>
      </c>
      <c r="O3469" s="199"/>
      <c r="P3469" s="188"/>
      <c r="Q3469" s="174">
        <f>IF(ISNUMBER(VLOOKUP(A3469,NotghiID!A:A,1,FALSE)),1,0)</f>
        <v>1</v>
      </c>
    </row>
    <row r="3470" spans="1:17" ht="14.25" x14ac:dyDescent="0.2">
      <c r="A3470" s="189">
        <v>388</v>
      </c>
      <c r="B3470" s="232" t="str">
        <f>IF(AND(A3470&lt;&gt;"",ISNUMBER(A3470)),VLOOKUP(A3470,Studies!A:BR,2,FALSE),"")</f>
        <v>Phimmasone 2001</v>
      </c>
      <c r="C3470" s="232" t="str">
        <f>IF(AND(A3470&lt;&gt;"",ISNUMBER(A3470)),VLOOKUP(A3470,Studies!A:BR,3,FALSE),"")</f>
        <v>https://www.ncbi.nlm.nih.gov/pubmed/11753266</v>
      </c>
      <c r="D3470" s="232" t="str">
        <f>IF(AND(A3470&lt;&gt;"",ISNUMBER(A3470)),VLOOKUP(A3470,Studies!A:BR,4,FALSE),"")</f>
        <v>Control (Perpetrator Placebo)</v>
      </c>
      <c r="E3470" s="206" t="str">
        <f>IF(AND(A3470&lt;&gt;"",ISNUMBER(A3470)),VLOOKUP(A3470,Studies!A:BR,5,FALSE),"")</f>
        <v>Midazolam</v>
      </c>
      <c r="F3470" s="207" t="str">
        <f>IF(AND(A3470&lt;&gt;"",ISNUMBER(A3470)),VLOOKUP(A3470,Studies!A:BR,6,FALSE),"")</f>
        <v>Plasma</v>
      </c>
      <c r="G3470" s="194">
        <v>480</v>
      </c>
      <c r="H3470" s="194" t="s">
        <v>1041</v>
      </c>
      <c r="I3470" s="187">
        <v>1.417972</v>
      </c>
      <c r="J3470" s="187" t="s">
        <v>1090</v>
      </c>
      <c r="K3470" s="187" t="s">
        <v>389</v>
      </c>
      <c r="L3470" s="195">
        <v>0.61032160000000002</v>
      </c>
      <c r="M3470" s="195" t="s">
        <v>1090</v>
      </c>
      <c r="N3470" s="195" t="s">
        <v>117</v>
      </c>
      <c r="O3470" s="199"/>
      <c r="P3470" s="188"/>
      <c r="Q3470" s="174">
        <f>IF(ISNUMBER(VLOOKUP(A3470,NotghiID!A:A,1,FALSE)),1,0)</f>
        <v>1</v>
      </c>
    </row>
    <row r="3471" spans="1:17" ht="14.25" x14ac:dyDescent="0.2">
      <c r="A3471" s="189">
        <v>389</v>
      </c>
      <c r="B3471" s="232" t="str">
        <f>IF(AND(A3471&lt;&gt;"",ISNUMBER(A3471)),VLOOKUP(A3471,Studies!A:BR,2,FALSE),"")</f>
        <v>Phimmasone 2001</v>
      </c>
      <c r="C3471" s="232" t="str">
        <f>IF(AND(A3471&lt;&gt;"",ISNUMBER(A3471)),VLOOKUP(A3471,Studies!A:BR,3,FALSE),"")</f>
        <v>https://www.ncbi.nlm.nih.gov/pubmed/11753266</v>
      </c>
      <c r="D3471" s="232" t="str">
        <f>IF(AND(A3471&lt;&gt;"",ISNUMBER(A3471)),VLOOKUP(A3471,Studies!A:BR,4,FALSE),"")</f>
        <v>with Perpetrator (Rifampicin)</v>
      </c>
      <c r="E3471" s="206" t="str">
        <f>IF(AND(A3471&lt;&gt;"",ISNUMBER(A3471)),VLOOKUP(A3471,Studies!A:BR,5,FALSE),"")</f>
        <v>Midazolam</v>
      </c>
      <c r="F3471" s="207" t="str">
        <f>IF(AND(A3471&lt;&gt;"",ISNUMBER(A3471)),VLOOKUP(A3471,Studies!A:BR,6,FALSE),"")</f>
        <v>Plasma</v>
      </c>
      <c r="G3471" s="194">
        <v>6362</v>
      </c>
      <c r="H3471" s="194" t="s">
        <v>1041</v>
      </c>
      <c r="I3471" s="187">
        <v>71.337040000000002</v>
      </c>
      <c r="J3471" s="187" t="s">
        <v>1090</v>
      </c>
      <c r="K3471" s="187" t="s">
        <v>389</v>
      </c>
      <c r="L3471" s="195">
        <v>23.476050000000001</v>
      </c>
      <c r="M3471" s="195" t="s">
        <v>1090</v>
      </c>
      <c r="N3471" s="195" t="s">
        <v>117</v>
      </c>
      <c r="O3471" s="199"/>
      <c r="P3471" s="188"/>
      <c r="Q3471" s="174">
        <f>IF(ISNUMBER(VLOOKUP(A3471,NotghiID!A:A,1,FALSE)),1,0)</f>
        <v>1</v>
      </c>
    </row>
    <row r="3472" spans="1:17" ht="14.25" x14ac:dyDescent="0.2">
      <c r="A3472" s="189">
        <v>389</v>
      </c>
      <c r="B3472" s="232" t="str">
        <f>IF(AND(A3472&lt;&gt;"",ISNUMBER(A3472)),VLOOKUP(A3472,Studies!A:BR,2,FALSE),"")</f>
        <v>Phimmasone 2001</v>
      </c>
      <c r="C3472" s="232" t="str">
        <f>IF(AND(A3472&lt;&gt;"",ISNUMBER(A3472)),VLOOKUP(A3472,Studies!A:BR,3,FALSE),"")</f>
        <v>https://www.ncbi.nlm.nih.gov/pubmed/11753266</v>
      </c>
      <c r="D3472" s="232" t="str">
        <f>IF(AND(A3472&lt;&gt;"",ISNUMBER(A3472)),VLOOKUP(A3472,Studies!A:BR,4,FALSE),"")</f>
        <v>with Perpetrator (Rifampicin)</v>
      </c>
      <c r="E3472" s="206" t="str">
        <f>IF(AND(A3472&lt;&gt;"",ISNUMBER(A3472)),VLOOKUP(A3472,Studies!A:BR,5,FALSE),"")</f>
        <v>Midazolam</v>
      </c>
      <c r="F3472" s="207" t="str">
        <f>IF(AND(A3472&lt;&gt;"",ISNUMBER(A3472)),VLOOKUP(A3472,Studies!A:BR,6,FALSE),"")</f>
        <v>Plasma</v>
      </c>
      <c r="G3472" s="189">
        <v>6364</v>
      </c>
      <c r="H3472" s="194" t="s">
        <v>1041</v>
      </c>
      <c r="I3472" s="187">
        <v>39.402070000000002</v>
      </c>
      <c r="J3472" s="187" t="s">
        <v>1090</v>
      </c>
      <c r="K3472" s="187" t="s">
        <v>389</v>
      </c>
      <c r="L3472" s="195">
        <v>24.800219999999999</v>
      </c>
      <c r="M3472" s="195" t="s">
        <v>1090</v>
      </c>
      <c r="N3472" s="195" t="s">
        <v>117</v>
      </c>
      <c r="O3472" s="199"/>
      <c r="P3472" s="189" t="s">
        <v>1150</v>
      </c>
      <c r="Q3472" s="174">
        <f>IF(ISNUMBER(VLOOKUP(A3472,NotghiID!A:A,1,FALSE)),1,0)</f>
        <v>1</v>
      </c>
    </row>
    <row r="3473" spans="1:17" ht="14.25" x14ac:dyDescent="0.2">
      <c r="A3473" s="189">
        <v>389</v>
      </c>
      <c r="B3473" s="232" t="str">
        <f>IF(AND(A3473&lt;&gt;"",ISNUMBER(A3473)),VLOOKUP(A3473,Studies!A:BR,2,FALSE),"")</f>
        <v>Phimmasone 2001</v>
      </c>
      <c r="C3473" s="232" t="str">
        <f>IF(AND(A3473&lt;&gt;"",ISNUMBER(A3473)),VLOOKUP(A3473,Studies!A:BR,3,FALSE),"")</f>
        <v>https://www.ncbi.nlm.nih.gov/pubmed/11753266</v>
      </c>
      <c r="D3473" s="232" t="str">
        <f>IF(AND(A3473&lt;&gt;"",ISNUMBER(A3473)),VLOOKUP(A3473,Studies!A:BR,4,FALSE),"")</f>
        <v>with Perpetrator (Rifampicin)</v>
      </c>
      <c r="E3473" s="206" t="str">
        <f>IF(AND(A3473&lt;&gt;"",ISNUMBER(A3473)),VLOOKUP(A3473,Studies!A:BR,5,FALSE),"")</f>
        <v>Midazolam</v>
      </c>
      <c r="F3473" s="207" t="str">
        <f>IF(AND(A3473&lt;&gt;"",ISNUMBER(A3473)),VLOOKUP(A3473,Studies!A:BR,6,FALSE),"")</f>
        <v>Plasma</v>
      </c>
      <c r="G3473" s="194">
        <v>6365</v>
      </c>
      <c r="H3473" s="194" t="s">
        <v>1041</v>
      </c>
      <c r="I3473" s="187">
        <v>23.379930000000002</v>
      </c>
      <c r="J3473" s="187" t="s">
        <v>1090</v>
      </c>
      <c r="K3473" s="187" t="s">
        <v>389</v>
      </c>
      <c r="L3473" s="195">
        <v>13.683299999999999</v>
      </c>
      <c r="M3473" s="195" t="s">
        <v>1090</v>
      </c>
      <c r="N3473" s="195" t="s">
        <v>117</v>
      </c>
      <c r="O3473" s="199"/>
      <c r="P3473" s="188"/>
      <c r="Q3473" s="174">
        <f>IF(ISNUMBER(VLOOKUP(A3473,NotghiID!A:A,1,FALSE)),1,0)</f>
        <v>1</v>
      </c>
    </row>
    <row r="3474" spans="1:17" ht="14.25" x14ac:dyDescent="0.2">
      <c r="A3474" s="189">
        <v>389</v>
      </c>
      <c r="B3474" s="232" t="str">
        <f>IF(AND(A3474&lt;&gt;"",ISNUMBER(A3474)),VLOOKUP(A3474,Studies!A:BR,2,FALSE),"")</f>
        <v>Phimmasone 2001</v>
      </c>
      <c r="C3474" s="232" t="str">
        <f>IF(AND(A3474&lt;&gt;"",ISNUMBER(A3474)),VLOOKUP(A3474,Studies!A:BR,3,FALSE),"")</f>
        <v>https://www.ncbi.nlm.nih.gov/pubmed/11753266</v>
      </c>
      <c r="D3474" s="232" t="str">
        <f>IF(AND(A3474&lt;&gt;"",ISNUMBER(A3474)),VLOOKUP(A3474,Studies!A:BR,4,FALSE),"")</f>
        <v>with Perpetrator (Rifampicin)</v>
      </c>
      <c r="E3474" s="206" t="str">
        <f>IF(AND(A3474&lt;&gt;"",ISNUMBER(A3474)),VLOOKUP(A3474,Studies!A:BR,5,FALSE),"")</f>
        <v>Midazolam</v>
      </c>
      <c r="F3474" s="207" t="str">
        <f>IF(AND(A3474&lt;&gt;"",ISNUMBER(A3474)),VLOOKUP(A3474,Studies!A:BR,6,FALSE),"")</f>
        <v>Plasma</v>
      </c>
      <c r="G3474" s="194">
        <v>6370</v>
      </c>
      <c r="H3474" s="194" t="s">
        <v>1041</v>
      </c>
      <c r="I3474" s="187">
        <v>14.750500000000001</v>
      </c>
      <c r="J3474" s="187" t="s">
        <v>1090</v>
      </c>
      <c r="K3474" s="187" t="s">
        <v>389</v>
      </c>
      <c r="L3474" s="195">
        <v>2.2281300000000002</v>
      </c>
      <c r="M3474" s="195" t="s">
        <v>1090</v>
      </c>
      <c r="N3474" s="195" t="s">
        <v>117</v>
      </c>
      <c r="O3474" s="199"/>
      <c r="P3474" s="188"/>
      <c r="Q3474" s="174">
        <f>IF(ISNUMBER(VLOOKUP(A3474,NotghiID!A:A,1,FALSE)),1,0)</f>
        <v>1</v>
      </c>
    </row>
    <row r="3475" spans="1:17" ht="14.25" x14ac:dyDescent="0.2">
      <c r="A3475" s="189">
        <v>389</v>
      </c>
      <c r="B3475" s="232" t="str">
        <f>IF(AND(A3475&lt;&gt;"",ISNUMBER(A3475)),VLOOKUP(A3475,Studies!A:BR,2,FALSE),"")</f>
        <v>Phimmasone 2001</v>
      </c>
      <c r="C3475" s="232" t="str">
        <f>IF(AND(A3475&lt;&gt;"",ISNUMBER(A3475)),VLOOKUP(A3475,Studies!A:BR,3,FALSE),"")</f>
        <v>https://www.ncbi.nlm.nih.gov/pubmed/11753266</v>
      </c>
      <c r="D3475" s="232" t="str">
        <f>IF(AND(A3475&lt;&gt;"",ISNUMBER(A3475)),VLOOKUP(A3475,Studies!A:BR,4,FALSE),"")</f>
        <v>with Perpetrator (Rifampicin)</v>
      </c>
      <c r="E3475" s="206" t="str">
        <f>IF(AND(A3475&lt;&gt;"",ISNUMBER(A3475)),VLOOKUP(A3475,Studies!A:BR,5,FALSE),"")</f>
        <v>Midazolam</v>
      </c>
      <c r="F3475" s="207" t="str">
        <f>IF(AND(A3475&lt;&gt;"",ISNUMBER(A3475)),VLOOKUP(A3475,Studies!A:BR,6,FALSE),"")</f>
        <v>Plasma</v>
      </c>
      <c r="G3475" s="194">
        <v>6375</v>
      </c>
      <c r="H3475" s="194" t="s">
        <v>1041</v>
      </c>
      <c r="I3475" s="187">
        <v>11.41934</v>
      </c>
      <c r="J3475" s="187" t="s">
        <v>1090</v>
      </c>
      <c r="K3475" s="187" t="s">
        <v>389</v>
      </c>
      <c r="L3475" s="195">
        <v>1.524275</v>
      </c>
      <c r="M3475" s="195" t="s">
        <v>1090</v>
      </c>
      <c r="N3475" s="195" t="s">
        <v>117</v>
      </c>
      <c r="O3475" s="199"/>
      <c r="P3475" s="189" t="s">
        <v>1149</v>
      </c>
      <c r="Q3475" s="174">
        <f>IF(ISNUMBER(VLOOKUP(A3475,NotghiID!A:A,1,FALSE)),1,0)</f>
        <v>1</v>
      </c>
    </row>
    <row r="3476" spans="1:17" ht="14.25" x14ac:dyDescent="0.2">
      <c r="A3476" s="189">
        <v>389</v>
      </c>
      <c r="B3476" s="232" t="str">
        <f>IF(AND(A3476&lt;&gt;"",ISNUMBER(A3476)),VLOOKUP(A3476,Studies!A:BR,2,FALSE),"")</f>
        <v>Phimmasone 2001</v>
      </c>
      <c r="C3476" s="232" t="str">
        <f>IF(AND(A3476&lt;&gt;"",ISNUMBER(A3476)),VLOOKUP(A3476,Studies!A:BR,3,FALSE),"")</f>
        <v>https://www.ncbi.nlm.nih.gov/pubmed/11753266</v>
      </c>
      <c r="D3476" s="232" t="str">
        <f>IF(AND(A3476&lt;&gt;"",ISNUMBER(A3476)),VLOOKUP(A3476,Studies!A:BR,4,FALSE),"")</f>
        <v>with Perpetrator (Rifampicin)</v>
      </c>
      <c r="E3476" s="206" t="str">
        <f>IF(AND(A3476&lt;&gt;"",ISNUMBER(A3476)),VLOOKUP(A3476,Studies!A:BR,5,FALSE),"")</f>
        <v>Midazolam</v>
      </c>
      <c r="F3476" s="207" t="str">
        <f>IF(AND(A3476&lt;&gt;"",ISNUMBER(A3476)),VLOOKUP(A3476,Studies!A:BR,6,FALSE),"")</f>
        <v>Plasma</v>
      </c>
      <c r="G3476" s="194">
        <v>6390</v>
      </c>
      <c r="H3476" s="194" t="s">
        <v>1041</v>
      </c>
      <c r="I3476" s="187">
        <v>7.6589749999999999</v>
      </c>
      <c r="J3476" s="187" t="s">
        <v>1090</v>
      </c>
      <c r="K3476" s="187" t="s">
        <v>389</v>
      </c>
      <c r="L3476" s="195">
        <v>1.544025</v>
      </c>
      <c r="M3476" s="195" t="s">
        <v>1090</v>
      </c>
      <c r="N3476" s="195" t="s">
        <v>117</v>
      </c>
      <c r="O3476" s="199"/>
      <c r="P3476" s="188"/>
      <c r="Q3476" s="174">
        <f>IF(ISNUMBER(VLOOKUP(A3476,NotghiID!A:A,1,FALSE)),1,0)</f>
        <v>1</v>
      </c>
    </row>
    <row r="3477" spans="1:17" ht="14.25" x14ac:dyDescent="0.2">
      <c r="A3477" s="189">
        <v>389</v>
      </c>
      <c r="B3477" s="232" t="str">
        <f>IF(AND(A3477&lt;&gt;"",ISNUMBER(A3477)),VLOOKUP(A3477,Studies!A:BR,2,FALSE),"")</f>
        <v>Phimmasone 2001</v>
      </c>
      <c r="C3477" s="232" t="str">
        <f>IF(AND(A3477&lt;&gt;"",ISNUMBER(A3477)),VLOOKUP(A3477,Studies!A:BR,3,FALSE),"")</f>
        <v>https://www.ncbi.nlm.nih.gov/pubmed/11753266</v>
      </c>
      <c r="D3477" s="232" t="str">
        <f>IF(AND(A3477&lt;&gt;"",ISNUMBER(A3477)),VLOOKUP(A3477,Studies!A:BR,4,FALSE),"")</f>
        <v>with Perpetrator (Rifampicin)</v>
      </c>
      <c r="E3477" s="206" t="str">
        <f>IF(AND(A3477&lt;&gt;"",ISNUMBER(A3477)),VLOOKUP(A3477,Studies!A:BR,5,FALSE),"")</f>
        <v>Midazolam</v>
      </c>
      <c r="F3477" s="207" t="str">
        <f>IF(AND(A3477&lt;&gt;"",ISNUMBER(A3477)),VLOOKUP(A3477,Studies!A:BR,6,FALSE),"")</f>
        <v>Plasma</v>
      </c>
      <c r="G3477" s="194">
        <v>6420</v>
      </c>
      <c r="H3477" s="194" t="s">
        <v>1041</v>
      </c>
      <c r="I3477" s="187">
        <v>4.7799690000000004</v>
      </c>
      <c r="J3477" s="187" t="s">
        <v>1090</v>
      </c>
      <c r="K3477" s="187" t="s">
        <v>389</v>
      </c>
      <c r="L3477" s="195">
        <v>1.3348610000000001</v>
      </c>
      <c r="M3477" s="195" t="s">
        <v>1090</v>
      </c>
      <c r="N3477" s="195" t="s">
        <v>117</v>
      </c>
      <c r="O3477" s="199"/>
      <c r="P3477" s="188"/>
      <c r="Q3477" s="174">
        <f>IF(ISNUMBER(VLOOKUP(A3477,NotghiID!A:A,1,FALSE)),1,0)</f>
        <v>1</v>
      </c>
    </row>
    <row r="3478" spans="1:17" ht="14.25" x14ac:dyDescent="0.2">
      <c r="A3478" s="189">
        <v>389</v>
      </c>
      <c r="B3478" s="232" t="str">
        <f>IF(AND(A3478&lt;&gt;"",ISNUMBER(A3478)),VLOOKUP(A3478,Studies!A:BR,2,FALSE),"")</f>
        <v>Phimmasone 2001</v>
      </c>
      <c r="C3478" s="232" t="str">
        <f>IF(AND(A3478&lt;&gt;"",ISNUMBER(A3478)),VLOOKUP(A3478,Studies!A:BR,3,FALSE),"")</f>
        <v>https://www.ncbi.nlm.nih.gov/pubmed/11753266</v>
      </c>
      <c r="D3478" s="232" t="str">
        <f>IF(AND(A3478&lt;&gt;"",ISNUMBER(A3478)),VLOOKUP(A3478,Studies!A:BR,4,FALSE),"")</f>
        <v>with Perpetrator (Rifampicin)</v>
      </c>
      <c r="E3478" s="206" t="str">
        <f>IF(AND(A3478&lt;&gt;"",ISNUMBER(A3478)),VLOOKUP(A3478,Studies!A:BR,5,FALSE),"")</f>
        <v>Midazolam</v>
      </c>
      <c r="F3478" s="207" t="str">
        <f>IF(AND(A3478&lt;&gt;"",ISNUMBER(A3478)),VLOOKUP(A3478,Studies!A:BR,6,FALSE),"")</f>
        <v>Plasma</v>
      </c>
      <c r="G3478" s="189">
        <v>6425</v>
      </c>
      <c r="H3478" s="194" t="s">
        <v>1041</v>
      </c>
      <c r="I3478" s="187">
        <v>4.6828339999999997</v>
      </c>
      <c r="J3478" s="187" t="s">
        <v>1090</v>
      </c>
      <c r="K3478" s="187" t="s">
        <v>389</v>
      </c>
      <c r="L3478" s="195">
        <v>1.376112</v>
      </c>
      <c r="M3478" s="195" t="s">
        <v>1090</v>
      </c>
      <c r="N3478" s="195" t="s">
        <v>117</v>
      </c>
      <c r="O3478" s="199"/>
      <c r="P3478" s="189" t="s">
        <v>1150</v>
      </c>
      <c r="Q3478" s="174">
        <f>IF(ISNUMBER(VLOOKUP(A3478,NotghiID!A:A,1,FALSE)),1,0)</f>
        <v>1</v>
      </c>
    </row>
    <row r="3479" spans="1:17" ht="14.25" x14ac:dyDescent="0.2">
      <c r="A3479" s="189">
        <v>389</v>
      </c>
      <c r="B3479" s="232" t="str">
        <f>IF(AND(A3479&lt;&gt;"",ISNUMBER(A3479)),VLOOKUP(A3479,Studies!A:BR,2,FALSE),"")</f>
        <v>Phimmasone 2001</v>
      </c>
      <c r="C3479" s="232" t="str">
        <f>IF(AND(A3479&lt;&gt;"",ISNUMBER(A3479)),VLOOKUP(A3479,Studies!A:BR,3,FALSE),"")</f>
        <v>https://www.ncbi.nlm.nih.gov/pubmed/11753266</v>
      </c>
      <c r="D3479" s="232" t="str">
        <f>IF(AND(A3479&lt;&gt;"",ISNUMBER(A3479)),VLOOKUP(A3479,Studies!A:BR,4,FALSE),"")</f>
        <v>with Perpetrator (Rifampicin)</v>
      </c>
      <c r="E3479" s="206" t="str">
        <f>IF(AND(A3479&lt;&gt;"",ISNUMBER(A3479)),VLOOKUP(A3479,Studies!A:BR,5,FALSE),"")</f>
        <v>Midazolam</v>
      </c>
      <c r="F3479" s="207" t="str">
        <f>IF(AND(A3479&lt;&gt;"",ISNUMBER(A3479)),VLOOKUP(A3479,Studies!A:BR,6,FALSE),"")</f>
        <v>Plasma</v>
      </c>
      <c r="G3479" s="189">
        <v>6430</v>
      </c>
      <c r="H3479" s="194" t="s">
        <v>1041</v>
      </c>
      <c r="I3479" s="187">
        <v>4.448874</v>
      </c>
      <c r="J3479" s="187" t="s">
        <v>1090</v>
      </c>
      <c r="K3479" s="187" t="s">
        <v>389</v>
      </c>
      <c r="L3479" s="195">
        <v>1.004345</v>
      </c>
      <c r="M3479" s="195" t="s">
        <v>1090</v>
      </c>
      <c r="N3479" s="195" t="s">
        <v>117</v>
      </c>
      <c r="O3479" s="199"/>
      <c r="P3479" s="189" t="s">
        <v>1150</v>
      </c>
      <c r="Q3479" s="174">
        <f>IF(ISNUMBER(VLOOKUP(A3479,NotghiID!A:A,1,FALSE)),1,0)</f>
        <v>1</v>
      </c>
    </row>
    <row r="3480" spans="1:17" ht="14.25" x14ac:dyDescent="0.2">
      <c r="A3480" s="189">
        <v>389</v>
      </c>
      <c r="B3480" s="232" t="str">
        <f>IF(AND(A3480&lt;&gt;"",ISNUMBER(A3480)),VLOOKUP(A3480,Studies!A:BR,2,FALSE),"")</f>
        <v>Phimmasone 2001</v>
      </c>
      <c r="C3480" s="232" t="str">
        <f>IF(AND(A3480&lt;&gt;"",ISNUMBER(A3480)),VLOOKUP(A3480,Studies!A:BR,3,FALSE),"")</f>
        <v>https://www.ncbi.nlm.nih.gov/pubmed/11753266</v>
      </c>
      <c r="D3480" s="232" t="str">
        <f>IF(AND(A3480&lt;&gt;"",ISNUMBER(A3480)),VLOOKUP(A3480,Studies!A:BR,4,FALSE),"")</f>
        <v>with Perpetrator (Rifampicin)</v>
      </c>
      <c r="E3480" s="206" t="str">
        <f>IF(AND(A3480&lt;&gt;"",ISNUMBER(A3480)),VLOOKUP(A3480,Studies!A:BR,5,FALSE),"")</f>
        <v>Midazolam</v>
      </c>
      <c r="F3480" s="207" t="str">
        <f>IF(AND(A3480&lt;&gt;"",ISNUMBER(A3480)),VLOOKUP(A3480,Studies!A:BR,6,FALSE),"")</f>
        <v>Plasma</v>
      </c>
      <c r="G3480" s="189">
        <v>6435</v>
      </c>
      <c r="H3480" s="194" t="s">
        <v>1041</v>
      </c>
      <c r="I3480" s="187">
        <v>3.8545449999999999</v>
      </c>
      <c r="J3480" s="187" t="s">
        <v>1090</v>
      </c>
      <c r="K3480" s="187" t="s">
        <v>389</v>
      </c>
      <c r="L3480" s="195">
        <v>1.2685329999999999</v>
      </c>
      <c r="M3480" s="195" t="s">
        <v>1090</v>
      </c>
      <c r="N3480" s="195" t="s">
        <v>117</v>
      </c>
      <c r="O3480" s="199"/>
      <c r="P3480" s="189" t="s">
        <v>1150</v>
      </c>
      <c r="Q3480" s="174">
        <f>IF(ISNUMBER(VLOOKUP(A3480,NotghiID!A:A,1,FALSE)),1,0)</f>
        <v>1</v>
      </c>
    </row>
    <row r="3481" spans="1:17" ht="14.25" x14ac:dyDescent="0.2">
      <c r="A3481" s="189">
        <v>389</v>
      </c>
      <c r="B3481" s="232" t="str">
        <f>IF(AND(A3481&lt;&gt;"",ISNUMBER(A3481)),VLOOKUP(A3481,Studies!A:BR,2,FALSE),"")</f>
        <v>Phimmasone 2001</v>
      </c>
      <c r="C3481" s="232" t="str">
        <f>IF(AND(A3481&lt;&gt;"",ISNUMBER(A3481)),VLOOKUP(A3481,Studies!A:BR,3,FALSE),"")</f>
        <v>https://www.ncbi.nlm.nih.gov/pubmed/11753266</v>
      </c>
      <c r="D3481" s="232" t="str">
        <f>IF(AND(A3481&lt;&gt;"",ISNUMBER(A3481)),VLOOKUP(A3481,Studies!A:BR,4,FALSE),"")</f>
        <v>with Perpetrator (Rifampicin)</v>
      </c>
      <c r="E3481" s="206" t="str">
        <f>IF(AND(A3481&lt;&gt;"",ISNUMBER(A3481)),VLOOKUP(A3481,Studies!A:BR,5,FALSE),"")</f>
        <v>Midazolam</v>
      </c>
      <c r="F3481" s="207" t="str">
        <f>IF(AND(A3481&lt;&gt;"",ISNUMBER(A3481)),VLOOKUP(A3481,Studies!A:BR,6,FALSE),"")</f>
        <v>Plasma</v>
      </c>
      <c r="G3481" s="189">
        <v>6440</v>
      </c>
      <c r="H3481" s="194" t="s">
        <v>1041</v>
      </c>
      <c r="I3481" s="187">
        <v>3.7376109999999998</v>
      </c>
      <c r="J3481" s="187" t="s">
        <v>1090</v>
      </c>
      <c r="K3481" s="187" t="s">
        <v>389</v>
      </c>
      <c r="L3481" s="195">
        <v>1.0711980000000001</v>
      </c>
      <c r="M3481" s="195" t="s">
        <v>1090</v>
      </c>
      <c r="N3481" s="195" t="s">
        <v>117</v>
      </c>
      <c r="O3481" s="199"/>
      <c r="P3481" s="189" t="s">
        <v>1150</v>
      </c>
      <c r="Q3481" s="174">
        <f>IF(ISNUMBER(VLOOKUP(A3481,NotghiID!A:A,1,FALSE)),1,0)</f>
        <v>1</v>
      </c>
    </row>
    <row r="3482" spans="1:17" ht="14.25" x14ac:dyDescent="0.2">
      <c r="A3482" s="189">
        <v>389</v>
      </c>
      <c r="B3482" s="232" t="str">
        <f>IF(AND(A3482&lt;&gt;"",ISNUMBER(A3482)),VLOOKUP(A3482,Studies!A:BR,2,FALSE),"")</f>
        <v>Phimmasone 2001</v>
      </c>
      <c r="C3482" s="232" t="str">
        <f>IF(AND(A3482&lt;&gt;"",ISNUMBER(A3482)),VLOOKUP(A3482,Studies!A:BR,3,FALSE),"")</f>
        <v>https://www.ncbi.nlm.nih.gov/pubmed/11753266</v>
      </c>
      <c r="D3482" s="232" t="str">
        <f>IF(AND(A3482&lt;&gt;"",ISNUMBER(A3482)),VLOOKUP(A3482,Studies!A:BR,4,FALSE),"")</f>
        <v>with Perpetrator (Rifampicin)</v>
      </c>
      <c r="E3482" s="206" t="str">
        <f>IF(AND(A3482&lt;&gt;"",ISNUMBER(A3482)),VLOOKUP(A3482,Studies!A:BR,5,FALSE),"")</f>
        <v>Midazolam</v>
      </c>
      <c r="F3482" s="207" t="str">
        <f>IF(AND(A3482&lt;&gt;"",ISNUMBER(A3482)),VLOOKUP(A3482,Studies!A:BR,6,FALSE),"")</f>
        <v>Plasma</v>
      </c>
      <c r="G3482" s="194">
        <v>6450</v>
      </c>
      <c r="H3482" s="194" t="s">
        <v>1041</v>
      </c>
      <c r="I3482" s="187">
        <v>3.443009</v>
      </c>
      <c r="J3482" s="187" t="s">
        <v>1090</v>
      </c>
      <c r="K3482" s="187" t="s">
        <v>389</v>
      </c>
      <c r="L3482" s="195">
        <v>1.2705709999999999</v>
      </c>
      <c r="M3482" s="195" t="s">
        <v>1090</v>
      </c>
      <c r="N3482" s="195" t="s">
        <v>117</v>
      </c>
      <c r="O3482" s="199"/>
      <c r="P3482" s="188"/>
      <c r="Q3482" s="174">
        <f>IF(ISNUMBER(VLOOKUP(A3482,NotghiID!A:A,1,FALSE)),1,0)</f>
        <v>1</v>
      </c>
    </row>
    <row r="3483" spans="1:17" ht="14.25" x14ac:dyDescent="0.2">
      <c r="A3483" s="189">
        <v>389</v>
      </c>
      <c r="B3483" s="232" t="str">
        <f>IF(AND(A3483&lt;&gt;"",ISNUMBER(A3483)),VLOOKUP(A3483,Studies!A:BR,2,FALSE),"")</f>
        <v>Phimmasone 2001</v>
      </c>
      <c r="C3483" s="232" t="str">
        <f>IF(AND(A3483&lt;&gt;"",ISNUMBER(A3483)),VLOOKUP(A3483,Studies!A:BR,3,FALSE),"")</f>
        <v>https://www.ncbi.nlm.nih.gov/pubmed/11753266</v>
      </c>
      <c r="D3483" s="232" t="str">
        <f>IF(AND(A3483&lt;&gt;"",ISNUMBER(A3483)),VLOOKUP(A3483,Studies!A:BR,4,FALSE),"")</f>
        <v>with Perpetrator (Rifampicin)</v>
      </c>
      <c r="E3483" s="206" t="str">
        <f>IF(AND(A3483&lt;&gt;"",ISNUMBER(A3483)),VLOOKUP(A3483,Studies!A:BR,5,FALSE),"")</f>
        <v>Midazolam</v>
      </c>
      <c r="F3483" s="207" t="str">
        <f>IF(AND(A3483&lt;&gt;"",ISNUMBER(A3483)),VLOOKUP(A3483,Studies!A:BR,6,FALSE),"")</f>
        <v>Plasma</v>
      </c>
      <c r="G3483" s="189">
        <v>6470</v>
      </c>
      <c r="H3483" s="194" t="s">
        <v>1041</v>
      </c>
      <c r="I3483" s="187">
        <v>2.8919510000000002</v>
      </c>
      <c r="J3483" s="187" t="s">
        <v>1090</v>
      </c>
      <c r="K3483" s="187" t="s">
        <v>389</v>
      </c>
      <c r="L3483" s="195">
        <v>0.78612590000000004</v>
      </c>
      <c r="M3483" s="195" t="s">
        <v>1090</v>
      </c>
      <c r="N3483" s="195" t="s">
        <v>117</v>
      </c>
      <c r="O3483" s="199"/>
      <c r="P3483" s="189" t="s">
        <v>1150</v>
      </c>
      <c r="Q3483" s="174">
        <f>IF(ISNUMBER(VLOOKUP(A3483,NotghiID!A:A,1,FALSE)),1,0)</f>
        <v>1</v>
      </c>
    </row>
    <row r="3484" spans="1:17" ht="14.25" x14ac:dyDescent="0.2">
      <c r="A3484" s="189">
        <v>389</v>
      </c>
      <c r="B3484" s="232" t="str">
        <f>IF(AND(A3484&lt;&gt;"",ISNUMBER(A3484)),VLOOKUP(A3484,Studies!A:BR,2,FALSE),"")</f>
        <v>Phimmasone 2001</v>
      </c>
      <c r="C3484" s="232" t="str">
        <f>IF(AND(A3484&lt;&gt;"",ISNUMBER(A3484)),VLOOKUP(A3484,Studies!A:BR,3,FALSE),"")</f>
        <v>https://www.ncbi.nlm.nih.gov/pubmed/11753266</v>
      </c>
      <c r="D3484" s="232" t="str">
        <f>IF(AND(A3484&lt;&gt;"",ISNUMBER(A3484)),VLOOKUP(A3484,Studies!A:BR,4,FALSE),"")</f>
        <v>with Perpetrator (Rifampicin)</v>
      </c>
      <c r="E3484" s="206" t="str">
        <f>IF(AND(A3484&lt;&gt;"",ISNUMBER(A3484)),VLOOKUP(A3484,Studies!A:BR,5,FALSE),"")</f>
        <v>Midazolam</v>
      </c>
      <c r="F3484" s="207" t="str">
        <f>IF(AND(A3484&lt;&gt;"",ISNUMBER(A3484)),VLOOKUP(A3484,Studies!A:BR,6,FALSE),"")</f>
        <v>Plasma</v>
      </c>
      <c r="G3484" s="194">
        <v>6480</v>
      </c>
      <c r="H3484" s="194" t="s">
        <v>1041</v>
      </c>
      <c r="I3484" s="187">
        <v>2.832767</v>
      </c>
      <c r="J3484" s="187" t="s">
        <v>1090</v>
      </c>
      <c r="K3484" s="187" t="s">
        <v>389</v>
      </c>
      <c r="L3484" s="195">
        <v>0.59410479999999999</v>
      </c>
      <c r="M3484" s="195" t="s">
        <v>1090</v>
      </c>
      <c r="N3484" s="195" t="s">
        <v>117</v>
      </c>
      <c r="O3484" s="199"/>
      <c r="P3484" s="188"/>
      <c r="Q3484" s="174">
        <f>IF(ISNUMBER(VLOOKUP(A3484,NotghiID!A:A,1,FALSE)),1,0)</f>
        <v>1</v>
      </c>
    </row>
    <row r="3485" spans="1:17" ht="14.25" x14ac:dyDescent="0.2">
      <c r="A3485" s="189">
        <v>389</v>
      </c>
      <c r="B3485" s="232" t="str">
        <f>IF(AND(A3485&lt;&gt;"",ISNUMBER(A3485)),VLOOKUP(A3485,Studies!A:BR,2,FALSE),"")</f>
        <v>Phimmasone 2001</v>
      </c>
      <c r="C3485" s="232" t="str">
        <f>IF(AND(A3485&lt;&gt;"",ISNUMBER(A3485)),VLOOKUP(A3485,Studies!A:BR,3,FALSE),"")</f>
        <v>https://www.ncbi.nlm.nih.gov/pubmed/11753266</v>
      </c>
      <c r="D3485" s="232" t="str">
        <f>IF(AND(A3485&lt;&gt;"",ISNUMBER(A3485)),VLOOKUP(A3485,Studies!A:BR,4,FALSE),"")</f>
        <v>with Perpetrator (Rifampicin)</v>
      </c>
      <c r="E3485" s="206" t="str">
        <f>IF(AND(A3485&lt;&gt;"",ISNUMBER(A3485)),VLOOKUP(A3485,Studies!A:BR,5,FALSE),"")</f>
        <v>Midazolam</v>
      </c>
      <c r="F3485" s="207" t="str">
        <f>IF(AND(A3485&lt;&gt;"",ISNUMBER(A3485)),VLOOKUP(A3485,Studies!A:BR,6,FALSE),"")</f>
        <v>Plasma</v>
      </c>
      <c r="G3485" s="189">
        <v>6510</v>
      </c>
      <c r="H3485" s="194" t="s">
        <v>1041</v>
      </c>
      <c r="I3485" s="187">
        <v>2.5038239999999998</v>
      </c>
      <c r="J3485" s="187" t="s">
        <v>1090</v>
      </c>
      <c r="K3485" s="187" t="s">
        <v>389</v>
      </c>
      <c r="L3485" s="195">
        <v>0.73578189999999999</v>
      </c>
      <c r="M3485" s="195" t="s">
        <v>1090</v>
      </c>
      <c r="N3485" s="195" t="s">
        <v>117</v>
      </c>
      <c r="O3485" s="199"/>
      <c r="P3485" s="189" t="s">
        <v>1150</v>
      </c>
      <c r="Q3485" s="174">
        <f>IF(ISNUMBER(VLOOKUP(A3485,NotghiID!A:A,1,FALSE)),1,0)</f>
        <v>1</v>
      </c>
    </row>
    <row r="3486" spans="1:17" ht="14.25" x14ac:dyDescent="0.2">
      <c r="A3486" s="189">
        <v>389</v>
      </c>
      <c r="B3486" s="232" t="str">
        <f>IF(AND(A3486&lt;&gt;"",ISNUMBER(A3486)),VLOOKUP(A3486,Studies!A:BR,2,FALSE),"")</f>
        <v>Phimmasone 2001</v>
      </c>
      <c r="C3486" s="232" t="str">
        <f>IF(AND(A3486&lt;&gt;"",ISNUMBER(A3486)),VLOOKUP(A3486,Studies!A:BR,3,FALSE),"")</f>
        <v>https://www.ncbi.nlm.nih.gov/pubmed/11753266</v>
      </c>
      <c r="D3486" s="232" t="str">
        <f>IF(AND(A3486&lt;&gt;"",ISNUMBER(A3486)),VLOOKUP(A3486,Studies!A:BR,4,FALSE),"")</f>
        <v>with Perpetrator (Rifampicin)</v>
      </c>
      <c r="E3486" s="206" t="str">
        <f>IF(AND(A3486&lt;&gt;"",ISNUMBER(A3486)),VLOOKUP(A3486,Studies!A:BR,5,FALSE),"")</f>
        <v>Midazolam</v>
      </c>
      <c r="F3486" s="207" t="str">
        <f>IF(AND(A3486&lt;&gt;"",ISNUMBER(A3486)),VLOOKUP(A3486,Studies!A:BR,6,FALSE),"")</f>
        <v>Plasma</v>
      </c>
      <c r="G3486" s="194">
        <v>6540</v>
      </c>
      <c r="H3486" s="194" t="s">
        <v>1041</v>
      </c>
      <c r="I3486" s="187">
        <v>1.766891</v>
      </c>
      <c r="J3486" s="187" t="s">
        <v>1090</v>
      </c>
      <c r="K3486" s="187" t="s">
        <v>389</v>
      </c>
      <c r="L3486" s="195">
        <v>0.51922440000000003</v>
      </c>
      <c r="M3486" s="195" t="s">
        <v>1090</v>
      </c>
      <c r="N3486" s="195" t="s">
        <v>117</v>
      </c>
      <c r="O3486" s="199"/>
      <c r="P3486" s="188"/>
      <c r="Q3486" s="174">
        <f>IF(ISNUMBER(VLOOKUP(A3486,NotghiID!A:A,1,FALSE)),1,0)</f>
        <v>1</v>
      </c>
    </row>
    <row r="3487" spans="1:17" ht="14.25" x14ac:dyDescent="0.2">
      <c r="A3487" s="189">
        <v>389</v>
      </c>
      <c r="B3487" s="232" t="str">
        <f>IF(AND(A3487&lt;&gt;"",ISNUMBER(A3487)),VLOOKUP(A3487,Studies!A:BR,2,FALSE),"")</f>
        <v>Phimmasone 2001</v>
      </c>
      <c r="C3487" s="232" t="str">
        <f>IF(AND(A3487&lt;&gt;"",ISNUMBER(A3487)),VLOOKUP(A3487,Studies!A:BR,3,FALSE),"")</f>
        <v>https://www.ncbi.nlm.nih.gov/pubmed/11753266</v>
      </c>
      <c r="D3487" s="232" t="str">
        <f>IF(AND(A3487&lt;&gt;"",ISNUMBER(A3487)),VLOOKUP(A3487,Studies!A:BR,4,FALSE),"")</f>
        <v>with Perpetrator (Rifampicin)</v>
      </c>
      <c r="E3487" s="206" t="str">
        <f>IF(AND(A3487&lt;&gt;"",ISNUMBER(A3487)),VLOOKUP(A3487,Studies!A:BR,5,FALSE),"")</f>
        <v>Midazolam</v>
      </c>
      <c r="F3487" s="207" t="str">
        <f>IF(AND(A3487&lt;&gt;"",ISNUMBER(A3487)),VLOOKUP(A3487,Studies!A:BR,6,FALSE),"")</f>
        <v>Plasma</v>
      </c>
      <c r="G3487" s="194">
        <v>6600</v>
      </c>
      <c r="H3487" s="194" t="s">
        <v>1041</v>
      </c>
      <c r="I3487" s="187">
        <v>1.2084189999999999</v>
      </c>
      <c r="J3487" s="187" t="s">
        <v>1090</v>
      </c>
      <c r="K3487" s="187" t="s">
        <v>389</v>
      </c>
      <c r="L3487" s="195">
        <v>0.74663389999999996</v>
      </c>
      <c r="M3487" s="195" t="s">
        <v>1090</v>
      </c>
      <c r="N3487" s="195" t="s">
        <v>117</v>
      </c>
      <c r="O3487" s="199"/>
      <c r="P3487" s="188"/>
      <c r="Q3487" s="174">
        <f>IF(ISNUMBER(VLOOKUP(A3487,NotghiID!A:A,1,FALSE)),1,0)</f>
        <v>1</v>
      </c>
    </row>
    <row r="3488" spans="1:17" ht="14.25" x14ac:dyDescent="0.2">
      <c r="A3488" s="189">
        <v>389</v>
      </c>
      <c r="B3488" s="232" t="str">
        <f>IF(AND(A3488&lt;&gt;"",ISNUMBER(A3488)),VLOOKUP(A3488,Studies!A:BR,2,FALSE),"")</f>
        <v>Phimmasone 2001</v>
      </c>
      <c r="C3488" s="232" t="str">
        <f>IF(AND(A3488&lt;&gt;"",ISNUMBER(A3488)),VLOOKUP(A3488,Studies!A:BR,3,FALSE),"")</f>
        <v>https://www.ncbi.nlm.nih.gov/pubmed/11753266</v>
      </c>
      <c r="D3488" s="232" t="str">
        <f>IF(AND(A3488&lt;&gt;"",ISNUMBER(A3488)),VLOOKUP(A3488,Studies!A:BR,4,FALSE),"")</f>
        <v>with Perpetrator (Rifampicin)</v>
      </c>
      <c r="E3488" s="206" t="str">
        <f>IF(AND(A3488&lt;&gt;"",ISNUMBER(A3488)),VLOOKUP(A3488,Studies!A:BR,5,FALSE),"")</f>
        <v>Midazolam</v>
      </c>
      <c r="F3488" s="207" t="str">
        <f>IF(AND(A3488&lt;&gt;"",ISNUMBER(A3488)),VLOOKUP(A3488,Studies!A:BR,6,FALSE),"")</f>
        <v>Plasma</v>
      </c>
      <c r="G3488" s="194">
        <v>6660</v>
      </c>
      <c r="H3488" s="194" t="s">
        <v>1041</v>
      </c>
      <c r="I3488" s="187">
        <v>0.81803539999999997</v>
      </c>
      <c r="J3488" s="187" t="s">
        <v>1090</v>
      </c>
      <c r="K3488" s="187" t="s">
        <v>389</v>
      </c>
      <c r="L3488" s="195">
        <v>0.49896079999999998</v>
      </c>
      <c r="M3488" s="195" t="s">
        <v>1090</v>
      </c>
      <c r="N3488" s="195" t="s">
        <v>117</v>
      </c>
      <c r="O3488" s="199"/>
      <c r="P3488" s="188"/>
      <c r="Q3488" s="174">
        <f>IF(ISNUMBER(VLOOKUP(A3488,NotghiID!A:A,1,FALSE)),1,0)</f>
        <v>1</v>
      </c>
    </row>
    <row r="3489" spans="1:17" ht="14.25" x14ac:dyDescent="0.2">
      <c r="A3489" s="189">
        <v>389</v>
      </c>
      <c r="B3489" s="232" t="str">
        <f>IF(AND(A3489&lt;&gt;"",ISNUMBER(A3489)),VLOOKUP(A3489,Studies!A:BR,2,FALSE),"")</f>
        <v>Phimmasone 2001</v>
      </c>
      <c r="C3489" s="232" t="str">
        <f>IF(AND(A3489&lt;&gt;"",ISNUMBER(A3489)),VLOOKUP(A3489,Studies!A:BR,3,FALSE),"")</f>
        <v>https://www.ncbi.nlm.nih.gov/pubmed/11753266</v>
      </c>
      <c r="D3489" s="232" t="str">
        <f>IF(AND(A3489&lt;&gt;"",ISNUMBER(A3489)),VLOOKUP(A3489,Studies!A:BR,4,FALSE),"")</f>
        <v>with Perpetrator (Rifampicin)</v>
      </c>
      <c r="E3489" s="206" t="str">
        <f>IF(AND(A3489&lt;&gt;"",ISNUMBER(A3489)),VLOOKUP(A3489,Studies!A:BR,5,FALSE),"")</f>
        <v>Midazolam</v>
      </c>
      <c r="F3489" s="207" t="str">
        <f>IF(AND(A3489&lt;&gt;"",ISNUMBER(A3489)),VLOOKUP(A3489,Studies!A:BR,6,FALSE),"")</f>
        <v>Plasma</v>
      </c>
      <c r="G3489" s="194">
        <v>6720</v>
      </c>
      <c r="H3489" s="194" t="s">
        <v>1041</v>
      </c>
      <c r="I3489" s="187">
        <v>0.77623489999999995</v>
      </c>
      <c r="J3489" s="187" t="s">
        <v>1090</v>
      </c>
      <c r="K3489" s="187" t="s">
        <v>389</v>
      </c>
      <c r="L3489" s="195">
        <v>0.43738900000000003</v>
      </c>
      <c r="M3489" s="195" t="s">
        <v>1090</v>
      </c>
      <c r="N3489" s="195" t="s">
        <v>117</v>
      </c>
      <c r="O3489" s="199"/>
      <c r="P3489" s="188"/>
      <c r="Q3489" s="174">
        <f>IF(ISNUMBER(VLOOKUP(A3489,NotghiID!A:A,1,FALSE)),1,0)</f>
        <v>1</v>
      </c>
    </row>
    <row r="3490" spans="1:17" ht="14.25" x14ac:dyDescent="0.2">
      <c r="A3490" s="189">
        <v>390</v>
      </c>
      <c r="B3490" s="232" t="str">
        <f>IF(AND(A3490&lt;&gt;"",ISNUMBER(A3490)),VLOOKUP(A3490,Studies!A:BR,2,FALSE),"")</f>
        <v>Phimmasone 2001</v>
      </c>
      <c r="C3490" s="232" t="str">
        <f>IF(AND(A3490&lt;&gt;"",ISNUMBER(A3490)),VLOOKUP(A3490,Studies!A:BR,3,FALSE),"")</f>
        <v>https://www.ncbi.nlm.nih.gov/pubmed/11753266</v>
      </c>
      <c r="D3490" s="232" t="str">
        <f>IF(AND(A3490&lt;&gt;"",ISNUMBER(A3490)),VLOOKUP(A3490,Studies!A:BR,4,FALSE),"")</f>
        <v>Control (Perpetrator Placebo)</v>
      </c>
      <c r="E3490" s="206" t="str">
        <f>IF(AND(A3490&lt;&gt;"",ISNUMBER(A3490)),VLOOKUP(A3490,Studies!A:BR,5,FALSE),"")</f>
        <v>Alfentanil</v>
      </c>
      <c r="F3490" s="207" t="str">
        <f>IF(AND(A3490&lt;&gt;"",ISNUMBER(A3490)),VLOOKUP(A3490,Studies!A:BR,6,FALSE),"")</f>
        <v>Plasma</v>
      </c>
      <c r="G3490" s="194">
        <v>2</v>
      </c>
      <c r="H3490" s="194" t="s">
        <v>1041</v>
      </c>
      <c r="I3490" s="187">
        <v>147.56870000000001</v>
      </c>
      <c r="J3490" s="187" t="s">
        <v>1090</v>
      </c>
      <c r="K3490" s="187" t="s">
        <v>389</v>
      </c>
      <c r="L3490" s="195">
        <v>1.783752</v>
      </c>
      <c r="M3490" s="195" t="s">
        <v>1090</v>
      </c>
      <c r="N3490" s="195" t="s">
        <v>117</v>
      </c>
      <c r="O3490" s="199"/>
      <c r="P3490" s="188"/>
      <c r="Q3490" s="174">
        <f>IF(ISNUMBER(VLOOKUP(A3490,NotghiID!A:A,1,FALSE)),1,0)</f>
        <v>1</v>
      </c>
    </row>
    <row r="3491" spans="1:17" ht="14.25" x14ac:dyDescent="0.2">
      <c r="A3491" s="189">
        <v>390</v>
      </c>
      <c r="B3491" s="232" t="str">
        <f>IF(AND(A3491&lt;&gt;"",ISNUMBER(A3491)),VLOOKUP(A3491,Studies!A:BR,2,FALSE),"")</f>
        <v>Phimmasone 2001</v>
      </c>
      <c r="C3491" s="232" t="str">
        <f>IF(AND(A3491&lt;&gt;"",ISNUMBER(A3491)),VLOOKUP(A3491,Studies!A:BR,3,FALSE),"")</f>
        <v>https://www.ncbi.nlm.nih.gov/pubmed/11753266</v>
      </c>
      <c r="D3491" s="232" t="str">
        <f>IF(AND(A3491&lt;&gt;"",ISNUMBER(A3491)),VLOOKUP(A3491,Studies!A:BR,4,FALSE),"")</f>
        <v>Control (Perpetrator Placebo)</v>
      </c>
      <c r="E3491" s="206" t="str">
        <f>IF(AND(A3491&lt;&gt;"",ISNUMBER(A3491)),VLOOKUP(A3491,Studies!A:BR,5,FALSE),"")</f>
        <v>Alfentanil</v>
      </c>
      <c r="F3491" s="207" t="str">
        <f>IF(AND(A3491&lt;&gt;"",ISNUMBER(A3491)),VLOOKUP(A3491,Studies!A:BR,6,FALSE),"")</f>
        <v>Plasma</v>
      </c>
      <c r="G3491" s="194">
        <v>5</v>
      </c>
      <c r="H3491" s="194" t="s">
        <v>1041</v>
      </c>
      <c r="I3491" s="187">
        <v>102.4498</v>
      </c>
      <c r="J3491" s="187" t="s">
        <v>1090</v>
      </c>
      <c r="K3491" s="187" t="s">
        <v>389</v>
      </c>
      <c r="L3491" s="195">
        <v>1.253601</v>
      </c>
      <c r="M3491" s="195" t="s">
        <v>1090</v>
      </c>
      <c r="N3491" s="195" t="s">
        <v>117</v>
      </c>
      <c r="O3491" s="199"/>
      <c r="P3491" s="188"/>
      <c r="Q3491" s="174">
        <f>IF(ISNUMBER(VLOOKUP(A3491,NotghiID!A:A,1,FALSE)),1,0)</f>
        <v>1</v>
      </c>
    </row>
    <row r="3492" spans="1:17" ht="14.25" x14ac:dyDescent="0.2">
      <c r="A3492" s="189">
        <v>390</v>
      </c>
      <c r="B3492" s="232" t="str">
        <f>IF(AND(A3492&lt;&gt;"",ISNUMBER(A3492)),VLOOKUP(A3492,Studies!A:BR,2,FALSE),"")</f>
        <v>Phimmasone 2001</v>
      </c>
      <c r="C3492" s="232" t="str">
        <f>IF(AND(A3492&lt;&gt;"",ISNUMBER(A3492)),VLOOKUP(A3492,Studies!A:BR,3,FALSE),"")</f>
        <v>https://www.ncbi.nlm.nih.gov/pubmed/11753266</v>
      </c>
      <c r="D3492" s="232" t="str">
        <f>IF(AND(A3492&lt;&gt;"",ISNUMBER(A3492)),VLOOKUP(A3492,Studies!A:BR,4,FALSE),"")</f>
        <v>Control (Perpetrator Placebo)</v>
      </c>
      <c r="E3492" s="206" t="str">
        <f>IF(AND(A3492&lt;&gt;"",ISNUMBER(A3492)),VLOOKUP(A3492,Studies!A:BR,5,FALSE),"")</f>
        <v>Alfentanil</v>
      </c>
      <c r="F3492" s="207" t="str">
        <f>IF(AND(A3492&lt;&gt;"",ISNUMBER(A3492)),VLOOKUP(A3492,Studies!A:BR,6,FALSE),"")</f>
        <v>Plasma</v>
      </c>
      <c r="G3492" s="194">
        <v>10</v>
      </c>
      <c r="H3492" s="194" t="s">
        <v>1041</v>
      </c>
      <c r="I3492" s="187">
        <v>71.992789999999999</v>
      </c>
      <c r="J3492" s="187" t="s">
        <v>1090</v>
      </c>
      <c r="K3492" s="187" t="s">
        <v>389</v>
      </c>
      <c r="L3492" s="195">
        <v>20.95223</v>
      </c>
      <c r="M3492" s="195" t="s">
        <v>1090</v>
      </c>
      <c r="N3492" s="195" t="s">
        <v>117</v>
      </c>
      <c r="O3492" s="199"/>
      <c r="P3492" s="188"/>
      <c r="Q3492" s="174">
        <f>IF(ISNUMBER(VLOOKUP(A3492,NotghiID!A:A,1,FALSE)),1,0)</f>
        <v>1</v>
      </c>
    </row>
    <row r="3493" spans="1:17" ht="14.25" x14ac:dyDescent="0.2">
      <c r="A3493" s="189">
        <v>390</v>
      </c>
      <c r="B3493" s="232" t="str">
        <f>IF(AND(A3493&lt;&gt;"",ISNUMBER(A3493)),VLOOKUP(A3493,Studies!A:BR,2,FALSE),"")</f>
        <v>Phimmasone 2001</v>
      </c>
      <c r="C3493" s="232" t="str">
        <f>IF(AND(A3493&lt;&gt;"",ISNUMBER(A3493)),VLOOKUP(A3493,Studies!A:BR,3,FALSE),"")</f>
        <v>https://www.ncbi.nlm.nih.gov/pubmed/11753266</v>
      </c>
      <c r="D3493" s="232" t="str">
        <f>IF(AND(A3493&lt;&gt;"",ISNUMBER(A3493)),VLOOKUP(A3493,Studies!A:BR,4,FALSE),"")</f>
        <v>Control (Perpetrator Placebo)</v>
      </c>
      <c r="E3493" s="206" t="str">
        <f>IF(AND(A3493&lt;&gt;"",ISNUMBER(A3493)),VLOOKUP(A3493,Studies!A:BR,5,FALSE),"")</f>
        <v>Alfentanil</v>
      </c>
      <c r="F3493" s="207" t="str">
        <f>IF(AND(A3493&lt;&gt;"",ISNUMBER(A3493)),VLOOKUP(A3493,Studies!A:BR,6,FALSE),"")</f>
        <v>Plasma</v>
      </c>
      <c r="G3493" s="194">
        <v>15</v>
      </c>
      <c r="H3493" s="194" t="s">
        <v>1041</v>
      </c>
      <c r="I3493" s="187">
        <v>57.834449999999997</v>
      </c>
      <c r="J3493" s="187" t="s">
        <v>1090</v>
      </c>
      <c r="K3493" s="187" t="s">
        <v>389</v>
      </c>
      <c r="L3493" s="195" t="s">
        <v>1151</v>
      </c>
      <c r="M3493" s="195" t="s">
        <v>1090</v>
      </c>
      <c r="N3493" s="195" t="s">
        <v>117</v>
      </c>
      <c r="O3493" s="199"/>
      <c r="P3493" s="189" t="s">
        <v>1148</v>
      </c>
      <c r="Q3493" s="174">
        <f>IF(ISNUMBER(VLOOKUP(A3493,NotghiID!A:A,1,FALSE)),1,0)</f>
        <v>1</v>
      </c>
    </row>
    <row r="3494" spans="1:17" ht="14.25" x14ac:dyDescent="0.2">
      <c r="A3494" s="189">
        <v>390</v>
      </c>
      <c r="B3494" s="232" t="str">
        <f>IF(AND(A3494&lt;&gt;"",ISNUMBER(A3494)),VLOOKUP(A3494,Studies!A:BR,2,FALSE),"")</f>
        <v>Phimmasone 2001</v>
      </c>
      <c r="C3494" s="232" t="str">
        <f>IF(AND(A3494&lt;&gt;"",ISNUMBER(A3494)),VLOOKUP(A3494,Studies!A:BR,3,FALSE),"")</f>
        <v>https://www.ncbi.nlm.nih.gov/pubmed/11753266</v>
      </c>
      <c r="D3494" s="232" t="str">
        <f>IF(AND(A3494&lt;&gt;"",ISNUMBER(A3494)),VLOOKUP(A3494,Studies!A:BR,4,FALSE),"")</f>
        <v>Control (Perpetrator Placebo)</v>
      </c>
      <c r="E3494" s="206" t="str">
        <f>IF(AND(A3494&lt;&gt;"",ISNUMBER(A3494)),VLOOKUP(A3494,Studies!A:BR,5,FALSE),"")</f>
        <v>Alfentanil</v>
      </c>
      <c r="F3494" s="207" t="str">
        <f>IF(AND(A3494&lt;&gt;"",ISNUMBER(A3494)),VLOOKUP(A3494,Studies!A:BR,6,FALSE),"")</f>
        <v>Plasma</v>
      </c>
      <c r="G3494" s="194">
        <v>20</v>
      </c>
      <c r="H3494" s="194" t="s">
        <v>1041</v>
      </c>
      <c r="I3494" s="187">
        <v>47.599879999999999</v>
      </c>
      <c r="J3494" s="187" t="s">
        <v>1090</v>
      </c>
      <c r="K3494" s="187" t="s">
        <v>389</v>
      </c>
      <c r="L3494" s="195">
        <v>15.363149999999999</v>
      </c>
      <c r="M3494" s="195" t="s">
        <v>1090</v>
      </c>
      <c r="N3494" s="195" t="s">
        <v>117</v>
      </c>
      <c r="O3494" s="199"/>
      <c r="P3494" s="188"/>
      <c r="Q3494" s="174">
        <f>IF(ISNUMBER(VLOOKUP(A3494,NotghiID!A:A,1,FALSE)),1,0)</f>
        <v>1</v>
      </c>
    </row>
    <row r="3495" spans="1:17" ht="14.25" x14ac:dyDescent="0.2">
      <c r="A3495" s="189">
        <v>390</v>
      </c>
      <c r="B3495" s="232" t="str">
        <f>IF(AND(A3495&lt;&gt;"",ISNUMBER(A3495)),VLOOKUP(A3495,Studies!A:BR,2,FALSE),"")</f>
        <v>Phimmasone 2001</v>
      </c>
      <c r="C3495" s="232" t="str">
        <f>IF(AND(A3495&lt;&gt;"",ISNUMBER(A3495)),VLOOKUP(A3495,Studies!A:BR,3,FALSE),"")</f>
        <v>https://www.ncbi.nlm.nih.gov/pubmed/11753266</v>
      </c>
      <c r="D3495" s="232" t="str">
        <f>IF(AND(A3495&lt;&gt;"",ISNUMBER(A3495)),VLOOKUP(A3495,Studies!A:BR,4,FALSE),"")</f>
        <v>Control (Perpetrator Placebo)</v>
      </c>
      <c r="E3495" s="206" t="str">
        <f>IF(AND(A3495&lt;&gt;"",ISNUMBER(A3495)),VLOOKUP(A3495,Studies!A:BR,5,FALSE),"")</f>
        <v>Alfentanil</v>
      </c>
      <c r="F3495" s="207" t="str">
        <f>IF(AND(A3495&lt;&gt;"",ISNUMBER(A3495)),VLOOKUP(A3495,Studies!A:BR,6,FALSE),"")</f>
        <v>Plasma</v>
      </c>
      <c r="G3495" s="194">
        <v>30</v>
      </c>
      <c r="H3495" s="194" t="s">
        <v>1041</v>
      </c>
      <c r="I3495" s="187">
        <v>45.883479999999999</v>
      </c>
      <c r="J3495" s="187" t="s">
        <v>1090</v>
      </c>
      <c r="K3495" s="187" t="s">
        <v>389</v>
      </c>
      <c r="L3495" s="195">
        <v>13.35073</v>
      </c>
      <c r="M3495" s="195" t="s">
        <v>1090</v>
      </c>
      <c r="N3495" s="195" t="s">
        <v>117</v>
      </c>
      <c r="O3495" s="199"/>
      <c r="P3495" s="188"/>
      <c r="Q3495" s="174">
        <f>IF(ISNUMBER(VLOOKUP(A3495,NotghiID!A:A,1,FALSE)),1,0)</f>
        <v>1</v>
      </c>
    </row>
    <row r="3496" spans="1:17" ht="14.25" x14ac:dyDescent="0.2">
      <c r="A3496" s="189">
        <v>390</v>
      </c>
      <c r="B3496" s="232" t="str">
        <f>IF(AND(A3496&lt;&gt;"",ISNUMBER(A3496)),VLOOKUP(A3496,Studies!A:BR,2,FALSE),"")</f>
        <v>Phimmasone 2001</v>
      </c>
      <c r="C3496" s="232" t="str">
        <f>IF(AND(A3496&lt;&gt;"",ISNUMBER(A3496)),VLOOKUP(A3496,Studies!A:BR,3,FALSE),"")</f>
        <v>https://www.ncbi.nlm.nih.gov/pubmed/11753266</v>
      </c>
      <c r="D3496" s="232" t="str">
        <f>IF(AND(A3496&lt;&gt;"",ISNUMBER(A3496)),VLOOKUP(A3496,Studies!A:BR,4,FALSE),"")</f>
        <v>Control (Perpetrator Placebo)</v>
      </c>
      <c r="E3496" s="206" t="str">
        <f>IF(AND(A3496&lt;&gt;"",ISNUMBER(A3496)),VLOOKUP(A3496,Studies!A:BR,5,FALSE),"")</f>
        <v>Alfentanil</v>
      </c>
      <c r="F3496" s="207" t="str">
        <f>IF(AND(A3496&lt;&gt;"",ISNUMBER(A3496)),VLOOKUP(A3496,Studies!A:BR,6,FALSE),"")</f>
        <v>Plasma</v>
      </c>
      <c r="G3496" s="194">
        <v>40</v>
      </c>
      <c r="H3496" s="194" t="s">
        <v>1041</v>
      </c>
      <c r="I3496" s="187">
        <v>42.644359999999999</v>
      </c>
      <c r="J3496" s="187" t="s">
        <v>1090</v>
      </c>
      <c r="K3496" s="187" t="s">
        <v>389</v>
      </c>
      <c r="L3496" s="195">
        <v>15.15118</v>
      </c>
      <c r="M3496" s="195" t="s">
        <v>1090</v>
      </c>
      <c r="N3496" s="195" t="s">
        <v>117</v>
      </c>
      <c r="O3496" s="199"/>
      <c r="P3496" s="188"/>
      <c r="Q3496" s="174">
        <f>IF(ISNUMBER(VLOOKUP(A3496,NotghiID!A:A,1,FALSE)),1,0)</f>
        <v>1</v>
      </c>
    </row>
    <row r="3497" spans="1:17" ht="14.25" x14ac:dyDescent="0.2">
      <c r="A3497" s="189">
        <v>390</v>
      </c>
      <c r="B3497" s="232" t="str">
        <f>IF(AND(A3497&lt;&gt;"",ISNUMBER(A3497)),VLOOKUP(A3497,Studies!A:BR,2,FALSE),"")</f>
        <v>Phimmasone 2001</v>
      </c>
      <c r="C3497" s="232" t="str">
        <f>IF(AND(A3497&lt;&gt;"",ISNUMBER(A3497)),VLOOKUP(A3497,Studies!A:BR,3,FALSE),"")</f>
        <v>https://www.ncbi.nlm.nih.gov/pubmed/11753266</v>
      </c>
      <c r="D3497" s="232" t="str">
        <f>IF(AND(A3497&lt;&gt;"",ISNUMBER(A3497)),VLOOKUP(A3497,Studies!A:BR,4,FALSE),"")</f>
        <v>Control (Perpetrator Placebo)</v>
      </c>
      <c r="E3497" s="206" t="str">
        <f>IF(AND(A3497&lt;&gt;"",ISNUMBER(A3497)),VLOOKUP(A3497,Studies!A:BR,5,FALSE),"")</f>
        <v>Alfentanil</v>
      </c>
      <c r="F3497" s="207" t="str">
        <f>IF(AND(A3497&lt;&gt;"",ISNUMBER(A3497)),VLOOKUP(A3497,Studies!A:BR,6,FALSE),"")</f>
        <v>Plasma</v>
      </c>
      <c r="G3497" s="194">
        <v>50</v>
      </c>
      <c r="H3497" s="194" t="s">
        <v>1041</v>
      </c>
      <c r="I3497" s="187">
        <v>28.19406</v>
      </c>
      <c r="J3497" s="187" t="s">
        <v>1090</v>
      </c>
      <c r="K3497" s="187" t="s">
        <v>389</v>
      </c>
      <c r="L3497" s="195">
        <v>12.414709999999999</v>
      </c>
      <c r="M3497" s="195" t="s">
        <v>1090</v>
      </c>
      <c r="N3497" s="195" t="s">
        <v>117</v>
      </c>
      <c r="O3497" s="199"/>
      <c r="P3497" s="188"/>
      <c r="Q3497" s="174">
        <f>IF(ISNUMBER(VLOOKUP(A3497,NotghiID!A:A,1,FALSE)),1,0)</f>
        <v>1</v>
      </c>
    </row>
    <row r="3498" spans="1:17" ht="14.25" x14ac:dyDescent="0.2">
      <c r="A3498" s="189">
        <v>390</v>
      </c>
      <c r="B3498" s="232" t="str">
        <f>IF(AND(A3498&lt;&gt;"",ISNUMBER(A3498)),VLOOKUP(A3498,Studies!A:BR,2,FALSE),"")</f>
        <v>Phimmasone 2001</v>
      </c>
      <c r="C3498" s="232" t="str">
        <f>IF(AND(A3498&lt;&gt;"",ISNUMBER(A3498)),VLOOKUP(A3498,Studies!A:BR,3,FALSE),"")</f>
        <v>https://www.ncbi.nlm.nih.gov/pubmed/11753266</v>
      </c>
      <c r="D3498" s="232" t="str">
        <f>IF(AND(A3498&lt;&gt;"",ISNUMBER(A3498)),VLOOKUP(A3498,Studies!A:BR,4,FALSE),"")</f>
        <v>Control (Perpetrator Placebo)</v>
      </c>
      <c r="E3498" s="206" t="str">
        <f>IF(AND(A3498&lt;&gt;"",ISNUMBER(A3498)),VLOOKUP(A3498,Studies!A:BR,5,FALSE),"")</f>
        <v>Alfentanil</v>
      </c>
      <c r="F3498" s="207" t="str">
        <f>IF(AND(A3498&lt;&gt;"",ISNUMBER(A3498)),VLOOKUP(A3498,Studies!A:BR,6,FALSE),"")</f>
        <v>Plasma</v>
      </c>
      <c r="G3498" s="194">
        <v>60</v>
      </c>
      <c r="H3498" s="194" t="s">
        <v>1041</v>
      </c>
      <c r="I3498" s="187">
        <v>28.18796</v>
      </c>
      <c r="J3498" s="187" t="s">
        <v>1090</v>
      </c>
      <c r="K3498" s="187" t="s">
        <v>389</v>
      </c>
      <c r="L3498" s="195">
        <v>11.91933</v>
      </c>
      <c r="M3498" s="195" t="s">
        <v>1090</v>
      </c>
      <c r="N3498" s="195" t="s">
        <v>117</v>
      </c>
      <c r="O3498" s="199"/>
      <c r="P3498" s="188"/>
      <c r="Q3498" s="174">
        <f>IF(ISNUMBER(VLOOKUP(A3498,NotghiID!A:A,1,FALSE)),1,0)</f>
        <v>1</v>
      </c>
    </row>
    <row r="3499" spans="1:17" ht="14.25" x14ac:dyDescent="0.2">
      <c r="A3499" s="189">
        <v>390</v>
      </c>
      <c r="B3499" s="232" t="str">
        <f>IF(AND(A3499&lt;&gt;"",ISNUMBER(A3499)),VLOOKUP(A3499,Studies!A:BR,2,FALSE),"")</f>
        <v>Phimmasone 2001</v>
      </c>
      <c r="C3499" s="232" t="str">
        <f>IF(AND(A3499&lt;&gt;"",ISNUMBER(A3499)),VLOOKUP(A3499,Studies!A:BR,3,FALSE),"")</f>
        <v>https://www.ncbi.nlm.nih.gov/pubmed/11753266</v>
      </c>
      <c r="D3499" s="232" t="str">
        <f>IF(AND(A3499&lt;&gt;"",ISNUMBER(A3499)),VLOOKUP(A3499,Studies!A:BR,4,FALSE),"")</f>
        <v>Control (Perpetrator Placebo)</v>
      </c>
      <c r="E3499" s="206" t="str">
        <f>IF(AND(A3499&lt;&gt;"",ISNUMBER(A3499)),VLOOKUP(A3499,Studies!A:BR,5,FALSE),"")</f>
        <v>Alfentanil</v>
      </c>
      <c r="F3499" s="207" t="str">
        <f>IF(AND(A3499&lt;&gt;"",ISNUMBER(A3499)),VLOOKUP(A3499,Studies!A:BR,6,FALSE),"")</f>
        <v>Plasma</v>
      </c>
      <c r="G3499" s="194">
        <v>90</v>
      </c>
      <c r="H3499" s="194" t="s">
        <v>1041</v>
      </c>
      <c r="I3499" s="187">
        <v>19.085979999999999</v>
      </c>
      <c r="J3499" s="187" t="s">
        <v>1090</v>
      </c>
      <c r="K3499" s="187" t="s">
        <v>389</v>
      </c>
      <c r="L3499" s="195">
        <v>9.7738060000000004</v>
      </c>
      <c r="M3499" s="195" t="s">
        <v>1090</v>
      </c>
      <c r="N3499" s="195" t="s">
        <v>117</v>
      </c>
      <c r="O3499" s="199"/>
      <c r="P3499" s="188"/>
      <c r="Q3499" s="174">
        <f>IF(ISNUMBER(VLOOKUP(A3499,NotghiID!A:A,1,FALSE)),1,0)</f>
        <v>1</v>
      </c>
    </row>
    <row r="3500" spans="1:17" ht="14.25" x14ac:dyDescent="0.2">
      <c r="A3500" s="189">
        <v>390</v>
      </c>
      <c r="B3500" s="232" t="str">
        <f>IF(AND(A3500&lt;&gt;"",ISNUMBER(A3500)),VLOOKUP(A3500,Studies!A:BR,2,FALSE),"")</f>
        <v>Phimmasone 2001</v>
      </c>
      <c r="C3500" s="232" t="str">
        <f>IF(AND(A3500&lt;&gt;"",ISNUMBER(A3500)),VLOOKUP(A3500,Studies!A:BR,3,FALSE),"")</f>
        <v>https://www.ncbi.nlm.nih.gov/pubmed/11753266</v>
      </c>
      <c r="D3500" s="232" t="str">
        <f>IF(AND(A3500&lt;&gt;"",ISNUMBER(A3500)),VLOOKUP(A3500,Studies!A:BR,4,FALSE),"")</f>
        <v>Control (Perpetrator Placebo)</v>
      </c>
      <c r="E3500" s="206" t="str">
        <f>IF(AND(A3500&lt;&gt;"",ISNUMBER(A3500)),VLOOKUP(A3500,Studies!A:BR,5,FALSE),"")</f>
        <v>Alfentanil</v>
      </c>
      <c r="F3500" s="207" t="str">
        <f>IF(AND(A3500&lt;&gt;"",ISNUMBER(A3500)),VLOOKUP(A3500,Studies!A:BR,6,FALSE),"")</f>
        <v>Plasma</v>
      </c>
      <c r="G3500" s="194">
        <v>120</v>
      </c>
      <c r="H3500" s="194" t="s">
        <v>1041</v>
      </c>
      <c r="I3500" s="187">
        <v>15.891120000000001</v>
      </c>
      <c r="J3500" s="187" t="s">
        <v>1090</v>
      </c>
      <c r="K3500" s="187" t="s">
        <v>389</v>
      </c>
      <c r="L3500" s="195">
        <v>10.59309</v>
      </c>
      <c r="M3500" s="195" t="s">
        <v>1090</v>
      </c>
      <c r="N3500" s="195" t="s">
        <v>117</v>
      </c>
      <c r="O3500" s="199"/>
      <c r="P3500" s="188"/>
      <c r="Q3500" s="174">
        <f>IF(ISNUMBER(VLOOKUP(A3500,NotghiID!A:A,1,FALSE)),1,0)</f>
        <v>1</v>
      </c>
    </row>
    <row r="3501" spans="1:17" ht="14.25" x14ac:dyDescent="0.2">
      <c r="A3501" s="189">
        <v>390</v>
      </c>
      <c r="B3501" s="232" t="str">
        <f>IF(AND(A3501&lt;&gt;"",ISNUMBER(A3501)),VLOOKUP(A3501,Studies!A:BR,2,FALSE),"")</f>
        <v>Phimmasone 2001</v>
      </c>
      <c r="C3501" s="232" t="str">
        <f>IF(AND(A3501&lt;&gt;"",ISNUMBER(A3501)),VLOOKUP(A3501,Studies!A:BR,3,FALSE),"")</f>
        <v>https://www.ncbi.nlm.nih.gov/pubmed/11753266</v>
      </c>
      <c r="D3501" s="232" t="str">
        <f>IF(AND(A3501&lt;&gt;"",ISNUMBER(A3501)),VLOOKUP(A3501,Studies!A:BR,4,FALSE),"")</f>
        <v>Control (Perpetrator Placebo)</v>
      </c>
      <c r="E3501" s="206" t="str">
        <f>IF(AND(A3501&lt;&gt;"",ISNUMBER(A3501)),VLOOKUP(A3501,Studies!A:BR,5,FALSE),"")</f>
        <v>Alfentanil</v>
      </c>
      <c r="F3501" s="207" t="str">
        <f>IF(AND(A3501&lt;&gt;"",ISNUMBER(A3501)),VLOOKUP(A3501,Studies!A:BR,6,FALSE),"")</f>
        <v>Plasma</v>
      </c>
      <c r="G3501" s="194">
        <v>180</v>
      </c>
      <c r="H3501" s="194" t="s">
        <v>1041</v>
      </c>
      <c r="I3501" s="187">
        <v>8.6379470000000005</v>
      </c>
      <c r="J3501" s="187" t="s">
        <v>1090</v>
      </c>
      <c r="K3501" s="187" t="s">
        <v>389</v>
      </c>
      <c r="L3501" s="195">
        <v>7.4232750000000003</v>
      </c>
      <c r="M3501" s="195" t="s">
        <v>1090</v>
      </c>
      <c r="N3501" s="195" t="s">
        <v>117</v>
      </c>
      <c r="O3501" s="199"/>
      <c r="P3501" s="188"/>
      <c r="Q3501" s="174">
        <f>IF(ISNUMBER(VLOOKUP(A3501,NotghiID!A:A,1,FALSE)),1,0)</f>
        <v>1</v>
      </c>
    </row>
    <row r="3502" spans="1:17" ht="14.25" x14ac:dyDescent="0.2">
      <c r="A3502" s="189">
        <v>390</v>
      </c>
      <c r="B3502" s="232" t="str">
        <f>IF(AND(A3502&lt;&gt;"",ISNUMBER(A3502)),VLOOKUP(A3502,Studies!A:BR,2,FALSE),"")</f>
        <v>Phimmasone 2001</v>
      </c>
      <c r="C3502" s="232" t="str">
        <f>IF(AND(A3502&lt;&gt;"",ISNUMBER(A3502)),VLOOKUP(A3502,Studies!A:BR,3,FALSE),"")</f>
        <v>https://www.ncbi.nlm.nih.gov/pubmed/11753266</v>
      </c>
      <c r="D3502" s="232" t="str">
        <f>IF(AND(A3502&lt;&gt;"",ISNUMBER(A3502)),VLOOKUP(A3502,Studies!A:BR,4,FALSE),"")</f>
        <v>Control (Perpetrator Placebo)</v>
      </c>
      <c r="E3502" s="206" t="str">
        <f>IF(AND(A3502&lt;&gt;"",ISNUMBER(A3502)),VLOOKUP(A3502,Studies!A:BR,5,FALSE),"")</f>
        <v>Alfentanil</v>
      </c>
      <c r="F3502" s="207" t="str">
        <f>IF(AND(A3502&lt;&gt;"",ISNUMBER(A3502)),VLOOKUP(A3502,Studies!A:BR,6,FALSE),"")</f>
        <v>Plasma</v>
      </c>
      <c r="G3502" s="194">
        <v>240</v>
      </c>
      <c r="H3502" s="194" t="s">
        <v>1041</v>
      </c>
      <c r="I3502" s="187">
        <v>5.4330949999999998</v>
      </c>
      <c r="J3502" s="187" t="s">
        <v>1090</v>
      </c>
      <c r="K3502" s="187" t="s">
        <v>389</v>
      </c>
      <c r="L3502" s="195">
        <v>6.2564089999999997</v>
      </c>
      <c r="M3502" s="195" t="s">
        <v>1090</v>
      </c>
      <c r="N3502" s="195" t="s">
        <v>117</v>
      </c>
      <c r="O3502" s="199"/>
      <c r="P3502" s="188"/>
      <c r="Q3502" s="174">
        <f>IF(ISNUMBER(VLOOKUP(A3502,NotghiID!A:A,1,FALSE)),1,0)</f>
        <v>1</v>
      </c>
    </row>
    <row r="3503" spans="1:17" ht="14.25" x14ac:dyDescent="0.2">
      <c r="A3503" s="189">
        <v>390</v>
      </c>
      <c r="B3503" s="232" t="str">
        <f>IF(AND(A3503&lt;&gt;"",ISNUMBER(A3503)),VLOOKUP(A3503,Studies!A:BR,2,FALSE),"")</f>
        <v>Phimmasone 2001</v>
      </c>
      <c r="C3503" s="232" t="str">
        <f>IF(AND(A3503&lt;&gt;"",ISNUMBER(A3503)),VLOOKUP(A3503,Studies!A:BR,3,FALSE),"")</f>
        <v>https://www.ncbi.nlm.nih.gov/pubmed/11753266</v>
      </c>
      <c r="D3503" s="232" t="str">
        <f>IF(AND(A3503&lt;&gt;"",ISNUMBER(A3503)),VLOOKUP(A3503,Studies!A:BR,4,FALSE),"")</f>
        <v>Control (Perpetrator Placebo)</v>
      </c>
      <c r="E3503" s="206" t="str">
        <f>IF(AND(A3503&lt;&gt;"",ISNUMBER(A3503)),VLOOKUP(A3503,Studies!A:BR,5,FALSE),"")</f>
        <v>Alfentanil</v>
      </c>
      <c r="F3503" s="207" t="str">
        <f>IF(AND(A3503&lt;&gt;"",ISNUMBER(A3503)),VLOOKUP(A3503,Studies!A:BR,6,FALSE),"")</f>
        <v>Plasma</v>
      </c>
      <c r="G3503" s="194">
        <v>300</v>
      </c>
      <c r="H3503" s="194" t="s">
        <v>1041</v>
      </c>
      <c r="I3503" s="187">
        <v>3.6314679999999999</v>
      </c>
      <c r="J3503" s="187" t="s">
        <v>1090</v>
      </c>
      <c r="K3503" s="187" t="s">
        <v>389</v>
      </c>
      <c r="L3503" s="195">
        <v>4.4722939999999998</v>
      </c>
      <c r="M3503" s="195" t="s">
        <v>1090</v>
      </c>
      <c r="N3503" s="195" t="s">
        <v>117</v>
      </c>
      <c r="O3503" s="199"/>
      <c r="P3503" s="188"/>
      <c r="Q3503" s="174">
        <f>IF(ISNUMBER(VLOOKUP(A3503,NotghiID!A:A,1,FALSE)),1,0)</f>
        <v>1</v>
      </c>
    </row>
    <row r="3504" spans="1:17" ht="14.25" x14ac:dyDescent="0.2">
      <c r="A3504" s="189">
        <v>390</v>
      </c>
      <c r="B3504" s="232" t="str">
        <f>IF(AND(A3504&lt;&gt;"",ISNUMBER(A3504)),VLOOKUP(A3504,Studies!A:BR,2,FALSE),"")</f>
        <v>Phimmasone 2001</v>
      </c>
      <c r="C3504" s="232" t="str">
        <f>IF(AND(A3504&lt;&gt;"",ISNUMBER(A3504)),VLOOKUP(A3504,Studies!A:BR,3,FALSE),"")</f>
        <v>https://www.ncbi.nlm.nih.gov/pubmed/11753266</v>
      </c>
      <c r="D3504" s="232" t="str">
        <f>IF(AND(A3504&lt;&gt;"",ISNUMBER(A3504)),VLOOKUP(A3504,Studies!A:BR,4,FALSE),"")</f>
        <v>Control (Perpetrator Placebo)</v>
      </c>
      <c r="E3504" s="206" t="str">
        <f>IF(AND(A3504&lt;&gt;"",ISNUMBER(A3504)),VLOOKUP(A3504,Studies!A:BR,5,FALSE),"")</f>
        <v>Alfentanil</v>
      </c>
      <c r="F3504" s="207" t="str">
        <f>IF(AND(A3504&lt;&gt;"",ISNUMBER(A3504)),VLOOKUP(A3504,Studies!A:BR,6,FALSE),"")</f>
        <v>Plasma</v>
      </c>
      <c r="G3504" s="194">
        <v>360</v>
      </c>
      <c r="H3504" s="194" t="s">
        <v>1041</v>
      </c>
      <c r="I3504" s="187">
        <v>2.368938</v>
      </c>
      <c r="J3504" s="187" t="s">
        <v>1090</v>
      </c>
      <c r="K3504" s="187" t="s">
        <v>389</v>
      </c>
      <c r="L3504" s="195">
        <v>3.528912</v>
      </c>
      <c r="M3504" s="195" t="s">
        <v>1090</v>
      </c>
      <c r="N3504" s="195" t="s">
        <v>117</v>
      </c>
      <c r="O3504" s="199"/>
      <c r="P3504" s="188"/>
      <c r="Q3504" s="174">
        <f>IF(ISNUMBER(VLOOKUP(A3504,NotghiID!A:A,1,FALSE)),1,0)</f>
        <v>1</v>
      </c>
    </row>
    <row r="3505" spans="1:17" ht="14.25" x14ac:dyDescent="0.2">
      <c r="A3505" s="189">
        <v>390</v>
      </c>
      <c r="B3505" s="232" t="str">
        <f>IF(AND(A3505&lt;&gt;"",ISNUMBER(A3505)),VLOOKUP(A3505,Studies!A:BR,2,FALSE),"")</f>
        <v>Phimmasone 2001</v>
      </c>
      <c r="C3505" s="232" t="str">
        <f>IF(AND(A3505&lt;&gt;"",ISNUMBER(A3505)),VLOOKUP(A3505,Studies!A:BR,3,FALSE),"")</f>
        <v>https://www.ncbi.nlm.nih.gov/pubmed/11753266</v>
      </c>
      <c r="D3505" s="232" t="str">
        <f>IF(AND(A3505&lt;&gt;"",ISNUMBER(A3505)),VLOOKUP(A3505,Studies!A:BR,4,FALSE),"")</f>
        <v>Control (Perpetrator Placebo)</v>
      </c>
      <c r="E3505" s="206" t="str">
        <f>IF(AND(A3505&lt;&gt;"",ISNUMBER(A3505)),VLOOKUP(A3505,Studies!A:BR,5,FALSE),"")</f>
        <v>Alfentanil</v>
      </c>
      <c r="F3505" s="207" t="str">
        <f>IF(AND(A3505&lt;&gt;"",ISNUMBER(A3505)),VLOOKUP(A3505,Studies!A:BR,6,FALSE),"")</f>
        <v>Plasma</v>
      </c>
      <c r="G3505" s="189">
        <v>420</v>
      </c>
      <c r="H3505" s="194" t="s">
        <v>1041</v>
      </c>
      <c r="I3505" s="187">
        <v>1.5642910000000001</v>
      </c>
      <c r="J3505" s="187" t="s">
        <v>1090</v>
      </c>
      <c r="K3505" s="187" t="s">
        <v>389</v>
      </c>
      <c r="L3505" s="195">
        <v>2.8338000000000001</v>
      </c>
      <c r="M3505" s="195" t="s">
        <v>1090</v>
      </c>
      <c r="N3505" s="195" t="s">
        <v>117</v>
      </c>
      <c r="O3505" s="199"/>
      <c r="P3505" s="189" t="s">
        <v>1150</v>
      </c>
      <c r="Q3505" s="174">
        <f>IF(ISNUMBER(VLOOKUP(A3505,NotghiID!A:A,1,FALSE)),1,0)</f>
        <v>1</v>
      </c>
    </row>
    <row r="3506" spans="1:17" ht="14.25" x14ac:dyDescent="0.2">
      <c r="A3506" s="189">
        <v>391</v>
      </c>
      <c r="B3506" s="232" t="str">
        <f>IF(AND(A3506&lt;&gt;"",ISNUMBER(A3506)),VLOOKUP(A3506,Studies!A:BR,2,FALSE),"")</f>
        <v>Phimmasone 2001</v>
      </c>
      <c r="C3506" s="232" t="str">
        <f>IF(AND(A3506&lt;&gt;"",ISNUMBER(A3506)),VLOOKUP(A3506,Studies!A:BR,3,FALSE),"")</f>
        <v>https://www.ncbi.nlm.nih.gov/pubmed/11753266</v>
      </c>
      <c r="D3506" s="232" t="str">
        <f>IF(AND(A3506&lt;&gt;"",ISNUMBER(A3506)),VLOOKUP(A3506,Studies!A:BR,4,FALSE),"")</f>
        <v>with Perpetrator (Rifampicin)</v>
      </c>
      <c r="E3506" s="206" t="str">
        <f>IF(AND(A3506&lt;&gt;"",ISNUMBER(A3506)),VLOOKUP(A3506,Studies!A:BR,5,FALSE),"")</f>
        <v>Alfentanil</v>
      </c>
      <c r="F3506" s="207" t="str">
        <f>IF(AND(A3506&lt;&gt;"",ISNUMBER(A3506)),VLOOKUP(A3506,Studies!A:BR,6,FALSE),"")</f>
        <v>Plasma</v>
      </c>
      <c r="G3506" s="194">
        <v>6422</v>
      </c>
      <c r="H3506" s="194" t="s">
        <v>1041</v>
      </c>
      <c r="I3506" s="187">
        <v>160.67789999999999</v>
      </c>
      <c r="J3506" s="187" t="s">
        <v>1090</v>
      </c>
      <c r="K3506" s="187" t="s">
        <v>389</v>
      </c>
      <c r="L3506" s="195">
        <v>50.46752</v>
      </c>
      <c r="M3506" s="195" t="s">
        <v>1090</v>
      </c>
      <c r="N3506" s="195" t="s">
        <v>117</v>
      </c>
      <c r="O3506" s="199"/>
      <c r="P3506" s="188"/>
      <c r="Q3506" s="174">
        <f>IF(ISNUMBER(VLOOKUP(A3506,NotghiID!A:A,1,FALSE)),1,0)</f>
        <v>1</v>
      </c>
    </row>
    <row r="3507" spans="1:17" ht="14.25" x14ac:dyDescent="0.2">
      <c r="A3507" s="189">
        <v>391</v>
      </c>
      <c r="B3507" s="232" t="str">
        <f>IF(AND(A3507&lt;&gt;"",ISNUMBER(A3507)),VLOOKUP(A3507,Studies!A:BR,2,FALSE),"")</f>
        <v>Phimmasone 2001</v>
      </c>
      <c r="C3507" s="232" t="str">
        <f>IF(AND(A3507&lt;&gt;"",ISNUMBER(A3507)),VLOOKUP(A3507,Studies!A:BR,3,FALSE),"")</f>
        <v>https://www.ncbi.nlm.nih.gov/pubmed/11753266</v>
      </c>
      <c r="D3507" s="232" t="str">
        <f>IF(AND(A3507&lt;&gt;"",ISNUMBER(A3507)),VLOOKUP(A3507,Studies!A:BR,4,FALSE),"")</f>
        <v>with Perpetrator (Rifampicin)</v>
      </c>
      <c r="E3507" s="206" t="str">
        <f>IF(AND(A3507&lt;&gt;"",ISNUMBER(A3507)),VLOOKUP(A3507,Studies!A:BR,5,FALSE),"")</f>
        <v>Alfentanil</v>
      </c>
      <c r="F3507" s="207" t="str">
        <f>IF(AND(A3507&lt;&gt;"",ISNUMBER(A3507)),VLOOKUP(A3507,Studies!A:BR,6,FALSE),"")</f>
        <v>Plasma</v>
      </c>
      <c r="G3507" s="194">
        <v>6425</v>
      </c>
      <c r="H3507" s="194" t="s">
        <v>1041</v>
      </c>
      <c r="I3507" s="187">
        <v>78.399500000000003</v>
      </c>
      <c r="J3507" s="187" t="s">
        <v>1090</v>
      </c>
      <c r="K3507" s="187" t="s">
        <v>389</v>
      </c>
      <c r="L3507" s="195">
        <v>16.927299999999999</v>
      </c>
      <c r="M3507" s="195" t="s">
        <v>1090</v>
      </c>
      <c r="N3507" s="195" t="s">
        <v>117</v>
      </c>
      <c r="O3507" s="199"/>
      <c r="P3507" s="188"/>
      <c r="Q3507" s="174">
        <f>IF(ISNUMBER(VLOOKUP(A3507,NotghiID!A:A,1,FALSE)),1,0)</f>
        <v>1</v>
      </c>
    </row>
    <row r="3508" spans="1:17" ht="14.25" x14ac:dyDescent="0.2">
      <c r="A3508" s="189">
        <v>391</v>
      </c>
      <c r="B3508" s="232" t="str">
        <f>IF(AND(A3508&lt;&gt;"",ISNUMBER(A3508)),VLOOKUP(A3508,Studies!A:BR,2,FALSE),"")</f>
        <v>Phimmasone 2001</v>
      </c>
      <c r="C3508" s="232" t="str">
        <f>IF(AND(A3508&lt;&gt;"",ISNUMBER(A3508)),VLOOKUP(A3508,Studies!A:BR,3,FALSE),"")</f>
        <v>https://www.ncbi.nlm.nih.gov/pubmed/11753266</v>
      </c>
      <c r="D3508" s="232" t="str">
        <f>IF(AND(A3508&lt;&gt;"",ISNUMBER(A3508)),VLOOKUP(A3508,Studies!A:BR,4,FALSE),"")</f>
        <v>with Perpetrator (Rifampicin)</v>
      </c>
      <c r="E3508" s="206" t="str">
        <f>IF(AND(A3508&lt;&gt;"",ISNUMBER(A3508)),VLOOKUP(A3508,Studies!A:BR,5,FALSE),"")</f>
        <v>Alfentanil</v>
      </c>
      <c r="F3508" s="207" t="str">
        <f>IF(AND(A3508&lt;&gt;"",ISNUMBER(A3508)),VLOOKUP(A3508,Studies!A:BR,6,FALSE),"")</f>
        <v>Plasma</v>
      </c>
      <c r="G3508" s="194">
        <v>6430</v>
      </c>
      <c r="H3508" s="194" t="s">
        <v>1041</v>
      </c>
      <c r="I3508" s="187">
        <v>52.476410000000001</v>
      </c>
      <c r="J3508" s="187" t="s">
        <v>1090</v>
      </c>
      <c r="K3508" s="187" t="s">
        <v>389</v>
      </c>
      <c r="L3508" s="195">
        <v>11.8276</v>
      </c>
      <c r="M3508" s="195" t="s">
        <v>1090</v>
      </c>
      <c r="N3508" s="195" t="s">
        <v>117</v>
      </c>
      <c r="O3508" s="199"/>
      <c r="P3508" s="188"/>
      <c r="Q3508" s="174">
        <f>IF(ISNUMBER(VLOOKUP(A3508,NotghiID!A:A,1,FALSE)),1,0)</f>
        <v>1</v>
      </c>
    </row>
    <row r="3509" spans="1:17" ht="14.25" x14ac:dyDescent="0.2">
      <c r="A3509" s="189">
        <v>391</v>
      </c>
      <c r="B3509" s="232" t="str">
        <f>IF(AND(A3509&lt;&gt;"",ISNUMBER(A3509)),VLOOKUP(A3509,Studies!A:BR,2,FALSE),"")</f>
        <v>Phimmasone 2001</v>
      </c>
      <c r="C3509" s="232" t="str">
        <f>IF(AND(A3509&lt;&gt;"",ISNUMBER(A3509)),VLOOKUP(A3509,Studies!A:BR,3,FALSE),"")</f>
        <v>https://www.ncbi.nlm.nih.gov/pubmed/11753266</v>
      </c>
      <c r="D3509" s="232" t="str">
        <f>IF(AND(A3509&lt;&gt;"",ISNUMBER(A3509)),VLOOKUP(A3509,Studies!A:BR,4,FALSE),"")</f>
        <v>with Perpetrator (Rifampicin)</v>
      </c>
      <c r="E3509" s="206" t="str">
        <f>IF(AND(A3509&lt;&gt;"",ISNUMBER(A3509)),VLOOKUP(A3509,Studies!A:BR,5,FALSE),"")</f>
        <v>Alfentanil</v>
      </c>
      <c r="F3509" s="207" t="str">
        <f>IF(AND(A3509&lt;&gt;"",ISNUMBER(A3509)),VLOOKUP(A3509,Studies!A:BR,6,FALSE),"")</f>
        <v>Plasma</v>
      </c>
      <c r="G3509" s="194">
        <v>6435</v>
      </c>
      <c r="H3509" s="194" t="s">
        <v>1041</v>
      </c>
      <c r="I3509" s="187">
        <v>38.246090000000002</v>
      </c>
      <c r="J3509" s="187" t="s">
        <v>1090</v>
      </c>
      <c r="K3509" s="187" t="s">
        <v>389</v>
      </c>
      <c r="L3509" s="195">
        <v>10.026949999999999</v>
      </c>
      <c r="M3509" s="195" t="s">
        <v>1090</v>
      </c>
      <c r="N3509" s="195" t="s">
        <v>117</v>
      </c>
      <c r="O3509" s="199"/>
      <c r="P3509" s="188"/>
      <c r="Q3509" s="174">
        <f>IF(ISNUMBER(VLOOKUP(A3509,NotghiID!A:A,1,FALSE)),1,0)</f>
        <v>1</v>
      </c>
    </row>
    <row r="3510" spans="1:17" ht="14.25" x14ac:dyDescent="0.2">
      <c r="A3510" s="189">
        <v>391</v>
      </c>
      <c r="B3510" s="232" t="str">
        <f>IF(AND(A3510&lt;&gt;"",ISNUMBER(A3510)),VLOOKUP(A3510,Studies!A:BR,2,FALSE),"")</f>
        <v>Phimmasone 2001</v>
      </c>
      <c r="C3510" s="232" t="str">
        <f>IF(AND(A3510&lt;&gt;"",ISNUMBER(A3510)),VLOOKUP(A3510,Studies!A:BR,3,FALSE),"")</f>
        <v>https://www.ncbi.nlm.nih.gov/pubmed/11753266</v>
      </c>
      <c r="D3510" s="232" t="str">
        <f>IF(AND(A3510&lt;&gt;"",ISNUMBER(A3510)),VLOOKUP(A3510,Studies!A:BR,4,FALSE),"")</f>
        <v>with Perpetrator (Rifampicin)</v>
      </c>
      <c r="E3510" s="206" t="str">
        <f>IF(AND(A3510&lt;&gt;"",ISNUMBER(A3510)),VLOOKUP(A3510,Studies!A:BR,5,FALSE),"")</f>
        <v>Alfentanil</v>
      </c>
      <c r="F3510" s="207" t="str">
        <f>IF(AND(A3510&lt;&gt;"",ISNUMBER(A3510)),VLOOKUP(A3510,Studies!A:BR,6,FALSE),"")</f>
        <v>Plasma</v>
      </c>
      <c r="G3510" s="194">
        <v>6440</v>
      </c>
      <c r="H3510" s="194" t="s">
        <v>1041</v>
      </c>
      <c r="I3510" s="187">
        <v>31.47945</v>
      </c>
      <c r="J3510" s="187" t="s">
        <v>1090</v>
      </c>
      <c r="K3510" s="187" t="s">
        <v>389</v>
      </c>
      <c r="L3510" s="195">
        <v>7.3898720000000004</v>
      </c>
      <c r="M3510" s="195" t="s">
        <v>1090</v>
      </c>
      <c r="N3510" s="195" t="s">
        <v>117</v>
      </c>
      <c r="O3510" s="199"/>
      <c r="P3510" s="188"/>
      <c r="Q3510" s="174">
        <f>IF(ISNUMBER(VLOOKUP(A3510,NotghiID!A:A,1,FALSE)),1,0)</f>
        <v>1</v>
      </c>
    </row>
    <row r="3511" spans="1:17" ht="14.25" x14ac:dyDescent="0.2">
      <c r="A3511" s="189">
        <v>391</v>
      </c>
      <c r="B3511" s="232" t="str">
        <f>IF(AND(A3511&lt;&gt;"",ISNUMBER(A3511)),VLOOKUP(A3511,Studies!A:BR,2,FALSE),"")</f>
        <v>Phimmasone 2001</v>
      </c>
      <c r="C3511" s="232" t="str">
        <f>IF(AND(A3511&lt;&gt;"",ISNUMBER(A3511)),VLOOKUP(A3511,Studies!A:BR,3,FALSE),"")</f>
        <v>https://www.ncbi.nlm.nih.gov/pubmed/11753266</v>
      </c>
      <c r="D3511" s="232" t="str">
        <f>IF(AND(A3511&lt;&gt;"",ISNUMBER(A3511)),VLOOKUP(A3511,Studies!A:BR,4,FALSE),"")</f>
        <v>with Perpetrator (Rifampicin)</v>
      </c>
      <c r="E3511" s="206" t="str">
        <f>IF(AND(A3511&lt;&gt;"",ISNUMBER(A3511)),VLOOKUP(A3511,Studies!A:BR,5,FALSE),"")</f>
        <v>Alfentanil</v>
      </c>
      <c r="F3511" s="207" t="str">
        <f>IF(AND(A3511&lt;&gt;"",ISNUMBER(A3511)),VLOOKUP(A3511,Studies!A:BR,6,FALSE),"")</f>
        <v>Plasma</v>
      </c>
      <c r="G3511" s="194">
        <v>6450</v>
      </c>
      <c r="H3511" s="194" t="s">
        <v>1041</v>
      </c>
      <c r="I3511" s="187">
        <v>24.377890000000001</v>
      </c>
      <c r="J3511" s="187" t="s">
        <v>1090</v>
      </c>
      <c r="K3511" s="187" t="s">
        <v>389</v>
      </c>
      <c r="L3511" s="195">
        <v>6.3906970000000003</v>
      </c>
      <c r="M3511" s="195" t="s">
        <v>1090</v>
      </c>
      <c r="N3511" s="195" t="s">
        <v>117</v>
      </c>
      <c r="O3511" s="199"/>
      <c r="P3511" s="188"/>
      <c r="Q3511" s="174">
        <f>IF(ISNUMBER(VLOOKUP(A3511,NotghiID!A:A,1,FALSE)),1,0)</f>
        <v>1</v>
      </c>
    </row>
    <row r="3512" spans="1:17" ht="14.25" x14ac:dyDescent="0.2">
      <c r="A3512" s="189">
        <v>391</v>
      </c>
      <c r="B3512" s="232" t="str">
        <f>IF(AND(A3512&lt;&gt;"",ISNUMBER(A3512)),VLOOKUP(A3512,Studies!A:BR,2,FALSE),"")</f>
        <v>Phimmasone 2001</v>
      </c>
      <c r="C3512" s="232" t="str">
        <f>IF(AND(A3512&lt;&gt;"",ISNUMBER(A3512)),VLOOKUP(A3512,Studies!A:BR,3,FALSE),"")</f>
        <v>https://www.ncbi.nlm.nih.gov/pubmed/11753266</v>
      </c>
      <c r="D3512" s="232" t="str">
        <f>IF(AND(A3512&lt;&gt;"",ISNUMBER(A3512)),VLOOKUP(A3512,Studies!A:BR,4,FALSE),"")</f>
        <v>with Perpetrator (Rifampicin)</v>
      </c>
      <c r="E3512" s="206" t="str">
        <f>IF(AND(A3512&lt;&gt;"",ISNUMBER(A3512)),VLOOKUP(A3512,Studies!A:BR,5,FALSE),"")</f>
        <v>Alfentanil</v>
      </c>
      <c r="F3512" s="207" t="str">
        <f>IF(AND(A3512&lt;&gt;"",ISNUMBER(A3512)),VLOOKUP(A3512,Studies!A:BR,6,FALSE),"")</f>
        <v>Plasma</v>
      </c>
      <c r="G3512" s="194">
        <v>6460</v>
      </c>
      <c r="H3512" s="194" t="s">
        <v>1041</v>
      </c>
      <c r="I3512" s="187">
        <v>16.716989999999999</v>
      </c>
      <c r="J3512" s="187" t="s">
        <v>1090</v>
      </c>
      <c r="K3512" s="187" t="s">
        <v>389</v>
      </c>
      <c r="L3512" s="195">
        <v>3.7678199999999999</v>
      </c>
      <c r="M3512" s="195" t="s">
        <v>1090</v>
      </c>
      <c r="N3512" s="195" t="s">
        <v>117</v>
      </c>
      <c r="O3512" s="199"/>
      <c r="P3512" s="188"/>
      <c r="Q3512" s="174">
        <f>IF(ISNUMBER(VLOOKUP(A3512,NotghiID!A:A,1,FALSE)),1,0)</f>
        <v>1</v>
      </c>
    </row>
    <row r="3513" spans="1:17" ht="14.25" x14ac:dyDescent="0.2">
      <c r="A3513" s="189">
        <v>391</v>
      </c>
      <c r="B3513" s="232" t="str">
        <f>IF(AND(A3513&lt;&gt;"",ISNUMBER(A3513)),VLOOKUP(A3513,Studies!A:BR,2,FALSE),"")</f>
        <v>Phimmasone 2001</v>
      </c>
      <c r="C3513" s="232" t="str">
        <f>IF(AND(A3513&lt;&gt;"",ISNUMBER(A3513)),VLOOKUP(A3513,Studies!A:BR,3,FALSE),"")</f>
        <v>https://www.ncbi.nlm.nih.gov/pubmed/11753266</v>
      </c>
      <c r="D3513" s="232" t="str">
        <f>IF(AND(A3513&lt;&gt;"",ISNUMBER(A3513)),VLOOKUP(A3513,Studies!A:BR,4,FALSE),"")</f>
        <v>with Perpetrator (Rifampicin)</v>
      </c>
      <c r="E3513" s="206" t="str">
        <f>IF(AND(A3513&lt;&gt;"",ISNUMBER(A3513)),VLOOKUP(A3513,Studies!A:BR,5,FALSE),"")</f>
        <v>Alfentanil</v>
      </c>
      <c r="F3513" s="207" t="str">
        <f>IF(AND(A3513&lt;&gt;"",ISNUMBER(A3513)),VLOOKUP(A3513,Studies!A:BR,6,FALSE),"")</f>
        <v>Plasma</v>
      </c>
      <c r="G3513" s="194">
        <v>6470</v>
      </c>
      <c r="H3513" s="194" t="s">
        <v>1041</v>
      </c>
      <c r="I3513" s="187">
        <v>13.59141</v>
      </c>
      <c r="J3513" s="187" t="s">
        <v>1090</v>
      </c>
      <c r="K3513" s="187" t="s">
        <v>389</v>
      </c>
      <c r="L3513" s="195">
        <v>2.9345340000000002</v>
      </c>
      <c r="M3513" s="195" t="s">
        <v>1090</v>
      </c>
      <c r="N3513" s="195" t="s">
        <v>117</v>
      </c>
      <c r="O3513" s="199"/>
      <c r="P3513" s="188"/>
      <c r="Q3513" s="174">
        <f>IF(ISNUMBER(VLOOKUP(A3513,NotghiID!A:A,1,FALSE)),1,0)</f>
        <v>1</v>
      </c>
    </row>
    <row r="3514" spans="1:17" ht="14.25" x14ac:dyDescent="0.2">
      <c r="A3514" s="189">
        <v>391</v>
      </c>
      <c r="B3514" s="232" t="str">
        <f>IF(AND(A3514&lt;&gt;"",ISNUMBER(A3514)),VLOOKUP(A3514,Studies!A:BR,2,FALSE),"")</f>
        <v>Phimmasone 2001</v>
      </c>
      <c r="C3514" s="232" t="str">
        <f>IF(AND(A3514&lt;&gt;"",ISNUMBER(A3514)),VLOOKUP(A3514,Studies!A:BR,3,FALSE),"")</f>
        <v>https://www.ncbi.nlm.nih.gov/pubmed/11753266</v>
      </c>
      <c r="D3514" s="232" t="str">
        <f>IF(AND(A3514&lt;&gt;"",ISNUMBER(A3514)),VLOOKUP(A3514,Studies!A:BR,4,FALSE),"")</f>
        <v>with Perpetrator (Rifampicin)</v>
      </c>
      <c r="E3514" s="206" t="str">
        <f>IF(AND(A3514&lt;&gt;"",ISNUMBER(A3514)),VLOOKUP(A3514,Studies!A:BR,5,FALSE),"")</f>
        <v>Alfentanil</v>
      </c>
      <c r="F3514" s="207" t="str">
        <f>IF(AND(A3514&lt;&gt;"",ISNUMBER(A3514)),VLOOKUP(A3514,Studies!A:BR,6,FALSE),"")</f>
        <v>Plasma</v>
      </c>
      <c r="G3514" s="194">
        <v>6480</v>
      </c>
      <c r="H3514" s="194" t="s">
        <v>1041</v>
      </c>
      <c r="I3514" s="187">
        <v>10.272349999999999</v>
      </c>
      <c r="J3514" s="187" t="s">
        <v>1090</v>
      </c>
      <c r="K3514" s="187" t="s">
        <v>389</v>
      </c>
      <c r="L3514" s="195">
        <v>2.6003530000000001</v>
      </c>
      <c r="M3514" s="195" t="s">
        <v>1090</v>
      </c>
      <c r="N3514" s="195" t="s">
        <v>117</v>
      </c>
      <c r="O3514" s="199"/>
      <c r="P3514" s="188"/>
      <c r="Q3514" s="174">
        <f>IF(ISNUMBER(VLOOKUP(A3514,NotghiID!A:A,1,FALSE)),1,0)</f>
        <v>1</v>
      </c>
    </row>
    <row r="3515" spans="1:17" ht="14.25" x14ac:dyDescent="0.2">
      <c r="A3515" s="189">
        <v>391</v>
      </c>
      <c r="B3515" s="232" t="str">
        <f>IF(AND(A3515&lt;&gt;"",ISNUMBER(A3515)),VLOOKUP(A3515,Studies!A:BR,2,FALSE),"")</f>
        <v>Phimmasone 2001</v>
      </c>
      <c r="C3515" s="232" t="str">
        <f>IF(AND(A3515&lt;&gt;"",ISNUMBER(A3515)),VLOOKUP(A3515,Studies!A:BR,3,FALSE),"")</f>
        <v>https://www.ncbi.nlm.nih.gov/pubmed/11753266</v>
      </c>
      <c r="D3515" s="232" t="str">
        <f>IF(AND(A3515&lt;&gt;"",ISNUMBER(A3515)),VLOOKUP(A3515,Studies!A:BR,4,FALSE),"")</f>
        <v>with Perpetrator (Rifampicin)</v>
      </c>
      <c r="E3515" s="206" t="str">
        <f>IF(AND(A3515&lt;&gt;"",ISNUMBER(A3515)),VLOOKUP(A3515,Studies!A:BR,5,FALSE),"")</f>
        <v>Alfentanil</v>
      </c>
      <c r="F3515" s="207" t="str">
        <f>IF(AND(A3515&lt;&gt;"",ISNUMBER(A3515)),VLOOKUP(A3515,Studies!A:BR,6,FALSE),"")</f>
        <v>Plasma</v>
      </c>
      <c r="G3515" s="194">
        <v>6510</v>
      </c>
      <c r="H3515" s="194" t="s">
        <v>1041</v>
      </c>
      <c r="I3515" s="187">
        <v>7.3916209999999998</v>
      </c>
      <c r="J3515" s="187" t="s">
        <v>1090</v>
      </c>
      <c r="K3515" s="187" t="s">
        <v>389</v>
      </c>
      <c r="L3515" s="195">
        <v>2.0690360000000001</v>
      </c>
      <c r="M3515" s="195" t="s">
        <v>1090</v>
      </c>
      <c r="N3515" s="195" t="s">
        <v>117</v>
      </c>
      <c r="O3515" s="199"/>
      <c r="P3515" s="188"/>
      <c r="Q3515" s="174">
        <f>IF(ISNUMBER(VLOOKUP(A3515,NotghiID!A:A,1,FALSE)),1,0)</f>
        <v>1</v>
      </c>
    </row>
    <row r="3516" spans="1:17" ht="14.25" x14ac:dyDescent="0.2">
      <c r="A3516" s="189">
        <v>391</v>
      </c>
      <c r="B3516" s="232" t="str">
        <f>IF(AND(A3516&lt;&gt;"",ISNUMBER(A3516)),VLOOKUP(A3516,Studies!A:BR,2,FALSE),"")</f>
        <v>Phimmasone 2001</v>
      </c>
      <c r="C3516" s="232" t="str">
        <f>IF(AND(A3516&lt;&gt;"",ISNUMBER(A3516)),VLOOKUP(A3516,Studies!A:BR,3,FALSE),"")</f>
        <v>https://www.ncbi.nlm.nih.gov/pubmed/11753266</v>
      </c>
      <c r="D3516" s="232" t="str">
        <f>IF(AND(A3516&lt;&gt;"",ISNUMBER(A3516)),VLOOKUP(A3516,Studies!A:BR,4,FALSE),"")</f>
        <v>with Perpetrator (Rifampicin)</v>
      </c>
      <c r="E3516" s="206" t="str">
        <f>IF(AND(A3516&lt;&gt;"",ISNUMBER(A3516)),VLOOKUP(A3516,Studies!A:BR,5,FALSE),"")</f>
        <v>Alfentanil</v>
      </c>
      <c r="F3516" s="207" t="str">
        <f>IF(AND(A3516&lt;&gt;"",ISNUMBER(A3516)),VLOOKUP(A3516,Studies!A:BR,6,FALSE),"")</f>
        <v>Plasma</v>
      </c>
      <c r="G3516" s="194">
        <v>6540</v>
      </c>
      <c r="H3516" s="194" t="s">
        <v>1041</v>
      </c>
      <c r="I3516" s="187">
        <v>3.9722599999999999</v>
      </c>
      <c r="J3516" s="187" t="s">
        <v>1090</v>
      </c>
      <c r="K3516" s="187" t="s">
        <v>389</v>
      </c>
      <c r="L3516" s="195">
        <v>1.674153</v>
      </c>
      <c r="M3516" s="195" t="s">
        <v>1090</v>
      </c>
      <c r="N3516" s="195" t="s">
        <v>117</v>
      </c>
      <c r="O3516" s="199"/>
      <c r="P3516" s="188"/>
      <c r="Q3516" s="174">
        <f>IF(ISNUMBER(VLOOKUP(A3516,NotghiID!A:A,1,FALSE)),1,0)</f>
        <v>1</v>
      </c>
    </row>
    <row r="3517" spans="1:17" ht="14.25" x14ac:dyDescent="0.2">
      <c r="A3517" s="189">
        <v>391</v>
      </c>
      <c r="B3517" s="232" t="str">
        <f>IF(AND(A3517&lt;&gt;"",ISNUMBER(A3517)),VLOOKUP(A3517,Studies!A:BR,2,FALSE),"")</f>
        <v>Phimmasone 2001</v>
      </c>
      <c r="C3517" s="232" t="str">
        <f>IF(AND(A3517&lt;&gt;"",ISNUMBER(A3517)),VLOOKUP(A3517,Studies!A:BR,3,FALSE),"")</f>
        <v>https://www.ncbi.nlm.nih.gov/pubmed/11753266</v>
      </c>
      <c r="D3517" s="232" t="str">
        <f>IF(AND(A3517&lt;&gt;"",ISNUMBER(A3517)),VLOOKUP(A3517,Studies!A:BR,4,FALSE),"")</f>
        <v>with Perpetrator (Rifampicin)</v>
      </c>
      <c r="E3517" s="206" t="str">
        <f>IF(AND(A3517&lt;&gt;"",ISNUMBER(A3517)),VLOOKUP(A3517,Studies!A:BR,5,FALSE),"")</f>
        <v>Alfentanil</v>
      </c>
      <c r="F3517" s="207" t="str">
        <f>IF(AND(A3517&lt;&gt;"",ISNUMBER(A3517)),VLOOKUP(A3517,Studies!A:BR,6,FALSE),"")</f>
        <v>Plasma</v>
      </c>
      <c r="G3517" s="194">
        <v>6600</v>
      </c>
      <c r="H3517" s="194" t="s">
        <v>1041</v>
      </c>
      <c r="I3517" s="187">
        <v>1.6930080000000001</v>
      </c>
      <c r="J3517" s="187" t="s">
        <v>1090</v>
      </c>
      <c r="K3517" s="187" t="s">
        <v>389</v>
      </c>
      <c r="L3517" s="195">
        <v>0.48860789999999998</v>
      </c>
      <c r="M3517" s="195" t="s">
        <v>1090</v>
      </c>
      <c r="N3517" s="195" t="s">
        <v>117</v>
      </c>
      <c r="O3517" s="199"/>
      <c r="P3517" s="188"/>
      <c r="Q3517" s="174">
        <f>IF(ISNUMBER(VLOOKUP(A3517,NotghiID!A:A,1,FALSE)),1,0)</f>
        <v>1</v>
      </c>
    </row>
    <row r="3518" spans="1:17" ht="14.25" x14ac:dyDescent="0.2">
      <c r="A3518" s="189">
        <v>391</v>
      </c>
      <c r="B3518" s="232" t="str">
        <f>IF(AND(A3518&lt;&gt;"",ISNUMBER(A3518)),VLOOKUP(A3518,Studies!A:BR,2,FALSE),"")</f>
        <v>Phimmasone 2001</v>
      </c>
      <c r="C3518" s="232" t="str">
        <f>IF(AND(A3518&lt;&gt;"",ISNUMBER(A3518)),VLOOKUP(A3518,Studies!A:BR,3,FALSE),"")</f>
        <v>https://www.ncbi.nlm.nih.gov/pubmed/11753266</v>
      </c>
      <c r="D3518" s="232" t="str">
        <f>IF(AND(A3518&lt;&gt;"",ISNUMBER(A3518)),VLOOKUP(A3518,Studies!A:BR,4,FALSE),"")</f>
        <v>with Perpetrator (Rifampicin)</v>
      </c>
      <c r="E3518" s="206" t="str">
        <f>IF(AND(A3518&lt;&gt;"",ISNUMBER(A3518)),VLOOKUP(A3518,Studies!A:BR,5,FALSE),"")</f>
        <v>Alfentanil</v>
      </c>
      <c r="F3518" s="207" t="str">
        <f>IF(AND(A3518&lt;&gt;"",ISNUMBER(A3518)),VLOOKUP(A3518,Studies!A:BR,6,FALSE),"")</f>
        <v>Plasma</v>
      </c>
      <c r="G3518" s="194">
        <v>6660</v>
      </c>
      <c r="H3518" s="194" t="s">
        <v>1041</v>
      </c>
      <c r="I3518" s="187">
        <v>0.80503760000000002</v>
      </c>
      <c r="J3518" s="187" t="s">
        <v>1090</v>
      </c>
      <c r="K3518" s="187" t="s">
        <v>389</v>
      </c>
      <c r="L3518" s="195">
        <v>0.23233680000000001</v>
      </c>
      <c r="M3518" s="195" t="s">
        <v>1090</v>
      </c>
      <c r="N3518" s="195" t="s">
        <v>117</v>
      </c>
      <c r="O3518" s="199"/>
      <c r="P3518" s="188"/>
      <c r="Q3518" s="174">
        <f>IF(ISNUMBER(VLOOKUP(A3518,NotghiID!A:A,1,FALSE)),1,0)</f>
        <v>1</v>
      </c>
    </row>
    <row r="3519" spans="1:17" ht="14.25" x14ac:dyDescent="0.2">
      <c r="A3519" s="189">
        <v>391</v>
      </c>
      <c r="B3519" s="232" t="str">
        <f>IF(AND(A3519&lt;&gt;"",ISNUMBER(A3519)),VLOOKUP(A3519,Studies!A:BR,2,FALSE),"")</f>
        <v>Phimmasone 2001</v>
      </c>
      <c r="C3519" s="232" t="str">
        <f>IF(AND(A3519&lt;&gt;"",ISNUMBER(A3519)),VLOOKUP(A3519,Studies!A:BR,3,FALSE),"")</f>
        <v>https://www.ncbi.nlm.nih.gov/pubmed/11753266</v>
      </c>
      <c r="D3519" s="232" t="str">
        <f>IF(AND(A3519&lt;&gt;"",ISNUMBER(A3519)),VLOOKUP(A3519,Studies!A:BR,4,FALSE),"")</f>
        <v>with Perpetrator (Rifampicin)</v>
      </c>
      <c r="E3519" s="206" t="str">
        <f>IF(AND(A3519&lt;&gt;"",ISNUMBER(A3519)),VLOOKUP(A3519,Studies!A:BR,5,FALSE),"")</f>
        <v>Alfentanil</v>
      </c>
      <c r="F3519" s="207" t="str">
        <f>IF(AND(A3519&lt;&gt;"",ISNUMBER(A3519)),VLOOKUP(A3519,Studies!A:BR,6,FALSE),"")</f>
        <v>Plasma</v>
      </c>
      <c r="G3519" s="194">
        <v>6720</v>
      </c>
      <c r="H3519" s="194" t="s">
        <v>1041</v>
      </c>
      <c r="I3519" s="187">
        <v>0.41177839999999999</v>
      </c>
      <c r="J3519" s="187" t="s">
        <v>1090</v>
      </c>
      <c r="K3519" s="187" t="s">
        <v>389</v>
      </c>
      <c r="L3519" s="195">
        <v>0.22039030000000001</v>
      </c>
      <c r="M3519" s="195" t="s">
        <v>1090</v>
      </c>
      <c r="N3519" s="195" t="s">
        <v>117</v>
      </c>
      <c r="O3519" s="199"/>
      <c r="P3519" s="188"/>
      <c r="Q3519" s="174">
        <f>IF(ISNUMBER(VLOOKUP(A3519,NotghiID!A:A,1,FALSE)),1,0)</f>
        <v>1</v>
      </c>
    </row>
    <row r="3520" spans="1:17" ht="14.25" x14ac:dyDescent="0.2">
      <c r="A3520" s="189">
        <v>414</v>
      </c>
      <c r="B3520" s="232" t="str">
        <f>IF(AND(A3520&lt;&gt;"",ISNUMBER(A3520)),VLOOKUP(A3520,Studies!A:BR,2,FALSE),"")</f>
        <v>Schwagmeier 1998</v>
      </c>
      <c r="C3520" s="232" t="str">
        <f>IF(AND(A3520&lt;&gt;"",ISNUMBER(A3520)),VLOOKUP(A3520,Studies!A:BR,3,FALSE),"")</f>
        <v>https://www.ncbi.nlm.nih.gov/pubmed/9764959</v>
      </c>
      <c r="D3520" s="232" t="str">
        <f>IF(AND(A3520&lt;&gt;"",ISNUMBER(A3520)),VLOOKUP(A3520,Studies!A:BR,4,FALSE),"")</f>
        <v>iv administration</v>
      </c>
      <c r="E3520" s="206" t="str">
        <f>IF(AND(A3520&lt;&gt;"",ISNUMBER(A3520)),VLOOKUP(A3520,Studies!A:BR,5,FALSE),"")</f>
        <v>Midazolam</v>
      </c>
      <c r="F3520" s="207" t="str">
        <f>IF(AND(A3520&lt;&gt;"",ISNUMBER(A3520)),VLOOKUP(A3520,Studies!A:BR,6,FALSE),"")</f>
        <v>Plasma</v>
      </c>
      <c r="G3520" s="194">
        <v>3</v>
      </c>
      <c r="H3520" s="194" t="s">
        <v>1041</v>
      </c>
      <c r="I3520" s="187">
        <v>116.8272</v>
      </c>
      <c r="J3520" s="187" t="s">
        <v>1026</v>
      </c>
      <c r="K3520" s="187" t="s">
        <v>389</v>
      </c>
      <c r="L3520" s="195">
        <v>27.169360000000001</v>
      </c>
      <c r="M3520" s="195" t="s">
        <v>1026</v>
      </c>
      <c r="N3520" s="195" t="s">
        <v>117</v>
      </c>
      <c r="O3520" s="199"/>
      <c r="P3520" s="188"/>
      <c r="Q3520" s="174">
        <f>IF(ISNUMBER(VLOOKUP(A3520,NotghiID!A:A,1,FALSE)),1,0)</f>
        <v>1</v>
      </c>
    </row>
    <row r="3521" spans="1:17" ht="14.25" x14ac:dyDescent="0.2">
      <c r="A3521" s="189">
        <v>414</v>
      </c>
      <c r="B3521" s="232" t="str">
        <f>IF(AND(A3521&lt;&gt;"",ISNUMBER(A3521)),VLOOKUP(A3521,Studies!A:BR,2,FALSE),"")</f>
        <v>Schwagmeier 1998</v>
      </c>
      <c r="C3521" s="232" t="str">
        <f>IF(AND(A3521&lt;&gt;"",ISNUMBER(A3521)),VLOOKUP(A3521,Studies!A:BR,3,FALSE),"")</f>
        <v>https://www.ncbi.nlm.nih.gov/pubmed/9764959</v>
      </c>
      <c r="D3521" s="232" t="str">
        <f>IF(AND(A3521&lt;&gt;"",ISNUMBER(A3521)),VLOOKUP(A3521,Studies!A:BR,4,FALSE),"")</f>
        <v>iv administration</v>
      </c>
      <c r="E3521" s="206" t="str">
        <f>IF(AND(A3521&lt;&gt;"",ISNUMBER(A3521)),VLOOKUP(A3521,Studies!A:BR,5,FALSE),"")</f>
        <v>Midazolam</v>
      </c>
      <c r="F3521" s="207" t="str">
        <f>IF(AND(A3521&lt;&gt;"",ISNUMBER(A3521)),VLOOKUP(A3521,Studies!A:BR,6,FALSE),"")</f>
        <v>Plasma</v>
      </c>
      <c r="G3521" s="194">
        <v>6</v>
      </c>
      <c r="H3521" s="194" t="s">
        <v>1041</v>
      </c>
      <c r="I3521" s="187">
        <v>104.1465</v>
      </c>
      <c r="J3521" s="187" t="s">
        <v>1026</v>
      </c>
      <c r="K3521" s="187" t="s">
        <v>389</v>
      </c>
      <c r="L3521" s="195">
        <v>27.471689999999999</v>
      </c>
      <c r="M3521" s="195" t="s">
        <v>1026</v>
      </c>
      <c r="N3521" s="195" t="s">
        <v>117</v>
      </c>
      <c r="O3521" s="199"/>
      <c r="P3521" s="188"/>
      <c r="Q3521" s="174">
        <f>IF(ISNUMBER(VLOOKUP(A3521,NotghiID!A:A,1,FALSE)),1,0)</f>
        <v>1</v>
      </c>
    </row>
    <row r="3522" spans="1:17" ht="14.25" x14ac:dyDescent="0.2">
      <c r="A3522" s="189">
        <v>414</v>
      </c>
      <c r="B3522" s="232" t="str">
        <f>IF(AND(A3522&lt;&gt;"",ISNUMBER(A3522)),VLOOKUP(A3522,Studies!A:BR,2,FALSE),"")</f>
        <v>Schwagmeier 1998</v>
      </c>
      <c r="C3522" s="232" t="str">
        <f>IF(AND(A3522&lt;&gt;"",ISNUMBER(A3522)),VLOOKUP(A3522,Studies!A:BR,3,FALSE),"")</f>
        <v>https://www.ncbi.nlm.nih.gov/pubmed/9764959</v>
      </c>
      <c r="D3522" s="232" t="str">
        <f>IF(AND(A3522&lt;&gt;"",ISNUMBER(A3522)),VLOOKUP(A3522,Studies!A:BR,4,FALSE),"")</f>
        <v>iv administration</v>
      </c>
      <c r="E3522" s="206" t="str">
        <f>IF(AND(A3522&lt;&gt;"",ISNUMBER(A3522)),VLOOKUP(A3522,Studies!A:BR,5,FALSE),"")</f>
        <v>Midazolam</v>
      </c>
      <c r="F3522" s="207" t="str">
        <f>IF(AND(A3522&lt;&gt;"",ISNUMBER(A3522)),VLOOKUP(A3522,Studies!A:BR,6,FALSE),"")</f>
        <v>Plasma</v>
      </c>
      <c r="G3522" s="194">
        <v>9</v>
      </c>
      <c r="H3522" s="194" t="s">
        <v>1041</v>
      </c>
      <c r="I3522" s="187">
        <v>102.0316</v>
      </c>
      <c r="J3522" s="187" t="s">
        <v>1026</v>
      </c>
      <c r="K3522" s="187" t="s">
        <v>389</v>
      </c>
      <c r="L3522" s="195">
        <v>22.339230000000001</v>
      </c>
      <c r="M3522" s="195" t="s">
        <v>1026</v>
      </c>
      <c r="N3522" s="195" t="s">
        <v>117</v>
      </c>
      <c r="O3522" s="199"/>
      <c r="P3522" s="188"/>
      <c r="Q3522" s="174">
        <f>IF(ISNUMBER(VLOOKUP(A3522,NotghiID!A:A,1,FALSE)),1,0)</f>
        <v>1</v>
      </c>
    </row>
    <row r="3523" spans="1:17" ht="14.25" x14ac:dyDescent="0.2">
      <c r="A3523" s="189">
        <v>414</v>
      </c>
      <c r="B3523" s="232" t="str">
        <f>IF(AND(A3523&lt;&gt;"",ISNUMBER(A3523)),VLOOKUP(A3523,Studies!A:BR,2,FALSE),"")</f>
        <v>Schwagmeier 1998</v>
      </c>
      <c r="C3523" s="232" t="str">
        <f>IF(AND(A3523&lt;&gt;"",ISNUMBER(A3523)),VLOOKUP(A3523,Studies!A:BR,3,FALSE),"")</f>
        <v>https://www.ncbi.nlm.nih.gov/pubmed/9764959</v>
      </c>
      <c r="D3523" s="232" t="str">
        <f>IF(AND(A3523&lt;&gt;"",ISNUMBER(A3523)),VLOOKUP(A3523,Studies!A:BR,4,FALSE),"")</f>
        <v>iv administration</v>
      </c>
      <c r="E3523" s="206" t="str">
        <f>IF(AND(A3523&lt;&gt;"",ISNUMBER(A3523)),VLOOKUP(A3523,Studies!A:BR,5,FALSE),"")</f>
        <v>Midazolam</v>
      </c>
      <c r="F3523" s="207" t="str">
        <f>IF(AND(A3523&lt;&gt;"",ISNUMBER(A3523)),VLOOKUP(A3523,Studies!A:BR,6,FALSE),"")</f>
        <v>Plasma</v>
      </c>
      <c r="G3523" s="194">
        <v>12</v>
      </c>
      <c r="H3523" s="194" t="s">
        <v>1041</v>
      </c>
      <c r="I3523" s="187">
        <v>89.651499999999999</v>
      </c>
      <c r="J3523" s="187" t="s">
        <v>1026</v>
      </c>
      <c r="K3523" s="187" t="s">
        <v>389</v>
      </c>
      <c r="L3523" s="195">
        <v>17.509049999999998</v>
      </c>
      <c r="M3523" s="195" t="s">
        <v>1026</v>
      </c>
      <c r="N3523" s="195" t="s">
        <v>117</v>
      </c>
      <c r="O3523" s="199"/>
      <c r="P3523" s="188"/>
      <c r="Q3523" s="174">
        <f>IF(ISNUMBER(VLOOKUP(A3523,NotghiID!A:A,1,FALSE)),1,0)</f>
        <v>1</v>
      </c>
    </row>
    <row r="3524" spans="1:17" ht="14.25" x14ac:dyDescent="0.2">
      <c r="A3524" s="189">
        <v>414</v>
      </c>
      <c r="B3524" s="232" t="str">
        <f>IF(AND(A3524&lt;&gt;"",ISNUMBER(A3524)),VLOOKUP(A3524,Studies!A:BR,2,FALSE),"")</f>
        <v>Schwagmeier 1998</v>
      </c>
      <c r="C3524" s="232" t="str">
        <f>IF(AND(A3524&lt;&gt;"",ISNUMBER(A3524)),VLOOKUP(A3524,Studies!A:BR,3,FALSE),"")</f>
        <v>https://www.ncbi.nlm.nih.gov/pubmed/9764959</v>
      </c>
      <c r="D3524" s="232" t="str">
        <f>IF(AND(A3524&lt;&gt;"",ISNUMBER(A3524)),VLOOKUP(A3524,Studies!A:BR,4,FALSE),"")</f>
        <v>iv administration</v>
      </c>
      <c r="E3524" s="206" t="str">
        <f>IF(AND(A3524&lt;&gt;"",ISNUMBER(A3524)),VLOOKUP(A3524,Studies!A:BR,5,FALSE),"")</f>
        <v>Midazolam</v>
      </c>
      <c r="F3524" s="207" t="str">
        <f>IF(AND(A3524&lt;&gt;"",ISNUMBER(A3524)),VLOOKUP(A3524,Studies!A:BR,6,FALSE),"")</f>
        <v>Plasma</v>
      </c>
      <c r="G3524" s="194">
        <v>15</v>
      </c>
      <c r="H3524" s="194" t="s">
        <v>1041</v>
      </c>
      <c r="I3524" s="187">
        <v>86.932789999999997</v>
      </c>
      <c r="J3524" s="187" t="s">
        <v>1026</v>
      </c>
      <c r="K3524" s="187" t="s">
        <v>389</v>
      </c>
      <c r="L3524" s="195">
        <v>17.811620000000001</v>
      </c>
      <c r="M3524" s="195" t="s">
        <v>1026</v>
      </c>
      <c r="N3524" s="195" t="s">
        <v>117</v>
      </c>
      <c r="O3524" s="199"/>
      <c r="P3524" s="188"/>
      <c r="Q3524" s="174">
        <f>IF(ISNUMBER(VLOOKUP(A3524,NotghiID!A:A,1,FALSE)),1,0)</f>
        <v>1</v>
      </c>
    </row>
    <row r="3525" spans="1:17" ht="14.25" x14ac:dyDescent="0.2">
      <c r="A3525" s="189">
        <v>414</v>
      </c>
      <c r="B3525" s="232" t="str">
        <f>IF(AND(A3525&lt;&gt;"",ISNUMBER(A3525)),VLOOKUP(A3525,Studies!A:BR,2,FALSE),"")</f>
        <v>Schwagmeier 1998</v>
      </c>
      <c r="C3525" s="232" t="str">
        <f>IF(AND(A3525&lt;&gt;"",ISNUMBER(A3525)),VLOOKUP(A3525,Studies!A:BR,3,FALSE),"")</f>
        <v>https://www.ncbi.nlm.nih.gov/pubmed/9764959</v>
      </c>
      <c r="D3525" s="232" t="str">
        <f>IF(AND(A3525&lt;&gt;"",ISNUMBER(A3525)),VLOOKUP(A3525,Studies!A:BR,4,FALSE),"")</f>
        <v>iv administration</v>
      </c>
      <c r="E3525" s="206" t="str">
        <f>IF(AND(A3525&lt;&gt;"",ISNUMBER(A3525)),VLOOKUP(A3525,Studies!A:BR,5,FALSE),"")</f>
        <v>Midazolam</v>
      </c>
      <c r="F3525" s="207" t="str">
        <f>IF(AND(A3525&lt;&gt;"",ISNUMBER(A3525)),VLOOKUP(A3525,Studies!A:BR,6,FALSE),"")</f>
        <v>Plasma</v>
      </c>
      <c r="G3525" s="194">
        <v>20</v>
      </c>
      <c r="H3525" s="194" t="s">
        <v>1041</v>
      </c>
      <c r="I3525" s="187">
        <v>79.985929999999996</v>
      </c>
      <c r="J3525" s="187" t="s">
        <v>1026</v>
      </c>
      <c r="K3525" s="187" t="s">
        <v>389</v>
      </c>
      <c r="L3525" s="195">
        <v>18.112819999999999</v>
      </c>
      <c r="M3525" s="195" t="s">
        <v>1026</v>
      </c>
      <c r="N3525" s="195" t="s">
        <v>117</v>
      </c>
      <c r="O3525" s="199"/>
      <c r="P3525" s="188"/>
      <c r="Q3525" s="174">
        <f>IF(ISNUMBER(VLOOKUP(A3525,NotghiID!A:A,1,FALSE)),1,0)</f>
        <v>1</v>
      </c>
    </row>
    <row r="3526" spans="1:17" ht="14.25" x14ac:dyDescent="0.2">
      <c r="A3526" s="189">
        <v>414</v>
      </c>
      <c r="B3526" s="232" t="str">
        <f>IF(AND(A3526&lt;&gt;"",ISNUMBER(A3526)),VLOOKUP(A3526,Studies!A:BR,2,FALSE),"")</f>
        <v>Schwagmeier 1998</v>
      </c>
      <c r="C3526" s="232" t="str">
        <f>IF(AND(A3526&lt;&gt;"",ISNUMBER(A3526)),VLOOKUP(A3526,Studies!A:BR,3,FALSE),"")</f>
        <v>https://www.ncbi.nlm.nih.gov/pubmed/9764959</v>
      </c>
      <c r="D3526" s="232" t="str">
        <f>IF(AND(A3526&lt;&gt;"",ISNUMBER(A3526)),VLOOKUP(A3526,Studies!A:BR,4,FALSE),"")</f>
        <v>iv administration</v>
      </c>
      <c r="E3526" s="206" t="str">
        <f>IF(AND(A3526&lt;&gt;"",ISNUMBER(A3526)),VLOOKUP(A3526,Studies!A:BR,5,FALSE),"")</f>
        <v>Midazolam</v>
      </c>
      <c r="F3526" s="207" t="str">
        <f>IF(AND(A3526&lt;&gt;"",ISNUMBER(A3526)),VLOOKUP(A3526,Studies!A:BR,6,FALSE),"")</f>
        <v>Plasma</v>
      </c>
      <c r="G3526" s="194">
        <v>30</v>
      </c>
      <c r="H3526" s="194" t="s">
        <v>1041</v>
      </c>
      <c r="I3526" s="187">
        <v>75.149150000000006</v>
      </c>
      <c r="J3526" s="187" t="s">
        <v>1026</v>
      </c>
      <c r="K3526" s="187" t="s">
        <v>389</v>
      </c>
      <c r="L3526" s="195">
        <v>15.09431</v>
      </c>
      <c r="M3526" s="195" t="s">
        <v>1026</v>
      </c>
      <c r="N3526" s="195" t="s">
        <v>117</v>
      </c>
      <c r="O3526" s="199"/>
      <c r="P3526" s="188"/>
      <c r="Q3526" s="174">
        <f>IF(ISNUMBER(VLOOKUP(A3526,NotghiID!A:A,1,FALSE)),1,0)</f>
        <v>1</v>
      </c>
    </row>
    <row r="3527" spans="1:17" ht="14.25" x14ac:dyDescent="0.2">
      <c r="A3527" s="189">
        <v>414</v>
      </c>
      <c r="B3527" s="232" t="str">
        <f>IF(AND(A3527&lt;&gt;"",ISNUMBER(A3527)),VLOOKUP(A3527,Studies!A:BR,2,FALSE),"")</f>
        <v>Schwagmeier 1998</v>
      </c>
      <c r="C3527" s="232" t="str">
        <f>IF(AND(A3527&lt;&gt;"",ISNUMBER(A3527)),VLOOKUP(A3527,Studies!A:BR,3,FALSE),"")</f>
        <v>https://www.ncbi.nlm.nih.gov/pubmed/9764959</v>
      </c>
      <c r="D3527" s="232" t="str">
        <f>IF(AND(A3527&lt;&gt;"",ISNUMBER(A3527)),VLOOKUP(A3527,Studies!A:BR,4,FALSE),"")</f>
        <v>iv administration</v>
      </c>
      <c r="E3527" s="206" t="str">
        <f>IF(AND(A3527&lt;&gt;"",ISNUMBER(A3527)),VLOOKUP(A3527,Studies!A:BR,5,FALSE),"")</f>
        <v>Midazolam</v>
      </c>
      <c r="F3527" s="207" t="str">
        <f>IF(AND(A3527&lt;&gt;"",ISNUMBER(A3527)),VLOOKUP(A3527,Studies!A:BR,6,FALSE),"")</f>
        <v>Plasma</v>
      </c>
      <c r="G3527" s="194">
        <v>45</v>
      </c>
      <c r="H3527" s="194" t="s">
        <v>1041</v>
      </c>
      <c r="I3527" s="187">
        <v>61.857129999999998</v>
      </c>
      <c r="J3527" s="187" t="s">
        <v>1026</v>
      </c>
      <c r="K3527" s="187" t="s">
        <v>389</v>
      </c>
      <c r="L3527" s="195">
        <v>12.67991</v>
      </c>
      <c r="M3527" s="195" t="s">
        <v>1026</v>
      </c>
      <c r="N3527" s="195" t="s">
        <v>117</v>
      </c>
      <c r="O3527" s="199"/>
      <c r="P3527" s="188"/>
      <c r="Q3527" s="174">
        <f>IF(ISNUMBER(VLOOKUP(A3527,NotghiID!A:A,1,FALSE)),1,0)</f>
        <v>1</v>
      </c>
    </row>
    <row r="3528" spans="1:17" ht="14.25" x14ac:dyDescent="0.2">
      <c r="A3528" s="189">
        <v>414</v>
      </c>
      <c r="B3528" s="232" t="str">
        <f>IF(AND(A3528&lt;&gt;"",ISNUMBER(A3528)),VLOOKUP(A3528,Studies!A:BR,2,FALSE),"")</f>
        <v>Schwagmeier 1998</v>
      </c>
      <c r="C3528" s="232" t="str">
        <f>IF(AND(A3528&lt;&gt;"",ISNUMBER(A3528)),VLOOKUP(A3528,Studies!A:BR,3,FALSE),"")</f>
        <v>https://www.ncbi.nlm.nih.gov/pubmed/9764959</v>
      </c>
      <c r="D3528" s="232" t="str">
        <f>IF(AND(A3528&lt;&gt;"",ISNUMBER(A3528)),VLOOKUP(A3528,Studies!A:BR,4,FALSE),"")</f>
        <v>iv administration</v>
      </c>
      <c r="E3528" s="206" t="str">
        <f>IF(AND(A3528&lt;&gt;"",ISNUMBER(A3528)),VLOOKUP(A3528,Studies!A:BR,5,FALSE),"")</f>
        <v>Midazolam</v>
      </c>
      <c r="F3528" s="207" t="str">
        <f>IF(AND(A3528&lt;&gt;"",ISNUMBER(A3528)),VLOOKUP(A3528,Studies!A:BR,6,FALSE),"")</f>
        <v>Plasma</v>
      </c>
      <c r="G3528" s="194">
        <v>60</v>
      </c>
      <c r="H3528" s="194" t="s">
        <v>1041</v>
      </c>
      <c r="I3528" s="187">
        <v>53.998710000000003</v>
      </c>
      <c r="J3528" s="187" t="s">
        <v>1026</v>
      </c>
      <c r="K3528" s="187" t="s">
        <v>389</v>
      </c>
      <c r="L3528" s="195">
        <v>16.905270000000002</v>
      </c>
      <c r="M3528" s="195" t="s">
        <v>1026</v>
      </c>
      <c r="N3528" s="195" t="s">
        <v>117</v>
      </c>
      <c r="O3528" s="199"/>
      <c r="P3528" s="188"/>
      <c r="Q3528" s="174">
        <f>IF(ISNUMBER(VLOOKUP(A3528,NotghiID!A:A,1,FALSE)),1,0)</f>
        <v>1</v>
      </c>
    </row>
    <row r="3529" spans="1:17" ht="14.25" x14ac:dyDescent="0.2">
      <c r="A3529" s="189">
        <v>414</v>
      </c>
      <c r="B3529" s="232" t="str">
        <f>IF(AND(A3529&lt;&gt;"",ISNUMBER(A3529)),VLOOKUP(A3529,Studies!A:BR,2,FALSE),"")</f>
        <v>Schwagmeier 1998</v>
      </c>
      <c r="C3529" s="232" t="str">
        <f>IF(AND(A3529&lt;&gt;"",ISNUMBER(A3529)),VLOOKUP(A3529,Studies!A:BR,3,FALSE),"")</f>
        <v>https://www.ncbi.nlm.nih.gov/pubmed/9764959</v>
      </c>
      <c r="D3529" s="232" t="str">
        <f>IF(AND(A3529&lt;&gt;"",ISNUMBER(A3529)),VLOOKUP(A3529,Studies!A:BR,4,FALSE),"")</f>
        <v>iv administration</v>
      </c>
      <c r="E3529" s="206" t="str">
        <f>IF(AND(A3529&lt;&gt;"",ISNUMBER(A3529)),VLOOKUP(A3529,Studies!A:BR,5,FALSE),"")</f>
        <v>Midazolam</v>
      </c>
      <c r="F3529" s="207" t="str">
        <f>IF(AND(A3529&lt;&gt;"",ISNUMBER(A3529)),VLOOKUP(A3529,Studies!A:BR,6,FALSE),"")</f>
        <v>Plasma</v>
      </c>
      <c r="G3529" s="194">
        <v>90</v>
      </c>
      <c r="H3529" s="194" t="s">
        <v>1041</v>
      </c>
      <c r="I3529" s="187">
        <v>41.602969999999999</v>
      </c>
      <c r="J3529" s="187" t="s">
        <v>1026</v>
      </c>
      <c r="K3529" s="187" t="s">
        <v>389</v>
      </c>
      <c r="L3529" s="195">
        <v>6.0373729999999997</v>
      </c>
      <c r="M3529" s="195" t="s">
        <v>1026</v>
      </c>
      <c r="N3529" s="195" t="s">
        <v>117</v>
      </c>
      <c r="O3529" s="199"/>
      <c r="P3529" s="188"/>
      <c r="Q3529" s="174">
        <f>IF(ISNUMBER(VLOOKUP(A3529,NotghiID!A:A,1,FALSE)),1,0)</f>
        <v>1</v>
      </c>
    </row>
    <row r="3530" spans="1:17" ht="14.25" x14ac:dyDescent="0.2">
      <c r="A3530" s="189">
        <v>414</v>
      </c>
      <c r="B3530" s="232" t="str">
        <f>IF(AND(A3530&lt;&gt;"",ISNUMBER(A3530)),VLOOKUP(A3530,Studies!A:BR,2,FALSE),"")</f>
        <v>Schwagmeier 1998</v>
      </c>
      <c r="C3530" s="232" t="str">
        <f>IF(AND(A3530&lt;&gt;"",ISNUMBER(A3530)),VLOOKUP(A3530,Studies!A:BR,3,FALSE),"")</f>
        <v>https://www.ncbi.nlm.nih.gov/pubmed/9764959</v>
      </c>
      <c r="D3530" s="232" t="str">
        <f>IF(AND(A3530&lt;&gt;"",ISNUMBER(A3530)),VLOOKUP(A3530,Studies!A:BR,4,FALSE),"")</f>
        <v>iv administration</v>
      </c>
      <c r="E3530" s="206" t="str">
        <f>IF(AND(A3530&lt;&gt;"",ISNUMBER(A3530)),VLOOKUP(A3530,Studies!A:BR,5,FALSE),"")</f>
        <v>Midazolam</v>
      </c>
      <c r="F3530" s="207" t="str">
        <f>IF(AND(A3530&lt;&gt;"",ISNUMBER(A3530)),VLOOKUP(A3530,Studies!A:BR,6,FALSE),"")</f>
        <v>Plasma</v>
      </c>
      <c r="G3530" s="194">
        <v>120</v>
      </c>
      <c r="H3530" s="194" t="s">
        <v>1041</v>
      </c>
      <c r="I3530" s="187">
        <v>33.130699999999997</v>
      </c>
      <c r="J3530" s="187" t="s">
        <v>1026</v>
      </c>
      <c r="K3530" s="187" t="s">
        <v>389</v>
      </c>
      <c r="L3530" s="195">
        <v>7.2452699999999997</v>
      </c>
      <c r="M3530" s="195" t="s">
        <v>1026</v>
      </c>
      <c r="N3530" s="195" t="s">
        <v>117</v>
      </c>
      <c r="O3530" s="199"/>
      <c r="P3530" s="188"/>
      <c r="Q3530" s="174">
        <f>IF(ISNUMBER(VLOOKUP(A3530,NotghiID!A:A,1,FALSE)),1,0)</f>
        <v>1</v>
      </c>
    </row>
    <row r="3531" spans="1:17" ht="14.25" x14ac:dyDescent="0.2">
      <c r="A3531" s="189">
        <v>414</v>
      </c>
      <c r="B3531" s="232" t="str">
        <f>IF(AND(A3531&lt;&gt;"",ISNUMBER(A3531)),VLOOKUP(A3531,Studies!A:BR,2,FALSE),"")</f>
        <v>Schwagmeier 1998</v>
      </c>
      <c r="C3531" s="232" t="str">
        <f>IF(AND(A3531&lt;&gt;"",ISNUMBER(A3531)),VLOOKUP(A3531,Studies!A:BR,3,FALSE),"")</f>
        <v>https://www.ncbi.nlm.nih.gov/pubmed/9764959</v>
      </c>
      <c r="D3531" s="232" t="str">
        <f>IF(AND(A3531&lt;&gt;"",ISNUMBER(A3531)),VLOOKUP(A3531,Studies!A:BR,4,FALSE),"")</f>
        <v>iv administration</v>
      </c>
      <c r="E3531" s="206" t="str">
        <f>IF(AND(A3531&lt;&gt;"",ISNUMBER(A3531)),VLOOKUP(A3531,Studies!A:BR,5,FALSE),"")</f>
        <v>Midazolam</v>
      </c>
      <c r="F3531" s="207" t="str">
        <f>IF(AND(A3531&lt;&gt;"",ISNUMBER(A3531)),VLOOKUP(A3531,Studies!A:BR,6,FALSE),"")</f>
        <v>Plasma</v>
      </c>
      <c r="G3531" s="194">
        <v>180</v>
      </c>
      <c r="H3531" s="194" t="s">
        <v>1041</v>
      </c>
      <c r="I3531" s="187">
        <v>24.942599999999999</v>
      </c>
      <c r="J3531" s="187" t="s">
        <v>1026</v>
      </c>
      <c r="K3531" s="187" t="s">
        <v>389</v>
      </c>
      <c r="L3531" s="195">
        <v>6.943384</v>
      </c>
      <c r="M3531" s="195" t="s">
        <v>1026</v>
      </c>
      <c r="N3531" s="195" t="s">
        <v>117</v>
      </c>
      <c r="O3531" s="199"/>
      <c r="P3531" s="188"/>
      <c r="Q3531" s="174">
        <f>IF(ISNUMBER(VLOOKUP(A3531,NotghiID!A:A,1,FALSE)),1,0)</f>
        <v>1</v>
      </c>
    </row>
    <row r="3532" spans="1:17" ht="14.25" x14ac:dyDescent="0.2">
      <c r="A3532" s="189">
        <v>414</v>
      </c>
      <c r="B3532" s="232" t="str">
        <f>IF(AND(A3532&lt;&gt;"",ISNUMBER(A3532)),VLOOKUP(A3532,Studies!A:BR,2,FALSE),"")</f>
        <v>Schwagmeier 1998</v>
      </c>
      <c r="C3532" s="232" t="str">
        <f>IF(AND(A3532&lt;&gt;"",ISNUMBER(A3532)),VLOOKUP(A3532,Studies!A:BR,3,FALSE),"")</f>
        <v>https://www.ncbi.nlm.nih.gov/pubmed/9764959</v>
      </c>
      <c r="D3532" s="232" t="str">
        <f>IF(AND(A3532&lt;&gt;"",ISNUMBER(A3532)),VLOOKUP(A3532,Studies!A:BR,4,FALSE),"")</f>
        <v>iv administration</v>
      </c>
      <c r="E3532" s="206" t="str">
        <f>IF(AND(A3532&lt;&gt;"",ISNUMBER(A3532)),VLOOKUP(A3532,Studies!A:BR,5,FALSE),"")</f>
        <v>Midazolam</v>
      </c>
      <c r="F3532" s="207" t="str">
        <f>IF(AND(A3532&lt;&gt;"",ISNUMBER(A3532)),VLOOKUP(A3532,Studies!A:BR,6,FALSE),"")</f>
        <v>Plasma</v>
      </c>
      <c r="G3532" s="194">
        <v>240</v>
      </c>
      <c r="H3532" s="194" t="s">
        <v>1041</v>
      </c>
      <c r="I3532" s="187">
        <v>13.43272</v>
      </c>
      <c r="J3532" s="187" t="s">
        <v>1026</v>
      </c>
      <c r="K3532" s="187" t="s">
        <v>389</v>
      </c>
      <c r="L3532" s="195">
        <v>4.5286369999999998</v>
      </c>
      <c r="M3532" s="195" t="s">
        <v>1026</v>
      </c>
      <c r="N3532" s="195" t="s">
        <v>117</v>
      </c>
      <c r="O3532" s="199"/>
      <c r="P3532" s="188"/>
      <c r="Q3532" s="174">
        <f>IF(ISNUMBER(VLOOKUP(A3532,NotghiID!A:A,1,FALSE)),1,0)</f>
        <v>1</v>
      </c>
    </row>
    <row r="3533" spans="1:17" ht="14.25" x14ac:dyDescent="0.2">
      <c r="A3533" s="189">
        <v>414</v>
      </c>
      <c r="B3533" s="232" t="str">
        <f>IF(AND(A3533&lt;&gt;"",ISNUMBER(A3533)),VLOOKUP(A3533,Studies!A:BR,2,FALSE),"")</f>
        <v>Schwagmeier 1998</v>
      </c>
      <c r="C3533" s="232" t="str">
        <f>IF(AND(A3533&lt;&gt;"",ISNUMBER(A3533)),VLOOKUP(A3533,Studies!A:BR,3,FALSE),"")</f>
        <v>https://www.ncbi.nlm.nih.gov/pubmed/9764959</v>
      </c>
      <c r="D3533" s="232" t="str">
        <f>IF(AND(A3533&lt;&gt;"",ISNUMBER(A3533)),VLOOKUP(A3533,Studies!A:BR,4,FALSE),"")</f>
        <v>iv administration</v>
      </c>
      <c r="E3533" s="206" t="str">
        <f>IF(AND(A3533&lt;&gt;"",ISNUMBER(A3533)),VLOOKUP(A3533,Studies!A:BR,5,FALSE),"")</f>
        <v>Midazolam</v>
      </c>
      <c r="F3533" s="207" t="str">
        <f>IF(AND(A3533&lt;&gt;"",ISNUMBER(A3533)),VLOOKUP(A3533,Studies!A:BR,6,FALSE),"")</f>
        <v>Plasma</v>
      </c>
      <c r="G3533" s="194">
        <v>480</v>
      </c>
      <c r="H3533" s="194" t="s">
        <v>1041</v>
      </c>
      <c r="I3533" s="187">
        <v>4.2260580000000001</v>
      </c>
      <c r="J3533" s="187" t="s">
        <v>1026</v>
      </c>
      <c r="K3533" s="187" t="s">
        <v>389</v>
      </c>
      <c r="L3533" s="195"/>
      <c r="M3533" s="195"/>
      <c r="N3533" s="195"/>
      <c r="O3533" s="199"/>
      <c r="P3533" s="188"/>
      <c r="Q3533" s="174">
        <f>IF(ISNUMBER(VLOOKUP(A3533,NotghiID!A:A,1,FALSE)),1,0)</f>
        <v>1</v>
      </c>
    </row>
    <row r="3534" spans="1:17" ht="14.25" x14ac:dyDescent="0.2">
      <c r="A3534" s="189">
        <v>403</v>
      </c>
      <c r="B3534" s="232" t="str">
        <f>IF(AND(A3534&lt;&gt;"",ISNUMBER(A3534)),VLOOKUP(A3534,Studies!A:BR,2,FALSE),"")</f>
        <v>Saari 2006</v>
      </c>
      <c r="C3534" s="232" t="str">
        <f>IF(AND(A3534&lt;&gt;"",ISNUMBER(A3534)),VLOOKUP(A3534,Studies!A:BR,3,FALSE),"")</f>
        <v>https://www.ncbi.nlm.nih.gov/pubmed/16580904</v>
      </c>
      <c r="D3534" s="232" t="str">
        <f>IF(AND(A3534&lt;&gt;"",ISNUMBER(A3534)),VLOOKUP(A3534,Studies!A:BR,4,FALSE),"")</f>
        <v>iv Control (Perpetrator Placebo)</v>
      </c>
      <c r="E3534" s="206" t="str">
        <f>IF(AND(A3534&lt;&gt;"",ISNUMBER(A3534)),VLOOKUP(A3534,Studies!A:BR,5,FALSE),"")</f>
        <v>Midazolam</v>
      </c>
      <c r="F3534" s="207" t="str">
        <f>IF(AND(A3534&lt;&gt;"",ISNUMBER(A3534)),VLOOKUP(A3534,Studies!A:BR,6,FALSE),"")</f>
        <v>Plasma</v>
      </c>
      <c r="G3534" s="194">
        <v>0</v>
      </c>
      <c r="H3534" s="194" t="s">
        <v>60</v>
      </c>
      <c r="I3534" s="187" t="s">
        <v>1152</v>
      </c>
      <c r="J3534" s="187" t="s">
        <v>1026</v>
      </c>
      <c r="K3534" s="187" t="s">
        <v>389</v>
      </c>
      <c r="L3534" s="195"/>
      <c r="M3534" s="195"/>
      <c r="N3534" s="195"/>
      <c r="O3534" s="199">
        <v>2</v>
      </c>
      <c r="P3534" s="188"/>
      <c r="Q3534" s="174">
        <f>IF(ISNUMBER(VLOOKUP(A3534,NotghiID!A:A,1,FALSE)),1,0)</f>
        <v>1</v>
      </c>
    </row>
    <row r="3535" spans="1:17" ht="14.25" x14ac:dyDescent="0.2">
      <c r="A3535" s="189">
        <v>403</v>
      </c>
      <c r="B3535" s="232" t="str">
        <f>IF(AND(A3535&lt;&gt;"",ISNUMBER(A3535)),VLOOKUP(A3535,Studies!A:BR,2,FALSE),"")</f>
        <v>Saari 2006</v>
      </c>
      <c r="C3535" s="232" t="str">
        <f>IF(AND(A3535&lt;&gt;"",ISNUMBER(A3535)),VLOOKUP(A3535,Studies!A:BR,3,FALSE),"")</f>
        <v>https://www.ncbi.nlm.nih.gov/pubmed/16580904</v>
      </c>
      <c r="D3535" s="232" t="str">
        <f>IF(AND(A3535&lt;&gt;"",ISNUMBER(A3535)),VLOOKUP(A3535,Studies!A:BR,4,FALSE),"")</f>
        <v>iv Control (Perpetrator Placebo)</v>
      </c>
      <c r="E3535" s="206" t="str">
        <f>IF(AND(A3535&lt;&gt;"",ISNUMBER(A3535)),VLOOKUP(A3535,Studies!A:BR,5,FALSE),"")</f>
        <v>Midazolam</v>
      </c>
      <c r="F3535" s="207" t="str">
        <f>IF(AND(A3535&lt;&gt;"",ISNUMBER(A3535)),VLOOKUP(A3535,Studies!A:BR,6,FALSE),"")</f>
        <v>Plasma</v>
      </c>
      <c r="G3535" s="189">
        <v>0.25</v>
      </c>
      <c r="H3535" s="194" t="s">
        <v>60</v>
      </c>
      <c r="I3535" s="187">
        <v>59.196429999999999</v>
      </c>
      <c r="J3535" s="187" t="s">
        <v>1026</v>
      </c>
      <c r="K3535" s="187" t="s">
        <v>389</v>
      </c>
      <c r="L3535" s="195">
        <v>12.857139999999999</v>
      </c>
      <c r="M3535" s="195" t="s">
        <v>1026</v>
      </c>
      <c r="N3535" s="195" t="s">
        <v>117</v>
      </c>
      <c r="O3535" s="199">
        <v>2</v>
      </c>
      <c r="P3535" s="188"/>
      <c r="Q3535" s="174">
        <f>IF(ISNUMBER(VLOOKUP(A3535,NotghiID!A:A,1,FALSE)),1,0)</f>
        <v>1</v>
      </c>
    </row>
    <row r="3536" spans="1:17" ht="14.25" x14ac:dyDescent="0.2">
      <c r="A3536" s="189">
        <v>403</v>
      </c>
      <c r="B3536" s="232" t="str">
        <f>IF(AND(A3536&lt;&gt;"",ISNUMBER(A3536)),VLOOKUP(A3536,Studies!A:BR,2,FALSE),"")</f>
        <v>Saari 2006</v>
      </c>
      <c r="C3536" s="232" t="str">
        <f>IF(AND(A3536&lt;&gt;"",ISNUMBER(A3536)),VLOOKUP(A3536,Studies!A:BR,3,FALSE),"")</f>
        <v>https://www.ncbi.nlm.nih.gov/pubmed/16580904</v>
      </c>
      <c r="D3536" s="232" t="str">
        <f>IF(AND(A3536&lt;&gt;"",ISNUMBER(A3536)),VLOOKUP(A3536,Studies!A:BR,4,FALSE),"")</f>
        <v>iv Control (Perpetrator Placebo)</v>
      </c>
      <c r="E3536" s="206" t="str">
        <f>IF(AND(A3536&lt;&gt;"",ISNUMBER(A3536)),VLOOKUP(A3536,Studies!A:BR,5,FALSE),"")</f>
        <v>Midazolam</v>
      </c>
      <c r="F3536" s="207" t="str">
        <f>IF(AND(A3536&lt;&gt;"",ISNUMBER(A3536)),VLOOKUP(A3536,Studies!A:BR,6,FALSE),"")</f>
        <v>Plasma</v>
      </c>
      <c r="G3536" s="194">
        <v>0.5</v>
      </c>
      <c r="H3536" s="194" t="s">
        <v>60</v>
      </c>
      <c r="I3536" s="187">
        <v>49.017859999999999</v>
      </c>
      <c r="J3536" s="187" t="s">
        <v>1026</v>
      </c>
      <c r="K3536" s="187" t="s">
        <v>389</v>
      </c>
      <c r="L3536" s="195">
        <v>8.3035739999999993</v>
      </c>
      <c r="M3536" s="195" t="s">
        <v>1026</v>
      </c>
      <c r="N3536" s="195" t="s">
        <v>117</v>
      </c>
      <c r="O3536" s="199">
        <v>2</v>
      </c>
      <c r="P3536" s="188"/>
      <c r="Q3536" s="174">
        <f>IF(ISNUMBER(VLOOKUP(A3536,NotghiID!A:A,1,FALSE)),1,0)</f>
        <v>1</v>
      </c>
    </row>
    <row r="3537" spans="1:17" ht="14.25" x14ac:dyDescent="0.2">
      <c r="A3537" s="189">
        <v>403</v>
      </c>
      <c r="B3537" s="232" t="str">
        <f>IF(AND(A3537&lt;&gt;"",ISNUMBER(A3537)),VLOOKUP(A3537,Studies!A:BR,2,FALSE),"")</f>
        <v>Saari 2006</v>
      </c>
      <c r="C3537" s="232" t="str">
        <f>IF(AND(A3537&lt;&gt;"",ISNUMBER(A3537)),VLOOKUP(A3537,Studies!A:BR,3,FALSE),"")</f>
        <v>https://www.ncbi.nlm.nih.gov/pubmed/16580904</v>
      </c>
      <c r="D3537" s="232" t="str">
        <f>IF(AND(A3537&lt;&gt;"",ISNUMBER(A3537)),VLOOKUP(A3537,Studies!A:BR,4,FALSE),"")</f>
        <v>iv Control (Perpetrator Placebo)</v>
      </c>
      <c r="E3537" s="206" t="str">
        <f>IF(AND(A3537&lt;&gt;"",ISNUMBER(A3537)),VLOOKUP(A3537,Studies!A:BR,5,FALSE),"")</f>
        <v>Midazolam</v>
      </c>
      <c r="F3537" s="207" t="str">
        <f>IF(AND(A3537&lt;&gt;"",ISNUMBER(A3537)),VLOOKUP(A3537,Studies!A:BR,6,FALSE),"")</f>
        <v>Plasma</v>
      </c>
      <c r="G3537" s="194">
        <v>1</v>
      </c>
      <c r="H3537" s="194" t="s">
        <v>60</v>
      </c>
      <c r="I3537" s="187">
        <v>36.428570000000001</v>
      </c>
      <c r="J3537" s="187" t="s">
        <v>1026</v>
      </c>
      <c r="K3537" s="187" t="s">
        <v>389</v>
      </c>
      <c r="L3537" s="195">
        <v>5.892855</v>
      </c>
      <c r="M3537" s="195" t="s">
        <v>1026</v>
      </c>
      <c r="N3537" s="195" t="s">
        <v>117</v>
      </c>
      <c r="O3537" s="199">
        <v>2</v>
      </c>
      <c r="P3537" s="188"/>
      <c r="Q3537" s="174">
        <f>IF(ISNUMBER(VLOOKUP(A3537,NotghiID!A:A,1,FALSE)),1,0)</f>
        <v>1</v>
      </c>
    </row>
    <row r="3538" spans="1:17" ht="14.25" x14ac:dyDescent="0.2">
      <c r="A3538" s="189">
        <v>403</v>
      </c>
      <c r="B3538" s="232" t="str">
        <f>IF(AND(A3538&lt;&gt;"",ISNUMBER(A3538)),VLOOKUP(A3538,Studies!A:BR,2,FALSE),"")</f>
        <v>Saari 2006</v>
      </c>
      <c r="C3538" s="232" t="str">
        <f>IF(AND(A3538&lt;&gt;"",ISNUMBER(A3538)),VLOOKUP(A3538,Studies!A:BR,3,FALSE),"")</f>
        <v>https://www.ncbi.nlm.nih.gov/pubmed/16580904</v>
      </c>
      <c r="D3538" s="232" t="str">
        <f>IF(AND(A3538&lt;&gt;"",ISNUMBER(A3538)),VLOOKUP(A3538,Studies!A:BR,4,FALSE),"")</f>
        <v>iv Control (Perpetrator Placebo)</v>
      </c>
      <c r="E3538" s="206" t="str">
        <f>IF(AND(A3538&lt;&gt;"",ISNUMBER(A3538)),VLOOKUP(A3538,Studies!A:BR,5,FALSE),"")</f>
        <v>Midazolam</v>
      </c>
      <c r="F3538" s="207" t="str">
        <f>IF(AND(A3538&lt;&gt;"",ISNUMBER(A3538)),VLOOKUP(A3538,Studies!A:BR,6,FALSE),"")</f>
        <v>Plasma</v>
      </c>
      <c r="G3538" s="194">
        <v>1.5</v>
      </c>
      <c r="H3538" s="194" t="s">
        <v>60</v>
      </c>
      <c r="I3538" s="187">
        <v>27.589279999999999</v>
      </c>
      <c r="J3538" s="187" t="s">
        <v>1026</v>
      </c>
      <c r="K3538" s="187" t="s">
        <v>389</v>
      </c>
      <c r="L3538" s="195">
        <v>4.0178510000000003</v>
      </c>
      <c r="M3538" s="195" t="s">
        <v>1026</v>
      </c>
      <c r="N3538" s="195" t="s">
        <v>117</v>
      </c>
      <c r="O3538" s="199">
        <v>2</v>
      </c>
      <c r="P3538" s="188"/>
      <c r="Q3538" s="174">
        <f>IF(ISNUMBER(VLOOKUP(A3538,NotghiID!A:A,1,FALSE)),1,0)</f>
        <v>1</v>
      </c>
    </row>
    <row r="3539" spans="1:17" ht="14.25" x14ac:dyDescent="0.2">
      <c r="A3539" s="189">
        <v>403</v>
      </c>
      <c r="B3539" s="232" t="str">
        <f>IF(AND(A3539&lt;&gt;"",ISNUMBER(A3539)),VLOOKUP(A3539,Studies!A:BR,2,FALSE),"")</f>
        <v>Saari 2006</v>
      </c>
      <c r="C3539" s="232" t="str">
        <f>IF(AND(A3539&lt;&gt;"",ISNUMBER(A3539)),VLOOKUP(A3539,Studies!A:BR,3,FALSE),"")</f>
        <v>https://www.ncbi.nlm.nih.gov/pubmed/16580904</v>
      </c>
      <c r="D3539" s="232" t="str">
        <f>IF(AND(A3539&lt;&gt;"",ISNUMBER(A3539)),VLOOKUP(A3539,Studies!A:BR,4,FALSE),"")</f>
        <v>iv Control (Perpetrator Placebo)</v>
      </c>
      <c r="E3539" s="206" t="str">
        <f>IF(AND(A3539&lt;&gt;"",ISNUMBER(A3539)),VLOOKUP(A3539,Studies!A:BR,5,FALSE),"")</f>
        <v>Midazolam</v>
      </c>
      <c r="F3539" s="207" t="str">
        <f>IF(AND(A3539&lt;&gt;"",ISNUMBER(A3539)),VLOOKUP(A3539,Studies!A:BR,6,FALSE),"")</f>
        <v>Plasma</v>
      </c>
      <c r="G3539" s="194">
        <v>2</v>
      </c>
      <c r="H3539" s="194" t="s">
        <v>60</v>
      </c>
      <c r="I3539" s="187">
        <v>21.428570000000001</v>
      </c>
      <c r="J3539" s="187" t="s">
        <v>1026</v>
      </c>
      <c r="K3539" s="187" t="s">
        <v>389</v>
      </c>
      <c r="L3539" s="195">
        <v>4.2857130000000003</v>
      </c>
      <c r="M3539" s="195" t="s">
        <v>1026</v>
      </c>
      <c r="N3539" s="195" t="s">
        <v>117</v>
      </c>
      <c r="O3539" s="199">
        <v>2</v>
      </c>
      <c r="P3539" s="188"/>
      <c r="Q3539" s="174">
        <f>IF(ISNUMBER(VLOOKUP(A3539,NotghiID!A:A,1,FALSE)),1,0)</f>
        <v>1</v>
      </c>
    </row>
    <row r="3540" spans="1:17" ht="14.25" x14ac:dyDescent="0.2">
      <c r="A3540" s="189">
        <v>403</v>
      </c>
      <c r="B3540" s="232" t="str">
        <f>IF(AND(A3540&lt;&gt;"",ISNUMBER(A3540)),VLOOKUP(A3540,Studies!A:BR,2,FALSE),"")</f>
        <v>Saari 2006</v>
      </c>
      <c r="C3540" s="232" t="str">
        <f>IF(AND(A3540&lt;&gt;"",ISNUMBER(A3540)),VLOOKUP(A3540,Studies!A:BR,3,FALSE),"")</f>
        <v>https://www.ncbi.nlm.nih.gov/pubmed/16580904</v>
      </c>
      <c r="D3540" s="232" t="str">
        <f>IF(AND(A3540&lt;&gt;"",ISNUMBER(A3540)),VLOOKUP(A3540,Studies!A:BR,4,FALSE),"")</f>
        <v>iv Control (Perpetrator Placebo)</v>
      </c>
      <c r="E3540" s="206" t="str">
        <f>IF(AND(A3540&lt;&gt;"",ISNUMBER(A3540)),VLOOKUP(A3540,Studies!A:BR,5,FALSE),"")</f>
        <v>Midazolam</v>
      </c>
      <c r="F3540" s="207" t="str">
        <f>IF(AND(A3540&lt;&gt;"",ISNUMBER(A3540)),VLOOKUP(A3540,Studies!A:BR,6,FALSE),"")</f>
        <v>Plasma</v>
      </c>
      <c r="G3540" s="194">
        <v>3</v>
      </c>
      <c r="H3540" s="194" t="s">
        <v>60</v>
      </c>
      <c r="I3540" s="187">
        <v>15.53571</v>
      </c>
      <c r="J3540" s="187" t="s">
        <v>1026</v>
      </c>
      <c r="K3540" s="187" t="s">
        <v>389</v>
      </c>
      <c r="L3540" s="195"/>
      <c r="M3540" s="195"/>
      <c r="N3540" s="195"/>
      <c r="O3540" s="199">
        <v>2</v>
      </c>
      <c r="P3540" s="188"/>
      <c r="Q3540" s="174">
        <f>IF(ISNUMBER(VLOOKUP(A3540,NotghiID!A:A,1,FALSE)),1,0)</f>
        <v>1</v>
      </c>
    </row>
    <row r="3541" spans="1:17" ht="14.25" x14ac:dyDescent="0.2">
      <c r="A3541" s="189">
        <v>403</v>
      </c>
      <c r="B3541" s="232" t="str">
        <f>IF(AND(A3541&lt;&gt;"",ISNUMBER(A3541)),VLOOKUP(A3541,Studies!A:BR,2,FALSE),"")</f>
        <v>Saari 2006</v>
      </c>
      <c r="C3541" s="232" t="str">
        <f>IF(AND(A3541&lt;&gt;"",ISNUMBER(A3541)),VLOOKUP(A3541,Studies!A:BR,3,FALSE),"")</f>
        <v>https://www.ncbi.nlm.nih.gov/pubmed/16580904</v>
      </c>
      <c r="D3541" s="232" t="str">
        <f>IF(AND(A3541&lt;&gt;"",ISNUMBER(A3541)),VLOOKUP(A3541,Studies!A:BR,4,FALSE),"")</f>
        <v>iv Control (Perpetrator Placebo)</v>
      </c>
      <c r="E3541" s="206" t="str">
        <f>IF(AND(A3541&lt;&gt;"",ISNUMBER(A3541)),VLOOKUP(A3541,Studies!A:BR,5,FALSE),"")</f>
        <v>Midazolam</v>
      </c>
      <c r="F3541" s="207" t="str">
        <f>IF(AND(A3541&lt;&gt;"",ISNUMBER(A3541)),VLOOKUP(A3541,Studies!A:BR,6,FALSE),"")</f>
        <v>Plasma</v>
      </c>
      <c r="G3541" s="194">
        <v>4</v>
      </c>
      <c r="H3541" s="194" t="s">
        <v>60</v>
      </c>
      <c r="I3541" s="187">
        <v>11.25</v>
      </c>
      <c r="J3541" s="187" t="s">
        <v>1026</v>
      </c>
      <c r="K3541" s="187" t="s">
        <v>389</v>
      </c>
      <c r="L3541" s="195"/>
      <c r="M3541" s="195"/>
      <c r="N3541" s="195"/>
      <c r="O3541" s="199">
        <v>2</v>
      </c>
      <c r="P3541" s="188"/>
      <c r="Q3541" s="174">
        <f>IF(ISNUMBER(VLOOKUP(A3541,NotghiID!A:A,1,FALSE)),1,0)</f>
        <v>1</v>
      </c>
    </row>
    <row r="3542" spans="1:17" ht="14.25" x14ac:dyDescent="0.2">
      <c r="A3542" s="189">
        <v>403</v>
      </c>
      <c r="B3542" s="232" t="str">
        <f>IF(AND(A3542&lt;&gt;"",ISNUMBER(A3542)),VLOOKUP(A3542,Studies!A:BR,2,FALSE),"")</f>
        <v>Saari 2006</v>
      </c>
      <c r="C3542" s="232" t="str">
        <f>IF(AND(A3542&lt;&gt;"",ISNUMBER(A3542)),VLOOKUP(A3542,Studies!A:BR,3,FALSE),"")</f>
        <v>https://www.ncbi.nlm.nih.gov/pubmed/16580904</v>
      </c>
      <c r="D3542" s="232" t="str">
        <f>IF(AND(A3542&lt;&gt;"",ISNUMBER(A3542)),VLOOKUP(A3542,Studies!A:BR,4,FALSE),"")</f>
        <v>iv Control (Perpetrator Placebo)</v>
      </c>
      <c r="E3542" s="206" t="str">
        <f>IF(AND(A3542&lt;&gt;"",ISNUMBER(A3542)),VLOOKUP(A3542,Studies!A:BR,5,FALSE),"")</f>
        <v>Midazolam</v>
      </c>
      <c r="F3542" s="207" t="str">
        <f>IF(AND(A3542&lt;&gt;"",ISNUMBER(A3542)),VLOOKUP(A3542,Studies!A:BR,6,FALSE),"")</f>
        <v>Plasma</v>
      </c>
      <c r="G3542" s="194">
        <v>6</v>
      </c>
      <c r="H3542" s="194" t="s">
        <v>60</v>
      </c>
      <c r="I3542" s="187">
        <v>6.6964290000000002</v>
      </c>
      <c r="J3542" s="187" t="s">
        <v>1026</v>
      </c>
      <c r="K3542" s="187" t="s">
        <v>389</v>
      </c>
      <c r="L3542" s="195"/>
      <c r="M3542" s="195"/>
      <c r="N3542" s="195"/>
      <c r="O3542" s="199">
        <v>2</v>
      </c>
      <c r="P3542" s="188"/>
      <c r="Q3542" s="174">
        <f>IF(ISNUMBER(VLOOKUP(A3542,NotghiID!A:A,1,FALSE)),1,0)</f>
        <v>1</v>
      </c>
    </row>
    <row r="3543" spans="1:17" ht="14.25" x14ac:dyDescent="0.2">
      <c r="A3543" s="189">
        <v>403</v>
      </c>
      <c r="B3543" s="232" t="str">
        <f>IF(AND(A3543&lt;&gt;"",ISNUMBER(A3543)),VLOOKUP(A3543,Studies!A:BR,2,FALSE),"")</f>
        <v>Saari 2006</v>
      </c>
      <c r="C3543" s="232" t="str">
        <f>IF(AND(A3543&lt;&gt;"",ISNUMBER(A3543)),VLOOKUP(A3543,Studies!A:BR,3,FALSE),"")</f>
        <v>https://www.ncbi.nlm.nih.gov/pubmed/16580904</v>
      </c>
      <c r="D3543" s="232" t="str">
        <f>IF(AND(A3543&lt;&gt;"",ISNUMBER(A3543)),VLOOKUP(A3543,Studies!A:BR,4,FALSE),"")</f>
        <v>iv Control (Perpetrator Placebo)</v>
      </c>
      <c r="E3543" s="206" t="str">
        <f>IF(AND(A3543&lt;&gt;"",ISNUMBER(A3543)),VLOOKUP(A3543,Studies!A:BR,5,FALSE),"")</f>
        <v>Midazolam</v>
      </c>
      <c r="F3543" s="207" t="str">
        <f>IF(AND(A3543&lt;&gt;"",ISNUMBER(A3543)),VLOOKUP(A3543,Studies!A:BR,6,FALSE),"")</f>
        <v>Plasma</v>
      </c>
      <c r="G3543" s="194">
        <v>8</v>
      </c>
      <c r="H3543" s="194" t="s">
        <v>60</v>
      </c>
      <c r="I3543" s="187">
        <v>3.4821430000000002</v>
      </c>
      <c r="J3543" s="187" t="s">
        <v>1026</v>
      </c>
      <c r="K3543" s="187" t="s">
        <v>389</v>
      </c>
      <c r="L3543" s="195"/>
      <c r="M3543" s="195"/>
      <c r="N3543" s="195"/>
      <c r="O3543" s="199">
        <v>2</v>
      </c>
      <c r="P3543" s="188"/>
      <c r="Q3543" s="174">
        <f>IF(ISNUMBER(VLOOKUP(A3543,NotghiID!A:A,1,FALSE)),1,0)</f>
        <v>1</v>
      </c>
    </row>
    <row r="3544" spans="1:17" ht="14.25" x14ac:dyDescent="0.2">
      <c r="A3544" s="189">
        <v>403</v>
      </c>
      <c r="B3544" s="232" t="str">
        <f>IF(AND(A3544&lt;&gt;"",ISNUMBER(A3544)),VLOOKUP(A3544,Studies!A:BR,2,FALSE),"")</f>
        <v>Saari 2006</v>
      </c>
      <c r="C3544" s="232" t="str">
        <f>IF(AND(A3544&lt;&gt;"",ISNUMBER(A3544)),VLOOKUP(A3544,Studies!A:BR,3,FALSE),"")</f>
        <v>https://www.ncbi.nlm.nih.gov/pubmed/16580904</v>
      </c>
      <c r="D3544" s="232" t="str">
        <f>IF(AND(A3544&lt;&gt;"",ISNUMBER(A3544)),VLOOKUP(A3544,Studies!A:BR,4,FALSE),"")</f>
        <v>iv Control (Perpetrator Placebo)</v>
      </c>
      <c r="E3544" s="206" t="str">
        <f>IF(AND(A3544&lt;&gt;"",ISNUMBER(A3544)),VLOOKUP(A3544,Studies!A:BR,5,FALSE),"")</f>
        <v>Midazolam</v>
      </c>
      <c r="F3544" s="207" t="str">
        <f>IF(AND(A3544&lt;&gt;"",ISNUMBER(A3544)),VLOOKUP(A3544,Studies!A:BR,6,FALSE),"")</f>
        <v>Plasma</v>
      </c>
      <c r="G3544" s="194">
        <v>12</v>
      </c>
      <c r="H3544" s="194" t="s">
        <v>60</v>
      </c>
      <c r="I3544" s="187">
        <v>1.339286</v>
      </c>
      <c r="J3544" s="187" t="s">
        <v>1026</v>
      </c>
      <c r="K3544" s="187" t="s">
        <v>389</v>
      </c>
      <c r="L3544" s="195"/>
      <c r="M3544" s="195"/>
      <c r="N3544" s="195"/>
      <c r="O3544" s="199">
        <v>2</v>
      </c>
      <c r="P3544" s="188"/>
      <c r="Q3544" s="174">
        <f>IF(ISNUMBER(VLOOKUP(A3544,NotghiID!A:A,1,FALSE)),1,0)</f>
        <v>1</v>
      </c>
    </row>
    <row r="3545" spans="1:17" ht="14.25" x14ac:dyDescent="0.2">
      <c r="A3545" s="189">
        <v>404</v>
      </c>
      <c r="B3545" s="232" t="str">
        <f>IF(AND(A3545&lt;&gt;"",ISNUMBER(A3545)),VLOOKUP(A3545,Studies!A:BR,2,FALSE),"")</f>
        <v>Saari 2006</v>
      </c>
      <c r="C3545" s="232" t="str">
        <f>IF(AND(A3545&lt;&gt;"",ISNUMBER(A3545)),VLOOKUP(A3545,Studies!A:BR,3,FALSE),"")</f>
        <v>https://www.ncbi.nlm.nih.gov/pubmed/16580904</v>
      </c>
      <c r="D3545" s="232" t="str">
        <f>IF(AND(A3545&lt;&gt;"",ISNUMBER(A3545)),VLOOKUP(A3545,Studies!A:BR,4,FALSE),"")</f>
        <v>iv with Perpetrator (Voriconazole)</v>
      </c>
      <c r="E3545" s="206" t="str">
        <f>IF(AND(A3545&lt;&gt;"",ISNUMBER(A3545)),VLOOKUP(A3545,Studies!A:BR,5,FALSE),"")</f>
        <v>Midazolam</v>
      </c>
      <c r="F3545" s="207" t="str">
        <f>IF(AND(A3545&lt;&gt;"",ISNUMBER(A3545)),VLOOKUP(A3545,Studies!A:BR,6,FALSE),"")</f>
        <v>Plasma</v>
      </c>
      <c r="G3545" s="194">
        <v>37</v>
      </c>
      <c r="H3545" s="194" t="s">
        <v>60</v>
      </c>
      <c r="I3545" s="187" t="s">
        <v>1152</v>
      </c>
      <c r="J3545" s="187" t="s">
        <v>1026</v>
      </c>
      <c r="K3545" s="187" t="s">
        <v>389</v>
      </c>
      <c r="L3545" s="195"/>
      <c r="M3545" s="195"/>
      <c r="N3545" s="195"/>
      <c r="O3545" s="199">
        <v>2</v>
      </c>
      <c r="P3545" s="188"/>
      <c r="Q3545" s="174">
        <f>IF(ISNUMBER(VLOOKUP(A3545,NotghiID!A:A,1,FALSE)),1,0)</f>
        <v>1</v>
      </c>
    </row>
    <row r="3546" spans="1:17" ht="14.25" x14ac:dyDescent="0.2">
      <c r="A3546" s="189">
        <v>404</v>
      </c>
      <c r="B3546" s="232" t="str">
        <f>IF(AND(A3546&lt;&gt;"",ISNUMBER(A3546)),VLOOKUP(A3546,Studies!A:BR,2,FALSE),"")</f>
        <v>Saari 2006</v>
      </c>
      <c r="C3546" s="232" t="str">
        <f>IF(AND(A3546&lt;&gt;"",ISNUMBER(A3546)),VLOOKUP(A3546,Studies!A:BR,3,FALSE),"")</f>
        <v>https://www.ncbi.nlm.nih.gov/pubmed/16580904</v>
      </c>
      <c r="D3546" s="232" t="str">
        <f>IF(AND(A3546&lt;&gt;"",ISNUMBER(A3546)),VLOOKUP(A3546,Studies!A:BR,4,FALSE),"")</f>
        <v>iv with Perpetrator (Voriconazole)</v>
      </c>
      <c r="E3546" s="206" t="str">
        <f>IF(AND(A3546&lt;&gt;"",ISNUMBER(A3546)),VLOOKUP(A3546,Studies!A:BR,5,FALSE),"")</f>
        <v>Midazolam</v>
      </c>
      <c r="F3546" s="207" t="str">
        <f>IF(AND(A3546&lt;&gt;"",ISNUMBER(A3546)),VLOOKUP(A3546,Studies!A:BR,6,FALSE),"")</f>
        <v>Plasma</v>
      </c>
      <c r="G3546" s="189">
        <v>37.25</v>
      </c>
      <c r="H3546" s="194" t="s">
        <v>60</v>
      </c>
      <c r="I3546" s="187">
        <v>82.767859999999999</v>
      </c>
      <c r="J3546" s="187" t="s">
        <v>1026</v>
      </c>
      <c r="K3546" s="187" t="s">
        <v>389</v>
      </c>
      <c r="L3546" s="195">
        <v>17.410710000000002</v>
      </c>
      <c r="M3546" s="195" t="s">
        <v>1026</v>
      </c>
      <c r="N3546" s="195" t="s">
        <v>117</v>
      </c>
      <c r="O3546" s="199">
        <v>2</v>
      </c>
      <c r="P3546" s="188"/>
      <c r="Q3546" s="174">
        <f>IF(ISNUMBER(VLOOKUP(A3546,NotghiID!A:A,1,FALSE)),1,0)</f>
        <v>1</v>
      </c>
    </row>
    <row r="3547" spans="1:17" ht="14.25" x14ac:dyDescent="0.2">
      <c r="A3547" s="189">
        <v>404</v>
      </c>
      <c r="B3547" s="232" t="str">
        <f>IF(AND(A3547&lt;&gt;"",ISNUMBER(A3547)),VLOOKUP(A3547,Studies!A:BR,2,FALSE),"")</f>
        <v>Saari 2006</v>
      </c>
      <c r="C3547" s="232" t="str">
        <f>IF(AND(A3547&lt;&gt;"",ISNUMBER(A3547)),VLOOKUP(A3547,Studies!A:BR,3,FALSE),"")</f>
        <v>https://www.ncbi.nlm.nih.gov/pubmed/16580904</v>
      </c>
      <c r="D3547" s="232" t="str">
        <f>IF(AND(A3547&lt;&gt;"",ISNUMBER(A3547)),VLOOKUP(A3547,Studies!A:BR,4,FALSE),"")</f>
        <v>iv with Perpetrator (Voriconazole)</v>
      </c>
      <c r="E3547" s="206" t="str">
        <f>IF(AND(A3547&lt;&gt;"",ISNUMBER(A3547)),VLOOKUP(A3547,Studies!A:BR,5,FALSE),"")</f>
        <v>Midazolam</v>
      </c>
      <c r="F3547" s="207" t="str">
        <f>IF(AND(A3547&lt;&gt;"",ISNUMBER(A3547)),VLOOKUP(A3547,Studies!A:BR,6,FALSE),"")</f>
        <v>Plasma</v>
      </c>
      <c r="G3547" s="194">
        <v>37.5</v>
      </c>
      <c r="H3547" s="194" t="s">
        <v>60</v>
      </c>
      <c r="I3547" s="187">
        <v>70.714290000000005</v>
      </c>
      <c r="J3547" s="187" t="s">
        <v>1026</v>
      </c>
      <c r="K3547" s="187" t="s">
        <v>389</v>
      </c>
      <c r="L3547" s="195">
        <v>6.4285740000000002</v>
      </c>
      <c r="M3547" s="195" t="s">
        <v>1026</v>
      </c>
      <c r="N3547" s="195" t="s">
        <v>117</v>
      </c>
      <c r="O3547" s="199">
        <v>2</v>
      </c>
      <c r="P3547" s="188"/>
      <c r="Q3547" s="174">
        <f>IF(ISNUMBER(VLOOKUP(A3547,NotghiID!A:A,1,FALSE)),1,0)</f>
        <v>1</v>
      </c>
    </row>
    <row r="3548" spans="1:17" ht="14.25" x14ac:dyDescent="0.2">
      <c r="A3548" s="189">
        <v>404</v>
      </c>
      <c r="B3548" s="232" t="str">
        <f>IF(AND(A3548&lt;&gt;"",ISNUMBER(A3548)),VLOOKUP(A3548,Studies!A:BR,2,FALSE),"")</f>
        <v>Saari 2006</v>
      </c>
      <c r="C3548" s="232" t="str">
        <f>IF(AND(A3548&lt;&gt;"",ISNUMBER(A3548)),VLOOKUP(A3548,Studies!A:BR,3,FALSE),"")</f>
        <v>https://www.ncbi.nlm.nih.gov/pubmed/16580904</v>
      </c>
      <c r="D3548" s="232" t="str">
        <f>IF(AND(A3548&lt;&gt;"",ISNUMBER(A3548)),VLOOKUP(A3548,Studies!A:BR,4,FALSE),"")</f>
        <v>iv with Perpetrator (Voriconazole)</v>
      </c>
      <c r="E3548" s="206" t="str">
        <f>IF(AND(A3548&lt;&gt;"",ISNUMBER(A3548)),VLOOKUP(A3548,Studies!A:BR,5,FALSE),"")</f>
        <v>Midazolam</v>
      </c>
      <c r="F3548" s="207" t="str">
        <f>IF(AND(A3548&lt;&gt;"",ISNUMBER(A3548)),VLOOKUP(A3548,Studies!A:BR,6,FALSE),"")</f>
        <v>Plasma</v>
      </c>
      <c r="G3548" s="194">
        <v>38</v>
      </c>
      <c r="H3548" s="194" t="s">
        <v>60</v>
      </c>
      <c r="I3548" s="187">
        <v>57.857140000000001</v>
      </c>
      <c r="J3548" s="187" t="s">
        <v>1026</v>
      </c>
      <c r="K3548" s="187" t="s">
        <v>389</v>
      </c>
      <c r="L3548" s="195">
        <v>3.2142909999999998</v>
      </c>
      <c r="M3548" s="195" t="s">
        <v>1026</v>
      </c>
      <c r="N3548" s="195" t="s">
        <v>117</v>
      </c>
      <c r="O3548" s="199">
        <v>2</v>
      </c>
      <c r="P3548" s="188"/>
      <c r="Q3548" s="174">
        <f>IF(ISNUMBER(VLOOKUP(A3548,NotghiID!A:A,1,FALSE)),1,0)</f>
        <v>1</v>
      </c>
    </row>
    <row r="3549" spans="1:17" ht="14.25" x14ac:dyDescent="0.2">
      <c r="A3549" s="189">
        <v>404</v>
      </c>
      <c r="B3549" s="232" t="str">
        <f>IF(AND(A3549&lt;&gt;"",ISNUMBER(A3549)),VLOOKUP(A3549,Studies!A:BR,2,FALSE),"")</f>
        <v>Saari 2006</v>
      </c>
      <c r="C3549" s="232" t="str">
        <f>IF(AND(A3549&lt;&gt;"",ISNUMBER(A3549)),VLOOKUP(A3549,Studies!A:BR,3,FALSE),"")</f>
        <v>https://www.ncbi.nlm.nih.gov/pubmed/16580904</v>
      </c>
      <c r="D3549" s="232" t="str">
        <f>IF(AND(A3549&lt;&gt;"",ISNUMBER(A3549)),VLOOKUP(A3549,Studies!A:BR,4,FALSE),"")</f>
        <v>iv with Perpetrator (Voriconazole)</v>
      </c>
      <c r="E3549" s="206" t="str">
        <f>IF(AND(A3549&lt;&gt;"",ISNUMBER(A3549)),VLOOKUP(A3549,Studies!A:BR,5,FALSE),"")</f>
        <v>Midazolam</v>
      </c>
      <c r="F3549" s="207" t="str">
        <f>IF(AND(A3549&lt;&gt;"",ISNUMBER(A3549)),VLOOKUP(A3549,Studies!A:BR,6,FALSE),"")</f>
        <v>Plasma</v>
      </c>
      <c r="G3549" s="194">
        <v>38.5</v>
      </c>
      <c r="H3549" s="194" t="s">
        <v>60</v>
      </c>
      <c r="I3549" s="187">
        <v>50.892859999999999</v>
      </c>
      <c r="J3549" s="187" t="s">
        <v>1026</v>
      </c>
      <c r="K3549" s="187" t="s">
        <v>389</v>
      </c>
      <c r="L3549" s="195">
        <v>4.0178529999999997</v>
      </c>
      <c r="M3549" s="195" t="s">
        <v>1026</v>
      </c>
      <c r="N3549" s="195" t="s">
        <v>117</v>
      </c>
      <c r="O3549" s="199">
        <v>2</v>
      </c>
      <c r="P3549" s="188"/>
      <c r="Q3549" s="174">
        <f>IF(ISNUMBER(VLOOKUP(A3549,NotghiID!A:A,1,FALSE)),1,0)</f>
        <v>1</v>
      </c>
    </row>
    <row r="3550" spans="1:17" ht="14.25" x14ac:dyDescent="0.2">
      <c r="A3550" s="189">
        <v>404</v>
      </c>
      <c r="B3550" s="232" t="str">
        <f>IF(AND(A3550&lt;&gt;"",ISNUMBER(A3550)),VLOOKUP(A3550,Studies!A:BR,2,FALSE),"")</f>
        <v>Saari 2006</v>
      </c>
      <c r="C3550" s="232" t="str">
        <f>IF(AND(A3550&lt;&gt;"",ISNUMBER(A3550)),VLOOKUP(A3550,Studies!A:BR,3,FALSE),"")</f>
        <v>https://www.ncbi.nlm.nih.gov/pubmed/16580904</v>
      </c>
      <c r="D3550" s="232" t="str">
        <f>IF(AND(A3550&lt;&gt;"",ISNUMBER(A3550)),VLOOKUP(A3550,Studies!A:BR,4,FALSE),"")</f>
        <v>iv with Perpetrator (Voriconazole)</v>
      </c>
      <c r="E3550" s="206" t="str">
        <f>IF(AND(A3550&lt;&gt;"",ISNUMBER(A3550)),VLOOKUP(A3550,Studies!A:BR,5,FALSE),"")</f>
        <v>Midazolam</v>
      </c>
      <c r="F3550" s="207" t="str">
        <f>IF(AND(A3550&lt;&gt;"",ISNUMBER(A3550)),VLOOKUP(A3550,Studies!A:BR,6,FALSE),"")</f>
        <v>Plasma</v>
      </c>
      <c r="G3550" s="194">
        <v>39</v>
      </c>
      <c r="H3550" s="194" t="s">
        <v>60</v>
      </c>
      <c r="I3550" s="187">
        <v>45.803570000000001</v>
      </c>
      <c r="J3550" s="187" t="s">
        <v>1026</v>
      </c>
      <c r="K3550" s="187" t="s">
        <v>389</v>
      </c>
      <c r="L3550" s="195">
        <v>4.5535740000000002</v>
      </c>
      <c r="M3550" s="195" t="s">
        <v>1026</v>
      </c>
      <c r="N3550" s="195" t="s">
        <v>117</v>
      </c>
      <c r="O3550" s="199">
        <v>2</v>
      </c>
      <c r="P3550" s="188"/>
      <c r="Q3550" s="174">
        <f>IF(ISNUMBER(VLOOKUP(A3550,NotghiID!A:A,1,FALSE)),1,0)</f>
        <v>1</v>
      </c>
    </row>
    <row r="3551" spans="1:17" ht="14.25" x14ac:dyDescent="0.2">
      <c r="A3551" s="189">
        <v>404</v>
      </c>
      <c r="B3551" s="232" t="str">
        <f>IF(AND(A3551&lt;&gt;"",ISNUMBER(A3551)),VLOOKUP(A3551,Studies!A:BR,2,FALSE),"")</f>
        <v>Saari 2006</v>
      </c>
      <c r="C3551" s="232" t="str">
        <f>IF(AND(A3551&lt;&gt;"",ISNUMBER(A3551)),VLOOKUP(A3551,Studies!A:BR,3,FALSE),"")</f>
        <v>https://www.ncbi.nlm.nih.gov/pubmed/16580904</v>
      </c>
      <c r="D3551" s="232" t="str">
        <f>IF(AND(A3551&lt;&gt;"",ISNUMBER(A3551)),VLOOKUP(A3551,Studies!A:BR,4,FALSE),"")</f>
        <v>iv with Perpetrator (Voriconazole)</v>
      </c>
      <c r="E3551" s="206" t="str">
        <f>IF(AND(A3551&lt;&gt;"",ISNUMBER(A3551)),VLOOKUP(A3551,Studies!A:BR,5,FALSE),"")</f>
        <v>Midazolam</v>
      </c>
      <c r="F3551" s="207" t="str">
        <f>IF(AND(A3551&lt;&gt;"",ISNUMBER(A3551)),VLOOKUP(A3551,Studies!A:BR,6,FALSE),"")</f>
        <v>Plasma</v>
      </c>
      <c r="G3551" s="194">
        <v>40</v>
      </c>
      <c r="H3551" s="194" t="s">
        <v>60</v>
      </c>
      <c r="I3551" s="187">
        <v>38.839289999999998</v>
      </c>
      <c r="J3551" s="187" t="s">
        <v>1026</v>
      </c>
      <c r="K3551" s="187" t="s">
        <v>389</v>
      </c>
      <c r="L3551" s="195">
        <v>5.6249960000000003</v>
      </c>
      <c r="M3551" s="195" t="s">
        <v>1026</v>
      </c>
      <c r="N3551" s="195" t="s">
        <v>117</v>
      </c>
      <c r="O3551" s="199">
        <v>2</v>
      </c>
      <c r="P3551" s="188"/>
      <c r="Q3551" s="174">
        <f>IF(ISNUMBER(VLOOKUP(A3551,NotghiID!A:A,1,FALSE)),1,0)</f>
        <v>1</v>
      </c>
    </row>
    <row r="3552" spans="1:17" ht="14.25" x14ac:dyDescent="0.2">
      <c r="A3552" s="189">
        <v>404</v>
      </c>
      <c r="B3552" s="232" t="str">
        <f>IF(AND(A3552&lt;&gt;"",ISNUMBER(A3552)),VLOOKUP(A3552,Studies!A:BR,2,FALSE),"")</f>
        <v>Saari 2006</v>
      </c>
      <c r="C3552" s="232" t="str">
        <f>IF(AND(A3552&lt;&gt;"",ISNUMBER(A3552)),VLOOKUP(A3552,Studies!A:BR,3,FALSE),"")</f>
        <v>https://www.ncbi.nlm.nih.gov/pubmed/16580904</v>
      </c>
      <c r="D3552" s="232" t="str">
        <f>IF(AND(A3552&lt;&gt;"",ISNUMBER(A3552)),VLOOKUP(A3552,Studies!A:BR,4,FALSE),"")</f>
        <v>iv with Perpetrator (Voriconazole)</v>
      </c>
      <c r="E3552" s="206" t="str">
        <f>IF(AND(A3552&lt;&gt;"",ISNUMBER(A3552)),VLOOKUP(A3552,Studies!A:BR,5,FALSE),"")</f>
        <v>Midazolam</v>
      </c>
      <c r="F3552" s="207" t="str">
        <f>IF(AND(A3552&lt;&gt;"",ISNUMBER(A3552)),VLOOKUP(A3552,Studies!A:BR,6,FALSE),"")</f>
        <v>Plasma</v>
      </c>
      <c r="G3552" s="194">
        <v>41</v>
      </c>
      <c r="H3552" s="194" t="s">
        <v>60</v>
      </c>
      <c r="I3552" s="187">
        <v>35.089289999999998</v>
      </c>
      <c r="J3552" s="187" t="s">
        <v>1026</v>
      </c>
      <c r="K3552" s="187" t="s">
        <v>389</v>
      </c>
      <c r="L3552" s="195">
        <v>4.8214230000000002</v>
      </c>
      <c r="M3552" s="195" t="s">
        <v>1026</v>
      </c>
      <c r="N3552" s="195" t="s">
        <v>117</v>
      </c>
      <c r="O3552" s="199">
        <v>2</v>
      </c>
      <c r="P3552" s="188"/>
      <c r="Q3552" s="174">
        <f>IF(ISNUMBER(VLOOKUP(A3552,NotghiID!A:A,1,FALSE)),1,0)</f>
        <v>1</v>
      </c>
    </row>
    <row r="3553" spans="1:17" ht="14.25" x14ac:dyDescent="0.2">
      <c r="A3553" s="189">
        <v>404</v>
      </c>
      <c r="B3553" s="232" t="str">
        <f>IF(AND(A3553&lt;&gt;"",ISNUMBER(A3553)),VLOOKUP(A3553,Studies!A:BR,2,FALSE),"")</f>
        <v>Saari 2006</v>
      </c>
      <c r="C3553" s="232" t="str">
        <f>IF(AND(A3553&lt;&gt;"",ISNUMBER(A3553)),VLOOKUP(A3553,Studies!A:BR,3,FALSE),"")</f>
        <v>https://www.ncbi.nlm.nih.gov/pubmed/16580904</v>
      </c>
      <c r="D3553" s="232" t="str">
        <f>IF(AND(A3553&lt;&gt;"",ISNUMBER(A3553)),VLOOKUP(A3553,Studies!A:BR,4,FALSE),"")</f>
        <v>iv with Perpetrator (Voriconazole)</v>
      </c>
      <c r="E3553" s="206" t="str">
        <f>IF(AND(A3553&lt;&gt;"",ISNUMBER(A3553)),VLOOKUP(A3553,Studies!A:BR,5,FALSE),"")</f>
        <v>Midazolam</v>
      </c>
      <c r="F3553" s="207" t="str">
        <f>IF(AND(A3553&lt;&gt;"",ISNUMBER(A3553)),VLOOKUP(A3553,Studies!A:BR,6,FALSE),"")</f>
        <v>Plasma</v>
      </c>
      <c r="G3553" s="194">
        <v>43</v>
      </c>
      <c r="H3553" s="194" t="s">
        <v>60</v>
      </c>
      <c r="I3553" s="187">
        <v>25.178570000000001</v>
      </c>
      <c r="J3553" s="187" t="s">
        <v>1026</v>
      </c>
      <c r="K3553" s="187" t="s">
        <v>389</v>
      </c>
      <c r="L3553" s="195">
        <v>2.9464299999999999</v>
      </c>
      <c r="M3553" s="195" t="s">
        <v>1026</v>
      </c>
      <c r="N3553" s="195" t="s">
        <v>117</v>
      </c>
      <c r="O3553" s="199">
        <v>2</v>
      </c>
      <c r="P3553" s="188"/>
      <c r="Q3553" s="174">
        <f>IF(ISNUMBER(VLOOKUP(A3553,NotghiID!A:A,1,FALSE)),1,0)</f>
        <v>1</v>
      </c>
    </row>
    <row r="3554" spans="1:17" ht="14.25" x14ac:dyDescent="0.2">
      <c r="A3554" s="189">
        <v>404</v>
      </c>
      <c r="B3554" s="232" t="str">
        <f>IF(AND(A3554&lt;&gt;"",ISNUMBER(A3554)),VLOOKUP(A3554,Studies!A:BR,2,FALSE),"")</f>
        <v>Saari 2006</v>
      </c>
      <c r="C3554" s="232" t="str">
        <f>IF(AND(A3554&lt;&gt;"",ISNUMBER(A3554)),VLOOKUP(A3554,Studies!A:BR,3,FALSE),"")</f>
        <v>https://www.ncbi.nlm.nih.gov/pubmed/16580904</v>
      </c>
      <c r="D3554" s="232" t="str">
        <f>IF(AND(A3554&lt;&gt;"",ISNUMBER(A3554)),VLOOKUP(A3554,Studies!A:BR,4,FALSE),"")</f>
        <v>iv with Perpetrator (Voriconazole)</v>
      </c>
      <c r="E3554" s="206" t="str">
        <f>IF(AND(A3554&lt;&gt;"",ISNUMBER(A3554)),VLOOKUP(A3554,Studies!A:BR,5,FALSE),"")</f>
        <v>Midazolam</v>
      </c>
      <c r="F3554" s="207" t="str">
        <f>IF(AND(A3554&lt;&gt;"",ISNUMBER(A3554)),VLOOKUP(A3554,Studies!A:BR,6,FALSE),"")</f>
        <v>Plasma</v>
      </c>
      <c r="G3554" s="194">
        <v>45</v>
      </c>
      <c r="H3554" s="194" t="s">
        <v>60</v>
      </c>
      <c r="I3554" s="187">
        <v>20.089279999999999</v>
      </c>
      <c r="J3554" s="187" t="s">
        <v>1026</v>
      </c>
      <c r="K3554" s="187" t="s">
        <v>389</v>
      </c>
      <c r="L3554" s="195"/>
      <c r="M3554" s="195"/>
      <c r="N3554" s="195"/>
      <c r="O3554" s="199">
        <v>2</v>
      </c>
      <c r="P3554" s="188"/>
      <c r="Q3554" s="174">
        <f>IF(ISNUMBER(VLOOKUP(A3554,NotghiID!A:A,1,FALSE)),1,0)</f>
        <v>1</v>
      </c>
    </row>
    <row r="3555" spans="1:17" ht="14.25" x14ac:dyDescent="0.2">
      <c r="A3555" s="189">
        <v>404</v>
      </c>
      <c r="B3555" s="232" t="str">
        <f>IF(AND(A3555&lt;&gt;"",ISNUMBER(A3555)),VLOOKUP(A3555,Studies!A:BR,2,FALSE),"")</f>
        <v>Saari 2006</v>
      </c>
      <c r="C3555" s="232" t="str">
        <f>IF(AND(A3555&lt;&gt;"",ISNUMBER(A3555)),VLOOKUP(A3555,Studies!A:BR,3,FALSE),"")</f>
        <v>https://www.ncbi.nlm.nih.gov/pubmed/16580904</v>
      </c>
      <c r="D3555" s="232" t="str">
        <f>IF(AND(A3555&lt;&gt;"",ISNUMBER(A3555)),VLOOKUP(A3555,Studies!A:BR,4,FALSE),"")</f>
        <v>iv with Perpetrator (Voriconazole)</v>
      </c>
      <c r="E3555" s="206" t="str">
        <f>IF(AND(A3555&lt;&gt;"",ISNUMBER(A3555)),VLOOKUP(A3555,Studies!A:BR,5,FALSE),"")</f>
        <v>Midazolam</v>
      </c>
      <c r="F3555" s="207" t="str">
        <f>IF(AND(A3555&lt;&gt;"",ISNUMBER(A3555)),VLOOKUP(A3555,Studies!A:BR,6,FALSE),"")</f>
        <v>Plasma</v>
      </c>
      <c r="G3555" s="194">
        <v>49</v>
      </c>
      <c r="H3555" s="194" t="s">
        <v>60</v>
      </c>
      <c r="I3555" s="187">
        <v>13.66071</v>
      </c>
      <c r="J3555" s="187" t="s">
        <v>1026</v>
      </c>
      <c r="K3555" s="187" t="s">
        <v>389</v>
      </c>
      <c r="L3555" s="195"/>
      <c r="M3555" s="195"/>
      <c r="N3555" s="195"/>
      <c r="O3555" s="199">
        <v>2</v>
      </c>
      <c r="P3555" s="188"/>
      <c r="Q3555" s="174">
        <f>IF(ISNUMBER(VLOOKUP(A3555,NotghiID!A:A,1,FALSE)),1,0)</f>
        <v>1</v>
      </c>
    </row>
    <row r="3556" spans="1:17" ht="14.25" x14ac:dyDescent="0.2">
      <c r="A3556" s="189">
        <v>404</v>
      </c>
      <c r="B3556" s="232" t="str">
        <f>IF(AND(A3556&lt;&gt;"",ISNUMBER(A3556)),VLOOKUP(A3556,Studies!A:BR,2,FALSE),"")</f>
        <v>Saari 2006</v>
      </c>
      <c r="C3556" s="232" t="str">
        <f>IF(AND(A3556&lt;&gt;"",ISNUMBER(A3556)),VLOOKUP(A3556,Studies!A:BR,3,FALSE),"")</f>
        <v>https://www.ncbi.nlm.nih.gov/pubmed/16580904</v>
      </c>
      <c r="D3556" s="232" t="str">
        <f>IF(AND(A3556&lt;&gt;"",ISNUMBER(A3556)),VLOOKUP(A3556,Studies!A:BR,4,FALSE),"")</f>
        <v>iv with Perpetrator (Voriconazole)</v>
      </c>
      <c r="E3556" s="206" t="str">
        <f>IF(AND(A3556&lt;&gt;"",ISNUMBER(A3556)),VLOOKUP(A3556,Studies!A:BR,5,FALSE),"")</f>
        <v>Midazolam</v>
      </c>
      <c r="F3556" s="207" t="str">
        <f>IF(AND(A3556&lt;&gt;"",ISNUMBER(A3556)),VLOOKUP(A3556,Studies!A:BR,6,FALSE),"")</f>
        <v>Plasma</v>
      </c>
      <c r="G3556" s="194">
        <v>61</v>
      </c>
      <c r="H3556" s="194" t="s">
        <v>60</v>
      </c>
      <c r="I3556" s="187">
        <v>4.8214290000000002</v>
      </c>
      <c r="J3556" s="187" t="s">
        <v>1026</v>
      </c>
      <c r="K3556" s="187" t="s">
        <v>389</v>
      </c>
      <c r="L3556" s="195"/>
      <c r="M3556" s="195"/>
      <c r="N3556" s="195"/>
      <c r="O3556" s="199">
        <v>2</v>
      </c>
      <c r="P3556" s="188"/>
      <c r="Q3556" s="174">
        <f>IF(ISNUMBER(VLOOKUP(A3556,NotghiID!A:A,1,FALSE)),1,0)</f>
        <v>1</v>
      </c>
    </row>
    <row r="3557" spans="1:17" ht="14.25" x14ac:dyDescent="0.2">
      <c r="A3557" s="189">
        <v>400</v>
      </c>
      <c r="B3557" s="232" t="str">
        <f>IF(AND(A3557&lt;&gt;"",ISNUMBER(A3557)),VLOOKUP(A3557,Studies!A:BR,2,FALSE),"")</f>
        <v>Saari 2006</v>
      </c>
      <c r="C3557" s="232" t="str">
        <f>IF(AND(A3557&lt;&gt;"",ISNUMBER(A3557)),VLOOKUP(A3557,Studies!A:BR,3,FALSE),"")</f>
        <v>https://www.ncbi.nlm.nih.gov/pubmed/16580904</v>
      </c>
      <c r="D3557" s="232" t="str">
        <f>IF(AND(A3557&lt;&gt;"",ISNUMBER(A3557)),VLOOKUP(A3557,Studies!A:BR,4,FALSE),"")</f>
        <v>po Control (Perpetrator Placebo)</v>
      </c>
      <c r="E3557" s="206" t="str">
        <f>IF(AND(A3557&lt;&gt;"",ISNUMBER(A3557)),VLOOKUP(A3557,Studies!A:BR,5,FALSE),"")</f>
        <v>Midazolam</v>
      </c>
      <c r="F3557" s="207" t="str">
        <f>IF(AND(A3557&lt;&gt;"",ISNUMBER(A3557)),VLOOKUP(A3557,Studies!A:BR,6,FALSE),"")</f>
        <v>Plasma</v>
      </c>
      <c r="G3557" s="194">
        <v>0</v>
      </c>
      <c r="H3557" s="194" t="s">
        <v>60</v>
      </c>
      <c r="I3557" s="187" t="s">
        <v>1152</v>
      </c>
      <c r="J3557" s="187" t="s">
        <v>1026</v>
      </c>
      <c r="K3557" s="187" t="s">
        <v>389</v>
      </c>
      <c r="L3557" s="195"/>
      <c r="M3557" s="195"/>
      <c r="N3557" s="195"/>
      <c r="O3557" s="199">
        <v>2</v>
      </c>
      <c r="P3557" s="188"/>
      <c r="Q3557" s="174">
        <f>IF(ISNUMBER(VLOOKUP(A3557,NotghiID!A:A,1,FALSE)),1,0)</f>
        <v>1</v>
      </c>
    </row>
    <row r="3558" spans="1:17" ht="14.25" x14ac:dyDescent="0.2">
      <c r="A3558" s="189">
        <v>400</v>
      </c>
      <c r="B3558" s="232" t="str">
        <f>IF(AND(A3558&lt;&gt;"",ISNUMBER(A3558)),VLOOKUP(A3558,Studies!A:BR,2,FALSE),"")</f>
        <v>Saari 2006</v>
      </c>
      <c r="C3558" s="232" t="str">
        <f>IF(AND(A3558&lt;&gt;"",ISNUMBER(A3558)),VLOOKUP(A3558,Studies!A:BR,3,FALSE),"")</f>
        <v>https://www.ncbi.nlm.nih.gov/pubmed/16580904</v>
      </c>
      <c r="D3558" s="232" t="str">
        <f>IF(AND(A3558&lt;&gt;"",ISNUMBER(A3558)),VLOOKUP(A3558,Studies!A:BR,4,FALSE),"")</f>
        <v>po Control (Perpetrator Placebo)</v>
      </c>
      <c r="E3558" s="206" t="str">
        <f>IF(AND(A3558&lt;&gt;"",ISNUMBER(A3558)),VLOOKUP(A3558,Studies!A:BR,5,FALSE),"")</f>
        <v>Midazolam</v>
      </c>
      <c r="F3558" s="207" t="str">
        <f>IF(AND(A3558&lt;&gt;"",ISNUMBER(A3558)),VLOOKUP(A3558,Studies!A:BR,6,FALSE),"")</f>
        <v>Plasma</v>
      </c>
      <c r="G3558" s="194">
        <v>0.5</v>
      </c>
      <c r="H3558" s="194" t="s">
        <v>60</v>
      </c>
      <c r="I3558" s="187">
        <v>9.8666669999999996</v>
      </c>
      <c r="J3558" s="187" t="s">
        <v>1026</v>
      </c>
      <c r="K3558" s="187" t="s">
        <v>389</v>
      </c>
      <c r="L3558" s="195">
        <v>13.33333</v>
      </c>
      <c r="M3558" s="195" t="s">
        <v>1026</v>
      </c>
      <c r="N3558" s="195" t="s">
        <v>117</v>
      </c>
      <c r="O3558" s="199">
        <v>2</v>
      </c>
      <c r="P3558" s="188"/>
      <c r="Q3558" s="174">
        <f>IF(ISNUMBER(VLOOKUP(A3558,NotghiID!A:A,1,FALSE)),1,0)</f>
        <v>1</v>
      </c>
    </row>
    <row r="3559" spans="1:17" ht="14.25" x14ac:dyDescent="0.2">
      <c r="A3559" s="189">
        <v>400</v>
      </c>
      <c r="B3559" s="232" t="str">
        <f>IF(AND(A3559&lt;&gt;"",ISNUMBER(A3559)),VLOOKUP(A3559,Studies!A:BR,2,FALSE),"")</f>
        <v>Saari 2006</v>
      </c>
      <c r="C3559" s="232" t="str">
        <f>IF(AND(A3559&lt;&gt;"",ISNUMBER(A3559)),VLOOKUP(A3559,Studies!A:BR,3,FALSE),"")</f>
        <v>https://www.ncbi.nlm.nih.gov/pubmed/16580904</v>
      </c>
      <c r="D3559" s="232" t="str">
        <f>IF(AND(A3559&lt;&gt;"",ISNUMBER(A3559)),VLOOKUP(A3559,Studies!A:BR,4,FALSE),"")</f>
        <v>po Control (Perpetrator Placebo)</v>
      </c>
      <c r="E3559" s="206" t="str">
        <f>IF(AND(A3559&lt;&gt;"",ISNUMBER(A3559)),VLOOKUP(A3559,Studies!A:BR,5,FALSE),"")</f>
        <v>Midazolam</v>
      </c>
      <c r="F3559" s="207" t="str">
        <f>IF(AND(A3559&lt;&gt;"",ISNUMBER(A3559)),VLOOKUP(A3559,Studies!A:BR,6,FALSE),"")</f>
        <v>Plasma</v>
      </c>
      <c r="G3559" s="194">
        <v>1</v>
      </c>
      <c r="H3559" s="194" t="s">
        <v>60</v>
      </c>
      <c r="I3559" s="187">
        <v>19.2</v>
      </c>
      <c r="J3559" s="187" t="s">
        <v>1026</v>
      </c>
      <c r="K3559" s="187" t="s">
        <v>389</v>
      </c>
      <c r="L3559" s="195">
        <v>9.5999979999999994</v>
      </c>
      <c r="M3559" s="195" t="s">
        <v>1026</v>
      </c>
      <c r="N3559" s="195" t="s">
        <v>117</v>
      </c>
      <c r="O3559" s="199">
        <v>2</v>
      </c>
      <c r="P3559" s="188"/>
      <c r="Q3559" s="174">
        <f>IF(ISNUMBER(VLOOKUP(A3559,NotghiID!A:A,1,FALSE)),1,0)</f>
        <v>1</v>
      </c>
    </row>
    <row r="3560" spans="1:17" ht="14.25" x14ac:dyDescent="0.2">
      <c r="A3560" s="189">
        <v>400</v>
      </c>
      <c r="B3560" s="232" t="str">
        <f>IF(AND(A3560&lt;&gt;"",ISNUMBER(A3560)),VLOOKUP(A3560,Studies!A:BR,2,FALSE),"")</f>
        <v>Saari 2006</v>
      </c>
      <c r="C3560" s="232" t="str">
        <f>IF(AND(A3560&lt;&gt;"",ISNUMBER(A3560)),VLOOKUP(A3560,Studies!A:BR,3,FALSE),"")</f>
        <v>https://www.ncbi.nlm.nih.gov/pubmed/16580904</v>
      </c>
      <c r="D3560" s="232" t="str">
        <f>IF(AND(A3560&lt;&gt;"",ISNUMBER(A3560)),VLOOKUP(A3560,Studies!A:BR,4,FALSE),"")</f>
        <v>po Control (Perpetrator Placebo)</v>
      </c>
      <c r="E3560" s="206" t="str">
        <f>IF(AND(A3560&lt;&gt;"",ISNUMBER(A3560)),VLOOKUP(A3560,Studies!A:BR,5,FALSE),"")</f>
        <v>Midazolam</v>
      </c>
      <c r="F3560" s="207" t="str">
        <f>IF(AND(A3560&lt;&gt;"",ISNUMBER(A3560)),VLOOKUP(A3560,Studies!A:BR,6,FALSE),"")</f>
        <v>Plasma</v>
      </c>
      <c r="G3560" s="194">
        <v>1.5</v>
      </c>
      <c r="H3560" s="194" t="s">
        <v>60</v>
      </c>
      <c r="I3560" s="187">
        <v>18.66667</v>
      </c>
      <c r="J3560" s="187" t="s">
        <v>1026</v>
      </c>
      <c r="K3560" s="187" t="s">
        <v>389</v>
      </c>
      <c r="L3560" s="195">
        <v>5.866663</v>
      </c>
      <c r="M3560" s="195" t="s">
        <v>1026</v>
      </c>
      <c r="N3560" s="195" t="s">
        <v>117</v>
      </c>
      <c r="O3560" s="199">
        <v>2</v>
      </c>
      <c r="P3560" s="188"/>
      <c r="Q3560" s="174">
        <f>IF(ISNUMBER(VLOOKUP(A3560,NotghiID!A:A,1,FALSE)),1,0)</f>
        <v>1</v>
      </c>
    </row>
    <row r="3561" spans="1:17" ht="14.25" x14ac:dyDescent="0.2">
      <c r="A3561" s="189">
        <v>400</v>
      </c>
      <c r="B3561" s="232" t="str">
        <f>IF(AND(A3561&lt;&gt;"",ISNUMBER(A3561)),VLOOKUP(A3561,Studies!A:BR,2,FALSE),"")</f>
        <v>Saari 2006</v>
      </c>
      <c r="C3561" s="232" t="str">
        <f>IF(AND(A3561&lt;&gt;"",ISNUMBER(A3561)),VLOOKUP(A3561,Studies!A:BR,3,FALSE),"")</f>
        <v>https://www.ncbi.nlm.nih.gov/pubmed/16580904</v>
      </c>
      <c r="D3561" s="232" t="str">
        <f>IF(AND(A3561&lt;&gt;"",ISNUMBER(A3561)),VLOOKUP(A3561,Studies!A:BR,4,FALSE),"")</f>
        <v>po Control (Perpetrator Placebo)</v>
      </c>
      <c r="E3561" s="206" t="str">
        <f>IF(AND(A3561&lt;&gt;"",ISNUMBER(A3561)),VLOOKUP(A3561,Studies!A:BR,5,FALSE),"")</f>
        <v>Midazolam</v>
      </c>
      <c r="F3561" s="207" t="str">
        <f>IF(AND(A3561&lt;&gt;"",ISNUMBER(A3561)),VLOOKUP(A3561,Studies!A:BR,6,FALSE),"")</f>
        <v>Plasma</v>
      </c>
      <c r="G3561" s="194">
        <v>2</v>
      </c>
      <c r="H3561" s="194" t="s">
        <v>60</v>
      </c>
      <c r="I3561" s="187">
        <v>16.533329999999999</v>
      </c>
      <c r="J3561" s="187" t="s">
        <v>1026</v>
      </c>
      <c r="K3561" s="187" t="s">
        <v>389</v>
      </c>
      <c r="L3561" s="195">
        <v>4.0000020000000003</v>
      </c>
      <c r="M3561" s="195" t="s">
        <v>1026</v>
      </c>
      <c r="N3561" s="195" t="s">
        <v>117</v>
      </c>
      <c r="O3561" s="199">
        <v>2</v>
      </c>
      <c r="P3561" s="188"/>
      <c r="Q3561" s="174">
        <f>IF(ISNUMBER(VLOOKUP(A3561,NotghiID!A:A,1,FALSE)),1,0)</f>
        <v>1</v>
      </c>
    </row>
    <row r="3562" spans="1:17" ht="14.25" x14ac:dyDescent="0.2">
      <c r="A3562" s="189">
        <v>400</v>
      </c>
      <c r="B3562" s="232" t="str">
        <f>IF(AND(A3562&lt;&gt;"",ISNUMBER(A3562)),VLOOKUP(A3562,Studies!A:BR,2,FALSE),"")</f>
        <v>Saari 2006</v>
      </c>
      <c r="C3562" s="232" t="str">
        <f>IF(AND(A3562&lt;&gt;"",ISNUMBER(A3562)),VLOOKUP(A3562,Studies!A:BR,3,FALSE),"")</f>
        <v>https://www.ncbi.nlm.nih.gov/pubmed/16580904</v>
      </c>
      <c r="D3562" s="232" t="str">
        <f>IF(AND(A3562&lt;&gt;"",ISNUMBER(A3562)),VLOOKUP(A3562,Studies!A:BR,4,FALSE),"")</f>
        <v>po Control (Perpetrator Placebo)</v>
      </c>
      <c r="E3562" s="206" t="str">
        <f>IF(AND(A3562&lt;&gt;"",ISNUMBER(A3562)),VLOOKUP(A3562,Studies!A:BR,5,FALSE),"")</f>
        <v>Midazolam</v>
      </c>
      <c r="F3562" s="207" t="str">
        <f>IF(AND(A3562&lt;&gt;"",ISNUMBER(A3562)),VLOOKUP(A3562,Studies!A:BR,6,FALSE),"")</f>
        <v>Plasma</v>
      </c>
      <c r="G3562" s="194">
        <v>3</v>
      </c>
      <c r="H3562" s="194" t="s">
        <v>60</v>
      </c>
      <c r="I3562" s="187">
        <v>13.06667</v>
      </c>
      <c r="J3562" s="187" t="s">
        <v>1026</v>
      </c>
      <c r="K3562" s="187" t="s">
        <v>389</v>
      </c>
      <c r="L3562" s="195">
        <v>4.5333300000000003</v>
      </c>
      <c r="M3562" s="195" t="s">
        <v>1026</v>
      </c>
      <c r="N3562" s="195" t="s">
        <v>117</v>
      </c>
      <c r="O3562" s="199">
        <v>2</v>
      </c>
      <c r="P3562" s="188"/>
      <c r="Q3562" s="174">
        <f>IF(ISNUMBER(VLOOKUP(A3562,NotghiID!A:A,1,FALSE)),1,0)</f>
        <v>1</v>
      </c>
    </row>
    <row r="3563" spans="1:17" ht="14.25" x14ac:dyDescent="0.2">
      <c r="A3563" s="189">
        <v>400</v>
      </c>
      <c r="B3563" s="232" t="str">
        <f>IF(AND(A3563&lt;&gt;"",ISNUMBER(A3563)),VLOOKUP(A3563,Studies!A:BR,2,FALSE),"")</f>
        <v>Saari 2006</v>
      </c>
      <c r="C3563" s="232" t="str">
        <f>IF(AND(A3563&lt;&gt;"",ISNUMBER(A3563)),VLOOKUP(A3563,Studies!A:BR,3,FALSE),"")</f>
        <v>https://www.ncbi.nlm.nih.gov/pubmed/16580904</v>
      </c>
      <c r="D3563" s="232" t="str">
        <f>IF(AND(A3563&lt;&gt;"",ISNUMBER(A3563)),VLOOKUP(A3563,Studies!A:BR,4,FALSE),"")</f>
        <v>po Control (Perpetrator Placebo)</v>
      </c>
      <c r="E3563" s="206" t="str">
        <f>IF(AND(A3563&lt;&gt;"",ISNUMBER(A3563)),VLOOKUP(A3563,Studies!A:BR,5,FALSE),"")</f>
        <v>Midazolam</v>
      </c>
      <c r="F3563" s="207" t="str">
        <f>IF(AND(A3563&lt;&gt;"",ISNUMBER(A3563)),VLOOKUP(A3563,Studies!A:BR,6,FALSE),"")</f>
        <v>Plasma</v>
      </c>
      <c r="G3563" s="194">
        <v>4</v>
      </c>
      <c r="H3563" s="194" t="s">
        <v>60</v>
      </c>
      <c r="I3563" s="187">
        <v>10.133330000000001</v>
      </c>
      <c r="J3563" s="187" t="s">
        <v>1026</v>
      </c>
      <c r="K3563" s="187" t="s">
        <v>389</v>
      </c>
      <c r="L3563" s="195">
        <v>5.0666690000000001</v>
      </c>
      <c r="M3563" s="195" t="s">
        <v>1026</v>
      </c>
      <c r="N3563" s="195" t="s">
        <v>117</v>
      </c>
      <c r="O3563" s="199">
        <v>2</v>
      </c>
      <c r="P3563" s="188"/>
      <c r="Q3563" s="174">
        <f>IF(ISNUMBER(VLOOKUP(A3563,NotghiID!A:A,1,FALSE)),1,0)</f>
        <v>1</v>
      </c>
    </row>
    <row r="3564" spans="1:17" ht="14.25" x14ac:dyDescent="0.2">
      <c r="A3564" s="189">
        <v>400</v>
      </c>
      <c r="B3564" s="232" t="str">
        <f>IF(AND(A3564&lt;&gt;"",ISNUMBER(A3564)),VLOOKUP(A3564,Studies!A:BR,2,FALSE),"")</f>
        <v>Saari 2006</v>
      </c>
      <c r="C3564" s="232" t="str">
        <f>IF(AND(A3564&lt;&gt;"",ISNUMBER(A3564)),VLOOKUP(A3564,Studies!A:BR,3,FALSE),"")</f>
        <v>https://www.ncbi.nlm.nih.gov/pubmed/16580904</v>
      </c>
      <c r="D3564" s="232" t="str">
        <f>IF(AND(A3564&lt;&gt;"",ISNUMBER(A3564)),VLOOKUP(A3564,Studies!A:BR,4,FALSE),"")</f>
        <v>po Control (Perpetrator Placebo)</v>
      </c>
      <c r="E3564" s="206" t="str">
        <f>IF(AND(A3564&lt;&gt;"",ISNUMBER(A3564)),VLOOKUP(A3564,Studies!A:BR,5,FALSE),"")</f>
        <v>Midazolam</v>
      </c>
      <c r="F3564" s="207" t="str">
        <f>IF(AND(A3564&lt;&gt;"",ISNUMBER(A3564)),VLOOKUP(A3564,Studies!A:BR,6,FALSE),"")</f>
        <v>Plasma</v>
      </c>
      <c r="G3564" s="194">
        <v>6</v>
      </c>
      <c r="H3564" s="194" t="s">
        <v>60</v>
      </c>
      <c r="I3564" s="187">
        <v>4.5333329999999998</v>
      </c>
      <c r="J3564" s="187" t="s">
        <v>1026</v>
      </c>
      <c r="K3564" s="187" t="s">
        <v>389</v>
      </c>
      <c r="L3564" s="195"/>
      <c r="M3564" s="195"/>
      <c r="N3564" s="195"/>
      <c r="O3564" s="199">
        <v>2</v>
      </c>
      <c r="P3564" s="188"/>
      <c r="Q3564" s="174">
        <f>IF(ISNUMBER(VLOOKUP(A3564,NotghiID!A:A,1,FALSE)),1,0)</f>
        <v>1</v>
      </c>
    </row>
    <row r="3565" spans="1:17" ht="14.25" x14ac:dyDescent="0.2">
      <c r="A3565" s="189">
        <v>400</v>
      </c>
      <c r="B3565" s="232" t="str">
        <f>IF(AND(A3565&lt;&gt;"",ISNUMBER(A3565)),VLOOKUP(A3565,Studies!A:BR,2,FALSE),"")</f>
        <v>Saari 2006</v>
      </c>
      <c r="C3565" s="232" t="str">
        <f>IF(AND(A3565&lt;&gt;"",ISNUMBER(A3565)),VLOOKUP(A3565,Studies!A:BR,3,FALSE),"")</f>
        <v>https://www.ncbi.nlm.nih.gov/pubmed/16580904</v>
      </c>
      <c r="D3565" s="232" t="str">
        <f>IF(AND(A3565&lt;&gt;"",ISNUMBER(A3565)),VLOOKUP(A3565,Studies!A:BR,4,FALSE),"")</f>
        <v>po Control (Perpetrator Placebo)</v>
      </c>
      <c r="E3565" s="206" t="str">
        <f>IF(AND(A3565&lt;&gt;"",ISNUMBER(A3565)),VLOOKUP(A3565,Studies!A:BR,5,FALSE),"")</f>
        <v>Midazolam</v>
      </c>
      <c r="F3565" s="207" t="str">
        <f>IF(AND(A3565&lt;&gt;"",ISNUMBER(A3565)),VLOOKUP(A3565,Studies!A:BR,6,FALSE),"")</f>
        <v>Plasma</v>
      </c>
      <c r="G3565" s="194">
        <v>8</v>
      </c>
      <c r="H3565" s="194" t="s">
        <v>60</v>
      </c>
      <c r="I3565" s="187">
        <v>2.1333329999999999</v>
      </c>
      <c r="J3565" s="187" t="s">
        <v>1026</v>
      </c>
      <c r="K3565" s="187" t="s">
        <v>389</v>
      </c>
      <c r="L3565" s="195"/>
      <c r="M3565" s="195"/>
      <c r="N3565" s="195"/>
      <c r="O3565" s="199">
        <v>2</v>
      </c>
      <c r="P3565" s="188"/>
      <c r="Q3565" s="174">
        <f>IF(ISNUMBER(VLOOKUP(A3565,NotghiID!A:A,1,FALSE)),1,0)</f>
        <v>1</v>
      </c>
    </row>
    <row r="3566" spans="1:17" ht="14.25" x14ac:dyDescent="0.2">
      <c r="A3566" s="189">
        <v>401</v>
      </c>
      <c r="B3566" s="232" t="str">
        <f>IF(AND(A3566&lt;&gt;"",ISNUMBER(A3566)),VLOOKUP(A3566,Studies!A:BR,2,FALSE),"")</f>
        <v>Saari 2006</v>
      </c>
      <c r="C3566" s="232" t="str">
        <f>IF(AND(A3566&lt;&gt;"",ISNUMBER(A3566)),VLOOKUP(A3566,Studies!A:BR,3,FALSE),"")</f>
        <v>https://www.ncbi.nlm.nih.gov/pubmed/16580904</v>
      </c>
      <c r="D3566" s="232" t="str">
        <f>IF(AND(A3566&lt;&gt;"",ISNUMBER(A3566)),VLOOKUP(A3566,Studies!A:BR,4,FALSE),"")</f>
        <v>po with Perpetrator (Voriconazole)</v>
      </c>
      <c r="E3566" s="206" t="str">
        <f>IF(AND(A3566&lt;&gt;"",ISNUMBER(A3566)),VLOOKUP(A3566,Studies!A:BR,5,FALSE),"")</f>
        <v>Midazolam</v>
      </c>
      <c r="F3566" s="207" t="str">
        <f>IF(AND(A3566&lt;&gt;"",ISNUMBER(A3566)),VLOOKUP(A3566,Studies!A:BR,6,FALSE),"")</f>
        <v>Plasma</v>
      </c>
      <c r="G3566" s="194">
        <v>37</v>
      </c>
      <c r="H3566" s="194" t="s">
        <v>60</v>
      </c>
      <c r="I3566" s="187" t="s">
        <v>1152</v>
      </c>
      <c r="J3566" s="187" t="s">
        <v>1026</v>
      </c>
      <c r="K3566" s="187" t="s">
        <v>389</v>
      </c>
      <c r="L3566" s="195"/>
      <c r="M3566" s="195"/>
      <c r="N3566" s="195"/>
      <c r="O3566" s="199">
        <v>2</v>
      </c>
      <c r="P3566" s="188"/>
      <c r="Q3566" s="174">
        <f>IF(ISNUMBER(VLOOKUP(A3566,NotghiID!A:A,1,FALSE)),1,0)</f>
        <v>1</v>
      </c>
    </row>
    <row r="3567" spans="1:17" ht="14.25" x14ac:dyDescent="0.2">
      <c r="A3567" s="189">
        <v>401</v>
      </c>
      <c r="B3567" s="232" t="str">
        <f>IF(AND(A3567&lt;&gt;"",ISNUMBER(A3567)),VLOOKUP(A3567,Studies!A:BR,2,FALSE),"")</f>
        <v>Saari 2006</v>
      </c>
      <c r="C3567" s="232" t="str">
        <f>IF(AND(A3567&lt;&gt;"",ISNUMBER(A3567)),VLOOKUP(A3567,Studies!A:BR,3,FALSE),"")</f>
        <v>https://www.ncbi.nlm.nih.gov/pubmed/16580904</v>
      </c>
      <c r="D3567" s="232" t="str">
        <f>IF(AND(A3567&lt;&gt;"",ISNUMBER(A3567)),VLOOKUP(A3567,Studies!A:BR,4,FALSE),"")</f>
        <v>po with Perpetrator (Voriconazole)</v>
      </c>
      <c r="E3567" s="206" t="str">
        <f>IF(AND(A3567&lt;&gt;"",ISNUMBER(A3567)),VLOOKUP(A3567,Studies!A:BR,5,FALSE),"")</f>
        <v>Midazolam</v>
      </c>
      <c r="F3567" s="207" t="str">
        <f>IF(AND(A3567&lt;&gt;"",ISNUMBER(A3567)),VLOOKUP(A3567,Studies!A:BR,6,FALSE),"")</f>
        <v>Plasma</v>
      </c>
      <c r="G3567" s="194">
        <v>37.5</v>
      </c>
      <c r="H3567" s="194" t="s">
        <v>60</v>
      </c>
      <c r="I3567" s="187">
        <v>58.133339999999997</v>
      </c>
      <c r="J3567" s="187" t="s">
        <v>1026</v>
      </c>
      <c r="K3567" s="187" t="s">
        <v>389</v>
      </c>
      <c r="L3567" s="195">
        <v>47.466659999999997</v>
      </c>
      <c r="M3567" s="195" t="s">
        <v>1026</v>
      </c>
      <c r="N3567" s="195" t="s">
        <v>117</v>
      </c>
      <c r="O3567" s="199">
        <v>2</v>
      </c>
      <c r="P3567" s="188"/>
      <c r="Q3567" s="174">
        <f>IF(ISNUMBER(VLOOKUP(A3567,NotghiID!A:A,1,FALSE)),1,0)</f>
        <v>1</v>
      </c>
    </row>
    <row r="3568" spans="1:17" ht="14.25" x14ac:dyDescent="0.2">
      <c r="A3568" s="189">
        <v>401</v>
      </c>
      <c r="B3568" s="232" t="str">
        <f>IF(AND(A3568&lt;&gt;"",ISNUMBER(A3568)),VLOOKUP(A3568,Studies!A:BR,2,FALSE),"")</f>
        <v>Saari 2006</v>
      </c>
      <c r="C3568" s="232" t="str">
        <f>IF(AND(A3568&lt;&gt;"",ISNUMBER(A3568)),VLOOKUP(A3568,Studies!A:BR,3,FALSE),"")</f>
        <v>https://www.ncbi.nlm.nih.gov/pubmed/16580904</v>
      </c>
      <c r="D3568" s="232" t="str">
        <f>IF(AND(A3568&lt;&gt;"",ISNUMBER(A3568)),VLOOKUP(A3568,Studies!A:BR,4,FALSE),"")</f>
        <v>po with Perpetrator (Voriconazole)</v>
      </c>
      <c r="E3568" s="206" t="str">
        <f>IF(AND(A3568&lt;&gt;"",ISNUMBER(A3568)),VLOOKUP(A3568,Studies!A:BR,5,FALSE),"")</f>
        <v>Midazolam</v>
      </c>
      <c r="F3568" s="207" t="str">
        <f>IF(AND(A3568&lt;&gt;"",ISNUMBER(A3568)),VLOOKUP(A3568,Studies!A:BR,6,FALSE),"")</f>
        <v>Plasma</v>
      </c>
      <c r="G3568" s="194">
        <v>38</v>
      </c>
      <c r="H3568" s="194" t="s">
        <v>60</v>
      </c>
      <c r="I3568" s="187">
        <v>73.066670000000002</v>
      </c>
      <c r="J3568" s="187" t="s">
        <v>1026</v>
      </c>
      <c r="K3568" s="187" t="s">
        <v>389</v>
      </c>
      <c r="L3568" s="195">
        <v>30.66666</v>
      </c>
      <c r="M3568" s="195" t="s">
        <v>1026</v>
      </c>
      <c r="N3568" s="195" t="s">
        <v>117</v>
      </c>
      <c r="O3568" s="199">
        <v>2</v>
      </c>
      <c r="P3568" s="188"/>
      <c r="Q3568" s="174">
        <f>IF(ISNUMBER(VLOOKUP(A3568,NotghiID!A:A,1,FALSE)),1,0)</f>
        <v>1</v>
      </c>
    </row>
    <row r="3569" spans="1:17" ht="14.25" x14ac:dyDescent="0.2">
      <c r="A3569" s="189">
        <v>401</v>
      </c>
      <c r="B3569" s="232" t="str">
        <f>IF(AND(A3569&lt;&gt;"",ISNUMBER(A3569)),VLOOKUP(A3569,Studies!A:BR,2,FALSE),"")</f>
        <v>Saari 2006</v>
      </c>
      <c r="C3569" s="232" t="str">
        <f>IF(AND(A3569&lt;&gt;"",ISNUMBER(A3569)),VLOOKUP(A3569,Studies!A:BR,3,FALSE),"")</f>
        <v>https://www.ncbi.nlm.nih.gov/pubmed/16580904</v>
      </c>
      <c r="D3569" s="232" t="str">
        <f>IF(AND(A3569&lt;&gt;"",ISNUMBER(A3569)),VLOOKUP(A3569,Studies!A:BR,4,FALSE),"")</f>
        <v>po with Perpetrator (Voriconazole)</v>
      </c>
      <c r="E3569" s="206" t="str">
        <f>IF(AND(A3569&lt;&gt;"",ISNUMBER(A3569)),VLOOKUP(A3569,Studies!A:BR,5,FALSE),"")</f>
        <v>Midazolam</v>
      </c>
      <c r="F3569" s="207" t="str">
        <f>IF(AND(A3569&lt;&gt;"",ISNUMBER(A3569)),VLOOKUP(A3569,Studies!A:BR,6,FALSE),"")</f>
        <v>Plasma</v>
      </c>
      <c r="G3569" s="194">
        <v>38.5</v>
      </c>
      <c r="H3569" s="194" t="s">
        <v>60</v>
      </c>
      <c r="I3569" s="187">
        <v>66.666659999999993</v>
      </c>
      <c r="J3569" s="187" t="s">
        <v>1026</v>
      </c>
      <c r="K3569" s="187" t="s">
        <v>389</v>
      </c>
      <c r="L3569" s="195">
        <v>26.933340000000001</v>
      </c>
      <c r="M3569" s="195" t="s">
        <v>1026</v>
      </c>
      <c r="N3569" s="195" t="s">
        <v>117</v>
      </c>
      <c r="O3569" s="199">
        <v>2</v>
      </c>
      <c r="P3569" s="188"/>
      <c r="Q3569" s="174">
        <f>IF(ISNUMBER(VLOOKUP(A3569,NotghiID!A:A,1,FALSE)),1,0)</f>
        <v>1</v>
      </c>
    </row>
    <row r="3570" spans="1:17" ht="14.25" x14ac:dyDescent="0.2">
      <c r="A3570" s="189">
        <v>401</v>
      </c>
      <c r="B3570" s="232" t="str">
        <f>IF(AND(A3570&lt;&gt;"",ISNUMBER(A3570)),VLOOKUP(A3570,Studies!A:BR,2,FALSE),"")</f>
        <v>Saari 2006</v>
      </c>
      <c r="C3570" s="232" t="str">
        <f>IF(AND(A3570&lt;&gt;"",ISNUMBER(A3570)),VLOOKUP(A3570,Studies!A:BR,3,FALSE),"")</f>
        <v>https://www.ncbi.nlm.nih.gov/pubmed/16580904</v>
      </c>
      <c r="D3570" s="232" t="str">
        <f>IF(AND(A3570&lt;&gt;"",ISNUMBER(A3570)),VLOOKUP(A3570,Studies!A:BR,4,FALSE),"")</f>
        <v>po with Perpetrator (Voriconazole)</v>
      </c>
      <c r="E3570" s="206" t="str">
        <f>IF(AND(A3570&lt;&gt;"",ISNUMBER(A3570)),VLOOKUP(A3570,Studies!A:BR,5,FALSE),"")</f>
        <v>Midazolam</v>
      </c>
      <c r="F3570" s="207" t="str">
        <f>IF(AND(A3570&lt;&gt;"",ISNUMBER(A3570)),VLOOKUP(A3570,Studies!A:BR,6,FALSE),"")</f>
        <v>Plasma</v>
      </c>
      <c r="G3570" s="194">
        <v>39</v>
      </c>
      <c r="H3570" s="194" t="s">
        <v>60</v>
      </c>
      <c r="I3570" s="187">
        <v>63.733330000000002</v>
      </c>
      <c r="J3570" s="187" t="s">
        <v>1026</v>
      </c>
      <c r="K3570" s="187" t="s">
        <v>389</v>
      </c>
      <c r="L3570" s="195">
        <v>23.733339999999998</v>
      </c>
      <c r="M3570" s="195" t="s">
        <v>1026</v>
      </c>
      <c r="N3570" s="195" t="s">
        <v>117</v>
      </c>
      <c r="O3570" s="199">
        <v>2</v>
      </c>
      <c r="P3570" s="188"/>
      <c r="Q3570" s="174">
        <f>IF(ISNUMBER(VLOOKUP(A3570,NotghiID!A:A,1,FALSE)),1,0)</f>
        <v>1</v>
      </c>
    </row>
    <row r="3571" spans="1:17" ht="14.25" x14ac:dyDescent="0.2">
      <c r="A3571" s="189">
        <v>401</v>
      </c>
      <c r="B3571" s="232" t="str">
        <f>IF(AND(A3571&lt;&gt;"",ISNUMBER(A3571)),VLOOKUP(A3571,Studies!A:BR,2,FALSE),"")</f>
        <v>Saari 2006</v>
      </c>
      <c r="C3571" s="232" t="str">
        <f>IF(AND(A3571&lt;&gt;"",ISNUMBER(A3571)),VLOOKUP(A3571,Studies!A:BR,3,FALSE),"")</f>
        <v>https://www.ncbi.nlm.nih.gov/pubmed/16580904</v>
      </c>
      <c r="D3571" s="232" t="str">
        <f>IF(AND(A3571&lt;&gt;"",ISNUMBER(A3571)),VLOOKUP(A3571,Studies!A:BR,4,FALSE),"")</f>
        <v>po with Perpetrator (Voriconazole)</v>
      </c>
      <c r="E3571" s="206" t="str">
        <f>IF(AND(A3571&lt;&gt;"",ISNUMBER(A3571)),VLOOKUP(A3571,Studies!A:BR,5,FALSE),"")</f>
        <v>Midazolam</v>
      </c>
      <c r="F3571" s="207" t="str">
        <f>IF(AND(A3571&lt;&gt;"",ISNUMBER(A3571)),VLOOKUP(A3571,Studies!A:BR,6,FALSE),"")</f>
        <v>Plasma</v>
      </c>
      <c r="G3571" s="194">
        <v>40</v>
      </c>
      <c r="H3571" s="194" t="s">
        <v>60</v>
      </c>
      <c r="I3571" s="187">
        <v>62.133339999999997</v>
      </c>
      <c r="J3571" s="187" t="s">
        <v>1026</v>
      </c>
      <c r="K3571" s="187" t="s">
        <v>389</v>
      </c>
      <c r="L3571" s="195">
        <v>14.93333</v>
      </c>
      <c r="M3571" s="195" t="s">
        <v>1026</v>
      </c>
      <c r="N3571" s="195" t="s">
        <v>117</v>
      </c>
      <c r="O3571" s="199">
        <v>2</v>
      </c>
      <c r="P3571" s="188"/>
      <c r="Q3571" s="174">
        <f>IF(ISNUMBER(VLOOKUP(A3571,NotghiID!A:A,1,FALSE)),1,0)</f>
        <v>1</v>
      </c>
    </row>
    <row r="3572" spans="1:17" ht="14.25" x14ac:dyDescent="0.2">
      <c r="A3572" s="189">
        <v>401</v>
      </c>
      <c r="B3572" s="232" t="str">
        <f>IF(AND(A3572&lt;&gt;"",ISNUMBER(A3572)),VLOOKUP(A3572,Studies!A:BR,2,FALSE),"")</f>
        <v>Saari 2006</v>
      </c>
      <c r="C3572" s="232" t="str">
        <f>IF(AND(A3572&lt;&gt;"",ISNUMBER(A3572)),VLOOKUP(A3572,Studies!A:BR,3,FALSE),"")</f>
        <v>https://www.ncbi.nlm.nih.gov/pubmed/16580904</v>
      </c>
      <c r="D3572" s="232" t="str">
        <f>IF(AND(A3572&lt;&gt;"",ISNUMBER(A3572)),VLOOKUP(A3572,Studies!A:BR,4,FALSE),"")</f>
        <v>po with Perpetrator (Voriconazole)</v>
      </c>
      <c r="E3572" s="206" t="str">
        <f>IF(AND(A3572&lt;&gt;"",ISNUMBER(A3572)),VLOOKUP(A3572,Studies!A:BR,5,FALSE),"")</f>
        <v>Midazolam</v>
      </c>
      <c r="F3572" s="207" t="str">
        <f>IF(AND(A3572&lt;&gt;"",ISNUMBER(A3572)),VLOOKUP(A3572,Studies!A:BR,6,FALSE),"")</f>
        <v>Plasma</v>
      </c>
      <c r="G3572" s="194">
        <v>41</v>
      </c>
      <c r="H3572" s="194" t="s">
        <v>60</v>
      </c>
      <c r="I3572" s="187">
        <v>60</v>
      </c>
      <c r="J3572" s="187" t="s">
        <v>1026</v>
      </c>
      <c r="K3572" s="187" t="s">
        <v>389</v>
      </c>
      <c r="L3572" s="195">
        <v>12.8</v>
      </c>
      <c r="M3572" s="195" t="s">
        <v>1026</v>
      </c>
      <c r="N3572" s="195" t="s">
        <v>117</v>
      </c>
      <c r="O3572" s="199">
        <v>2</v>
      </c>
      <c r="P3572" s="188"/>
      <c r="Q3572" s="174">
        <f>IF(ISNUMBER(VLOOKUP(A3572,NotghiID!A:A,1,FALSE)),1,0)</f>
        <v>1</v>
      </c>
    </row>
    <row r="3573" spans="1:17" ht="14.25" x14ac:dyDescent="0.2">
      <c r="A3573" s="189">
        <v>401</v>
      </c>
      <c r="B3573" s="232" t="str">
        <f>IF(AND(A3573&lt;&gt;"",ISNUMBER(A3573)),VLOOKUP(A3573,Studies!A:BR,2,FALSE),"")</f>
        <v>Saari 2006</v>
      </c>
      <c r="C3573" s="232" t="str">
        <f>IF(AND(A3573&lt;&gt;"",ISNUMBER(A3573)),VLOOKUP(A3573,Studies!A:BR,3,FALSE),"")</f>
        <v>https://www.ncbi.nlm.nih.gov/pubmed/16580904</v>
      </c>
      <c r="D3573" s="232" t="str">
        <f>IF(AND(A3573&lt;&gt;"",ISNUMBER(A3573)),VLOOKUP(A3573,Studies!A:BR,4,FALSE),"")</f>
        <v>po with Perpetrator (Voriconazole)</v>
      </c>
      <c r="E3573" s="206" t="str">
        <f>IF(AND(A3573&lt;&gt;"",ISNUMBER(A3573)),VLOOKUP(A3573,Studies!A:BR,5,FALSE),"")</f>
        <v>Midazolam</v>
      </c>
      <c r="F3573" s="207" t="str">
        <f>IF(AND(A3573&lt;&gt;"",ISNUMBER(A3573)),VLOOKUP(A3573,Studies!A:BR,6,FALSE),"")</f>
        <v>Plasma</v>
      </c>
      <c r="G3573" s="194">
        <v>43</v>
      </c>
      <c r="H3573" s="194" t="s">
        <v>60</v>
      </c>
      <c r="I3573" s="187">
        <v>44.533329999999999</v>
      </c>
      <c r="J3573" s="187" t="s">
        <v>1026</v>
      </c>
      <c r="K3573" s="187" t="s">
        <v>389</v>
      </c>
      <c r="L3573" s="195">
        <v>10.66667</v>
      </c>
      <c r="M3573" s="195" t="s">
        <v>1026</v>
      </c>
      <c r="N3573" s="195" t="s">
        <v>117</v>
      </c>
      <c r="O3573" s="199">
        <v>2</v>
      </c>
      <c r="P3573" s="188"/>
      <c r="Q3573" s="174">
        <f>IF(ISNUMBER(VLOOKUP(A3573,NotghiID!A:A,1,FALSE)),1,0)</f>
        <v>1</v>
      </c>
    </row>
    <row r="3574" spans="1:17" ht="14.25" x14ac:dyDescent="0.2">
      <c r="A3574" s="189">
        <v>401</v>
      </c>
      <c r="B3574" s="232" t="str">
        <f>IF(AND(A3574&lt;&gt;"",ISNUMBER(A3574)),VLOOKUP(A3574,Studies!A:BR,2,FALSE),"")</f>
        <v>Saari 2006</v>
      </c>
      <c r="C3574" s="232" t="str">
        <f>IF(AND(A3574&lt;&gt;"",ISNUMBER(A3574)),VLOOKUP(A3574,Studies!A:BR,3,FALSE),"")</f>
        <v>https://www.ncbi.nlm.nih.gov/pubmed/16580904</v>
      </c>
      <c r="D3574" s="232" t="str">
        <f>IF(AND(A3574&lt;&gt;"",ISNUMBER(A3574)),VLOOKUP(A3574,Studies!A:BR,4,FALSE),"")</f>
        <v>po with Perpetrator (Voriconazole)</v>
      </c>
      <c r="E3574" s="206" t="str">
        <f>IF(AND(A3574&lt;&gt;"",ISNUMBER(A3574)),VLOOKUP(A3574,Studies!A:BR,5,FALSE),"")</f>
        <v>Midazolam</v>
      </c>
      <c r="F3574" s="207" t="str">
        <f>IF(AND(A3574&lt;&gt;"",ISNUMBER(A3574)),VLOOKUP(A3574,Studies!A:BR,6,FALSE),"")</f>
        <v>Plasma</v>
      </c>
      <c r="G3574" s="194">
        <v>45</v>
      </c>
      <c r="H3574" s="194" t="s">
        <v>60</v>
      </c>
      <c r="I3574" s="187">
        <v>35.466670000000001</v>
      </c>
      <c r="J3574" s="187" t="s">
        <v>1026</v>
      </c>
      <c r="K3574" s="187" t="s">
        <v>389</v>
      </c>
      <c r="L3574" s="195">
        <v>6.9333309999999999</v>
      </c>
      <c r="M3574" s="195" t="s">
        <v>1026</v>
      </c>
      <c r="N3574" s="195" t="s">
        <v>117</v>
      </c>
      <c r="O3574" s="199">
        <v>2</v>
      </c>
      <c r="P3574" s="188"/>
      <c r="Q3574" s="174">
        <f>IF(ISNUMBER(VLOOKUP(A3574,NotghiID!A:A,1,FALSE)),1,0)</f>
        <v>1</v>
      </c>
    </row>
    <row r="3575" spans="1:17" ht="14.25" x14ac:dyDescent="0.2">
      <c r="A3575" s="189">
        <v>401</v>
      </c>
      <c r="B3575" s="232" t="str">
        <f>IF(AND(A3575&lt;&gt;"",ISNUMBER(A3575)),VLOOKUP(A3575,Studies!A:BR,2,FALSE),"")</f>
        <v>Saari 2006</v>
      </c>
      <c r="C3575" s="232" t="str">
        <f>IF(AND(A3575&lt;&gt;"",ISNUMBER(A3575)),VLOOKUP(A3575,Studies!A:BR,3,FALSE),"")</f>
        <v>https://www.ncbi.nlm.nih.gov/pubmed/16580904</v>
      </c>
      <c r="D3575" s="232" t="str">
        <f>IF(AND(A3575&lt;&gt;"",ISNUMBER(A3575)),VLOOKUP(A3575,Studies!A:BR,4,FALSE),"")</f>
        <v>po with Perpetrator (Voriconazole)</v>
      </c>
      <c r="E3575" s="206" t="str">
        <f>IF(AND(A3575&lt;&gt;"",ISNUMBER(A3575)),VLOOKUP(A3575,Studies!A:BR,5,FALSE),"")</f>
        <v>Midazolam</v>
      </c>
      <c r="F3575" s="207" t="str">
        <f>IF(AND(A3575&lt;&gt;"",ISNUMBER(A3575)),VLOOKUP(A3575,Studies!A:BR,6,FALSE),"")</f>
        <v>Plasma</v>
      </c>
      <c r="G3575" s="194">
        <v>49</v>
      </c>
      <c r="H3575" s="194" t="s">
        <v>60</v>
      </c>
      <c r="I3575" s="187">
        <v>22.4</v>
      </c>
      <c r="J3575" s="187" t="s">
        <v>1026</v>
      </c>
      <c r="K3575" s="187" t="s">
        <v>389</v>
      </c>
      <c r="L3575" s="195">
        <v>4.2666659999999998</v>
      </c>
      <c r="M3575" s="195" t="s">
        <v>1026</v>
      </c>
      <c r="N3575" s="195" t="s">
        <v>117</v>
      </c>
      <c r="O3575" s="199">
        <v>2</v>
      </c>
      <c r="P3575" s="188"/>
      <c r="Q3575" s="174">
        <f>IF(ISNUMBER(VLOOKUP(A3575,NotghiID!A:A,1,FALSE)),1,0)</f>
        <v>1</v>
      </c>
    </row>
    <row r="3576" spans="1:17" ht="14.25" x14ac:dyDescent="0.2">
      <c r="A3576" s="189">
        <v>401</v>
      </c>
      <c r="B3576" s="232" t="str">
        <f>IF(AND(A3576&lt;&gt;"",ISNUMBER(A3576)),VLOOKUP(A3576,Studies!A:BR,2,FALSE),"")</f>
        <v>Saari 2006</v>
      </c>
      <c r="C3576" s="232" t="str">
        <f>IF(AND(A3576&lt;&gt;"",ISNUMBER(A3576)),VLOOKUP(A3576,Studies!A:BR,3,FALSE),"")</f>
        <v>https://www.ncbi.nlm.nih.gov/pubmed/16580904</v>
      </c>
      <c r="D3576" s="232" t="str">
        <f>IF(AND(A3576&lt;&gt;"",ISNUMBER(A3576)),VLOOKUP(A3576,Studies!A:BR,4,FALSE),"")</f>
        <v>po with Perpetrator (Voriconazole)</v>
      </c>
      <c r="E3576" s="206" t="str">
        <f>IF(AND(A3576&lt;&gt;"",ISNUMBER(A3576)),VLOOKUP(A3576,Studies!A:BR,5,FALSE),"")</f>
        <v>Midazolam</v>
      </c>
      <c r="F3576" s="207" t="str">
        <f>IF(AND(A3576&lt;&gt;"",ISNUMBER(A3576)),VLOOKUP(A3576,Studies!A:BR,6,FALSE),"")</f>
        <v>Plasma</v>
      </c>
      <c r="G3576" s="194">
        <v>61</v>
      </c>
      <c r="H3576" s="194" t="s">
        <v>60</v>
      </c>
      <c r="I3576" s="187">
        <v>8.533334</v>
      </c>
      <c r="J3576" s="187" t="s">
        <v>1026</v>
      </c>
      <c r="K3576" s="187" t="s">
        <v>389</v>
      </c>
      <c r="L3576" s="195">
        <v>3.733333</v>
      </c>
      <c r="M3576" s="195" t="s">
        <v>1026</v>
      </c>
      <c r="N3576" s="195" t="s">
        <v>117</v>
      </c>
      <c r="O3576" s="199">
        <v>2</v>
      </c>
      <c r="P3576" s="188"/>
      <c r="Q3576" s="174">
        <f>IF(ISNUMBER(VLOOKUP(A3576,NotghiID!A:A,1,FALSE)),1,0)</f>
        <v>1</v>
      </c>
    </row>
    <row r="3577" spans="1:17" ht="14.25" x14ac:dyDescent="0.2">
      <c r="A3577" s="189">
        <v>401</v>
      </c>
      <c r="B3577" s="232" t="str">
        <f>IF(AND(A3577&lt;&gt;"",ISNUMBER(A3577)),VLOOKUP(A3577,Studies!A:BR,2,FALSE),"")</f>
        <v>Saari 2006</v>
      </c>
      <c r="C3577" s="232" t="str">
        <f>IF(AND(A3577&lt;&gt;"",ISNUMBER(A3577)),VLOOKUP(A3577,Studies!A:BR,3,FALSE),"")</f>
        <v>https://www.ncbi.nlm.nih.gov/pubmed/16580904</v>
      </c>
      <c r="D3577" s="232" t="str">
        <f>IF(AND(A3577&lt;&gt;"",ISNUMBER(A3577)),VLOOKUP(A3577,Studies!A:BR,4,FALSE),"")</f>
        <v>po with Perpetrator (Voriconazole)</v>
      </c>
      <c r="E3577" s="206" t="str">
        <f>IF(AND(A3577&lt;&gt;"",ISNUMBER(A3577)),VLOOKUP(A3577,Studies!A:BR,5,FALSE),"")</f>
        <v>Midazolam</v>
      </c>
      <c r="F3577" s="207" t="str">
        <f>IF(AND(A3577&lt;&gt;"",ISNUMBER(A3577)),VLOOKUP(A3577,Studies!A:BR,6,FALSE),"")</f>
        <v>Plasma</v>
      </c>
      <c r="G3577" s="194">
        <v>36</v>
      </c>
      <c r="H3577" s="194" t="s">
        <v>60</v>
      </c>
      <c r="I3577" s="187">
        <v>491.3793</v>
      </c>
      <c r="J3577" s="187" t="s">
        <v>1026</v>
      </c>
      <c r="K3577" s="187" t="s">
        <v>389</v>
      </c>
      <c r="L3577" s="195">
        <v>379.31029999999998</v>
      </c>
      <c r="M3577" s="195" t="s">
        <v>1026</v>
      </c>
      <c r="N3577" s="195" t="s">
        <v>117</v>
      </c>
      <c r="O3577" s="199"/>
      <c r="P3577" s="188"/>
      <c r="Q3577" s="174">
        <f>IF(ISNUMBER(VLOOKUP(A3577,NotghiID!A:A,1,FALSE)),1,0)</f>
        <v>1</v>
      </c>
    </row>
    <row r="3578" spans="1:17" ht="14.25" x14ac:dyDescent="0.2">
      <c r="A3578" s="189">
        <v>402</v>
      </c>
      <c r="B3578" s="232" t="str">
        <f>IF(AND(A3578&lt;&gt;"",ISNUMBER(A3578)),VLOOKUP(A3578,Studies!A:BR,2,FALSE),"")</f>
        <v>Saari 2006</v>
      </c>
      <c r="C3578" s="232" t="str">
        <f>IF(AND(A3578&lt;&gt;"",ISNUMBER(A3578)),VLOOKUP(A3578,Studies!A:BR,3,FALSE),"")</f>
        <v>https://www.ncbi.nlm.nih.gov/pubmed/16580904</v>
      </c>
      <c r="D3578" s="232" t="str">
        <f>IF(AND(A3578&lt;&gt;"",ISNUMBER(A3578)),VLOOKUP(A3578,Studies!A:BR,4,FALSE),"")</f>
        <v>po with Perpetrator (Voriconazole)</v>
      </c>
      <c r="E3578" s="206" t="str">
        <f>IF(AND(A3578&lt;&gt;"",ISNUMBER(A3578)),VLOOKUP(A3578,Studies!A:BR,5,FALSE),"")</f>
        <v>Voriconazole</v>
      </c>
      <c r="F3578" s="207" t="str">
        <f>IF(AND(A3578&lt;&gt;"",ISNUMBER(A3578)),VLOOKUP(A3578,Studies!A:BR,6,FALSE),"")</f>
        <v>Plasma</v>
      </c>
      <c r="G3578" s="194">
        <v>37.5</v>
      </c>
      <c r="H3578" s="194" t="s">
        <v>60</v>
      </c>
      <c r="I3578" s="187">
        <v>1232.759</v>
      </c>
      <c r="J3578" s="187" t="s">
        <v>1026</v>
      </c>
      <c r="K3578" s="187" t="s">
        <v>389</v>
      </c>
      <c r="L3578" s="195">
        <v>508.62110000000001</v>
      </c>
      <c r="M3578" s="195" t="s">
        <v>1026</v>
      </c>
      <c r="N3578" s="195" t="s">
        <v>117</v>
      </c>
      <c r="O3578" s="199"/>
      <c r="P3578" s="188"/>
      <c r="Q3578" s="174">
        <f>IF(ISNUMBER(VLOOKUP(A3578,NotghiID!A:A,1,FALSE)),1,0)</f>
        <v>1</v>
      </c>
    </row>
    <row r="3579" spans="1:17" ht="14.25" x14ac:dyDescent="0.2">
      <c r="A3579" s="189">
        <v>402</v>
      </c>
      <c r="B3579" s="232" t="str">
        <f>IF(AND(A3579&lt;&gt;"",ISNUMBER(A3579)),VLOOKUP(A3579,Studies!A:BR,2,FALSE),"")</f>
        <v>Saari 2006</v>
      </c>
      <c r="C3579" s="232" t="str">
        <f>IF(AND(A3579&lt;&gt;"",ISNUMBER(A3579)),VLOOKUP(A3579,Studies!A:BR,3,FALSE),"")</f>
        <v>https://www.ncbi.nlm.nih.gov/pubmed/16580904</v>
      </c>
      <c r="D3579" s="232" t="str">
        <f>IF(AND(A3579&lt;&gt;"",ISNUMBER(A3579)),VLOOKUP(A3579,Studies!A:BR,4,FALSE),"")</f>
        <v>po with Perpetrator (Voriconazole)</v>
      </c>
      <c r="E3579" s="206" t="str">
        <f>IF(AND(A3579&lt;&gt;"",ISNUMBER(A3579)),VLOOKUP(A3579,Studies!A:BR,5,FALSE),"")</f>
        <v>Voriconazole</v>
      </c>
      <c r="F3579" s="207" t="str">
        <f>IF(AND(A3579&lt;&gt;"",ISNUMBER(A3579)),VLOOKUP(A3579,Studies!A:BR,6,FALSE),"")</f>
        <v>Plasma</v>
      </c>
      <c r="G3579" s="194">
        <v>38</v>
      </c>
      <c r="H3579" s="194" t="s">
        <v>60</v>
      </c>
      <c r="I3579" s="187">
        <v>1198.2760000000001</v>
      </c>
      <c r="J3579" s="187" t="s">
        <v>1026</v>
      </c>
      <c r="K3579" s="187" t="s">
        <v>389</v>
      </c>
      <c r="L3579" s="195">
        <v>512.93119999999999</v>
      </c>
      <c r="M3579" s="195" t="s">
        <v>1026</v>
      </c>
      <c r="N3579" s="195" t="s">
        <v>117</v>
      </c>
      <c r="O3579" s="199"/>
      <c r="P3579" s="188"/>
      <c r="Q3579" s="174">
        <f>IF(ISNUMBER(VLOOKUP(A3579,NotghiID!A:A,1,FALSE)),1,0)</f>
        <v>1</v>
      </c>
    </row>
    <row r="3580" spans="1:17" ht="14.25" x14ac:dyDescent="0.2">
      <c r="A3580" s="189">
        <v>402</v>
      </c>
      <c r="B3580" s="232" t="str">
        <f>IF(AND(A3580&lt;&gt;"",ISNUMBER(A3580)),VLOOKUP(A3580,Studies!A:BR,2,FALSE),"")</f>
        <v>Saari 2006</v>
      </c>
      <c r="C3580" s="232" t="str">
        <f>IF(AND(A3580&lt;&gt;"",ISNUMBER(A3580)),VLOOKUP(A3580,Studies!A:BR,3,FALSE),"")</f>
        <v>https://www.ncbi.nlm.nih.gov/pubmed/16580904</v>
      </c>
      <c r="D3580" s="232" t="str">
        <f>IF(AND(A3580&lt;&gt;"",ISNUMBER(A3580)),VLOOKUP(A3580,Studies!A:BR,4,FALSE),"")</f>
        <v>po with Perpetrator (Voriconazole)</v>
      </c>
      <c r="E3580" s="206" t="str">
        <f>IF(AND(A3580&lt;&gt;"",ISNUMBER(A3580)),VLOOKUP(A3580,Studies!A:BR,5,FALSE),"")</f>
        <v>Voriconazole</v>
      </c>
      <c r="F3580" s="207" t="str">
        <f>IF(AND(A3580&lt;&gt;"",ISNUMBER(A3580)),VLOOKUP(A3580,Studies!A:BR,6,FALSE),"")</f>
        <v>Plasma</v>
      </c>
      <c r="G3580" s="194">
        <v>38.5</v>
      </c>
      <c r="H3580" s="194" t="s">
        <v>60</v>
      </c>
      <c r="I3580" s="187">
        <v>1241.3789999999999</v>
      </c>
      <c r="J3580" s="187" t="s">
        <v>1026</v>
      </c>
      <c r="K3580" s="187" t="s">
        <v>389</v>
      </c>
      <c r="L3580" s="195">
        <v>642.24170000000004</v>
      </c>
      <c r="M3580" s="195" t="s">
        <v>1026</v>
      </c>
      <c r="N3580" s="195" t="s">
        <v>117</v>
      </c>
      <c r="O3580" s="199"/>
      <c r="P3580" s="188"/>
      <c r="Q3580" s="174">
        <f>IF(ISNUMBER(VLOOKUP(A3580,NotghiID!A:A,1,FALSE)),1,0)</f>
        <v>1</v>
      </c>
    </row>
    <row r="3581" spans="1:17" ht="14.25" x14ac:dyDescent="0.2">
      <c r="A3581" s="189">
        <v>402</v>
      </c>
      <c r="B3581" s="232" t="str">
        <f>IF(AND(A3581&lt;&gt;"",ISNUMBER(A3581)),VLOOKUP(A3581,Studies!A:BR,2,FALSE),"")</f>
        <v>Saari 2006</v>
      </c>
      <c r="C3581" s="232" t="str">
        <f>IF(AND(A3581&lt;&gt;"",ISNUMBER(A3581)),VLOOKUP(A3581,Studies!A:BR,3,FALSE),"")</f>
        <v>https://www.ncbi.nlm.nih.gov/pubmed/16580904</v>
      </c>
      <c r="D3581" s="232" t="str">
        <f>IF(AND(A3581&lt;&gt;"",ISNUMBER(A3581)),VLOOKUP(A3581,Studies!A:BR,4,FALSE),"")</f>
        <v>po with Perpetrator (Voriconazole)</v>
      </c>
      <c r="E3581" s="206" t="str">
        <f>IF(AND(A3581&lt;&gt;"",ISNUMBER(A3581)),VLOOKUP(A3581,Studies!A:BR,5,FALSE),"")</f>
        <v>Voriconazole</v>
      </c>
      <c r="F3581" s="207" t="str">
        <f>IF(AND(A3581&lt;&gt;"",ISNUMBER(A3581)),VLOOKUP(A3581,Studies!A:BR,6,FALSE),"")</f>
        <v>Plasma</v>
      </c>
      <c r="G3581" s="194">
        <v>39</v>
      </c>
      <c r="H3581" s="194" t="s">
        <v>60</v>
      </c>
      <c r="I3581" s="187">
        <v>1206.8969999999999</v>
      </c>
      <c r="J3581" s="187" t="s">
        <v>1026</v>
      </c>
      <c r="K3581" s="187" t="s">
        <v>389</v>
      </c>
      <c r="L3581" s="195">
        <v>577.58579999999995</v>
      </c>
      <c r="M3581" s="195" t="s">
        <v>1026</v>
      </c>
      <c r="N3581" s="195" t="s">
        <v>117</v>
      </c>
      <c r="O3581" s="199"/>
      <c r="P3581" s="188"/>
      <c r="Q3581" s="174">
        <f>IF(ISNUMBER(VLOOKUP(A3581,NotghiID!A:A,1,FALSE)),1,0)</f>
        <v>1</v>
      </c>
    </row>
    <row r="3582" spans="1:17" ht="14.25" x14ac:dyDescent="0.2">
      <c r="A3582" s="189">
        <v>402</v>
      </c>
      <c r="B3582" s="232" t="str">
        <f>IF(AND(A3582&lt;&gt;"",ISNUMBER(A3582)),VLOOKUP(A3582,Studies!A:BR,2,FALSE),"")</f>
        <v>Saari 2006</v>
      </c>
      <c r="C3582" s="232" t="str">
        <f>IF(AND(A3582&lt;&gt;"",ISNUMBER(A3582)),VLOOKUP(A3582,Studies!A:BR,3,FALSE),"")</f>
        <v>https://www.ncbi.nlm.nih.gov/pubmed/16580904</v>
      </c>
      <c r="D3582" s="232" t="str">
        <f>IF(AND(A3582&lt;&gt;"",ISNUMBER(A3582)),VLOOKUP(A3582,Studies!A:BR,4,FALSE),"")</f>
        <v>po with Perpetrator (Voriconazole)</v>
      </c>
      <c r="E3582" s="206" t="str">
        <f>IF(AND(A3582&lt;&gt;"",ISNUMBER(A3582)),VLOOKUP(A3582,Studies!A:BR,5,FALSE),"")</f>
        <v>Voriconazole</v>
      </c>
      <c r="F3582" s="207" t="str">
        <f>IF(AND(A3582&lt;&gt;"",ISNUMBER(A3582)),VLOOKUP(A3582,Studies!A:BR,6,FALSE),"")</f>
        <v>Plasma</v>
      </c>
      <c r="G3582" s="194">
        <v>40</v>
      </c>
      <c r="H3582" s="194" t="s">
        <v>60</v>
      </c>
      <c r="I3582" s="187">
        <v>1150.8620000000001</v>
      </c>
      <c r="J3582" s="187" t="s">
        <v>1026</v>
      </c>
      <c r="K3582" s="187" t="s">
        <v>389</v>
      </c>
      <c r="L3582" s="195">
        <v>590.5172</v>
      </c>
      <c r="M3582" s="195" t="s">
        <v>1026</v>
      </c>
      <c r="N3582" s="195" t="s">
        <v>117</v>
      </c>
      <c r="O3582" s="199"/>
      <c r="P3582" s="188"/>
      <c r="Q3582" s="174">
        <f>IF(ISNUMBER(VLOOKUP(A3582,NotghiID!A:A,1,FALSE)),1,0)</f>
        <v>1</v>
      </c>
    </row>
    <row r="3583" spans="1:17" ht="14.25" x14ac:dyDescent="0.2">
      <c r="A3583" s="189">
        <v>402</v>
      </c>
      <c r="B3583" s="232" t="str">
        <f>IF(AND(A3583&lt;&gt;"",ISNUMBER(A3583)),VLOOKUP(A3583,Studies!A:BR,2,FALSE),"")</f>
        <v>Saari 2006</v>
      </c>
      <c r="C3583" s="232" t="str">
        <f>IF(AND(A3583&lt;&gt;"",ISNUMBER(A3583)),VLOOKUP(A3583,Studies!A:BR,3,FALSE),"")</f>
        <v>https://www.ncbi.nlm.nih.gov/pubmed/16580904</v>
      </c>
      <c r="D3583" s="232" t="str">
        <f>IF(AND(A3583&lt;&gt;"",ISNUMBER(A3583)),VLOOKUP(A3583,Studies!A:BR,4,FALSE),"")</f>
        <v>po with Perpetrator (Voriconazole)</v>
      </c>
      <c r="E3583" s="206" t="str">
        <f>IF(AND(A3583&lt;&gt;"",ISNUMBER(A3583)),VLOOKUP(A3583,Studies!A:BR,5,FALSE),"")</f>
        <v>Voriconazole</v>
      </c>
      <c r="F3583" s="207" t="str">
        <f>IF(AND(A3583&lt;&gt;"",ISNUMBER(A3583)),VLOOKUP(A3583,Studies!A:BR,6,FALSE),"")</f>
        <v>Plasma</v>
      </c>
      <c r="G3583" s="194">
        <v>41</v>
      </c>
      <c r="H3583" s="194" t="s">
        <v>60</v>
      </c>
      <c r="I3583" s="187">
        <v>995.68960000000004</v>
      </c>
      <c r="J3583" s="187" t="s">
        <v>1026</v>
      </c>
      <c r="K3583" s="187" t="s">
        <v>389</v>
      </c>
      <c r="L3583" s="195">
        <v>525.86220000000003</v>
      </c>
      <c r="M3583" s="195" t="s">
        <v>1026</v>
      </c>
      <c r="N3583" s="195" t="s">
        <v>117</v>
      </c>
      <c r="O3583" s="199"/>
      <c r="P3583" s="188"/>
      <c r="Q3583" s="174">
        <f>IF(ISNUMBER(VLOOKUP(A3583,NotghiID!A:A,1,FALSE)),1,0)</f>
        <v>1</v>
      </c>
    </row>
    <row r="3584" spans="1:17" ht="14.25" x14ac:dyDescent="0.2">
      <c r="A3584" s="189">
        <v>402</v>
      </c>
      <c r="B3584" s="232" t="str">
        <f>IF(AND(A3584&lt;&gt;"",ISNUMBER(A3584)),VLOOKUP(A3584,Studies!A:BR,2,FALSE),"")</f>
        <v>Saari 2006</v>
      </c>
      <c r="C3584" s="232" t="str">
        <f>IF(AND(A3584&lt;&gt;"",ISNUMBER(A3584)),VLOOKUP(A3584,Studies!A:BR,3,FALSE),"")</f>
        <v>https://www.ncbi.nlm.nih.gov/pubmed/16580904</v>
      </c>
      <c r="D3584" s="232" t="str">
        <f>IF(AND(A3584&lt;&gt;"",ISNUMBER(A3584)),VLOOKUP(A3584,Studies!A:BR,4,FALSE),"")</f>
        <v>po with Perpetrator (Voriconazole)</v>
      </c>
      <c r="E3584" s="206" t="str">
        <f>IF(AND(A3584&lt;&gt;"",ISNUMBER(A3584)),VLOOKUP(A3584,Studies!A:BR,5,FALSE),"")</f>
        <v>Voriconazole</v>
      </c>
      <c r="F3584" s="207" t="str">
        <f>IF(AND(A3584&lt;&gt;"",ISNUMBER(A3584)),VLOOKUP(A3584,Studies!A:BR,6,FALSE),"")</f>
        <v>Plasma</v>
      </c>
      <c r="G3584" s="194">
        <v>43</v>
      </c>
      <c r="H3584" s="194" t="s">
        <v>60</v>
      </c>
      <c r="I3584" s="187">
        <v>672.41380000000004</v>
      </c>
      <c r="J3584" s="187" t="s">
        <v>1026</v>
      </c>
      <c r="K3584" s="187" t="s">
        <v>389</v>
      </c>
      <c r="L3584" s="195">
        <v>400.8621</v>
      </c>
      <c r="M3584" s="195" t="s">
        <v>1026</v>
      </c>
      <c r="N3584" s="195" t="s">
        <v>117</v>
      </c>
      <c r="O3584" s="199"/>
      <c r="P3584" s="188"/>
      <c r="Q3584" s="174">
        <f>IF(ISNUMBER(VLOOKUP(A3584,NotghiID!A:A,1,FALSE)),1,0)</f>
        <v>1</v>
      </c>
    </row>
    <row r="3585" spans="1:17" ht="14.25" x14ac:dyDescent="0.2">
      <c r="A3585" s="189">
        <v>402</v>
      </c>
      <c r="B3585" s="232" t="str">
        <f>IF(AND(A3585&lt;&gt;"",ISNUMBER(A3585)),VLOOKUP(A3585,Studies!A:BR,2,FALSE),"")</f>
        <v>Saari 2006</v>
      </c>
      <c r="C3585" s="232" t="str">
        <f>IF(AND(A3585&lt;&gt;"",ISNUMBER(A3585)),VLOOKUP(A3585,Studies!A:BR,3,FALSE),"")</f>
        <v>https://www.ncbi.nlm.nih.gov/pubmed/16580904</v>
      </c>
      <c r="D3585" s="232" t="str">
        <f>IF(AND(A3585&lt;&gt;"",ISNUMBER(A3585)),VLOOKUP(A3585,Studies!A:BR,4,FALSE),"")</f>
        <v>po with Perpetrator (Voriconazole)</v>
      </c>
      <c r="E3585" s="206" t="str">
        <f>IF(AND(A3585&lt;&gt;"",ISNUMBER(A3585)),VLOOKUP(A3585,Studies!A:BR,5,FALSE),"")</f>
        <v>Voriconazole</v>
      </c>
      <c r="F3585" s="207" t="str">
        <f>IF(AND(A3585&lt;&gt;"",ISNUMBER(A3585)),VLOOKUP(A3585,Studies!A:BR,6,FALSE),"")</f>
        <v>Plasma</v>
      </c>
      <c r="G3585" s="194">
        <v>45</v>
      </c>
      <c r="H3585" s="194" t="s">
        <v>60</v>
      </c>
      <c r="I3585" s="187">
        <v>517.2414</v>
      </c>
      <c r="J3585" s="187" t="s">
        <v>1026</v>
      </c>
      <c r="K3585" s="187" t="s">
        <v>389</v>
      </c>
      <c r="L3585" s="195">
        <v>340.5172</v>
      </c>
      <c r="M3585" s="195" t="s">
        <v>1026</v>
      </c>
      <c r="N3585" s="195" t="s">
        <v>117</v>
      </c>
      <c r="O3585" s="199"/>
      <c r="P3585" s="188"/>
      <c r="Q3585" s="174">
        <f>IF(ISNUMBER(VLOOKUP(A3585,NotghiID!A:A,1,FALSE)),1,0)</f>
        <v>1</v>
      </c>
    </row>
    <row r="3586" spans="1:17" ht="14.25" x14ac:dyDescent="0.2">
      <c r="A3586" s="189">
        <v>402</v>
      </c>
      <c r="B3586" s="232" t="str">
        <f>IF(AND(A3586&lt;&gt;"",ISNUMBER(A3586)),VLOOKUP(A3586,Studies!A:BR,2,FALSE),"")</f>
        <v>Saari 2006</v>
      </c>
      <c r="C3586" s="232" t="str">
        <f>IF(AND(A3586&lt;&gt;"",ISNUMBER(A3586)),VLOOKUP(A3586,Studies!A:BR,3,FALSE),"")</f>
        <v>https://www.ncbi.nlm.nih.gov/pubmed/16580904</v>
      </c>
      <c r="D3586" s="232" t="str">
        <f>IF(AND(A3586&lt;&gt;"",ISNUMBER(A3586)),VLOOKUP(A3586,Studies!A:BR,4,FALSE),"")</f>
        <v>po with Perpetrator (Voriconazole)</v>
      </c>
      <c r="E3586" s="206" t="str">
        <f>IF(AND(A3586&lt;&gt;"",ISNUMBER(A3586)),VLOOKUP(A3586,Studies!A:BR,5,FALSE),"")</f>
        <v>Voriconazole</v>
      </c>
      <c r="F3586" s="207" t="str">
        <f>IF(AND(A3586&lt;&gt;"",ISNUMBER(A3586)),VLOOKUP(A3586,Studies!A:BR,6,FALSE),"")</f>
        <v>Plasma</v>
      </c>
      <c r="G3586" s="194">
        <v>49</v>
      </c>
      <c r="H3586" s="194" t="s">
        <v>60</v>
      </c>
      <c r="I3586" s="187">
        <v>353.44830000000002</v>
      </c>
      <c r="J3586" s="187" t="s">
        <v>1026</v>
      </c>
      <c r="K3586" s="187" t="s">
        <v>389</v>
      </c>
      <c r="L3586" s="195">
        <v>314.65519999999998</v>
      </c>
      <c r="M3586" s="195" t="s">
        <v>1026</v>
      </c>
      <c r="N3586" s="195" t="s">
        <v>117</v>
      </c>
      <c r="O3586" s="199"/>
      <c r="P3586" s="188"/>
      <c r="Q3586" s="174">
        <f>IF(ISNUMBER(VLOOKUP(A3586,NotghiID!A:A,1,FALSE)),1,0)</f>
        <v>1</v>
      </c>
    </row>
    <row r="3587" spans="1:17" ht="14.25" x14ac:dyDescent="0.2">
      <c r="A3587" s="189">
        <v>402</v>
      </c>
      <c r="B3587" s="232" t="str">
        <f>IF(AND(A3587&lt;&gt;"",ISNUMBER(A3587)),VLOOKUP(A3587,Studies!A:BR,2,FALSE),"")</f>
        <v>Saari 2006</v>
      </c>
      <c r="C3587" s="232" t="str">
        <f>IF(AND(A3587&lt;&gt;"",ISNUMBER(A3587)),VLOOKUP(A3587,Studies!A:BR,3,FALSE),"")</f>
        <v>https://www.ncbi.nlm.nih.gov/pubmed/16580904</v>
      </c>
      <c r="D3587" s="232" t="str">
        <f>IF(AND(A3587&lt;&gt;"",ISNUMBER(A3587)),VLOOKUP(A3587,Studies!A:BR,4,FALSE),"")</f>
        <v>po with Perpetrator (Voriconazole)</v>
      </c>
      <c r="E3587" s="206" t="str">
        <f>IF(AND(A3587&lt;&gt;"",ISNUMBER(A3587)),VLOOKUP(A3587,Studies!A:BR,5,FALSE),"")</f>
        <v>Voriconazole</v>
      </c>
      <c r="F3587" s="207" t="str">
        <f>IF(AND(A3587&lt;&gt;"",ISNUMBER(A3587)),VLOOKUP(A3587,Studies!A:BR,6,FALSE),"")</f>
        <v>Plasma</v>
      </c>
      <c r="G3587" s="194">
        <v>61</v>
      </c>
      <c r="H3587" s="194" t="s">
        <v>60</v>
      </c>
      <c r="I3587" s="187">
        <v>125</v>
      </c>
      <c r="J3587" s="187" t="s">
        <v>1026</v>
      </c>
      <c r="K3587" s="187" t="s">
        <v>389</v>
      </c>
      <c r="L3587" s="195">
        <v>172.41380000000001</v>
      </c>
      <c r="M3587" s="195" t="s">
        <v>1026</v>
      </c>
      <c r="N3587" s="195" t="s">
        <v>117</v>
      </c>
      <c r="O3587" s="199"/>
      <c r="P3587" s="188"/>
      <c r="Q3587" s="174">
        <f>IF(ISNUMBER(VLOOKUP(A3587,NotghiID!A:A,1,FALSE)),1,0)</f>
        <v>1</v>
      </c>
    </row>
    <row r="3588" spans="1:17" ht="14.25" x14ac:dyDescent="0.2">
      <c r="A3588" s="189">
        <v>405</v>
      </c>
      <c r="B3588" s="232" t="str">
        <f>IF(AND(A3588&lt;&gt;"",ISNUMBER(A3588)),VLOOKUP(A3588,Studies!A:BR,2,FALSE),"")</f>
        <v>Saari 2006</v>
      </c>
      <c r="C3588" s="232" t="str">
        <f>IF(AND(A3588&lt;&gt;"",ISNUMBER(A3588)),VLOOKUP(A3588,Studies!A:BR,3,FALSE),"")</f>
        <v>https://www.ncbi.nlm.nih.gov/pubmed/16580904</v>
      </c>
      <c r="D3588" s="232" t="str">
        <f>IF(AND(A3588&lt;&gt;"",ISNUMBER(A3588)),VLOOKUP(A3588,Studies!A:BR,4,FALSE),"")</f>
        <v>iv with Perpetrator (Voriconazole)</v>
      </c>
      <c r="E3588" s="206" t="str">
        <f>IF(AND(A3588&lt;&gt;"",ISNUMBER(A3588)),VLOOKUP(A3588,Studies!A:BR,5,FALSE),"")</f>
        <v>Voriconazole</v>
      </c>
      <c r="F3588" s="207" t="str">
        <f>IF(AND(A3588&lt;&gt;"",ISNUMBER(A3588)),VLOOKUP(A3588,Studies!A:BR,6,FALSE),"")</f>
        <v>Plasma</v>
      </c>
      <c r="G3588" s="194">
        <v>36</v>
      </c>
      <c r="H3588" s="194" t="s">
        <v>60</v>
      </c>
      <c r="I3588" s="187">
        <v>396.55169999999998</v>
      </c>
      <c r="J3588" s="187" t="s">
        <v>1026</v>
      </c>
      <c r="K3588" s="187" t="s">
        <v>389</v>
      </c>
      <c r="L3588" s="195">
        <v>193.96549999999999</v>
      </c>
      <c r="M3588" s="195" t="s">
        <v>1026</v>
      </c>
      <c r="N3588" s="195" t="s">
        <v>117</v>
      </c>
      <c r="O3588" s="199"/>
      <c r="P3588" s="188"/>
      <c r="Q3588" s="174">
        <f>IF(ISNUMBER(VLOOKUP(A3588,NotghiID!A:A,1,FALSE)),1,0)</f>
        <v>1</v>
      </c>
    </row>
    <row r="3589" spans="1:17" ht="14.25" x14ac:dyDescent="0.2">
      <c r="A3589" s="189">
        <v>405</v>
      </c>
      <c r="B3589" s="232" t="str">
        <f>IF(AND(A3589&lt;&gt;"",ISNUMBER(A3589)),VLOOKUP(A3589,Studies!A:BR,2,FALSE),"")</f>
        <v>Saari 2006</v>
      </c>
      <c r="C3589" s="232" t="str">
        <f>IF(AND(A3589&lt;&gt;"",ISNUMBER(A3589)),VLOOKUP(A3589,Studies!A:BR,3,FALSE),"")</f>
        <v>https://www.ncbi.nlm.nih.gov/pubmed/16580904</v>
      </c>
      <c r="D3589" s="232" t="str">
        <f>IF(AND(A3589&lt;&gt;"",ISNUMBER(A3589)),VLOOKUP(A3589,Studies!A:BR,4,FALSE),"")</f>
        <v>iv with Perpetrator (Voriconazole)</v>
      </c>
      <c r="E3589" s="206" t="str">
        <f>IF(AND(A3589&lt;&gt;"",ISNUMBER(A3589)),VLOOKUP(A3589,Studies!A:BR,5,FALSE),"")</f>
        <v>Voriconazole</v>
      </c>
      <c r="F3589" s="207" t="str">
        <f>IF(AND(A3589&lt;&gt;"",ISNUMBER(A3589)),VLOOKUP(A3589,Studies!A:BR,6,FALSE),"")</f>
        <v>Plasma</v>
      </c>
      <c r="G3589" s="194">
        <v>37.5</v>
      </c>
      <c r="H3589" s="194" t="s">
        <v>60</v>
      </c>
      <c r="I3589" s="187">
        <v>1413.7929999999999</v>
      </c>
      <c r="J3589" s="187" t="s">
        <v>1026</v>
      </c>
      <c r="K3589" s="187" t="s">
        <v>389</v>
      </c>
      <c r="L3589" s="195">
        <v>370.68979999999999</v>
      </c>
      <c r="M3589" s="195" t="s">
        <v>1026</v>
      </c>
      <c r="N3589" s="195" t="s">
        <v>117</v>
      </c>
      <c r="O3589" s="199"/>
      <c r="P3589" s="188"/>
      <c r="Q3589" s="174">
        <f>IF(ISNUMBER(VLOOKUP(A3589,NotghiID!A:A,1,FALSE)),1,0)</f>
        <v>1</v>
      </c>
    </row>
    <row r="3590" spans="1:17" ht="14.25" x14ac:dyDescent="0.2">
      <c r="A3590" s="189">
        <v>405</v>
      </c>
      <c r="B3590" s="232" t="str">
        <f>IF(AND(A3590&lt;&gt;"",ISNUMBER(A3590)),VLOOKUP(A3590,Studies!A:BR,2,FALSE),"")</f>
        <v>Saari 2006</v>
      </c>
      <c r="C3590" s="232" t="str">
        <f>IF(AND(A3590&lt;&gt;"",ISNUMBER(A3590)),VLOOKUP(A3590,Studies!A:BR,3,FALSE),"")</f>
        <v>https://www.ncbi.nlm.nih.gov/pubmed/16580904</v>
      </c>
      <c r="D3590" s="232" t="str">
        <f>IF(AND(A3590&lt;&gt;"",ISNUMBER(A3590)),VLOOKUP(A3590,Studies!A:BR,4,FALSE),"")</f>
        <v>iv with Perpetrator (Voriconazole)</v>
      </c>
      <c r="E3590" s="206" t="str">
        <f>IF(AND(A3590&lt;&gt;"",ISNUMBER(A3590)),VLOOKUP(A3590,Studies!A:BR,5,FALSE),"")</f>
        <v>Voriconazole</v>
      </c>
      <c r="F3590" s="207" t="str">
        <f>IF(AND(A3590&lt;&gt;"",ISNUMBER(A3590)),VLOOKUP(A3590,Studies!A:BR,6,FALSE),"")</f>
        <v>Plasma</v>
      </c>
      <c r="G3590" s="194">
        <v>38</v>
      </c>
      <c r="H3590" s="194" t="s">
        <v>60</v>
      </c>
      <c r="I3590" s="187">
        <v>1327.586</v>
      </c>
      <c r="J3590" s="187" t="s">
        <v>1026</v>
      </c>
      <c r="K3590" s="187" t="s">
        <v>389</v>
      </c>
      <c r="L3590" s="195">
        <v>275.86219999999997</v>
      </c>
      <c r="M3590" s="195" t="s">
        <v>1026</v>
      </c>
      <c r="N3590" s="195" t="s">
        <v>117</v>
      </c>
      <c r="O3590" s="199"/>
      <c r="P3590" s="188"/>
      <c r="Q3590" s="174">
        <f>IF(ISNUMBER(VLOOKUP(A3590,NotghiID!A:A,1,FALSE)),1,0)</f>
        <v>1</v>
      </c>
    </row>
    <row r="3591" spans="1:17" ht="14.25" x14ac:dyDescent="0.2">
      <c r="A3591" s="189">
        <v>405</v>
      </c>
      <c r="B3591" s="232" t="str">
        <f>IF(AND(A3591&lt;&gt;"",ISNUMBER(A3591)),VLOOKUP(A3591,Studies!A:BR,2,FALSE),"")</f>
        <v>Saari 2006</v>
      </c>
      <c r="C3591" s="232" t="str">
        <f>IF(AND(A3591&lt;&gt;"",ISNUMBER(A3591)),VLOOKUP(A3591,Studies!A:BR,3,FALSE),"")</f>
        <v>https://www.ncbi.nlm.nih.gov/pubmed/16580904</v>
      </c>
      <c r="D3591" s="232" t="str">
        <f>IF(AND(A3591&lt;&gt;"",ISNUMBER(A3591)),VLOOKUP(A3591,Studies!A:BR,4,FALSE),"")</f>
        <v>iv with Perpetrator (Voriconazole)</v>
      </c>
      <c r="E3591" s="206" t="str">
        <f>IF(AND(A3591&lt;&gt;"",ISNUMBER(A3591)),VLOOKUP(A3591,Studies!A:BR,5,FALSE),"")</f>
        <v>Voriconazole</v>
      </c>
      <c r="F3591" s="207" t="str">
        <f>IF(AND(A3591&lt;&gt;"",ISNUMBER(A3591)),VLOOKUP(A3591,Studies!A:BR,6,FALSE),"")</f>
        <v>Plasma</v>
      </c>
      <c r="G3591" s="194">
        <v>38.5</v>
      </c>
      <c r="H3591" s="194" t="s">
        <v>60</v>
      </c>
      <c r="I3591" s="187">
        <v>1211.2070000000001</v>
      </c>
      <c r="J3591" s="187" t="s">
        <v>1026</v>
      </c>
      <c r="K3591" s="187" t="s">
        <v>389</v>
      </c>
      <c r="L3591" s="195">
        <v>284.48289999999997</v>
      </c>
      <c r="M3591" s="195" t="s">
        <v>1026</v>
      </c>
      <c r="N3591" s="195" t="s">
        <v>117</v>
      </c>
      <c r="O3591" s="199"/>
      <c r="P3591" s="188"/>
      <c r="Q3591" s="174">
        <f>IF(ISNUMBER(VLOOKUP(A3591,NotghiID!A:A,1,FALSE)),1,0)</f>
        <v>1</v>
      </c>
    </row>
    <row r="3592" spans="1:17" ht="14.25" x14ac:dyDescent="0.2">
      <c r="A3592" s="189">
        <v>405</v>
      </c>
      <c r="B3592" s="232" t="str">
        <f>IF(AND(A3592&lt;&gt;"",ISNUMBER(A3592)),VLOOKUP(A3592,Studies!A:BR,2,FALSE),"")</f>
        <v>Saari 2006</v>
      </c>
      <c r="C3592" s="232" t="str">
        <f>IF(AND(A3592&lt;&gt;"",ISNUMBER(A3592)),VLOOKUP(A3592,Studies!A:BR,3,FALSE),"")</f>
        <v>https://www.ncbi.nlm.nih.gov/pubmed/16580904</v>
      </c>
      <c r="D3592" s="232" t="str">
        <f>IF(AND(A3592&lt;&gt;"",ISNUMBER(A3592)),VLOOKUP(A3592,Studies!A:BR,4,FALSE),"")</f>
        <v>iv with Perpetrator (Voriconazole)</v>
      </c>
      <c r="E3592" s="206" t="str">
        <f>IF(AND(A3592&lt;&gt;"",ISNUMBER(A3592)),VLOOKUP(A3592,Studies!A:BR,5,FALSE),"")</f>
        <v>Voriconazole</v>
      </c>
      <c r="F3592" s="207" t="str">
        <f>IF(AND(A3592&lt;&gt;"",ISNUMBER(A3592)),VLOOKUP(A3592,Studies!A:BR,6,FALSE),"")</f>
        <v>Plasma</v>
      </c>
      <c r="G3592" s="194">
        <v>39</v>
      </c>
      <c r="H3592" s="194" t="s">
        <v>60</v>
      </c>
      <c r="I3592" s="187">
        <v>1137.931</v>
      </c>
      <c r="J3592" s="187" t="s">
        <v>1026</v>
      </c>
      <c r="K3592" s="187" t="s">
        <v>389</v>
      </c>
      <c r="L3592" s="195">
        <v>284.48270000000002</v>
      </c>
      <c r="M3592" s="195" t="s">
        <v>1026</v>
      </c>
      <c r="N3592" s="195" t="s">
        <v>117</v>
      </c>
      <c r="O3592" s="199"/>
      <c r="P3592" s="188"/>
      <c r="Q3592" s="174">
        <f>IF(ISNUMBER(VLOOKUP(A3592,NotghiID!A:A,1,FALSE)),1,0)</f>
        <v>1</v>
      </c>
    </row>
    <row r="3593" spans="1:17" ht="14.25" x14ac:dyDescent="0.2">
      <c r="A3593" s="189">
        <v>405</v>
      </c>
      <c r="B3593" s="232" t="str">
        <f>IF(AND(A3593&lt;&gt;"",ISNUMBER(A3593)),VLOOKUP(A3593,Studies!A:BR,2,FALSE),"")</f>
        <v>Saari 2006</v>
      </c>
      <c r="C3593" s="232" t="str">
        <f>IF(AND(A3593&lt;&gt;"",ISNUMBER(A3593)),VLOOKUP(A3593,Studies!A:BR,3,FALSE),"")</f>
        <v>https://www.ncbi.nlm.nih.gov/pubmed/16580904</v>
      </c>
      <c r="D3593" s="232" t="str">
        <f>IF(AND(A3593&lt;&gt;"",ISNUMBER(A3593)),VLOOKUP(A3593,Studies!A:BR,4,FALSE),"")</f>
        <v>iv with Perpetrator (Voriconazole)</v>
      </c>
      <c r="E3593" s="206" t="str">
        <f>IF(AND(A3593&lt;&gt;"",ISNUMBER(A3593)),VLOOKUP(A3593,Studies!A:BR,5,FALSE),"")</f>
        <v>Voriconazole</v>
      </c>
      <c r="F3593" s="207" t="str">
        <f>IF(AND(A3593&lt;&gt;"",ISNUMBER(A3593)),VLOOKUP(A3593,Studies!A:BR,6,FALSE),"")</f>
        <v>Plasma</v>
      </c>
      <c r="G3593" s="194">
        <v>40</v>
      </c>
      <c r="H3593" s="194" t="s">
        <v>60</v>
      </c>
      <c r="I3593" s="187">
        <v>991.37929999999994</v>
      </c>
      <c r="J3593" s="187" t="s">
        <v>1026</v>
      </c>
      <c r="K3593" s="187" t="s">
        <v>389</v>
      </c>
      <c r="L3593" s="195">
        <v>297.41379999999998</v>
      </c>
      <c r="M3593" s="195" t="s">
        <v>1026</v>
      </c>
      <c r="N3593" s="195" t="s">
        <v>117</v>
      </c>
      <c r="O3593" s="199"/>
      <c r="P3593" s="188"/>
      <c r="Q3593" s="174">
        <f>IF(ISNUMBER(VLOOKUP(A3593,NotghiID!A:A,1,FALSE)),1,0)</f>
        <v>1</v>
      </c>
    </row>
    <row r="3594" spans="1:17" ht="14.25" x14ac:dyDescent="0.2">
      <c r="A3594" s="189">
        <v>405</v>
      </c>
      <c r="B3594" s="232" t="str">
        <f>IF(AND(A3594&lt;&gt;"",ISNUMBER(A3594)),VLOOKUP(A3594,Studies!A:BR,2,FALSE),"")</f>
        <v>Saari 2006</v>
      </c>
      <c r="C3594" s="232" t="str">
        <f>IF(AND(A3594&lt;&gt;"",ISNUMBER(A3594)),VLOOKUP(A3594,Studies!A:BR,3,FALSE),"")</f>
        <v>https://www.ncbi.nlm.nih.gov/pubmed/16580904</v>
      </c>
      <c r="D3594" s="232" t="str">
        <f>IF(AND(A3594&lt;&gt;"",ISNUMBER(A3594)),VLOOKUP(A3594,Studies!A:BR,4,FALSE),"")</f>
        <v>iv with Perpetrator (Voriconazole)</v>
      </c>
      <c r="E3594" s="206" t="str">
        <f>IF(AND(A3594&lt;&gt;"",ISNUMBER(A3594)),VLOOKUP(A3594,Studies!A:BR,5,FALSE),"")</f>
        <v>Voriconazole</v>
      </c>
      <c r="F3594" s="207" t="str">
        <f>IF(AND(A3594&lt;&gt;"",ISNUMBER(A3594)),VLOOKUP(A3594,Studies!A:BR,6,FALSE),"")</f>
        <v>Plasma</v>
      </c>
      <c r="G3594" s="194">
        <v>41</v>
      </c>
      <c r="H3594" s="194" t="s">
        <v>60</v>
      </c>
      <c r="I3594" s="187">
        <v>883.62070000000006</v>
      </c>
      <c r="J3594" s="187" t="s">
        <v>1026</v>
      </c>
      <c r="K3594" s="187" t="s">
        <v>389</v>
      </c>
      <c r="L3594" s="195">
        <v>288.79320000000001</v>
      </c>
      <c r="M3594" s="195" t="s">
        <v>1026</v>
      </c>
      <c r="N3594" s="195" t="s">
        <v>117</v>
      </c>
      <c r="O3594" s="199"/>
      <c r="P3594" s="188"/>
      <c r="Q3594" s="174">
        <f>IF(ISNUMBER(VLOOKUP(A3594,NotghiID!A:A,1,FALSE)),1,0)</f>
        <v>1</v>
      </c>
    </row>
    <row r="3595" spans="1:17" ht="14.25" x14ac:dyDescent="0.2">
      <c r="A3595" s="189">
        <v>405</v>
      </c>
      <c r="B3595" s="232" t="str">
        <f>IF(AND(A3595&lt;&gt;"",ISNUMBER(A3595)),VLOOKUP(A3595,Studies!A:BR,2,FALSE),"")</f>
        <v>Saari 2006</v>
      </c>
      <c r="C3595" s="232" t="str">
        <f>IF(AND(A3595&lt;&gt;"",ISNUMBER(A3595)),VLOOKUP(A3595,Studies!A:BR,3,FALSE),"")</f>
        <v>https://www.ncbi.nlm.nih.gov/pubmed/16580904</v>
      </c>
      <c r="D3595" s="232" t="str">
        <f>IF(AND(A3595&lt;&gt;"",ISNUMBER(A3595)),VLOOKUP(A3595,Studies!A:BR,4,FALSE),"")</f>
        <v>iv with Perpetrator (Voriconazole)</v>
      </c>
      <c r="E3595" s="206" t="str">
        <f>IF(AND(A3595&lt;&gt;"",ISNUMBER(A3595)),VLOOKUP(A3595,Studies!A:BR,5,FALSE),"")</f>
        <v>Voriconazole</v>
      </c>
      <c r="F3595" s="207" t="str">
        <f>IF(AND(A3595&lt;&gt;"",ISNUMBER(A3595)),VLOOKUP(A3595,Studies!A:BR,6,FALSE),"")</f>
        <v>Plasma</v>
      </c>
      <c r="G3595" s="194">
        <v>43</v>
      </c>
      <c r="H3595" s="194" t="s">
        <v>60</v>
      </c>
      <c r="I3595" s="187">
        <v>650.86210000000005</v>
      </c>
      <c r="J3595" s="187" t="s">
        <v>1026</v>
      </c>
      <c r="K3595" s="187" t="s">
        <v>389</v>
      </c>
      <c r="L3595" s="195">
        <v>258.6207</v>
      </c>
      <c r="M3595" s="195" t="s">
        <v>1026</v>
      </c>
      <c r="N3595" s="195" t="s">
        <v>117</v>
      </c>
      <c r="O3595" s="199"/>
      <c r="P3595" s="188"/>
      <c r="Q3595" s="174">
        <f>IF(ISNUMBER(VLOOKUP(A3595,NotghiID!A:A,1,FALSE)),1,0)</f>
        <v>1</v>
      </c>
    </row>
    <row r="3596" spans="1:17" ht="14.25" x14ac:dyDescent="0.2">
      <c r="A3596" s="189">
        <v>405</v>
      </c>
      <c r="B3596" s="232" t="str">
        <f>IF(AND(A3596&lt;&gt;"",ISNUMBER(A3596)),VLOOKUP(A3596,Studies!A:BR,2,FALSE),"")</f>
        <v>Saari 2006</v>
      </c>
      <c r="C3596" s="232" t="str">
        <f>IF(AND(A3596&lt;&gt;"",ISNUMBER(A3596)),VLOOKUP(A3596,Studies!A:BR,3,FALSE),"")</f>
        <v>https://www.ncbi.nlm.nih.gov/pubmed/16580904</v>
      </c>
      <c r="D3596" s="232" t="str">
        <f>IF(AND(A3596&lt;&gt;"",ISNUMBER(A3596)),VLOOKUP(A3596,Studies!A:BR,4,FALSE),"")</f>
        <v>iv with Perpetrator (Voriconazole)</v>
      </c>
      <c r="E3596" s="206" t="str">
        <f>IF(AND(A3596&lt;&gt;"",ISNUMBER(A3596)),VLOOKUP(A3596,Studies!A:BR,5,FALSE),"")</f>
        <v>Voriconazole</v>
      </c>
      <c r="F3596" s="207" t="str">
        <f>IF(AND(A3596&lt;&gt;"",ISNUMBER(A3596)),VLOOKUP(A3596,Studies!A:BR,6,FALSE),"")</f>
        <v>Plasma</v>
      </c>
      <c r="G3596" s="194">
        <v>45</v>
      </c>
      <c r="H3596" s="194" t="s">
        <v>60</v>
      </c>
      <c r="I3596" s="187">
        <v>474.1379</v>
      </c>
      <c r="J3596" s="187" t="s">
        <v>1026</v>
      </c>
      <c r="K3596" s="187" t="s">
        <v>389</v>
      </c>
      <c r="L3596" s="195">
        <v>224.1379</v>
      </c>
      <c r="M3596" s="195" t="s">
        <v>1026</v>
      </c>
      <c r="N3596" s="195" t="s">
        <v>117</v>
      </c>
      <c r="O3596" s="199"/>
      <c r="P3596" s="188"/>
      <c r="Q3596" s="174">
        <f>IF(ISNUMBER(VLOOKUP(A3596,NotghiID!A:A,1,FALSE)),1,0)</f>
        <v>1</v>
      </c>
    </row>
    <row r="3597" spans="1:17" ht="14.25" x14ac:dyDescent="0.2">
      <c r="A3597" s="189">
        <v>405</v>
      </c>
      <c r="B3597" s="232" t="str">
        <f>IF(AND(A3597&lt;&gt;"",ISNUMBER(A3597)),VLOOKUP(A3597,Studies!A:BR,2,FALSE),"")</f>
        <v>Saari 2006</v>
      </c>
      <c r="C3597" s="232" t="str">
        <f>IF(AND(A3597&lt;&gt;"",ISNUMBER(A3597)),VLOOKUP(A3597,Studies!A:BR,3,FALSE),"")</f>
        <v>https://www.ncbi.nlm.nih.gov/pubmed/16580904</v>
      </c>
      <c r="D3597" s="232" t="str">
        <f>IF(AND(A3597&lt;&gt;"",ISNUMBER(A3597)),VLOOKUP(A3597,Studies!A:BR,4,FALSE),"")</f>
        <v>iv with Perpetrator (Voriconazole)</v>
      </c>
      <c r="E3597" s="206" t="str">
        <f>IF(AND(A3597&lt;&gt;"",ISNUMBER(A3597)),VLOOKUP(A3597,Studies!A:BR,5,FALSE),"")</f>
        <v>Voriconazole</v>
      </c>
      <c r="F3597" s="207" t="str">
        <f>IF(AND(A3597&lt;&gt;"",ISNUMBER(A3597)),VLOOKUP(A3597,Studies!A:BR,6,FALSE),"")</f>
        <v>Plasma</v>
      </c>
      <c r="G3597" s="194">
        <v>49</v>
      </c>
      <c r="H3597" s="194" t="s">
        <v>60</v>
      </c>
      <c r="I3597" s="187">
        <v>288.79309999999998</v>
      </c>
      <c r="J3597" s="187" t="s">
        <v>1026</v>
      </c>
      <c r="K3597" s="187" t="s">
        <v>389</v>
      </c>
      <c r="L3597" s="195">
        <v>189.65520000000001</v>
      </c>
      <c r="M3597" s="195" t="s">
        <v>1026</v>
      </c>
      <c r="N3597" s="195" t="s">
        <v>117</v>
      </c>
      <c r="O3597" s="199"/>
      <c r="P3597" s="188"/>
      <c r="Q3597" s="174">
        <f>IF(ISNUMBER(VLOOKUP(A3597,NotghiID!A:A,1,FALSE)),1,0)</f>
        <v>1</v>
      </c>
    </row>
    <row r="3598" spans="1:17" ht="14.25" x14ac:dyDescent="0.2">
      <c r="A3598" s="189">
        <v>405</v>
      </c>
      <c r="B3598" s="232" t="str">
        <f>IF(AND(A3598&lt;&gt;"",ISNUMBER(A3598)),VLOOKUP(A3598,Studies!A:BR,2,FALSE),"")</f>
        <v>Saari 2006</v>
      </c>
      <c r="C3598" s="232" t="str">
        <f>IF(AND(A3598&lt;&gt;"",ISNUMBER(A3598)),VLOOKUP(A3598,Studies!A:BR,3,FALSE),"")</f>
        <v>https://www.ncbi.nlm.nih.gov/pubmed/16580904</v>
      </c>
      <c r="D3598" s="232" t="str">
        <f>IF(AND(A3598&lt;&gt;"",ISNUMBER(A3598)),VLOOKUP(A3598,Studies!A:BR,4,FALSE),"")</f>
        <v>iv with Perpetrator (Voriconazole)</v>
      </c>
      <c r="E3598" s="206" t="str">
        <f>IF(AND(A3598&lt;&gt;"",ISNUMBER(A3598)),VLOOKUP(A3598,Studies!A:BR,5,FALSE),"")</f>
        <v>Voriconazole</v>
      </c>
      <c r="F3598" s="207" t="str">
        <f>IF(AND(A3598&lt;&gt;"",ISNUMBER(A3598)),VLOOKUP(A3598,Studies!A:BR,6,FALSE),"")</f>
        <v>Plasma</v>
      </c>
      <c r="G3598" s="194">
        <v>61</v>
      </c>
      <c r="H3598" s="194" t="s">
        <v>60</v>
      </c>
      <c r="I3598" s="187">
        <v>107.7586</v>
      </c>
      <c r="J3598" s="187" t="s">
        <v>1026</v>
      </c>
      <c r="K3598" s="187" t="s">
        <v>389</v>
      </c>
      <c r="L3598" s="195">
        <v>99.137910000000005</v>
      </c>
      <c r="M3598" s="195" t="s">
        <v>1026</v>
      </c>
      <c r="N3598" s="195" t="s">
        <v>117</v>
      </c>
      <c r="O3598" s="199"/>
      <c r="P3598" s="188"/>
      <c r="Q3598" s="174">
        <f>IF(ISNUMBER(VLOOKUP(A3598,NotghiID!A:A,1,FALSE)),1,0)</f>
        <v>1</v>
      </c>
    </row>
    <row r="3599" spans="1:17" ht="14.25" x14ac:dyDescent="0.2">
      <c r="A3599" s="189">
        <v>427</v>
      </c>
      <c r="B3599" s="232" t="str">
        <f>IF(AND(A3599&lt;&gt;"",ISNUMBER(A3599)),VLOOKUP(A3599,Studies!A:BR,2,FALSE),"")</f>
        <v>Tham 2006</v>
      </c>
      <c r="C3599" s="232" t="str">
        <f>IF(AND(A3599&lt;&gt;"",ISNUMBER(A3599)),VLOOKUP(A3599,Studies!A:BR,3,FALSE),"")</f>
        <v>https://www.ncbi.nlm.nih.gov/pubmed/16628140</v>
      </c>
      <c r="D3599" s="232" t="str">
        <f>IF(AND(A3599&lt;&gt;"",ISNUMBER(A3599)),VLOOKUP(A3599,Studies!A:BR,4,FALSE),"")</f>
        <v>Control (Perpetrator Placebo)</v>
      </c>
      <c r="E3599" s="206" t="str">
        <f>IF(AND(A3599&lt;&gt;"",ISNUMBER(A3599)),VLOOKUP(A3599,Studies!A:BR,5,FALSE),"")</f>
        <v>Midazolam</v>
      </c>
      <c r="F3599" s="207" t="str">
        <f>IF(AND(A3599&lt;&gt;"",ISNUMBER(A3599)),VLOOKUP(A3599,Studies!A:BR,6,FALSE),"")</f>
        <v>Plasma</v>
      </c>
      <c r="G3599" s="194">
        <v>0</v>
      </c>
      <c r="H3599" s="194" t="s">
        <v>60</v>
      </c>
      <c r="I3599" s="187">
        <v>0</v>
      </c>
      <c r="J3599" s="187" t="s">
        <v>1057</v>
      </c>
      <c r="K3599" s="187" t="s">
        <v>389</v>
      </c>
      <c r="L3599" s="195">
        <v>0</v>
      </c>
      <c r="M3599" s="195" t="s">
        <v>1057</v>
      </c>
      <c r="N3599" s="195" t="s">
        <v>1034</v>
      </c>
      <c r="O3599" s="199"/>
      <c r="P3599" s="188"/>
      <c r="Q3599" s="174">
        <f>IF(ISNUMBER(VLOOKUP(A3599,NotghiID!A:A,1,FALSE)),1,0)</f>
        <v>1</v>
      </c>
    </row>
    <row r="3600" spans="1:17" ht="14.25" x14ac:dyDescent="0.2">
      <c r="A3600" s="189">
        <v>427</v>
      </c>
      <c r="B3600" s="232" t="str">
        <f>IF(AND(A3600&lt;&gt;"",ISNUMBER(A3600)),VLOOKUP(A3600,Studies!A:BR,2,FALSE),"")</f>
        <v>Tham 2006</v>
      </c>
      <c r="C3600" s="232" t="str">
        <f>IF(AND(A3600&lt;&gt;"",ISNUMBER(A3600)),VLOOKUP(A3600,Studies!A:BR,3,FALSE),"")</f>
        <v>https://www.ncbi.nlm.nih.gov/pubmed/16628140</v>
      </c>
      <c r="D3600" s="232" t="str">
        <f>IF(AND(A3600&lt;&gt;"",ISNUMBER(A3600)),VLOOKUP(A3600,Studies!A:BR,4,FALSE),"")</f>
        <v>Control (Perpetrator Placebo)</v>
      </c>
      <c r="E3600" s="206" t="str">
        <f>IF(AND(A3600&lt;&gt;"",ISNUMBER(A3600)),VLOOKUP(A3600,Studies!A:BR,5,FALSE),"")</f>
        <v>Midazolam</v>
      </c>
      <c r="F3600" s="207" t="str">
        <f>IF(AND(A3600&lt;&gt;"",ISNUMBER(A3600)),VLOOKUP(A3600,Studies!A:BR,6,FALSE),"")</f>
        <v>Plasma</v>
      </c>
      <c r="G3600" s="194">
        <v>0.25</v>
      </c>
      <c r="H3600" s="194" t="s">
        <v>60</v>
      </c>
      <c r="I3600" s="187">
        <v>5.8100560000000002E-2</v>
      </c>
      <c r="J3600" s="187" t="s">
        <v>1057</v>
      </c>
      <c r="K3600" s="187" t="s">
        <v>389</v>
      </c>
      <c r="L3600" s="195">
        <v>6.8528879999999997E-3</v>
      </c>
      <c r="M3600" s="195" t="s">
        <v>1057</v>
      </c>
      <c r="N3600" s="195" t="s">
        <v>1034</v>
      </c>
      <c r="O3600" s="199"/>
      <c r="P3600" s="188"/>
      <c r="Q3600" s="174">
        <f>IF(ISNUMBER(VLOOKUP(A3600,NotghiID!A:A,1,FALSE)),1,0)</f>
        <v>1</v>
      </c>
    </row>
    <row r="3601" spans="1:17" ht="14.25" x14ac:dyDescent="0.2">
      <c r="A3601" s="189">
        <v>427</v>
      </c>
      <c r="B3601" s="232" t="str">
        <f>IF(AND(A3601&lt;&gt;"",ISNUMBER(A3601)),VLOOKUP(A3601,Studies!A:BR,2,FALSE),"")</f>
        <v>Tham 2006</v>
      </c>
      <c r="C3601" s="232" t="str">
        <f>IF(AND(A3601&lt;&gt;"",ISNUMBER(A3601)),VLOOKUP(A3601,Studies!A:BR,3,FALSE),"")</f>
        <v>https://www.ncbi.nlm.nih.gov/pubmed/16628140</v>
      </c>
      <c r="D3601" s="232" t="str">
        <f>IF(AND(A3601&lt;&gt;"",ISNUMBER(A3601)),VLOOKUP(A3601,Studies!A:BR,4,FALSE),"")</f>
        <v>Control (Perpetrator Placebo)</v>
      </c>
      <c r="E3601" s="206" t="str">
        <f>IF(AND(A3601&lt;&gt;"",ISNUMBER(A3601)),VLOOKUP(A3601,Studies!A:BR,5,FALSE),"")</f>
        <v>Midazolam</v>
      </c>
      <c r="F3601" s="207" t="str">
        <f>IF(AND(A3601&lt;&gt;"",ISNUMBER(A3601)),VLOOKUP(A3601,Studies!A:BR,6,FALSE),"")</f>
        <v>Plasma</v>
      </c>
      <c r="G3601" s="194">
        <v>0.5</v>
      </c>
      <c r="H3601" s="194" t="s">
        <v>60</v>
      </c>
      <c r="I3601" s="187">
        <v>3.9925509999999997E-2</v>
      </c>
      <c r="J3601" s="187" t="s">
        <v>1057</v>
      </c>
      <c r="K3601" s="187" t="s">
        <v>389</v>
      </c>
      <c r="L3601" s="195">
        <v>6.4059609999999999E-3</v>
      </c>
      <c r="M3601" s="195" t="s">
        <v>1057</v>
      </c>
      <c r="N3601" s="195" t="s">
        <v>1034</v>
      </c>
      <c r="O3601" s="199"/>
      <c r="P3601" s="188"/>
      <c r="Q3601" s="174">
        <f>IF(ISNUMBER(VLOOKUP(A3601,NotghiID!A:A,1,FALSE)),1,0)</f>
        <v>1</v>
      </c>
    </row>
    <row r="3602" spans="1:17" ht="14.25" x14ac:dyDescent="0.2">
      <c r="A3602" s="189">
        <v>427</v>
      </c>
      <c r="B3602" s="232" t="str">
        <f>IF(AND(A3602&lt;&gt;"",ISNUMBER(A3602)),VLOOKUP(A3602,Studies!A:BR,2,FALSE),"")</f>
        <v>Tham 2006</v>
      </c>
      <c r="C3602" s="232" t="str">
        <f>IF(AND(A3602&lt;&gt;"",ISNUMBER(A3602)),VLOOKUP(A3602,Studies!A:BR,3,FALSE),"")</f>
        <v>https://www.ncbi.nlm.nih.gov/pubmed/16628140</v>
      </c>
      <c r="D3602" s="232" t="str">
        <f>IF(AND(A3602&lt;&gt;"",ISNUMBER(A3602)),VLOOKUP(A3602,Studies!A:BR,4,FALSE),"")</f>
        <v>Control (Perpetrator Placebo)</v>
      </c>
      <c r="E3602" s="206" t="str">
        <f>IF(AND(A3602&lt;&gt;"",ISNUMBER(A3602)),VLOOKUP(A3602,Studies!A:BR,5,FALSE),"")</f>
        <v>Midazolam</v>
      </c>
      <c r="F3602" s="207" t="str">
        <f>IF(AND(A3602&lt;&gt;"",ISNUMBER(A3602)),VLOOKUP(A3602,Studies!A:BR,6,FALSE),"")</f>
        <v>Plasma</v>
      </c>
      <c r="G3602" s="194">
        <v>1</v>
      </c>
      <c r="H3602" s="194" t="s">
        <v>60</v>
      </c>
      <c r="I3602" s="187">
        <v>2.592179E-2</v>
      </c>
      <c r="J3602" s="187" t="s">
        <v>1057</v>
      </c>
      <c r="K3602" s="187" t="s">
        <v>389</v>
      </c>
      <c r="L3602" s="195">
        <v>7.0018659999999998E-3</v>
      </c>
      <c r="M3602" s="195" t="s">
        <v>1057</v>
      </c>
      <c r="N3602" s="195" t="s">
        <v>1034</v>
      </c>
      <c r="O3602" s="199"/>
      <c r="P3602" s="188"/>
      <c r="Q3602" s="174">
        <f>IF(ISNUMBER(VLOOKUP(A3602,NotghiID!A:A,1,FALSE)),1,0)</f>
        <v>1</v>
      </c>
    </row>
    <row r="3603" spans="1:17" ht="14.25" x14ac:dyDescent="0.2">
      <c r="A3603" s="189">
        <v>427</v>
      </c>
      <c r="B3603" s="232" t="str">
        <f>IF(AND(A3603&lt;&gt;"",ISNUMBER(A3603)),VLOOKUP(A3603,Studies!A:BR,2,FALSE),"")</f>
        <v>Tham 2006</v>
      </c>
      <c r="C3603" s="232" t="str">
        <f>IF(AND(A3603&lt;&gt;"",ISNUMBER(A3603)),VLOOKUP(A3603,Studies!A:BR,3,FALSE),"")</f>
        <v>https://www.ncbi.nlm.nih.gov/pubmed/16628140</v>
      </c>
      <c r="D3603" s="232" t="str">
        <f>IF(AND(A3603&lt;&gt;"",ISNUMBER(A3603)),VLOOKUP(A3603,Studies!A:BR,4,FALSE),"")</f>
        <v>Control (Perpetrator Placebo)</v>
      </c>
      <c r="E3603" s="206" t="str">
        <f>IF(AND(A3603&lt;&gt;"",ISNUMBER(A3603)),VLOOKUP(A3603,Studies!A:BR,5,FALSE),"")</f>
        <v>Midazolam</v>
      </c>
      <c r="F3603" s="207" t="str">
        <f>IF(AND(A3603&lt;&gt;"",ISNUMBER(A3603)),VLOOKUP(A3603,Studies!A:BR,6,FALSE),"")</f>
        <v>Plasma</v>
      </c>
      <c r="G3603" s="194">
        <v>1.5</v>
      </c>
      <c r="H3603" s="194" t="s">
        <v>60</v>
      </c>
      <c r="I3603" s="187">
        <v>2.3985099999999999E-2</v>
      </c>
      <c r="J3603" s="187" t="s">
        <v>1057</v>
      </c>
      <c r="K3603" s="187" t="s">
        <v>389</v>
      </c>
      <c r="L3603" s="195">
        <v>6.8528859999999999E-3</v>
      </c>
      <c r="M3603" s="195" t="s">
        <v>1057</v>
      </c>
      <c r="N3603" s="195" t="s">
        <v>1034</v>
      </c>
      <c r="O3603" s="199"/>
      <c r="P3603" s="188"/>
      <c r="Q3603" s="174">
        <f>IF(ISNUMBER(VLOOKUP(A3603,NotghiID!A:A,1,FALSE)),1,0)</f>
        <v>1</v>
      </c>
    </row>
    <row r="3604" spans="1:17" ht="14.25" x14ac:dyDescent="0.2">
      <c r="A3604" s="189">
        <v>427</v>
      </c>
      <c r="B3604" s="232" t="str">
        <f>IF(AND(A3604&lt;&gt;"",ISNUMBER(A3604)),VLOOKUP(A3604,Studies!A:BR,2,FALSE),"")</f>
        <v>Tham 2006</v>
      </c>
      <c r="C3604" s="232" t="str">
        <f>IF(AND(A3604&lt;&gt;"",ISNUMBER(A3604)),VLOOKUP(A3604,Studies!A:BR,3,FALSE),"")</f>
        <v>https://www.ncbi.nlm.nih.gov/pubmed/16628140</v>
      </c>
      <c r="D3604" s="232" t="str">
        <f>IF(AND(A3604&lt;&gt;"",ISNUMBER(A3604)),VLOOKUP(A3604,Studies!A:BR,4,FALSE),"")</f>
        <v>Control (Perpetrator Placebo)</v>
      </c>
      <c r="E3604" s="206" t="str">
        <f>IF(AND(A3604&lt;&gt;"",ISNUMBER(A3604)),VLOOKUP(A3604,Studies!A:BR,5,FALSE),"")</f>
        <v>Midazolam</v>
      </c>
      <c r="F3604" s="207" t="str">
        <f>IF(AND(A3604&lt;&gt;"",ISNUMBER(A3604)),VLOOKUP(A3604,Studies!A:BR,6,FALSE),"")</f>
        <v>Plasma</v>
      </c>
      <c r="G3604" s="194">
        <v>2</v>
      </c>
      <c r="H3604" s="194" t="s">
        <v>60</v>
      </c>
      <c r="I3604" s="187">
        <v>2.0260710000000001E-2</v>
      </c>
      <c r="J3604" s="187" t="s">
        <v>1057</v>
      </c>
      <c r="K3604" s="187" t="s">
        <v>389</v>
      </c>
      <c r="L3604" s="195">
        <v>6.852889E-3</v>
      </c>
      <c r="M3604" s="195" t="s">
        <v>1057</v>
      </c>
      <c r="N3604" s="195" t="s">
        <v>1034</v>
      </c>
      <c r="O3604" s="199"/>
      <c r="P3604" s="188"/>
      <c r="Q3604" s="174">
        <f>IF(ISNUMBER(VLOOKUP(A3604,NotghiID!A:A,1,FALSE)),1,0)</f>
        <v>1</v>
      </c>
    </row>
    <row r="3605" spans="1:17" ht="14.25" x14ac:dyDescent="0.2">
      <c r="A3605" s="189">
        <v>427</v>
      </c>
      <c r="B3605" s="232" t="str">
        <f>IF(AND(A3605&lt;&gt;"",ISNUMBER(A3605)),VLOOKUP(A3605,Studies!A:BR,2,FALSE),"")</f>
        <v>Tham 2006</v>
      </c>
      <c r="C3605" s="232" t="str">
        <f>IF(AND(A3605&lt;&gt;"",ISNUMBER(A3605)),VLOOKUP(A3605,Studies!A:BR,3,FALSE),"")</f>
        <v>https://www.ncbi.nlm.nih.gov/pubmed/16628140</v>
      </c>
      <c r="D3605" s="232" t="str">
        <f>IF(AND(A3605&lt;&gt;"",ISNUMBER(A3605)),VLOOKUP(A3605,Studies!A:BR,4,FALSE),"")</f>
        <v>Control (Perpetrator Placebo)</v>
      </c>
      <c r="E3605" s="206" t="str">
        <f>IF(AND(A3605&lt;&gt;"",ISNUMBER(A3605)),VLOOKUP(A3605,Studies!A:BR,5,FALSE),"")</f>
        <v>Midazolam</v>
      </c>
      <c r="F3605" s="207" t="str">
        <f>IF(AND(A3605&lt;&gt;"",ISNUMBER(A3605)),VLOOKUP(A3605,Studies!A:BR,6,FALSE),"")</f>
        <v>Plasma</v>
      </c>
      <c r="G3605" s="194">
        <v>3.5</v>
      </c>
      <c r="H3605" s="194" t="s">
        <v>60</v>
      </c>
      <c r="I3605" s="187">
        <v>9.8324020000000005E-3</v>
      </c>
      <c r="J3605" s="187" t="s">
        <v>1057</v>
      </c>
      <c r="K3605" s="187" t="s">
        <v>389</v>
      </c>
      <c r="L3605" s="195">
        <v>6.2569829999999998E-3</v>
      </c>
      <c r="M3605" s="195" t="s">
        <v>1057</v>
      </c>
      <c r="N3605" s="195" t="s">
        <v>1034</v>
      </c>
      <c r="O3605" s="199"/>
      <c r="P3605" s="188"/>
      <c r="Q3605" s="174">
        <f>IF(ISNUMBER(VLOOKUP(A3605,NotghiID!A:A,1,FALSE)),1,0)</f>
        <v>1</v>
      </c>
    </row>
    <row r="3606" spans="1:17" ht="14.25" x14ac:dyDescent="0.2">
      <c r="A3606" s="189">
        <v>427</v>
      </c>
      <c r="B3606" s="232" t="str">
        <f>IF(AND(A3606&lt;&gt;"",ISNUMBER(A3606)),VLOOKUP(A3606,Studies!A:BR,2,FALSE),"")</f>
        <v>Tham 2006</v>
      </c>
      <c r="C3606" s="232" t="str">
        <f>IF(AND(A3606&lt;&gt;"",ISNUMBER(A3606)),VLOOKUP(A3606,Studies!A:BR,3,FALSE),"")</f>
        <v>https://www.ncbi.nlm.nih.gov/pubmed/16628140</v>
      </c>
      <c r="D3606" s="232" t="str">
        <f>IF(AND(A3606&lt;&gt;"",ISNUMBER(A3606)),VLOOKUP(A3606,Studies!A:BR,4,FALSE),"")</f>
        <v>Control (Perpetrator Placebo)</v>
      </c>
      <c r="E3606" s="206" t="str">
        <f>IF(AND(A3606&lt;&gt;"",ISNUMBER(A3606)),VLOOKUP(A3606,Studies!A:BR,5,FALSE),"")</f>
        <v>Midazolam</v>
      </c>
      <c r="F3606" s="207" t="str">
        <f>IF(AND(A3606&lt;&gt;"",ISNUMBER(A3606)),VLOOKUP(A3606,Studies!A:BR,6,FALSE),"")</f>
        <v>Plasma</v>
      </c>
      <c r="G3606" s="194">
        <v>5</v>
      </c>
      <c r="H3606" s="194" t="s">
        <v>60</v>
      </c>
      <c r="I3606" s="187">
        <v>6.7039100000000004E-3</v>
      </c>
      <c r="J3606" s="187" t="s">
        <v>1057</v>
      </c>
      <c r="K3606" s="187" t="s">
        <v>389</v>
      </c>
      <c r="L3606" s="195">
        <v>6.8528870000000002E-3</v>
      </c>
      <c r="M3606" s="195" t="s">
        <v>1057</v>
      </c>
      <c r="N3606" s="195" t="s">
        <v>1034</v>
      </c>
      <c r="O3606" s="199"/>
      <c r="P3606" s="188"/>
      <c r="Q3606" s="174">
        <f>IF(ISNUMBER(VLOOKUP(A3606,NotghiID!A:A,1,FALSE)),1,0)</f>
        <v>1</v>
      </c>
    </row>
    <row r="3607" spans="1:17" ht="14.25" x14ac:dyDescent="0.2">
      <c r="A3607" s="189">
        <v>428</v>
      </c>
      <c r="B3607" s="232" t="str">
        <f>IF(AND(A3607&lt;&gt;"",ISNUMBER(A3607)),VLOOKUP(A3607,Studies!A:BR,2,FALSE),"")</f>
        <v>Tham 2006</v>
      </c>
      <c r="C3607" s="232" t="str">
        <f>IF(AND(A3607&lt;&gt;"",ISNUMBER(A3607)),VLOOKUP(A3607,Studies!A:BR,3,FALSE),"")</f>
        <v>https://www.ncbi.nlm.nih.gov/pubmed/16628140</v>
      </c>
      <c r="D3607" s="232" t="str">
        <f>IF(AND(A3607&lt;&gt;"",ISNUMBER(A3607)),VLOOKUP(A3607,Studies!A:BR,4,FALSE),"")</f>
        <v>with Perpetrator (Ketoconazole 50 mg)</v>
      </c>
      <c r="E3607" s="206" t="str">
        <f>IF(AND(A3607&lt;&gt;"",ISNUMBER(A3607)),VLOOKUP(A3607,Studies!A:BR,5,FALSE),"")</f>
        <v>Midazolam</v>
      </c>
      <c r="F3607" s="207" t="str">
        <f>IF(AND(A3607&lt;&gt;"",ISNUMBER(A3607)),VLOOKUP(A3607,Studies!A:BR,6,FALSE),"")</f>
        <v>Plasma</v>
      </c>
      <c r="G3607" s="194">
        <v>47</v>
      </c>
      <c r="H3607" s="194" t="s">
        <v>60</v>
      </c>
      <c r="I3607" s="187">
        <v>0</v>
      </c>
      <c r="J3607" s="187" t="s">
        <v>1057</v>
      </c>
      <c r="K3607" s="187" t="s">
        <v>389</v>
      </c>
      <c r="L3607" s="195">
        <v>0</v>
      </c>
      <c r="M3607" s="195" t="s">
        <v>1057</v>
      </c>
      <c r="N3607" s="195" t="s">
        <v>1034</v>
      </c>
      <c r="O3607" s="199"/>
      <c r="P3607" s="188"/>
      <c r="Q3607" s="174">
        <f>IF(ISNUMBER(VLOOKUP(A3607,NotghiID!A:A,1,FALSE)),1,0)</f>
        <v>1</v>
      </c>
    </row>
    <row r="3608" spans="1:17" ht="14.25" x14ac:dyDescent="0.2">
      <c r="A3608" s="189">
        <v>428</v>
      </c>
      <c r="B3608" s="232" t="str">
        <f>IF(AND(A3608&lt;&gt;"",ISNUMBER(A3608)),VLOOKUP(A3608,Studies!A:BR,2,FALSE),"")</f>
        <v>Tham 2006</v>
      </c>
      <c r="C3608" s="232" t="str">
        <f>IF(AND(A3608&lt;&gt;"",ISNUMBER(A3608)),VLOOKUP(A3608,Studies!A:BR,3,FALSE),"")</f>
        <v>https://www.ncbi.nlm.nih.gov/pubmed/16628140</v>
      </c>
      <c r="D3608" s="232" t="str">
        <f>IF(AND(A3608&lt;&gt;"",ISNUMBER(A3608)),VLOOKUP(A3608,Studies!A:BR,4,FALSE),"")</f>
        <v>with Perpetrator (Ketoconazole 50 mg)</v>
      </c>
      <c r="E3608" s="206" t="str">
        <f>IF(AND(A3608&lt;&gt;"",ISNUMBER(A3608)),VLOOKUP(A3608,Studies!A:BR,5,FALSE),"")</f>
        <v>Midazolam</v>
      </c>
      <c r="F3608" s="207" t="str">
        <f>IF(AND(A3608&lt;&gt;"",ISNUMBER(A3608)),VLOOKUP(A3608,Studies!A:BR,6,FALSE),"")</f>
        <v>Plasma</v>
      </c>
      <c r="G3608" s="194">
        <v>47.25</v>
      </c>
      <c r="H3608" s="194" t="s">
        <v>60</v>
      </c>
      <c r="I3608" s="187">
        <v>6.0931100000000002E-2</v>
      </c>
      <c r="J3608" s="187" t="s">
        <v>1057</v>
      </c>
      <c r="K3608" s="187" t="s">
        <v>389</v>
      </c>
      <c r="L3608" s="195">
        <v>9.8323969999999997E-3</v>
      </c>
      <c r="M3608" s="195" t="s">
        <v>1057</v>
      </c>
      <c r="N3608" s="195" t="s">
        <v>1034</v>
      </c>
      <c r="O3608" s="199"/>
      <c r="P3608" s="188"/>
      <c r="Q3608" s="174">
        <f>IF(ISNUMBER(VLOOKUP(A3608,NotghiID!A:A,1,FALSE)),1,0)</f>
        <v>1</v>
      </c>
    </row>
    <row r="3609" spans="1:17" ht="14.25" x14ac:dyDescent="0.2">
      <c r="A3609" s="189">
        <v>428</v>
      </c>
      <c r="B3609" s="232" t="str">
        <f>IF(AND(A3609&lt;&gt;"",ISNUMBER(A3609)),VLOOKUP(A3609,Studies!A:BR,2,FALSE),"")</f>
        <v>Tham 2006</v>
      </c>
      <c r="C3609" s="232" t="str">
        <f>IF(AND(A3609&lt;&gt;"",ISNUMBER(A3609)),VLOOKUP(A3609,Studies!A:BR,3,FALSE),"")</f>
        <v>https://www.ncbi.nlm.nih.gov/pubmed/16628140</v>
      </c>
      <c r="D3609" s="232" t="str">
        <f>IF(AND(A3609&lt;&gt;"",ISNUMBER(A3609)),VLOOKUP(A3609,Studies!A:BR,4,FALSE),"")</f>
        <v>with Perpetrator (Ketoconazole 50 mg)</v>
      </c>
      <c r="E3609" s="206" t="str">
        <f>IF(AND(A3609&lt;&gt;"",ISNUMBER(A3609)),VLOOKUP(A3609,Studies!A:BR,5,FALSE),"")</f>
        <v>Midazolam</v>
      </c>
      <c r="F3609" s="207" t="str">
        <f>IF(AND(A3609&lt;&gt;"",ISNUMBER(A3609)),VLOOKUP(A3609,Studies!A:BR,6,FALSE),"")</f>
        <v>Plasma</v>
      </c>
      <c r="G3609" s="194">
        <v>48</v>
      </c>
      <c r="H3609" s="194" t="s">
        <v>60</v>
      </c>
      <c r="I3609" s="187">
        <v>4.0074489999999997E-2</v>
      </c>
      <c r="J3609" s="187" t="s">
        <v>1057</v>
      </c>
      <c r="K3609" s="187" t="s">
        <v>389</v>
      </c>
      <c r="L3609" s="195">
        <v>9.8324009999999993E-3</v>
      </c>
      <c r="M3609" s="195" t="s">
        <v>1057</v>
      </c>
      <c r="N3609" s="195" t="s">
        <v>1034</v>
      </c>
      <c r="O3609" s="199"/>
      <c r="P3609" s="188"/>
      <c r="Q3609" s="174">
        <f>IF(ISNUMBER(VLOOKUP(A3609,NotghiID!A:A,1,FALSE)),1,0)</f>
        <v>1</v>
      </c>
    </row>
    <row r="3610" spans="1:17" ht="14.25" x14ac:dyDescent="0.2">
      <c r="A3610" s="189">
        <v>428</v>
      </c>
      <c r="B3610" s="232" t="str">
        <f>IF(AND(A3610&lt;&gt;"",ISNUMBER(A3610)),VLOOKUP(A3610,Studies!A:BR,2,FALSE),"")</f>
        <v>Tham 2006</v>
      </c>
      <c r="C3610" s="232" t="str">
        <f>IF(AND(A3610&lt;&gt;"",ISNUMBER(A3610)),VLOOKUP(A3610,Studies!A:BR,3,FALSE),"")</f>
        <v>https://www.ncbi.nlm.nih.gov/pubmed/16628140</v>
      </c>
      <c r="D3610" s="232" t="str">
        <f>IF(AND(A3610&lt;&gt;"",ISNUMBER(A3610)),VLOOKUP(A3610,Studies!A:BR,4,FALSE),"")</f>
        <v>with Perpetrator (Ketoconazole 50 mg)</v>
      </c>
      <c r="E3610" s="206" t="str">
        <f>IF(AND(A3610&lt;&gt;"",ISNUMBER(A3610)),VLOOKUP(A3610,Studies!A:BR,5,FALSE),"")</f>
        <v>Midazolam</v>
      </c>
      <c r="F3610" s="207" t="str">
        <f>IF(AND(A3610&lt;&gt;"",ISNUMBER(A3610)),VLOOKUP(A3610,Studies!A:BR,6,FALSE),"")</f>
        <v>Plasma</v>
      </c>
      <c r="G3610" s="194">
        <v>49</v>
      </c>
      <c r="H3610" s="194" t="s">
        <v>60</v>
      </c>
      <c r="I3610" s="187">
        <v>3.0093109999999999E-2</v>
      </c>
      <c r="J3610" s="187" t="s">
        <v>1057</v>
      </c>
      <c r="K3610" s="187" t="s">
        <v>389</v>
      </c>
      <c r="L3610" s="195">
        <v>9.832403E-3</v>
      </c>
      <c r="M3610" s="195" t="s">
        <v>1057</v>
      </c>
      <c r="N3610" s="195" t="s">
        <v>1034</v>
      </c>
      <c r="O3610" s="199"/>
      <c r="P3610" s="188"/>
      <c r="Q3610" s="174">
        <f>IF(ISNUMBER(VLOOKUP(A3610,NotghiID!A:A,1,FALSE)),1,0)</f>
        <v>1</v>
      </c>
    </row>
    <row r="3611" spans="1:17" ht="14.25" x14ac:dyDescent="0.2">
      <c r="A3611" s="189">
        <v>428</v>
      </c>
      <c r="B3611" s="232" t="str">
        <f>IF(AND(A3611&lt;&gt;"",ISNUMBER(A3611)),VLOOKUP(A3611,Studies!A:BR,2,FALSE),"")</f>
        <v>Tham 2006</v>
      </c>
      <c r="C3611" s="232" t="str">
        <f>IF(AND(A3611&lt;&gt;"",ISNUMBER(A3611)),VLOOKUP(A3611,Studies!A:BR,3,FALSE),"")</f>
        <v>https://www.ncbi.nlm.nih.gov/pubmed/16628140</v>
      </c>
      <c r="D3611" s="232" t="str">
        <f>IF(AND(A3611&lt;&gt;"",ISNUMBER(A3611)),VLOOKUP(A3611,Studies!A:BR,4,FALSE),"")</f>
        <v>with Perpetrator (Ketoconazole 50 mg)</v>
      </c>
      <c r="E3611" s="206" t="str">
        <f>IF(AND(A3611&lt;&gt;"",ISNUMBER(A3611)),VLOOKUP(A3611,Studies!A:BR,5,FALSE),"")</f>
        <v>Midazolam</v>
      </c>
      <c r="F3611" s="207" t="str">
        <f>IF(AND(A3611&lt;&gt;"",ISNUMBER(A3611)),VLOOKUP(A3611,Studies!A:BR,6,FALSE),"")</f>
        <v>Plasma</v>
      </c>
      <c r="G3611" s="194">
        <v>52</v>
      </c>
      <c r="H3611" s="194" t="s">
        <v>60</v>
      </c>
      <c r="I3611" s="187">
        <v>1.9366850000000001E-2</v>
      </c>
      <c r="J3611" s="187" t="s">
        <v>1057</v>
      </c>
      <c r="K3611" s="187" t="s">
        <v>389</v>
      </c>
      <c r="L3611" s="195">
        <v>1.013036E-2</v>
      </c>
      <c r="M3611" s="195" t="s">
        <v>1057</v>
      </c>
      <c r="N3611" s="195" t="s">
        <v>1034</v>
      </c>
      <c r="O3611" s="199"/>
      <c r="P3611" s="188"/>
      <c r="Q3611" s="174">
        <f>IF(ISNUMBER(VLOOKUP(A3611,NotghiID!A:A,1,FALSE)),1,0)</f>
        <v>1</v>
      </c>
    </row>
    <row r="3612" spans="1:17" ht="14.25" x14ac:dyDescent="0.2">
      <c r="A3612" s="205">
        <v>55</v>
      </c>
      <c r="B3612" s="232" t="str">
        <f>IF(AND(A3612&lt;&gt;"",ISNUMBER(A3612)),VLOOKUP(A3612,Studies!A:BR,2,FALSE),"")</f>
        <v>Backman 1998</v>
      </c>
      <c r="C3612" s="232" t="str">
        <f>IF(AND(A3612&lt;&gt;"",ISNUMBER(A3612)),VLOOKUP(A3612,Studies!A:BR,3,FALSE),"")</f>
        <v>https://www.ncbi.nlm.nih.gov/pubmed/9591931</v>
      </c>
      <c r="D3612" s="232" t="str">
        <f>IF(AND(A3612&lt;&gt;"",ISNUMBER(A3612)),VLOOKUP(A3612,Studies!A:BR,4,FALSE),"")</f>
        <v>Phase I (Control (Perpetrator Placebo))</v>
      </c>
      <c r="E3612" s="206" t="str">
        <f>IF(AND(A3612&lt;&gt;"",ISNUMBER(A3612)),VLOOKUP(A3612,Studies!A:BR,5,FALSE),"")</f>
        <v>Midazolam</v>
      </c>
      <c r="F3612" s="207" t="str">
        <f>IF(AND(A3612&lt;&gt;"",ISNUMBER(A3612)),VLOOKUP(A3612,Studies!A:BR,6,FALSE),"")</f>
        <v>Plasma</v>
      </c>
      <c r="G3612" s="194">
        <v>0</v>
      </c>
      <c r="H3612" s="194" t="s">
        <v>60</v>
      </c>
      <c r="I3612" s="187" t="s">
        <v>1152</v>
      </c>
      <c r="J3612" s="187" t="s">
        <v>1026</v>
      </c>
      <c r="K3612" s="187" t="s">
        <v>389</v>
      </c>
      <c r="L3612" s="195"/>
      <c r="M3612" s="195"/>
      <c r="N3612" s="195"/>
      <c r="O3612" s="199">
        <v>2</v>
      </c>
      <c r="P3612" s="188"/>
      <c r="Q3612" s="174">
        <f>IF(ISNUMBER(VLOOKUP(A3612,NotghiID!A:A,1,FALSE)),1,0)</f>
        <v>1</v>
      </c>
    </row>
    <row r="3613" spans="1:17" ht="14.25" x14ac:dyDescent="0.2">
      <c r="A3613" s="205">
        <v>55</v>
      </c>
      <c r="B3613" s="232" t="str">
        <f>IF(AND(A3613&lt;&gt;"",ISNUMBER(A3613)),VLOOKUP(A3613,Studies!A:BR,2,FALSE),"")</f>
        <v>Backman 1998</v>
      </c>
      <c r="C3613" s="232" t="str">
        <f>IF(AND(A3613&lt;&gt;"",ISNUMBER(A3613)),VLOOKUP(A3613,Studies!A:BR,3,FALSE),"")</f>
        <v>https://www.ncbi.nlm.nih.gov/pubmed/9591931</v>
      </c>
      <c r="D3613" s="232" t="str">
        <f>IF(AND(A3613&lt;&gt;"",ISNUMBER(A3613)),VLOOKUP(A3613,Studies!A:BR,4,FALSE),"")</f>
        <v>Phase I (Control (Perpetrator Placebo))</v>
      </c>
      <c r="E3613" s="206" t="str">
        <f>IF(AND(A3613&lt;&gt;"",ISNUMBER(A3613)),VLOOKUP(A3613,Studies!A:BR,5,FALSE),"")</f>
        <v>Midazolam</v>
      </c>
      <c r="F3613" s="207" t="str">
        <f>IF(AND(A3613&lt;&gt;"",ISNUMBER(A3613)),VLOOKUP(A3613,Studies!A:BR,6,FALSE),"")</f>
        <v>Plasma</v>
      </c>
      <c r="G3613" s="194">
        <v>0.5</v>
      </c>
      <c r="H3613" s="194" t="s">
        <v>60</v>
      </c>
      <c r="I3613" s="187">
        <v>25.101220000000001</v>
      </c>
      <c r="J3613" s="187" t="s">
        <v>1026</v>
      </c>
      <c r="K3613" s="187" t="s">
        <v>389</v>
      </c>
      <c r="L3613" s="195">
        <v>12.95546</v>
      </c>
      <c r="M3613" s="195" t="s">
        <v>1090</v>
      </c>
      <c r="N3613" s="195" t="s">
        <v>1034</v>
      </c>
      <c r="O3613" s="199">
        <v>2</v>
      </c>
      <c r="P3613" s="188"/>
      <c r="Q3613" s="174">
        <f>IF(ISNUMBER(VLOOKUP(A3613,NotghiID!A:A,1,FALSE)),1,0)</f>
        <v>1</v>
      </c>
    </row>
    <row r="3614" spans="1:17" ht="14.25" x14ac:dyDescent="0.2">
      <c r="A3614" s="205">
        <v>55</v>
      </c>
      <c r="B3614" s="232" t="str">
        <f>IF(AND(A3614&lt;&gt;"",ISNUMBER(A3614)),VLOOKUP(A3614,Studies!A:BR,2,FALSE),"")</f>
        <v>Backman 1998</v>
      </c>
      <c r="C3614" s="232" t="str">
        <f>IF(AND(A3614&lt;&gt;"",ISNUMBER(A3614)),VLOOKUP(A3614,Studies!A:BR,3,FALSE),"")</f>
        <v>https://www.ncbi.nlm.nih.gov/pubmed/9591931</v>
      </c>
      <c r="D3614" s="232" t="str">
        <f>IF(AND(A3614&lt;&gt;"",ISNUMBER(A3614)),VLOOKUP(A3614,Studies!A:BR,4,FALSE),"")</f>
        <v>Phase I (Control (Perpetrator Placebo))</v>
      </c>
      <c r="E3614" s="206" t="str">
        <f>IF(AND(A3614&lt;&gt;"",ISNUMBER(A3614)),VLOOKUP(A3614,Studies!A:BR,5,FALSE),"")</f>
        <v>Midazolam</v>
      </c>
      <c r="F3614" s="207" t="str">
        <f>IF(AND(A3614&lt;&gt;"",ISNUMBER(A3614)),VLOOKUP(A3614,Studies!A:BR,6,FALSE),"")</f>
        <v>Plasma</v>
      </c>
      <c r="G3614" s="194">
        <v>1</v>
      </c>
      <c r="H3614" s="194" t="s">
        <v>60</v>
      </c>
      <c r="I3614" s="187">
        <v>47.36842</v>
      </c>
      <c r="J3614" s="187" t="s">
        <v>1026</v>
      </c>
      <c r="K3614" s="187" t="s">
        <v>389</v>
      </c>
      <c r="L3614" s="195">
        <v>12.95547</v>
      </c>
      <c r="M3614" s="195" t="s">
        <v>1090</v>
      </c>
      <c r="N3614" s="195" t="s">
        <v>1034</v>
      </c>
      <c r="O3614" s="199">
        <v>2</v>
      </c>
      <c r="P3614" s="188"/>
      <c r="Q3614" s="174">
        <f>IF(ISNUMBER(VLOOKUP(A3614,NotghiID!A:A,1,FALSE)),1,0)</f>
        <v>1</v>
      </c>
    </row>
    <row r="3615" spans="1:17" ht="14.25" x14ac:dyDescent="0.2">
      <c r="A3615" s="205">
        <v>55</v>
      </c>
      <c r="B3615" s="232" t="str">
        <f>IF(AND(A3615&lt;&gt;"",ISNUMBER(A3615)),VLOOKUP(A3615,Studies!A:BR,2,FALSE),"")</f>
        <v>Backman 1998</v>
      </c>
      <c r="C3615" s="232" t="str">
        <f>IF(AND(A3615&lt;&gt;"",ISNUMBER(A3615)),VLOOKUP(A3615,Studies!A:BR,3,FALSE),"")</f>
        <v>https://www.ncbi.nlm.nih.gov/pubmed/9591931</v>
      </c>
      <c r="D3615" s="232" t="str">
        <f>IF(AND(A3615&lt;&gt;"",ISNUMBER(A3615)),VLOOKUP(A3615,Studies!A:BR,4,FALSE),"")</f>
        <v>Phase I (Control (Perpetrator Placebo))</v>
      </c>
      <c r="E3615" s="206" t="str">
        <f>IF(AND(A3615&lt;&gt;"",ISNUMBER(A3615)),VLOOKUP(A3615,Studies!A:BR,5,FALSE),"")</f>
        <v>Midazolam</v>
      </c>
      <c r="F3615" s="207" t="str">
        <f>IF(AND(A3615&lt;&gt;"",ISNUMBER(A3615)),VLOOKUP(A3615,Studies!A:BR,6,FALSE),"")</f>
        <v>Plasma</v>
      </c>
      <c r="G3615" s="194">
        <v>1.5</v>
      </c>
      <c r="H3615" s="194" t="s">
        <v>60</v>
      </c>
      <c r="I3615" s="187">
        <v>53.846150000000002</v>
      </c>
      <c r="J3615" s="187" t="s">
        <v>1026</v>
      </c>
      <c r="K3615" s="187" t="s">
        <v>389</v>
      </c>
      <c r="L3615" s="195">
        <v>12.550610000000001</v>
      </c>
      <c r="M3615" s="195" t="s">
        <v>1090</v>
      </c>
      <c r="N3615" s="195" t="s">
        <v>1034</v>
      </c>
      <c r="O3615" s="199">
        <v>2</v>
      </c>
      <c r="P3615" s="188"/>
      <c r="Q3615" s="174">
        <f>IF(ISNUMBER(VLOOKUP(A3615,NotghiID!A:A,1,FALSE)),1,0)</f>
        <v>1</v>
      </c>
    </row>
    <row r="3616" spans="1:17" ht="14.25" x14ac:dyDescent="0.2">
      <c r="A3616" s="205">
        <v>55</v>
      </c>
      <c r="B3616" s="232" t="str">
        <f>IF(AND(A3616&lt;&gt;"",ISNUMBER(A3616)),VLOOKUP(A3616,Studies!A:BR,2,FALSE),"")</f>
        <v>Backman 1998</v>
      </c>
      <c r="C3616" s="232" t="str">
        <f>IF(AND(A3616&lt;&gt;"",ISNUMBER(A3616)),VLOOKUP(A3616,Studies!A:BR,3,FALSE),"")</f>
        <v>https://www.ncbi.nlm.nih.gov/pubmed/9591931</v>
      </c>
      <c r="D3616" s="232" t="str">
        <f>IF(AND(A3616&lt;&gt;"",ISNUMBER(A3616)),VLOOKUP(A3616,Studies!A:BR,4,FALSE),"")</f>
        <v>Phase I (Control (Perpetrator Placebo))</v>
      </c>
      <c r="E3616" s="206" t="str">
        <f>IF(AND(A3616&lt;&gt;"",ISNUMBER(A3616)),VLOOKUP(A3616,Studies!A:BR,5,FALSE),"")</f>
        <v>Midazolam</v>
      </c>
      <c r="F3616" s="207" t="str">
        <f>IF(AND(A3616&lt;&gt;"",ISNUMBER(A3616)),VLOOKUP(A3616,Studies!A:BR,6,FALSE),"")</f>
        <v>Plasma</v>
      </c>
      <c r="G3616" s="194">
        <v>2</v>
      </c>
      <c r="H3616" s="194" t="s">
        <v>60</v>
      </c>
      <c r="I3616" s="187">
        <v>54.251010000000001</v>
      </c>
      <c r="J3616" s="187" t="s">
        <v>1026</v>
      </c>
      <c r="K3616" s="187" t="s">
        <v>389</v>
      </c>
      <c r="L3616" s="195">
        <v>11.336029999999999</v>
      </c>
      <c r="M3616" s="195" t="s">
        <v>1090</v>
      </c>
      <c r="N3616" s="195" t="s">
        <v>1034</v>
      </c>
      <c r="O3616" s="199">
        <v>2</v>
      </c>
      <c r="P3616" s="188"/>
      <c r="Q3616" s="174">
        <f>IF(ISNUMBER(VLOOKUP(A3616,NotghiID!A:A,1,FALSE)),1,0)</f>
        <v>1</v>
      </c>
    </row>
    <row r="3617" spans="1:17" ht="14.25" x14ac:dyDescent="0.2">
      <c r="A3617" s="205">
        <v>55</v>
      </c>
      <c r="B3617" s="232" t="str">
        <f>IF(AND(A3617&lt;&gt;"",ISNUMBER(A3617)),VLOOKUP(A3617,Studies!A:BR,2,FALSE),"")</f>
        <v>Backman 1998</v>
      </c>
      <c r="C3617" s="232" t="str">
        <f>IF(AND(A3617&lt;&gt;"",ISNUMBER(A3617)),VLOOKUP(A3617,Studies!A:BR,3,FALSE),"")</f>
        <v>https://www.ncbi.nlm.nih.gov/pubmed/9591931</v>
      </c>
      <c r="D3617" s="232" t="str">
        <f>IF(AND(A3617&lt;&gt;"",ISNUMBER(A3617)),VLOOKUP(A3617,Studies!A:BR,4,FALSE),"")</f>
        <v>Phase I (Control (Perpetrator Placebo))</v>
      </c>
      <c r="E3617" s="206" t="str">
        <f>IF(AND(A3617&lt;&gt;"",ISNUMBER(A3617)),VLOOKUP(A3617,Studies!A:BR,5,FALSE),"")</f>
        <v>Midazolam</v>
      </c>
      <c r="F3617" s="207" t="str">
        <f>IF(AND(A3617&lt;&gt;"",ISNUMBER(A3617)),VLOOKUP(A3617,Studies!A:BR,6,FALSE),"")</f>
        <v>Plasma</v>
      </c>
      <c r="G3617" s="194">
        <v>3</v>
      </c>
      <c r="H3617" s="194" t="s">
        <v>60</v>
      </c>
      <c r="I3617" s="187">
        <v>45.748989999999999</v>
      </c>
      <c r="J3617" s="187" t="s">
        <v>1026</v>
      </c>
      <c r="K3617" s="187" t="s">
        <v>389</v>
      </c>
      <c r="L3617" s="195">
        <v>9.7165990000000004</v>
      </c>
      <c r="M3617" s="195" t="s">
        <v>1090</v>
      </c>
      <c r="N3617" s="195" t="s">
        <v>1034</v>
      </c>
      <c r="O3617" s="199">
        <v>2</v>
      </c>
      <c r="P3617" s="188"/>
      <c r="Q3617" s="174">
        <f>IF(ISNUMBER(VLOOKUP(A3617,NotghiID!A:A,1,FALSE)),1,0)</f>
        <v>1</v>
      </c>
    </row>
    <row r="3618" spans="1:17" ht="14.25" x14ac:dyDescent="0.2">
      <c r="A3618" s="205">
        <v>55</v>
      </c>
      <c r="B3618" s="232" t="str">
        <f>IF(AND(A3618&lt;&gt;"",ISNUMBER(A3618)),VLOOKUP(A3618,Studies!A:BR,2,FALSE),"")</f>
        <v>Backman 1998</v>
      </c>
      <c r="C3618" s="232" t="str">
        <f>IF(AND(A3618&lt;&gt;"",ISNUMBER(A3618)),VLOOKUP(A3618,Studies!A:BR,3,FALSE),"")</f>
        <v>https://www.ncbi.nlm.nih.gov/pubmed/9591931</v>
      </c>
      <c r="D3618" s="232" t="str">
        <f>IF(AND(A3618&lt;&gt;"",ISNUMBER(A3618)),VLOOKUP(A3618,Studies!A:BR,4,FALSE),"")</f>
        <v>Phase I (Control (Perpetrator Placebo))</v>
      </c>
      <c r="E3618" s="206" t="str">
        <f>IF(AND(A3618&lt;&gt;"",ISNUMBER(A3618)),VLOOKUP(A3618,Studies!A:BR,5,FALSE),"")</f>
        <v>Midazolam</v>
      </c>
      <c r="F3618" s="207" t="str">
        <f>IF(AND(A3618&lt;&gt;"",ISNUMBER(A3618)),VLOOKUP(A3618,Studies!A:BR,6,FALSE),"")</f>
        <v>Plasma</v>
      </c>
      <c r="G3618" s="194">
        <v>4</v>
      </c>
      <c r="H3618" s="194" t="s">
        <v>60</v>
      </c>
      <c r="I3618" s="187">
        <v>27.125509999999998</v>
      </c>
      <c r="J3618" s="187" t="s">
        <v>1026</v>
      </c>
      <c r="K3618" s="187" t="s">
        <v>389</v>
      </c>
      <c r="L3618" s="195">
        <v>7.2874470000000002</v>
      </c>
      <c r="M3618" s="195" t="s">
        <v>1090</v>
      </c>
      <c r="N3618" s="195" t="s">
        <v>1034</v>
      </c>
      <c r="O3618" s="199">
        <v>2</v>
      </c>
      <c r="P3618" s="188"/>
      <c r="Q3618" s="174">
        <f>IF(ISNUMBER(VLOOKUP(A3618,NotghiID!A:A,1,FALSE)),1,0)</f>
        <v>1</v>
      </c>
    </row>
    <row r="3619" spans="1:17" ht="14.25" x14ac:dyDescent="0.2">
      <c r="A3619" s="205">
        <v>55</v>
      </c>
      <c r="B3619" s="232" t="str">
        <f>IF(AND(A3619&lt;&gt;"",ISNUMBER(A3619)),VLOOKUP(A3619,Studies!A:BR,2,FALSE),"")</f>
        <v>Backman 1998</v>
      </c>
      <c r="C3619" s="232" t="str">
        <f>IF(AND(A3619&lt;&gt;"",ISNUMBER(A3619)),VLOOKUP(A3619,Studies!A:BR,3,FALSE),"")</f>
        <v>https://www.ncbi.nlm.nih.gov/pubmed/9591931</v>
      </c>
      <c r="D3619" s="232" t="str">
        <f>IF(AND(A3619&lt;&gt;"",ISNUMBER(A3619)),VLOOKUP(A3619,Studies!A:BR,4,FALSE),"")</f>
        <v>Phase I (Control (Perpetrator Placebo))</v>
      </c>
      <c r="E3619" s="206" t="str">
        <f>IF(AND(A3619&lt;&gt;"",ISNUMBER(A3619)),VLOOKUP(A3619,Studies!A:BR,5,FALSE),"")</f>
        <v>Midazolam</v>
      </c>
      <c r="F3619" s="207" t="str">
        <f>IF(AND(A3619&lt;&gt;"",ISNUMBER(A3619)),VLOOKUP(A3619,Studies!A:BR,6,FALSE),"")</f>
        <v>Plasma</v>
      </c>
      <c r="G3619" s="194">
        <v>5</v>
      </c>
      <c r="H3619" s="194" t="s">
        <v>60</v>
      </c>
      <c r="I3619" s="187">
        <v>18.623480000000001</v>
      </c>
      <c r="J3619" s="187" t="s">
        <v>1026</v>
      </c>
      <c r="K3619" s="187" t="s">
        <v>389</v>
      </c>
      <c r="L3619" s="195">
        <v>5.2631610000000002</v>
      </c>
      <c r="M3619" s="195" t="s">
        <v>1090</v>
      </c>
      <c r="N3619" s="195" t="s">
        <v>1034</v>
      </c>
      <c r="O3619" s="199">
        <v>2</v>
      </c>
      <c r="P3619" s="188"/>
      <c r="Q3619" s="174">
        <f>IF(ISNUMBER(VLOOKUP(A3619,NotghiID!A:A,1,FALSE)),1,0)</f>
        <v>1</v>
      </c>
    </row>
    <row r="3620" spans="1:17" ht="14.25" x14ac:dyDescent="0.2">
      <c r="A3620" s="205">
        <v>55</v>
      </c>
      <c r="B3620" s="232" t="str">
        <f>IF(AND(A3620&lt;&gt;"",ISNUMBER(A3620)),VLOOKUP(A3620,Studies!A:BR,2,FALSE),"")</f>
        <v>Backman 1998</v>
      </c>
      <c r="C3620" s="232" t="str">
        <f>IF(AND(A3620&lt;&gt;"",ISNUMBER(A3620)),VLOOKUP(A3620,Studies!A:BR,3,FALSE),"")</f>
        <v>https://www.ncbi.nlm.nih.gov/pubmed/9591931</v>
      </c>
      <c r="D3620" s="232" t="str">
        <f>IF(AND(A3620&lt;&gt;"",ISNUMBER(A3620)),VLOOKUP(A3620,Studies!A:BR,4,FALSE),"")</f>
        <v>Phase I (Control (Perpetrator Placebo))</v>
      </c>
      <c r="E3620" s="206" t="str">
        <f>IF(AND(A3620&lt;&gt;"",ISNUMBER(A3620)),VLOOKUP(A3620,Studies!A:BR,5,FALSE),"")</f>
        <v>Midazolam</v>
      </c>
      <c r="F3620" s="207" t="str">
        <f>IF(AND(A3620&lt;&gt;"",ISNUMBER(A3620)),VLOOKUP(A3620,Studies!A:BR,6,FALSE),"")</f>
        <v>Plasma</v>
      </c>
      <c r="G3620" s="194">
        <v>6</v>
      </c>
      <c r="H3620" s="194" t="s">
        <v>60</v>
      </c>
      <c r="I3620" s="187">
        <v>14.5749</v>
      </c>
      <c r="J3620" s="187" t="s">
        <v>1026</v>
      </c>
      <c r="K3620" s="187" t="s">
        <v>389</v>
      </c>
      <c r="L3620" s="195"/>
      <c r="M3620" s="195"/>
      <c r="N3620" s="195"/>
      <c r="O3620" s="199">
        <v>2</v>
      </c>
      <c r="P3620" s="188"/>
      <c r="Q3620" s="174">
        <f>IF(ISNUMBER(VLOOKUP(A3620,NotghiID!A:A,1,FALSE)),1,0)</f>
        <v>1</v>
      </c>
    </row>
    <row r="3621" spans="1:17" ht="14.25" x14ac:dyDescent="0.2">
      <c r="A3621" s="205">
        <v>55</v>
      </c>
      <c r="B3621" s="232" t="str">
        <f>IF(AND(A3621&lt;&gt;"",ISNUMBER(A3621)),VLOOKUP(A3621,Studies!A:BR,2,FALSE),"")</f>
        <v>Backman 1998</v>
      </c>
      <c r="C3621" s="232" t="str">
        <f>IF(AND(A3621&lt;&gt;"",ISNUMBER(A3621)),VLOOKUP(A3621,Studies!A:BR,3,FALSE),"")</f>
        <v>https://www.ncbi.nlm.nih.gov/pubmed/9591931</v>
      </c>
      <c r="D3621" s="232" t="str">
        <f>IF(AND(A3621&lt;&gt;"",ISNUMBER(A3621)),VLOOKUP(A3621,Studies!A:BR,4,FALSE),"")</f>
        <v>Phase I (Control (Perpetrator Placebo))</v>
      </c>
      <c r="E3621" s="206" t="str">
        <f>IF(AND(A3621&lt;&gt;"",ISNUMBER(A3621)),VLOOKUP(A3621,Studies!A:BR,5,FALSE),"")</f>
        <v>Midazolam</v>
      </c>
      <c r="F3621" s="207" t="str">
        <f>IF(AND(A3621&lt;&gt;"",ISNUMBER(A3621)),VLOOKUP(A3621,Studies!A:BR,6,FALSE),"")</f>
        <v>Plasma</v>
      </c>
      <c r="G3621" s="194">
        <v>8</v>
      </c>
      <c r="H3621" s="194" t="s">
        <v>60</v>
      </c>
      <c r="I3621" s="187">
        <v>8.9068819999999995</v>
      </c>
      <c r="J3621" s="187" t="s">
        <v>1026</v>
      </c>
      <c r="K3621" s="187" t="s">
        <v>389</v>
      </c>
      <c r="L3621" s="195"/>
      <c r="M3621" s="195"/>
      <c r="N3621" s="195"/>
      <c r="O3621" s="199">
        <v>2</v>
      </c>
      <c r="P3621" s="188"/>
      <c r="Q3621" s="174">
        <f>IF(ISNUMBER(VLOOKUP(A3621,NotghiID!A:A,1,FALSE)),1,0)</f>
        <v>1</v>
      </c>
    </row>
    <row r="3622" spans="1:17" ht="14.25" x14ac:dyDescent="0.2">
      <c r="A3622" s="205">
        <v>55</v>
      </c>
      <c r="B3622" s="232" t="str">
        <f>IF(AND(A3622&lt;&gt;"",ISNUMBER(A3622)),VLOOKUP(A3622,Studies!A:BR,2,FALSE),"")</f>
        <v>Backman 1998</v>
      </c>
      <c r="C3622" s="232" t="str">
        <f>IF(AND(A3622&lt;&gt;"",ISNUMBER(A3622)),VLOOKUP(A3622,Studies!A:BR,3,FALSE),"")</f>
        <v>https://www.ncbi.nlm.nih.gov/pubmed/9591931</v>
      </c>
      <c r="D3622" s="232" t="str">
        <f>IF(AND(A3622&lt;&gt;"",ISNUMBER(A3622)),VLOOKUP(A3622,Studies!A:BR,4,FALSE),"")</f>
        <v>Phase I (Control (Perpetrator Placebo))</v>
      </c>
      <c r="E3622" s="206" t="str">
        <f>IF(AND(A3622&lt;&gt;"",ISNUMBER(A3622)),VLOOKUP(A3622,Studies!A:BR,5,FALSE),"")</f>
        <v>Midazolam</v>
      </c>
      <c r="F3622" s="207" t="str">
        <f>IF(AND(A3622&lt;&gt;"",ISNUMBER(A3622)),VLOOKUP(A3622,Studies!A:BR,6,FALSE),"")</f>
        <v>Plasma</v>
      </c>
      <c r="G3622" s="194">
        <v>10</v>
      </c>
      <c r="H3622" s="194" t="s">
        <v>60</v>
      </c>
      <c r="I3622" s="187">
        <v>6.4777329999999997</v>
      </c>
      <c r="J3622" s="187" t="s">
        <v>1026</v>
      </c>
      <c r="K3622" s="187" t="s">
        <v>389</v>
      </c>
      <c r="L3622" s="195"/>
      <c r="M3622" s="195"/>
      <c r="N3622" s="195"/>
      <c r="O3622" s="199">
        <v>2</v>
      </c>
      <c r="P3622" s="188"/>
      <c r="Q3622" s="174">
        <f>IF(ISNUMBER(VLOOKUP(A3622,NotghiID!A:A,1,FALSE)),1,0)</f>
        <v>1</v>
      </c>
    </row>
    <row r="3623" spans="1:17" ht="14.25" x14ac:dyDescent="0.2">
      <c r="A3623" s="205">
        <v>56</v>
      </c>
      <c r="B3623" s="232" t="str">
        <f>IF(AND(A3623&lt;&gt;"",ISNUMBER(A3623)),VLOOKUP(A3623,Studies!A:BR,2,FALSE),"")</f>
        <v>Backman 1998</v>
      </c>
      <c r="C3623" s="232" t="str">
        <f>IF(AND(A3623&lt;&gt;"",ISNUMBER(A3623)),VLOOKUP(A3623,Studies!A:BR,3,FALSE),"")</f>
        <v>https://www.ncbi.nlm.nih.gov/pubmed/9591931</v>
      </c>
      <c r="D3623" s="232" t="str">
        <f>IF(AND(A3623&lt;&gt;"",ISNUMBER(A3623)),VLOOKUP(A3623,Studies!A:BR,4,FALSE),"")</f>
        <v>Phase IV (during Perpetrator (Rifampicin))</v>
      </c>
      <c r="E3623" s="206" t="str">
        <f>IF(AND(A3623&lt;&gt;"",ISNUMBER(A3623)),VLOOKUP(A3623,Studies!A:BR,5,FALSE),"")</f>
        <v>Midazolam</v>
      </c>
      <c r="F3623" s="207" t="str">
        <f>IF(AND(A3623&lt;&gt;"",ISNUMBER(A3623)),VLOOKUP(A3623,Studies!A:BR,6,FALSE),"")</f>
        <v>Plasma</v>
      </c>
      <c r="G3623" s="194">
        <v>113</v>
      </c>
      <c r="H3623" s="194" t="s">
        <v>60</v>
      </c>
      <c r="I3623" s="187" t="s">
        <v>1152</v>
      </c>
      <c r="J3623" s="187" t="s">
        <v>1026</v>
      </c>
      <c r="K3623" s="187" t="s">
        <v>389</v>
      </c>
      <c r="L3623" s="195"/>
      <c r="M3623" s="195"/>
      <c r="N3623" s="195"/>
      <c r="O3623" s="199">
        <v>2</v>
      </c>
      <c r="P3623" s="188"/>
      <c r="Q3623" s="174">
        <f>IF(ISNUMBER(VLOOKUP(A3623,NotghiID!A:A,1,FALSE)),1,0)</f>
        <v>1</v>
      </c>
    </row>
    <row r="3624" spans="1:17" ht="14.25" x14ac:dyDescent="0.2">
      <c r="A3624" s="205">
        <v>56</v>
      </c>
      <c r="B3624" s="232" t="str">
        <f>IF(AND(A3624&lt;&gt;"",ISNUMBER(A3624)),VLOOKUP(A3624,Studies!A:BR,2,FALSE),"")</f>
        <v>Backman 1998</v>
      </c>
      <c r="C3624" s="232" t="str">
        <f>IF(AND(A3624&lt;&gt;"",ISNUMBER(A3624)),VLOOKUP(A3624,Studies!A:BR,3,FALSE),"")</f>
        <v>https://www.ncbi.nlm.nih.gov/pubmed/9591931</v>
      </c>
      <c r="D3624" s="232" t="str">
        <f>IF(AND(A3624&lt;&gt;"",ISNUMBER(A3624)),VLOOKUP(A3624,Studies!A:BR,4,FALSE),"")</f>
        <v>Phase IV (during Perpetrator (Rifampicin))</v>
      </c>
      <c r="E3624" s="206" t="str">
        <f>IF(AND(A3624&lt;&gt;"",ISNUMBER(A3624)),VLOOKUP(A3624,Studies!A:BR,5,FALSE),"")</f>
        <v>Midazolam</v>
      </c>
      <c r="F3624" s="207" t="str">
        <f>IF(AND(A3624&lt;&gt;"",ISNUMBER(A3624)),VLOOKUP(A3624,Studies!A:BR,6,FALSE),"")</f>
        <v>Plasma</v>
      </c>
      <c r="G3624" s="194">
        <v>113.5</v>
      </c>
      <c r="H3624" s="194" t="s">
        <v>60</v>
      </c>
      <c r="I3624" s="187">
        <v>2.024292</v>
      </c>
      <c r="J3624" s="187" t="s">
        <v>1026</v>
      </c>
      <c r="K3624" s="187" t="s">
        <v>389</v>
      </c>
      <c r="L3624" s="195"/>
      <c r="M3624" s="195"/>
      <c r="N3624" s="195"/>
      <c r="O3624" s="199">
        <v>2</v>
      </c>
      <c r="P3624" s="188"/>
      <c r="Q3624" s="174">
        <f>IF(ISNUMBER(VLOOKUP(A3624,NotghiID!A:A,1,FALSE)),1,0)</f>
        <v>1</v>
      </c>
    </row>
    <row r="3625" spans="1:17" ht="14.25" x14ac:dyDescent="0.2">
      <c r="A3625" s="205">
        <v>56</v>
      </c>
      <c r="B3625" s="232" t="str">
        <f>IF(AND(A3625&lt;&gt;"",ISNUMBER(A3625)),VLOOKUP(A3625,Studies!A:BR,2,FALSE),"")</f>
        <v>Backman 1998</v>
      </c>
      <c r="C3625" s="232" t="str">
        <f>IF(AND(A3625&lt;&gt;"",ISNUMBER(A3625)),VLOOKUP(A3625,Studies!A:BR,3,FALSE),"")</f>
        <v>https://www.ncbi.nlm.nih.gov/pubmed/9591931</v>
      </c>
      <c r="D3625" s="232" t="str">
        <f>IF(AND(A3625&lt;&gt;"",ISNUMBER(A3625)),VLOOKUP(A3625,Studies!A:BR,4,FALSE),"")</f>
        <v>Phase IV (during Perpetrator (Rifampicin))</v>
      </c>
      <c r="E3625" s="206" t="str">
        <f>IF(AND(A3625&lt;&gt;"",ISNUMBER(A3625)),VLOOKUP(A3625,Studies!A:BR,5,FALSE),"")</f>
        <v>Midazolam</v>
      </c>
      <c r="F3625" s="207" t="str">
        <f>IF(AND(A3625&lt;&gt;"",ISNUMBER(A3625)),VLOOKUP(A3625,Studies!A:BR,6,FALSE),"")</f>
        <v>Plasma</v>
      </c>
      <c r="G3625" s="194">
        <v>114</v>
      </c>
      <c r="H3625" s="194" t="s">
        <v>60</v>
      </c>
      <c r="I3625" s="187">
        <v>2.024292</v>
      </c>
      <c r="J3625" s="187" t="s">
        <v>1026</v>
      </c>
      <c r="K3625" s="187" t="s">
        <v>389</v>
      </c>
      <c r="L3625" s="195"/>
      <c r="M3625" s="195"/>
      <c r="N3625" s="195"/>
      <c r="O3625" s="199">
        <v>2</v>
      </c>
      <c r="P3625" s="188"/>
      <c r="Q3625" s="174">
        <f>IF(ISNUMBER(VLOOKUP(A3625,NotghiID!A:A,1,FALSE)),1,0)</f>
        <v>1</v>
      </c>
    </row>
    <row r="3626" spans="1:17" ht="14.25" x14ac:dyDescent="0.2">
      <c r="A3626" s="205">
        <v>56</v>
      </c>
      <c r="B3626" s="232" t="str">
        <f>IF(AND(A3626&lt;&gt;"",ISNUMBER(A3626)),VLOOKUP(A3626,Studies!A:BR,2,FALSE),"")</f>
        <v>Backman 1998</v>
      </c>
      <c r="C3626" s="232" t="str">
        <f>IF(AND(A3626&lt;&gt;"",ISNUMBER(A3626)),VLOOKUP(A3626,Studies!A:BR,3,FALSE),"")</f>
        <v>https://www.ncbi.nlm.nih.gov/pubmed/9591931</v>
      </c>
      <c r="D3626" s="232" t="str">
        <f>IF(AND(A3626&lt;&gt;"",ISNUMBER(A3626)),VLOOKUP(A3626,Studies!A:BR,4,FALSE),"")</f>
        <v>Phase IV (during Perpetrator (Rifampicin))</v>
      </c>
      <c r="E3626" s="206" t="str">
        <f>IF(AND(A3626&lt;&gt;"",ISNUMBER(A3626)),VLOOKUP(A3626,Studies!A:BR,5,FALSE),"")</f>
        <v>Midazolam</v>
      </c>
      <c r="F3626" s="207" t="str">
        <f>IF(AND(A3626&lt;&gt;"",ISNUMBER(A3626)),VLOOKUP(A3626,Studies!A:BR,6,FALSE),"")</f>
        <v>Plasma</v>
      </c>
      <c r="G3626" s="194">
        <v>114.5</v>
      </c>
      <c r="H3626" s="194" t="s">
        <v>60</v>
      </c>
      <c r="I3626" s="187">
        <v>1.214575</v>
      </c>
      <c r="J3626" s="187" t="s">
        <v>1026</v>
      </c>
      <c r="K3626" s="187" t="s">
        <v>389</v>
      </c>
      <c r="L3626" s="195"/>
      <c r="M3626" s="195"/>
      <c r="N3626" s="195"/>
      <c r="O3626" s="199">
        <v>2</v>
      </c>
      <c r="P3626" s="188"/>
      <c r="Q3626" s="174">
        <f>IF(ISNUMBER(VLOOKUP(A3626,NotghiID!A:A,1,FALSE)),1,0)</f>
        <v>1</v>
      </c>
    </row>
    <row r="3627" spans="1:17" ht="14.25" x14ac:dyDescent="0.2">
      <c r="A3627" s="205">
        <v>56</v>
      </c>
      <c r="B3627" s="232" t="str">
        <f>IF(AND(A3627&lt;&gt;"",ISNUMBER(A3627)),VLOOKUP(A3627,Studies!A:BR,2,FALSE),"")</f>
        <v>Backman 1998</v>
      </c>
      <c r="C3627" s="232" t="str">
        <f>IF(AND(A3627&lt;&gt;"",ISNUMBER(A3627)),VLOOKUP(A3627,Studies!A:BR,3,FALSE),"")</f>
        <v>https://www.ncbi.nlm.nih.gov/pubmed/9591931</v>
      </c>
      <c r="D3627" s="232" t="str">
        <f>IF(AND(A3627&lt;&gt;"",ISNUMBER(A3627)),VLOOKUP(A3627,Studies!A:BR,4,FALSE),"")</f>
        <v>Phase IV (during Perpetrator (Rifampicin))</v>
      </c>
      <c r="E3627" s="206" t="str">
        <f>IF(AND(A3627&lt;&gt;"",ISNUMBER(A3627)),VLOOKUP(A3627,Studies!A:BR,5,FALSE),"")</f>
        <v>Midazolam</v>
      </c>
      <c r="F3627" s="207" t="str">
        <f>IF(AND(A3627&lt;&gt;"",ISNUMBER(A3627)),VLOOKUP(A3627,Studies!A:BR,6,FALSE),"")</f>
        <v>Plasma</v>
      </c>
      <c r="G3627" s="194">
        <v>115</v>
      </c>
      <c r="H3627" s="194" t="s">
        <v>60</v>
      </c>
      <c r="I3627" s="187">
        <v>0.80971660000000001</v>
      </c>
      <c r="J3627" s="187" t="s">
        <v>1026</v>
      </c>
      <c r="K3627" s="187" t="s">
        <v>389</v>
      </c>
      <c r="L3627" s="195"/>
      <c r="M3627" s="195"/>
      <c r="N3627" s="195"/>
      <c r="O3627" s="199">
        <v>2</v>
      </c>
      <c r="P3627" s="188"/>
      <c r="Q3627" s="174">
        <f>IF(ISNUMBER(VLOOKUP(A3627,NotghiID!A:A,1,FALSE)),1,0)</f>
        <v>1</v>
      </c>
    </row>
    <row r="3628" spans="1:17" ht="14.25" x14ac:dyDescent="0.2">
      <c r="A3628" s="205">
        <v>57</v>
      </c>
      <c r="B3628" s="232" t="str">
        <f>IF(AND(A3628&lt;&gt;"",ISNUMBER(A3628)),VLOOKUP(A3628,Studies!A:BR,2,FALSE),"")</f>
        <v>Backman 1998</v>
      </c>
      <c r="C3628" s="232" t="str">
        <f>IF(AND(A3628&lt;&gt;"",ISNUMBER(A3628)),VLOOKUP(A3628,Studies!A:BR,3,FALSE),"")</f>
        <v>https://www.ncbi.nlm.nih.gov/pubmed/9591931</v>
      </c>
      <c r="D3628" s="232" t="str">
        <f>IF(AND(A3628&lt;&gt;"",ISNUMBER(A3628)),VLOOKUP(A3628,Studies!A:BR,4,FALSE),"")</f>
        <v>Phase V (4 days after Perpetrator (Rifampicin))</v>
      </c>
      <c r="E3628" s="206" t="str">
        <f>IF(AND(A3628&lt;&gt;"",ISNUMBER(A3628)),VLOOKUP(A3628,Studies!A:BR,5,FALSE),"")</f>
        <v>Midazolam</v>
      </c>
      <c r="F3628" s="207" t="str">
        <f>IF(AND(A3628&lt;&gt;"",ISNUMBER(A3628)),VLOOKUP(A3628,Studies!A:BR,6,FALSE),"")</f>
        <v>Plasma</v>
      </c>
      <c r="G3628" s="194">
        <v>185</v>
      </c>
      <c r="H3628" s="194" t="s">
        <v>60</v>
      </c>
      <c r="I3628" s="187" t="s">
        <v>1152</v>
      </c>
      <c r="J3628" s="187" t="s">
        <v>1026</v>
      </c>
      <c r="K3628" s="187" t="s">
        <v>389</v>
      </c>
      <c r="L3628" s="195"/>
      <c r="M3628" s="195"/>
      <c r="N3628" s="195"/>
      <c r="O3628" s="199">
        <v>2</v>
      </c>
      <c r="P3628" s="188"/>
      <c r="Q3628" s="174">
        <f>IF(ISNUMBER(VLOOKUP(A3628,NotghiID!A:A,1,FALSE)),1,0)</f>
        <v>1</v>
      </c>
    </row>
    <row r="3629" spans="1:17" ht="14.25" x14ac:dyDescent="0.2">
      <c r="A3629" s="205">
        <v>57</v>
      </c>
      <c r="B3629" s="232" t="str">
        <f>IF(AND(A3629&lt;&gt;"",ISNUMBER(A3629)),VLOOKUP(A3629,Studies!A:BR,2,FALSE),"")</f>
        <v>Backman 1998</v>
      </c>
      <c r="C3629" s="232" t="str">
        <f>IF(AND(A3629&lt;&gt;"",ISNUMBER(A3629)),VLOOKUP(A3629,Studies!A:BR,3,FALSE),"")</f>
        <v>https://www.ncbi.nlm.nih.gov/pubmed/9591931</v>
      </c>
      <c r="D3629" s="232" t="str">
        <f>IF(AND(A3629&lt;&gt;"",ISNUMBER(A3629)),VLOOKUP(A3629,Studies!A:BR,4,FALSE),"")</f>
        <v>Phase V (4 days after Perpetrator (Rifampicin))</v>
      </c>
      <c r="E3629" s="206" t="str">
        <f>IF(AND(A3629&lt;&gt;"",ISNUMBER(A3629)),VLOOKUP(A3629,Studies!A:BR,5,FALSE),"")</f>
        <v>Midazolam</v>
      </c>
      <c r="F3629" s="207" t="str">
        <f>IF(AND(A3629&lt;&gt;"",ISNUMBER(A3629)),VLOOKUP(A3629,Studies!A:BR,6,FALSE),"")</f>
        <v>Plasma</v>
      </c>
      <c r="G3629" s="194">
        <v>185.5</v>
      </c>
      <c r="H3629" s="194" t="s">
        <v>60</v>
      </c>
      <c r="I3629" s="187">
        <v>10.93117</v>
      </c>
      <c r="J3629" s="187" t="s">
        <v>1026</v>
      </c>
      <c r="K3629" s="187" t="s">
        <v>389</v>
      </c>
      <c r="L3629" s="195">
        <v>4.8583030000000003</v>
      </c>
      <c r="M3629" s="195" t="s">
        <v>1090</v>
      </c>
      <c r="N3629" s="195" t="s">
        <v>1034</v>
      </c>
      <c r="O3629" s="199">
        <v>2</v>
      </c>
      <c r="P3629" s="188"/>
      <c r="Q3629" s="174">
        <f>IF(ISNUMBER(VLOOKUP(A3629,NotghiID!A:A,1,FALSE)),1,0)</f>
        <v>1</v>
      </c>
    </row>
    <row r="3630" spans="1:17" ht="14.25" x14ac:dyDescent="0.2">
      <c r="A3630" s="205">
        <v>57</v>
      </c>
      <c r="B3630" s="232" t="str">
        <f>IF(AND(A3630&lt;&gt;"",ISNUMBER(A3630)),VLOOKUP(A3630,Studies!A:BR,2,FALSE),"")</f>
        <v>Backman 1998</v>
      </c>
      <c r="C3630" s="232" t="str">
        <f>IF(AND(A3630&lt;&gt;"",ISNUMBER(A3630)),VLOOKUP(A3630,Studies!A:BR,3,FALSE),"")</f>
        <v>https://www.ncbi.nlm.nih.gov/pubmed/9591931</v>
      </c>
      <c r="D3630" s="232" t="str">
        <f>IF(AND(A3630&lt;&gt;"",ISNUMBER(A3630)),VLOOKUP(A3630,Studies!A:BR,4,FALSE),"")</f>
        <v>Phase V (4 days after Perpetrator (Rifampicin))</v>
      </c>
      <c r="E3630" s="206" t="str">
        <f>IF(AND(A3630&lt;&gt;"",ISNUMBER(A3630)),VLOOKUP(A3630,Studies!A:BR,5,FALSE),"")</f>
        <v>Midazolam</v>
      </c>
      <c r="F3630" s="207" t="str">
        <f>IF(AND(A3630&lt;&gt;"",ISNUMBER(A3630)),VLOOKUP(A3630,Studies!A:BR,6,FALSE),"")</f>
        <v>Plasma</v>
      </c>
      <c r="G3630" s="194">
        <v>186</v>
      </c>
      <c r="H3630" s="194" t="s">
        <v>60</v>
      </c>
      <c r="I3630" s="187">
        <v>10.121460000000001</v>
      </c>
      <c r="J3630" s="187" t="s">
        <v>1026</v>
      </c>
      <c r="K3630" s="187" t="s">
        <v>389</v>
      </c>
      <c r="L3630" s="195"/>
      <c r="M3630" s="195"/>
      <c r="N3630" s="195"/>
      <c r="O3630" s="199">
        <v>2</v>
      </c>
      <c r="P3630" s="188"/>
      <c r="Q3630" s="174">
        <f>IF(ISNUMBER(VLOOKUP(A3630,NotghiID!A:A,1,FALSE)),1,0)</f>
        <v>1</v>
      </c>
    </row>
    <row r="3631" spans="1:17" ht="14.25" x14ac:dyDescent="0.2">
      <c r="A3631" s="205">
        <v>57</v>
      </c>
      <c r="B3631" s="232" t="str">
        <f>IF(AND(A3631&lt;&gt;"",ISNUMBER(A3631)),VLOOKUP(A3631,Studies!A:BR,2,FALSE),"")</f>
        <v>Backman 1998</v>
      </c>
      <c r="C3631" s="232" t="str">
        <f>IF(AND(A3631&lt;&gt;"",ISNUMBER(A3631)),VLOOKUP(A3631,Studies!A:BR,3,FALSE),"")</f>
        <v>https://www.ncbi.nlm.nih.gov/pubmed/9591931</v>
      </c>
      <c r="D3631" s="232" t="str">
        <f>IF(AND(A3631&lt;&gt;"",ISNUMBER(A3631)),VLOOKUP(A3631,Studies!A:BR,4,FALSE),"")</f>
        <v>Phase V (4 days after Perpetrator (Rifampicin))</v>
      </c>
      <c r="E3631" s="206" t="str">
        <f>IF(AND(A3631&lt;&gt;"",ISNUMBER(A3631)),VLOOKUP(A3631,Studies!A:BR,5,FALSE),"")</f>
        <v>Midazolam</v>
      </c>
      <c r="F3631" s="207" t="str">
        <f>IF(AND(A3631&lt;&gt;"",ISNUMBER(A3631)),VLOOKUP(A3631,Studies!A:BR,6,FALSE),"")</f>
        <v>Plasma</v>
      </c>
      <c r="G3631" s="194">
        <v>186.5</v>
      </c>
      <c r="H3631" s="194" t="s">
        <v>60</v>
      </c>
      <c r="I3631" s="187">
        <v>7.6923069999999996</v>
      </c>
      <c r="J3631" s="187" t="s">
        <v>1026</v>
      </c>
      <c r="K3631" s="187" t="s">
        <v>389</v>
      </c>
      <c r="L3631" s="195"/>
      <c r="M3631" s="195"/>
      <c r="N3631" s="195"/>
      <c r="O3631" s="199">
        <v>2</v>
      </c>
      <c r="P3631" s="188"/>
      <c r="Q3631" s="174">
        <f>IF(ISNUMBER(VLOOKUP(A3631,NotghiID!A:A,1,FALSE)),1,0)</f>
        <v>1</v>
      </c>
    </row>
    <row r="3632" spans="1:17" ht="14.25" x14ac:dyDescent="0.2">
      <c r="A3632" s="205">
        <v>57</v>
      </c>
      <c r="B3632" s="232" t="str">
        <f>IF(AND(A3632&lt;&gt;"",ISNUMBER(A3632)),VLOOKUP(A3632,Studies!A:BR,2,FALSE),"")</f>
        <v>Backman 1998</v>
      </c>
      <c r="C3632" s="232" t="str">
        <f>IF(AND(A3632&lt;&gt;"",ISNUMBER(A3632)),VLOOKUP(A3632,Studies!A:BR,3,FALSE),"")</f>
        <v>https://www.ncbi.nlm.nih.gov/pubmed/9591931</v>
      </c>
      <c r="D3632" s="232" t="str">
        <f>IF(AND(A3632&lt;&gt;"",ISNUMBER(A3632)),VLOOKUP(A3632,Studies!A:BR,4,FALSE),"")</f>
        <v>Phase V (4 days after Perpetrator (Rifampicin))</v>
      </c>
      <c r="E3632" s="206" t="str">
        <f>IF(AND(A3632&lt;&gt;"",ISNUMBER(A3632)),VLOOKUP(A3632,Studies!A:BR,5,FALSE),"")</f>
        <v>Midazolam</v>
      </c>
      <c r="F3632" s="207" t="str">
        <f>IF(AND(A3632&lt;&gt;"",ISNUMBER(A3632)),VLOOKUP(A3632,Studies!A:BR,6,FALSE),"")</f>
        <v>Plasma</v>
      </c>
      <c r="G3632" s="194">
        <v>187</v>
      </c>
      <c r="H3632" s="194" t="s">
        <v>60</v>
      </c>
      <c r="I3632" s="187">
        <v>6.4777329999999997</v>
      </c>
      <c r="J3632" s="187" t="s">
        <v>1026</v>
      </c>
      <c r="K3632" s="187" t="s">
        <v>389</v>
      </c>
      <c r="L3632" s="195"/>
      <c r="M3632" s="195"/>
      <c r="N3632" s="195"/>
      <c r="O3632" s="199">
        <v>2</v>
      </c>
      <c r="P3632" s="188"/>
      <c r="Q3632" s="174">
        <f>IF(ISNUMBER(VLOOKUP(A3632,NotghiID!A:A,1,FALSE)),1,0)</f>
        <v>1</v>
      </c>
    </row>
    <row r="3633" spans="1:18" ht="14.25" x14ac:dyDescent="0.2">
      <c r="A3633" s="205">
        <v>57</v>
      </c>
      <c r="B3633" s="232" t="str">
        <f>IF(AND(A3633&lt;&gt;"",ISNUMBER(A3633)),VLOOKUP(A3633,Studies!A:BR,2,FALSE),"")</f>
        <v>Backman 1998</v>
      </c>
      <c r="C3633" s="232" t="str">
        <f>IF(AND(A3633&lt;&gt;"",ISNUMBER(A3633)),VLOOKUP(A3633,Studies!A:BR,3,FALSE),"")</f>
        <v>https://www.ncbi.nlm.nih.gov/pubmed/9591931</v>
      </c>
      <c r="D3633" s="232" t="str">
        <f>IF(AND(A3633&lt;&gt;"",ISNUMBER(A3633)),VLOOKUP(A3633,Studies!A:BR,4,FALSE),"")</f>
        <v>Phase V (4 days after Perpetrator (Rifampicin))</v>
      </c>
      <c r="E3633" s="206" t="str">
        <f>IF(AND(A3633&lt;&gt;"",ISNUMBER(A3633)),VLOOKUP(A3633,Studies!A:BR,5,FALSE),"")</f>
        <v>Midazolam</v>
      </c>
      <c r="F3633" s="207" t="str">
        <f>IF(AND(A3633&lt;&gt;"",ISNUMBER(A3633)),VLOOKUP(A3633,Studies!A:BR,6,FALSE),"")</f>
        <v>Plasma</v>
      </c>
      <c r="G3633" s="194">
        <v>188</v>
      </c>
      <c r="H3633" s="194" t="s">
        <v>60</v>
      </c>
      <c r="I3633" s="187">
        <v>3.2388659999999998</v>
      </c>
      <c r="J3633" s="187" t="s">
        <v>1026</v>
      </c>
      <c r="K3633" s="187" t="s">
        <v>389</v>
      </c>
      <c r="L3633" s="195"/>
      <c r="M3633" s="195"/>
      <c r="N3633" s="195"/>
      <c r="O3633" s="199">
        <v>2</v>
      </c>
      <c r="P3633" s="188"/>
      <c r="Q3633" s="174">
        <f>IF(ISNUMBER(VLOOKUP(A3633,NotghiID!A:A,1,FALSE)),1,0)</f>
        <v>1</v>
      </c>
      <c r="R3633" s="183"/>
    </row>
    <row r="3634" spans="1:18" ht="14.25" x14ac:dyDescent="0.2">
      <c r="A3634" s="205">
        <v>57</v>
      </c>
      <c r="B3634" s="232" t="str">
        <f>IF(AND(A3634&lt;&gt;"",ISNUMBER(A3634)),VLOOKUP(A3634,Studies!A:BR,2,FALSE),"")</f>
        <v>Backman 1998</v>
      </c>
      <c r="C3634" s="232" t="str">
        <f>IF(AND(A3634&lt;&gt;"",ISNUMBER(A3634)),VLOOKUP(A3634,Studies!A:BR,3,FALSE),"")</f>
        <v>https://www.ncbi.nlm.nih.gov/pubmed/9591931</v>
      </c>
      <c r="D3634" s="232" t="str">
        <f>IF(AND(A3634&lt;&gt;"",ISNUMBER(A3634)),VLOOKUP(A3634,Studies!A:BR,4,FALSE),"")</f>
        <v>Phase V (4 days after Perpetrator (Rifampicin))</v>
      </c>
      <c r="E3634" s="206" t="str">
        <f>IF(AND(A3634&lt;&gt;"",ISNUMBER(A3634)),VLOOKUP(A3634,Studies!A:BR,5,FALSE),"")</f>
        <v>Midazolam</v>
      </c>
      <c r="F3634" s="207" t="str">
        <f>IF(AND(A3634&lt;&gt;"",ISNUMBER(A3634)),VLOOKUP(A3634,Studies!A:BR,6,FALSE),"")</f>
        <v>Plasma</v>
      </c>
      <c r="G3634" s="194">
        <v>189</v>
      </c>
      <c r="H3634" s="194" t="s">
        <v>60</v>
      </c>
      <c r="I3634" s="187">
        <v>1.6194329999999999</v>
      </c>
      <c r="J3634" s="187" t="s">
        <v>1026</v>
      </c>
      <c r="K3634" s="187" t="s">
        <v>389</v>
      </c>
      <c r="L3634" s="195"/>
      <c r="M3634" s="195"/>
      <c r="N3634" s="195"/>
      <c r="O3634" s="199">
        <v>2</v>
      </c>
      <c r="P3634" s="188"/>
      <c r="Q3634" s="174">
        <f>IF(ISNUMBER(VLOOKUP(A3634,NotghiID!A:A,1,FALSE)),1,0)</f>
        <v>1</v>
      </c>
      <c r="R3634" s="183"/>
    </row>
    <row r="3635" spans="1:18" ht="14.25" x14ac:dyDescent="0.2">
      <c r="A3635" s="205">
        <v>57</v>
      </c>
      <c r="B3635" s="232" t="str">
        <f>IF(AND(A3635&lt;&gt;"",ISNUMBER(A3635)),VLOOKUP(A3635,Studies!A:BR,2,FALSE),"")</f>
        <v>Backman 1998</v>
      </c>
      <c r="C3635" s="232" t="str">
        <f>IF(AND(A3635&lt;&gt;"",ISNUMBER(A3635)),VLOOKUP(A3635,Studies!A:BR,3,FALSE),"")</f>
        <v>https://www.ncbi.nlm.nih.gov/pubmed/9591931</v>
      </c>
      <c r="D3635" s="232" t="str">
        <f>IF(AND(A3635&lt;&gt;"",ISNUMBER(A3635)),VLOOKUP(A3635,Studies!A:BR,4,FALSE),"")</f>
        <v>Phase V (4 days after Perpetrator (Rifampicin))</v>
      </c>
      <c r="E3635" s="206" t="str">
        <f>IF(AND(A3635&lt;&gt;"",ISNUMBER(A3635)),VLOOKUP(A3635,Studies!A:BR,5,FALSE),"")</f>
        <v>Midazolam</v>
      </c>
      <c r="F3635" s="207" t="str">
        <f>IF(AND(A3635&lt;&gt;"",ISNUMBER(A3635)),VLOOKUP(A3635,Studies!A:BR,6,FALSE),"")</f>
        <v>Plasma</v>
      </c>
      <c r="G3635" s="194">
        <v>190</v>
      </c>
      <c r="H3635" s="194" t="s">
        <v>60</v>
      </c>
      <c r="I3635" s="187">
        <v>1.214575</v>
      </c>
      <c r="J3635" s="187" t="s">
        <v>1026</v>
      </c>
      <c r="K3635" s="187" t="s">
        <v>389</v>
      </c>
      <c r="L3635" s="195"/>
      <c r="M3635" s="195"/>
      <c r="N3635" s="195"/>
      <c r="O3635" s="199">
        <v>2</v>
      </c>
      <c r="P3635" s="188"/>
      <c r="Q3635" s="174">
        <f>IF(ISNUMBER(VLOOKUP(A3635,NotghiID!A:A,1,FALSE)),1,0)</f>
        <v>1</v>
      </c>
      <c r="R3635" s="183"/>
    </row>
    <row r="3636" spans="1:18" ht="14.25" x14ac:dyDescent="0.2">
      <c r="A3636" s="205">
        <v>58</v>
      </c>
      <c r="B3636" s="232" t="str">
        <f>IF(AND(A3636&lt;&gt;"",ISNUMBER(A3636)),VLOOKUP(A3636,Studies!A:BR,2,FALSE),"")</f>
        <v>Backman 1998</v>
      </c>
      <c r="C3636" s="232" t="str">
        <f>IF(AND(A3636&lt;&gt;"",ISNUMBER(A3636)),VLOOKUP(A3636,Studies!A:BR,3,FALSE),"")</f>
        <v>https://www.ncbi.nlm.nih.gov/pubmed/9591931</v>
      </c>
      <c r="D3636" s="232" t="str">
        <f>IF(AND(A3636&lt;&gt;"",ISNUMBER(A3636)),VLOOKUP(A3636,Studies!A:BR,4,FALSE),"")</f>
        <v>Phase II (during Perpetrator (Itraconazole))</v>
      </c>
      <c r="E3636" s="206" t="str">
        <f>IF(AND(A3636&lt;&gt;"",ISNUMBER(A3636)),VLOOKUP(A3636,Studies!A:BR,5,FALSE),"")</f>
        <v>Midazolam</v>
      </c>
      <c r="F3636" s="207" t="str">
        <f>IF(AND(A3636&lt;&gt;"",ISNUMBER(A3636)),VLOOKUP(A3636,Studies!A:BR,6,FALSE),"")</f>
        <v>Plasma</v>
      </c>
      <c r="G3636" s="194">
        <v>74</v>
      </c>
      <c r="H3636" s="194" t="s">
        <v>60</v>
      </c>
      <c r="I3636" s="187" t="s">
        <v>1152</v>
      </c>
      <c r="J3636" s="187" t="s">
        <v>1026</v>
      </c>
      <c r="K3636" s="187" t="s">
        <v>389</v>
      </c>
      <c r="L3636" s="195"/>
      <c r="M3636" s="195"/>
      <c r="N3636" s="195"/>
      <c r="O3636" s="199">
        <v>2</v>
      </c>
      <c r="P3636" s="188" t="s">
        <v>1153</v>
      </c>
      <c r="Q3636" s="174">
        <f>IF(ISNUMBER(VLOOKUP(A3636,NotghiID!A:A,1,FALSE)),1,0)</f>
        <v>1</v>
      </c>
      <c r="R3636" s="183"/>
    </row>
    <row r="3637" spans="1:18" ht="14.25" x14ac:dyDescent="0.2">
      <c r="A3637" s="205">
        <v>58</v>
      </c>
      <c r="B3637" s="232" t="str">
        <f>IF(AND(A3637&lt;&gt;"",ISNUMBER(A3637)),VLOOKUP(A3637,Studies!A:BR,2,FALSE),"")</f>
        <v>Backman 1998</v>
      </c>
      <c r="C3637" s="232" t="str">
        <f>IF(AND(A3637&lt;&gt;"",ISNUMBER(A3637)),VLOOKUP(A3637,Studies!A:BR,3,FALSE),"")</f>
        <v>https://www.ncbi.nlm.nih.gov/pubmed/9591931</v>
      </c>
      <c r="D3637" s="232" t="str">
        <f>IF(AND(A3637&lt;&gt;"",ISNUMBER(A3637)),VLOOKUP(A3637,Studies!A:BR,4,FALSE),"")</f>
        <v>Phase II (during Perpetrator (Itraconazole))</v>
      </c>
      <c r="E3637" s="206" t="str">
        <f>IF(AND(A3637&lt;&gt;"",ISNUMBER(A3637)),VLOOKUP(A3637,Studies!A:BR,5,FALSE),"")</f>
        <v>Midazolam</v>
      </c>
      <c r="F3637" s="207" t="str">
        <f>IF(AND(A3637&lt;&gt;"",ISNUMBER(A3637)),VLOOKUP(A3637,Studies!A:BR,6,FALSE),"")</f>
        <v>Plasma</v>
      </c>
      <c r="G3637" s="194">
        <v>74.5</v>
      </c>
      <c r="H3637" s="194" t="s">
        <v>60</v>
      </c>
      <c r="I3637" s="187">
        <v>121.4575</v>
      </c>
      <c r="J3637" s="187" t="s">
        <v>1026</v>
      </c>
      <c r="K3637" s="187" t="s">
        <v>389</v>
      </c>
      <c r="L3637" s="195">
        <v>46.963549999999998</v>
      </c>
      <c r="M3637" s="195" t="s">
        <v>1090</v>
      </c>
      <c r="N3637" s="195" t="s">
        <v>1034</v>
      </c>
      <c r="O3637" s="199">
        <v>2</v>
      </c>
      <c r="P3637" s="188" t="s">
        <v>1153</v>
      </c>
      <c r="Q3637" s="174">
        <f>IF(ISNUMBER(VLOOKUP(A3637,NotghiID!A:A,1,FALSE)),1,0)</f>
        <v>1</v>
      </c>
      <c r="R3637" s="183"/>
    </row>
    <row r="3638" spans="1:18" ht="14.25" x14ac:dyDescent="0.2">
      <c r="A3638" s="205">
        <v>58</v>
      </c>
      <c r="B3638" s="232" t="str">
        <f>IF(AND(A3638&lt;&gt;"",ISNUMBER(A3638)),VLOOKUP(A3638,Studies!A:BR,2,FALSE),"")</f>
        <v>Backman 1998</v>
      </c>
      <c r="C3638" s="232" t="str">
        <f>IF(AND(A3638&lt;&gt;"",ISNUMBER(A3638)),VLOOKUP(A3638,Studies!A:BR,3,FALSE),"")</f>
        <v>https://www.ncbi.nlm.nih.gov/pubmed/9591931</v>
      </c>
      <c r="D3638" s="232" t="str">
        <f>IF(AND(A3638&lt;&gt;"",ISNUMBER(A3638)),VLOOKUP(A3638,Studies!A:BR,4,FALSE),"")</f>
        <v>Phase II (during Perpetrator (Itraconazole))</v>
      </c>
      <c r="E3638" s="206" t="str">
        <f>IF(AND(A3638&lt;&gt;"",ISNUMBER(A3638)),VLOOKUP(A3638,Studies!A:BR,5,FALSE),"")</f>
        <v>Midazolam</v>
      </c>
      <c r="F3638" s="207" t="str">
        <f>IF(AND(A3638&lt;&gt;"",ISNUMBER(A3638)),VLOOKUP(A3638,Studies!A:BR,6,FALSE),"")</f>
        <v>Plasma</v>
      </c>
      <c r="G3638" s="194">
        <v>75</v>
      </c>
      <c r="H3638" s="194" t="s">
        <v>60</v>
      </c>
      <c r="I3638" s="187">
        <v>144.53440000000001</v>
      </c>
      <c r="J3638" s="187" t="s">
        <v>1026</v>
      </c>
      <c r="K3638" s="187" t="s">
        <v>389</v>
      </c>
      <c r="L3638" s="195">
        <v>32.388689999999997</v>
      </c>
      <c r="M3638" s="195" t="s">
        <v>1090</v>
      </c>
      <c r="N3638" s="195" t="s">
        <v>1034</v>
      </c>
      <c r="O3638" s="199">
        <v>2</v>
      </c>
      <c r="P3638" s="188" t="s">
        <v>1153</v>
      </c>
      <c r="Q3638" s="174">
        <f>IF(ISNUMBER(VLOOKUP(A3638,NotghiID!A:A,1,FALSE)),1,0)</f>
        <v>1</v>
      </c>
      <c r="R3638" s="183"/>
    </row>
    <row r="3639" spans="1:18" ht="14.25" x14ac:dyDescent="0.2">
      <c r="A3639" s="205">
        <v>58</v>
      </c>
      <c r="B3639" s="232" t="str">
        <f>IF(AND(A3639&lt;&gt;"",ISNUMBER(A3639)),VLOOKUP(A3639,Studies!A:BR,2,FALSE),"")</f>
        <v>Backman 1998</v>
      </c>
      <c r="C3639" s="232" t="str">
        <f>IF(AND(A3639&lt;&gt;"",ISNUMBER(A3639)),VLOOKUP(A3639,Studies!A:BR,3,FALSE),"")</f>
        <v>https://www.ncbi.nlm.nih.gov/pubmed/9591931</v>
      </c>
      <c r="D3639" s="232" t="str">
        <f>IF(AND(A3639&lt;&gt;"",ISNUMBER(A3639)),VLOOKUP(A3639,Studies!A:BR,4,FALSE),"")</f>
        <v>Phase II (during Perpetrator (Itraconazole))</v>
      </c>
      <c r="E3639" s="206" t="str">
        <f>IF(AND(A3639&lt;&gt;"",ISNUMBER(A3639)),VLOOKUP(A3639,Studies!A:BR,5,FALSE),"")</f>
        <v>Midazolam</v>
      </c>
      <c r="F3639" s="207" t="str">
        <f>IF(AND(A3639&lt;&gt;"",ISNUMBER(A3639)),VLOOKUP(A3639,Studies!A:BR,6,FALSE),"")</f>
        <v>Plasma</v>
      </c>
      <c r="G3639" s="194">
        <v>75.5</v>
      </c>
      <c r="H3639" s="194" t="s">
        <v>60</v>
      </c>
      <c r="I3639" s="187">
        <v>165.18219999999999</v>
      </c>
      <c r="J3639" s="187" t="s">
        <v>1026</v>
      </c>
      <c r="K3639" s="187" t="s">
        <v>389</v>
      </c>
      <c r="L3639" s="195">
        <v>31.17407</v>
      </c>
      <c r="M3639" s="195" t="s">
        <v>1090</v>
      </c>
      <c r="N3639" s="195" t="s">
        <v>1034</v>
      </c>
      <c r="O3639" s="199">
        <v>2</v>
      </c>
      <c r="P3639" s="188" t="s">
        <v>1153</v>
      </c>
      <c r="Q3639" s="174">
        <f>IF(ISNUMBER(VLOOKUP(A3639,NotghiID!A:A,1,FALSE)),1,0)</f>
        <v>1</v>
      </c>
      <c r="R3639" s="183"/>
    </row>
    <row r="3640" spans="1:18" ht="14.25" x14ac:dyDescent="0.2">
      <c r="A3640" s="205">
        <v>58</v>
      </c>
      <c r="B3640" s="232" t="str">
        <f>IF(AND(A3640&lt;&gt;"",ISNUMBER(A3640)),VLOOKUP(A3640,Studies!A:BR,2,FALSE),"")</f>
        <v>Backman 1998</v>
      </c>
      <c r="C3640" s="232" t="str">
        <f>IF(AND(A3640&lt;&gt;"",ISNUMBER(A3640)),VLOOKUP(A3640,Studies!A:BR,3,FALSE),"")</f>
        <v>https://www.ncbi.nlm.nih.gov/pubmed/9591931</v>
      </c>
      <c r="D3640" s="232" t="str">
        <f>IF(AND(A3640&lt;&gt;"",ISNUMBER(A3640)),VLOOKUP(A3640,Studies!A:BR,4,FALSE),"")</f>
        <v>Phase II (during Perpetrator (Itraconazole))</v>
      </c>
      <c r="E3640" s="206" t="str">
        <f>IF(AND(A3640&lt;&gt;"",ISNUMBER(A3640)),VLOOKUP(A3640,Studies!A:BR,5,FALSE),"")</f>
        <v>Midazolam</v>
      </c>
      <c r="F3640" s="207" t="str">
        <f>IF(AND(A3640&lt;&gt;"",ISNUMBER(A3640)),VLOOKUP(A3640,Studies!A:BR,6,FALSE),"")</f>
        <v>Plasma</v>
      </c>
      <c r="G3640" s="194">
        <v>76</v>
      </c>
      <c r="H3640" s="194" t="s">
        <v>60</v>
      </c>
      <c r="I3640" s="187">
        <v>161.94329999999999</v>
      </c>
      <c r="J3640" s="187" t="s">
        <v>1026</v>
      </c>
      <c r="K3640" s="187" t="s">
        <v>389</v>
      </c>
      <c r="L3640" s="195">
        <v>27.125530000000001</v>
      </c>
      <c r="M3640" s="195" t="s">
        <v>1090</v>
      </c>
      <c r="N3640" s="195" t="s">
        <v>1034</v>
      </c>
      <c r="O3640" s="199">
        <v>2</v>
      </c>
      <c r="P3640" s="188" t="s">
        <v>1153</v>
      </c>
      <c r="Q3640" s="174">
        <f>IF(ISNUMBER(VLOOKUP(A3640,NotghiID!A:A,1,FALSE)),1,0)</f>
        <v>1</v>
      </c>
      <c r="R3640" s="183"/>
    </row>
    <row r="3641" spans="1:18" ht="14.25" x14ac:dyDescent="0.2">
      <c r="A3641" s="205">
        <v>58</v>
      </c>
      <c r="B3641" s="232" t="str">
        <f>IF(AND(A3641&lt;&gt;"",ISNUMBER(A3641)),VLOOKUP(A3641,Studies!A:BR,2,FALSE),"")</f>
        <v>Backman 1998</v>
      </c>
      <c r="C3641" s="232" t="str">
        <f>IF(AND(A3641&lt;&gt;"",ISNUMBER(A3641)),VLOOKUP(A3641,Studies!A:BR,3,FALSE),"")</f>
        <v>https://www.ncbi.nlm.nih.gov/pubmed/9591931</v>
      </c>
      <c r="D3641" s="232" t="str">
        <f>IF(AND(A3641&lt;&gt;"",ISNUMBER(A3641)),VLOOKUP(A3641,Studies!A:BR,4,FALSE),"")</f>
        <v>Phase II (during Perpetrator (Itraconazole))</v>
      </c>
      <c r="E3641" s="206" t="str">
        <f>IF(AND(A3641&lt;&gt;"",ISNUMBER(A3641)),VLOOKUP(A3641,Studies!A:BR,5,FALSE),"")</f>
        <v>Midazolam</v>
      </c>
      <c r="F3641" s="207" t="str">
        <f>IF(AND(A3641&lt;&gt;"",ISNUMBER(A3641)),VLOOKUP(A3641,Studies!A:BR,6,FALSE),"")</f>
        <v>Plasma</v>
      </c>
      <c r="G3641" s="194">
        <v>77</v>
      </c>
      <c r="H3641" s="194" t="s">
        <v>60</v>
      </c>
      <c r="I3641" s="187">
        <v>142.91499999999999</v>
      </c>
      <c r="J3641" s="187" t="s">
        <v>1026</v>
      </c>
      <c r="K3641" s="187" t="s">
        <v>389</v>
      </c>
      <c r="L3641" s="195">
        <v>18.218610000000002</v>
      </c>
      <c r="M3641" s="195" t="s">
        <v>1090</v>
      </c>
      <c r="N3641" s="195" t="s">
        <v>1034</v>
      </c>
      <c r="O3641" s="199">
        <v>2</v>
      </c>
      <c r="P3641" s="188" t="s">
        <v>1153</v>
      </c>
      <c r="Q3641" s="174">
        <f>IF(ISNUMBER(VLOOKUP(A3641,NotghiID!A:A,1,FALSE)),1,0)</f>
        <v>1</v>
      </c>
      <c r="R3641" s="183"/>
    </row>
    <row r="3642" spans="1:18" ht="14.25" x14ac:dyDescent="0.2">
      <c r="A3642" s="205">
        <v>58</v>
      </c>
      <c r="B3642" s="232" t="str">
        <f>IF(AND(A3642&lt;&gt;"",ISNUMBER(A3642)),VLOOKUP(A3642,Studies!A:BR,2,FALSE),"")</f>
        <v>Backman 1998</v>
      </c>
      <c r="C3642" s="232" t="str">
        <f>IF(AND(A3642&lt;&gt;"",ISNUMBER(A3642)),VLOOKUP(A3642,Studies!A:BR,3,FALSE),"")</f>
        <v>https://www.ncbi.nlm.nih.gov/pubmed/9591931</v>
      </c>
      <c r="D3642" s="232" t="str">
        <f>IF(AND(A3642&lt;&gt;"",ISNUMBER(A3642)),VLOOKUP(A3642,Studies!A:BR,4,FALSE),"")</f>
        <v>Phase II (during Perpetrator (Itraconazole))</v>
      </c>
      <c r="E3642" s="206" t="str">
        <f>IF(AND(A3642&lt;&gt;"",ISNUMBER(A3642)),VLOOKUP(A3642,Studies!A:BR,5,FALSE),"")</f>
        <v>Midazolam</v>
      </c>
      <c r="F3642" s="207" t="str">
        <f>IF(AND(A3642&lt;&gt;"",ISNUMBER(A3642)),VLOOKUP(A3642,Studies!A:BR,6,FALSE),"")</f>
        <v>Plasma</v>
      </c>
      <c r="G3642" s="194">
        <v>78</v>
      </c>
      <c r="H3642" s="194" t="s">
        <v>60</v>
      </c>
      <c r="I3642" s="187">
        <v>120.6478</v>
      </c>
      <c r="J3642" s="187" t="s">
        <v>1026</v>
      </c>
      <c r="K3642" s="187" t="s">
        <v>389</v>
      </c>
      <c r="L3642" s="195">
        <v>15.384600000000001</v>
      </c>
      <c r="M3642" s="195" t="s">
        <v>1090</v>
      </c>
      <c r="N3642" s="195" t="s">
        <v>1034</v>
      </c>
      <c r="O3642" s="199">
        <v>2</v>
      </c>
      <c r="P3642" s="188" t="s">
        <v>1153</v>
      </c>
      <c r="Q3642" s="174">
        <f>IF(ISNUMBER(VLOOKUP(A3642,NotghiID!A:A,1,FALSE)),1,0)</f>
        <v>1</v>
      </c>
      <c r="R3642" s="183"/>
    </row>
    <row r="3643" spans="1:18" ht="14.25" x14ac:dyDescent="0.2">
      <c r="A3643" s="205">
        <v>58</v>
      </c>
      <c r="B3643" s="232" t="str">
        <f>IF(AND(A3643&lt;&gt;"",ISNUMBER(A3643)),VLOOKUP(A3643,Studies!A:BR,2,FALSE),"")</f>
        <v>Backman 1998</v>
      </c>
      <c r="C3643" s="232" t="str">
        <f>IF(AND(A3643&lt;&gt;"",ISNUMBER(A3643)),VLOOKUP(A3643,Studies!A:BR,3,FALSE),"")</f>
        <v>https://www.ncbi.nlm.nih.gov/pubmed/9591931</v>
      </c>
      <c r="D3643" s="232" t="str">
        <f>IF(AND(A3643&lt;&gt;"",ISNUMBER(A3643)),VLOOKUP(A3643,Studies!A:BR,4,FALSE),"")</f>
        <v>Phase II (during Perpetrator (Itraconazole))</v>
      </c>
      <c r="E3643" s="206" t="str">
        <f>IF(AND(A3643&lt;&gt;"",ISNUMBER(A3643)),VLOOKUP(A3643,Studies!A:BR,5,FALSE),"")</f>
        <v>Midazolam</v>
      </c>
      <c r="F3643" s="207" t="str">
        <f>IF(AND(A3643&lt;&gt;"",ISNUMBER(A3643)),VLOOKUP(A3643,Studies!A:BR,6,FALSE),"")</f>
        <v>Plasma</v>
      </c>
      <c r="G3643" s="194">
        <v>79</v>
      </c>
      <c r="H3643" s="194" t="s">
        <v>60</v>
      </c>
      <c r="I3643" s="187">
        <v>100</v>
      </c>
      <c r="J3643" s="187" t="s">
        <v>1026</v>
      </c>
      <c r="K3643" s="187" t="s">
        <v>389</v>
      </c>
      <c r="L3643" s="195">
        <v>12.95547</v>
      </c>
      <c r="M3643" s="195" t="s">
        <v>1090</v>
      </c>
      <c r="N3643" s="195" t="s">
        <v>1034</v>
      </c>
      <c r="O3643" s="199">
        <v>2</v>
      </c>
      <c r="P3643" s="188" t="s">
        <v>1153</v>
      </c>
      <c r="Q3643" s="174">
        <f>IF(ISNUMBER(VLOOKUP(A3643,NotghiID!A:A,1,FALSE)),1,0)</f>
        <v>1</v>
      </c>
      <c r="R3643" s="183"/>
    </row>
    <row r="3644" spans="1:18" ht="14.25" x14ac:dyDescent="0.2">
      <c r="A3644" s="205">
        <v>58</v>
      </c>
      <c r="B3644" s="232" t="str">
        <f>IF(AND(A3644&lt;&gt;"",ISNUMBER(A3644)),VLOOKUP(A3644,Studies!A:BR,2,FALSE),"")</f>
        <v>Backman 1998</v>
      </c>
      <c r="C3644" s="232" t="str">
        <f>IF(AND(A3644&lt;&gt;"",ISNUMBER(A3644)),VLOOKUP(A3644,Studies!A:BR,3,FALSE),"")</f>
        <v>https://www.ncbi.nlm.nih.gov/pubmed/9591931</v>
      </c>
      <c r="D3644" s="232" t="str">
        <f>IF(AND(A3644&lt;&gt;"",ISNUMBER(A3644)),VLOOKUP(A3644,Studies!A:BR,4,FALSE),"")</f>
        <v>Phase II (during Perpetrator (Itraconazole))</v>
      </c>
      <c r="E3644" s="206" t="str">
        <f>IF(AND(A3644&lt;&gt;"",ISNUMBER(A3644)),VLOOKUP(A3644,Studies!A:BR,5,FALSE),"")</f>
        <v>Midazolam</v>
      </c>
      <c r="F3644" s="207" t="str">
        <f>IF(AND(A3644&lt;&gt;"",ISNUMBER(A3644)),VLOOKUP(A3644,Studies!A:BR,6,FALSE),"")</f>
        <v>Plasma</v>
      </c>
      <c r="G3644" s="194">
        <v>80</v>
      </c>
      <c r="H3644" s="194" t="s">
        <v>60</v>
      </c>
      <c r="I3644" s="187">
        <v>87.854249999999993</v>
      </c>
      <c r="J3644" s="187" t="s">
        <v>1026</v>
      </c>
      <c r="K3644" s="187" t="s">
        <v>389</v>
      </c>
      <c r="L3644" s="195">
        <v>11.74089</v>
      </c>
      <c r="M3644" s="195" t="s">
        <v>1090</v>
      </c>
      <c r="N3644" s="195" t="s">
        <v>1034</v>
      </c>
      <c r="O3644" s="199">
        <v>2</v>
      </c>
      <c r="P3644" s="188" t="s">
        <v>1153</v>
      </c>
      <c r="Q3644" s="174">
        <f>IF(ISNUMBER(VLOOKUP(A3644,NotghiID!A:A,1,FALSE)),1,0)</f>
        <v>1</v>
      </c>
      <c r="R3644" s="183"/>
    </row>
    <row r="3645" spans="1:18" ht="14.25" x14ac:dyDescent="0.2">
      <c r="A3645" s="205">
        <v>58</v>
      </c>
      <c r="B3645" s="232" t="str">
        <f>IF(AND(A3645&lt;&gt;"",ISNUMBER(A3645)),VLOOKUP(A3645,Studies!A:BR,2,FALSE),"")</f>
        <v>Backman 1998</v>
      </c>
      <c r="C3645" s="232" t="str">
        <f>IF(AND(A3645&lt;&gt;"",ISNUMBER(A3645)),VLOOKUP(A3645,Studies!A:BR,3,FALSE),"")</f>
        <v>https://www.ncbi.nlm.nih.gov/pubmed/9591931</v>
      </c>
      <c r="D3645" s="232" t="str">
        <f>IF(AND(A3645&lt;&gt;"",ISNUMBER(A3645)),VLOOKUP(A3645,Studies!A:BR,4,FALSE),"")</f>
        <v>Phase II (during Perpetrator (Itraconazole))</v>
      </c>
      <c r="E3645" s="206" t="str">
        <f>IF(AND(A3645&lt;&gt;"",ISNUMBER(A3645)),VLOOKUP(A3645,Studies!A:BR,5,FALSE),"")</f>
        <v>Midazolam</v>
      </c>
      <c r="F3645" s="207" t="str">
        <f>IF(AND(A3645&lt;&gt;"",ISNUMBER(A3645)),VLOOKUP(A3645,Studies!A:BR,6,FALSE),"")</f>
        <v>Plasma</v>
      </c>
      <c r="G3645" s="194">
        <v>82</v>
      </c>
      <c r="H3645" s="194" t="s">
        <v>60</v>
      </c>
      <c r="I3645" s="187">
        <v>69.230770000000007</v>
      </c>
      <c r="J3645" s="187" t="s">
        <v>1026</v>
      </c>
      <c r="K3645" s="187" t="s">
        <v>389</v>
      </c>
      <c r="L3645" s="195">
        <v>8.9068830000000005</v>
      </c>
      <c r="M3645" s="195" t="s">
        <v>1090</v>
      </c>
      <c r="N3645" s="195" t="s">
        <v>1034</v>
      </c>
      <c r="O3645" s="199">
        <v>2</v>
      </c>
      <c r="P3645" s="188" t="s">
        <v>1153</v>
      </c>
      <c r="Q3645" s="174">
        <f>IF(ISNUMBER(VLOOKUP(A3645,NotghiID!A:A,1,FALSE)),1,0)</f>
        <v>1</v>
      </c>
      <c r="R3645" s="183"/>
    </row>
    <row r="3646" spans="1:18" ht="14.25" x14ac:dyDescent="0.2">
      <c r="A3646" s="205">
        <v>58</v>
      </c>
      <c r="B3646" s="232" t="str">
        <f>IF(AND(A3646&lt;&gt;"",ISNUMBER(A3646)),VLOOKUP(A3646,Studies!A:BR,2,FALSE),"")</f>
        <v>Backman 1998</v>
      </c>
      <c r="C3646" s="232" t="str">
        <f>IF(AND(A3646&lt;&gt;"",ISNUMBER(A3646)),VLOOKUP(A3646,Studies!A:BR,3,FALSE),"")</f>
        <v>https://www.ncbi.nlm.nih.gov/pubmed/9591931</v>
      </c>
      <c r="D3646" s="232" t="str">
        <f>IF(AND(A3646&lt;&gt;"",ISNUMBER(A3646)),VLOOKUP(A3646,Studies!A:BR,4,FALSE),"")</f>
        <v>Phase II (during Perpetrator (Itraconazole))</v>
      </c>
      <c r="E3646" s="206" t="str">
        <f>IF(AND(A3646&lt;&gt;"",ISNUMBER(A3646)),VLOOKUP(A3646,Studies!A:BR,5,FALSE),"")</f>
        <v>Midazolam</v>
      </c>
      <c r="F3646" s="207" t="str">
        <f>IF(AND(A3646&lt;&gt;"",ISNUMBER(A3646)),VLOOKUP(A3646,Studies!A:BR,6,FALSE),"")</f>
        <v>Plasma</v>
      </c>
      <c r="G3646" s="194">
        <v>84</v>
      </c>
      <c r="H3646" s="194" t="s">
        <v>60</v>
      </c>
      <c r="I3646" s="187">
        <v>54.65587</v>
      </c>
      <c r="J3646" s="187" t="s">
        <v>1026</v>
      </c>
      <c r="K3646" s="187" t="s">
        <v>389</v>
      </c>
      <c r="L3646" s="195">
        <v>6.4777339999999999</v>
      </c>
      <c r="M3646" s="195" t="s">
        <v>1090</v>
      </c>
      <c r="N3646" s="195" t="s">
        <v>1034</v>
      </c>
      <c r="O3646" s="199">
        <v>2</v>
      </c>
      <c r="P3646" s="188" t="s">
        <v>1153</v>
      </c>
      <c r="Q3646" s="174">
        <f>IF(ISNUMBER(VLOOKUP(A3646,NotghiID!A:A,1,FALSE)),1,0)</f>
        <v>1</v>
      </c>
      <c r="R3646" s="183"/>
    </row>
    <row r="3647" spans="1:18" ht="14.25" x14ac:dyDescent="0.2">
      <c r="A3647" s="205">
        <v>58</v>
      </c>
      <c r="B3647" s="232" t="str">
        <f>IF(AND(A3647&lt;&gt;"",ISNUMBER(A3647)),VLOOKUP(A3647,Studies!A:BR,2,FALSE),"")</f>
        <v>Backman 1998</v>
      </c>
      <c r="C3647" s="232" t="str">
        <f>IF(AND(A3647&lt;&gt;"",ISNUMBER(A3647)),VLOOKUP(A3647,Studies!A:BR,3,FALSE),"")</f>
        <v>https://www.ncbi.nlm.nih.gov/pubmed/9591931</v>
      </c>
      <c r="D3647" s="232" t="str">
        <f>IF(AND(A3647&lt;&gt;"",ISNUMBER(A3647)),VLOOKUP(A3647,Studies!A:BR,4,FALSE),"")</f>
        <v>Phase II (during Perpetrator (Itraconazole))</v>
      </c>
      <c r="E3647" s="206" t="str">
        <f>IF(AND(A3647&lt;&gt;"",ISNUMBER(A3647)),VLOOKUP(A3647,Studies!A:BR,5,FALSE),"")</f>
        <v>Midazolam</v>
      </c>
      <c r="F3647" s="207" t="str">
        <f>IF(AND(A3647&lt;&gt;"",ISNUMBER(A3647)),VLOOKUP(A3647,Studies!A:BR,6,FALSE),"")</f>
        <v>Plasma</v>
      </c>
      <c r="G3647" s="194">
        <v>93</v>
      </c>
      <c r="H3647" s="194" t="s">
        <v>60</v>
      </c>
      <c r="I3647" s="187">
        <v>26.720649999999999</v>
      </c>
      <c r="J3647" s="187" t="s">
        <v>1026</v>
      </c>
      <c r="K3647" s="187" t="s">
        <v>389</v>
      </c>
      <c r="L3647" s="195"/>
      <c r="M3647" s="195"/>
      <c r="N3647" s="195"/>
      <c r="O3647" s="199">
        <v>2</v>
      </c>
      <c r="P3647" s="188" t="s">
        <v>1153</v>
      </c>
      <c r="Q3647" s="174">
        <f>IF(ISNUMBER(VLOOKUP(A3647,NotghiID!A:A,1,FALSE)),1,0)</f>
        <v>1</v>
      </c>
      <c r="R3647" s="183"/>
    </row>
    <row r="3648" spans="1:18" ht="14.25" x14ac:dyDescent="0.2">
      <c r="A3648" s="205">
        <v>59</v>
      </c>
      <c r="B3648" s="232" t="str">
        <f>IF(AND(A3648&lt;&gt;"",ISNUMBER(A3648)),VLOOKUP(A3648,Studies!A:BR,2,FALSE),"")</f>
        <v>Backman 1998</v>
      </c>
      <c r="C3648" s="232" t="str">
        <f>IF(AND(A3648&lt;&gt;"",ISNUMBER(A3648)),VLOOKUP(A3648,Studies!A:BR,3,FALSE),"")</f>
        <v>https://www.ncbi.nlm.nih.gov/pubmed/9591931</v>
      </c>
      <c r="D3648" s="232" t="str">
        <f>IF(AND(A3648&lt;&gt;"",ISNUMBER(A3648)),VLOOKUP(A3648,Studies!A:BR,4,FALSE),"")</f>
        <v>Phase III (4 days after Perpetrator (Itraconazole))</v>
      </c>
      <c r="E3648" s="206" t="str">
        <f>IF(AND(A3648&lt;&gt;"",ISNUMBER(A3648)),VLOOKUP(A3648,Studies!A:BR,5,FALSE),"")</f>
        <v>Midazolam</v>
      </c>
      <c r="F3648" s="207" t="str">
        <f>IF(AND(A3648&lt;&gt;"",ISNUMBER(A3648)),VLOOKUP(A3648,Studies!A:BR,6,FALSE),"")</f>
        <v>Plasma</v>
      </c>
      <c r="G3648" s="194">
        <v>170</v>
      </c>
      <c r="H3648" s="194" t="s">
        <v>60</v>
      </c>
      <c r="I3648" s="187" t="s">
        <v>1152</v>
      </c>
      <c r="J3648" s="187" t="s">
        <v>1026</v>
      </c>
      <c r="K3648" s="187" t="s">
        <v>389</v>
      </c>
      <c r="L3648" s="195"/>
      <c r="M3648" s="195"/>
      <c r="N3648" s="195"/>
      <c r="O3648" s="199">
        <v>2</v>
      </c>
      <c r="P3648" s="188" t="s">
        <v>1153</v>
      </c>
      <c r="Q3648" s="174">
        <f>IF(ISNUMBER(VLOOKUP(A3648,NotghiID!A:A,1,FALSE)),1,0)</f>
        <v>1</v>
      </c>
      <c r="R3648" s="183"/>
    </row>
    <row r="3649" spans="1:18" ht="14.25" x14ac:dyDescent="0.2">
      <c r="A3649" s="205">
        <v>59</v>
      </c>
      <c r="B3649" s="232" t="str">
        <f>IF(AND(A3649&lt;&gt;"",ISNUMBER(A3649)),VLOOKUP(A3649,Studies!A:BR,2,FALSE),"")</f>
        <v>Backman 1998</v>
      </c>
      <c r="C3649" s="232" t="str">
        <f>IF(AND(A3649&lt;&gt;"",ISNUMBER(A3649)),VLOOKUP(A3649,Studies!A:BR,3,FALSE),"")</f>
        <v>https://www.ncbi.nlm.nih.gov/pubmed/9591931</v>
      </c>
      <c r="D3649" s="232" t="str">
        <f>IF(AND(A3649&lt;&gt;"",ISNUMBER(A3649)),VLOOKUP(A3649,Studies!A:BR,4,FALSE),"")</f>
        <v>Phase III (4 days after Perpetrator (Itraconazole))</v>
      </c>
      <c r="E3649" s="206" t="str">
        <f>IF(AND(A3649&lt;&gt;"",ISNUMBER(A3649)),VLOOKUP(A3649,Studies!A:BR,5,FALSE),"")</f>
        <v>Midazolam</v>
      </c>
      <c r="F3649" s="207" t="str">
        <f>IF(AND(A3649&lt;&gt;"",ISNUMBER(A3649)),VLOOKUP(A3649,Studies!A:BR,6,FALSE),"")</f>
        <v>Plasma</v>
      </c>
      <c r="G3649" s="194">
        <v>170.5</v>
      </c>
      <c r="H3649" s="194" t="s">
        <v>60</v>
      </c>
      <c r="I3649" s="187">
        <v>49.392710000000001</v>
      </c>
      <c r="J3649" s="187" t="s">
        <v>1026</v>
      </c>
      <c r="K3649" s="187" t="s">
        <v>389</v>
      </c>
      <c r="L3649" s="195">
        <v>23.481780000000001</v>
      </c>
      <c r="M3649" s="195" t="s">
        <v>1090</v>
      </c>
      <c r="N3649" s="195" t="s">
        <v>1034</v>
      </c>
      <c r="O3649" s="199">
        <v>2</v>
      </c>
      <c r="P3649" s="188" t="s">
        <v>1153</v>
      </c>
      <c r="Q3649" s="174">
        <f>IF(ISNUMBER(VLOOKUP(A3649,NotghiID!A:A,1,FALSE)),1,0)</f>
        <v>1</v>
      </c>
      <c r="R3649" s="183"/>
    </row>
    <row r="3650" spans="1:18" ht="14.25" x14ac:dyDescent="0.2">
      <c r="A3650" s="205">
        <v>59</v>
      </c>
      <c r="B3650" s="232" t="str">
        <f>IF(AND(A3650&lt;&gt;"",ISNUMBER(A3650)),VLOOKUP(A3650,Studies!A:BR,2,FALSE),"")</f>
        <v>Backman 1998</v>
      </c>
      <c r="C3650" s="232" t="str">
        <f>IF(AND(A3650&lt;&gt;"",ISNUMBER(A3650)),VLOOKUP(A3650,Studies!A:BR,3,FALSE),"")</f>
        <v>https://www.ncbi.nlm.nih.gov/pubmed/9591931</v>
      </c>
      <c r="D3650" s="232" t="str">
        <f>IF(AND(A3650&lt;&gt;"",ISNUMBER(A3650)),VLOOKUP(A3650,Studies!A:BR,4,FALSE),"")</f>
        <v>Phase III (4 days after Perpetrator (Itraconazole))</v>
      </c>
      <c r="E3650" s="206" t="str">
        <f>IF(AND(A3650&lt;&gt;"",ISNUMBER(A3650)),VLOOKUP(A3650,Studies!A:BR,5,FALSE),"")</f>
        <v>Midazolam</v>
      </c>
      <c r="F3650" s="207" t="str">
        <f>IF(AND(A3650&lt;&gt;"",ISNUMBER(A3650)),VLOOKUP(A3650,Studies!A:BR,6,FALSE),"")</f>
        <v>Plasma</v>
      </c>
      <c r="G3650" s="194">
        <v>171</v>
      </c>
      <c r="H3650" s="194" t="s">
        <v>60</v>
      </c>
      <c r="I3650" s="187">
        <v>94.736840000000001</v>
      </c>
      <c r="J3650" s="187" t="s">
        <v>1026</v>
      </c>
      <c r="K3650" s="187" t="s">
        <v>389</v>
      </c>
      <c r="L3650" s="195">
        <v>20.647770000000001</v>
      </c>
      <c r="M3650" s="195" t="s">
        <v>1090</v>
      </c>
      <c r="N3650" s="195" t="s">
        <v>1034</v>
      </c>
      <c r="O3650" s="199">
        <v>2</v>
      </c>
      <c r="P3650" s="188" t="s">
        <v>1153</v>
      </c>
      <c r="Q3650" s="174">
        <f>IF(ISNUMBER(VLOOKUP(A3650,NotghiID!A:A,1,FALSE)),1,0)</f>
        <v>1</v>
      </c>
      <c r="R3650" s="183"/>
    </row>
    <row r="3651" spans="1:18" ht="14.25" x14ac:dyDescent="0.2">
      <c r="A3651" s="205">
        <v>59</v>
      </c>
      <c r="B3651" s="232" t="str">
        <f>IF(AND(A3651&lt;&gt;"",ISNUMBER(A3651)),VLOOKUP(A3651,Studies!A:BR,2,FALSE),"")</f>
        <v>Backman 1998</v>
      </c>
      <c r="C3651" s="232" t="str">
        <f>IF(AND(A3651&lt;&gt;"",ISNUMBER(A3651)),VLOOKUP(A3651,Studies!A:BR,3,FALSE),"")</f>
        <v>https://www.ncbi.nlm.nih.gov/pubmed/9591931</v>
      </c>
      <c r="D3651" s="232" t="str">
        <f>IF(AND(A3651&lt;&gt;"",ISNUMBER(A3651)),VLOOKUP(A3651,Studies!A:BR,4,FALSE),"")</f>
        <v>Phase III (4 days after Perpetrator (Itraconazole))</v>
      </c>
      <c r="E3651" s="206" t="str">
        <f>IF(AND(A3651&lt;&gt;"",ISNUMBER(A3651)),VLOOKUP(A3651,Studies!A:BR,5,FALSE),"")</f>
        <v>Midazolam</v>
      </c>
      <c r="F3651" s="207" t="str">
        <f>IF(AND(A3651&lt;&gt;"",ISNUMBER(A3651)),VLOOKUP(A3651,Studies!A:BR,6,FALSE),"")</f>
        <v>Plasma</v>
      </c>
      <c r="G3651" s="194">
        <v>171.5</v>
      </c>
      <c r="H3651" s="194" t="s">
        <v>60</v>
      </c>
      <c r="I3651" s="187">
        <v>100.80970000000001</v>
      </c>
      <c r="J3651" s="187" t="s">
        <v>1026</v>
      </c>
      <c r="K3651" s="187" t="s">
        <v>389</v>
      </c>
      <c r="L3651" s="195">
        <v>18.218610000000002</v>
      </c>
      <c r="M3651" s="195" t="s">
        <v>1090</v>
      </c>
      <c r="N3651" s="195" t="s">
        <v>1034</v>
      </c>
      <c r="O3651" s="199">
        <v>2</v>
      </c>
      <c r="P3651" s="188" t="s">
        <v>1153</v>
      </c>
      <c r="Q3651" s="174">
        <f>IF(ISNUMBER(VLOOKUP(A3651,NotghiID!A:A,1,FALSE)),1,0)</f>
        <v>1</v>
      </c>
      <c r="R3651" s="183"/>
    </row>
    <row r="3652" spans="1:18" ht="14.25" x14ac:dyDescent="0.2">
      <c r="A3652" s="205">
        <v>59</v>
      </c>
      <c r="B3652" s="232" t="str">
        <f>IF(AND(A3652&lt;&gt;"",ISNUMBER(A3652)),VLOOKUP(A3652,Studies!A:BR,2,FALSE),"")</f>
        <v>Backman 1998</v>
      </c>
      <c r="C3652" s="232" t="str">
        <f>IF(AND(A3652&lt;&gt;"",ISNUMBER(A3652)),VLOOKUP(A3652,Studies!A:BR,3,FALSE),"")</f>
        <v>https://www.ncbi.nlm.nih.gov/pubmed/9591931</v>
      </c>
      <c r="D3652" s="232" t="str">
        <f>IF(AND(A3652&lt;&gt;"",ISNUMBER(A3652)),VLOOKUP(A3652,Studies!A:BR,4,FALSE),"")</f>
        <v>Phase III (4 days after Perpetrator (Itraconazole))</v>
      </c>
      <c r="E3652" s="206" t="str">
        <f>IF(AND(A3652&lt;&gt;"",ISNUMBER(A3652)),VLOOKUP(A3652,Studies!A:BR,5,FALSE),"")</f>
        <v>Midazolam</v>
      </c>
      <c r="F3652" s="207" t="str">
        <f>IF(AND(A3652&lt;&gt;"",ISNUMBER(A3652)),VLOOKUP(A3652,Studies!A:BR,6,FALSE),"")</f>
        <v>Plasma</v>
      </c>
      <c r="G3652" s="194">
        <v>172</v>
      </c>
      <c r="H3652" s="194" t="s">
        <v>60</v>
      </c>
      <c r="I3652" s="187">
        <v>102.42919999999999</v>
      </c>
      <c r="J3652" s="187" t="s">
        <v>1026</v>
      </c>
      <c r="K3652" s="187" t="s">
        <v>389</v>
      </c>
      <c r="L3652" s="195">
        <v>17.004100000000001</v>
      </c>
      <c r="M3652" s="195" t="s">
        <v>1090</v>
      </c>
      <c r="N3652" s="195" t="s">
        <v>1034</v>
      </c>
      <c r="O3652" s="199">
        <v>2</v>
      </c>
      <c r="P3652" s="188" t="s">
        <v>1153</v>
      </c>
      <c r="Q3652" s="174">
        <f>IF(ISNUMBER(VLOOKUP(A3652,NotghiID!A:A,1,FALSE)),1,0)</f>
        <v>1</v>
      </c>
      <c r="R3652" s="183"/>
    </row>
    <row r="3653" spans="1:18" ht="14.25" x14ac:dyDescent="0.2">
      <c r="A3653" s="205">
        <v>59</v>
      </c>
      <c r="B3653" s="232" t="str">
        <f>IF(AND(A3653&lt;&gt;"",ISNUMBER(A3653)),VLOOKUP(A3653,Studies!A:BR,2,FALSE),"")</f>
        <v>Backman 1998</v>
      </c>
      <c r="C3653" s="232" t="str">
        <f>IF(AND(A3653&lt;&gt;"",ISNUMBER(A3653)),VLOOKUP(A3653,Studies!A:BR,3,FALSE),"")</f>
        <v>https://www.ncbi.nlm.nih.gov/pubmed/9591931</v>
      </c>
      <c r="D3653" s="232" t="str">
        <f>IF(AND(A3653&lt;&gt;"",ISNUMBER(A3653)),VLOOKUP(A3653,Studies!A:BR,4,FALSE),"")</f>
        <v>Phase III (4 days after Perpetrator (Itraconazole))</v>
      </c>
      <c r="E3653" s="206" t="str">
        <f>IF(AND(A3653&lt;&gt;"",ISNUMBER(A3653)),VLOOKUP(A3653,Studies!A:BR,5,FALSE),"")</f>
        <v>Midazolam</v>
      </c>
      <c r="F3653" s="207" t="str">
        <f>IF(AND(A3653&lt;&gt;"",ISNUMBER(A3653)),VLOOKUP(A3653,Studies!A:BR,6,FALSE),"")</f>
        <v>Plasma</v>
      </c>
      <c r="G3653" s="194">
        <v>173</v>
      </c>
      <c r="H3653" s="194" t="s">
        <v>60</v>
      </c>
      <c r="I3653" s="187">
        <v>75.708500000000001</v>
      </c>
      <c r="J3653" s="187" t="s">
        <v>1026</v>
      </c>
      <c r="K3653" s="187" t="s">
        <v>389</v>
      </c>
      <c r="L3653" s="195">
        <v>14.979749999999999</v>
      </c>
      <c r="M3653" s="195" t="s">
        <v>1090</v>
      </c>
      <c r="N3653" s="195" t="s">
        <v>1034</v>
      </c>
      <c r="O3653" s="199">
        <v>2</v>
      </c>
      <c r="P3653" s="188" t="s">
        <v>1153</v>
      </c>
      <c r="Q3653" s="174">
        <f>IF(ISNUMBER(VLOOKUP(A3653,NotghiID!A:A,1,FALSE)),1,0)</f>
        <v>1</v>
      </c>
      <c r="R3653" s="183"/>
    </row>
    <row r="3654" spans="1:18" ht="14.25" x14ac:dyDescent="0.2">
      <c r="A3654" s="205">
        <v>59</v>
      </c>
      <c r="B3654" s="232" t="str">
        <f>IF(AND(A3654&lt;&gt;"",ISNUMBER(A3654)),VLOOKUP(A3654,Studies!A:BR,2,FALSE),"")</f>
        <v>Backman 1998</v>
      </c>
      <c r="C3654" s="232" t="str">
        <f>IF(AND(A3654&lt;&gt;"",ISNUMBER(A3654)),VLOOKUP(A3654,Studies!A:BR,3,FALSE),"")</f>
        <v>https://www.ncbi.nlm.nih.gov/pubmed/9591931</v>
      </c>
      <c r="D3654" s="232" t="str">
        <f>IF(AND(A3654&lt;&gt;"",ISNUMBER(A3654)),VLOOKUP(A3654,Studies!A:BR,4,FALSE),"")</f>
        <v>Phase III (4 days after Perpetrator (Itraconazole))</v>
      </c>
      <c r="E3654" s="206" t="str">
        <f>IF(AND(A3654&lt;&gt;"",ISNUMBER(A3654)),VLOOKUP(A3654,Studies!A:BR,5,FALSE),"")</f>
        <v>Midazolam</v>
      </c>
      <c r="F3654" s="207" t="str">
        <f>IF(AND(A3654&lt;&gt;"",ISNUMBER(A3654)),VLOOKUP(A3654,Studies!A:BR,6,FALSE),"")</f>
        <v>Plasma</v>
      </c>
      <c r="G3654" s="194">
        <v>174</v>
      </c>
      <c r="H3654" s="194" t="s">
        <v>60</v>
      </c>
      <c r="I3654" s="187">
        <v>54.251010000000001</v>
      </c>
      <c r="J3654" s="187" t="s">
        <v>1026</v>
      </c>
      <c r="K3654" s="187" t="s">
        <v>389</v>
      </c>
      <c r="L3654" s="195">
        <v>12.14575</v>
      </c>
      <c r="M3654" s="195" t="s">
        <v>1090</v>
      </c>
      <c r="N3654" s="195" t="s">
        <v>1034</v>
      </c>
      <c r="O3654" s="199">
        <v>2</v>
      </c>
      <c r="P3654" s="188" t="s">
        <v>1153</v>
      </c>
      <c r="Q3654" s="174">
        <f>IF(ISNUMBER(VLOOKUP(A3654,NotghiID!A:A,1,FALSE)),1,0)</f>
        <v>1</v>
      </c>
      <c r="R3654" s="183"/>
    </row>
    <row r="3655" spans="1:18" ht="14.25" x14ac:dyDescent="0.2">
      <c r="A3655" s="205">
        <v>59</v>
      </c>
      <c r="B3655" s="232" t="str">
        <f>IF(AND(A3655&lt;&gt;"",ISNUMBER(A3655)),VLOOKUP(A3655,Studies!A:BR,2,FALSE),"")</f>
        <v>Backman 1998</v>
      </c>
      <c r="C3655" s="232" t="str">
        <f>IF(AND(A3655&lt;&gt;"",ISNUMBER(A3655)),VLOOKUP(A3655,Studies!A:BR,3,FALSE),"")</f>
        <v>https://www.ncbi.nlm.nih.gov/pubmed/9591931</v>
      </c>
      <c r="D3655" s="232" t="str">
        <f>IF(AND(A3655&lt;&gt;"",ISNUMBER(A3655)),VLOOKUP(A3655,Studies!A:BR,4,FALSE),"")</f>
        <v>Phase III (4 days after Perpetrator (Itraconazole))</v>
      </c>
      <c r="E3655" s="206" t="str">
        <f>IF(AND(A3655&lt;&gt;"",ISNUMBER(A3655)),VLOOKUP(A3655,Studies!A:BR,5,FALSE),"")</f>
        <v>Midazolam</v>
      </c>
      <c r="F3655" s="207" t="str">
        <f>IF(AND(A3655&lt;&gt;"",ISNUMBER(A3655)),VLOOKUP(A3655,Studies!A:BR,6,FALSE),"")</f>
        <v>Plasma</v>
      </c>
      <c r="G3655" s="194">
        <v>175</v>
      </c>
      <c r="H3655" s="194" t="s">
        <v>60</v>
      </c>
      <c r="I3655" s="187">
        <v>40.890689999999999</v>
      </c>
      <c r="J3655" s="187" t="s">
        <v>1026</v>
      </c>
      <c r="K3655" s="187" t="s">
        <v>389</v>
      </c>
      <c r="L3655" s="195">
        <v>9.3117409999999996</v>
      </c>
      <c r="M3655" s="195" t="s">
        <v>1090</v>
      </c>
      <c r="N3655" s="195" t="s">
        <v>1034</v>
      </c>
      <c r="O3655" s="199">
        <v>2</v>
      </c>
      <c r="P3655" s="188" t="s">
        <v>1153</v>
      </c>
      <c r="Q3655" s="174">
        <f>IF(ISNUMBER(VLOOKUP(A3655,NotghiID!A:A,1,FALSE)),1,0)</f>
        <v>1</v>
      </c>
      <c r="R3655" s="183"/>
    </row>
    <row r="3656" spans="1:18" ht="14.25" x14ac:dyDescent="0.2">
      <c r="A3656" s="205">
        <v>59</v>
      </c>
      <c r="B3656" s="232" t="str">
        <f>IF(AND(A3656&lt;&gt;"",ISNUMBER(A3656)),VLOOKUP(A3656,Studies!A:BR,2,FALSE),"")</f>
        <v>Backman 1998</v>
      </c>
      <c r="C3656" s="232" t="str">
        <f>IF(AND(A3656&lt;&gt;"",ISNUMBER(A3656)),VLOOKUP(A3656,Studies!A:BR,3,FALSE),"")</f>
        <v>https://www.ncbi.nlm.nih.gov/pubmed/9591931</v>
      </c>
      <c r="D3656" s="232" t="str">
        <f>IF(AND(A3656&lt;&gt;"",ISNUMBER(A3656)),VLOOKUP(A3656,Studies!A:BR,4,FALSE),"")</f>
        <v>Phase III (4 days after Perpetrator (Itraconazole))</v>
      </c>
      <c r="E3656" s="206" t="str">
        <f>IF(AND(A3656&lt;&gt;"",ISNUMBER(A3656)),VLOOKUP(A3656,Studies!A:BR,5,FALSE),"")</f>
        <v>Midazolam</v>
      </c>
      <c r="F3656" s="207" t="str">
        <f>IF(AND(A3656&lt;&gt;"",ISNUMBER(A3656)),VLOOKUP(A3656,Studies!A:BR,6,FALSE),"")</f>
        <v>Plasma</v>
      </c>
      <c r="G3656" s="194">
        <v>176</v>
      </c>
      <c r="H3656" s="194" t="s">
        <v>60</v>
      </c>
      <c r="I3656" s="187">
        <v>34.008099999999999</v>
      </c>
      <c r="J3656" s="187" t="s">
        <v>1026</v>
      </c>
      <c r="K3656" s="187" t="s">
        <v>389</v>
      </c>
      <c r="L3656" s="195">
        <v>8.5020220000000002</v>
      </c>
      <c r="M3656" s="195" t="s">
        <v>1090</v>
      </c>
      <c r="N3656" s="195" t="s">
        <v>1034</v>
      </c>
      <c r="O3656" s="199">
        <v>2</v>
      </c>
      <c r="P3656" s="188" t="s">
        <v>1153</v>
      </c>
      <c r="Q3656" s="174">
        <f>IF(ISNUMBER(VLOOKUP(A3656,NotghiID!A:A,1,FALSE)),1,0)</f>
        <v>1</v>
      </c>
      <c r="R3656" s="183"/>
    </row>
    <row r="3657" spans="1:18" ht="14.25" x14ac:dyDescent="0.2">
      <c r="A3657" s="205">
        <v>59</v>
      </c>
      <c r="B3657" s="232" t="str">
        <f>IF(AND(A3657&lt;&gt;"",ISNUMBER(A3657)),VLOOKUP(A3657,Studies!A:BR,2,FALSE),"")</f>
        <v>Backman 1998</v>
      </c>
      <c r="C3657" s="232" t="str">
        <f>IF(AND(A3657&lt;&gt;"",ISNUMBER(A3657)),VLOOKUP(A3657,Studies!A:BR,3,FALSE),"")</f>
        <v>https://www.ncbi.nlm.nih.gov/pubmed/9591931</v>
      </c>
      <c r="D3657" s="232" t="str">
        <f>IF(AND(A3657&lt;&gt;"",ISNUMBER(A3657)),VLOOKUP(A3657,Studies!A:BR,4,FALSE),"")</f>
        <v>Phase III (4 days after Perpetrator (Itraconazole))</v>
      </c>
      <c r="E3657" s="206" t="str">
        <f>IF(AND(A3657&lt;&gt;"",ISNUMBER(A3657)),VLOOKUP(A3657,Studies!A:BR,5,FALSE),"")</f>
        <v>Midazolam</v>
      </c>
      <c r="F3657" s="207" t="str">
        <f>IF(AND(A3657&lt;&gt;"",ISNUMBER(A3657)),VLOOKUP(A3657,Studies!A:BR,6,FALSE),"")</f>
        <v>Plasma</v>
      </c>
      <c r="G3657" s="194">
        <v>178</v>
      </c>
      <c r="H3657" s="194" t="s">
        <v>60</v>
      </c>
      <c r="I3657" s="187">
        <v>23.481780000000001</v>
      </c>
      <c r="J3657" s="187" t="s">
        <v>1026</v>
      </c>
      <c r="K3657" s="187" t="s">
        <v>389</v>
      </c>
      <c r="L3657" s="195">
        <v>8.5020279999999993</v>
      </c>
      <c r="M3657" s="195" t="s">
        <v>1090</v>
      </c>
      <c r="N3657" s="195" t="s">
        <v>1034</v>
      </c>
      <c r="O3657" s="199">
        <v>2</v>
      </c>
      <c r="P3657" s="188" t="s">
        <v>1153</v>
      </c>
      <c r="Q3657" s="174">
        <f>IF(ISNUMBER(VLOOKUP(A3657,NotghiID!A:A,1,FALSE)),1,0)</f>
        <v>1</v>
      </c>
      <c r="R3657" s="183"/>
    </row>
    <row r="3658" spans="1:18" ht="14.25" x14ac:dyDescent="0.2">
      <c r="A3658" s="205">
        <v>59</v>
      </c>
      <c r="B3658" s="232" t="str">
        <f>IF(AND(A3658&lt;&gt;"",ISNUMBER(A3658)),VLOOKUP(A3658,Studies!A:BR,2,FALSE),"")</f>
        <v>Backman 1998</v>
      </c>
      <c r="C3658" s="232" t="str">
        <f>IF(AND(A3658&lt;&gt;"",ISNUMBER(A3658)),VLOOKUP(A3658,Studies!A:BR,3,FALSE),"")</f>
        <v>https://www.ncbi.nlm.nih.gov/pubmed/9591931</v>
      </c>
      <c r="D3658" s="232" t="str">
        <f>IF(AND(A3658&lt;&gt;"",ISNUMBER(A3658)),VLOOKUP(A3658,Studies!A:BR,4,FALSE),"")</f>
        <v>Phase III (4 days after Perpetrator (Itraconazole))</v>
      </c>
      <c r="E3658" s="206" t="str">
        <f>IF(AND(A3658&lt;&gt;"",ISNUMBER(A3658)),VLOOKUP(A3658,Studies!A:BR,5,FALSE),"")</f>
        <v>Midazolam</v>
      </c>
      <c r="F3658" s="207" t="str">
        <f>IF(AND(A3658&lt;&gt;"",ISNUMBER(A3658)),VLOOKUP(A3658,Studies!A:BR,6,FALSE),"")</f>
        <v>Plasma</v>
      </c>
      <c r="G3658" s="194">
        <v>180</v>
      </c>
      <c r="H3658" s="194" t="s">
        <v>60</v>
      </c>
      <c r="I3658" s="187">
        <v>17.813759999999998</v>
      </c>
      <c r="J3658" s="187" t="s">
        <v>1026</v>
      </c>
      <c r="K3658" s="187" t="s">
        <v>389</v>
      </c>
      <c r="L3658" s="195">
        <v>6.8825950000000002</v>
      </c>
      <c r="M3658" s="195" t="s">
        <v>1090</v>
      </c>
      <c r="N3658" s="195" t="s">
        <v>1034</v>
      </c>
      <c r="O3658" s="199">
        <v>2</v>
      </c>
      <c r="P3658" s="188" t="s">
        <v>1153</v>
      </c>
      <c r="Q3658" s="174">
        <f>IF(ISNUMBER(VLOOKUP(A3658,NotghiID!A:A,1,FALSE)),1,0)</f>
        <v>1</v>
      </c>
      <c r="R3658" s="183"/>
    </row>
    <row r="3659" spans="1:18" ht="14.25" x14ac:dyDescent="0.2">
      <c r="A3659" s="205">
        <v>59</v>
      </c>
      <c r="B3659" s="232" t="str">
        <f>IF(AND(A3659&lt;&gt;"",ISNUMBER(A3659)),VLOOKUP(A3659,Studies!A:BR,2,FALSE),"")</f>
        <v>Backman 1998</v>
      </c>
      <c r="C3659" s="232" t="str">
        <f>IF(AND(A3659&lt;&gt;"",ISNUMBER(A3659)),VLOOKUP(A3659,Studies!A:BR,3,FALSE),"")</f>
        <v>https://www.ncbi.nlm.nih.gov/pubmed/9591931</v>
      </c>
      <c r="D3659" s="232" t="str">
        <f>IF(AND(A3659&lt;&gt;"",ISNUMBER(A3659)),VLOOKUP(A3659,Studies!A:BR,4,FALSE),"")</f>
        <v>Phase III (4 days after Perpetrator (Itraconazole))</v>
      </c>
      <c r="E3659" s="206" t="str">
        <f>IF(AND(A3659&lt;&gt;"",ISNUMBER(A3659)),VLOOKUP(A3659,Studies!A:BR,5,FALSE),"")</f>
        <v>Midazolam</v>
      </c>
      <c r="F3659" s="207" t="str">
        <f>IF(AND(A3659&lt;&gt;"",ISNUMBER(A3659)),VLOOKUP(A3659,Studies!A:BR,6,FALSE),"")</f>
        <v>Plasma</v>
      </c>
      <c r="G3659" s="194">
        <v>189</v>
      </c>
      <c r="H3659" s="194" t="s">
        <v>60</v>
      </c>
      <c r="I3659" s="187">
        <v>7.2874489999999996</v>
      </c>
      <c r="J3659" s="187" t="s">
        <v>1026</v>
      </c>
      <c r="K3659" s="187" t="s">
        <v>389</v>
      </c>
      <c r="L3659" s="195"/>
      <c r="M3659" s="195"/>
      <c r="N3659" s="195"/>
      <c r="O3659" s="199">
        <v>2</v>
      </c>
      <c r="P3659" s="188" t="s">
        <v>1153</v>
      </c>
      <c r="Q3659" s="174">
        <f>IF(ISNUMBER(VLOOKUP(A3659,NotghiID!A:A,1,FALSE)),1,0)</f>
        <v>1</v>
      </c>
      <c r="R3659" s="183"/>
    </row>
    <row r="3660" spans="1:18" ht="14.25" x14ac:dyDescent="0.2">
      <c r="A3660" s="213">
        <v>110</v>
      </c>
      <c r="B3660" s="232" t="str">
        <f>IF(AND(A3660&lt;&gt;"",ISNUMBER(A3660)),VLOOKUP(A3660,Studies!A:BR,2,FALSE),"")</f>
        <v>Chouchane 1995</v>
      </c>
      <c r="C3660" s="232" t="str">
        <f>IF(AND(A3660&lt;&gt;"",ISNUMBER(A3660)),VLOOKUP(A3660,Studies!A:BR,3,FALSE),"")</f>
        <v>https://www.ncbi.nlm.nih.gov/pubmed/8983939</v>
      </c>
      <c r="D3660" s="232" t="str">
        <f>IF(AND(A3660&lt;&gt;"",ISNUMBER(A3660)),VLOOKUP(A3660,Studies!A:BR,4,FALSE),"")</f>
        <v>Rimactan</v>
      </c>
      <c r="E3660" s="206" t="str">
        <f>IF(AND(A3660&lt;&gt;"",ISNUMBER(A3660)),VLOOKUP(A3660,Studies!A:BR,5,FALSE),"")</f>
        <v>Rifampicin</v>
      </c>
      <c r="F3660" s="207" t="str">
        <f>IF(AND(A3660&lt;&gt;"",ISNUMBER(A3660)),VLOOKUP(A3660,Studies!A:BR,6,FALSE),"")</f>
        <v>Plasma</v>
      </c>
      <c r="G3660" s="194">
        <v>0</v>
      </c>
      <c r="H3660" s="194" t="s">
        <v>60</v>
      </c>
      <c r="I3660" s="187">
        <v>0</v>
      </c>
      <c r="J3660" s="187" t="s">
        <v>1054</v>
      </c>
      <c r="K3660" s="187" t="s">
        <v>389</v>
      </c>
      <c r="L3660" s="195"/>
      <c r="M3660" s="195"/>
      <c r="N3660" s="195"/>
      <c r="O3660" s="199">
        <v>0.2</v>
      </c>
      <c r="P3660" s="188"/>
      <c r="Q3660" s="174">
        <f>IF(ISNUMBER(VLOOKUP(A3660,NotghiID!A:A,1,FALSE)),1,0)</f>
        <v>1</v>
      </c>
      <c r="R3660" s="183"/>
    </row>
    <row r="3661" spans="1:18" ht="14.25" x14ac:dyDescent="0.2">
      <c r="A3661" s="213">
        <v>110</v>
      </c>
      <c r="B3661" s="232" t="str">
        <f>IF(AND(A3661&lt;&gt;"",ISNUMBER(A3661)),VLOOKUP(A3661,Studies!A:BR,2,FALSE),"")</f>
        <v>Chouchane 1995</v>
      </c>
      <c r="C3661" s="232" t="str">
        <f>IF(AND(A3661&lt;&gt;"",ISNUMBER(A3661)),VLOOKUP(A3661,Studies!A:BR,3,FALSE),"")</f>
        <v>https://www.ncbi.nlm.nih.gov/pubmed/8983939</v>
      </c>
      <c r="D3661" s="232" t="str">
        <f>IF(AND(A3661&lt;&gt;"",ISNUMBER(A3661)),VLOOKUP(A3661,Studies!A:BR,4,FALSE),"")</f>
        <v>Rimactan</v>
      </c>
      <c r="E3661" s="206" t="str">
        <f>IF(AND(A3661&lt;&gt;"",ISNUMBER(A3661)),VLOOKUP(A3661,Studies!A:BR,5,FALSE),"")</f>
        <v>Rifampicin</v>
      </c>
      <c r="F3661" s="207" t="str">
        <f>IF(AND(A3661&lt;&gt;"",ISNUMBER(A3661)),VLOOKUP(A3661,Studies!A:BR,6,FALSE),"")</f>
        <v>Plasma</v>
      </c>
      <c r="G3661" s="194">
        <v>1</v>
      </c>
      <c r="H3661" s="194" t="s">
        <v>60</v>
      </c>
      <c r="I3661" s="187">
        <v>4.4000000000000004</v>
      </c>
      <c r="J3661" s="187" t="s">
        <v>1054</v>
      </c>
      <c r="K3661" s="187" t="s">
        <v>389</v>
      </c>
      <c r="L3661" s="195">
        <v>3.69</v>
      </c>
      <c r="M3661" s="195" t="s">
        <v>1054</v>
      </c>
      <c r="N3661" s="195" t="s">
        <v>117</v>
      </c>
      <c r="O3661" s="199">
        <v>0.2</v>
      </c>
      <c r="P3661" s="188"/>
      <c r="Q3661" s="174">
        <f>IF(ISNUMBER(VLOOKUP(A3661,NotghiID!A:A,1,FALSE)),1,0)</f>
        <v>1</v>
      </c>
      <c r="R3661" s="183"/>
    </row>
    <row r="3662" spans="1:18" ht="14.25" x14ac:dyDescent="0.2">
      <c r="A3662" s="213">
        <v>110</v>
      </c>
      <c r="B3662" s="232" t="str">
        <f>IF(AND(A3662&lt;&gt;"",ISNUMBER(A3662)),VLOOKUP(A3662,Studies!A:BR,2,FALSE),"")</f>
        <v>Chouchane 1995</v>
      </c>
      <c r="C3662" s="232" t="str">
        <f>IF(AND(A3662&lt;&gt;"",ISNUMBER(A3662)),VLOOKUP(A3662,Studies!A:BR,3,FALSE),"")</f>
        <v>https://www.ncbi.nlm.nih.gov/pubmed/8983939</v>
      </c>
      <c r="D3662" s="232" t="str">
        <f>IF(AND(A3662&lt;&gt;"",ISNUMBER(A3662)),VLOOKUP(A3662,Studies!A:BR,4,FALSE),"")</f>
        <v>Rimactan</v>
      </c>
      <c r="E3662" s="206" t="str">
        <f>IF(AND(A3662&lt;&gt;"",ISNUMBER(A3662)),VLOOKUP(A3662,Studies!A:BR,5,FALSE),"")</f>
        <v>Rifampicin</v>
      </c>
      <c r="F3662" s="207" t="str">
        <f>IF(AND(A3662&lt;&gt;"",ISNUMBER(A3662)),VLOOKUP(A3662,Studies!A:BR,6,FALSE),"")</f>
        <v>Plasma</v>
      </c>
      <c r="G3662" s="194">
        <v>1.5</v>
      </c>
      <c r="H3662" s="194" t="s">
        <v>60</v>
      </c>
      <c r="I3662" s="187">
        <v>5.68</v>
      </c>
      <c r="J3662" s="187" t="s">
        <v>1054</v>
      </c>
      <c r="K3662" s="187" t="s">
        <v>389</v>
      </c>
      <c r="L3662" s="195">
        <v>2.94</v>
      </c>
      <c r="M3662" s="195" t="s">
        <v>1054</v>
      </c>
      <c r="N3662" s="195" t="s">
        <v>117</v>
      </c>
      <c r="O3662" s="199">
        <v>0.2</v>
      </c>
      <c r="P3662" s="188"/>
      <c r="Q3662" s="174">
        <f>IF(ISNUMBER(VLOOKUP(A3662,NotghiID!A:A,1,FALSE)),1,0)</f>
        <v>1</v>
      </c>
      <c r="R3662" s="183"/>
    </row>
    <row r="3663" spans="1:18" ht="14.25" x14ac:dyDescent="0.2">
      <c r="A3663" s="213">
        <v>110</v>
      </c>
      <c r="B3663" s="232" t="str">
        <f>IF(AND(A3663&lt;&gt;"",ISNUMBER(A3663)),VLOOKUP(A3663,Studies!A:BR,2,FALSE),"")</f>
        <v>Chouchane 1995</v>
      </c>
      <c r="C3663" s="232" t="str">
        <f>IF(AND(A3663&lt;&gt;"",ISNUMBER(A3663)),VLOOKUP(A3663,Studies!A:BR,3,FALSE),"")</f>
        <v>https://www.ncbi.nlm.nih.gov/pubmed/8983939</v>
      </c>
      <c r="D3663" s="232" t="str">
        <f>IF(AND(A3663&lt;&gt;"",ISNUMBER(A3663)),VLOOKUP(A3663,Studies!A:BR,4,FALSE),"")</f>
        <v>Rimactan</v>
      </c>
      <c r="E3663" s="206" t="str">
        <f>IF(AND(A3663&lt;&gt;"",ISNUMBER(A3663)),VLOOKUP(A3663,Studies!A:BR,5,FALSE),"")</f>
        <v>Rifampicin</v>
      </c>
      <c r="F3663" s="207" t="str">
        <f>IF(AND(A3663&lt;&gt;"",ISNUMBER(A3663)),VLOOKUP(A3663,Studies!A:BR,6,FALSE),"")</f>
        <v>Plasma</v>
      </c>
      <c r="G3663" s="194">
        <v>2</v>
      </c>
      <c r="H3663" s="194" t="s">
        <v>60</v>
      </c>
      <c r="I3663" s="187">
        <v>5.0199999999999996</v>
      </c>
      <c r="J3663" s="187" t="s">
        <v>1054</v>
      </c>
      <c r="K3663" s="187" t="s">
        <v>389</v>
      </c>
      <c r="L3663" s="195">
        <v>2.94</v>
      </c>
      <c r="M3663" s="195" t="s">
        <v>1054</v>
      </c>
      <c r="N3663" s="195" t="s">
        <v>117</v>
      </c>
      <c r="O3663" s="199">
        <v>0.2</v>
      </c>
      <c r="P3663" s="188"/>
      <c r="Q3663" s="174">
        <f>IF(ISNUMBER(VLOOKUP(A3663,NotghiID!A:A,1,FALSE)),1,0)</f>
        <v>1</v>
      </c>
      <c r="R3663" s="183"/>
    </row>
    <row r="3664" spans="1:18" ht="14.25" x14ac:dyDescent="0.2">
      <c r="A3664" s="213">
        <v>110</v>
      </c>
      <c r="B3664" s="232" t="str">
        <f>IF(AND(A3664&lt;&gt;"",ISNUMBER(A3664)),VLOOKUP(A3664,Studies!A:BR,2,FALSE),"")</f>
        <v>Chouchane 1995</v>
      </c>
      <c r="C3664" s="232" t="str">
        <f>IF(AND(A3664&lt;&gt;"",ISNUMBER(A3664)),VLOOKUP(A3664,Studies!A:BR,3,FALSE),"")</f>
        <v>https://www.ncbi.nlm.nih.gov/pubmed/8983939</v>
      </c>
      <c r="D3664" s="232" t="str">
        <f>IF(AND(A3664&lt;&gt;"",ISNUMBER(A3664)),VLOOKUP(A3664,Studies!A:BR,4,FALSE),"")</f>
        <v>Rimactan</v>
      </c>
      <c r="E3664" s="206" t="str">
        <f>IF(AND(A3664&lt;&gt;"",ISNUMBER(A3664)),VLOOKUP(A3664,Studies!A:BR,5,FALSE),"")</f>
        <v>Rifampicin</v>
      </c>
      <c r="F3664" s="207" t="str">
        <f>IF(AND(A3664&lt;&gt;"",ISNUMBER(A3664)),VLOOKUP(A3664,Studies!A:BR,6,FALSE),"")</f>
        <v>Plasma</v>
      </c>
      <c r="G3664" s="194">
        <v>3</v>
      </c>
      <c r="H3664" s="194" t="s">
        <v>60</v>
      </c>
      <c r="I3664" s="187">
        <v>4.4000000000000004</v>
      </c>
      <c r="J3664" s="187" t="s">
        <v>1054</v>
      </c>
      <c r="K3664" s="187" t="s">
        <v>389</v>
      </c>
      <c r="L3664" s="195">
        <v>1.8</v>
      </c>
      <c r="M3664" s="195" t="s">
        <v>1054</v>
      </c>
      <c r="N3664" s="195" t="s">
        <v>117</v>
      </c>
      <c r="O3664" s="199">
        <v>0.2</v>
      </c>
      <c r="P3664" s="188"/>
      <c r="Q3664" s="174">
        <f>IF(ISNUMBER(VLOOKUP(A3664,NotghiID!A:A,1,FALSE)),1,0)</f>
        <v>1</v>
      </c>
      <c r="R3664" s="183"/>
    </row>
    <row r="3665" spans="1:17" ht="14.25" x14ac:dyDescent="0.2">
      <c r="A3665" s="213">
        <v>110</v>
      </c>
      <c r="B3665" s="232" t="str">
        <f>IF(AND(A3665&lt;&gt;"",ISNUMBER(A3665)),VLOOKUP(A3665,Studies!A:BR,2,FALSE),"")</f>
        <v>Chouchane 1995</v>
      </c>
      <c r="C3665" s="232" t="str">
        <f>IF(AND(A3665&lt;&gt;"",ISNUMBER(A3665)),VLOOKUP(A3665,Studies!A:BR,3,FALSE),"")</f>
        <v>https://www.ncbi.nlm.nih.gov/pubmed/8983939</v>
      </c>
      <c r="D3665" s="232" t="str">
        <f>IF(AND(A3665&lt;&gt;"",ISNUMBER(A3665)),VLOOKUP(A3665,Studies!A:BR,4,FALSE),"")</f>
        <v>Rimactan</v>
      </c>
      <c r="E3665" s="206" t="str">
        <f>IF(AND(A3665&lt;&gt;"",ISNUMBER(A3665)),VLOOKUP(A3665,Studies!A:BR,5,FALSE),"")</f>
        <v>Rifampicin</v>
      </c>
      <c r="F3665" s="207" t="str">
        <f>IF(AND(A3665&lt;&gt;"",ISNUMBER(A3665)),VLOOKUP(A3665,Studies!A:BR,6,FALSE),"")</f>
        <v>Plasma</v>
      </c>
      <c r="G3665" s="194">
        <v>4</v>
      </c>
      <c r="H3665" s="194" t="s">
        <v>60</v>
      </c>
      <c r="I3665" s="187">
        <v>3.59</v>
      </c>
      <c r="J3665" s="187" t="s">
        <v>1054</v>
      </c>
      <c r="K3665" s="187" t="s">
        <v>389</v>
      </c>
      <c r="L3665" s="195">
        <v>1.94</v>
      </c>
      <c r="M3665" s="195" t="s">
        <v>1054</v>
      </c>
      <c r="N3665" s="195" t="s">
        <v>117</v>
      </c>
      <c r="O3665" s="199">
        <v>0.2</v>
      </c>
      <c r="P3665" s="188"/>
      <c r="Q3665" s="174">
        <f>IF(ISNUMBER(VLOOKUP(A3665,NotghiID!A:A,1,FALSE)),1,0)</f>
        <v>1</v>
      </c>
    </row>
    <row r="3666" spans="1:17" ht="14.25" x14ac:dyDescent="0.2">
      <c r="A3666" s="213">
        <v>110</v>
      </c>
      <c r="B3666" s="232" t="str">
        <f>IF(AND(A3666&lt;&gt;"",ISNUMBER(A3666)),VLOOKUP(A3666,Studies!A:BR,2,FALSE),"")</f>
        <v>Chouchane 1995</v>
      </c>
      <c r="C3666" s="232" t="str">
        <f>IF(AND(A3666&lt;&gt;"",ISNUMBER(A3666)),VLOOKUP(A3666,Studies!A:BR,3,FALSE),"")</f>
        <v>https://www.ncbi.nlm.nih.gov/pubmed/8983939</v>
      </c>
      <c r="D3666" s="232" t="str">
        <f>IF(AND(A3666&lt;&gt;"",ISNUMBER(A3666)),VLOOKUP(A3666,Studies!A:BR,4,FALSE),"")</f>
        <v>Rimactan</v>
      </c>
      <c r="E3666" s="206" t="str">
        <f>IF(AND(A3666&lt;&gt;"",ISNUMBER(A3666)),VLOOKUP(A3666,Studies!A:BR,5,FALSE),"")</f>
        <v>Rifampicin</v>
      </c>
      <c r="F3666" s="207" t="str">
        <f>IF(AND(A3666&lt;&gt;"",ISNUMBER(A3666)),VLOOKUP(A3666,Studies!A:BR,6,FALSE),"")</f>
        <v>Plasma</v>
      </c>
      <c r="G3666" s="194">
        <v>5</v>
      </c>
      <c r="H3666" s="194" t="s">
        <v>60</v>
      </c>
      <c r="I3666" s="187">
        <v>2.8</v>
      </c>
      <c r="J3666" s="187" t="s">
        <v>1054</v>
      </c>
      <c r="K3666" s="187" t="s">
        <v>389</v>
      </c>
      <c r="L3666" s="195">
        <v>1.06</v>
      </c>
      <c r="M3666" s="195" t="s">
        <v>1054</v>
      </c>
      <c r="N3666" s="195" t="s">
        <v>117</v>
      </c>
      <c r="O3666" s="199">
        <v>0.2</v>
      </c>
      <c r="P3666" s="188"/>
      <c r="Q3666" s="174">
        <f>IF(ISNUMBER(VLOOKUP(A3666,NotghiID!A:A,1,FALSE)),1,0)</f>
        <v>1</v>
      </c>
    </row>
    <row r="3667" spans="1:17" ht="14.25" x14ac:dyDescent="0.2">
      <c r="A3667" s="213">
        <v>110</v>
      </c>
      <c r="B3667" s="232" t="str">
        <f>IF(AND(A3667&lt;&gt;"",ISNUMBER(A3667)),VLOOKUP(A3667,Studies!A:BR,2,FALSE),"")</f>
        <v>Chouchane 1995</v>
      </c>
      <c r="C3667" s="232" t="str">
        <f>IF(AND(A3667&lt;&gt;"",ISNUMBER(A3667)),VLOOKUP(A3667,Studies!A:BR,3,FALSE),"")</f>
        <v>https://www.ncbi.nlm.nih.gov/pubmed/8983939</v>
      </c>
      <c r="D3667" s="232" t="str">
        <f>IF(AND(A3667&lt;&gt;"",ISNUMBER(A3667)),VLOOKUP(A3667,Studies!A:BR,4,FALSE),"")</f>
        <v>Rimactan</v>
      </c>
      <c r="E3667" s="206" t="str">
        <f>IF(AND(A3667&lt;&gt;"",ISNUMBER(A3667)),VLOOKUP(A3667,Studies!A:BR,5,FALSE),"")</f>
        <v>Rifampicin</v>
      </c>
      <c r="F3667" s="207" t="str">
        <f>IF(AND(A3667&lt;&gt;"",ISNUMBER(A3667)),VLOOKUP(A3667,Studies!A:BR,6,FALSE),"")</f>
        <v>Plasma</v>
      </c>
      <c r="G3667" s="194">
        <v>6</v>
      </c>
      <c r="H3667" s="194" t="s">
        <v>60</v>
      </c>
      <c r="I3667" s="187">
        <v>1.96</v>
      </c>
      <c r="J3667" s="187" t="s">
        <v>1054</v>
      </c>
      <c r="K3667" s="187" t="s">
        <v>389</v>
      </c>
      <c r="L3667" s="195">
        <v>1.08</v>
      </c>
      <c r="M3667" s="195" t="s">
        <v>1054</v>
      </c>
      <c r="N3667" s="195" t="s">
        <v>117</v>
      </c>
      <c r="O3667" s="199">
        <v>0.2</v>
      </c>
      <c r="P3667" s="188"/>
      <c r="Q3667" s="174">
        <f>IF(ISNUMBER(VLOOKUP(A3667,NotghiID!A:A,1,FALSE)),1,0)</f>
        <v>1</v>
      </c>
    </row>
    <row r="3668" spans="1:17" ht="14.25" x14ac:dyDescent="0.2">
      <c r="A3668" s="213">
        <v>110</v>
      </c>
      <c r="B3668" s="232" t="str">
        <f>IF(AND(A3668&lt;&gt;"",ISNUMBER(A3668)),VLOOKUP(A3668,Studies!A:BR,2,FALSE),"")</f>
        <v>Chouchane 1995</v>
      </c>
      <c r="C3668" s="232" t="str">
        <f>IF(AND(A3668&lt;&gt;"",ISNUMBER(A3668)),VLOOKUP(A3668,Studies!A:BR,3,FALSE),"")</f>
        <v>https://www.ncbi.nlm.nih.gov/pubmed/8983939</v>
      </c>
      <c r="D3668" s="232" t="str">
        <f>IF(AND(A3668&lt;&gt;"",ISNUMBER(A3668)),VLOOKUP(A3668,Studies!A:BR,4,FALSE),"")</f>
        <v>Rimactan</v>
      </c>
      <c r="E3668" s="206" t="str">
        <f>IF(AND(A3668&lt;&gt;"",ISNUMBER(A3668)),VLOOKUP(A3668,Studies!A:BR,5,FALSE),"")</f>
        <v>Rifampicin</v>
      </c>
      <c r="F3668" s="207" t="str">
        <f>IF(AND(A3668&lt;&gt;"",ISNUMBER(A3668)),VLOOKUP(A3668,Studies!A:BR,6,FALSE),"")</f>
        <v>Plasma</v>
      </c>
      <c r="G3668" s="194">
        <v>7</v>
      </c>
      <c r="H3668" s="194" t="s">
        <v>60</v>
      </c>
      <c r="I3668" s="187">
        <v>1.46</v>
      </c>
      <c r="J3668" s="187" t="s">
        <v>1054</v>
      </c>
      <c r="K3668" s="187" t="s">
        <v>389</v>
      </c>
      <c r="L3668" s="195">
        <v>0.91</v>
      </c>
      <c r="M3668" s="195" t="s">
        <v>1054</v>
      </c>
      <c r="N3668" s="195" t="s">
        <v>117</v>
      </c>
      <c r="O3668" s="199">
        <v>0.2</v>
      </c>
      <c r="P3668" s="188"/>
      <c r="Q3668" s="174">
        <f>IF(ISNUMBER(VLOOKUP(A3668,NotghiID!A:A,1,FALSE)),1,0)</f>
        <v>1</v>
      </c>
    </row>
    <row r="3669" spans="1:17" ht="14.25" x14ac:dyDescent="0.2">
      <c r="A3669" s="213">
        <v>110</v>
      </c>
      <c r="B3669" s="232" t="str">
        <f>IF(AND(A3669&lt;&gt;"",ISNUMBER(A3669)),VLOOKUP(A3669,Studies!A:BR,2,FALSE),"")</f>
        <v>Chouchane 1995</v>
      </c>
      <c r="C3669" s="232" t="str">
        <f>IF(AND(A3669&lt;&gt;"",ISNUMBER(A3669)),VLOOKUP(A3669,Studies!A:BR,3,FALSE),"")</f>
        <v>https://www.ncbi.nlm.nih.gov/pubmed/8983939</v>
      </c>
      <c r="D3669" s="232" t="str">
        <f>IF(AND(A3669&lt;&gt;"",ISNUMBER(A3669)),VLOOKUP(A3669,Studies!A:BR,4,FALSE),"")</f>
        <v>Rimactan</v>
      </c>
      <c r="E3669" s="206" t="str">
        <f>IF(AND(A3669&lt;&gt;"",ISNUMBER(A3669)),VLOOKUP(A3669,Studies!A:BR,5,FALSE),"")</f>
        <v>Rifampicin</v>
      </c>
      <c r="F3669" s="207" t="str">
        <f>IF(AND(A3669&lt;&gt;"",ISNUMBER(A3669)),VLOOKUP(A3669,Studies!A:BR,6,FALSE),"")</f>
        <v>Plasma</v>
      </c>
      <c r="G3669" s="194">
        <v>8</v>
      </c>
      <c r="H3669" s="194" t="s">
        <v>60</v>
      </c>
      <c r="I3669" s="187">
        <v>1.18</v>
      </c>
      <c r="J3669" s="187" t="s">
        <v>1054</v>
      </c>
      <c r="K3669" s="187" t="s">
        <v>389</v>
      </c>
      <c r="L3669" s="195">
        <v>0.79</v>
      </c>
      <c r="M3669" s="195" t="s">
        <v>1054</v>
      </c>
      <c r="N3669" s="195" t="s">
        <v>117</v>
      </c>
      <c r="O3669" s="199">
        <v>0.2</v>
      </c>
      <c r="P3669" s="188"/>
      <c r="Q3669" s="174">
        <f>IF(ISNUMBER(VLOOKUP(A3669,NotghiID!A:A,1,FALSE)),1,0)</f>
        <v>1</v>
      </c>
    </row>
    <row r="3670" spans="1:17" ht="14.25" x14ac:dyDescent="0.2">
      <c r="A3670" s="213">
        <v>110</v>
      </c>
      <c r="B3670" s="232" t="str">
        <f>IF(AND(A3670&lt;&gt;"",ISNUMBER(A3670)),VLOOKUP(A3670,Studies!A:BR,2,FALSE),"")</f>
        <v>Chouchane 1995</v>
      </c>
      <c r="C3670" s="232" t="str">
        <f>IF(AND(A3670&lt;&gt;"",ISNUMBER(A3670)),VLOOKUP(A3670,Studies!A:BR,3,FALSE),"")</f>
        <v>https://www.ncbi.nlm.nih.gov/pubmed/8983939</v>
      </c>
      <c r="D3670" s="232" t="str">
        <f>IF(AND(A3670&lt;&gt;"",ISNUMBER(A3670)),VLOOKUP(A3670,Studies!A:BR,4,FALSE),"")</f>
        <v>Rimactan</v>
      </c>
      <c r="E3670" s="206" t="str">
        <f>IF(AND(A3670&lt;&gt;"",ISNUMBER(A3670)),VLOOKUP(A3670,Studies!A:BR,5,FALSE),"")</f>
        <v>Rifampicin</v>
      </c>
      <c r="F3670" s="207" t="str">
        <f>IF(AND(A3670&lt;&gt;"",ISNUMBER(A3670)),VLOOKUP(A3670,Studies!A:BR,6,FALSE),"")</f>
        <v>Plasma</v>
      </c>
      <c r="G3670" s="194">
        <v>9</v>
      </c>
      <c r="H3670" s="194" t="s">
        <v>60</v>
      </c>
      <c r="I3670" s="187">
        <v>0.85</v>
      </c>
      <c r="J3670" s="187" t="s">
        <v>1054</v>
      </c>
      <c r="K3670" s="187" t="s">
        <v>389</v>
      </c>
      <c r="L3670" s="195">
        <v>0.57999999999999996</v>
      </c>
      <c r="M3670" s="195" t="s">
        <v>1054</v>
      </c>
      <c r="N3670" s="195" t="s">
        <v>117</v>
      </c>
      <c r="O3670" s="199">
        <v>0.2</v>
      </c>
      <c r="P3670" s="188"/>
      <c r="Q3670" s="174">
        <f>IF(ISNUMBER(VLOOKUP(A3670,NotghiID!A:A,1,FALSE)),1,0)</f>
        <v>1</v>
      </c>
    </row>
    <row r="3671" spans="1:17" ht="14.25" x14ac:dyDescent="0.2">
      <c r="A3671" s="213">
        <v>110</v>
      </c>
      <c r="B3671" s="232" t="str">
        <f>IF(AND(A3671&lt;&gt;"",ISNUMBER(A3671)),VLOOKUP(A3671,Studies!A:BR,2,FALSE),"")</f>
        <v>Chouchane 1995</v>
      </c>
      <c r="C3671" s="232" t="str">
        <f>IF(AND(A3671&lt;&gt;"",ISNUMBER(A3671)),VLOOKUP(A3671,Studies!A:BR,3,FALSE),"")</f>
        <v>https://www.ncbi.nlm.nih.gov/pubmed/8983939</v>
      </c>
      <c r="D3671" s="232" t="str">
        <f>IF(AND(A3671&lt;&gt;"",ISNUMBER(A3671)),VLOOKUP(A3671,Studies!A:BR,4,FALSE),"")</f>
        <v>Rimactan</v>
      </c>
      <c r="E3671" s="206" t="str">
        <f>IF(AND(A3671&lt;&gt;"",ISNUMBER(A3671)),VLOOKUP(A3671,Studies!A:BR,5,FALSE),"")</f>
        <v>Rifampicin</v>
      </c>
      <c r="F3671" s="207" t="str">
        <f>IF(AND(A3671&lt;&gt;"",ISNUMBER(A3671)),VLOOKUP(A3671,Studies!A:BR,6,FALSE),"")</f>
        <v>Plasma</v>
      </c>
      <c r="G3671" s="194">
        <v>10</v>
      </c>
      <c r="H3671" s="194" t="s">
        <v>60</v>
      </c>
      <c r="I3671" s="187">
        <v>0.96</v>
      </c>
      <c r="J3671" s="187" t="s">
        <v>1054</v>
      </c>
      <c r="K3671" s="187" t="s">
        <v>389</v>
      </c>
      <c r="L3671" s="195">
        <v>0.53</v>
      </c>
      <c r="M3671" s="195" t="s">
        <v>1054</v>
      </c>
      <c r="N3671" s="195" t="s">
        <v>117</v>
      </c>
      <c r="O3671" s="199">
        <v>0.2</v>
      </c>
      <c r="P3671" s="188"/>
      <c r="Q3671" s="174">
        <f>IF(ISNUMBER(VLOOKUP(A3671,NotghiID!A:A,1,FALSE)),1,0)</f>
        <v>1</v>
      </c>
    </row>
    <row r="3672" spans="1:17" ht="14.25" x14ac:dyDescent="0.2">
      <c r="A3672" s="213">
        <v>111</v>
      </c>
      <c r="B3672" s="232" t="str">
        <f>IF(AND(A3672&lt;&gt;"",ISNUMBER(A3672)),VLOOKUP(A3672,Studies!A:BR,2,FALSE),"")</f>
        <v>Chouchane 1995</v>
      </c>
      <c r="C3672" s="232" t="str">
        <f>IF(AND(A3672&lt;&gt;"",ISNUMBER(A3672)),VLOOKUP(A3672,Studies!A:BR,3,FALSE),"")</f>
        <v>https://www.ncbi.nlm.nih.gov/pubmed/8983939</v>
      </c>
      <c r="D3672" s="232" t="str">
        <f>IF(AND(A3672&lt;&gt;"",ISNUMBER(A3672)),VLOOKUP(A3672,Studies!A:BR,4,FALSE),"")</f>
        <v>Rifampicin Generic</v>
      </c>
      <c r="E3672" s="206" t="str">
        <f>IF(AND(A3672&lt;&gt;"",ISNUMBER(A3672)),VLOOKUP(A3672,Studies!A:BR,5,FALSE),"")</f>
        <v>Rifampicin</v>
      </c>
      <c r="F3672" s="207" t="str">
        <f>IF(AND(A3672&lt;&gt;"",ISNUMBER(A3672)),VLOOKUP(A3672,Studies!A:BR,6,FALSE),"")</f>
        <v>Plasma</v>
      </c>
      <c r="G3672" s="194">
        <v>0</v>
      </c>
      <c r="H3672" s="194" t="s">
        <v>60</v>
      </c>
      <c r="I3672" s="187">
        <v>0</v>
      </c>
      <c r="J3672" s="187" t="s">
        <v>1054</v>
      </c>
      <c r="K3672" s="187" t="s">
        <v>389</v>
      </c>
      <c r="L3672" s="195"/>
      <c r="M3672" s="195"/>
      <c r="N3672" s="195"/>
      <c r="O3672" s="199">
        <v>0.2</v>
      </c>
      <c r="P3672" s="188"/>
      <c r="Q3672" s="174">
        <f>IF(ISNUMBER(VLOOKUP(A3672,NotghiID!A:A,1,FALSE)),1,0)</f>
        <v>1</v>
      </c>
    </row>
    <row r="3673" spans="1:17" ht="14.25" x14ac:dyDescent="0.2">
      <c r="A3673" s="213">
        <v>111</v>
      </c>
      <c r="B3673" s="232" t="str">
        <f>IF(AND(A3673&lt;&gt;"",ISNUMBER(A3673)),VLOOKUP(A3673,Studies!A:BR,2,FALSE),"")</f>
        <v>Chouchane 1995</v>
      </c>
      <c r="C3673" s="232" t="str">
        <f>IF(AND(A3673&lt;&gt;"",ISNUMBER(A3673)),VLOOKUP(A3673,Studies!A:BR,3,FALSE),"")</f>
        <v>https://www.ncbi.nlm.nih.gov/pubmed/8983939</v>
      </c>
      <c r="D3673" s="232" t="str">
        <f>IF(AND(A3673&lt;&gt;"",ISNUMBER(A3673)),VLOOKUP(A3673,Studies!A:BR,4,FALSE),"")</f>
        <v>Rifampicin Generic</v>
      </c>
      <c r="E3673" s="206" t="str">
        <f>IF(AND(A3673&lt;&gt;"",ISNUMBER(A3673)),VLOOKUP(A3673,Studies!A:BR,5,FALSE),"")</f>
        <v>Rifampicin</v>
      </c>
      <c r="F3673" s="207" t="str">
        <f>IF(AND(A3673&lt;&gt;"",ISNUMBER(A3673)),VLOOKUP(A3673,Studies!A:BR,6,FALSE),"")</f>
        <v>Plasma</v>
      </c>
      <c r="G3673" s="194">
        <v>1</v>
      </c>
      <c r="H3673" s="194" t="s">
        <v>60</v>
      </c>
      <c r="I3673" s="187">
        <v>4.8</v>
      </c>
      <c r="J3673" s="187" t="s">
        <v>1054</v>
      </c>
      <c r="K3673" s="187" t="s">
        <v>389</v>
      </c>
      <c r="L3673" s="195">
        <v>2.66</v>
      </c>
      <c r="M3673" s="195" t="s">
        <v>1054</v>
      </c>
      <c r="N3673" s="195" t="s">
        <v>117</v>
      </c>
      <c r="O3673" s="199">
        <v>0.2</v>
      </c>
      <c r="P3673" s="188"/>
      <c r="Q3673" s="174">
        <f>IF(ISNUMBER(VLOOKUP(A3673,NotghiID!A:A,1,FALSE)),1,0)</f>
        <v>1</v>
      </c>
    </row>
    <row r="3674" spans="1:17" ht="14.25" x14ac:dyDescent="0.2">
      <c r="A3674" s="213">
        <v>111</v>
      </c>
      <c r="B3674" s="232" t="str">
        <f>IF(AND(A3674&lt;&gt;"",ISNUMBER(A3674)),VLOOKUP(A3674,Studies!A:BR,2,FALSE),"")</f>
        <v>Chouchane 1995</v>
      </c>
      <c r="C3674" s="232" t="str">
        <f>IF(AND(A3674&lt;&gt;"",ISNUMBER(A3674)),VLOOKUP(A3674,Studies!A:BR,3,FALSE),"")</f>
        <v>https://www.ncbi.nlm.nih.gov/pubmed/8983939</v>
      </c>
      <c r="D3674" s="232" t="str">
        <f>IF(AND(A3674&lt;&gt;"",ISNUMBER(A3674)),VLOOKUP(A3674,Studies!A:BR,4,FALSE),"")</f>
        <v>Rifampicin Generic</v>
      </c>
      <c r="E3674" s="206" t="str">
        <f>IF(AND(A3674&lt;&gt;"",ISNUMBER(A3674)),VLOOKUP(A3674,Studies!A:BR,5,FALSE),"")</f>
        <v>Rifampicin</v>
      </c>
      <c r="F3674" s="207" t="str">
        <f>IF(AND(A3674&lt;&gt;"",ISNUMBER(A3674)),VLOOKUP(A3674,Studies!A:BR,6,FALSE),"")</f>
        <v>Plasma</v>
      </c>
      <c r="G3674" s="194">
        <v>1.5</v>
      </c>
      <c r="H3674" s="194" t="s">
        <v>60</v>
      </c>
      <c r="I3674" s="187">
        <v>5.81</v>
      </c>
      <c r="J3674" s="187" t="s">
        <v>1054</v>
      </c>
      <c r="K3674" s="187" t="s">
        <v>389</v>
      </c>
      <c r="L3674" s="195">
        <v>3.66</v>
      </c>
      <c r="M3674" s="195" t="s">
        <v>1054</v>
      </c>
      <c r="N3674" s="195" t="s">
        <v>117</v>
      </c>
      <c r="O3674" s="199">
        <v>0.2</v>
      </c>
      <c r="P3674" s="188"/>
      <c r="Q3674" s="174">
        <f>IF(ISNUMBER(VLOOKUP(A3674,NotghiID!A:A,1,FALSE)),1,0)</f>
        <v>1</v>
      </c>
    </row>
    <row r="3675" spans="1:17" ht="14.25" x14ac:dyDescent="0.2">
      <c r="A3675" s="213">
        <v>111</v>
      </c>
      <c r="B3675" s="232" t="str">
        <f>IF(AND(A3675&lt;&gt;"",ISNUMBER(A3675)),VLOOKUP(A3675,Studies!A:BR,2,FALSE),"")</f>
        <v>Chouchane 1995</v>
      </c>
      <c r="C3675" s="232" t="str">
        <f>IF(AND(A3675&lt;&gt;"",ISNUMBER(A3675)),VLOOKUP(A3675,Studies!A:BR,3,FALSE),"")</f>
        <v>https://www.ncbi.nlm.nih.gov/pubmed/8983939</v>
      </c>
      <c r="D3675" s="232" t="str">
        <f>IF(AND(A3675&lt;&gt;"",ISNUMBER(A3675)),VLOOKUP(A3675,Studies!A:BR,4,FALSE),"")</f>
        <v>Rifampicin Generic</v>
      </c>
      <c r="E3675" s="206" t="str">
        <f>IF(AND(A3675&lt;&gt;"",ISNUMBER(A3675)),VLOOKUP(A3675,Studies!A:BR,5,FALSE),"")</f>
        <v>Rifampicin</v>
      </c>
      <c r="F3675" s="207" t="str">
        <f>IF(AND(A3675&lt;&gt;"",ISNUMBER(A3675)),VLOOKUP(A3675,Studies!A:BR,6,FALSE),"")</f>
        <v>Plasma</v>
      </c>
      <c r="G3675" s="194">
        <v>2</v>
      </c>
      <c r="H3675" s="194" t="s">
        <v>60</v>
      </c>
      <c r="I3675" s="187">
        <v>5.39</v>
      </c>
      <c r="J3675" s="187" t="s">
        <v>1054</v>
      </c>
      <c r="K3675" s="187" t="s">
        <v>389</v>
      </c>
      <c r="L3675" s="195">
        <v>2.42</v>
      </c>
      <c r="M3675" s="195" t="s">
        <v>1054</v>
      </c>
      <c r="N3675" s="195" t="s">
        <v>117</v>
      </c>
      <c r="O3675" s="199">
        <v>0.2</v>
      </c>
      <c r="P3675" s="188"/>
      <c r="Q3675" s="174">
        <f>IF(ISNUMBER(VLOOKUP(A3675,NotghiID!A:A,1,FALSE)),1,0)</f>
        <v>1</v>
      </c>
    </row>
    <row r="3676" spans="1:17" ht="14.25" x14ac:dyDescent="0.2">
      <c r="A3676" s="213">
        <v>111</v>
      </c>
      <c r="B3676" s="232" t="str">
        <f>IF(AND(A3676&lt;&gt;"",ISNUMBER(A3676)),VLOOKUP(A3676,Studies!A:BR,2,FALSE),"")</f>
        <v>Chouchane 1995</v>
      </c>
      <c r="C3676" s="232" t="str">
        <f>IF(AND(A3676&lt;&gt;"",ISNUMBER(A3676)),VLOOKUP(A3676,Studies!A:BR,3,FALSE),"")</f>
        <v>https://www.ncbi.nlm.nih.gov/pubmed/8983939</v>
      </c>
      <c r="D3676" s="232" t="str">
        <f>IF(AND(A3676&lt;&gt;"",ISNUMBER(A3676)),VLOOKUP(A3676,Studies!A:BR,4,FALSE),"")</f>
        <v>Rifampicin Generic</v>
      </c>
      <c r="E3676" s="206" t="str">
        <f>IF(AND(A3676&lt;&gt;"",ISNUMBER(A3676)),VLOOKUP(A3676,Studies!A:BR,5,FALSE),"")</f>
        <v>Rifampicin</v>
      </c>
      <c r="F3676" s="207" t="str">
        <f>IF(AND(A3676&lt;&gt;"",ISNUMBER(A3676)),VLOOKUP(A3676,Studies!A:BR,6,FALSE),"")</f>
        <v>Plasma</v>
      </c>
      <c r="G3676" s="194">
        <v>3</v>
      </c>
      <c r="H3676" s="194" t="s">
        <v>60</v>
      </c>
      <c r="I3676" s="187">
        <v>4.12</v>
      </c>
      <c r="J3676" s="187" t="s">
        <v>1054</v>
      </c>
      <c r="K3676" s="187" t="s">
        <v>389</v>
      </c>
      <c r="L3676" s="195">
        <v>1.72</v>
      </c>
      <c r="M3676" s="195" t="s">
        <v>1054</v>
      </c>
      <c r="N3676" s="195" t="s">
        <v>117</v>
      </c>
      <c r="O3676" s="199">
        <v>0.2</v>
      </c>
      <c r="P3676" s="188"/>
      <c r="Q3676" s="174">
        <f>IF(ISNUMBER(VLOOKUP(A3676,NotghiID!A:A,1,FALSE)),1,0)</f>
        <v>1</v>
      </c>
    </row>
    <row r="3677" spans="1:17" ht="14.25" x14ac:dyDescent="0.2">
      <c r="A3677" s="213">
        <v>111</v>
      </c>
      <c r="B3677" s="232" t="str">
        <f>IF(AND(A3677&lt;&gt;"",ISNUMBER(A3677)),VLOOKUP(A3677,Studies!A:BR,2,FALSE),"")</f>
        <v>Chouchane 1995</v>
      </c>
      <c r="C3677" s="232" t="str">
        <f>IF(AND(A3677&lt;&gt;"",ISNUMBER(A3677)),VLOOKUP(A3677,Studies!A:BR,3,FALSE),"")</f>
        <v>https://www.ncbi.nlm.nih.gov/pubmed/8983939</v>
      </c>
      <c r="D3677" s="232" t="str">
        <f>IF(AND(A3677&lt;&gt;"",ISNUMBER(A3677)),VLOOKUP(A3677,Studies!A:BR,4,FALSE),"")</f>
        <v>Rifampicin Generic</v>
      </c>
      <c r="E3677" s="206" t="str">
        <f>IF(AND(A3677&lt;&gt;"",ISNUMBER(A3677)),VLOOKUP(A3677,Studies!A:BR,5,FALSE),"")</f>
        <v>Rifampicin</v>
      </c>
      <c r="F3677" s="207" t="str">
        <f>IF(AND(A3677&lt;&gt;"",ISNUMBER(A3677)),VLOOKUP(A3677,Studies!A:BR,6,FALSE),"")</f>
        <v>Plasma</v>
      </c>
      <c r="G3677" s="194">
        <v>4</v>
      </c>
      <c r="H3677" s="194" t="s">
        <v>60</v>
      </c>
      <c r="I3677" s="187">
        <v>3.47</v>
      </c>
      <c r="J3677" s="187" t="s">
        <v>1054</v>
      </c>
      <c r="K3677" s="187" t="s">
        <v>389</v>
      </c>
      <c r="L3677" s="195">
        <v>1.57</v>
      </c>
      <c r="M3677" s="195" t="s">
        <v>1054</v>
      </c>
      <c r="N3677" s="195" t="s">
        <v>117</v>
      </c>
      <c r="O3677" s="199">
        <v>0.2</v>
      </c>
      <c r="P3677" s="188"/>
      <c r="Q3677" s="174">
        <f>IF(ISNUMBER(VLOOKUP(A3677,NotghiID!A:A,1,FALSE)),1,0)</f>
        <v>1</v>
      </c>
    </row>
    <row r="3678" spans="1:17" ht="14.25" x14ac:dyDescent="0.2">
      <c r="A3678" s="213">
        <v>111</v>
      </c>
      <c r="B3678" s="232" t="str">
        <f>IF(AND(A3678&lt;&gt;"",ISNUMBER(A3678)),VLOOKUP(A3678,Studies!A:BR,2,FALSE),"")</f>
        <v>Chouchane 1995</v>
      </c>
      <c r="C3678" s="232" t="str">
        <f>IF(AND(A3678&lt;&gt;"",ISNUMBER(A3678)),VLOOKUP(A3678,Studies!A:BR,3,FALSE),"")</f>
        <v>https://www.ncbi.nlm.nih.gov/pubmed/8983939</v>
      </c>
      <c r="D3678" s="232" t="str">
        <f>IF(AND(A3678&lt;&gt;"",ISNUMBER(A3678)),VLOOKUP(A3678,Studies!A:BR,4,FALSE),"")</f>
        <v>Rifampicin Generic</v>
      </c>
      <c r="E3678" s="206" t="str">
        <f>IF(AND(A3678&lt;&gt;"",ISNUMBER(A3678)),VLOOKUP(A3678,Studies!A:BR,5,FALSE),"")</f>
        <v>Rifampicin</v>
      </c>
      <c r="F3678" s="207" t="str">
        <f>IF(AND(A3678&lt;&gt;"",ISNUMBER(A3678)),VLOOKUP(A3678,Studies!A:BR,6,FALSE),"")</f>
        <v>Plasma</v>
      </c>
      <c r="G3678" s="194">
        <v>5</v>
      </c>
      <c r="H3678" s="194" t="s">
        <v>60</v>
      </c>
      <c r="I3678" s="187">
        <v>2.34</v>
      </c>
      <c r="J3678" s="187" t="s">
        <v>1054</v>
      </c>
      <c r="K3678" s="187" t="s">
        <v>389</v>
      </c>
      <c r="L3678" s="195">
        <v>0.99</v>
      </c>
      <c r="M3678" s="195" t="s">
        <v>1054</v>
      </c>
      <c r="N3678" s="195" t="s">
        <v>117</v>
      </c>
      <c r="O3678" s="199">
        <v>0.2</v>
      </c>
      <c r="P3678" s="188"/>
      <c r="Q3678" s="174">
        <f>IF(ISNUMBER(VLOOKUP(A3678,NotghiID!A:A,1,FALSE)),1,0)</f>
        <v>1</v>
      </c>
    </row>
    <row r="3679" spans="1:17" ht="14.25" x14ac:dyDescent="0.2">
      <c r="A3679" s="213">
        <v>111</v>
      </c>
      <c r="B3679" s="232" t="str">
        <f>IF(AND(A3679&lt;&gt;"",ISNUMBER(A3679)),VLOOKUP(A3679,Studies!A:BR,2,FALSE),"")</f>
        <v>Chouchane 1995</v>
      </c>
      <c r="C3679" s="232" t="str">
        <f>IF(AND(A3679&lt;&gt;"",ISNUMBER(A3679)),VLOOKUP(A3679,Studies!A:BR,3,FALSE),"")</f>
        <v>https://www.ncbi.nlm.nih.gov/pubmed/8983939</v>
      </c>
      <c r="D3679" s="232" t="str">
        <f>IF(AND(A3679&lt;&gt;"",ISNUMBER(A3679)),VLOOKUP(A3679,Studies!A:BR,4,FALSE),"")</f>
        <v>Rifampicin Generic</v>
      </c>
      <c r="E3679" s="206" t="str">
        <f>IF(AND(A3679&lt;&gt;"",ISNUMBER(A3679)),VLOOKUP(A3679,Studies!A:BR,5,FALSE),"")</f>
        <v>Rifampicin</v>
      </c>
      <c r="F3679" s="207" t="str">
        <f>IF(AND(A3679&lt;&gt;"",ISNUMBER(A3679)),VLOOKUP(A3679,Studies!A:BR,6,FALSE),"")</f>
        <v>Plasma</v>
      </c>
      <c r="G3679" s="194">
        <v>6</v>
      </c>
      <c r="H3679" s="194" t="s">
        <v>60</v>
      </c>
      <c r="I3679" s="187">
        <v>2.0299999999999998</v>
      </c>
      <c r="J3679" s="187" t="s">
        <v>1054</v>
      </c>
      <c r="K3679" s="187" t="s">
        <v>389</v>
      </c>
      <c r="L3679" s="195">
        <v>1.21</v>
      </c>
      <c r="M3679" s="195" t="s">
        <v>1054</v>
      </c>
      <c r="N3679" s="195" t="s">
        <v>117</v>
      </c>
      <c r="O3679" s="199">
        <v>0.2</v>
      </c>
      <c r="P3679" s="188"/>
      <c r="Q3679" s="174">
        <f>IF(ISNUMBER(VLOOKUP(A3679,NotghiID!A:A,1,FALSE)),1,0)</f>
        <v>1</v>
      </c>
    </row>
    <row r="3680" spans="1:17" ht="14.25" x14ac:dyDescent="0.2">
      <c r="A3680" s="213">
        <v>111</v>
      </c>
      <c r="B3680" s="232" t="str">
        <f>IF(AND(A3680&lt;&gt;"",ISNUMBER(A3680)),VLOOKUP(A3680,Studies!A:BR,2,FALSE),"")</f>
        <v>Chouchane 1995</v>
      </c>
      <c r="C3680" s="232" t="str">
        <f>IF(AND(A3680&lt;&gt;"",ISNUMBER(A3680)),VLOOKUP(A3680,Studies!A:BR,3,FALSE),"")</f>
        <v>https://www.ncbi.nlm.nih.gov/pubmed/8983939</v>
      </c>
      <c r="D3680" s="232" t="str">
        <f>IF(AND(A3680&lt;&gt;"",ISNUMBER(A3680)),VLOOKUP(A3680,Studies!A:BR,4,FALSE),"")</f>
        <v>Rifampicin Generic</v>
      </c>
      <c r="E3680" s="206" t="str">
        <f>IF(AND(A3680&lt;&gt;"",ISNUMBER(A3680)),VLOOKUP(A3680,Studies!A:BR,5,FALSE),"")</f>
        <v>Rifampicin</v>
      </c>
      <c r="F3680" s="207" t="str">
        <f>IF(AND(A3680&lt;&gt;"",ISNUMBER(A3680)),VLOOKUP(A3680,Studies!A:BR,6,FALSE),"")</f>
        <v>Plasma</v>
      </c>
      <c r="G3680" s="194">
        <v>7</v>
      </c>
      <c r="H3680" s="194" t="s">
        <v>60</v>
      </c>
      <c r="I3680" s="187">
        <v>1.51</v>
      </c>
      <c r="J3680" s="187" t="s">
        <v>1054</v>
      </c>
      <c r="K3680" s="187" t="s">
        <v>389</v>
      </c>
      <c r="L3680" s="195">
        <v>1.05</v>
      </c>
      <c r="M3680" s="195" t="s">
        <v>1054</v>
      </c>
      <c r="N3680" s="195" t="s">
        <v>117</v>
      </c>
      <c r="O3680" s="199">
        <v>0.2</v>
      </c>
      <c r="P3680" s="188"/>
      <c r="Q3680" s="174">
        <f>IF(ISNUMBER(VLOOKUP(A3680,NotghiID!A:A,1,FALSE)),1,0)</f>
        <v>1</v>
      </c>
    </row>
    <row r="3681" spans="1:17" ht="14.25" x14ac:dyDescent="0.2">
      <c r="A3681" s="213">
        <v>111</v>
      </c>
      <c r="B3681" s="232" t="str">
        <f>IF(AND(A3681&lt;&gt;"",ISNUMBER(A3681)),VLOOKUP(A3681,Studies!A:BR,2,FALSE),"")</f>
        <v>Chouchane 1995</v>
      </c>
      <c r="C3681" s="232" t="str">
        <f>IF(AND(A3681&lt;&gt;"",ISNUMBER(A3681)),VLOOKUP(A3681,Studies!A:BR,3,FALSE),"")</f>
        <v>https://www.ncbi.nlm.nih.gov/pubmed/8983939</v>
      </c>
      <c r="D3681" s="232" t="str">
        <f>IF(AND(A3681&lt;&gt;"",ISNUMBER(A3681)),VLOOKUP(A3681,Studies!A:BR,4,FALSE),"")</f>
        <v>Rifampicin Generic</v>
      </c>
      <c r="E3681" s="206" t="str">
        <f>IF(AND(A3681&lt;&gt;"",ISNUMBER(A3681)),VLOOKUP(A3681,Studies!A:BR,5,FALSE),"")</f>
        <v>Rifampicin</v>
      </c>
      <c r="F3681" s="207" t="str">
        <f>IF(AND(A3681&lt;&gt;"",ISNUMBER(A3681)),VLOOKUP(A3681,Studies!A:BR,6,FALSE),"")</f>
        <v>Plasma</v>
      </c>
      <c r="G3681" s="194">
        <v>8</v>
      </c>
      <c r="H3681" s="194" t="s">
        <v>60</v>
      </c>
      <c r="I3681" s="187">
        <v>1.22</v>
      </c>
      <c r="J3681" s="187" t="s">
        <v>1054</v>
      </c>
      <c r="K3681" s="187" t="s">
        <v>389</v>
      </c>
      <c r="L3681" s="195">
        <v>0.97</v>
      </c>
      <c r="M3681" s="195" t="s">
        <v>1054</v>
      </c>
      <c r="N3681" s="195" t="s">
        <v>117</v>
      </c>
      <c r="O3681" s="199">
        <v>0.2</v>
      </c>
      <c r="P3681" s="188"/>
      <c r="Q3681" s="174">
        <f>IF(ISNUMBER(VLOOKUP(A3681,NotghiID!A:A,1,FALSE)),1,0)</f>
        <v>1</v>
      </c>
    </row>
    <row r="3682" spans="1:17" ht="14.25" x14ac:dyDescent="0.2">
      <c r="A3682" s="213">
        <v>111</v>
      </c>
      <c r="B3682" s="232" t="str">
        <f>IF(AND(A3682&lt;&gt;"",ISNUMBER(A3682)),VLOOKUP(A3682,Studies!A:BR,2,FALSE),"")</f>
        <v>Chouchane 1995</v>
      </c>
      <c r="C3682" s="232" t="str">
        <f>IF(AND(A3682&lt;&gt;"",ISNUMBER(A3682)),VLOOKUP(A3682,Studies!A:BR,3,FALSE),"")</f>
        <v>https://www.ncbi.nlm.nih.gov/pubmed/8983939</v>
      </c>
      <c r="D3682" s="232" t="str">
        <f>IF(AND(A3682&lt;&gt;"",ISNUMBER(A3682)),VLOOKUP(A3682,Studies!A:BR,4,FALSE),"")</f>
        <v>Rifampicin Generic</v>
      </c>
      <c r="E3682" s="206" t="str">
        <f>IF(AND(A3682&lt;&gt;"",ISNUMBER(A3682)),VLOOKUP(A3682,Studies!A:BR,5,FALSE),"")</f>
        <v>Rifampicin</v>
      </c>
      <c r="F3682" s="207" t="str">
        <f>IF(AND(A3682&lt;&gt;"",ISNUMBER(A3682)),VLOOKUP(A3682,Studies!A:BR,6,FALSE),"")</f>
        <v>Plasma</v>
      </c>
      <c r="G3682" s="194">
        <v>9</v>
      </c>
      <c r="H3682" s="194" t="s">
        <v>60</v>
      </c>
      <c r="I3682" s="187">
        <v>0.96</v>
      </c>
      <c r="J3682" s="187" t="s">
        <v>1054</v>
      </c>
      <c r="K3682" s="187" t="s">
        <v>389</v>
      </c>
      <c r="L3682" s="195">
        <v>0.82</v>
      </c>
      <c r="M3682" s="195" t="s">
        <v>1054</v>
      </c>
      <c r="N3682" s="195" t="s">
        <v>117</v>
      </c>
      <c r="O3682" s="199">
        <v>0.2</v>
      </c>
      <c r="P3682" s="188"/>
      <c r="Q3682" s="174">
        <f>IF(ISNUMBER(VLOOKUP(A3682,NotghiID!A:A,1,FALSE)),1,0)</f>
        <v>1</v>
      </c>
    </row>
    <row r="3683" spans="1:17" ht="14.25" x14ac:dyDescent="0.2">
      <c r="A3683" s="213">
        <v>111</v>
      </c>
      <c r="B3683" s="232" t="str">
        <f>IF(AND(A3683&lt;&gt;"",ISNUMBER(A3683)),VLOOKUP(A3683,Studies!A:BR,2,FALSE),"")</f>
        <v>Chouchane 1995</v>
      </c>
      <c r="C3683" s="232" t="str">
        <f>IF(AND(A3683&lt;&gt;"",ISNUMBER(A3683)),VLOOKUP(A3683,Studies!A:BR,3,FALSE),"")</f>
        <v>https://www.ncbi.nlm.nih.gov/pubmed/8983939</v>
      </c>
      <c r="D3683" s="232" t="str">
        <f>IF(AND(A3683&lt;&gt;"",ISNUMBER(A3683)),VLOOKUP(A3683,Studies!A:BR,4,FALSE),"")</f>
        <v>Rifampicin Generic</v>
      </c>
      <c r="E3683" s="206" t="str">
        <f>IF(AND(A3683&lt;&gt;"",ISNUMBER(A3683)),VLOOKUP(A3683,Studies!A:BR,5,FALSE),"")</f>
        <v>Rifampicin</v>
      </c>
      <c r="F3683" s="207" t="str">
        <f>IF(AND(A3683&lt;&gt;"",ISNUMBER(A3683)),VLOOKUP(A3683,Studies!A:BR,6,FALSE),"")</f>
        <v>Plasma</v>
      </c>
      <c r="G3683" s="194">
        <v>10</v>
      </c>
      <c r="H3683" s="194" t="s">
        <v>60</v>
      </c>
      <c r="I3683" s="187">
        <v>0.69</v>
      </c>
      <c r="J3683" s="187" t="s">
        <v>1054</v>
      </c>
      <c r="K3683" s="187" t="s">
        <v>389</v>
      </c>
      <c r="L3683" s="195">
        <v>0.65</v>
      </c>
      <c r="M3683" s="195" t="s">
        <v>1054</v>
      </c>
      <c r="N3683" s="195" t="s">
        <v>117</v>
      </c>
      <c r="O3683" s="199">
        <v>0.2</v>
      </c>
      <c r="P3683" s="188"/>
      <c r="Q3683" s="174">
        <f>IF(ISNUMBER(VLOOKUP(A3683,NotghiID!A:A,1,FALSE)),1,0)</f>
        <v>1</v>
      </c>
    </row>
    <row r="3684" spans="1:17" ht="14.25" x14ac:dyDescent="0.2">
      <c r="A3684" s="205">
        <v>118</v>
      </c>
      <c r="B3684" s="232" t="str">
        <f>IF(AND(A3684&lt;&gt;"",ISNUMBER(A3684)),VLOOKUP(A3684,Studies!A:BR,2,FALSE),"")</f>
        <v>Darwish 2008</v>
      </c>
      <c r="C3684" s="232" t="str">
        <f>IF(AND(A3684&lt;&gt;"",ISNUMBER(A3684)),VLOOKUP(A3684,Studies!A:BR,3,FALSE),"")</f>
        <v>https://www.ncbi.nlm.nih.gov/pubmed/18076219</v>
      </c>
      <c r="D3684" s="232" t="str">
        <f>IF(AND(A3684&lt;&gt;"",ISNUMBER(A3684)),VLOOKUP(A3684,Studies!A:BR,4,FALSE),"")</f>
        <v>oral</v>
      </c>
      <c r="E3684" s="206" t="str">
        <f>IF(AND(A3684&lt;&gt;"",ISNUMBER(A3684)),VLOOKUP(A3684,Studies!A:BR,5,FALSE),"")</f>
        <v>Midazolam</v>
      </c>
      <c r="F3684" s="207" t="str">
        <f>IF(AND(A3684&lt;&gt;"",ISNUMBER(A3684)),VLOOKUP(A3684,Studies!A:BR,6,FALSE),"")</f>
        <v>Plasma</v>
      </c>
      <c r="G3684" s="194">
        <v>0</v>
      </c>
      <c r="H3684" s="194" t="s">
        <v>60</v>
      </c>
      <c r="I3684" s="187" t="s">
        <v>1128</v>
      </c>
      <c r="J3684" s="187" t="s">
        <v>1026</v>
      </c>
      <c r="K3684" s="187" t="s">
        <v>389</v>
      </c>
      <c r="L3684" s="195"/>
      <c r="M3684" s="195"/>
      <c r="N3684" s="195"/>
      <c r="O3684" s="199">
        <v>25</v>
      </c>
      <c r="P3684" s="188"/>
      <c r="Q3684" s="174">
        <f>IF(ISNUMBER(VLOOKUP(A3684,NotghiID!A:A,1,FALSE)),1,0)</f>
        <v>1</v>
      </c>
    </row>
    <row r="3685" spans="1:17" ht="14.25" x14ac:dyDescent="0.2">
      <c r="A3685" s="205">
        <v>118</v>
      </c>
      <c r="B3685" s="232" t="str">
        <f>IF(AND(A3685&lt;&gt;"",ISNUMBER(A3685)),VLOOKUP(A3685,Studies!A:BR,2,FALSE),"")</f>
        <v>Darwish 2008</v>
      </c>
      <c r="C3685" s="232" t="str">
        <f>IF(AND(A3685&lt;&gt;"",ISNUMBER(A3685)),VLOOKUP(A3685,Studies!A:BR,3,FALSE),"")</f>
        <v>https://www.ncbi.nlm.nih.gov/pubmed/18076219</v>
      </c>
      <c r="D3685" s="232" t="str">
        <f>IF(AND(A3685&lt;&gt;"",ISNUMBER(A3685)),VLOOKUP(A3685,Studies!A:BR,4,FALSE),"")</f>
        <v>oral</v>
      </c>
      <c r="E3685" s="206" t="str">
        <f>IF(AND(A3685&lt;&gt;"",ISNUMBER(A3685)),VLOOKUP(A3685,Studies!A:BR,5,FALSE),"")</f>
        <v>Midazolam</v>
      </c>
      <c r="F3685" s="207" t="str">
        <f>IF(AND(A3685&lt;&gt;"",ISNUMBER(A3685)),VLOOKUP(A3685,Studies!A:BR,6,FALSE),"")</f>
        <v>Plasma</v>
      </c>
      <c r="G3685" s="194">
        <v>0.17</v>
      </c>
      <c r="H3685" s="194" t="s">
        <v>60</v>
      </c>
      <c r="I3685" s="187">
        <v>3.6858040000000001</v>
      </c>
      <c r="J3685" s="187" t="s">
        <v>1026</v>
      </c>
      <c r="K3685" s="187" t="s">
        <v>389</v>
      </c>
      <c r="L3685" s="195">
        <v>0.85631040000000003</v>
      </c>
      <c r="M3685" s="195" t="s">
        <v>1026</v>
      </c>
      <c r="N3685" s="195" t="s">
        <v>117</v>
      </c>
      <c r="O3685" s="199">
        <v>1</v>
      </c>
      <c r="P3685" s="188"/>
      <c r="Q3685" s="174">
        <f>IF(ISNUMBER(VLOOKUP(A3685,NotghiID!A:A,1,FALSE)),1,0)</f>
        <v>1</v>
      </c>
    </row>
    <row r="3686" spans="1:17" ht="14.25" x14ac:dyDescent="0.2">
      <c r="A3686" s="205">
        <v>118</v>
      </c>
      <c r="B3686" s="232" t="str">
        <f>IF(AND(A3686&lt;&gt;"",ISNUMBER(A3686)),VLOOKUP(A3686,Studies!A:BR,2,FALSE),"")</f>
        <v>Darwish 2008</v>
      </c>
      <c r="C3686" s="232" t="str">
        <f>IF(AND(A3686&lt;&gt;"",ISNUMBER(A3686)),VLOOKUP(A3686,Studies!A:BR,3,FALSE),"")</f>
        <v>https://www.ncbi.nlm.nih.gov/pubmed/18076219</v>
      </c>
      <c r="D3686" s="232" t="str">
        <f>IF(AND(A3686&lt;&gt;"",ISNUMBER(A3686)),VLOOKUP(A3686,Studies!A:BR,4,FALSE),"")</f>
        <v>oral</v>
      </c>
      <c r="E3686" s="206" t="str">
        <f>IF(AND(A3686&lt;&gt;"",ISNUMBER(A3686)),VLOOKUP(A3686,Studies!A:BR,5,FALSE),"")</f>
        <v>Midazolam</v>
      </c>
      <c r="F3686" s="207" t="str">
        <f>IF(AND(A3686&lt;&gt;"",ISNUMBER(A3686)),VLOOKUP(A3686,Studies!A:BR,6,FALSE),"")</f>
        <v>Plasma</v>
      </c>
      <c r="G3686" s="194">
        <v>0.33</v>
      </c>
      <c r="H3686" s="194" t="s">
        <v>60</v>
      </c>
      <c r="I3686" s="187">
        <v>13.4596</v>
      </c>
      <c r="J3686" s="187" t="s">
        <v>1026</v>
      </c>
      <c r="K3686" s="187" t="s">
        <v>389</v>
      </c>
      <c r="L3686" s="195">
        <v>1.586341</v>
      </c>
      <c r="M3686" s="195" t="s">
        <v>1026</v>
      </c>
      <c r="N3686" s="195" t="s">
        <v>117</v>
      </c>
      <c r="O3686" s="199">
        <v>1</v>
      </c>
      <c r="P3686" s="188"/>
      <c r="Q3686" s="174">
        <f>IF(ISNUMBER(VLOOKUP(A3686,NotghiID!A:A,1,FALSE)),1,0)</f>
        <v>1</v>
      </c>
    </row>
    <row r="3687" spans="1:17" ht="14.25" x14ac:dyDescent="0.2">
      <c r="A3687" s="205">
        <v>118</v>
      </c>
      <c r="B3687" s="232" t="str">
        <f>IF(AND(A3687&lt;&gt;"",ISNUMBER(A3687)),VLOOKUP(A3687,Studies!A:BR,2,FALSE),"")</f>
        <v>Darwish 2008</v>
      </c>
      <c r="C3687" s="232" t="str">
        <f>IF(AND(A3687&lt;&gt;"",ISNUMBER(A3687)),VLOOKUP(A3687,Studies!A:BR,3,FALSE),"")</f>
        <v>https://www.ncbi.nlm.nih.gov/pubmed/18076219</v>
      </c>
      <c r="D3687" s="232" t="str">
        <f>IF(AND(A3687&lt;&gt;"",ISNUMBER(A3687)),VLOOKUP(A3687,Studies!A:BR,4,FALSE),"")</f>
        <v>oral</v>
      </c>
      <c r="E3687" s="206" t="str">
        <f>IF(AND(A3687&lt;&gt;"",ISNUMBER(A3687)),VLOOKUP(A3687,Studies!A:BR,5,FALSE),"")</f>
        <v>Midazolam</v>
      </c>
      <c r="F3687" s="207" t="str">
        <f>IF(AND(A3687&lt;&gt;"",ISNUMBER(A3687)),VLOOKUP(A3687,Studies!A:BR,6,FALSE),"")</f>
        <v>Plasma</v>
      </c>
      <c r="G3687" s="194">
        <v>0.5</v>
      </c>
      <c r="H3687" s="194" t="s">
        <v>60</v>
      </c>
      <c r="I3687" s="187">
        <v>15.25695</v>
      </c>
      <c r="J3687" s="187" t="s">
        <v>1026</v>
      </c>
      <c r="K3687" s="187" t="s">
        <v>389</v>
      </c>
      <c r="L3687" s="195">
        <v>2.0373589999999999</v>
      </c>
      <c r="M3687" s="195" t="s">
        <v>1026</v>
      </c>
      <c r="N3687" s="195" t="s">
        <v>117</v>
      </c>
      <c r="O3687" s="199">
        <v>1</v>
      </c>
      <c r="P3687" s="188"/>
      <c r="Q3687" s="174">
        <f>IF(ISNUMBER(VLOOKUP(A3687,NotghiID!A:A,1,FALSE)),1,0)</f>
        <v>1</v>
      </c>
    </row>
    <row r="3688" spans="1:17" ht="14.25" x14ac:dyDescent="0.2">
      <c r="A3688" s="205">
        <v>118</v>
      </c>
      <c r="B3688" s="232" t="str">
        <f>IF(AND(A3688&lt;&gt;"",ISNUMBER(A3688)),VLOOKUP(A3688,Studies!A:BR,2,FALSE),"")</f>
        <v>Darwish 2008</v>
      </c>
      <c r="C3688" s="232" t="str">
        <f>IF(AND(A3688&lt;&gt;"",ISNUMBER(A3688)),VLOOKUP(A3688,Studies!A:BR,3,FALSE),"")</f>
        <v>https://www.ncbi.nlm.nih.gov/pubmed/18076219</v>
      </c>
      <c r="D3688" s="232" t="str">
        <f>IF(AND(A3688&lt;&gt;"",ISNUMBER(A3688)),VLOOKUP(A3688,Studies!A:BR,4,FALSE),"")</f>
        <v>oral</v>
      </c>
      <c r="E3688" s="206" t="str">
        <f>IF(AND(A3688&lt;&gt;"",ISNUMBER(A3688)),VLOOKUP(A3688,Studies!A:BR,5,FALSE),"")</f>
        <v>Midazolam</v>
      </c>
      <c r="F3688" s="207" t="str">
        <f>IF(AND(A3688&lt;&gt;"",ISNUMBER(A3688)),VLOOKUP(A3688,Studies!A:BR,6,FALSE),"")</f>
        <v>Plasma</v>
      </c>
      <c r="G3688" s="194">
        <v>0.75</v>
      </c>
      <c r="H3688" s="194" t="s">
        <v>60</v>
      </c>
      <c r="I3688" s="187">
        <v>14.83785</v>
      </c>
      <c r="J3688" s="187" t="s">
        <v>1026</v>
      </c>
      <c r="K3688" s="187" t="s">
        <v>389</v>
      </c>
      <c r="L3688" s="195">
        <v>1.2931509999999999</v>
      </c>
      <c r="M3688" s="195" t="s">
        <v>1026</v>
      </c>
      <c r="N3688" s="195" t="s">
        <v>117</v>
      </c>
      <c r="O3688" s="199">
        <v>1</v>
      </c>
      <c r="P3688" s="188"/>
      <c r="Q3688" s="174">
        <f>IF(ISNUMBER(VLOOKUP(A3688,NotghiID!A:A,1,FALSE)),1,0)</f>
        <v>1</v>
      </c>
    </row>
    <row r="3689" spans="1:17" ht="14.25" x14ac:dyDescent="0.2">
      <c r="A3689" s="205">
        <v>118</v>
      </c>
      <c r="B3689" s="232" t="str">
        <f>IF(AND(A3689&lt;&gt;"",ISNUMBER(A3689)),VLOOKUP(A3689,Studies!A:BR,2,FALSE),"")</f>
        <v>Darwish 2008</v>
      </c>
      <c r="C3689" s="232" t="str">
        <f>IF(AND(A3689&lt;&gt;"",ISNUMBER(A3689)),VLOOKUP(A3689,Studies!A:BR,3,FALSE),"")</f>
        <v>https://www.ncbi.nlm.nih.gov/pubmed/18076219</v>
      </c>
      <c r="D3689" s="232" t="str">
        <f>IF(AND(A3689&lt;&gt;"",ISNUMBER(A3689)),VLOOKUP(A3689,Studies!A:BR,4,FALSE),"")</f>
        <v>oral</v>
      </c>
      <c r="E3689" s="206" t="str">
        <f>IF(AND(A3689&lt;&gt;"",ISNUMBER(A3689)),VLOOKUP(A3689,Studies!A:BR,5,FALSE),"")</f>
        <v>Midazolam</v>
      </c>
      <c r="F3689" s="207" t="str">
        <f>IF(AND(A3689&lt;&gt;"",ISNUMBER(A3689)),VLOOKUP(A3689,Studies!A:BR,6,FALSE),"")</f>
        <v>Plasma</v>
      </c>
      <c r="G3689" s="194">
        <v>1</v>
      </c>
      <c r="H3689" s="194" t="s">
        <v>60</v>
      </c>
      <c r="I3689" s="187">
        <v>13.839779999999999</v>
      </c>
      <c r="J3689" s="187" t="s">
        <v>1026</v>
      </c>
      <c r="K3689" s="187" t="s">
        <v>389</v>
      </c>
      <c r="L3689" s="195">
        <v>1.206161</v>
      </c>
      <c r="M3689" s="195" t="s">
        <v>1026</v>
      </c>
      <c r="N3689" s="195" t="s">
        <v>117</v>
      </c>
      <c r="O3689" s="199">
        <v>1</v>
      </c>
      <c r="P3689" s="188"/>
      <c r="Q3689" s="174">
        <f>IF(ISNUMBER(VLOOKUP(A3689,NotghiID!A:A,1,FALSE)),1,0)</f>
        <v>1</v>
      </c>
    </row>
    <row r="3690" spans="1:17" ht="14.25" x14ac:dyDescent="0.2">
      <c r="A3690" s="205">
        <v>118</v>
      </c>
      <c r="B3690" s="232" t="str">
        <f>IF(AND(A3690&lt;&gt;"",ISNUMBER(A3690)),VLOOKUP(A3690,Studies!A:BR,2,FALSE),"")</f>
        <v>Darwish 2008</v>
      </c>
      <c r="C3690" s="232" t="str">
        <f>IF(AND(A3690&lt;&gt;"",ISNUMBER(A3690)),VLOOKUP(A3690,Studies!A:BR,3,FALSE),"")</f>
        <v>https://www.ncbi.nlm.nih.gov/pubmed/18076219</v>
      </c>
      <c r="D3690" s="232" t="str">
        <f>IF(AND(A3690&lt;&gt;"",ISNUMBER(A3690)),VLOOKUP(A3690,Studies!A:BR,4,FALSE),"")</f>
        <v>oral</v>
      </c>
      <c r="E3690" s="206" t="str">
        <f>IF(AND(A3690&lt;&gt;"",ISNUMBER(A3690)),VLOOKUP(A3690,Studies!A:BR,5,FALSE),"")</f>
        <v>Midazolam</v>
      </c>
      <c r="F3690" s="207" t="str">
        <f>IF(AND(A3690&lt;&gt;"",ISNUMBER(A3690)),VLOOKUP(A3690,Studies!A:BR,6,FALSE),"")</f>
        <v>Plasma</v>
      </c>
      <c r="G3690" s="194">
        <v>1.5</v>
      </c>
      <c r="H3690" s="194" t="s">
        <v>60</v>
      </c>
      <c r="I3690" s="187">
        <v>11.388109999999999</v>
      </c>
      <c r="J3690" s="187" t="s">
        <v>1026</v>
      </c>
      <c r="K3690" s="187" t="s">
        <v>389</v>
      </c>
      <c r="L3690" s="195">
        <v>0.9924965</v>
      </c>
      <c r="M3690" s="195" t="s">
        <v>1026</v>
      </c>
      <c r="N3690" s="195" t="s">
        <v>117</v>
      </c>
      <c r="O3690" s="199">
        <v>1</v>
      </c>
      <c r="P3690" s="188"/>
      <c r="Q3690" s="174">
        <f>IF(ISNUMBER(VLOOKUP(A3690,NotghiID!A:A,1,FALSE)),1,0)</f>
        <v>1</v>
      </c>
    </row>
    <row r="3691" spans="1:17" ht="14.25" x14ac:dyDescent="0.2">
      <c r="A3691" s="205">
        <v>118</v>
      </c>
      <c r="B3691" s="232" t="str">
        <f>IF(AND(A3691&lt;&gt;"",ISNUMBER(A3691)),VLOOKUP(A3691,Studies!A:BR,2,FALSE),"")</f>
        <v>Darwish 2008</v>
      </c>
      <c r="C3691" s="232" t="str">
        <f>IF(AND(A3691&lt;&gt;"",ISNUMBER(A3691)),VLOOKUP(A3691,Studies!A:BR,3,FALSE),"")</f>
        <v>https://www.ncbi.nlm.nih.gov/pubmed/18076219</v>
      </c>
      <c r="D3691" s="232" t="str">
        <f>IF(AND(A3691&lt;&gt;"",ISNUMBER(A3691)),VLOOKUP(A3691,Studies!A:BR,4,FALSE),"")</f>
        <v>oral</v>
      </c>
      <c r="E3691" s="206" t="str">
        <f>IF(AND(A3691&lt;&gt;"",ISNUMBER(A3691)),VLOOKUP(A3691,Studies!A:BR,5,FALSE),"")</f>
        <v>Midazolam</v>
      </c>
      <c r="F3691" s="207" t="str">
        <f>IF(AND(A3691&lt;&gt;"",ISNUMBER(A3691)),VLOOKUP(A3691,Studies!A:BR,6,FALSE),"")</f>
        <v>Plasma</v>
      </c>
      <c r="G3691" s="194">
        <v>2</v>
      </c>
      <c r="H3691" s="194" t="s">
        <v>60</v>
      </c>
      <c r="I3691" s="187">
        <v>8.6195350000000008</v>
      </c>
      <c r="J3691" s="187" t="s">
        <v>1026</v>
      </c>
      <c r="K3691" s="187" t="s">
        <v>389</v>
      </c>
      <c r="L3691" s="195">
        <v>0.75121119999999997</v>
      </c>
      <c r="M3691" s="195" t="s">
        <v>1026</v>
      </c>
      <c r="N3691" s="195" t="s">
        <v>117</v>
      </c>
      <c r="O3691" s="199">
        <v>1</v>
      </c>
      <c r="P3691" s="188"/>
      <c r="Q3691" s="174">
        <f>IF(ISNUMBER(VLOOKUP(A3691,NotghiID!A:A,1,FALSE)),1,0)</f>
        <v>1</v>
      </c>
    </row>
    <row r="3692" spans="1:17" ht="14.25" x14ac:dyDescent="0.2">
      <c r="A3692" s="205">
        <v>118</v>
      </c>
      <c r="B3692" s="232" t="str">
        <f>IF(AND(A3692&lt;&gt;"",ISNUMBER(A3692)),VLOOKUP(A3692,Studies!A:BR,2,FALSE),"")</f>
        <v>Darwish 2008</v>
      </c>
      <c r="C3692" s="232" t="str">
        <f>IF(AND(A3692&lt;&gt;"",ISNUMBER(A3692)),VLOOKUP(A3692,Studies!A:BR,3,FALSE),"")</f>
        <v>https://www.ncbi.nlm.nih.gov/pubmed/18076219</v>
      </c>
      <c r="D3692" s="232" t="str">
        <f>IF(AND(A3692&lt;&gt;"",ISNUMBER(A3692)),VLOOKUP(A3692,Studies!A:BR,4,FALSE),"")</f>
        <v>oral</v>
      </c>
      <c r="E3692" s="206" t="str">
        <f>IF(AND(A3692&lt;&gt;"",ISNUMBER(A3692)),VLOOKUP(A3692,Studies!A:BR,5,FALSE),"")</f>
        <v>Midazolam</v>
      </c>
      <c r="F3692" s="207" t="str">
        <f>IF(AND(A3692&lt;&gt;"",ISNUMBER(A3692)),VLOOKUP(A3692,Studies!A:BR,6,FALSE),"")</f>
        <v>Plasma</v>
      </c>
      <c r="G3692" s="194">
        <v>2.5</v>
      </c>
      <c r="H3692" s="194" t="s">
        <v>60</v>
      </c>
      <c r="I3692" s="187">
        <v>7.0926159999999996</v>
      </c>
      <c r="J3692" s="187" t="s">
        <v>1026</v>
      </c>
      <c r="K3692" s="187" t="s">
        <v>389</v>
      </c>
      <c r="L3692" s="195">
        <v>0.61813689999999999</v>
      </c>
      <c r="M3692" s="195" t="s">
        <v>1026</v>
      </c>
      <c r="N3692" s="195" t="s">
        <v>117</v>
      </c>
      <c r="O3692" s="199">
        <v>1</v>
      </c>
      <c r="P3692" s="188"/>
      <c r="Q3692" s="174">
        <f>IF(ISNUMBER(VLOOKUP(A3692,NotghiID!A:A,1,FALSE)),1,0)</f>
        <v>1</v>
      </c>
    </row>
    <row r="3693" spans="1:17" ht="14.25" x14ac:dyDescent="0.2">
      <c r="A3693" s="205">
        <v>118</v>
      </c>
      <c r="B3693" s="232" t="str">
        <f>IF(AND(A3693&lt;&gt;"",ISNUMBER(A3693)),VLOOKUP(A3693,Studies!A:BR,2,FALSE),"")</f>
        <v>Darwish 2008</v>
      </c>
      <c r="C3693" s="232" t="str">
        <f>IF(AND(A3693&lt;&gt;"",ISNUMBER(A3693)),VLOOKUP(A3693,Studies!A:BR,3,FALSE),"")</f>
        <v>https://www.ncbi.nlm.nih.gov/pubmed/18076219</v>
      </c>
      <c r="D3693" s="232" t="str">
        <f>IF(AND(A3693&lt;&gt;"",ISNUMBER(A3693)),VLOOKUP(A3693,Studies!A:BR,4,FALSE),"")</f>
        <v>oral</v>
      </c>
      <c r="E3693" s="206" t="str">
        <f>IF(AND(A3693&lt;&gt;"",ISNUMBER(A3693)),VLOOKUP(A3693,Studies!A:BR,5,FALSE),"")</f>
        <v>Midazolam</v>
      </c>
      <c r="F3693" s="207" t="str">
        <f>IF(AND(A3693&lt;&gt;"",ISNUMBER(A3693)),VLOOKUP(A3693,Studies!A:BR,6,FALSE),"")</f>
        <v>Plasma</v>
      </c>
      <c r="G3693" s="194">
        <v>3</v>
      </c>
      <c r="H3693" s="194" t="s">
        <v>60</v>
      </c>
      <c r="I3693" s="187">
        <v>5.7554679999999996</v>
      </c>
      <c r="J3693" s="187" t="s">
        <v>1026</v>
      </c>
      <c r="K3693" s="187" t="s">
        <v>389</v>
      </c>
      <c r="L3693" s="195">
        <v>0.50160170000000004</v>
      </c>
      <c r="M3693" s="195" t="s">
        <v>1026</v>
      </c>
      <c r="N3693" s="195" t="s">
        <v>117</v>
      </c>
      <c r="O3693" s="199">
        <v>1</v>
      </c>
      <c r="P3693" s="188"/>
      <c r="Q3693" s="174">
        <f>IF(ISNUMBER(VLOOKUP(A3693,NotghiID!A:A,1,FALSE)),1,0)</f>
        <v>1</v>
      </c>
    </row>
    <row r="3694" spans="1:17" ht="14.25" x14ac:dyDescent="0.2">
      <c r="A3694" s="205">
        <v>118</v>
      </c>
      <c r="B3694" s="232" t="str">
        <f>IF(AND(A3694&lt;&gt;"",ISNUMBER(A3694)),VLOOKUP(A3694,Studies!A:BR,2,FALSE),"")</f>
        <v>Darwish 2008</v>
      </c>
      <c r="C3694" s="232" t="str">
        <f>IF(AND(A3694&lt;&gt;"",ISNUMBER(A3694)),VLOOKUP(A3694,Studies!A:BR,3,FALSE),"")</f>
        <v>https://www.ncbi.nlm.nih.gov/pubmed/18076219</v>
      </c>
      <c r="D3694" s="232" t="str">
        <f>IF(AND(A3694&lt;&gt;"",ISNUMBER(A3694)),VLOOKUP(A3694,Studies!A:BR,4,FALSE),"")</f>
        <v>oral</v>
      </c>
      <c r="E3694" s="206" t="str">
        <f>IF(AND(A3694&lt;&gt;"",ISNUMBER(A3694)),VLOOKUP(A3694,Studies!A:BR,5,FALSE),"")</f>
        <v>Midazolam</v>
      </c>
      <c r="F3694" s="207" t="str">
        <f>IF(AND(A3694&lt;&gt;"",ISNUMBER(A3694)),VLOOKUP(A3694,Studies!A:BR,6,FALSE),"")</f>
        <v>Plasma</v>
      </c>
      <c r="G3694" s="194">
        <v>4</v>
      </c>
      <c r="H3694" s="194" t="s">
        <v>60</v>
      </c>
      <c r="I3694" s="187">
        <v>4.2365870000000001</v>
      </c>
      <c r="J3694" s="187" t="s">
        <v>1026</v>
      </c>
      <c r="K3694" s="187" t="s">
        <v>389</v>
      </c>
      <c r="L3694" s="195">
        <v>0.18075749999999999</v>
      </c>
      <c r="M3694" s="195" t="s">
        <v>1026</v>
      </c>
      <c r="N3694" s="195" t="s">
        <v>117</v>
      </c>
      <c r="O3694" s="199">
        <v>1</v>
      </c>
      <c r="P3694" s="188"/>
      <c r="Q3694" s="174">
        <f>IF(ISNUMBER(VLOOKUP(A3694,NotghiID!A:A,1,FALSE)),1,0)</f>
        <v>1</v>
      </c>
    </row>
    <row r="3695" spans="1:17" ht="14.25" x14ac:dyDescent="0.2">
      <c r="A3695" s="205">
        <v>118</v>
      </c>
      <c r="B3695" s="232" t="str">
        <f>IF(AND(A3695&lt;&gt;"",ISNUMBER(A3695)),VLOOKUP(A3695,Studies!A:BR,2,FALSE),"")</f>
        <v>Darwish 2008</v>
      </c>
      <c r="C3695" s="232" t="str">
        <f>IF(AND(A3695&lt;&gt;"",ISNUMBER(A3695)),VLOOKUP(A3695,Studies!A:BR,3,FALSE),"")</f>
        <v>https://www.ncbi.nlm.nih.gov/pubmed/18076219</v>
      </c>
      <c r="D3695" s="232" t="str">
        <f>IF(AND(A3695&lt;&gt;"",ISNUMBER(A3695)),VLOOKUP(A3695,Studies!A:BR,4,FALSE),"")</f>
        <v>oral</v>
      </c>
      <c r="E3695" s="206" t="str">
        <f>IF(AND(A3695&lt;&gt;"",ISNUMBER(A3695)),VLOOKUP(A3695,Studies!A:BR,5,FALSE),"")</f>
        <v>Midazolam</v>
      </c>
      <c r="F3695" s="207" t="str">
        <f>IF(AND(A3695&lt;&gt;"",ISNUMBER(A3695)),VLOOKUP(A3695,Studies!A:BR,6,FALSE),"")</f>
        <v>Plasma</v>
      </c>
      <c r="G3695" s="194">
        <v>6</v>
      </c>
      <c r="H3695" s="194" t="s">
        <v>60</v>
      </c>
      <c r="I3695" s="187">
        <v>2.082325</v>
      </c>
      <c r="J3695" s="187" t="s">
        <v>1026</v>
      </c>
      <c r="K3695" s="187" t="s">
        <v>389</v>
      </c>
      <c r="L3695" s="195">
        <v>0.18147849999999999</v>
      </c>
      <c r="M3695" s="195" t="s">
        <v>1026</v>
      </c>
      <c r="N3695" s="195" t="s">
        <v>117</v>
      </c>
      <c r="O3695" s="199">
        <v>1</v>
      </c>
      <c r="P3695" s="188"/>
      <c r="Q3695" s="174">
        <f>IF(ISNUMBER(VLOOKUP(A3695,NotghiID!A:A,1,FALSE)),1,0)</f>
        <v>1</v>
      </c>
    </row>
    <row r="3696" spans="1:17" ht="14.25" x14ac:dyDescent="0.2">
      <c r="A3696" s="205">
        <v>118</v>
      </c>
      <c r="B3696" s="232" t="str">
        <f>IF(AND(A3696&lt;&gt;"",ISNUMBER(A3696)),VLOOKUP(A3696,Studies!A:BR,2,FALSE),"")</f>
        <v>Darwish 2008</v>
      </c>
      <c r="C3696" s="232" t="str">
        <f>IF(AND(A3696&lt;&gt;"",ISNUMBER(A3696)),VLOOKUP(A3696,Studies!A:BR,3,FALSE),"")</f>
        <v>https://www.ncbi.nlm.nih.gov/pubmed/18076219</v>
      </c>
      <c r="D3696" s="232" t="str">
        <f>IF(AND(A3696&lt;&gt;"",ISNUMBER(A3696)),VLOOKUP(A3696,Studies!A:BR,4,FALSE),"")</f>
        <v>oral</v>
      </c>
      <c r="E3696" s="206" t="str">
        <f>IF(AND(A3696&lt;&gt;"",ISNUMBER(A3696)),VLOOKUP(A3696,Studies!A:BR,5,FALSE),"")</f>
        <v>Midazolam</v>
      </c>
      <c r="F3696" s="207" t="str">
        <f>IF(AND(A3696&lt;&gt;"",ISNUMBER(A3696)),VLOOKUP(A3696,Studies!A:BR,6,FALSE),"")</f>
        <v>Plasma</v>
      </c>
      <c r="G3696" s="194">
        <v>9</v>
      </c>
      <c r="H3696" s="194" t="s">
        <v>60</v>
      </c>
      <c r="I3696" s="187">
        <v>1.176426</v>
      </c>
      <c r="J3696" s="187" t="s">
        <v>1026</v>
      </c>
      <c r="K3696" s="187" t="s">
        <v>389</v>
      </c>
      <c r="L3696" s="195">
        <v>0.1025277</v>
      </c>
      <c r="M3696" s="195" t="s">
        <v>1026</v>
      </c>
      <c r="N3696" s="195" t="s">
        <v>117</v>
      </c>
      <c r="O3696" s="199">
        <v>1</v>
      </c>
      <c r="P3696" s="188"/>
      <c r="Q3696" s="174">
        <f>IF(ISNUMBER(VLOOKUP(A3696,NotghiID!A:A,1,FALSE)),1,0)</f>
        <v>1</v>
      </c>
    </row>
    <row r="3697" spans="1:17" ht="14.25" x14ac:dyDescent="0.2">
      <c r="A3697" s="205">
        <v>118</v>
      </c>
      <c r="B3697" s="232" t="str">
        <f>IF(AND(A3697&lt;&gt;"",ISNUMBER(A3697)),VLOOKUP(A3697,Studies!A:BR,2,FALSE),"")</f>
        <v>Darwish 2008</v>
      </c>
      <c r="C3697" s="232" t="str">
        <f>IF(AND(A3697&lt;&gt;"",ISNUMBER(A3697)),VLOOKUP(A3697,Studies!A:BR,3,FALSE),"")</f>
        <v>https://www.ncbi.nlm.nih.gov/pubmed/18076219</v>
      </c>
      <c r="D3697" s="232" t="str">
        <f>IF(AND(A3697&lt;&gt;"",ISNUMBER(A3697)),VLOOKUP(A3697,Studies!A:BR,4,FALSE),"")</f>
        <v>oral</v>
      </c>
      <c r="E3697" s="206" t="str">
        <f>IF(AND(A3697&lt;&gt;"",ISNUMBER(A3697)),VLOOKUP(A3697,Studies!A:BR,5,FALSE),"")</f>
        <v>Midazolam</v>
      </c>
      <c r="F3697" s="207" t="str">
        <f>IF(AND(A3697&lt;&gt;"",ISNUMBER(A3697)),VLOOKUP(A3697,Studies!A:BR,6,FALSE),"")</f>
        <v>Plasma</v>
      </c>
      <c r="G3697" s="194">
        <v>12</v>
      </c>
      <c r="H3697" s="194" t="s">
        <v>60</v>
      </c>
      <c r="I3697" s="187">
        <v>0.69298820000000005</v>
      </c>
      <c r="J3697" s="187" t="s">
        <v>1026</v>
      </c>
      <c r="K3697" s="187" t="s">
        <v>389</v>
      </c>
      <c r="L3697" s="195">
        <v>9.2539129999999997E-2</v>
      </c>
      <c r="M3697" s="195" t="s">
        <v>1026</v>
      </c>
      <c r="N3697" s="195" t="s">
        <v>117</v>
      </c>
      <c r="O3697" s="199">
        <v>1</v>
      </c>
      <c r="P3697" s="188"/>
      <c r="Q3697" s="174">
        <f>IF(ISNUMBER(VLOOKUP(A3697,NotghiID!A:A,1,FALSE)),1,0)</f>
        <v>1</v>
      </c>
    </row>
    <row r="3698" spans="1:17" ht="14.25" x14ac:dyDescent="0.2">
      <c r="A3698" s="205">
        <v>118</v>
      </c>
      <c r="B3698" s="232" t="str">
        <f>IF(AND(A3698&lt;&gt;"",ISNUMBER(A3698)),VLOOKUP(A3698,Studies!A:BR,2,FALSE),"")</f>
        <v>Darwish 2008</v>
      </c>
      <c r="C3698" s="232" t="str">
        <f>IF(AND(A3698&lt;&gt;"",ISNUMBER(A3698)),VLOOKUP(A3698,Studies!A:BR,3,FALSE),"")</f>
        <v>https://www.ncbi.nlm.nih.gov/pubmed/18076219</v>
      </c>
      <c r="D3698" s="232" t="str">
        <f>IF(AND(A3698&lt;&gt;"",ISNUMBER(A3698)),VLOOKUP(A3698,Studies!A:BR,4,FALSE),"")</f>
        <v>oral</v>
      </c>
      <c r="E3698" s="206" t="str">
        <f>IF(AND(A3698&lt;&gt;"",ISNUMBER(A3698)),VLOOKUP(A3698,Studies!A:BR,5,FALSE),"")</f>
        <v>Midazolam</v>
      </c>
      <c r="F3698" s="207" t="str">
        <f>IF(AND(A3698&lt;&gt;"",ISNUMBER(A3698)),VLOOKUP(A3698,Studies!A:BR,6,FALSE),"")</f>
        <v>Plasma</v>
      </c>
      <c r="G3698" s="194">
        <v>24</v>
      </c>
      <c r="H3698" s="194" t="s">
        <v>60</v>
      </c>
      <c r="I3698" s="187">
        <v>0.14363429999999999</v>
      </c>
      <c r="J3698" s="187" t="s">
        <v>1026</v>
      </c>
      <c r="K3698" s="187" t="s">
        <v>389</v>
      </c>
      <c r="L3698" s="195">
        <v>4.0922060000000003E-2</v>
      </c>
      <c r="M3698" s="195" t="s">
        <v>1026</v>
      </c>
      <c r="N3698" s="195" t="s">
        <v>117</v>
      </c>
      <c r="O3698" s="199">
        <v>1</v>
      </c>
      <c r="P3698" s="188"/>
      <c r="Q3698" s="174">
        <f>IF(ISNUMBER(VLOOKUP(A3698,NotghiID!A:A,1,FALSE)),1,0)</f>
        <v>1</v>
      </c>
    </row>
    <row r="3699" spans="1:17" ht="14.25" x14ac:dyDescent="0.2">
      <c r="A3699" s="205">
        <v>119</v>
      </c>
      <c r="B3699" s="232" t="str">
        <f>IF(AND(A3699&lt;&gt;"",ISNUMBER(A3699)),VLOOKUP(A3699,Studies!A:BR,2,FALSE),"")</f>
        <v>Darwish 2008</v>
      </c>
      <c r="C3699" s="232" t="str">
        <f>IF(AND(A3699&lt;&gt;"",ISNUMBER(A3699)),VLOOKUP(A3699,Studies!A:BR,3,FALSE),"")</f>
        <v xml:space="preserve">https://www.ncbi.nlm.nih.gov/pubmed/18076219 </v>
      </c>
      <c r="D3699" s="232" t="str">
        <f>IF(AND(A3699&lt;&gt;"",ISNUMBER(A3699)),VLOOKUP(A3699,Studies!A:BR,4,FALSE),"")</f>
        <v>iv</v>
      </c>
      <c r="E3699" s="206" t="str">
        <f>IF(AND(A3699&lt;&gt;"",ISNUMBER(A3699)),VLOOKUP(A3699,Studies!A:BR,5,FALSE),"")</f>
        <v>Midazolam</v>
      </c>
      <c r="F3699" s="207" t="str">
        <f>IF(AND(A3699&lt;&gt;"",ISNUMBER(A3699)),VLOOKUP(A3699,Studies!A:BR,6,FALSE),"")</f>
        <v>Plasma</v>
      </c>
      <c r="G3699" s="194">
        <v>0</v>
      </c>
      <c r="H3699" s="194" t="s">
        <v>60</v>
      </c>
      <c r="I3699" s="187" t="s">
        <v>1128</v>
      </c>
      <c r="J3699" s="187" t="s">
        <v>1026</v>
      </c>
      <c r="K3699" s="187" t="s">
        <v>389</v>
      </c>
      <c r="L3699" s="195"/>
      <c r="M3699" s="195"/>
      <c r="N3699" s="195"/>
      <c r="O3699" s="199">
        <v>1</v>
      </c>
      <c r="P3699" s="188"/>
      <c r="Q3699" s="174">
        <f>IF(ISNUMBER(VLOOKUP(A3699,NotghiID!A:A,1,FALSE)),1,0)</f>
        <v>1</v>
      </c>
    </row>
    <row r="3700" spans="1:17" ht="14.25" x14ac:dyDescent="0.2">
      <c r="A3700" s="205">
        <v>119</v>
      </c>
      <c r="B3700" s="232" t="str">
        <f>IF(AND(A3700&lt;&gt;"",ISNUMBER(A3700)),VLOOKUP(A3700,Studies!A:BR,2,FALSE),"")</f>
        <v>Darwish 2008</v>
      </c>
      <c r="C3700" s="232" t="str">
        <f>IF(AND(A3700&lt;&gt;"",ISNUMBER(A3700)),VLOOKUP(A3700,Studies!A:BR,3,FALSE),"")</f>
        <v xml:space="preserve">https://www.ncbi.nlm.nih.gov/pubmed/18076219 </v>
      </c>
      <c r="D3700" s="232" t="str">
        <f>IF(AND(A3700&lt;&gt;"",ISNUMBER(A3700)),VLOOKUP(A3700,Studies!A:BR,4,FALSE),"")</f>
        <v>iv</v>
      </c>
      <c r="E3700" s="206" t="str">
        <f>IF(AND(A3700&lt;&gt;"",ISNUMBER(A3700)),VLOOKUP(A3700,Studies!A:BR,5,FALSE),"")</f>
        <v>Midazolam</v>
      </c>
      <c r="F3700" s="207" t="str">
        <f>IF(AND(A3700&lt;&gt;"",ISNUMBER(A3700)),VLOOKUP(A3700,Studies!A:BR,6,FALSE),"")</f>
        <v>Plasma</v>
      </c>
      <c r="G3700" s="194">
        <v>0.17</v>
      </c>
      <c r="H3700" s="194" t="s">
        <v>60</v>
      </c>
      <c r="I3700" s="187">
        <v>38.256839999999997</v>
      </c>
      <c r="J3700" s="187" t="s">
        <v>1026</v>
      </c>
      <c r="K3700" s="187" t="s">
        <v>389</v>
      </c>
      <c r="L3700" s="195">
        <v>1.630795</v>
      </c>
      <c r="M3700" s="195" t="s">
        <v>1026</v>
      </c>
      <c r="N3700" s="195" t="s">
        <v>117</v>
      </c>
      <c r="O3700" s="199">
        <v>1</v>
      </c>
      <c r="P3700" s="188"/>
      <c r="Q3700" s="174">
        <f>IF(ISNUMBER(VLOOKUP(A3700,NotghiID!A:A,1,FALSE)),1,0)</f>
        <v>1</v>
      </c>
    </row>
    <row r="3701" spans="1:17" ht="14.25" x14ac:dyDescent="0.2">
      <c r="A3701" s="205">
        <v>119</v>
      </c>
      <c r="B3701" s="232" t="str">
        <f>IF(AND(A3701&lt;&gt;"",ISNUMBER(A3701)),VLOOKUP(A3701,Studies!A:BR,2,FALSE),"")</f>
        <v>Darwish 2008</v>
      </c>
      <c r="C3701" s="232" t="str">
        <f>IF(AND(A3701&lt;&gt;"",ISNUMBER(A3701)),VLOOKUP(A3701,Studies!A:BR,3,FALSE),"")</f>
        <v xml:space="preserve">https://www.ncbi.nlm.nih.gov/pubmed/18076219 </v>
      </c>
      <c r="D3701" s="232" t="str">
        <f>IF(AND(A3701&lt;&gt;"",ISNUMBER(A3701)),VLOOKUP(A3701,Studies!A:BR,4,FALSE),"")</f>
        <v>iv</v>
      </c>
      <c r="E3701" s="206" t="str">
        <f>IF(AND(A3701&lt;&gt;"",ISNUMBER(A3701)),VLOOKUP(A3701,Studies!A:BR,5,FALSE),"")</f>
        <v>Midazolam</v>
      </c>
      <c r="F3701" s="207" t="str">
        <f>IF(AND(A3701&lt;&gt;"",ISNUMBER(A3701)),VLOOKUP(A3701,Studies!A:BR,6,FALSE),"")</f>
        <v>Plasma</v>
      </c>
      <c r="G3701" s="194">
        <v>0.33</v>
      </c>
      <c r="H3701" s="194" t="s">
        <v>60</v>
      </c>
      <c r="I3701" s="187">
        <v>29.780609999999999</v>
      </c>
      <c r="J3701" s="187" t="s">
        <v>1026</v>
      </c>
      <c r="K3701" s="187" t="s">
        <v>389</v>
      </c>
      <c r="L3701" s="195">
        <v>1.7072430000000001</v>
      </c>
      <c r="M3701" s="195" t="s">
        <v>1026</v>
      </c>
      <c r="N3701" s="195" t="s">
        <v>117</v>
      </c>
      <c r="O3701" s="199">
        <v>1</v>
      </c>
      <c r="P3701" s="188"/>
      <c r="Q3701" s="174">
        <f>IF(ISNUMBER(VLOOKUP(A3701,NotghiID!A:A,1,FALSE)),1,0)</f>
        <v>1</v>
      </c>
    </row>
    <row r="3702" spans="1:17" ht="14.25" x14ac:dyDescent="0.2">
      <c r="A3702" s="205">
        <v>119</v>
      </c>
      <c r="B3702" s="232" t="str">
        <f>IF(AND(A3702&lt;&gt;"",ISNUMBER(A3702)),VLOOKUP(A3702,Studies!A:BR,2,FALSE),"")</f>
        <v>Darwish 2008</v>
      </c>
      <c r="C3702" s="232" t="str">
        <f>IF(AND(A3702&lt;&gt;"",ISNUMBER(A3702)),VLOOKUP(A3702,Studies!A:BR,3,FALSE),"")</f>
        <v xml:space="preserve">https://www.ncbi.nlm.nih.gov/pubmed/18076219 </v>
      </c>
      <c r="D3702" s="232" t="str">
        <f>IF(AND(A3702&lt;&gt;"",ISNUMBER(A3702)),VLOOKUP(A3702,Studies!A:BR,4,FALSE),"")</f>
        <v>iv</v>
      </c>
      <c r="E3702" s="206" t="str">
        <f>IF(AND(A3702&lt;&gt;"",ISNUMBER(A3702)),VLOOKUP(A3702,Studies!A:BR,5,FALSE),"")</f>
        <v>Midazolam</v>
      </c>
      <c r="F3702" s="207" t="str">
        <f>IF(AND(A3702&lt;&gt;"",ISNUMBER(A3702)),VLOOKUP(A3702,Studies!A:BR,6,FALSE),"")</f>
        <v>Plasma</v>
      </c>
      <c r="G3702" s="194">
        <v>0.5</v>
      </c>
      <c r="H3702" s="194" t="s">
        <v>60</v>
      </c>
      <c r="I3702" s="187">
        <v>24.172370000000001</v>
      </c>
      <c r="J3702" s="187" t="s">
        <v>1026</v>
      </c>
      <c r="K3702" s="187" t="s">
        <v>389</v>
      </c>
      <c r="L3702" s="195">
        <v>1.3838619999999999</v>
      </c>
      <c r="M3702" s="195" t="s">
        <v>1026</v>
      </c>
      <c r="N3702" s="195" t="s">
        <v>117</v>
      </c>
      <c r="O3702" s="199">
        <v>1</v>
      </c>
      <c r="P3702" s="188"/>
      <c r="Q3702" s="174">
        <f>IF(ISNUMBER(VLOOKUP(A3702,NotghiID!A:A,1,FALSE)),1,0)</f>
        <v>1</v>
      </c>
    </row>
    <row r="3703" spans="1:17" ht="14.25" x14ac:dyDescent="0.2">
      <c r="A3703" s="205">
        <v>119</v>
      </c>
      <c r="B3703" s="232" t="str">
        <f>IF(AND(A3703&lt;&gt;"",ISNUMBER(A3703)),VLOOKUP(A3703,Studies!A:BR,2,FALSE),"")</f>
        <v>Darwish 2008</v>
      </c>
      <c r="C3703" s="232" t="str">
        <f>IF(AND(A3703&lt;&gt;"",ISNUMBER(A3703)),VLOOKUP(A3703,Studies!A:BR,3,FALSE),"")</f>
        <v xml:space="preserve">https://www.ncbi.nlm.nih.gov/pubmed/18076219 </v>
      </c>
      <c r="D3703" s="232" t="str">
        <f>IF(AND(A3703&lt;&gt;"",ISNUMBER(A3703)),VLOOKUP(A3703,Studies!A:BR,4,FALSE),"")</f>
        <v>iv</v>
      </c>
      <c r="E3703" s="206" t="str">
        <f>IF(AND(A3703&lt;&gt;"",ISNUMBER(A3703)),VLOOKUP(A3703,Studies!A:BR,5,FALSE),"")</f>
        <v>Midazolam</v>
      </c>
      <c r="F3703" s="207" t="str">
        <f>IF(AND(A3703&lt;&gt;"",ISNUMBER(A3703)),VLOOKUP(A3703,Studies!A:BR,6,FALSE),"")</f>
        <v>Plasma</v>
      </c>
      <c r="G3703" s="194">
        <v>0.75</v>
      </c>
      <c r="H3703" s="194" t="s">
        <v>60</v>
      </c>
      <c r="I3703" s="187">
        <v>20.1737</v>
      </c>
      <c r="J3703" s="187" t="s">
        <v>1026</v>
      </c>
      <c r="K3703" s="187" t="s">
        <v>389</v>
      </c>
      <c r="L3703" s="195">
        <v>0.86150360000000004</v>
      </c>
      <c r="M3703" s="195" t="s">
        <v>1026</v>
      </c>
      <c r="N3703" s="195" t="s">
        <v>117</v>
      </c>
      <c r="O3703" s="199">
        <v>1</v>
      </c>
      <c r="P3703" s="188"/>
      <c r="Q3703" s="174">
        <f>IF(ISNUMBER(VLOOKUP(A3703,NotghiID!A:A,1,FALSE)),1,0)</f>
        <v>1</v>
      </c>
    </row>
    <row r="3704" spans="1:17" ht="14.25" x14ac:dyDescent="0.2">
      <c r="A3704" s="205">
        <v>119</v>
      </c>
      <c r="B3704" s="232" t="str">
        <f>IF(AND(A3704&lt;&gt;"",ISNUMBER(A3704)),VLOOKUP(A3704,Studies!A:BR,2,FALSE),"")</f>
        <v>Darwish 2008</v>
      </c>
      <c r="C3704" s="232" t="str">
        <f>IF(AND(A3704&lt;&gt;"",ISNUMBER(A3704)),VLOOKUP(A3704,Studies!A:BR,3,FALSE),"")</f>
        <v xml:space="preserve">https://www.ncbi.nlm.nih.gov/pubmed/18076219 </v>
      </c>
      <c r="D3704" s="232" t="str">
        <f>IF(AND(A3704&lt;&gt;"",ISNUMBER(A3704)),VLOOKUP(A3704,Studies!A:BR,4,FALSE),"")</f>
        <v>iv</v>
      </c>
      <c r="E3704" s="206" t="str">
        <f>IF(AND(A3704&lt;&gt;"",ISNUMBER(A3704)),VLOOKUP(A3704,Studies!A:BR,5,FALSE),"")</f>
        <v>Midazolam</v>
      </c>
      <c r="F3704" s="207" t="str">
        <f>IF(AND(A3704&lt;&gt;"",ISNUMBER(A3704)),VLOOKUP(A3704,Studies!A:BR,6,FALSE),"")</f>
        <v>Plasma</v>
      </c>
      <c r="G3704" s="194">
        <v>1</v>
      </c>
      <c r="H3704" s="194" t="s">
        <v>60</v>
      </c>
      <c r="I3704" s="187">
        <v>16.149339999999999</v>
      </c>
      <c r="J3704" s="187" t="s">
        <v>1026</v>
      </c>
      <c r="K3704" s="187" t="s">
        <v>389</v>
      </c>
      <c r="L3704" s="195">
        <v>0.92517090000000002</v>
      </c>
      <c r="M3704" s="195" t="s">
        <v>1026</v>
      </c>
      <c r="N3704" s="195" t="s">
        <v>117</v>
      </c>
      <c r="O3704" s="199">
        <v>1</v>
      </c>
      <c r="P3704" s="188"/>
      <c r="Q3704" s="174">
        <f>IF(ISNUMBER(VLOOKUP(A3704,NotghiID!A:A,1,FALSE)),1,0)</f>
        <v>1</v>
      </c>
    </row>
    <row r="3705" spans="1:17" ht="14.25" x14ac:dyDescent="0.2">
      <c r="A3705" s="205">
        <v>119</v>
      </c>
      <c r="B3705" s="232" t="str">
        <f>IF(AND(A3705&lt;&gt;"",ISNUMBER(A3705)),VLOOKUP(A3705,Studies!A:BR,2,FALSE),"")</f>
        <v>Darwish 2008</v>
      </c>
      <c r="C3705" s="232" t="str">
        <f>IF(AND(A3705&lt;&gt;"",ISNUMBER(A3705)),VLOOKUP(A3705,Studies!A:BR,3,FALSE),"")</f>
        <v xml:space="preserve">https://www.ncbi.nlm.nih.gov/pubmed/18076219 </v>
      </c>
      <c r="D3705" s="232" t="str">
        <f>IF(AND(A3705&lt;&gt;"",ISNUMBER(A3705)),VLOOKUP(A3705,Studies!A:BR,4,FALSE),"")</f>
        <v>iv</v>
      </c>
      <c r="E3705" s="206" t="str">
        <f>IF(AND(A3705&lt;&gt;"",ISNUMBER(A3705)),VLOOKUP(A3705,Studies!A:BR,5,FALSE),"")</f>
        <v>Midazolam</v>
      </c>
      <c r="F3705" s="207" t="str">
        <f>IF(AND(A3705&lt;&gt;"",ISNUMBER(A3705)),VLOOKUP(A3705,Studies!A:BR,6,FALSE),"")</f>
        <v>Plasma</v>
      </c>
      <c r="G3705" s="194">
        <v>1.5</v>
      </c>
      <c r="H3705" s="194" t="s">
        <v>60</v>
      </c>
      <c r="I3705" s="187">
        <v>12.40241</v>
      </c>
      <c r="J3705" s="187" t="s">
        <v>1026</v>
      </c>
      <c r="K3705" s="187" t="s">
        <v>389</v>
      </c>
      <c r="L3705" s="195">
        <v>0.71003249999999996</v>
      </c>
      <c r="M3705" s="195" t="s">
        <v>1026</v>
      </c>
      <c r="N3705" s="195" t="s">
        <v>117</v>
      </c>
      <c r="O3705" s="199">
        <v>1</v>
      </c>
      <c r="P3705" s="188"/>
      <c r="Q3705" s="174">
        <f>IF(ISNUMBER(VLOOKUP(A3705,NotghiID!A:A,1,FALSE)),1,0)</f>
        <v>1</v>
      </c>
    </row>
    <row r="3706" spans="1:17" ht="14.25" x14ac:dyDescent="0.2">
      <c r="A3706" s="205">
        <v>119</v>
      </c>
      <c r="B3706" s="232" t="str">
        <f>IF(AND(A3706&lt;&gt;"",ISNUMBER(A3706)),VLOOKUP(A3706,Studies!A:BR,2,FALSE),"")</f>
        <v>Darwish 2008</v>
      </c>
      <c r="C3706" s="232" t="str">
        <f>IF(AND(A3706&lt;&gt;"",ISNUMBER(A3706)),VLOOKUP(A3706,Studies!A:BR,3,FALSE),"")</f>
        <v xml:space="preserve">https://www.ncbi.nlm.nih.gov/pubmed/18076219 </v>
      </c>
      <c r="D3706" s="232" t="str">
        <f>IF(AND(A3706&lt;&gt;"",ISNUMBER(A3706)),VLOOKUP(A3706,Studies!A:BR,4,FALSE),"")</f>
        <v>iv</v>
      </c>
      <c r="E3706" s="206" t="str">
        <f>IF(AND(A3706&lt;&gt;"",ISNUMBER(A3706)),VLOOKUP(A3706,Studies!A:BR,5,FALSE),"")</f>
        <v>Midazolam</v>
      </c>
      <c r="F3706" s="207" t="str">
        <f>IF(AND(A3706&lt;&gt;"",ISNUMBER(A3706)),VLOOKUP(A3706,Studies!A:BR,6,FALSE),"")</f>
        <v>Plasma</v>
      </c>
      <c r="G3706" s="194">
        <v>2</v>
      </c>
      <c r="H3706" s="194" t="s">
        <v>60</v>
      </c>
      <c r="I3706" s="187">
        <v>9.7927850000000003</v>
      </c>
      <c r="J3706" s="187" t="s">
        <v>1026</v>
      </c>
      <c r="K3706" s="187" t="s">
        <v>389</v>
      </c>
      <c r="L3706" s="195">
        <v>0.56101509999999999</v>
      </c>
      <c r="M3706" s="195" t="s">
        <v>1026</v>
      </c>
      <c r="N3706" s="195" t="s">
        <v>117</v>
      </c>
      <c r="O3706" s="199">
        <v>1</v>
      </c>
      <c r="P3706" s="188"/>
      <c r="Q3706" s="174">
        <f>IF(ISNUMBER(VLOOKUP(A3706,NotghiID!A:A,1,FALSE)),1,0)</f>
        <v>1</v>
      </c>
    </row>
    <row r="3707" spans="1:17" ht="14.25" x14ac:dyDescent="0.2">
      <c r="A3707" s="205">
        <v>119</v>
      </c>
      <c r="B3707" s="232" t="str">
        <f>IF(AND(A3707&lt;&gt;"",ISNUMBER(A3707)),VLOOKUP(A3707,Studies!A:BR,2,FALSE),"")</f>
        <v>Darwish 2008</v>
      </c>
      <c r="C3707" s="232" t="str">
        <f>IF(AND(A3707&lt;&gt;"",ISNUMBER(A3707)),VLOOKUP(A3707,Studies!A:BR,3,FALSE),"")</f>
        <v xml:space="preserve">https://www.ncbi.nlm.nih.gov/pubmed/18076219 </v>
      </c>
      <c r="D3707" s="232" t="str">
        <f>IF(AND(A3707&lt;&gt;"",ISNUMBER(A3707)),VLOOKUP(A3707,Studies!A:BR,4,FALSE),"")</f>
        <v>iv</v>
      </c>
      <c r="E3707" s="206" t="str">
        <f>IF(AND(A3707&lt;&gt;"",ISNUMBER(A3707)),VLOOKUP(A3707,Studies!A:BR,5,FALSE),"")</f>
        <v>Midazolam</v>
      </c>
      <c r="F3707" s="207" t="str">
        <f>IF(AND(A3707&lt;&gt;"",ISNUMBER(A3707)),VLOOKUP(A3707,Studies!A:BR,6,FALSE),"")</f>
        <v>Plasma</v>
      </c>
      <c r="G3707" s="194">
        <v>2.5</v>
      </c>
      <c r="H3707" s="194" t="s">
        <v>60</v>
      </c>
      <c r="I3707" s="187">
        <v>8.290794</v>
      </c>
      <c r="J3707" s="187" t="s">
        <v>1026</v>
      </c>
      <c r="K3707" s="187" t="s">
        <v>389</v>
      </c>
      <c r="L3707" s="195">
        <v>0.47528930000000003</v>
      </c>
      <c r="M3707" s="195" t="s">
        <v>1026</v>
      </c>
      <c r="N3707" s="195" t="s">
        <v>117</v>
      </c>
      <c r="O3707" s="199">
        <v>1</v>
      </c>
      <c r="P3707" s="188"/>
      <c r="Q3707" s="174">
        <f>IF(ISNUMBER(VLOOKUP(A3707,NotghiID!A:A,1,FALSE)),1,0)</f>
        <v>1</v>
      </c>
    </row>
    <row r="3708" spans="1:17" ht="14.25" x14ac:dyDescent="0.2">
      <c r="A3708" s="205">
        <v>119</v>
      </c>
      <c r="B3708" s="232" t="str">
        <f>IF(AND(A3708&lt;&gt;"",ISNUMBER(A3708)),VLOOKUP(A3708,Studies!A:BR,2,FALSE),"")</f>
        <v>Darwish 2008</v>
      </c>
      <c r="C3708" s="232" t="str">
        <f>IF(AND(A3708&lt;&gt;"",ISNUMBER(A3708)),VLOOKUP(A3708,Studies!A:BR,3,FALSE),"")</f>
        <v xml:space="preserve">https://www.ncbi.nlm.nih.gov/pubmed/18076219 </v>
      </c>
      <c r="D3708" s="232" t="str">
        <f>IF(AND(A3708&lt;&gt;"",ISNUMBER(A3708)),VLOOKUP(A3708,Studies!A:BR,4,FALSE),"")</f>
        <v>iv</v>
      </c>
      <c r="E3708" s="206" t="str">
        <f>IF(AND(A3708&lt;&gt;"",ISNUMBER(A3708)),VLOOKUP(A3708,Studies!A:BR,5,FALSE),"")</f>
        <v>Midazolam</v>
      </c>
      <c r="F3708" s="207" t="str">
        <f>IF(AND(A3708&lt;&gt;"",ISNUMBER(A3708)),VLOOKUP(A3708,Studies!A:BR,6,FALSE),"")</f>
        <v>Plasma</v>
      </c>
      <c r="G3708" s="194">
        <v>3</v>
      </c>
      <c r="H3708" s="194" t="s">
        <v>60</v>
      </c>
      <c r="I3708" s="187">
        <v>6.5465470000000003</v>
      </c>
      <c r="J3708" s="187" t="s">
        <v>1026</v>
      </c>
      <c r="K3708" s="187" t="s">
        <v>389</v>
      </c>
      <c r="L3708" s="195">
        <v>9.1568469999999999E-2</v>
      </c>
      <c r="M3708" s="195" t="s">
        <v>1026</v>
      </c>
      <c r="N3708" s="195" t="s">
        <v>117</v>
      </c>
      <c r="O3708" s="199">
        <v>1</v>
      </c>
      <c r="P3708" s="188"/>
      <c r="Q3708" s="174">
        <f>IF(ISNUMBER(VLOOKUP(A3708,NotghiID!A:A,1,FALSE)),1,0)</f>
        <v>1</v>
      </c>
    </row>
    <row r="3709" spans="1:17" ht="14.25" x14ac:dyDescent="0.2">
      <c r="A3709" s="205">
        <v>119</v>
      </c>
      <c r="B3709" s="232" t="str">
        <f>IF(AND(A3709&lt;&gt;"",ISNUMBER(A3709)),VLOOKUP(A3709,Studies!A:BR,2,FALSE),"")</f>
        <v>Darwish 2008</v>
      </c>
      <c r="C3709" s="232" t="str">
        <f>IF(AND(A3709&lt;&gt;"",ISNUMBER(A3709)),VLOOKUP(A3709,Studies!A:BR,3,FALSE),"")</f>
        <v xml:space="preserve">https://www.ncbi.nlm.nih.gov/pubmed/18076219 </v>
      </c>
      <c r="D3709" s="232" t="str">
        <f>IF(AND(A3709&lt;&gt;"",ISNUMBER(A3709)),VLOOKUP(A3709,Studies!A:BR,4,FALSE),"")</f>
        <v>iv</v>
      </c>
      <c r="E3709" s="206" t="str">
        <f>IF(AND(A3709&lt;&gt;"",ISNUMBER(A3709)),VLOOKUP(A3709,Studies!A:BR,5,FALSE),"")</f>
        <v>Midazolam</v>
      </c>
      <c r="F3709" s="207" t="str">
        <f>IF(AND(A3709&lt;&gt;"",ISNUMBER(A3709)),VLOOKUP(A3709,Studies!A:BR,6,FALSE),"")</f>
        <v>Plasma</v>
      </c>
      <c r="G3709" s="194">
        <v>4</v>
      </c>
      <c r="H3709" s="194" t="s">
        <v>60</v>
      </c>
      <c r="I3709" s="187">
        <v>4.6920260000000003</v>
      </c>
      <c r="J3709" s="187" t="s">
        <v>1026</v>
      </c>
      <c r="K3709" s="187" t="s">
        <v>389</v>
      </c>
      <c r="L3709" s="195">
        <v>0.2000093</v>
      </c>
      <c r="M3709" s="195" t="s">
        <v>1026</v>
      </c>
      <c r="N3709" s="195" t="s">
        <v>117</v>
      </c>
      <c r="O3709" s="199">
        <v>1</v>
      </c>
      <c r="P3709" s="188"/>
      <c r="Q3709" s="174">
        <f>IF(ISNUMBER(VLOOKUP(A3709,NotghiID!A:A,1,FALSE)),1,0)</f>
        <v>1</v>
      </c>
    </row>
    <row r="3710" spans="1:17" ht="14.25" x14ac:dyDescent="0.2">
      <c r="A3710" s="205">
        <v>119</v>
      </c>
      <c r="B3710" s="232" t="str">
        <f>IF(AND(A3710&lt;&gt;"",ISNUMBER(A3710)),VLOOKUP(A3710,Studies!A:BR,2,FALSE),"")</f>
        <v>Darwish 2008</v>
      </c>
      <c r="C3710" s="232" t="str">
        <f>IF(AND(A3710&lt;&gt;"",ISNUMBER(A3710)),VLOOKUP(A3710,Studies!A:BR,3,FALSE),"")</f>
        <v xml:space="preserve">https://www.ncbi.nlm.nih.gov/pubmed/18076219 </v>
      </c>
      <c r="D3710" s="232" t="str">
        <f>IF(AND(A3710&lt;&gt;"",ISNUMBER(A3710)),VLOOKUP(A3710,Studies!A:BR,4,FALSE),"")</f>
        <v>iv</v>
      </c>
      <c r="E3710" s="206" t="str">
        <f>IF(AND(A3710&lt;&gt;"",ISNUMBER(A3710)),VLOOKUP(A3710,Studies!A:BR,5,FALSE),"")</f>
        <v>Midazolam</v>
      </c>
      <c r="F3710" s="207" t="str">
        <f>IF(AND(A3710&lt;&gt;"",ISNUMBER(A3710)),VLOOKUP(A3710,Studies!A:BR,6,FALSE),"")</f>
        <v>Plasma</v>
      </c>
      <c r="G3710" s="194">
        <v>6</v>
      </c>
      <c r="H3710" s="194" t="s">
        <v>60</v>
      </c>
      <c r="I3710" s="187">
        <v>2.6201780000000001</v>
      </c>
      <c r="J3710" s="187" t="s">
        <v>1026</v>
      </c>
      <c r="K3710" s="187" t="s">
        <v>389</v>
      </c>
      <c r="L3710" s="195">
        <v>0.15000530000000001</v>
      </c>
      <c r="M3710" s="195" t="s">
        <v>1026</v>
      </c>
      <c r="N3710" s="195" t="s">
        <v>117</v>
      </c>
      <c r="O3710" s="199">
        <v>1</v>
      </c>
      <c r="P3710" s="188"/>
      <c r="Q3710" s="174">
        <f>IF(ISNUMBER(VLOOKUP(A3710,NotghiID!A:A,1,FALSE)),1,0)</f>
        <v>1</v>
      </c>
    </row>
    <row r="3711" spans="1:17" ht="14.25" x14ac:dyDescent="0.2">
      <c r="A3711" s="205">
        <v>119</v>
      </c>
      <c r="B3711" s="232" t="str">
        <f>IF(AND(A3711&lt;&gt;"",ISNUMBER(A3711)),VLOOKUP(A3711,Studies!A:BR,2,FALSE),"")</f>
        <v>Darwish 2008</v>
      </c>
      <c r="C3711" s="232" t="str">
        <f>IF(AND(A3711&lt;&gt;"",ISNUMBER(A3711)),VLOOKUP(A3711,Studies!A:BR,3,FALSE),"")</f>
        <v xml:space="preserve">https://www.ncbi.nlm.nih.gov/pubmed/18076219 </v>
      </c>
      <c r="D3711" s="232" t="str">
        <f>IF(AND(A3711&lt;&gt;"",ISNUMBER(A3711)),VLOOKUP(A3711,Studies!A:BR,4,FALSE),"")</f>
        <v>iv</v>
      </c>
      <c r="E3711" s="206" t="str">
        <f>IF(AND(A3711&lt;&gt;"",ISNUMBER(A3711)),VLOOKUP(A3711,Studies!A:BR,5,FALSE),"")</f>
        <v>Midazolam</v>
      </c>
      <c r="F3711" s="207" t="str">
        <f>IF(AND(A3711&lt;&gt;"",ISNUMBER(A3711)),VLOOKUP(A3711,Studies!A:BR,6,FALSE),"")</f>
        <v>Plasma</v>
      </c>
      <c r="G3711" s="194">
        <v>9</v>
      </c>
      <c r="H3711" s="194" t="s">
        <v>60</v>
      </c>
      <c r="I3711" s="187">
        <v>1.548889</v>
      </c>
      <c r="J3711" s="187" t="s">
        <v>1026</v>
      </c>
      <c r="K3711" s="187" t="s">
        <v>389</v>
      </c>
      <c r="L3711" s="195">
        <v>0.13498840000000001</v>
      </c>
      <c r="M3711" s="195" t="s">
        <v>1026</v>
      </c>
      <c r="N3711" s="195" t="s">
        <v>117</v>
      </c>
      <c r="O3711" s="199">
        <v>1</v>
      </c>
      <c r="P3711" s="188"/>
      <c r="Q3711" s="174">
        <f>IF(ISNUMBER(VLOOKUP(A3711,NotghiID!A:A,1,FALSE)),1,0)</f>
        <v>1</v>
      </c>
    </row>
    <row r="3712" spans="1:17" ht="14.25" x14ac:dyDescent="0.2">
      <c r="A3712" s="205">
        <v>119</v>
      </c>
      <c r="B3712" s="232" t="str">
        <f>IF(AND(A3712&lt;&gt;"",ISNUMBER(A3712)),VLOOKUP(A3712,Studies!A:BR,2,FALSE),"")</f>
        <v>Darwish 2008</v>
      </c>
      <c r="C3712" s="232" t="str">
        <f>IF(AND(A3712&lt;&gt;"",ISNUMBER(A3712)),VLOOKUP(A3712,Studies!A:BR,3,FALSE),"")</f>
        <v xml:space="preserve">https://www.ncbi.nlm.nih.gov/pubmed/18076219 </v>
      </c>
      <c r="D3712" s="232" t="str">
        <f>IF(AND(A3712&lt;&gt;"",ISNUMBER(A3712)),VLOOKUP(A3712,Studies!A:BR,4,FALSE),"")</f>
        <v>iv</v>
      </c>
      <c r="E3712" s="206" t="str">
        <f>IF(AND(A3712&lt;&gt;"",ISNUMBER(A3712)),VLOOKUP(A3712,Studies!A:BR,5,FALSE),"")</f>
        <v>Midazolam</v>
      </c>
      <c r="F3712" s="207" t="str">
        <f>IF(AND(A3712&lt;&gt;"",ISNUMBER(A3712)),VLOOKUP(A3712,Studies!A:BR,6,FALSE),"")</f>
        <v>Plasma</v>
      </c>
      <c r="G3712" s="194">
        <v>12</v>
      </c>
      <c r="H3712" s="194" t="s">
        <v>60</v>
      </c>
      <c r="I3712" s="187">
        <v>0.90291149999999998</v>
      </c>
      <c r="J3712" s="187" t="s">
        <v>1026</v>
      </c>
      <c r="K3712" s="187" t="s">
        <v>389</v>
      </c>
      <c r="L3712" s="195">
        <v>0.1063794</v>
      </c>
      <c r="M3712" s="195" t="s">
        <v>1026</v>
      </c>
      <c r="N3712" s="195" t="s">
        <v>117</v>
      </c>
      <c r="O3712" s="199">
        <v>1</v>
      </c>
      <c r="P3712" s="188"/>
      <c r="Q3712" s="174">
        <f>IF(ISNUMBER(VLOOKUP(A3712,NotghiID!A:A,1,FALSE)),1,0)</f>
        <v>1</v>
      </c>
    </row>
    <row r="3713" spans="1:17" ht="14.25" x14ac:dyDescent="0.2">
      <c r="A3713" s="205">
        <v>119</v>
      </c>
      <c r="B3713" s="232" t="str">
        <f>IF(AND(A3713&lt;&gt;"",ISNUMBER(A3713)),VLOOKUP(A3713,Studies!A:BR,2,FALSE),"")</f>
        <v>Darwish 2008</v>
      </c>
      <c r="C3713" s="232" t="str">
        <f>IF(AND(A3713&lt;&gt;"",ISNUMBER(A3713)),VLOOKUP(A3713,Studies!A:BR,3,FALSE),"")</f>
        <v xml:space="preserve">https://www.ncbi.nlm.nih.gov/pubmed/18076219 </v>
      </c>
      <c r="D3713" s="232" t="str">
        <f>IF(AND(A3713&lt;&gt;"",ISNUMBER(A3713)),VLOOKUP(A3713,Studies!A:BR,4,FALSE),"")</f>
        <v>iv</v>
      </c>
      <c r="E3713" s="206" t="str">
        <f>IF(AND(A3713&lt;&gt;"",ISNUMBER(A3713)),VLOOKUP(A3713,Studies!A:BR,5,FALSE),"")</f>
        <v>Midazolam</v>
      </c>
      <c r="F3713" s="207" t="str">
        <f>IF(AND(A3713&lt;&gt;"",ISNUMBER(A3713)),VLOOKUP(A3713,Studies!A:BR,6,FALSE),"")</f>
        <v>Plasma</v>
      </c>
      <c r="G3713" s="194">
        <v>24</v>
      </c>
      <c r="H3713" s="194" t="s">
        <v>60</v>
      </c>
      <c r="I3713" s="187">
        <v>0.2121431</v>
      </c>
      <c r="J3713" s="187" t="s">
        <v>1026</v>
      </c>
      <c r="K3713" s="187" t="s">
        <v>389</v>
      </c>
      <c r="L3713" s="195">
        <v>3.5121020000000003E-2</v>
      </c>
      <c r="M3713" s="195" t="s">
        <v>1026</v>
      </c>
      <c r="N3713" s="195" t="s">
        <v>117</v>
      </c>
      <c r="O3713" s="199">
        <v>1</v>
      </c>
      <c r="P3713" s="188"/>
      <c r="Q3713" s="174">
        <f>IF(ISNUMBER(VLOOKUP(A3713,NotghiID!A:A,1,FALSE)),1,0)</f>
        <v>1</v>
      </c>
    </row>
    <row r="3714" spans="1:17" ht="14.25" x14ac:dyDescent="0.2">
      <c r="A3714" s="205">
        <v>120</v>
      </c>
      <c r="B3714" s="232" t="str">
        <f>IF(AND(A3714&lt;&gt;"",ISNUMBER(A3714)),VLOOKUP(A3714,Studies!A:BR,2,FALSE),"")</f>
        <v>Darwish 2008</v>
      </c>
      <c r="C3714" s="232" t="str">
        <f>IF(AND(A3714&lt;&gt;"",ISNUMBER(A3714)),VLOOKUP(A3714,Studies!A:BR,3,FALSE),"")</f>
        <v xml:space="preserve">https://www.ncbi.nlm.nih.gov/pubmed/18076219 </v>
      </c>
      <c r="D3714" s="232" t="str">
        <f>IF(AND(A3714&lt;&gt;"",ISNUMBER(A3714)),VLOOKUP(A3714,Studies!A:BR,4,FALSE),"")</f>
        <v>oral</v>
      </c>
      <c r="E3714" s="206" t="str">
        <f>IF(AND(A3714&lt;&gt;"",ISNUMBER(A3714)),VLOOKUP(A3714,Studies!A:BR,5,FALSE),"")</f>
        <v>Caffeine</v>
      </c>
      <c r="F3714" s="207" t="str">
        <f>IF(AND(A3714&lt;&gt;"",ISNUMBER(A3714)),VLOOKUP(A3714,Studies!A:BR,6,FALSE),"")</f>
        <v>Plasma</v>
      </c>
      <c r="G3714" s="194">
        <v>0</v>
      </c>
      <c r="H3714" s="194" t="s">
        <v>60</v>
      </c>
      <c r="I3714" s="187" t="s">
        <v>1154</v>
      </c>
      <c r="J3714" s="187" t="s">
        <v>1026</v>
      </c>
      <c r="K3714" s="187" t="s">
        <v>389</v>
      </c>
      <c r="L3714" s="195"/>
      <c r="M3714" s="195"/>
      <c r="N3714" s="195"/>
      <c r="O3714" s="199">
        <v>25</v>
      </c>
      <c r="P3714" s="188"/>
      <c r="Q3714" s="174">
        <f>IF(ISNUMBER(VLOOKUP(A3714,NotghiID!A:A,1,FALSE)),1,0)</f>
        <v>1</v>
      </c>
    </row>
    <row r="3715" spans="1:17" ht="14.25" x14ac:dyDescent="0.2">
      <c r="A3715" s="205">
        <v>120</v>
      </c>
      <c r="B3715" s="232" t="str">
        <f>IF(AND(A3715&lt;&gt;"",ISNUMBER(A3715)),VLOOKUP(A3715,Studies!A:BR,2,FALSE),"")</f>
        <v>Darwish 2008</v>
      </c>
      <c r="C3715" s="232" t="str">
        <f>IF(AND(A3715&lt;&gt;"",ISNUMBER(A3715)),VLOOKUP(A3715,Studies!A:BR,3,FALSE),"")</f>
        <v xml:space="preserve">https://www.ncbi.nlm.nih.gov/pubmed/18076219 </v>
      </c>
      <c r="D3715" s="232" t="str">
        <f>IF(AND(A3715&lt;&gt;"",ISNUMBER(A3715)),VLOOKUP(A3715,Studies!A:BR,4,FALSE),"")</f>
        <v>oral</v>
      </c>
      <c r="E3715" s="206" t="str">
        <f>IF(AND(A3715&lt;&gt;"",ISNUMBER(A3715)),VLOOKUP(A3715,Studies!A:BR,5,FALSE),"")</f>
        <v>Caffeine</v>
      </c>
      <c r="F3715" s="207" t="str">
        <f>IF(AND(A3715&lt;&gt;"",ISNUMBER(A3715)),VLOOKUP(A3715,Studies!A:BR,6,FALSE),"")</f>
        <v>Plasma</v>
      </c>
      <c r="G3715" s="194">
        <v>0.5</v>
      </c>
      <c r="H3715" s="194" t="s">
        <v>60</v>
      </c>
      <c r="I3715" s="187">
        <v>4522.875</v>
      </c>
      <c r="J3715" s="187" t="s">
        <v>1026</v>
      </c>
      <c r="K3715" s="187" t="s">
        <v>389</v>
      </c>
      <c r="L3715" s="195"/>
      <c r="M3715" s="195"/>
      <c r="N3715" s="195"/>
      <c r="O3715" s="199">
        <v>25</v>
      </c>
      <c r="P3715" s="188"/>
      <c r="Q3715" s="174">
        <f>IF(ISNUMBER(VLOOKUP(A3715,NotghiID!A:A,1,FALSE)),1,0)</f>
        <v>1</v>
      </c>
    </row>
    <row r="3716" spans="1:17" ht="14.25" x14ac:dyDescent="0.2">
      <c r="A3716" s="205">
        <v>120</v>
      </c>
      <c r="B3716" s="232" t="str">
        <f>IF(AND(A3716&lt;&gt;"",ISNUMBER(A3716)),VLOOKUP(A3716,Studies!A:BR,2,FALSE),"")</f>
        <v>Darwish 2008</v>
      </c>
      <c r="C3716" s="232" t="str">
        <f>IF(AND(A3716&lt;&gt;"",ISNUMBER(A3716)),VLOOKUP(A3716,Studies!A:BR,3,FALSE),"")</f>
        <v xml:space="preserve">https://www.ncbi.nlm.nih.gov/pubmed/18076219 </v>
      </c>
      <c r="D3716" s="232" t="str">
        <f>IF(AND(A3716&lt;&gt;"",ISNUMBER(A3716)),VLOOKUP(A3716,Studies!A:BR,4,FALSE),"")</f>
        <v>oral</v>
      </c>
      <c r="E3716" s="206" t="str">
        <f>IF(AND(A3716&lt;&gt;"",ISNUMBER(A3716)),VLOOKUP(A3716,Studies!A:BR,5,FALSE),"")</f>
        <v>Caffeine</v>
      </c>
      <c r="F3716" s="207" t="str">
        <f>IF(AND(A3716&lt;&gt;"",ISNUMBER(A3716)),VLOOKUP(A3716,Studies!A:BR,6,FALSE),"")</f>
        <v>Plasma</v>
      </c>
      <c r="G3716" s="194">
        <v>1</v>
      </c>
      <c r="H3716" s="194" t="s">
        <v>60</v>
      </c>
      <c r="I3716" s="187">
        <v>4917.7830000000004</v>
      </c>
      <c r="J3716" s="187" t="s">
        <v>1026</v>
      </c>
      <c r="K3716" s="187" t="s">
        <v>389</v>
      </c>
      <c r="L3716" s="195">
        <v>4.8828100000000002E-4</v>
      </c>
      <c r="M3716" s="195" t="s">
        <v>1026</v>
      </c>
      <c r="N3716" s="195" t="s">
        <v>117</v>
      </c>
      <c r="O3716" s="199">
        <v>25</v>
      </c>
      <c r="P3716" s="188"/>
      <c r="Q3716" s="174">
        <f>IF(ISNUMBER(VLOOKUP(A3716,NotghiID!A:A,1,FALSE)),1,0)</f>
        <v>1</v>
      </c>
    </row>
    <row r="3717" spans="1:17" ht="14.25" x14ac:dyDescent="0.2">
      <c r="A3717" s="205">
        <v>120</v>
      </c>
      <c r="B3717" s="232" t="str">
        <f>IF(AND(A3717&lt;&gt;"",ISNUMBER(A3717)),VLOOKUP(A3717,Studies!A:BR,2,FALSE),"")</f>
        <v>Darwish 2008</v>
      </c>
      <c r="C3717" s="232" t="str">
        <f>IF(AND(A3717&lt;&gt;"",ISNUMBER(A3717)),VLOOKUP(A3717,Studies!A:BR,3,FALSE),"")</f>
        <v xml:space="preserve">https://www.ncbi.nlm.nih.gov/pubmed/18076219 </v>
      </c>
      <c r="D3717" s="232" t="str">
        <f>IF(AND(A3717&lt;&gt;"",ISNUMBER(A3717)),VLOOKUP(A3717,Studies!A:BR,4,FALSE),"")</f>
        <v>oral</v>
      </c>
      <c r="E3717" s="206" t="str">
        <f>IF(AND(A3717&lt;&gt;"",ISNUMBER(A3717)),VLOOKUP(A3717,Studies!A:BR,5,FALSE),"")</f>
        <v>Caffeine</v>
      </c>
      <c r="F3717" s="207" t="str">
        <f>IF(AND(A3717&lt;&gt;"",ISNUMBER(A3717)),VLOOKUP(A3717,Studies!A:BR,6,FALSE),"")</f>
        <v>Plasma</v>
      </c>
      <c r="G3717" s="194">
        <v>1.5</v>
      </c>
      <c r="H3717" s="194" t="s">
        <v>60</v>
      </c>
      <c r="I3717" s="187">
        <v>4817.0910000000003</v>
      </c>
      <c r="J3717" s="187" t="s">
        <v>1026</v>
      </c>
      <c r="K3717" s="187" t="s">
        <v>389</v>
      </c>
      <c r="L3717" s="195">
        <v>100.6919</v>
      </c>
      <c r="M3717" s="195" t="s">
        <v>1026</v>
      </c>
      <c r="N3717" s="195" t="s">
        <v>117</v>
      </c>
      <c r="O3717" s="199">
        <v>25</v>
      </c>
      <c r="P3717" s="188"/>
      <c r="Q3717" s="174">
        <f>IF(ISNUMBER(VLOOKUP(A3717,NotghiID!A:A,1,FALSE)),1,0)</f>
        <v>1</v>
      </c>
    </row>
    <row r="3718" spans="1:17" ht="14.25" x14ac:dyDescent="0.2">
      <c r="A3718" s="205">
        <v>120</v>
      </c>
      <c r="B3718" s="232" t="str">
        <f>IF(AND(A3718&lt;&gt;"",ISNUMBER(A3718)),VLOOKUP(A3718,Studies!A:BR,2,FALSE),"")</f>
        <v>Darwish 2008</v>
      </c>
      <c r="C3718" s="232" t="str">
        <f>IF(AND(A3718&lt;&gt;"",ISNUMBER(A3718)),VLOOKUP(A3718,Studies!A:BR,3,FALSE),"")</f>
        <v xml:space="preserve">https://www.ncbi.nlm.nih.gov/pubmed/18076219 </v>
      </c>
      <c r="D3718" s="232" t="str">
        <f>IF(AND(A3718&lt;&gt;"",ISNUMBER(A3718)),VLOOKUP(A3718,Studies!A:BR,4,FALSE),"")</f>
        <v>oral</v>
      </c>
      <c r="E3718" s="206" t="str">
        <f>IF(AND(A3718&lt;&gt;"",ISNUMBER(A3718)),VLOOKUP(A3718,Studies!A:BR,5,FALSE),"")</f>
        <v>Caffeine</v>
      </c>
      <c r="F3718" s="207" t="str">
        <f>IF(AND(A3718&lt;&gt;"",ISNUMBER(A3718)),VLOOKUP(A3718,Studies!A:BR,6,FALSE),"")</f>
        <v>Plasma</v>
      </c>
      <c r="G3718" s="194">
        <v>2</v>
      </c>
      <c r="H3718" s="194" t="s">
        <v>60</v>
      </c>
      <c r="I3718" s="187">
        <v>4432.1450000000004</v>
      </c>
      <c r="J3718" s="187" t="s">
        <v>1026</v>
      </c>
      <c r="K3718" s="187" t="s">
        <v>389</v>
      </c>
      <c r="L3718" s="195">
        <v>285.51659999999998</v>
      </c>
      <c r="M3718" s="195" t="s">
        <v>1026</v>
      </c>
      <c r="N3718" s="195" t="s">
        <v>117</v>
      </c>
      <c r="O3718" s="199">
        <v>25</v>
      </c>
      <c r="P3718" s="188"/>
      <c r="Q3718" s="174">
        <f>IF(ISNUMBER(VLOOKUP(A3718,NotghiID!A:A,1,FALSE)),1,0)</f>
        <v>1</v>
      </c>
    </row>
    <row r="3719" spans="1:17" ht="14.25" x14ac:dyDescent="0.2">
      <c r="A3719" s="205">
        <v>120</v>
      </c>
      <c r="B3719" s="232" t="str">
        <f>IF(AND(A3719&lt;&gt;"",ISNUMBER(A3719)),VLOOKUP(A3719,Studies!A:BR,2,FALSE),"")</f>
        <v>Darwish 2008</v>
      </c>
      <c r="C3719" s="232" t="str">
        <f>IF(AND(A3719&lt;&gt;"",ISNUMBER(A3719)),VLOOKUP(A3719,Studies!A:BR,3,FALSE),"")</f>
        <v xml:space="preserve">https://www.ncbi.nlm.nih.gov/pubmed/18076219 </v>
      </c>
      <c r="D3719" s="232" t="str">
        <f>IF(AND(A3719&lt;&gt;"",ISNUMBER(A3719)),VLOOKUP(A3719,Studies!A:BR,4,FALSE),"")</f>
        <v>oral</v>
      </c>
      <c r="E3719" s="206" t="str">
        <f>IF(AND(A3719&lt;&gt;"",ISNUMBER(A3719)),VLOOKUP(A3719,Studies!A:BR,5,FALSE),"")</f>
        <v>Caffeine</v>
      </c>
      <c r="F3719" s="207" t="str">
        <f>IF(AND(A3719&lt;&gt;"",ISNUMBER(A3719)),VLOOKUP(A3719,Studies!A:BR,6,FALSE),"")</f>
        <v>Plasma</v>
      </c>
      <c r="G3719" s="194">
        <v>2.5</v>
      </c>
      <c r="H3719" s="194" t="s">
        <v>60</v>
      </c>
      <c r="I3719" s="187">
        <v>4077.9609999999998</v>
      </c>
      <c r="J3719" s="187" t="s">
        <v>1026</v>
      </c>
      <c r="K3719" s="187" t="s">
        <v>389</v>
      </c>
      <c r="L3719" s="195">
        <v>172.8657</v>
      </c>
      <c r="M3719" s="195" t="s">
        <v>1026</v>
      </c>
      <c r="N3719" s="195" t="s">
        <v>117</v>
      </c>
      <c r="O3719" s="199">
        <v>25</v>
      </c>
      <c r="P3719" s="188"/>
      <c r="Q3719" s="174">
        <f>IF(ISNUMBER(VLOOKUP(A3719,NotghiID!A:A,1,FALSE)),1,0)</f>
        <v>1</v>
      </c>
    </row>
    <row r="3720" spans="1:17" ht="14.25" x14ac:dyDescent="0.2">
      <c r="A3720" s="205">
        <v>120</v>
      </c>
      <c r="B3720" s="232" t="str">
        <f>IF(AND(A3720&lt;&gt;"",ISNUMBER(A3720)),VLOOKUP(A3720,Studies!A:BR,2,FALSE),"")</f>
        <v>Darwish 2008</v>
      </c>
      <c r="C3720" s="232" t="str">
        <f>IF(AND(A3720&lt;&gt;"",ISNUMBER(A3720)),VLOOKUP(A3720,Studies!A:BR,3,FALSE),"")</f>
        <v xml:space="preserve">https://www.ncbi.nlm.nih.gov/pubmed/18076219 </v>
      </c>
      <c r="D3720" s="232" t="str">
        <f>IF(AND(A3720&lt;&gt;"",ISNUMBER(A3720)),VLOOKUP(A3720,Studies!A:BR,4,FALSE),"")</f>
        <v>oral</v>
      </c>
      <c r="E3720" s="206" t="str">
        <f>IF(AND(A3720&lt;&gt;"",ISNUMBER(A3720)),VLOOKUP(A3720,Studies!A:BR,5,FALSE),"")</f>
        <v>Caffeine</v>
      </c>
      <c r="F3720" s="207" t="str">
        <f>IF(AND(A3720&lt;&gt;"",ISNUMBER(A3720)),VLOOKUP(A3720,Studies!A:BR,6,FALSE),"")</f>
        <v>Plasma</v>
      </c>
      <c r="G3720" s="194">
        <v>3</v>
      </c>
      <c r="H3720" s="194" t="s">
        <v>60</v>
      </c>
      <c r="I3720" s="187">
        <v>3831.16</v>
      </c>
      <c r="J3720" s="187" t="s">
        <v>1026</v>
      </c>
      <c r="K3720" s="187" t="s">
        <v>389</v>
      </c>
      <c r="L3720" s="195">
        <v>80.082759999999993</v>
      </c>
      <c r="M3720" s="195" t="s">
        <v>1026</v>
      </c>
      <c r="N3720" s="195" t="s">
        <v>117</v>
      </c>
      <c r="O3720" s="199">
        <v>25</v>
      </c>
      <c r="P3720" s="188"/>
      <c r="Q3720" s="174">
        <f>IF(ISNUMBER(VLOOKUP(A3720,NotghiID!A:A,1,FALSE)),1,0)</f>
        <v>1</v>
      </c>
    </row>
    <row r="3721" spans="1:17" ht="14.25" x14ac:dyDescent="0.2">
      <c r="A3721" s="205">
        <v>120</v>
      </c>
      <c r="B3721" s="232" t="str">
        <f>IF(AND(A3721&lt;&gt;"",ISNUMBER(A3721)),VLOOKUP(A3721,Studies!A:BR,2,FALSE),"")</f>
        <v>Darwish 2008</v>
      </c>
      <c r="C3721" s="232" t="str">
        <f>IF(AND(A3721&lt;&gt;"",ISNUMBER(A3721)),VLOOKUP(A3721,Studies!A:BR,3,FALSE),"")</f>
        <v xml:space="preserve">https://www.ncbi.nlm.nih.gov/pubmed/18076219 </v>
      </c>
      <c r="D3721" s="232" t="str">
        <f>IF(AND(A3721&lt;&gt;"",ISNUMBER(A3721)),VLOOKUP(A3721,Studies!A:BR,4,FALSE),"")</f>
        <v>oral</v>
      </c>
      <c r="E3721" s="206" t="str">
        <f>IF(AND(A3721&lt;&gt;"",ISNUMBER(A3721)),VLOOKUP(A3721,Studies!A:BR,5,FALSE),"")</f>
        <v>Caffeine</v>
      </c>
      <c r="F3721" s="207" t="str">
        <f>IF(AND(A3721&lt;&gt;"",ISNUMBER(A3721)),VLOOKUP(A3721,Studies!A:BR,6,FALSE),"")</f>
        <v>Plasma</v>
      </c>
      <c r="G3721" s="194">
        <v>4</v>
      </c>
      <c r="H3721" s="194" t="s">
        <v>60</v>
      </c>
      <c r="I3721" s="187">
        <v>3452.73</v>
      </c>
      <c r="J3721" s="187" t="s">
        <v>1026</v>
      </c>
      <c r="K3721" s="187" t="s">
        <v>389</v>
      </c>
      <c r="L3721" s="195">
        <v>72.769779999999997</v>
      </c>
      <c r="M3721" s="195" t="s">
        <v>1026</v>
      </c>
      <c r="N3721" s="195" t="s">
        <v>117</v>
      </c>
      <c r="O3721" s="199">
        <v>25</v>
      </c>
      <c r="P3721" s="188"/>
      <c r="Q3721" s="174">
        <f>IF(ISNUMBER(VLOOKUP(A3721,NotghiID!A:A,1,FALSE)),1,0)</f>
        <v>1</v>
      </c>
    </row>
    <row r="3722" spans="1:17" ht="14.25" x14ac:dyDescent="0.2">
      <c r="A3722" s="205">
        <v>120</v>
      </c>
      <c r="B3722" s="232" t="str">
        <f>IF(AND(A3722&lt;&gt;"",ISNUMBER(A3722)),VLOOKUP(A3722,Studies!A:BR,2,FALSE),"")</f>
        <v>Darwish 2008</v>
      </c>
      <c r="C3722" s="232" t="str">
        <f>IF(AND(A3722&lt;&gt;"",ISNUMBER(A3722)),VLOOKUP(A3722,Studies!A:BR,3,FALSE),"")</f>
        <v xml:space="preserve">https://www.ncbi.nlm.nih.gov/pubmed/18076219 </v>
      </c>
      <c r="D3722" s="232" t="str">
        <f>IF(AND(A3722&lt;&gt;"",ISNUMBER(A3722)),VLOOKUP(A3722,Studies!A:BR,4,FALSE),"")</f>
        <v>oral</v>
      </c>
      <c r="E3722" s="206" t="str">
        <f>IF(AND(A3722&lt;&gt;"",ISNUMBER(A3722)),VLOOKUP(A3722,Studies!A:BR,5,FALSE),"")</f>
        <v>Caffeine</v>
      </c>
      <c r="F3722" s="207" t="str">
        <f>IF(AND(A3722&lt;&gt;"",ISNUMBER(A3722)),VLOOKUP(A3722,Studies!A:BR,6,FALSE),"")</f>
        <v>Plasma</v>
      </c>
      <c r="G3722" s="194">
        <v>6</v>
      </c>
      <c r="H3722" s="194" t="s">
        <v>60</v>
      </c>
      <c r="I3722" s="187">
        <v>2689.5949999999998</v>
      </c>
      <c r="J3722" s="187" t="s">
        <v>1026</v>
      </c>
      <c r="K3722" s="187" t="s">
        <v>389</v>
      </c>
      <c r="L3722" s="195">
        <v>114.8032</v>
      </c>
      <c r="M3722" s="195" t="s">
        <v>1026</v>
      </c>
      <c r="N3722" s="195" t="s">
        <v>117</v>
      </c>
      <c r="O3722" s="199">
        <v>25</v>
      </c>
      <c r="P3722" s="188"/>
      <c r="Q3722" s="174">
        <f>IF(ISNUMBER(VLOOKUP(A3722,NotghiID!A:A,1,FALSE)),1,0)</f>
        <v>1</v>
      </c>
    </row>
    <row r="3723" spans="1:17" ht="14.25" x14ac:dyDescent="0.2">
      <c r="A3723" s="205">
        <v>120</v>
      </c>
      <c r="B3723" s="232" t="str">
        <f>IF(AND(A3723&lt;&gt;"",ISNUMBER(A3723)),VLOOKUP(A3723,Studies!A:BR,2,FALSE),"")</f>
        <v>Darwish 2008</v>
      </c>
      <c r="C3723" s="232" t="str">
        <f>IF(AND(A3723&lt;&gt;"",ISNUMBER(A3723)),VLOOKUP(A3723,Studies!A:BR,3,FALSE),"")</f>
        <v xml:space="preserve">https://www.ncbi.nlm.nih.gov/pubmed/18076219 </v>
      </c>
      <c r="D3723" s="232" t="str">
        <f>IF(AND(A3723&lt;&gt;"",ISNUMBER(A3723)),VLOOKUP(A3723,Studies!A:BR,4,FALSE),"")</f>
        <v>oral</v>
      </c>
      <c r="E3723" s="206" t="str">
        <f>IF(AND(A3723&lt;&gt;"",ISNUMBER(A3723)),VLOOKUP(A3723,Studies!A:BR,5,FALSE),"")</f>
        <v>Caffeine</v>
      </c>
      <c r="F3723" s="207" t="str">
        <f>IF(AND(A3723&lt;&gt;"",ISNUMBER(A3723)),VLOOKUP(A3723,Studies!A:BR,6,FALSE),"")</f>
        <v>Plasma</v>
      </c>
      <c r="G3723" s="194">
        <v>9</v>
      </c>
      <c r="H3723" s="194" t="s">
        <v>60</v>
      </c>
      <c r="I3723" s="187">
        <v>1888.34</v>
      </c>
      <c r="J3723" s="187" t="s">
        <v>1026</v>
      </c>
      <c r="K3723" s="187" t="s">
        <v>389</v>
      </c>
      <c r="L3723" s="195">
        <v>80.602419999999995</v>
      </c>
      <c r="M3723" s="195" t="s">
        <v>1026</v>
      </c>
      <c r="N3723" s="195" t="s">
        <v>117</v>
      </c>
      <c r="O3723" s="199">
        <v>25</v>
      </c>
      <c r="P3723" s="188"/>
      <c r="Q3723" s="174">
        <f>IF(ISNUMBER(VLOOKUP(A3723,NotghiID!A:A,1,FALSE)),1,0)</f>
        <v>1</v>
      </c>
    </row>
    <row r="3724" spans="1:17" ht="14.25" x14ac:dyDescent="0.2">
      <c r="A3724" s="205">
        <v>120</v>
      </c>
      <c r="B3724" s="232" t="str">
        <f>IF(AND(A3724&lt;&gt;"",ISNUMBER(A3724)),VLOOKUP(A3724,Studies!A:BR,2,FALSE),"")</f>
        <v>Darwish 2008</v>
      </c>
      <c r="C3724" s="232" t="str">
        <f>IF(AND(A3724&lt;&gt;"",ISNUMBER(A3724)),VLOOKUP(A3724,Studies!A:BR,3,FALSE),"")</f>
        <v xml:space="preserve">https://www.ncbi.nlm.nih.gov/pubmed/18076219 </v>
      </c>
      <c r="D3724" s="232" t="str">
        <f>IF(AND(A3724&lt;&gt;"",ISNUMBER(A3724)),VLOOKUP(A3724,Studies!A:BR,4,FALSE),"")</f>
        <v>oral</v>
      </c>
      <c r="E3724" s="206" t="str">
        <f>IF(AND(A3724&lt;&gt;"",ISNUMBER(A3724)),VLOOKUP(A3724,Studies!A:BR,5,FALSE),"")</f>
        <v>Caffeine</v>
      </c>
      <c r="F3724" s="207" t="str">
        <f>IF(AND(A3724&lt;&gt;"",ISNUMBER(A3724)),VLOOKUP(A3724,Studies!A:BR,6,FALSE),"")</f>
        <v>Plasma</v>
      </c>
      <c r="G3724" s="194">
        <v>12</v>
      </c>
      <c r="H3724" s="194" t="s">
        <v>60</v>
      </c>
      <c r="I3724" s="187">
        <v>1271.405</v>
      </c>
      <c r="J3724" s="187" t="s">
        <v>1026</v>
      </c>
      <c r="K3724" s="187" t="s">
        <v>389</v>
      </c>
      <c r="L3724" s="195">
        <v>110.8544</v>
      </c>
      <c r="M3724" s="195" t="s">
        <v>1026</v>
      </c>
      <c r="N3724" s="195" t="s">
        <v>117</v>
      </c>
      <c r="O3724" s="199">
        <v>25</v>
      </c>
      <c r="P3724" s="188"/>
      <c r="Q3724" s="174">
        <f>IF(ISNUMBER(VLOOKUP(A3724,NotghiID!A:A,1,FALSE)),1,0)</f>
        <v>1</v>
      </c>
    </row>
    <row r="3725" spans="1:17" ht="14.25" x14ac:dyDescent="0.2">
      <c r="A3725" s="205">
        <v>120</v>
      </c>
      <c r="B3725" s="232" t="str">
        <f>IF(AND(A3725&lt;&gt;"",ISNUMBER(A3725)),VLOOKUP(A3725,Studies!A:BR,2,FALSE),"")</f>
        <v>Darwish 2008</v>
      </c>
      <c r="C3725" s="232" t="str">
        <f>IF(AND(A3725&lt;&gt;"",ISNUMBER(A3725)),VLOOKUP(A3725,Studies!A:BR,3,FALSE),"")</f>
        <v xml:space="preserve">https://www.ncbi.nlm.nih.gov/pubmed/18076219 </v>
      </c>
      <c r="D3725" s="232" t="str">
        <f>IF(AND(A3725&lt;&gt;"",ISNUMBER(A3725)),VLOOKUP(A3725,Studies!A:BR,4,FALSE),"")</f>
        <v>oral</v>
      </c>
      <c r="E3725" s="206" t="str">
        <f>IF(AND(A3725&lt;&gt;"",ISNUMBER(A3725)),VLOOKUP(A3725,Studies!A:BR,5,FALSE),"")</f>
        <v>Caffeine</v>
      </c>
      <c r="F3725" s="207" t="str">
        <f>IF(AND(A3725&lt;&gt;"",ISNUMBER(A3725)),VLOOKUP(A3725,Studies!A:BR,6,FALSE),"")</f>
        <v>Plasma</v>
      </c>
      <c r="G3725" s="194">
        <v>18</v>
      </c>
      <c r="H3725" s="194" t="s">
        <v>60</v>
      </c>
      <c r="I3725" s="187">
        <v>681.26319999999998</v>
      </c>
      <c r="J3725" s="187" t="s">
        <v>1026</v>
      </c>
      <c r="K3725" s="187" t="s">
        <v>389</v>
      </c>
      <c r="L3725" s="195">
        <v>75.009950000000003</v>
      </c>
      <c r="M3725" s="195" t="s">
        <v>1026</v>
      </c>
      <c r="N3725" s="195" t="s">
        <v>117</v>
      </c>
      <c r="O3725" s="199">
        <v>25</v>
      </c>
      <c r="P3725" s="188"/>
      <c r="Q3725" s="174">
        <f>IF(ISNUMBER(VLOOKUP(A3725,NotghiID!A:A,1,FALSE)),1,0)</f>
        <v>1</v>
      </c>
    </row>
    <row r="3726" spans="1:17" ht="14.25" x14ac:dyDescent="0.2">
      <c r="A3726" s="205">
        <v>120</v>
      </c>
      <c r="B3726" s="232" t="str">
        <f>IF(AND(A3726&lt;&gt;"",ISNUMBER(A3726)),VLOOKUP(A3726,Studies!A:BR,2,FALSE),"")</f>
        <v>Darwish 2008</v>
      </c>
      <c r="C3726" s="232" t="str">
        <f>IF(AND(A3726&lt;&gt;"",ISNUMBER(A3726)),VLOOKUP(A3726,Studies!A:BR,3,FALSE),"")</f>
        <v xml:space="preserve">https://www.ncbi.nlm.nih.gov/pubmed/18076219 </v>
      </c>
      <c r="D3726" s="232" t="str">
        <f>IF(AND(A3726&lt;&gt;"",ISNUMBER(A3726)),VLOOKUP(A3726,Studies!A:BR,4,FALSE),"")</f>
        <v>oral</v>
      </c>
      <c r="E3726" s="206" t="str">
        <f>IF(AND(A3726&lt;&gt;"",ISNUMBER(A3726)),VLOOKUP(A3726,Studies!A:BR,5,FALSE),"")</f>
        <v>Caffeine</v>
      </c>
      <c r="F3726" s="207" t="str">
        <f>IF(AND(A3726&lt;&gt;"",ISNUMBER(A3726)),VLOOKUP(A3726,Studies!A:BR,6,FALSE),"")</f>
        <v>Plasma</v>
      </c>
      <c r="G3726" s="194">
        <v>24</v>
      </c>
      <c r="H3726" s="194" t="s">
        <v>60</v>
      </c>
      <c r="I3726" s="187">
        <v>413.79</v>
      </c>
      <c r="J3726" s="187" t="s">
        <v>1026</v>
      </c>
      <c r="K3726" s="187" t="s">
        <v>389</v>
      </c>
      <c r="L3726" s="195">
        <v>36.053249999999998</v>
      </c>
      <c r="M3726" s="195" t="s">
        <v>1026</v>
      </c>
      <c r="N3726" s="195" t="s">
        <v>117</v>
      </c>
      <c r="O3726" s="199">
        <v>25</v>
      </c>
      <c r="P3726" s="188"/>
      <c r="Q3726" s="174">
        <f>IF(ISNUMBER(VLOOKUP(A3726,NotghiID!A:A,1,FALSE)),1,0)</f>
        <v>1</v>
      </c>
    </row>
    <row r="3727" spans="1:17" ht="14.25" x14ac:dyDescent="0.2">
      <c r="A3727" s="205">
        <v>120</v>
      </c>
      <c r="B3727" s="232" t="str">
        <f>IF(AND(A3727&lt;&gt;"",ISNUMBER(A3727)),VLOOKUP(A3727,Studies!A:BR,2,FALSE),"")</f>
        <v>Darwish 2008</v>
      </c>
      <c r="C3727" s="232" t="str">
        <f>IF(AND(A3727&lt;&gt;"",ISNUMBER(A3727)),VLOOKUP(A3727,Studies!A:BR,3,FALSE),"")</f>
        <v xml:space="preserve">https://www.ncbi.nlm.nih.gov/pubmed/18076219 </v>
      </c>
      <c r="D3727" s="232" t="str">
        <f>IF(AND(A3727&lt;&gt;"",ISNUMBER(A3727)),VLOOKUP(A3727,Studies!A:BR,4,FALSE),"")</f>
        <v>oral</v>
      </c>
      <c r="E3727" s="206" t="str">
        <f>IF(AND(A3727&lt;&gt;"",ISNUMBER(A3727)),VLOOKUP(A3727,Studies!A:BR,5,FALSE),"")</f>
        <v>Caffeine</v>
      </c>
      <c r="F3727" s="207" t="str">
        <f>IF(AND(A3727&lt;&gt;"",ISNUMBER(A3727)),VLOOKUP(A3727,Studies!A:BR,6,FALSE),"")</f>
        <v>Plasma</v>
      </c>
      <c r="G3727" s="194">
        <v>36</v>
      </c>
      <c r="H3727" s="194" t="s">
        <v>60</v>
      </c>
      <c r="I3727" s="187">
        <v>126.4819</v>
      </c>
      <c r="J3727" s="187" t="s">
        <v>1026</v>
      </c>
      <c r="K3727" s="187" t="s">
        <v>389</v>
      </c>
      <c r="L3727" s="195">
        <v>36.034289999999999</v>
      </c>
      <c r="M3727" s="195" t="s">
        <v>1026</v>
      </c>
      <c r="N3727" s="195" t="s">
        <v>117</v>
      </c>
      <c r="O3727" s="199">
        <v>25</v>
      </c>
      <c r="P3727" s="188"/>
      <c r="Q3727" s="174">
        <f>IF(ISNUMBER(VLOOKUP(A3727,NotghiID!A:A,1,FALSE)),1,0)</f>
        <v>1</v>
      </c>
    </row>
    <row r="3728" spans="1:17" ht="14.25" x14ac:dyDescent="0.2">
      <c r="A3728" s="205">
        <v>120</v>
      </c>
      <c r="B3728" s="232" t="str">
        <f>IF(AND(A3728&lt;&gt;"",ISNUMBER(A3728)),VLOOKUP(A3728,Studies!A:BR,2,FALSE),"")</f>
        <v>Darwish 2008</v>
      </c>
      <c r="C3728" s="232" t="str">
        <f>IF(AND(A3728&lt;&gt;"",ISNUMBER(A3728)),VLOOKUP(A3728,Studies!A:BR,3,FALSE),"")</f>
        <v xml:space="preserve">https://www.ncbi.nlm.nih.gov/pubmed/18076219 </v>
      </c>
      <c r="D3728" s="232" t="str">
        <f>IF(AND(A3728&lt;&gt;"",ISNUMBER(A3728)),VLOOKUP(A3728,Studies!A:BR,4,FALSE),"")</f>
        <v>oral</v>
      </c>
      <c r="E3728" s="206" t="str">
        <f>IF(AND(A3728&lt;&gt;"",ISNUMBER(A3728)),VLOOKUP(A3728,Studies!A:BR,5,FALSE),"")</f>
        <v>Caffeine</v>
      </c>
      <c r="F3728" s="207" t="str">
        <f>IF(AND(A3728&lt;&gt;"",ISNUMBER(A3728)),VLOOKUP(A3728,Studies!A:BR,6,FALSE),"")</f>
        <v>Plasma</v>
      </c>
      <c r="G3728" s="194">
        <v>48</v>
      </c>
      <c r="H3728" s="194" t="s">
        <v>60</v>
      </c>
      <c r="I3728" s="187">
        <v>51.793289999999999</v>
      </c>
      <c r="J3728" s="187" t="s">
        <v>1026</v>
      </c>
      <c r="K3728" s="187" t="s">
        <v>389</v>
      </c>
      <c r="L3728" s="195">
        <v>17.590430000000001</v>
      </c>
      <c r="M3728" s="195" t="s">
        <v>1026</v>
      </c>
      <c r="N3728" s="195" t="s">
        <v>117</v>
      </c>
      <c r="O3728" s="199">
        <v>25</v>
      </c>
      <c r="P3728" s="188"/>
      <c r="Q3728" s="174">
        <f>IF(ISNUMBER(VLOOKUP(A3728,NotghiID!A:A,1,FALSE)),1,0)</f>
        <v>1</v>
      </c>
    </row>
    <row r="3729" spans="1:17" ht="14.25" x14ac:dyDescent="0.2">
      <c r="A3729" s="213">
        <v>172</v>
      </c>
      <c r="B3729" s="232" t="str">
        <f>IF(AND(A3729&lt;&gt;"",ISNUMBER(A3729)),VLOOKUP(A3729,Studies!A:BR,2,FALSE),"")</f>
        <v>Gorski 1998</v>
      </c>
      <c r="C3729" s="232" t="str">
        <f>IF(AND(A3729&lt;&gt;"",ISNUMBER(A3729)),VLOOKUP(A3729,Studies!A:BR,3,FALSE),"")</f>
        <v>https://www.ncbi.nlm.nih.gov/pubmed/9728893</v>
      </c>
      <c r="D3729" s="232" t="str">
        <f>IF(AND(A3729&lt;&gt;"",ISNUMBER(A3729)),VLOOKUP(A3729,Studies!A:BR,4,FALSE),"")</f>
        <v>po Control (Perpetrator Placebo)</v>
      </c>
      <c r="E3729" s="206" t="str">
        <f>IF(AND(A3729&lt;&gt;"",ISNUMBER(A3729)),VLOOKUP(A3729,Studies!A:BR,5,FALSE),"")</f>
        <v>Midazolam</v>
      </c>
      <c r="F3729" s="207" t="str">
        <f>IF(AND(A3729&lt;&gt;"",ISNUMBER(A3729)),VLOOKUP(A3729,Studies!A:BR,6,FALSE),"")</f>
        <v>Whole Blood</v>
      </c>
      <c r="G3729" s="194">
        <v>0.25</v>
      </c>
      <c r="H3729" s="194" t="s">
        <v>60</v>
      </c>
      <c r="I3729" s="187">
        <v>11.06758</v>
      </c>
      <c r="J3729" s="187" t="s">
        <v>1090</v>
      </c>
      <c r="K3729" s="187" t="s">
        <v>389</v>
      </c>
      <c r="L3729" s="195">
        <v>10.54974</v>
      </c>
      <c r="M3729" s="195" t="s">
        <v>1090</v>
      </c>
      <c r="N3729" s="195" t="s">
        <v>117</v>
      </c>
      <c r="O3729" s="199">
        <v>1</v>
      </c>
      <c r="P3729" s="188"/>
      <c r="Q3729" s="174">
        <f>IF(ISNUMBER(VLOOKUP(A3729,NotghiID!A:A,1,FALSE)),1,0)</f>
        <v>1</v>
      </c>
    </row>
    <row r="3730" spans="1:17" ht="14.25" x14ac:dyDescent="0.2">
      <c r="A3730" s="213">
        <v>172</v>
      </c>
      <c r="B3730" s="232" t="str">
        <f>IF(AND(A3730&lt;&gt;"",ISNUMBER(A3730)),VLOOKUP(A3730,Studies!A:BR,2,FALSE),"")</f>
        <v>Gorski 1998</v>
      </c>
      <c r="C3730" s="232" t="str">
        <f>IF(AND(A3730&lt;&gt;"",ISNUMBER(A3730)),VLOOKUP(A3730,Studies!A:BR,3,FALSE),"")</f>
        <v>https://www.ncbi.nlm.nih.gov/pubmed/9728893</v>
      </c>
      <c r="D3730" s="232" t="str">
        <f>IF(AND(A3730&lt;&gt;"",ISNUMBER(A3730)),VLOOKUP(A3730,Studies!A:BR,4,FALSE),"")</f>
        <v>po Control (Perpetrator Placebo)</v>
      </c>
      <c r="E3730" s="206" t="str">
        <f>IF(AND(A3730&lt;&gt;"",ISNUMBER(A3730)),VLOOKUP(A3730,Studies!A:BR,5,FALSE),"")</f>
        <v>Midazolam</v>
      </c>
      <c r="F3730" s="207" t="str">
        <f>IF(AND(A3730&lt;&gt;"",ISNUMBER(A3730)),VLOOKUP(A3730,Studies!A:BR,6,FALSE),"")</f>
        <v>Whole Blood</v>
      </c>
      <c r="G3730" s="194">
        <v>0.5</v>
      </c>
      <c r="H3730" s="194" t="s">
        <v>60</v>
      </c>
      <c r="I3730" s="187">
        <v>12.50018</v>
      </c>
      <c r="J3730" s="187" t="s">
        <v>1090</v>
      </c>
      <c r="K3730" s="187" t="s">
        <v>389</v>
      </c>
      <c r="L3730" s="195">
        <v>6.25528</v>
      </c>
      <c r="M3730" s="195" t="s">
        <v>1090</v>
      </c>
      <c r="N3730" s="195" t="s">
        <v>117</v>
      </c>
      <c r="O3730" s="199">
        <v>1</v>
      </c>
      <c r="P3730" s="188"/>
      <c r="Q3730" s="174">
        <f>IF(ISNUMBER(VLOOKUP(A3730,NotghiID!A:A,1,FALSE)),1,0)</f>
        <v>1</v>
      </c>
    </row>
    <row r="3731" spans="1:17" ht="14.25" x14ac:dyDescent="0.2">
      <c r="A3731" s="213">
        <v>172</v>
      </c>
      <c r="B3731" s="232" t="str">
        <f>IF(AND(A3731&lt;&gt;"",ISNUMBER(A3731)),VLOOKUP(A3731,Studies!A:BR,2,FALSE),"")</f>
        <v>Gorski 1998</v>
      </c>
      <c r="C3731" s="232" t="str">
        <f>IF(AND(A3731&lt;&gt;"",ISNUMBER(A3731)),VLOOKUP(A3731,Studies!A:BR,3,FALSE),"")</f>
        <v>https://www.ncbi.nlm.nih.gov/pubmed/9728893</v>
      </c>
      <c r="D3731" s="232" t="str">
        <f>IF(AND(A3731&lt;&gt;"",ISNUMBER(A3731)),VLOOKUP(A3731,Studies!A:BR,4,FALSE),"")</f>
        <v>po Control (Perpetrator Placebo)</v>
      </c>
      <c r="E3731" s="206" t="str">
        <f>IF(AND(A3731&lt;&gt;"",ISNUMBER(A3731)),VLOOKUP(A3731,Studies!A:BR,5,FALSE),"")</f>
        <v>Midazolam</v>
      </c>
      <c r="F3731" s="207" t="str">
        <f>IF(AND(A3731&lt;&gt;"",ISNUMBER(A3731)),VLOOKUP(A3731,Studies!A:BR,6,FALSE),"")</f>
        <v>Whole Blood</v>
      </c>
      <c r="G3731" s="194">
        <v>0.75</v>
      </c>
      <c r="H3731" s="194" t="s">
        <v>60</v>
      </c>
      <c r="I3731" s="187">
        <v>11.06758</v>
      </c>
      <c r="J3731" s="187" t="s">
        <v>1026</v>
      </c>
      <c r="K3731" s="187" t="s">
        <v>389</v>
      </c>
      <c r="L3731" s="195">
        <v>6.9421239999999997</v>
      </c>
      <c r="M3731" s="195" t="s">
        <v>1090</v>
      </c>
      <c r="N3731" s="195" t="s">
        <v>117</v>
      </c>
      <c r="O3731" s="199">
        <v>1</v>
      </c>
      <c r="P3731" s="188"/>
      <c r="Q3731" s="174">
        <f>IF(ISNUMBER(VLOOKUP(A3731,NotghiID!A:A,1,FALSE)),1,0)</f>
        <v>1</v>
      </c>
    </row>
    <row r="3732" spans="1:17" ht="14.25" x14ac:dyDescent="0.2">
      <c r="A3732" s="213">
        <v>172</v>
      </c>
      <c r="B3732" s="232" t="str">
        <f>IF(AND(A3732&lt;&gt;"",ISNUMBER(A3732)),VLOOKUP(A3732,Studies!A:BR,2,FALSE),"")</f>
        <v>Gorski 1998</v>
      </c>
      <c r="C3732" s="232" t="str">
        <f>IF(AND(A3732&lt;&gt;"",ISNUMBER(A3732)),VLOOKUP(A3732,Studies!A:BR,3,FALSE),"")</f>
        <v>https://www.ncbi.nlm.nih.gov/pubmed/9728893</v>
      </c>
      <c r="D3732" s="232" t="str">
        <f>IF(AND(A3732&lt;&gt;"",ISNUMBER(A3732)),VLOOKUP(A3732,Studies!A:BR,4,FALSE),"")</f>
        <v>po Control (Perpetrator Placebo)</v>
      </c>
      <c r="E3732" s="206" t="str">
        <f>IF(AND(A3732&lt;&gt;"",ISNUMBER(A3732)),VLOOKUP(A3732,Studies!A:BR,5,FALSE),"")</f>
        <v>Midazolam</v>
      </c>
      <c r="F3732" s="207" t="str">
        <f>IF(AND(A3732&lt;&gt;"",ISNUMBER(A3732)),VLOOKUP(A3732,Studies!A:BR,6,FALSE),"")</f>
        <v>Whole Blood</v>
      </c>
      <c r="G3732" s="194">
        <v>1</v>
      </c>
      <c r="H3732" s="194" t="s">
        <v>60</v>
      </c>
      <c r="I3732" s="187">
        <v>8.8539399999999997</v>
      </c>
      <c r="J3732" s="187" t="s">
        <v>1026</v>
      </c>
      <c r="K3732" s="187" t="s">
        <v>389</v>
      </c>
      <c r="L3732" s="195">
        <v>5.1217879999999996</v>
      </c>
      <c r="M3732" s="195" t="s">
        <v>1090</v>
      </c>
      <c r="N3732" s="195" t="s">
        <v>117</v>
      </c>
      <c r="O3732" s="199">
        <v>1</v>
      </c>
      <c r="P3732" s="188"/>
      <c r="Q3732" s="174">
        <f>IF(ISNUMBER(VLOOKUP(A3732,NotghiID!A:A,1,FALSE)),1,0)</f>
        <v>1</v>
      </c>
    </row>
    <row r="3733" spans="1:17" ht="14.25" x14ac:dyDescent="0.2">
      <c r="A3733" s="213">
        <v>172</v>
      </c>
      <c r="B3733" s="232" t="str">
        <f>IF(AND(A3733&lt;&gt;"",ISNUMBER(A3733)),VLOOKUP(A3733,Studies!A:BR,2,FALSE),"")</f>
        <v>Gorski 1998</v>
      </c>
      <c r="C3733" s="232" t="str">
        <f>IF(AND(A3733&lt;&gt;"",ISNUMBER(A3733)),VLOOKUP(A3733,Studies!A:BR,3,FALSE),"")</f>
        <v>https://www.ncbi.nlm.nih.gov/pubmed/9728893</v>
      </c>
      <c r="D3733" s="232" t="str">
        <f>IF(AND(A3733&lt;&gt;"",ISNUMBER(A3733)),VLOOKUP(A3733,Studies!A:BR,4,FALSE),"")</f>
        <v>po Control (Perpetrator Placebo)</v>
      </c>
      <c r="E3733" s="206" t="str">
        <f>IF(AND(A3733&lt;&gt;"",ISNUMBER(A3733)),VLOOKUP(A3733,Studies!A:BR,5,FALSE),"")</f>
        <v>Midazolam</v>
      </c>
      <c r="F3733" s="207" t="str">
        <f>IF(AND(A3733&lt;&gt;"",ISNUMBER(A3733)),VLOOKUP(A3733,Studies!A:BR,6,FALSE),"")</f>
        <v>Whole Blood</v>
      </c>
      <c r="G3733" s="194">
        <v>1.5</v>
      </c>
      <c r="H3733" s="194" t="s">
        <v>60</v>
      </c>
      <c r="I3733" s="187">
        <v>8.5018890000000003</v>
      </c>
      <c r="J3733" s="187" t="s">
        <v>1026</v>
      </c>
      <c r="K3733" s="187" t="s">
        <v>389</v>
      </c>
      <c r="L3733" s="195">
        <v>4.9181350000000004</v>
      </c>
      <c r="M3733" s="195" t="s">
        <v>1090</v>
      </c>
      <c r="N3733" s="195" t="s">
        <v>117</v>
      </c>
      <c r="O3733" s="199">
        <v>1</v>
      </c>
      <c r="P3733" s="188"/>
      <c r="Q3733" s="174">
        <f>IF(ISNUMBER(VLOOKUP(A3733,NotghiID!A:A,1,FALSE)),1,0)</f>
        <v>1</v>
      </c>
    </row>
    <row r="3734" spans="1:17" ht="14.25" x14ac:dyDescent="0.2">
      <c r="A3734" s="213">
        <v>172</v>
      </c>
      <c r="B3734" s="232" t="str">
        <f>IF(AND(A3734&lt;&gt;"",ISNUMBER(A3734)),VLOOKUP(A3734,Studies!A:BR,2,FALSE),"")</f>
        <v>Gorski 1998</v>
      </c>
      <c r="C3734" s="232" t="str">
        <f>IF(AND(A3734&lt;&gt;"",ISNUMBER(A3734)),VLOOKUP(A3734,Studies!A:BR,3,FALSE),"")</f>
        <v>https://www.ncbi.nlm.nih.gov/pubmed/9728893</v>
      </c>
      <c r="D3734" s="232" t="str">
        <f>IF(AND(A3734&lt;&gt;"",ISNUMBER(A3734)),VLOOKUP(A3734,Studies!A:BR,4,FALSE),"")</f>
        <v>po Control (Perpetrator Placebo)</v>
      </c>
      <c r="E3734" s="206" t="str">
        <f>IF(AND(A3734&lt;&gt;"",ISNUMBER(A3734)),VLOOKUP(A3734,Studies!A:BR,5,FALSE),"")</f>
        <v>Midazolam</v>
      </c>
      <c r="F3734" s="207" t="str">
        <f>IF(AND(A3734&lt;&gt;"",ISNUMBER(A3734)),VLOOKUP(A3734,Studies!A:BR,6,FALSE),"")</f>
        <v>Whole Blood</v>
      </c>
      <c r="G3734" s="194">
        <v>2</v>
      </c>
      <c r="H3734" s="194" t="s">
        <v>60</v>
      </c>
      <c r="I3734" s="187">
        <v>7.9191469999999997</v>
      </c>
      <c r="J3734" s="187" t="s">
        <v>1026</v>
      </c>
      <c r="K3734" s="187" t="s">
        <v>389</v>
      </c>
      <c r="L3734" s="195">
        <v>3.9628619999999999</v>
      </c>
      <c r="M3734" s="195" t="s">
        <v>1090</v>
      </c>
      <c r="N3734" s="195" t="s">
        <v>117</v>
      </c>
      <c r="O3734" s="199">
        <v>1</v>
      </c>
      <c r="P3734" s="188"/>
      <c r="Q3734" s="174">
        <f>IF(ISNUMBER(VLOOKUP(A3734,NotghiID!A:A,1,FALSE)),1,0)</f>
        <v>1</v>
      </c>
    </row>
    <row r="3735" spans="1:17" ht="14.25" x14ac:dyDescent="0.2">
      <c r="A3735" s="213">
        <v>172</v>
      </c>
      <c r="B3735" s="232" t="str">
        <f>IF(AND(A3735&lt;&gt;"",ISNUMBER(A3735)),VLOOKUP(A3735,Studies!A:BR,2,FALSE),"")</f>
        <v>Gorski 1998</v>
      </c>
      <c r="C3735" s="232" t="str">
        <f>IF(AND(A3735&lt;&gt;"",ISNUMBER(A3735)),VLOOKUP(A3735,Studies!A:BR,3,FALSE),"")</f>
        <v>https://www.ncbi.nlm.nih.gov/pubmed/9728893</v>
      </c>
      <c r="D3735" s="232" t="str">
        <f>IF(AND(A3735&lt;&gt;"",ISNUMBER(A3735)),VLOOKUP(A3735,Studies!A:BR,4,FALSE),"")</f>
        <v>po Control (Perpetrator Placebo)</v>
      </c>
      <c r="E3735" s="206" t="str">
        <f>IF(AND(A3735&lt;&gt;"",ISNUMBER(A3735)),VLOOKUP(A3735,Studies!A:BR,5,FALSE),"")</f>
        <v>Midazolam</v>
      </c>
      <c r="F3735" s="207" t="str">
        <f>IF(AND(A3735&lt;&gt;"",ISNUMBER(A3735)),VLOOKUP(A3735,Studies!A:BR,6,FALSE),"")</f>
        <v>Whole Blood</v>
      </c>
      <c r="G3735" s="194">
        <v>2.5</v>
      </c>
      <c r="H3735" s="194" t="s">
        <v>60</v>
      </c>
      <c r="I3735" s="187">
        <v>5.8414390000000003</v>
      </c>
      <c r="J3735" s="187" t="s">
        <v>1026</v>
      </c>
      <c r="K3735" s="187" t="s">
        <v>389</v>
      </c>
      <c r="L3735" s="195">
        <v>2.3223980000000002</v>
      </c>
      <c r="M3735" s="195" t="s">
        <v>1090</v>
      </c>
      <c r="N3735" s="195" t="s">
        <v>117</v>
      </c>
      <c r="O3735" s="199">
        <v>1</v>
      </c>
      <c r="P3735" s="188"/>
      <c r="Q3735" s="174">
        <f>IF(ISNUMBER(VLOOKUP(A3735,NotghiID!A:A,1,FALSE)),1,0)</f>
        <v>1</v>
      </c>
    </row>
    <row r="3736" spans="1:17" ht="14.25" x14ac:dyDescent="0.2">
      <c r="A3736" s="213">
        <v>172</v>
      </c>
      <c r="B3736" s="232" t="str">
        <f>IF(AND(A3736&lt;&gt;"",ISNUMBER(A3736)),VLOOKUP(A3736,Studies!A:BR,2,FALSE),"")</f>
        <v>Gorski 1998</v>
      </c>
      <c r="C3736" s="232" t="str">
        <f>IF(AND(A3736&lt;&gt;"",ISNUMBER(A3736)),VLOOKUP(A3736,Studies!A:BR,3,FALSE),"")</f>
        <v>https://www.ncbi.nlm.nih.gov/pubmed/9728893</v>
      </c>
      <c r="D3736" s="232" t="str">
        <f>IF(AND(A3736&lt;&gt;"",ISNUMBER(A3736)),VLOOKUP(A3736,Studies!A:BR,4,FALSE),"")</f>
        <v>po Control (Perpetrator Placebo)</v>
      </c>
      <c r="E3736" s="206" t="str">
        <f>IF(AND(A3736&lt;&gt;"",ISNUMBER(A3736)),VLOOKUP(A3736,Studies!A:BR,5,FALSE),"")</f>
        <v>Midazolam</v>
      </c>
      <c r="F3736" s="207" t="str">
        <f>IF(AND(A3736&lt;&gt;"",ISNUMBER(A3736)),VLOOKUP(A3736,Studies!A:BR,6,FALSE),"")</f>
        <v>Whole Blood</v>
      </c>
      <c r="G3736" s="194">
        <v>3</v>
      </c>
      <c r="H3736" s="194" t="s">
        <v>60</v>
      </c>
      <c r="I3736" s="187">
        <v>4.4872719999999999</v>
      </c>
      <c r="J3736" s="187" t="s">
        <v>1026</v>
      </c>
      <c r="K3736" s="187" t="s">
        <v>389</v>
      </c>
      <c r="L3736" s="195">
        <v>1.8479540000000001</v>
      </c>
      <c r="M3736" s="195" t="s">
        <v>1090</v>
      </c>
      <c r="N3736" s="195" t="s">
        <v>117</v>
      </c>
      <c r="O3736" s="199">
        <v>1</v>
      </c>
      <c r="P3736" s="188"/>
      <c r="Q3736" s="174">
        <f>IF(ISNUMBER(VLOOKUP(A3736,NotghiID!A:A,1,FALSE)),1,0)</f>
        <v>1</v>
      </c>
    </row>
    <row r="3737" spans="1:17" ht="14.25" x14ac:dyDescent="0.2">
      <c r="A3737" s="213">
        <v>172</v>
      </c>
      <c r="B3737" s="232" t="str">
        <f>IF(AND(A3737&lt;&gt;"",ISNUMBER(A3737)),VLOOKUP(A3737,Studies!A:BR,2,FALSE),"")</f>
        <v>Gorski 1998</v>
      </c>
      <c r="C3737" s="232" t="str">
        <f>IF(AND(A3737&lt;&gt;"",ISNUMBER(A3737)),VLOOKUP(A3737,Studies!A:BR,3,FALSE),"")</f>
        <v>https://www.ncbi.nlm.nih.gov/pubmed/9728893</v>
      </c>
      <c r="D3737" s="232" t="str">
        <f>IF(AND(A3737&lt;&gt;"",ISNUMBER(A3737)),VLOOKUP(A3737,Studies!A:BR,4,FALSE),"")</f>
        <v>po Control (Perpetrator Placebo)</v>
      </c>
      <c r="E3737" s="206" t="str">
        <f>IF(AND(A3737&lt;&gt;"",ISNUMBER(A3737)),VLOOKUP(A3737,Studies!A:BR,5,FALSE),"")</f>
        <v>Midazolam</v>
      </c>
      <c r="F3737" s="207" t="str">
        <f>IF(AND(A3737&lt;&gt;"",ISNUMBER(A3737)),VLOOKUP(A3737,Studies!A:BR,6,FALSE),"")</f>
        <v>Whole Blood</v>
      </c>
      <c r="G3737" s="194">
        <v>4</v>
      </c>
      <c r="H3737" s="194" t="s">
        <v>60</v>
      </c>
      <c r="I3737" s="187">
        <v>3.5535369999999999</v>
      </c>
      <c r="J3737" s="187" t="s">
        <v>1026</v>
      </c>
      <c r="K3737" s="187" t="s">
        <v>389</v>
      </c>
      <c r="L3737" s="195">
        <v>1.025698</v>
      </c>
      <c r="M3737" s="195" t="s">
        <v>1090</v>
      </c>
      <c r="N3737" s="195" t="s">
        <v>117</v>
      </c>
      <c r="O3737" s="199">
        <v>1</v>
      </c>
      <c r="P3737" s="189" t="s">
        <v>1155</v>
      </c>
      <c r="Q3737" s="174">
        <f>IF(ISNUMBER(VLOOKUP(A3737,NotghiID!A:A,1,FALSE)),1,0)</f>
        <v>1</v>
      </c>
    </row>
    <row r="3738" spans="1:17" ht="14.25" x14ac:dyDescent="0.2">
      <c r="A3738" s="213">
        <v>172</v>
      </c>
      <c r="B3738" s="232" t="str">
        <f>IF(AND(A3738&lt;&gt;"",ISNUMBER(A3738)),VLOOKUP(A3738,Studies!A:BR,2,FALSE),"")</f>
        <v>Gorski 1998</v>
      </c>
      <c r="C3738" s="232" t="str">
        <f>IF(AND(A3738&lt;&gt;"",ISNUMBER(A3738)),VLOOKUP(A3738,Studies!A:BR,3,FALSE),"")</f>
        <v>https://www.ncbi.nlm.nih.gov/pubmed/9728893</v>
      </c>
      <c r="D3738" s="232" t="str">
        <f>IF(AND(A3738&lt;&gt;"",ISNUMBER(A3738)),VLOOKUP(A3738,Studies!A:BR,4,FALSE),"")</f>
        <v>po Control (Perpetrator Placebo)</v>
      </c>
      <c r="E3738" s="206" t="str">
        <f>IF(AND(A3738&lt;&gt;"",ISNUMBER(A3738)),VLOOKUP(A3738,Studies!A:BR,5,FALSE),"")</f>
        <v>Midazolam</v>
      </c>
      <c r="F3738" s="207" t="str">
        <f>IF(AND(A3738&lt;&gt;"",ISNUMBER(A3738)),VLOOKUP(A3738,Studies!A:BR,6,FALSE),"")</f>
        <v>Whole Blood</v>
      </c>
      <c r="G3738" s="194">
        <v>6</v>
      </c>
      <c r="H3738" s="194" t="s">
        <v>60</v>
      </c>
      <c r="I3738" s="187">
        <v>2.9306260000000002</v>
      </c>
      <c r="J3738" s="187" t="s">
        <v>1026</v>
      </c>
      <c r="K3738" s="187" t="s">
        <v>389</v>
      </c>
      <c r="L3738" s="195">
        <v>1.1651370000000001</v>
      </c>
      <c r="M3738" s="195" t="s">
        <v>1090</v>
      </c>
      <c r="N3738" s="195" t="s">
        <v>117</v>
      </c>
      <c r="O3738" s="199">
        <v>1</v>
      </c>
      <c r="P3738" s="188"/>
      <c r="Q3738" s="174">
        <f>IF(ISNUMBER(VLOOKUP(A3738,NotghiID!A:A,1,FALSE)),1,0)</f>
        <v>1</v>
      </c>
    </row>
    <row r="3739" spans="1:17" ht="14.25" x14ac:dyDescent="0.2">
      <c r="A3739" s="213">
        <v>172</v>
      </c>
      <c r="B3739" s="232" t="str">
        <f>IF(AND(A3739&lt;&gt;"",ISNUMBER(A3739)),VLOOKUP(A3739,Studies!A:BR,2,FALSE),"")</f>
        <v>Gorski 1998</v>
      </c>
      <c r="C3739" s="232" t="str">
        <f>IF(AND(A3739&lt;&gt;"",ISNUMBER(A3739)),VLOOKUP(A3739,Studies!A:BR,3,FALSE),"")</f>
        <v>https://www.ncbi.nlm.nih.gov/pubmed/9728893</v>
      </c>
      <c r="D3739" s="232" t="str">
        <f>IF(AND(A3739&lt;&gt;"",ISNUMBER(A3739)),VLOOKUP(A3739,Studies!A:BR,4,FALSE),"")</f>
        <v>po Control (Perpetrator Placebo)</v>
      </c>
      <c r="E3739" s="206" t="str">
        <f>IF(AND(A3739&lt;&gt;"",ISNUMBER(A3739)),VLOOKUP(A3739,Studies!A:BR,5,FALSE),"")</f>
        <v>Midazolam</v>
      </c>
      <c r="F3739" s="207" t="str">
        <f>IF(AND(A3739&lt;&gt;"",ISNUMBER(A3739)),VLOOKUP(A3739,Studies!A:BR,6,FALSE),"")</f>
        <v>Whole Blood</v>
      </c>
      <c r="G3739" s="194">
        <v>8</v>
      </c>
      <c r="H3739" s="194" t="s">
        <v>60</v>
      </c>
      <c r="I3739" s="187">
        <v>1.8755459999999999</v>
      </c>
      <c r="J3739" s="187" t="s">
        <v>1026</v>
      </c>
      <c r="K3739" s="187" t="s">
        <v>389</v>
      </c>
      <c r="L3739" s="195">
        <v>1.1456310000000001</v>
      </c>
      <c r="M3739" s="195" t="s">
        <v>1090</v>
      </c>
      <c r="N3739" s="195" t="s">
        <v>117</v>
      </c>
      <c r="O3739" s="199">
        <v>1</v>
      </c>
      <c r="P3739" s="188"/>
      <c r="Q3739" s="174">
        <f>IF(ISNUMBER(VLOOKUP(A3739,NotghiID!A:A,1,FALSE)),1,0)</f>
        <v>1</v>
      </c>
    </row>
    <row r="3740" spans="1:17" ht="14.25" x14ac:dyDescent="0.2">
      <c r="A3740" s="213">
        <v>173</v>
      </c>
      <c r="B3740" s="232" t="str">
        <f>IF(AND(A3740&lt;&gt;"",ISNUMBER(A3740)),VLOOKUP(A3740,Studies!A:BR,2,FALSE),"")</f>
        <v>Gorski 1998</v>
      </c>
      <c r="C3740" s="232" t="str">
        <f>IF(AND(A3740&lt;&gt;"",ISNUMBER(A3740)),VLOOKUP(A3740,Studies!A:BR,3,FALSE),"")</f>
        <v>https://www.ncbi.nlm.nih.gov/pubmed/9728893</v>
      </c>
      <c r="D3740" s="232" t="str">
        <f>IF(AND(A3740&lt;&gt;"",ISNUMBER(A3740)),VLOOKUP(A3740,Studies!A:BR,4,FALSE),"")</f>
        <v>po with Perpetrator (Clarithromycin)</v>
      </c>
      <c r="E3740" s="206" t="str">
        <f>IF(AND(A3740&lt;&gt;"",ISNUMBER(A3740)),VLOOKUP(A3740,Studies!A:BR,5,FALSE),"")</f>
        <v>Midazolam</v>
      </c>
      <c r="F3740" s="207" t="str">
        <f>IF(AND(A3740&lt;&gt;"",ISNUMBER(A3740)),VLOOKUP(A3740,Studies!A:BR,6,FALSE),"")</f>
        <v>Whole Blood</v>
      </c>
      <c r="G3740" s="194">
        <v>146.08000000000001</v>
      </c>
      <c r="H3740" s="194" t="s">
        <v>60</v>
      </c>
      <c r="I3740" s="187">
        <v>1.4852730000000001</v>
      </c>
      <c r="J3740" s="187" t="s">
        <v>1026</v>
      </c>
      <c r="K3740" s="187" t="s">
        <v>389</v>
      </c>
      <c r="L3740" s="195">
        <v>0.2440872</v>
      </c>
      <c r="M3740" s="195" t="s">
        <v>1090</v>
      </c>
      <c r="N3740" s="195" t="s">
        <v>117</v>
      </c>
      <c r="O3740" s="199">
        <v>1</v>
      </c>
      <c r="P3740" s="188"/>
      <c r="Q3740" s="174">
        <f>IF(ISNUMBER(VLOOKUP(A3740,NotghiID!A:A,1,FALSE)),1,0)</f>
        <v>1</v>
      </c>
    </row>
    <row r="3741" spans="1:17" ht="14.25" x14ac:dyDescent="0.2">
      <c r="A3741" s="213">
        <v>173</v>
      </c>
      <c r="B3741" s="232" t="str">
        <f>IF(AND(A3741&lt;&gt;"",ISNUMBER(A3741)),VLOOKUP(A3741,Studies!A:BR,2,FALSE),"")</f>
        <v>Gorski 1998</v>
      </c>
      <c r="C3741" s="232" t="str">
        <f>IF(AND(A3741&lt;&gt;"",ISNUMBER(A3741)),VLOOKUP(A3741,Studies!A:BR,3,FALSE),"")</f>
        <v>https://www.ncbi.nlm.nih.gov/pubmed/9728893</v>
      </c>
      <c r="D3741" s="232" t="str">
        <f>IF(AND(A3741&lt;&gt;"",ISNUMBER(A3741)),VLOOKUP(A3741,Studies!A:BR,4,FALSE),"")</f>
        <v>po with Perpetrator (Clarithromycin)</v>
      </c>
      <c r="E3741" s="206" t="str">
        <f>IF(AND(A3741&lt;&gt;"",ISNUMBER(A3741)),VLOOKUP(A3741,Studies!A:BR,5,FALSE),"")</f>
        <v>Midazolam</v>
      </c>
      <c r="F3741" s="207" t="str">
        <f>IF(AND(A3741&lt;&gt;"",ISNUMBER(A3741)),VLOOKUP(A3741,Studies!A:BR,6,FALSE),"")</f>
        <v>Whole Blood</v>
      </c>
      <c r="G3741" s="194">
        <v>146.25</v>
      </c>
      <c r="H3741" s="194" t="s">
        <v>60</v>
      </c>
      <c r="I3741" s="187">
        <v>25.16987</v>
      </c>
      <c r="J3741" s="187" t="s">
        <v>1026</v>
      </c>
      <c r="K3741" s="187" t="s">
        <v>389</v>
      </c>
      <c r="L3741" s="195">
        <v>20.622479999999999</v>
      </c>
      <c r="M3741" s="195" t="s">
        <v>1090</v>
      </c>
      <c r="N3741" s="195" t="s">
        <v>117</v>
      </c>
      <c r="O3741" s="199">
        <v>1</v>
      </c>
      <c r="P3741" s="188"/>
      <c r="Q3741" s="174">
        <f>IF(ISNUMBER(VLOOKUP(A3741,NotghiID!A:A,1,FALSE)),1,0)</f>
        <v>1</v>
      </c>
    </row>
    <row r="3742" spans="1:17" ht="14.25" x14ac:dyDescent="0.2">
      <c r="A3742" s="213">
        <v>173</v>
      </c>
      <c r="B3742" s="232" t="str">
        <f>IF(AND(A3742&lt;&gt;"",ISNUMBER(A3742)),VLOOKUP(A3742,Studies!A:BR,2,FALSE),"")</f>
        <v>Gorski 1998</v>
      </c>
      <c r="C3742" s="232" t="str">
        <f>IF(AND(A3742&lt;&gt;"",ISNUMBER(A3742)),VLOOKUP(A3742,Studies!A:BR,3,FALSE),"")</f>
        <v>https://www.ncbi.nlm.nih.gov/pubmed/9728893</v>
      </c>
      <c r="D3742" s="232" t="str">
        <f>IF(AND(A3742&lt;&gt;"",ISNUMBER(A3742)),VLOOKUP(A3742,Studies!A:BR,4,FALSE),"")</f>
        <v>po with Perpetrator (Clarithromycin)</v>
      </c>
      <c r="E3742" s="206" t="str">
        <f>IF(AND(A3742&lt;&gt;"",ISNUMBER(A3742)),VLOOKUP(A3742,Studies!A:BR,5,FALSE),"")</f>
        <v>Midazolam</v>
      </c>
      <c r="F3742" s="207" t="str">
        <f>IF(AND(A3742&lt;&gt;"",ISNUMBER(A3742)),VLOOKUP(A3742,Studies!A:BR,6,FALSE),"")</f>
        <v>Whole Blood</v>
      </c>
      <c r="G3742" s="194">
        <v>146.5</v>
      </c>
      <c r="H3742" s="194" t="s">
        <v>60</v>
      </c>
      <c r="I3742" s="187">
        <v>40.135089999999998</v>
      </c>
      <c r="J3742" s="187" t="s">
        <v>1026</v>
      </c>
      <c r="K3742" s="187" t="s">
        <v>389</v>
      </c>
      <c r="L3742" s="195">
        <v>25.840499999999999</v>
      </c>
      <c r="M3742" s="195" t="s">
        <v>1090</v>
      </c>
      <c r="N3742" s="195" t="s">
        <v>117</v>
      </c>
      <c r="O3742" s="199">
        <v>1</v>
      </c>
      <c r="P3742" s="188"/>
      <c r="Q3742" s="174">
        <f>IF(ISNUMBER(VLOOKUP(A3742,NotghiID!A:A,1,FALSE)),1,0)</f>
        <v>1</v>
      </c>
    </row>
    <row r="3743" spans="1:17" ht="14.25" x14ac:dyDescent="0.2">
      <c r="A3743" s="213">
        <v>173</v>
      </c>
      <c r="B3743" s="232" t="str">
        <f>IF(AND(A3743&lt;&gt;"",ISNUMBER(A3743)),VLOOKUP(A3743,Studies!A:BR,2,FALSE),"")</f>
        <v>Gorski 1998</v>
      </c>
      <c r="C3743" s="232" t="str">
        <f>IF(AND(A3743&lt;&gt;"",ISNUMBER(A3743)),VLOOKUP(A3743,Studies!A:BR,3,FALSE),"")</f>
        <v>https://www.ncbi.nlm.nih.gov/pubmed/9728893</v>
      </c>
      <c r="D3743" s="232" t="str">
        <f>IF(AND(A3743&lt;&gt;"",ISNUMBER(A3743)),VLOOKUP(A3743,Studies!A:BR,4,FALSE),"")</f>
        <v>po with Perpetrator (Clarithromycin)</v>
      </c>
      <c r="E3743" s="206" t="str">
        <f>IF(AND(A3743&lt;&gt;"",ISNUMBER(A3743)),VLOOKUP(A3743,Studies!A:BR,5,FALSE),"")</f>
        <v>Midazolam</v>
      </c>
      <c r="F3743" s="207" t="str">
        <f>IF(AND(A3743&lt;&gt;"",ISNUMBER(A3743)),VLOOKUP(A3743,Studies!A:BR,6,FALSE),"")</f>
        <v>Whole Blood</v>
      </c>
      <c r="G3743" s="194">
        <v>146.75</v>
      </c>
      <c r="H3743" s="194" t="s">
        <v>60</v>
      </c>
      <c r="I3743" s="187">
        <v>34.470289999999999</v>
      </c>
      <c r="J3743" s="187" t="s">
        <v>1026</v>
      </c>
      <c r="K3743" s="187" t="s">
        <v>389</v>
      </c>
      <c r="L3743" s="195">
        <v>20.494949999999999</v>
      </c>
      <c r="M3743" s="195" t="s">
        <v>1090</v>
      </c>
      <c r="N3743" s="195" t="s">
        <v>117</v>
      </c>
      <c r="O3743" s="199">
        <v>1</v>
      </c>
      <c r="P3743" s="188"/>
      <c r="Q3743" s="174">
        <f>IF(ISNUMBER(VLOOKUP(A3743,NotghiID!A:A,1,FALSE)),1,0)</f>
        <v>1</v>
      </c>
    </row>
    <row r="3744" spans="1:17" ht="14.25" x14ac:dyDescent="0.2">
      <c r="A3744" s="213">
        <v>173</v>
      </c>
      <c r="B3744" s="232" t="str">
        <f>IF(AND(A3744&lt;&gt;"",ISNUMBER(A3744)),VLOOKUP(A3744,Studies!A:BR,2,FALSE),"")</f>
        <v>Gorski 1998</v>
      </c>
      <c r="C3744" s="232" t="str">
        <f>IF(AND(A3744&lt;&gt;"",ISNUMBER(A3744)),VLOOKUP(A3744,Studies!A:BR,3,FALSE),"")</f>
        <v>https://www.ncbi.nlm.nih.gov/pubmed/9728893</v>
      </c>
      <c r="D3744" s="232" t="str">
        <f>IF(AND(A3744&lt;&gt;"",ISNUMBER(A3744)),VLOOKUP(A3744,Studies!A:BR,4,FALSE),"")</f>
        <v>po with Perpetrator (Clarithromycin)</v>
      </c>
      <c r="E3744" s="206" t="str">
        <f>IF(AND(A3744&lt;&gt;"",ISNUMBER(A3744)),VLOOKUP(A3744,Studies!A:BR,5,FALSE),"")</f>
        <v>Midazolam</v>
      </c>
      <c r="F3744" s="207" t="str">
        <f>IF(AND(A3744&lt;&gt;"",ISNUMBER(A3744)),VLOOKUP(A3744,Studies!A:BR,6,FALSE),"")</f>
        <v>Whole Blood</v>
      </c>
      <c r="G3744" s="194">
        <v>147</v>
      </c>
      <c r="H3744" s="194" t="s">
        <v>60</v>
      </c>
      <c r="I3744" s="187">
        <v>31.462800000000001</v>
      </c>
      <c r="J3744" s="187" t="s">
        <v>1026</v>
      </c>
      <c r="K3744" s="187" t="s">
        <v>389</v>
      </c>
      <c r="L3744" s="195">
        <v>17.20309</v>
      </c>
      <c r="M3744" s="195" t="s">
        <v>1090</v>
      </c>
      <c r="N3744" s="195" t="s">
        <v>117</v>
      </c>
      <c r="O3744" s="199">
        <v>1</v>
      </c>
      <c r="P3744" s="188"/>
      <c r="Q3744" s="174">
        <f>IF(ISNUMBER(VLOOKUP(A3744,NotghiID!A:A,1,FALSE)),1,0)</f>
        <v>1</v>
      </c>
    </row>
    <row r="3745" spans="1:17" ht="14.25" x14ac:dyDescent="0.2">
      <c r="A3745" s="213">
        <v>173</v>
      </c>
      <c r="B3745" s="232" t="str">
        <f>IF(AND(A3745&lt;&gt;"",ISNUMBER(A3745)),VLOOKUP(A3745,Studies!A:BR,2,FALSE),"")</f>
        <v>Gorski 1998</v>
      </c>
      <c r="C3745" s="232" t="str">
        <f>IF(AND(A3745&lt;&gt;"",ISNUMBER(A3745)),VLOOKUP(A3745,Studies!A:BR,3,FALSE),"")</f>
        <v>https://www.ncbi.nlm.nih.gov/pubmed/9728893</v>
      </c>
      <c r="D3745" s="232" t="str">
        <f>IF(AND(A3745&lt;&gt;"",ISNUMBER(A3745)),VLOOKUP(A3745,Studies!A:BR,4,FALSE),"")</f>
        <v>po with Perpetrator (Clarithromycin)</v>
      </c>
      <c r="E3745" s="206" t="str">
        <f>IF(AND(A3745&lt;&gt;"",ISNUMBER(A3745)),VLOOKUP(A3745,Studies!A:BR,5,FALSE),"")</f>
        <v>Midazolam</v>
      </c>
      <c r="F3745" s="207" t="str">
        <f>IF(AND(A3745&lt;&gt;"",ISNUMBER(A3745)),VLOOKUP(A3745,Studies!A:BR,6,FALSE),"")</f>
        <v>Whole Blood</v>
      </c>
      <c r="G3745" s="194">
        <v>147.5</v>
      </c>
      <c r="H3745" s="194" t="s">
        <v>60</v>
      </c>
      <c r="I3745" s="187">
        <v>31.14527</v>
      </c>
      <c r="J3745" s="187" t="s">
        <v>1026</v>
      </c>
      <c r="K3745" s="187" t="s">
        <v>389</v>
      </c>
      <c r="L3745" s="195">
        <v>15.113939999999999</v>
      </c>
      <c r="M3745" s="195" t="s">
        <v>1090</v>
      </c>
      <c r="N3745" s="195" t="s">
        <v>117</v>
      </c>
      <c r="O3745" s="199">
        <v>1</v>
      </c>
      <c r="P3745" s="188"/>
      <c r="Q3745" s="174">
        <f>IF(ISNUMBER(VLOOKUP(A3745,NotghiID!A:A,1,FALSE)),1,0)</f>
        <v>1</v>
      </c>
    </row>
    <row r="3746" spans="1:17" ht="14.25" x14ac:dyDescent="0.2">
      <c r="A3746" s="213">
        <v>173</v>
      </c>
      <c r="B3746" s="232" t="str">
        <f>IF(AND(A3746&lt;&gt;"",ISNUMBER(A3746)),VLOOKUP(A3746,Studies!A:BR,2,FALSE),"")</f>
        <v>Gorski 1998</v>
      </c>
      <c r="C3746" s="232" t="str">
        <f>IF(AND(A3746&lt;&gt;"",ISNUMBER(A3746)),VLOOKUP(A3746,Studies!A:BR,3,FALSE),"")</f>
        <v>https://www.ncbi.nlm.nih.gov/pubmed/9728893</v>
      </c>
      <c r="D3746" s="232" t="str">
        <f>IF(AND(A3746&lt;&gt;"",ISNUMBER(A3746)),VLOOKUP(A3746,Studies!A:BR,4,FALSE),"")</f>
        <v>po with Perpetrator (Clarithromycin)</v>
      </c>
      <c r="E3746" s="206" t="str">
        <f>IF(AND(A3746&lt;&gt;"",ISNUMBER(A3746)),VLOOKUP(A3746,Studies!A:BR,5,FALSE),"")</f>
        <v>Midazolam</v>
      </c>
      <c r="F3746" s="207" t="str">
        <f>IF(AND(A3746&lt;&gt;"",ISNUMBER(A3746)),VLOOKUP(A3746,Studies!A:BR,6,FALSE),"")</f>
        <v>Whole Blood</v>
      </c>
      <c r="G3746" s="194">
        <v>148</v>
      </c>
      <c r="H3746" s="194" t="s">
        <v>60</v>
      </c>
      <c r="I3746" s="187">
        <v>30.51979</v>
      </c>
      <c r="J3746" s="187" t="s">
        <v>1026</v>
      </c>
      <c r="K3746" s="187" t="s">
        <v>389</v>
      </c>
      <c r="L3746" s="195">
        <v>12.5687</v>
      </c>
      <c r="M3746" s="195" t="s">
        <v>1090</v>
      </c>
      <c r="N3746" s="195" t="s">
        <v>117</v>
      </c>
      <c r="O3746" s="199">
        <v>1</v>
      </c>
      <c r="P3746" s="188"/>
      <c r="Q3746" s="174">
        <f>IF(ISNUMBER(VLOOKUP(A3746,NotghiID!A:A,1,FALSE)),1,0)</f>
        <v>1</v>
      </c>
    </row>
    <row r="3747" spans="1:17" ht="14.25" x14ac:dyDescent="0.2">
      <c r="A3747" s="213">
        <v>173</v>
      </c>
      <c r="B3747" s="232" t="str">
        <f>IF(AND(A3747&lt;&gt;"",ISNUMBER(A3747)),VLOOKUP(A3747,Studies!A:BR,2,FALSE),"")</f>
        <v>Gorski 1998</v>
      </c>
      <c r="C3747" s="232" t="str">
        <f>IF(AND(A3747&lt;&gt;"",ISNUMBER(A3747)),VLOOKUP(A3747,Studies!A:BR,3,FALSE),"")</f>
        <v>https://www.ncbi.nlm.nih.gov/pubmed/9728893</v>
      </c>
      <c r="D3747" s="232" t="str">
        <f>IF(AND(A3747&lt;&gt;"",ISNUMBER(A3747)),VLOOKUP(A3747,Studies!A:BR,4,FALSE),"")</f>
        <v>po with Perpetrator (Clarithromycin)</v>
      </c>
      <c r="E3747" s="206" t="str">
        <f>IF(AND(A3747&lt;&gt;"",ISNUMBER(A3747)),VLOOKUP(A3747,Studies!A:BR,5,FALSE),"")</f>
        <v>Midazolam</v>
      </c>
      <c r="F3747" s="207" t="str">
        <f>IF(AND(A3747&lt;&gt;"",ISNUMBER(A3747)),VLOOKUP(A3747,Studies!A:BR,6,FALSE),"")</f>
        <v>Whole Blood</v>
      </c>
      <c r="G3747" s="194">
        <v>148.5</v>
      </c>
      <c r="H3747" s="194" t="s">
        <v>60</v>
      </c>
      <c r="I3747" s="187">
        <v>26.47936</v>
      </c>
      <c r="J3747" s="187" t="s">
        <v>1026</v>
      </c>
      <c r="K3747" s="187" t="s">
        <v>389</v>
      </c>
      <c r="L3747" s="195">
        <v>9.4182950000000005</v>
      </c>
      <c r="M3747" s="195" t="s">
        <v>1090</v>
      </c>
      <c r="N3747" s="195" t="s">
        <v>117</v>
      </c>
      <c r="O3747" s="199">
        <v>1</v>
      </c>
      <c r="P3747" s="188"/>
      <c r="Q3747" s="174">
        <f>IF(ISNUMBER(VLOOKUP(A3747,NotghiID!A:A,1,FALSE)),1,0)</f>
        <v>1</v>
      </c>
    </row>
    <row r="3748" spans="1:17" ht="14.25" x14ac:dyDescent="0.2">
      <c r="A3748" s="213">
        <v>173</v>
      </c>
      <c r="B3748" s="232" t="str">
        <f>IF(AND(A3748&lt;&gt;"",ISNUMBER(A3748)),VLOOKUP(A3748,Studies!A:BR,2,FALSE),"")</f>
        <v>Gorski 1998</v>
      </c>
      <c r="C3748" s="232" t="str">
        <f>IF(AND(A3748&lt;&gt;"",ISNUMBER(A3748)),VLOOKUP(A3748,Studies!A:BR,3,FALSE),"")</f>
        <v>https://www.ncbi.nlm.nih.gov/pubmed/9728893</v>
      </c>
      <c r="D3748" s="232" t="str">
        <f>IF(AND(A3748&lt;&gt;"",ISNUMBER(A3748)),VLOOKUP(A3748,Studies!A:BR,4,FALSE),"")</f>
        <v>po with Perpetrator (Clarithromycin)</v>
      </c>
      <c r="E3748" s="206" t="str">
        <f>IF(AND(A3748&lt;&gt;"",ISNUMBER(A3748)),VLOOKUP(A3748,Studies!A:BR,5,FALSE),"")</f>
        <v>Midazolam</v>
      </c>
      <c r="F3748" s="207" t="str">
        <f>IF(AND(A3748&lt;&gt;"",ISNUMBER(A3748)),VLOOKUP(A3748,Studies!A:BR,6,FALSE),"")</f>
        <v>Whole Blood</v>
      </c>
      <c r="G3748" s="194">
        <v>149</v>
      </c>
      <c r="H3748" s="194" t="s">
        <v>60</v>
      </c>
      <c r="I3748" s="187">
        <v>22.97383</v>
      </c>
      <c r="J3748" s="187" t="s">
        <v>1026</v>
      </c>
      <c r="K3748" s="187" t="s">
        <v>389</v>
      </c>
      <c r="L3748" s="195">
        <v>8.4889700000000001</v>
      </c>
      <c r="M3748" s="195" t="s">
        <v>1090</v>
      </c>
      <c r="N3748" s="195" t="s">
        <v>117</v>
      </c>
      <c r="O3748" s="199">
        <v>1</v>
      </c>
      <c r="P3748" s="188"/>
      <c r="Q3748" s="174">
        <f>IF(ISNUMBER(VLOOKUP(A3748,NotghiID!A:A,1,FALSE)),1,0)</f>
        <v>1</v>
      </c>
    </row>
    <row r="3749" spans="1:17" ht="14.25" x14ac:dyDescent="0.2">
      <c r="A3749" s="213">
        <v>173</v>
      </c>
      <c r="B3749" s="232" t="str">
        <f>IF(AND(A3749&lt;&gt;"",ISNUMBER(A3749)),VLOOKUP(A3749,Studies!A:BR,2,FALSE),"")</f>
        <v>Gorski 1998</v>
      </c>
      <c r="C3749" s="232" t="str">
        <f>IF(AND(A3749&lt;&gt;"",ISNUMBER(A3749)),VLOOKUP(A3749,Studies!A:BR,3,FALSE),"")</f>
        <v>https://www.ncbi.nlm.nih.gov/pubmed/9728893</v>
      </c>
      <c r="D3749" s="232" t="str">
        <f>IF(AND(A3749&lt;&gt;"",ISNUMBER(A3749)),VLOOKUP(A3749,Studies!A:BR,4,FALSE),"")</f>
        <v>po with Perpetrator (Clarithromycin)</v>
      </c>
      <c r="E3749" s="206" t="str">
        <f>IF(AND(A3749&lt;&gt;"",ISNUMBER(A3749)),VLOOKUP(A3749,Studies!A:BR,5,FALSE),"")</f>
        <v>Midazolam</v>
      </c>
      <c r="F3749" s="207" t="str">
        <f>IF(AND(A3749&lt;&gt;"",ISNUMBER(A3749)),VLOOKUP(A3749,Studies!A:BR,6,FALSE),"")</f>
        <v>Whole Blood</v>
      </c>
      <c r="G3749" s="194">
        <v>150</v>
      </c>
      <c r="H3749" s="194" t="s">
        <v>60</v>
      </c>
      <c r="I3749" s="187">
        <v>18.946680000000001</v>
      </c>
      <c r="J3749" s="187" t="s">
        <v>1026</v>
      </c>
      <c r="K3749" s="187" t="s">
        <v>389</v>
      </c>
      <c r="L3749" s="195">
        <v>6.4798049999999998</v>
      </c>
      <c r="M3749" s="195" t="s">
        <v>1090</v>
      </c>
      <c r="N3749" s="195" t="s">
        <v>117</v>
      </c>
      <c r="O3749" s="199">
        <v>1</v>
      </c>
      <c r="P3749" s="189" t="s">
        <v>1156</v>
      </c>
      <c r="Q3749" s="174">
        <f>IF(ISNUMBER(VLOOKUP(A3749,NotghiID!A:A,1,FALSE)),1,0)</f>
        <v>1</v>
      </c>
    </row>
    <row r="3750" spans="1:17" ht="14.25" x14ac:dyDescent="0.2">
      <c r="A3750" s="213">
        <v>173</v>
      </c>
      <c r="B3750" s="232" t="str">
        <f>IF(AND(A3750&lt;&gt;"",ISNUMBER(A3750)),VLOOKUP(A3750,Studies!A:BR,2,FALSE),"")</f>
        <v>Gorski 1998</v>
      </c>
      <c r="C3750" s="232" t="str">
        <f>IF(AND(A3750&lt;&gt;"",ISNUMBER(A3750)),VLOOKUP(A3750,Studies!A:BR,3,FALSE),"")</f>
        <v>https://www.ncbi.nlm.nih.gov/pubmed/9728893</v>
      </c>
      <c r="D3750" s="232" t="str">
        <f>IF(AND(A3750&lt;&gt;"",ISNUMBER(A3750)),VLOOKUP(A3750,Studies!A:BR,4,FALSE),"")</f>
        <v>po with Perpetrator (Clarithromycin)</v>
      </c>
      <c r="E3750" s="206" t="str">
        <f>IF(AND(A3750&lt;&gt;"",ISNUMBER(A3750)),VLOOKUP(A3750,Studies!A:BR,5,FALSE),"")</f>
        <v>Midazolam</v>
      </c>
      <c r="F3750" s="207" t="str">
        <f>IF(AND(A3750&lt;&gt;"",ISNUMBER(A3750)),VLOOKUP(A3750,Studies!A:BR,6,FALSE),"")</f>
        <v>Whole Blood</v>
      </c>
      <c r="G3750" s="194">
        <v>152</v>
      </c>
      <c r="H3750" s="194" t="s">
        <v>60</v>
      </c>
      <c r="I3750" s="187">
        <v>17.293600000000001</v>
      </c>
      <c r="J3750" s="187" t="s">
        <v>1026</v>
      </c>
      <c r="K3750" s="187" t="s">
        <v>389</v>
      </c>
      <c r="L3750" s="195">
        <v>8.6539839999999995</v>
      </c>
      <c r="M3750" s="195" t="s">
        <v>1090</v>
      </c>
      <c r="N3750" s="195" t="s">
        <v>117</v>
      </c>
      <c r="O3750" s="199">
        <v>1</v>
      </c>
      <c r="P3750" s="188"/>
      <c r="Q3750" s="174">
        <f>IF(ISNUMBER(VLOOKUP(A3750,NotghiID!A:A,1,FALSE)),1,0)</f>
        <v>1</v>
      </c>
    </row>
    <row r="3751" spans="1:17" ht="14.25" x14ac:dyDescent="0.2">
      <c r="A3751" s="213">
        <v>173</v>
      </c>
      <c r="B3751" s="232" t="str">
        <f>IF(AND(A3751&lt;&gt;"",ISNUMBER(A3751)),VLOOKUP(A3751,Studies!A:BR,2,FALSE),"")</f>
        <v>Gorski 1998</v>
      </c>
      <c r="C3751" s="232" t="str">
        <f>IF(AND(A3751&lt;&gt;"",ISNUMBER(A3751)),VLOOKUP(A3751,Studies!A:BR,3,FALSE),"")</f>
        <v>https://www.ncbi.nlm.nih.gov/pubmed/9728893</v>
      </c>
      <c r="D3751" s="232" t="str">
        <f>IF(AND(A3751&lt;&gt;"",ISNUMBER(A3751)),VLOOKUP(A3751,Studies!A:BR,4,FALSE),"")</f>
        <v>po with Perpetrator (Clarithromycin)</v>
      </c>
      <c r="E3751" s="206" t="str">
        <f>IF(AND(A3751&lt;&gt;"",ISNUMBER(A3751)),VLOOKUP(A3751,Studies!A:BR,5,FALSE),"")</f>
        <v>Midazolam</v>
      </c>
      <c r="F3751" s="207" t="str">
        <f>IF(AND(A3751&lt;&gt;"",ISNUMBER(A3751)),VLOOKUP(A3751,Studies!A:BR,6,FALSE),"")</f>
        <v>Whole Blood</v>
      </c>
      <c r="G3751" s="194">
        <v>154</v>
      </c>
      <c r="H3751" s="194" t="s">
        <v>60</v>
      </c>
      <c r="I3751" s="187">
        <v>12.249140000000001</v>
      </c>
      <c r="J3751" s="187" t="s">
        <v>1026</v>
      </c>
      <c r="K3751" s="187" t="s">
        <v>389</v>
      </c>
      <c r="L3751" s="195">
        <v>6.3170359999999999</v>
      </c>
      <c r="M3751" s="195" t="s">
        <v>1090</v>
      </c>
      <c r="N3751" s="195" t="s">
        <v>117</v>
      </c>
      <c r="O3751" s="199">
        <v>1</v>
      </c>
      <c r="P3751" s="188"/>
      <c r="Q3751" s="174">
        <f>IF(ISNUMBER(VLOOKUP(A3751,NotghiID!A:A,1,FALSE)),1,0)</f>
        <v>1</v>
      </c>
    </row>
    <row r="3752" spans="1:17" ht="14.25" x14ac:dyDescent="0.2">
      <c r="A3752" s="213">
        <v>173</v>
      </c>
      <c r="B3752" s="232" t="str">
        <f>IF(AND(A3752&lt;&gt;"",ISNUMBER(A3752)),VLOOKUP(A3752,Studies!A:BR,2,FALSE),"")</f>
        <v>Gorski 1998</v>
      </c>
      <c r="C3752" s="232" t="str">
        <f>IF(AND(A3752&lt;&gt;"",ISNUMBER(A3752)),VLOOKUP(A3752,Studies!A:BR,3,FALSE),"")</f>
        <v>https://www.ncbi.nlm.nih.gov/pubmed/9728893</v>
      </c>
      <c r="D3752" s="232" t="str">
        <f>IF(AND(A3752&lt;&gt;"",ISNUMBER(A3752)),VLOOKUP(A3752,Studies!A:BR,4,FALSE),"")</f>
        <v>po with Perpetrator (Clarithromycin)</v>
      </c>
      <c r="E3752" s="206" t="str">
        <f>IF(AND(A3752&lt;&gt;"",ISNUMBER(A3752)),VLOOKUP(A3752,Studies!A:BR,5,FALSE),"")</f>
        <v>Midazolam</v>
      </c>
      <c r="F3752" s="207" t="str">
        <f>IF(AND(A3752&lt;&gt;"",ISNUMBER(A3752)),VLOOKUP(A3752,Studies!A:BR,6,FALSE),"")</f>
        <v>Whole Blood</v>
      </c>
      <c r="G3752" s="194">
        <v>156</v>
      </c>
      <c r="H3752" s="194" t="s">
        <v>60</v>
      </c>
      <c r="I3752" s="187">
        <v>10.41409</v>
      </c>
      <c r="J3752" s="187" t="s">
        <v>1026</v>
      </c>
      <c r="K3752" s="187" t="s">
        <v>389</v>
      </c>
      <c r="L3752" s="195">
        <v>5.0536659999999998</v>
      </c>
      <c r="M3752" s="195" t="s">
        <v>1090</v>
      </c>
      <c r="N3752" s="195" t="s">
        <v>117</v>
      </c>
      <c r="O3752" s="199">
        <v>1</v>
      </c>
      <c r="P3752" s="188"/>
      <c r="Q3752" s="174">
        <f>IF(ISNUMBER(VLOOKUP(A3752,NotghiID!A:A,1,FALSE)),1,0)</f>
        <v>1</v>
      </c>
    </row>
    <row r="3753" spans="1:17" ht="14.25" x14ac:dyDescent="0.2">
      <c r="A3753" s="213">
        <v>173</v>
      </c>
      <c r="B3753" s="232" t="str">
        <f>IF(AND(A3753&lt;&gt;"",ISNUMBER(A3753)),VLOOKUP(A3753,Studies!A:BR,2,FALSE),"")</f>
        <v>Gorski 1998</v>
      </c>
      <c r="C3753" s="232" t="str">
        <f>IF(AND(A3753&lt;&gt;"",ISNUMBER(A3753)),VLOOKUP(A3753,Studies!A:BR,3,FALSE),"")</f>
        <v>https://www.ncbi.nlm.nih.gov/pubmed/9728893</v>
      </c>
      <c r="D3753" s="232" t="str">
        <f>IF(AND(A3753&lt;&gt;"",ISNUMBER(A3753)),VLOOKUP(A3753,Studies!A:BR,4,FALSE),"")</f>
        <v>po with Perpetrator (Clarithromycin)</v>
      </c>
      <c r="E3753" s="206" t="str">
        <f>IF(AND(A3753&lt;&gt;"",ISNUMBER(A3753)),VLOOKUP(A3753,Studies!A:BR,5,FALSE),"")</f>
        <v>Midazolam</v>
      </c>
      <c r="F3753" s="207" t="str">
        <f>IF(AND(A3753&lt;&gt;"",ISNUMBER(A3753)),VLOOKUP(A3753,Studies!A:BR,6,FALSE),"")</f>
        <v>Whole Blood</v>
      </c>
      <c r="G3753" s="194">
        <v>158</v>
      </c>
      <c r="H3753" s="194" t="s">
        <v>60</v>
      </c>
      <c r="I3753" s="187">
        <v>8.9442070000000005</v>
      </c>
      <c r="J3753" s="187" t="s">
        <v>1026</v>
      </c>
      <c r="K3753" s="187" t="s">
        <v>389</v>
      </c>
      <c r="L3753" s="195">
        <v>5.0315209999999997</v>
      </c>
      <c r="M3753" s="195" t="s">
        <v>1090</v>
      </c>
      <c r="N3753" s="195" t="s">
        <v>117</v>
      </c>
      <c r="O3753" s="199">
        <v>1</v>
      </c>
      <c r="P3753" s="188"/>
      <c r="Q3753" s="174">
        <f>IF(ISNUMBER(VLOOKUP(A3753,NotghiID!A:A,1,FALSE)),1,0)</f>
        <v>1</v>
      </c>
    </row>
    <row r="3754" spans="1:17" ht="14.25" x14ac:dyDescent="0.2">
      <c r="A3754" s="213">
        <v>174</v>
      </c>
      <c r="B3754" s="232" t="str">
        <f>IF(AND(A3754&lt;&gt;"",ISNUMBER(A3754)),VLOOKUP(A3754,Studies!A:BR,2,FALSE),"")</f>
        <v>Gorski 1998</v>
      </c>
      <c r="C3754" s="232" t="str">
        <f>IF(AND(A3754&lt;&gt;"",ISNUMBER(A3754)),VLOOKUP(A3754,Studies!A:BR,3,FALSE),"")</f>
        <v>https://www.ncbi.nlm.nih.gov/pubmed/9728893</v>
      </c>
      <c r="D3754" s="232" t="str">
        <f>IF(AND(A3754&lt;&gt;"",ISNUMBER(A3754)),VLOOKUP(A3754,Studies!A:BR,4,FALSE),"")</f>
        <v>iv Control (Perpetrator Placebo)</v>
      </c>
      <c r="E3754" s="206" t="str">
        <f>IF(AND(A3754&lt;&gt;"",ISNUMBER(A3754)),VLOOKUP(A3754,Studies!A:BR,5,FALSE),"")</f>
        <v>Midazolam</v>
      </c>
      <c r="F3754" s="207" t="str">
        <f>IF(AND(A3754&lt;&gt;"",ISNUMBER(A3754)),VLOOKUP(A3754,Studies!A:BR,6,FALSE),"")</f>
        <v>Whole Blood</v>
      </c>
      <c r="G3754" s="194">
        <v>0.08</v>
      </c>
      <c r="H3754" s="194" t="s">
        <v>60</v>
      </c>
      <c r="I3754" s="187">
        <v>16.404350000000001</v>
      </c>
      <c r="J3754" s="187" t="s">
        <v>1026</v>
      </c>
      <c r="K3754" s="187" t="s">
        <v>389</v>
      </c>
      <c r="L3754" s="195">
        <v>10.245240000000001</v>
      </c>
      <c r="M3754" s="195" t="s">
        <v>1090</v>
      </c>
      <c r="N3754" s="195" t="s">
        <v>117</v>
      </c>
      <c r="O3754" s="199">
        <v>1</v>
      </c>
      <c r="P3754" s="188"/>
      <c r="Q3754" s="174">
        <f>IF(ISNUMBER(VLOOKUP(A3754,NotghiID!A:A,1,FALSE)),1,0)</f>
        <v>1</v>
      </c>
    </row>
    <row r="3755" spans="1:17" ht="14.25" x14ac:dyDescent="0.2">
      <c r="A3755" s="213">
        <v>174</v>
      </c>
      <c r="B3755" s="232" t="str">
        <f>IF(AND(A3755&lt;&gt;"",ISNUMBER(A3755)),VLOOKUP(A3755,Studies!A:BR,2,FALSE),"")</f>
        <v>Gorski 1998</v>
      </c>
      <c r="C3755" s="232" t="str">
        <f>IF(AND(A3755&lt;&gt;"",ISNUMBER(A3755)),VLOOKUP(A3755,Studies!A:BR,3,FALSE),"")</f>
        <v>https://www.ncbi.nlm.nih.gov/pubmed/9728893</v>
      </c>
      <c r="D3755" s="232" t="str">
        <f>IF(AND(A3755&lt;&gt;"",ISNUMBER(A3755)),VLOOKUP(A3755,Studies!A:BR,4,FALSE),"")</f>
        <v>iv Control (Perpetrator Placebo)</v>
      </c>
      <c r="E3755" s="206" t="str">
        <f>IF(AND(A3755&lt;&gt;"",ISNUMBER(A3755)),VLOOKUP(A3755,Studies!A:BR,5,FALSE),"")</f>
        <v>Midazolam</v>
      </c>
      <c r="F3755" s="207" t="str">
        <f>IF(AND(A3755&lt;&gt;"",ISNUMBER(A3755)),VLOOKUP(A3755,Studies!A:BR,6,FALSE),"")</f>
        <v>Whole Blood</v>
      </c>
      <c r="G3755" s="194">
        <v>0.25</v>
      </c>
      <c r="H3755" s="194" t="s">
        <v>60</v>
      </c>
      <c r="I3755" s="187">
        <v>34.991309999999999</v>
      </c>
      <c r="J3755" s="187" t="s">
        <v>1026</v>
      </c>
      <c r="K3755" s="187" t="s">
        <v>389</v>
      </c>
      <c r="L3755" s="195">
        <v>15.901540000000001</v>
      </c>
      <c r="M3755" s="195" t="s">
        <v>1090</v>
      </c>
      <c r="N3755" s="195" t="s">
        <v>117</v>
      </c>
      <c r="O3755" s="199">
        <v>1</v>
      </c>
      <c r="P3755" s="188"/>
      <c r="Q3755" s="174">
        <f>IF(ISNUMBER(VLOOKUP(A3755,NotghiID!A:A,1,FALSE)),1,0)</f>
        <v>1</v>
      </c>
    </row>
    <row r="3756" spans="1:17" ht="14.25" x14ac:dyDescent="0.2">
      <c r="A3756" s="213">
        <v>174</v>
      </c>
      <c r="B3756" s="232" t="str">
        <f>IF(AND(A3756&lt;&gt;"",ISNUMBER(A3756)),VLOOKUP(A3756,Studies!A:BR,2,FALSE),"")</f>
        <v>Gorski 1998</v>
      </c>
      <c r="C3756" s="232" t="str">
        <f>IF(AND(A3756&lt;&gt;"",ISNUMBER(A3756)),VLOOKUP(A3756,Studies!A:BR,3,FALSE),"")</f>
        <v>https://www.ncbi.nlm.nih.gov/pubmed/9728893</v>
      </c>
      <c r="D3756" s="232" t="str">
        <f>IF(AND(A3756&lt;&gt;"",ISNUMBER(A3756)),VLOOKUP(A3756,Studies!A:BR,4,FALSE),"")</f>
        <v>iv Control (Perpetrator Placebo)</v>
      </c>
      <c r="E3756" s="206" t="str">
        <f>IF(AND(A3756&lt;&gt;"",ISNUMBER(A3756)),VLOOKUP(A3756,Studies!A:BR,5,FALSE),"")</f>
        <v>Midazolam</v>
      </c>
      <c r="F3756" s="207" t="str">
        <f>IF(AND(A3756&lt;&gt;"",ISNUMBER(A3756)),VLOOKUP(A3756,Studies!A:BR,6,FALSE),"")</f>
        <v>Whole Blood</v>
      </c>
      <c r="G3756" s="194">
        <v>0.5</v>
      </c>
      <c r="H3756" s="194" t="s">
        <v>60</v>
      </c>
      <c r="I3756" s="187">
        <v>50.345359999999999</v>
      </c>
      <c r="J3756" s="187" t="s">
        <v>1026</v>
      </c>
      <c r="K3756" s="187" t="s">
        <v>389</v>
      </c>
      <c r="L3756" s="195">
        <v>15.6974</v>
      </c>
      <c r="M3756" s="195" t="s">
        <v>1090</v>
      </c>
      <c r="N3756" s="195" t="s">
        <v>117</v>
      </c>
      <c r="O3756" s="199">
        <v>1</v>
      </c>
      <c r="P3756" s="188"/>
      <c r="Q3756" s="174">
        <f>IF(ISNUMBER(VLOOKUP(A3756,NotghiID!A:A,1,FALSE)),1,0)</f>
        <v>1</v>
      </c>
    </row>
    <row r="3757" spans="1:17" ht="14.25" x14ac:dyDescent="0.2">
      <c r="A3757" s="213">
        <v>174</v>
      </c>
      <c r="B3757" s="232" t="str">
        <f>IF(AND(A3757&lt;&gt;"",ISNUMBER(A3757)),VLOOKUP(A3757,Studies!A:BR,2,FALSE),"")</f>
        <v>Gorski 1998</v>
      </c>
      <c r="C3757" s="232" t="str">
        <f>IF(AND(A3757&lt;&gt;"",ISNUMBER(A3757)),VLOOKUP(A3757,Studies!A:BR,3,FALSE),"")</f>
        <v>https://www.ncbi.nlm.nih.gov/pubmed/9728893</v>
      </c>
      <c r="D3757" s="232" t="str">
        <f>IF(AND(A3757&lt;&gt;"",ISNUMBER(A3757)),VLOOKUP(A3757,Studies!A:BR,4,FALSE),"")</f>
        <v>iv Control (Perpetrator Placebo)</v>
      </c>
      <c r="E3757" s="206" t="str">
        <f>IF(AND(A3757&lt;&gt;"",ISNUMBER(A3757)),VLOOKUP(A3757,Studies!A:BR,5,FALSE),"")</f>
        <v>Midazolam</v>
      </c>
      <c r="F3757" s="207" t="str">
        <f>IF(AND(A3757&lt;&gt;"",ISNUMBER(A3757)),VLOOKUP(A3757,Studies!A:BR,6,FALSE),"")</f>
        <v>Whole Blood</v>
      </c>
      <c r="G3757" s="194">
        <v>0.75</v>
      </c>
      <c r="H3757" s="194" t="s">
        <v>60</v>
      </c>
      <c r="I3757" s="187">
        <v>32.948210000000003</v>
      </c>
      <c r="J3757" s="187" t="s">
        <v>1026</v>
      </c>
      <c r="K3757" s="187" t="s">
        <v>389</v>
      </c>
      <c r="L3757" s="195">
        <v>19.536480000000001</v>
      </c>
      <c r="M3757" s="195" t="s">
        <v>1090</v>
      </c>
      <c r="N3757" s="195" t="s">
        <v>117</v>
      </c>
      <c r="O3757" s="199">
        <v>1</v>
      </c>
      <c r="P3757" s="188"/>
      <c r="Q3757" s="174">
        <f>IF(ISNUMBER(VLOOKUP(A3757,NotghiID!A:A,1,FALSE)),1,0)</f>
        <v>1</v>
      </c>
    </row>
    <row r="3758" spans="1:17" ht="14.25" x14ac:dyDescent="0.2">
      <c r="A3758" s="213">
        <v>174</v>
      </c>
      <c r="B3758" s="232" t="str">
        <f>IF(AND(A3758&lt;&gt;"",ISNUMBER(A3758)),VLOOKUP(A3758,Studies!A:BR,2,FALSE),"")</f>
        <v>Gorski 1998</v>
      </c>
      <c r="C3758" s="232" t="str">
        <f>IF(AND(A3758&lt;&gt;"",ISNUMBER(A3758)),VLOOKUP(A3758,Studies!A:BR,3,FALSE),"")</f>
        <v>https://www.ncbi.nlm.nih.gov/pubmed/9728893</v>
      </c>
      <c r="D3758" s="232" t="str">
        <f>IF(AND(A3758&lt;&gt;"",ISNUMBER(A3758)),VLOOKUP(A3758,Studies!A:BR,4,FALSE),"")</f>
        <v>iv Control (Perpetrator Placebo)</v>
      </c>
      <c r="E3758" s="206" t="str">
        <f>IF(AND(A3758&lt;&gt;"",ISNUMBER(A3758)),VLOOKUP(A3758,Studies!A:BR,5,FALSE),"")</f>
        <v>Midazolam</v>
      </c>
      <c r="F3758" s="207" t="str">
        <f>IF(AND(A3758&lt;&gt;"",ISNUMBER(A3758)),VLOOKUP(A3758,Studies!A:BR,6,FALSE),"")</f>
        <v>Whole Blood</v>
      </c>
      <c r="G3758" s="194">
        <v>1</v>
      </c>
      <c r="H3758" s="194" t="s">
        <v>60</v>
      </c>
      <c r="I3758" s="187">
        <v>23.615169999999999</v>
      </c>
      <c r="J3758" s="187" t="s">
        <v>1026</v>
      </c>
      <c r="K3758" s="187" t="s">
        <v>389</v>
      </c>
      <c r="L3758" s="195">
        <v>9.2179900000000004</v>
      </c>
      <c r="M3758" s="195" t="s">
        <v>1090</v>
      </c>
      <c r="N3758" s="195" t="s">
        <v>117</v>
      </c>
      <c r="O3758" s="199">
        <v>1</v>
      </c>
      <c r="P3758" s="188"/>
      <c r="Q3758" s="174">
        <f>IF(ISNUMBER(VLOOKUP(A3758,NotghiID!A:A,1,FALSE)),1,0)</f>
        <v>1</v>
      </c>
    </row>
    <row r="3759" spans="1:17" ht="14.25" x14ac:dyDescent="0.2">
      <c r="A3759" s="213">
        <v>174</v>
      </c>
      <c r="B3759" s="232" t="str">
        <f>IF(AND(A3759&lt;&gt;"",ISNUMBER(A3759)),VLOOKUP(A3759,Studies!A:BR,2,FALSE),"")</f>
        <v>Gorski 1998</v>
      </c>
      <c r="C3759" s="232" t="str">
        <f>IF(AND(A3759&lt;&gt;"",ISNUMBER(A3759)),VLOOKUP(A3759,Studies!A:BR,3,FALSE),"")</f>
        <v>https://www.ncbi.nlm.nih.gov/pubmed/9728893</v>
      </c>
      <c r="D3759" s="232" t="str">
        <f>IF(AND(A3759&lt;&gt;"",ISNUMBER(A3759)),VLOOKUP(A3759,Studies!A:BR,4,FALSE),"")</f>
        <v>iv Control (Perpetrator Placebo)</v>
      </c>
      <c r="E3759" s="206" t="str">
        <f>IF(AND(A3759&lt;&gt;"",ISNUMBER(A3759)),VLOOKUP(A3759,Studies!A:BR,5,FALSE),"")</f>
        <v>Midazolam</v>
      </c>
      <c r="F3759" s="207" t="str">
        <f>IF(AND(A3759&lt;&gt;"",ISNUMBER(A3759)),VLOOKUP(A3759,Studies!A:BR,6,FALSE),"")</f>
        <v>Whole Blood</v>
      </c>
      <c r="G3759" s="194">
        <v>1.5</v>
      </c>
      <c r="H3759" s="194" t="s">
        <v>60</v>
      </c>
      <c r="I3759" s="187">
        <v>19.500170000000001</v>
      </c>
      <c r="J3759" s="187" t="s">
        <v>1026</v>
      </c>
      <c r="K3759" s="187" t="s">
        <v>389</v>
      </c>
      <c r="L3759" s="195">
        <v>7.6119120000000002</v>
      </c>
      <c r="M3759" s="195" t="s">
        <v>1090</v>
      </c>
      <c r="N3759" s="195" t="s">
        <v>117</v>
      </c>
      <c r="O3759" s="199">
        <v>1</v>
      </c>
      <c r="P3759" s="188"/>
      <c r="Q3759" s="174">
        <f>IF(ISNUMBER(VLOOKUP(A3759,NotghiID!A:A,1,FALSE)),1,0)</f>
        <v>1</v>
      </c>
    </row>
    <row r="3760" spans="1:17" ht="14.25" x14ac:dyDescent="0.2">
      <c r="A3760" s="213">
        <v>174</v>
      </c>
      <c r="B3760" s="232" t="str">
        <f>IF(AND(A3760&lt;&gt;"",ISNUMBER(A3760)),VLOOKUP(A3760,Studies!A:BR,2,FALSE),"")</f>
        <v>Gorski 1998</v>
      </c>
      <c r="C3760" s="232" t="str">
        <f>IF(AND(A3760&lt;&gt;"",ISNUMBER(A3760)),VLOOKUP(A3760,Studies!A:BR,3,FALSE),"")</f>
        <v>https://www.ncbi.nlm.nih.gov/pubmed/9728893</v>
      </c>
      <c r="D3760" s="232" t="str">
        <f>IF(AND(A3760&lt;&gt;"",ISNUMBER(A3760)),VLOOKUP(A3760,Studies!A:BR,4,FALSE),"")</f>
        <v>iv Control (Perpetrator Placebo)</v>
      </c>
      <c r="E3760" s="206" t="str">
        <f>IF(AND(A3760&lt;&gt;"",ISNUMBER(A3760)),VLOOKUP(A3760,Studies!A:BR,5,FALSE),"")</f>
        <v>Midazolam</v>
      </c>
      <c r="F3760" s="207" t="str">
        <f>IF(AND(A3760&lt;&gt;"",ISNUMBER(A3760)),VLOOKUP(A3760,Studies!A:BR,6,FALSE),"")</f>
        <v>Whole Blood</v>
      </c>
      <c r="G3760" s="194">
        <v>2</v>
      </c>
      <c r="H3760" s="194" t="s">
        <v>60</v>
      </c>
      <c r="I3760" s="187">
        <v>15.94042</v>
      </c>
      <c r="J3760" s="187" t="s">
        <v>1026</v>
      </c>
      <c r="K3760" s="187" t="s">
        <v>389</v>
      </c>
      <c r="L3760" s="195">
        <v>8.2366790000000005</v>
      </c>
      <c r="M3760" s="195" t="s">
        <v>1090</v>
      </c>
      <c r="N3760" s="195" t="s">
        <v>117</v>
      </c>
      <c r="O3760" s="199">
        <v>1</v>
      </c>
      <c r="P3760" s="188"/>
      <c r="Q3760" s="174">
        <f>IF(ISNUMBER(VLOOKUP(A3760,NotghiID!A:A,1,FALSE)),1,0)</f>
        <v>1</v>
      </c>
    </row>
    <row r="3761" spans="1:17" ht="14.25" x14ac:dyDescent="0.2">
      <c r="A3761" s="213">
        <v>174</v>
      </c>
      <c r="B3761" s="232" t="str">
        <f>IF(AND(A3761&lt;&gt;"",ISNUMBER(A3761)),VLOOKUP(A3761,Studies!A:BR,2,FALSE),"")</f>
        <v>Gorski 1998</v>
      </c>
      <c r="C3761" s="232" t="str">
        <f>IF(AND(A3761&lt;&gt;"",ISNUMBER(A3761)),VLOOKUP(A3761,Studies!A:BR,3,FALSE),"")</f>
        <v>https://www.ncbi.nlm.nih.gov/pubmed/9728893</v>
      </c>
      <c r="D3761" s="232" t="str">
        <f>IF(AND(A3761&lt;&gt;"",ISNUMBER(A3761)),VLOOKUP(A3761,Studies!A:BR,4,FALSE),"")</f>
        <v>iv Control (Perpetrator Placebo)</v>
      </c>
      <c r="E3761" s="206" t="str">
        <f>IF(AND(A3761&lt;&gt;"",ISNUMBER(A3761)),VLOOKUP(A3761,Studies!A:BR,5,FALSE),"")</f>
        <v>Midazolam</v>
      </c>
      <c r="F3761" s="207" t="str">
        <f>IF(AND(A3761&lt;&gt;"",ISNUMBER(A3761)),VLOOKUP(A3761,Studies!A:BR,6,FALSE),"")</f>
        <v>Whole Blood</v>
      </c>
      <c r="G3761" s="194">
        <v>2.5</v>
      </c>
      <c r="H3761" s="194" t="s">
        <v>60</v>
      </c>
      <c r="I3761" s="187">
        <v>13.844279999999999</v>
      </c>
      <c r="J3761" s="187" t="s">
        <v>1026</v>
      </c>
      <c r="K3761" s="187" t="s">
        <v>389</v>
      </c>
      <c r="L3761" s="195">
        <v>7.9170280000000002</v>
      </c>
      <c r="M3761" s="195" t="s">
        <v>1090</v>
      </c>
      <c r="N3761" s="195" t="s">
        <v>117</v>
      </c>
      <c r="O3761" s="199">
        <v>1</v>
      </c>
      <c r="P3761" s="188"/>
      <c r="Q3761" s="174">
        <f>IF(ISNUMBER(VLOOKUP(A3761,NotghiID!A:A,1,FALSE)),1,0)</f>
        <v>1</v>
      </c>
    </row>
    <row r="3762" spans="1:17" ht="14.25" x14ac:dyDescent="0.2">
      <c r="A3762" s="213">
        <v>174</v>
      </c>
      <c r="B3762" s="232" t="str">
        <f>IF(AND(A3762&lt;&gt;"",ISNUMBER(A3762)),VLOOKUP(A3762,Studies!A:BR,2,FALSE),"")</f>
        <v>Gorski 1998</v>
      </c>
      <c r="C3762" s="232" t="str">
        <f>IF(AND(A3762&lt;&gt;"",ISNUMBER(A3762)),VLOOKUP(A3762,Studies!A:BR,3,FALSE),"")</f>
        <v>https://www.ncbi.nlm.nih.gov/pubmed/9728893</v>
      </c>
      <c r="D3762" s="232" t="str">
        <f>IF(AND(A3762&lt;&gt;"",ISNUMBER(A3762)),VLOOKUP(A3762,Studies!A:BR,4,FALSE),"")</f>
        <v>iv Control (Perpetrator Placebo)</v>
      </c>
      <c r="E3762" s="206" t="str">
        <f>IF(AND(A3762&lt;&gt;"",ISNUMBER(A3762)),VLOOKUP(A3762,Studies!A:BR,5,FALSE),"")</f>
        <v>Midazolam</v>
      </c>
      <c r="F3762" s="207" t="str">
        <f>IF(AND(A3762&lt;&gt;"",ISNUMBER(A3762)),VLOOKUP(A3762,Studies!A:BR,6,FALSE),"")</f>
        <v>Whole Blood</v>
      </c>
      <c r="G3762" s="194">
        <v>3</v>
      </c>
      <c r="H3762" s="194" t="s">
        <v>60</v>
      </c>
      <c r="I3762" s="187">
        <v>11.31718</v>
      </c>
      <c r="J3762" s="187" t="s">
        <v>1026</v>
      </c>
      <c r="K3762" s="187" t="s">
        <v>389</v>
      </c>
      <c r="L3762" s="195">
        <v>7.6653260000000003</v>
      </c>
      <c r="M3762" s="195" t="s">
        <v>1090</v>
      </c>
      <c r="N3762" s="195" t="s">
        <v>117</v>
      </c>
      <c r="O3762" s="199">
        <v>1</v>
      </c>
      <c r="P3762" s="188"/>
      <c r="Q3762" s="174">
        <f>IF(ISNUMBER(VLOOKUP(A3762,NotghiID!A:A,1,FALSE)),1,0)</f>
        <v>1</v>
      </c>
    </row>
    <row r="3763" spans="1:17" ht="14.25" x14ac:dyDescent="0.2">
      <c r="A3763" s="213">
        <v>174</v>
      </c>
      <c r="B3763" s="232" t="str">
        <f>IF(AND(A3763&lt;&gt;"",ISNUMBER(A3763)),VLOOKUP(A3763,Studies!A:BR,2,FALSE),"")</f>
        <v>Gorski 1998</v>
      </c>
      <c r="C3763" s="232" t="str">
        <f>IF(AND(A3763&lt;&gt;"",ISNUMBER(A3763)),VLOOKUP(A3763,Studies!A:BR,3,FALSE),"")</f>
        <v>https://www.ncbi.nlm.nih.gov/pubmed/9728893</v>
      </c>
      <c r="D3763" s="232" t="str">
        <f>IF(AND(A3763&lt;&gt;"",ISNUMBER(A3763)),VLOOKUP(A3763,Studies!A:BR,4,FALSE),"")</f>
        <v>iv Control (Perpetrator Placebo)</v>
      </c>
      <c r="E3763" s="206" t="str">
        <f>IF(AND(A3763&lt;&gt;"",ISNUMBER(A3763)),VLOOKUP(A3763,Studies!A:BR,5,FALSE),"")</f>
        <v>Midazolam</v>
      </c>
      <c r="F3763" s="207" t="str">
        <f>IF(AND(A3763&lt;&gt;"",ISNUMBER(A3763)),VLOOKUP(A3763,Studies!A:BR,6,FALSE),"")</f>
        <v>Whole Blood</v>
      </c>
      <c r="G3763" s="194">
        <v>4</v>
      </c>
      <c r="H3763" s="194" t="s">
        <v>60</v>
      </c>
      <c r="I3763" s="187">
        <v>9.3490300000000008</v>
      </c>
      <c r="J3763" s="187" t="s">
        <v>1026</v>
      </c>
      <c r="K3763" s="187" t="s">
        <v>389</v>
      </c>
      <c r="L3763" s="195">
        <v>5.2232969999999996</v>
      </c>
      <c r="M3763" s="195" t="s">
        <v>1090</v>
      </c>
      <c r="N3763" s="195" t="s">
        <v>117</v>
      </c>
      <c r="O3763" s="199">
        <v>1</v>
      </c>
      <c r="P3763" s="189" t="s">
        <v>1157</v>
      </c>
      <c r="Q3763" s="174">
        <f>IF(ISNUMBER(VLOOKUP(A3763,NotghiID!A:A,1,FALSE)),1,0)</f>
        <v>1</v>
      </c>
    </row>
    <row r="3764" spans="1:17" ht="14.25" x14ac:dyDescent="0.2">
      <c r="A3764" s="213">
        <v>174</v>
      </c>
      <c r="B3764" s="232" t="str">
        <f>IF(AND(A3764&lt;&gt;"",ISNUMBER(A3764)),VLOOKUP(A3764,Studies!A:BR,2,FALSE),"")</f>
        <v>Gorski 1998</v>
      </c>
      <c r="C3764" s="232" t="str">
        <f>IF(AND(A3764&lt;&gt;"",ISNUMBER(A3764)),VLOOKUP(A3764,Studies!A:BR,3,FALSE),"")</f>
        <v>https://www.ncbi.nlm.nih.gov/pubmed/9728893</v>
      </c>
      <c r="D3764" s="232" t="str">
        <f>IF(AND(A3764&lt;&gt;"",ISNUMBER(A3764)),VLOOKUP(A3764,Studies!A:BR,4,FALSE),"")</f>
        <v>iv Control (Perpetrator Placebo)</v>
      </c>
      <c r="E3764" s="206" t="str">
        <f>IF(AND(A3764&lt;&gt;"",ISNUMBER(A3764)),VLOOKUP(A3764,Studies!A:BR,5,FALSE),"")</f>
        <v>Midazolam</v>
      </c>
      <c r="F3764" s="207" t="str">
        <f>IF(AND(A3764&lt;&gt;"",ISNUMBER(A3764)),VLOOKUP(A3764,Studies!A:BR,6,FALSE),"")</f>
        <v>Whole Blood</v>
      </c>
      <c r="G3764" s="194">
        <v>6</v>
      </c>
      <c r="H3764" s="194" t="s">
        <v>60</v>
      </c>
      <c r="I3764" s="187">
        <v>6.3160239999999996</v>
      </c>
      <c r="J3764" s="187" t="s">
        <v>1026</v>
      </c>
      <c r="K3764" s="187" t="s">
        <v>389</v>
      </c>
      <c r="L3764" s="195">
        <v>2.7281710000000001</v>
      </c>
      <c r="M3764" s="195" t="s">
        <v>1090</v>
      </c>
      <c r="N3764" s="195" t="s">
        <v>117</v>
      </c>
      <c r="O3764" s="199">
        <v>1</v>
      </c>
      <c r="P3764" s="188"/>
      <c r="Q3764" s="174">
        <f>IF(ISNUMBER(VLOOKUP(A3764,NotghiID!A:A,1,FALSE)),1,0)</f>
        <v>1</v>
      </c>
    </row>
    <row r="3765" spans="1:17" ht="14.25" x14ac:dyDescent="0.2">
      <c r="A3765" s="213">
        <v>174</v>
      </c>
      <c r="B3765" s="232" t="str">
        <f>IF(AND(A3765&lt;&gt;"",ISNUMBER(A3765)),VLOOKUP(A3765,Studies!A:BR,2,FALSE),"")</f>
        <v>Gorski 1998</v>
      </c>
      <c r="C3765" s="232" t="str">
        <f>IF(AND(A3765&lt;&gt;"",ISNUMBER(A3765)),VLOOKUP(A3765,Studies!A:BR,3,FALSE),"")</f>
        <v>https://www.ncbi.nlm.nih.gov/pubmed/9728893</v>
      </c>
      <c r="D3765" s="232" t="str">
        <f>IF(AND(A3765&lt;&gt;"",ISNUMBER(A3765)),VLOOKUP(A3765,Studies!A:BR,4,FALSE),"")</f>
        <v>iv Control (Perpetrator Placebo)</v>
      </c>
      <c r="E3765" s="206" t="str">
        <f>IF(AND(A3765&lt;&gt;"",ISNUMBER(A3765)),VLOOKUP(A3765,Studies!A:BR,5,FALSE),"")</f>
        <v>Midazolam</v>
      </c>
      <c r="F3765" s="207" t="str">
        <f>IF(AND(A3765&lt;&gt;"",ISNUMBER(A3765)),VLOOKUP(A3765,Studies!A:BR,6,FALSE),"")</f>
        <v>Whole Blood</v>
      </c>
      <c r="G3765" s="194">
        <v>8</v>
      </c>
      <c r="H3765" s="194" t="s">
        <v>60</v>
      </c>
      <c r="I3765" s="187">
        <v>4.3103590000000001</v>
      </c>
      <c r="J3765" s="187" t="s">
        <v>1026</v>
      </c>
      <c r="K3765" s="187" t="s">
        <v>389</v>
      </c>
      <c r="L3765" s="195">
        <v>2.5200330000000002</v>
      </c>
      <c r="M3765" s="195" t="s">
        <v>1090</v>
      </c>
      <c r="N3765" s="195" t="s">
        <v>117</v>
      </c>
      <c r="O3765" s="199">
        <v>1</v>
      </c>
      <c r="P3765" s="188"/>
      <c r="Q3765" s="174">
        <f>IF(ISNUMBER(VLOOKUP(A3765,NotghiID!A:A,1,FALSE)),1,0)</f>
        <v>1</v>
      </c>
    </row>
    <row r="3766" spans="1:17" ht="14.25" x14ac:dyDescent="0.2">
      <c r="A3766" s="213">
        <v>174</v>
      </c>
      <c r="B3766" s="232" t="str">
        <f>IF(AND(A3766&lt;&gt;"",ISNUMBER(A3766)),VLOOKUP(A3766,Studies!A:BR,2,FALSE),"")</f>
        <v>Gorski 1998</v>
      </c>
      <c r="C3766" s="232" t="str">
        <f>IF(AND(A3766&lt;&gt;"",ISNUMBER(A3766)),VLOOKUP(A3766,Studies!A:BR,3,FALSE),"")</f>
        <v>https://www.ncbi.nlm.nih.gov/pubmed/9728893</v>
      </c>
      <c r="D3766" s="232" t="str">
        <f>IF(AND(A3766&lt;&gt;"",ISNUMBER(A3766)),VLOOKUP(A3766,Studies!A:BR,4,FALSE),"")</f>
        <v>iv Control (Perpetrator Placebo)</v>
      </c>
      <c r="E3766" s="206" t="str">
        <f>IF(AND(A3766&lt;&gt;"",ISNUMBER(A3766)),VLOOKUP(A3766,Studies!A:BR,5,FALSE),"")</f>
        <v>Midazolam</v>
      </c>
      <c r="F3766" s="207" t="str">
        <f>IF(AND(A3766&lt;&gt;"",ISNUMBER(A3766)),VLOOKUP(A3766,Studies!A:BR,6,FALSE),"")</f>
        <v>Whole Blood</v>
      </c>
      <c r="G3766" s="194">
        <v>10</v>
      </c>
      <c r="H3766" s="194" t="s">
        <v>60</v>
      </c>
      <c r="I3766" s="187">
        <v>3.0015719999999999</v>
      </c>
      <c r="J3766" s="187" t="s">
        <v>1026</v>
      </c>
      <c r="K3766" s="187" t="s">
        <v>389</v>
      </c>
      <c r="L3766" s="195">
        <v>1.7034819999999999</v>
      </c>
      <c r="M3766" s="195" t="s">
        <v>1090</v>
      </c>
      <c r="N3766" s="195" t="s">
        <v>117</v>
      </c>
      <c r="O3766" s="199">
        <v>1</v>
      </c>
      <c r="P3766" s="188"/>
      <c r="Q3766" s="174">
        <f>IF(ISNUMBER(VLOOKUP(A3766,NotghiID!A:A,1,FALSE)),1,0)</f>
        <v>1</v>
      </c>
    </row>
    <row r="3767" spans="1:17" ht="14.25" x14ac:dyDescent="0.2">
      <c r="A3767" s="213">
        <v>175</v>
      </c>
      <c r="B3767" s="232" t="str">
        <f>IF(AND(A3767&lt;&gt;"",ISNUMBER(A3767)),VLOOKUP(A3767,Studies!A:BR,2,FALSE),"")</f>
        <v>Gorski 1998</v>
      </c>
      <c r="C3767" s="232" t="str">
        <f>IF(AND(A3767&lt;&gt;"",ISNUMBER(A3767)),VLOOKUP(A3767,Studies!A:BR,3,FALSE),"")</f>
        <v>https://www.ncbi.nlm.nih.gov/pubmed/9728893</v>
      </c>
      <c r="D3767" s="232" t="str">
        <f>IF(AND(A3767&lt;&gt;"",ISNUMBER(A3767)),VLOOKUP(A3767,Studies!A:BR,4,FALSE),"")</f>
        <v>iv with Perpetrator (Clarithromycin)</v>
      </c>
      <c r="E3767" s="206" t="str">
        <f>IF(AND(A3767&lt;&gt;"",ISNUMBER(A3767)),VLOOKUP(A3767,Studies!A:BR,5,FALSE),"")</f>
        <v>Midazolam</v>
      </c>
      <c r="F3767" s="207" t="str">
        <f>IF(AND(A3767&lt;&gt;"",ISNUMBER(A3767)),VLOOKUP(A3767,Studies!A:BR,6,FALSE),"")</f>
        <v>Whole Blood</v>
      </c>
      <c r="G3767" s="194">
        <v>146.08000000000001</v>
      </c>
      <c r="H3767" s="194" t="s">
        <v>60</v>
      </c>
      <c r="I3767" s="187">
        <v>17.60575</v>
      </c>
      <c r="J3767" s="187" t="s">
        <v>1026</v>
      </c>
      <c r="K3767" s="187" t="s">
        <v>389</v>
      </c>
      <c r="L3767" s="195">
        <v>11.86153</v>
      </c>
      <c r="M3767" s="195" t="s">
        <v>1090</v>
      </c>
      <c r="N3767" s="195" t="s">
        <v>117</v>
      </c>
      <c r="O3767" s="199">
        <v>1</v>
      </c>
      <c r="P3767" s="188"/>
      <c r="Q3767" s="174">
        <f>IF(ISNUMBER(VLOOKUP(A3767,NotghiID!A:A,1,FALSE)),1,0)</f>
        <v>1</v>
      </c>
    </row>
    <row r="3768" spans="1:17" ht="14.25" x14ac:dyDescent="0.2">
      <c r="A3768" s="213">
        <v>175</v>
      </c>
      <c r="B3768" s="232" t="str">
        <f>IF(AND(A3768&lt;&gt;"",ISNUMBER(A3768)),VLOOKUP(A3768,Studies!A:BR,2,FALSE),"")</f>
        <v>Gorski 1998</v>
      </c>
      <c r="C3768" s="232" t="str">
        <f>IF(AND(A3768&lt;&gt;"",ISNUMBER(A3768)),VLOOKUP(A3768,Studies!A:BR,3,FALSE),"")</f>
        <v>https://www.ncbi.nlm.nih.gov/pubmed/9728893</v>
      </c>
      <c r="D3768" s="232" t="str">
        <f>IF(AND(A3768&lt;&gt;"",ISNUMBER(A3768)),VLOOKUP(A3768,Studies!A:BR,4,FALSE),"")</f>
        <v>iv with Perpetrator (Clarithromycin)</v>
      </c>
      <c r="E3768" s="206" t="str">
        <f>IF(AND(A3768&lt;&gt;"",ISNUMBER(A3768)),VLOOKUP(A3768,Studies!A:BR,5,FALSE),"")</f>
        <v>Midazolam</v>
      </c>
      <c r="F3768" s="207" t="str">
        <f>IF(AND(A3768&lt;&gt;"",ISNUMBER(A3768)),VLOOKUP(A3768,Studies!A:BR,6,FALSE),"")</f>
        <v>Whole Blood</v>
      </c>
      <c r="G3768" s="194">
        <v>146.25</v>
      </c>
      <c r="H3768" s="194" t="s">
        <v>60</v>
      </c>
      <c r="I3768" s="187">
        <v>38.710299999999997</v>
      </c>
      <c r="J3768" s="187" t="s">
        <v>1026</v>
      </c>
      <c r="K3768" s="187" t="s">
        <v>389</v>
      </c>
      <c r="L3768" s="195">
        <v>17.537859999999998</v>
      </c>
      <c r="M3768" s="195" t="s">
        <v>1090</v>
      </c>
      <c r="N3768" s="195" t="s">
        <v>117</v>
      </c>
      <c r="O3768" s="199">
        <v>1</v>
      </c>
      <c r="P3768" s="188"/>
      <c r="Q3768" s="174">
        <f>IF(ISNUMBER(VLOOKUP(A3768,NotghiID!A:A,1,FALSE)),1,0)</f>
        <v>1</v>
      </c>
    </row>
    <row r="3769" spans="1:17" ht="14.25" x14ac:dyDescent="0.2">
      <c r="A3769" s="213">
        <v>175</v>
      </c>
      <c r="B3769" s="232" t="str">
        <f>IF(AND(A3769&lt;&gt;"",ISNUMBER(A3769)),VLOOKUP(A3769,Studies!A:BR,2,FALSE),"")</f>
        <v>Gorski 1998</v>
      </c>
      <c r="C3769" s="232" t="str">
        <f>IF(AND(A3769&lt;&gt;"",ISNUMBER(A3769)),VLOOKUP(A3769,Studies!A:BR,3,FALSE),"")</f>
        <v>https://www.ncbi.nlm.nih.gov/pubmed/9728893</v>
      </c>
      <c r="D3769" s="232" t="str">
        <f>IF(AND(A3769&lt;&gt;"",ISNUMBER(A3769)),VLOOKUP(A3769,Studies!A:BR,4,FALSE),"")</f>
        <v>iv with Perpetrator (Clarithromycin)</v>
      </c>
      <c r="E3769" s="206" t="str">
        <f>IF(AND(A3769&lt;&gt;"",ISNUMBER(A3769)),VLOOKUP(A3769,Studies!A:BR,5,FALSE),"")</f>
        <v>Midazolam</v>
      </c>
      <c r="F3769" s="207" t="str">
        <f>IF(AND(A3769&lt;&gt;"",ISNUMBER(A3769)),VLOOKUP(A3769,Studies!A:BR,6,FALSE),"")</f>
        <v>Whole Blood</v>
      </c>
      <c r="G3769" s="194">
        <v>146.5</v>
      </c>
      <c r="H3769" s="194" t="s">
        <v>60</v>
      </c>
      <c r="I3769" s="187">
        <v>64.153940000000006</v>
      </c>
      <c r="J3769" s="187" t="s">
        <v>1026</v>
      </c>
      <c r="K3769" s="187" t="s">
        <v>389</v>
      </c>
      <c r="L3769" s="195">
        <v>23.584340000000001</v>
      </c>
      <c r="M3769" s="195" t="s">
        <v>1090</v>
      </c>
      <c r="N3769" s="195" t="s">
        <v>117</v>
      </c>
      <c r="O3769" s="199">
        <v>1</v>
      </c>
      <c r="P3769" s="188"/>
      <c r="Q3769" s="174">
        <f>IF(ISNUMBER(VLOOKUP(A3769,NotghiID!A:A,1,FALSE)),1,0)</f>
        <v>1</v>
      </c>
    </row>
    <row r="3770" spans="1:17" ht="14.25" x14ac:dyDescent="0.2">
      <c r="A3770" s="213">
        <v>175</v>
      </c>
      <c r="B3770" s="232" t="str">
        <f>IF(AND(A3770&lt;&gt;"",ISNUMBER(A3770)),VLOOKUP(A3770,Studies!A:BR,2,FALSE),"")</f>
        <v>Gorski 1998</v>
      </c>
      <c r="C3770" s="232" t="str">
        <f>IF(AND(A3770&lt;&gt;"",ISNUMBER(A3770)),VLOOKUP(A3770,Studies!A:BR,3,FALSE),"")</f>
        <v>https://www.ncbi.nlm.nih.gov/pubmed/9728893</v>
      </c>
      <c r="D3770" s="232" t="str">
        <f>IF(AND(A3770&lt;&gt;"",ISNUMBER(A3770)),VLOOKUP(A3770,Studies!A:BR,4,FALSE),"")</f>
        <v>iv with Perpetrator (Clarithromycin)</v>
      </c>
      <c r="E3770" s="206" t="str">
        <f>IF(AND(A3770&lt;&gt;"",ISNUMBER(A3770)),VLOOKUP(A3770,Studies!A:BR,5,FALSE),"")</f>
        <v>Midazolam</v>
      </c>
      <c r="F3770" s="207" t="str">
        <f>IF(AND(A3770&lt;&gt;"",ISNUMBER(A3770)),VLOOKUP(A3770,Studies!A:BR,6,FALSE),"")</f>
        <v>Whole Blood</v>
      </c>
      <c r="G3770" s="194">
        <v>146.75</v>
      </c>
      <c r="H3770" s="194" t="s">
        <v>60</v>
      </c>
      <c r="I3770" s="187">
        <v>40.732790000000001</v>
      </c>
      <c r="J3770" s="187" t="s">
        <v>1026</v>
      </c>
      <c r="K3770" s="187" t="s">
        <v>389</v>
      </c>
      <c r="L3770" s="195">
        <v>10.1342</v>
      </c>
      <c r="M3770" s="195" t="s">
        <v>1090</v>
      </c>
      <c r="N3770" s="195" t="s">
        <v>117</v>
      </c>
      <c r="O3770" s="199">
        <v>1</v>
      </c>
      <c r="P3770" s="188"/>
      <c r="Q3770" s="174">
        <f>IF(ISNUMBER(VLOOKUP(A3770,NotghiID!A:A,1,FALSE)),1,0)</f>
        <v>1</v>
      </c>
    </row>
    <row r="3771" spans="1:17" ht="14.25" x14ac:dyDescent="0.2">
      <c r="A3771" s="213">
        <v>175</v>
      </c>
      <c r="B3771" s="232" t="str">
        <f>IF(AND(A3771&lt;&gt;"",ISNUMBER(A3771)),VLOOKUP(A3771,Studies!A:BR,2,FALSE),"")</f>
        <v>Gorski 1998</v>
      </c>
      <c r="C3771" s="232" t="str">
        <f>IF(AND(A3771&lt;&gt;"",ISNUMBER(A3771)),VLOOKUP(A3771,Studies!A:BR,3,FALSE),"")</f>
        <v>https://www.ncbi.nlm.nih.gov/pubmed/9728893</v>
      </c>
      <c r="D3771" s="232" t="str">
        <f>IF(AND(A3771&lt;&gt;"",ISNUMBER(A3771)),VLOOKUP(A3771,Studies!A:BR,4,FALSE),"")</f>
        <v>iv with Perpetrator (Clarithromycin)</v>
      </c>
      <c r="E3771" s="206" t="str">
        <f>IF(AND(A3771&lt;&gt;"",ISNUMBER(A3771)),VLOOKUP(A3771,Studies!A:BR,5,FALSE),"")</f>
        <v>Midazolam</v>
      </c>
      <c r="F3771" s="207" t="str">
        <f>IF(AND(A3771&lt;&gt;"",ISNUMBER(A3771)),VLOOKUP(A3771,Studies!A:BR,6,FALSE),"")</f>
        <v>Whole Blood</v>
      </c>
      <c r="G3771" s="194">
        <v>147</v>
      </c>
      <c r="H3771" s="194" t="s">
        <v>60</v>
      </c>
      <c r="I3771" s="187">
        <v>33.627490000000002</v>
      </c>
      <c r="J3771" s="187" t="s">
        <v>1026</v>
      </c>
      <c r="K3771" s="187" t="s">
        <v>389</v>
      </c>
      <c r="L3771" s="195">
        <v>8.7926640000000003</v>
      </c>
      <c r="M3771" s="195" t="s">
        <v>1090</v>
      </c>
      <c r="N3771" s="195" t="s">
        <v>117</v>
      </c>
      <c r="O3771" s="199">
        <v>1</v>
      </c>
      <c r="P3771" s="188"/>
      <c r="Q3771" s="174">
        <f>IF(ISNUMBER(VLOOKUP(A3771,NotghiID!A:A,1,FALSE)),1,0)</f>
        <v>1</v>
      </c>
    </row>
    <row r="3772" spans="1:17" ht="14.25" x14ac:dyDescent="0.2">
      <c r="A3772" s="213">
        <v>175</v>
      </c>
      <c r="B3772" s="232" t="str">
        <f>IF(AND(A3772&lt;&gt;"",ISNUMBER(A3772)),VLOOKUP(A3772,Studies!A:BR,2,FALSE),"")</f>
        <v>Gorski 1998</v>
      </c>
      <c r="C3772" s="232" t="str">
        <f>IF(AND(A3772&lt;&gt;"",ISNUMBER(A3772)),VLOOKUP(A3772,Studies!A:BR,3,FALSE),"")</f>
        <v>https://www.ncbi.nlm.nih.gov/pubmed/9728893</v>
      </c>
      <c r="D3772" s="232" t="str">
        <f>IF(AND(A3772&lt;&gt;"",ISNUMBER(A3772)),VLOOKUP(A3772,Studies!A:BR,4,FALSE),"")</f>
        <v>iv with Perpetrator (Clarithromycin)</v>
      </c>
      <c r="E3772" s="206" t="str">
        <f>IF(AND(A3772&lt;&gt;"",ISNUMBER(A3772)),VLOOKUP(A3772,Studies!A:BR,5,FALSE),"")</f>
        <v>Midazolam</v>
      </c>
      <c r="F3772" s="207" t="str">
        <f>IF(AND(A3772&lt;&gt;"",ISNUMBER(A3772)),VLOOKUP(A3772,Studies!A:BR,6,FALSE),"")</f>
        <v>Whole Blood</v>
      </c>
      <c r="G3772" s="194">
        <v>147.5</v>
      </c>
      <c r="H3772" s="194" t="s">
        <v>60</v>
      </c>
      <c r="I3772" s="187">
        <v>27.768219999999999</v>
      </c>
      <c r="J3772" s="187" t="s">
        <v>1026</v>
      </c>
      <c r="K3772" s="187" t="s">
        <v>389</v>
      </c>
      <c r="L3772" s="195">
        <v>7.9753509999999999</v>
      </c>
      <c r="M3772" s="195" t="s">
        <v>1090</v>
      </c>
      <c r="N3772" s="195" t="s">
        <v>117</v>
      </c>
      <c r="O3772" s="199">
        <v>1</v>
      </c>
      <c r="P3772" s="188"/>
      <c r="Q3772" s="174">
        <f>IF(ISNUMBER(VLOOKUP(A3772,NotghiID!A:A,1,FALSE)),1,0)</f>
        <v>1</v>
      </c>
    </row>
    <row r="3773" spans="1:17" ht="14.25" x14ac:dyDescent="0.2">
      <c r="A3773" s="213">
        <v>175</v>
      </c>
      <c r="B3773" s="232" t="str">
        <f>IF(AND(A3773&lt;&gt;"",ISNUMBER(A3773)),VLOOKUP(A3773,Studies!A:BR,2,FALSE),"")</f>
        <v>Gorski 1998</v>
      </c>
      <c r="C3773" s="232" t="str">
        <f>IF(AND(A3773&lt;&gt;"",ISNUMBER(A3773)),VLOOKUP(A3773,Studies!A:BR,3,FALSE),"")</f>
        <v>https://www.ncbi.nlm.nih.gov/pubmed/9728893</v>
      </c>
      <c r="D3773" s="232" t="str">
        <f>IF(AND(A3773&lt;&gt;"",ISNUMBER(A3773)),VLOOKUP(A3773,Studies!A:BR,4,FALSE),"")</f>
        <v>iv with Perpetrator (Clarithromycin)</v>
      </c>
      <c r="E3773" s="206" t="str">
        <f>IF(AND(A3773&lt;&gt;"",ISNUMBER(A3773)),VLOOKUP(A3773,Studies!A:BR,5,FALSE),"")</f>
        <v>Midazolam</v>
      </c>
      <c r="F3773" s="207" t="str">
        <f>IF(AND(A3773&lt;&gt;"",ISNUMBER(A3773)),VLOOKUP(A3773,Studies!A:BR,6,FALSE),"")</f>
        <v>Whole Blood</v>
      </c>
      <c r="G3773" s="194">
        <v>148</v>
      </c>
      <c r="H3773" s="194" t="s">
        <v>60</v>
      </c>
      <c r="I3773" s="187">
        <v>24.858979999999999</v>
      </c>
      <c r="J3773" s="187" t="s">
        <v>1026</v>
      </c>
      <c r="K3773" s="187" t="s">
        <v>389</v>
      </c>
      <c r="L3773" s="195">
        <v>6.1848409999999996</v>
      </c>
      <c r="M3773" s="195" t="s">
        <v>1090</v>
      </c>
      <c r="N3773" s="195" t="s">
        <v>117</v>
      </c>
      <c r="O3773" s="199">
        <v>1</v>
      </c>
      <c r="P3773" s="188"/>
      <c r="Q3773" s="174">
        <f>IF(ISNUMBER(VLOOKUP(A3773,NotghiID!A:A,1,FALSE)),1,0)</f>
        <v>1</v>
      </c>
    </row>
    <row r="3774" spans="1:17" ht="14.25" x14ac:dyDescent="0.2">
      <c r="A3774" s="213">
        <v>175</v>
      </c>
      <c r="B3774" s="232" t="str">
        <f>IF(AND(A3774&lt;&gt;"",ISNUMBER(A3774)),VLOOKUP(A3774,Studies!A:BR,2,FALSE),"")</f>
        <v>Gorski 1998</v>
      </c>
      <c r="C3774" s="232" t="str">
        <f>IF(AND(A3774&lt;&gt;"",ISNUMBER(A3774)),VLOOKUP(A3774,Studies!A:BR,3,FALSE),"")</f>
        <v>https://www.ncbi.nlm.nih.gov/pubmed/9728893</v>
      </c>
      <c r="D3774" s="232" t="str">
        <f>IF(AND(A3774&lt;&gt;"",ISNUMBER(A3774)),VLOOKUP(A3774,Studies!A:BR,4,FALSE),"")</f>
        <v>iv with Perpetrator (Clarithromycin)</v>
      </c>
      <c r="E3774" s="206" t="str">
        <f>IF(AND(A3774&lt;&gt;"",ISNUMBER(A3774)),VLOOKUP(A3774,Studies!A:BR,5,FALSE),"")</f>
        <v>Midazolam</v>
      </c>
      <c r="F3774" s="207" t="str">
        <f>IF(AND(A3774&lt;&gt;"",ISNUMBER(A3774)),VLOOKUP(A3774,Studies!A:BR,6,FALSE),"")</f>
        <v>Whole Blood</v>
      </c>
      <c r="G3774" s="194">
        <v>148.5</v>
      </c>
      <c r="H3774" s="194" t="s">
        <v>60</v>
      </c>
      <c r="I3774" s="187">
        <v>23.171949999999999</v>
      </c>
      <c r="J3774" s="187" t="s">
        <v>1026</v>
      </c>
      <c r="K3774" s="187" t="s">
        <v>389</v>
      </c>
      <c r="L3774" s="195">
        <v>6.3555279999999996</v>
      </c>
      <c r="M3774" s="195" t="s">
        <v>1090</v>
      </c>
      <c r="N3774" s="195" t="s">
        <v>117</v>
      </c>
      <c r="O3774" s="199">
        <v>1</v>
      </c>
      <c r="P3774" s="188"/>
      <c r="Q3774" s="174">
        <f>IF(ISNUMBER(VLOOKUP(A3774,NotghiID!A:A,1,FALSE)),1,0)</f>
        <v>1</v>
      </c>
    </row>
    <row r="3775" spans="1:17" ht="14.25" x14ac:dyDescent="0.2">
      <c r="A3775" s="213">
        <v>175</v>
      </c>
      <c r="B3775" s="232" t="str">
        <f>IF(AND(A3775&lt;&gt;"",ISNUMBER(A3775)),VLOOKUP(A3775,Studies!A:BR,2,FALSE),"")</f>
        <v>Gorski 1998</v>
      </c>
      <c r="C3775" s="232" t="str">
        <f>IF(AND(A3775&lt;&gt;"",ISNUMBER(A3775)),VLOOKUP(A3775,Studies!A:BR,3,FALSE),"")</f>
        <v>https://www.ncbi.nlm.nih.gov/pubmed/9728893</v>
      </c>
      <c r="D3775" s="232" t="str">
        <f>IF(AND(A3775&lt;&gt;"",ISNUMBER(A3775)),VLOOKUP(A3775,Studies!A:BR,4,FALSE),"")</f>
        <v>iv with Perpetrator (Clarithromycin)</v>
      </c>
      <c r="E3775" s="206" t="str">
        <f>IF(AND(A3775&lt;&gt;"",ISNUMBER(A3775)),VLOOKUP(A3775,Studies!A:BR,5,FALSE),"")</f>
        <v>Midazolam</v>
      </c>
      <c r="F3775" s="207" t="str">
        <f>IF(AND(A3775&lt;&gt;"",ISNUMBER(A3775)),VLOOKUP(A3775,Studies!A:BR,6,FALSE),"")</f>
        <v>Whole Blood</v>
      </c>
      <c r="G3775" s="194">
        <v>149</v>
      </c>
      <c r="H3775" s="194" t="s">
        <v>60</v>
      </c>
      <c r="I3775" s="187">
        <v>20.12518</v>
      </c>
      <c r="J3775" s="187" t="s">
        <v>1026</v>
      </c>
      <c r="K3775" s="187" t="s">
        <v>389</v>
      </c>
      <c r="L3775" s="195">
        <v>5.0070839999999999</v>
      </c>
      <c r="M3775" s="195" t="s">
        <v>1090</v>
      </c>
      <c r="N3775" s="195" t="s">
        <v>117</v>
      </c>
      <c r="O3775" s="199">
        <v>1</v>
      </c>
      <c r="P3775" s="188"/>
      <c r="Q3775" s="174">
        <f>IF(ISNUMBER(VLOOKUP(A3775,NotghiID!A:A,1,FALSE)),1,0)</f>
        <v>1</v>
      </c>
    </row>
    <row r="3776" spans="1:17" ht="14.25" x14ac:dyDescent="0.2">
      <c r="A3776" s="213">
        <v>175</v>
      </c>
      <c r="B3776" s="232" t="str">
        <f>IF(AND(A3776&lt;&gt;"",ISNUMBER(A3776)),VLOOKUP(A3776,Studies!A:BR,2,FALSE),"")</f>
        <v>Gorski 1998</v>
      </c>
      <c r="C3776" s="232" t="str">
        <f>IF(AND(A3776&lt;&gt;"",ISNUMBER(A3776)),VLOOKUP(A3776,Studies!A:BR,3,FALSE),"")</f>
        <v>https://www.ncbi.nlm.nih.gov/pubmed/9728893</v>
      </c>
      <c r="D3776" s="232" t="str">
        <f>IF(AND(A3776&lt;&gt;"",ISNUMBER(A3776)),VLOOKUP(A3776,Studies!A:BR,4,FALSE),"")</f>
        <v>iv with Perpetrator (Clarithromycin)</v>
      </c>
      <c r="E3776" s="206" t="str">
        <f>IF(AND(A3776&lt;&gt;"",ISNUMBER(A3776)),VLOOKUP(A3776,Studies!A:BR,5,FALSE),"")</f>
        <v>Midazolam</v>
      </c>
      <c r="F3776" s="207" t="str">
        <f>IF(AND(A3776&lt;&gt;"",ISNUMBER(A3776)),VLOOKUP(A3776,Studies!A:BR,6,FALSE),"")</f>
        <v>Whole Blood</v>
      </c>
      <c r="G3776" s="194">
        <v>150</v>
      </c>
      <c r="H3776" s="194" t="s">
        <v>60</v>
      </c>
      <c r="I3776" s="187">
        <v>16.45844</v>
      </c>
      <c r="J3776" s="187" t="s">
        <v>1026</v>
      </c>
      <c r="K3776" s="187" t="s">
        <v>389</v>
      </c>
      <c r="L3776" s="195">
        <v>3.4811399999999999</v>
      </c>
      <c r="M3776" s="195" t="s">
        <v>1090</v>
      </c>
      <c r="N3776" s="195" t="s">
        <v>117</v>
      </c>
      <c r="O3776" s="199">
        <v>1</v>
      </c>
      <c r="P3776" s="189" t="s">
        <v>1156</v>
      </c>
      <c r="Q3776" s="174">
        <f>IF(ISNUMBER(VLOOKUP(A3776,NotghiID!A:A,1,FALSE)),1,0)</f>
        <v>1</v>
      </c>
    </row>
    <row r="3777" spans="1:17" ht="14.25" x14ac:dyDescent="0.2">
      <c r="A3777" s="213">
        <v>175</v>
      </c>
      <c r="B3777" s="232" t="str">
        <f>IF(AND(A3777&lt;&gt;"",ISNUMBER(A3777)),VLOOKUP(A3777,Studies!A:BR,2,FALSE),"")</f>
        <v>Gorski 1998</v>
      </c>
      <c r="C3777" s="232" t="str">
        <f>IF(AND(A3777&lt;&gt;"",ISNUMBER(A3777)),VLOOKUP(A3777,Studies!A:BR,3,FALSE),"")</f>
        <v>https://www.ncbi.nlm.nih.gov/pubmed/9728893</v>
      </c>
      <c r="D3777" s="232" t="str">
        <f>IF(AND(A3777&lt;&gt;"",ISNUMBER(A3777)),VLOOKUP(A3777,Studies!A:BR,4,FALSE),"")</f>
        <v>iv with Perpetrator (Clarithromycin)</v>
      </c>
      <c r="E3777" s="206" t="str">
        <f>IF(AND(A3777&lt;&gt;"",ISNUMBER(A3777)),VLOOKUP(A3777,Studies!A:BR,5,FALSE),"")</f>
        <v>Midazolam</v>
      </c>
      <c r="F3777" s="207" t="str">
        <f>IF(AND(A3777&lt;&gt;"",ISNUMBER(A3777)),VLOOKUP(A3777,Studies!A:BR,6,FALSE),"")</f>
        <v>Whole Blood</v>
      </c>
      <c r="G3777" s="194">
        <v>152</v>
      </c>
      <c r="H3777" s="194" t="s">
        <v>60</v>
      </c>
      <c r="I3777" s="187">
        <v>14.902520000000001</v>
      </c>
      <c r="J3777" s="187" t="s">
        <v>1026</v>
      </c>
      <c r="K3777" s="187" t="s">
        <v>389</v>
      </c>
      <c r="L3777" s="195">
        <v>4.8702480000000001</v>
      </c>
      <c r="M3777" s="195" t="s">
        <v>1090</v>
      </c>
      <c r="N3777" s="195" t="s">
        <v>117</v>
      </c>
      <c r="O3777" s="199">
        <v>1</v>
      </c>
      <c r="P3777" s="188"/>
      <c r="Q3777" s="174">
        <f>IF(ISNUMBER(VLOOKUP(A3777,NotghiID!A:A,1,FALSE)),1,0)</f>
        <v>1</v>
      </c>
    </row>
    <row r="3778" spans="1:17" ht="14.25" x14ac:dyDescent="0.2">
      <c r="A3778" s="213">
        <v>175</v>
      </c>
      <c r="B3778" s="232" t="str">
        <f>IF(AND(A3778&lt;&gt;"",ISNUMBER(A3778)),VLOOKUP(A3778,Studies!A:BR,2,FALSE),"")</f>
        <v>Gorski 1998</v>
      </c>
      <c r="C3778" s="232" t="str">
        <f>IF(AND(A3778&lt;&gt;"",ISNUMBER(A3778)),VLOOKUP(A3778,Studies!A:BR,3,FALSE),"")</f>
        <v>https://www.ncbi.nlm.nih.gov/pubmed/9728893</v>
      </c>
      <c r="D3778" s="232" t="str">
        <f>IF(AND(A3778&lt;&gt;"",ISNUMBER(A3778)),VLOOKUP(A3778,Studies!A:BR,4,FALSE),"")</f>
        <v>iv with Perpetrator (Clarithromycin)</v>
      </c>
      <c r="E3778" s="206" t="str">
        <f>IF(AND(A3778&lt;&gt;"",ISNUMBER(A3778)),VLOOKUP(A3778,Studies!A:BR,5,FALSE),"")</f>
        <v>Midazolam</v>
      </c>
      <c r="F3778" s="207" t="str">
        <f>IF(AND(A3778&lt;&gt;"",ISNUMBER(A3778)),VLOOKUP(A3778,Studies!A:BR,6,FALSE),"")</f>
        <v>Whole Blood</v>
      </c>
      <c r="G3778" s="194">
        <v>154</v>
      </c>
      <c r="H3778" s="194" t="s">
        <v>60</v>
      </c>
      <c r="I3778" s="187">
        <v>11.71458</v>
      </c>
      <c r="J3778" s="187" t="s">
        <v>1026</v>
      </c>
      <c r="K3778" s="187" t="s">
        <v>389</v>
      </c>
      <c r="L3778" s="195">
        <v>3.3645640000000001</v>
      </c>
      <c r="M3778" s="195" t="s">
        <v>1090</v>
      </c>
      <c r="N3778" s="195" t="s">
        <v>117</v>
      </c>
      <c r="O3778" s="199">
        <v>1</v>
      </c>
      <c r="P3778" s="188"/>
      <c r="Q3778" s="174">
        <f>IF(ISNUMBER(VLOOKUP(A3778,NotghiID!A:A,1,FALSE)),1,0)</f>
        <v>1</v>
      </c>
    </row>
    <row r="3779" spans="1:17" ht="14.25" x14ac:dyDescent="0.2">
      <c r="A3779" s="213">
        <v>175</v>
      </c>
      <c r="B3779" s="232" t="str">
        <f>IF(AND(A3779&lt;&gt;"",ISNUMBER(A3779)),VLOOKUP(A3779,Studies!A:BR,2,FALSE),"")</f>
        <v>Gorski 1998</v>
      </c>
      <c r="C3779" s="232" t="str">
        <f>IF(AND(A3779&lt;&gt;"",ISNUMBER(A3779)),VLOOKUP(A3779,Studies!A:BR,3,FALSE),"")</f>
        <v>https://www.ncbi.nlm.nih.gov/pubmed/9728893</v>
      </c>
      <c r="D3779" s="232" t="str">
        <f>IF(AND(A3779&lt;&gt;"",ISNUMBER(A3779)),VLOOKUP(A3779,Studies!A:BR,4,FALSE),"")</f>
        <v>iv with Perpetrator (Clarithromycin)</v>
      </c>
      <c r="E3779" s="206" t="str">
        <f>IF(AND(A3779&lt;&gt;"",ISNUMBER(A3779)),VLOOKUP(A3779,Studies!A:BR,5,FALSE),"")</f>
        <v>Midazolam</v>
      </c>
      <c r="F3779" s="207" t="str">
        <f>IF(AND(A3779&lt;&gt;"",ISNUMBER(A3779)),VLOOKUP(A3779,Studies!A:BR,6,FALSE),"")</f>
        <v>Whole Blood</v>
      </c>
      <c r="G3779" s="194">
        <v>156</v>
      </c>
      <c r="H3779" s="194" t="s">
        <v>60</v>
      </c>
      <c r="I3779" s="187">
        <v>10.29058</v>
      </c>
      <c r="J3779" s="187" t="s">
        <v>1026</v>
      </c>
      <c r="K3779" s="187" t="s">
        <v>389</v>
      </c>
      <c r="L3779" s="195">
        <v>3.363038</v>
      </c>
      <c r="M3779" s="195" t="s">
        <v>1090</v>
      </c>
      <c r="N3779" s="195" t="s">
        <v>117</v>
      </c>
      <c r="O3779" s="199">
        <v>1</v>
      </c>
      <c r="P3779" s="188"/>
      <c r="Q3779" s="174">
        <f>IF(ISNUMBER(VLOOKUP(A3779,NotghiID!A:A,1,FALSE)),1,0)</f>
        <v>1</v>
      </c>
    </row>
    <row r="3780" spans="1:17" ht="14.25" x14ac:dyDescent="0.2">
      <c r="A3780" s="213">
        <v>175</v>
      </c>
      <c r="B3780" s="232" t="str">
        <f>IF(AND(A3780&lt;&gt;"",ISNUMBER(A3780)),VLOOKUP(A3780,Studies!A:BR,2,FALSE),"")</f>
        <v>Gorski 1998</v>
      </c>
      <c r="C3780" s="232" t="str">
        <f>IF(AND(A3780&lt;&gt;"",ISNUMBER(A3780)),VLOOKUP(A3780,Studies!A:BR,3,FALSE),"")</f>
        <v>https://www.ncbi.nlm.nih.gov/pubmed/9728893</v>
      </c>
      <c r="D3780" s="232" t="str">
        <f>IF(AND(A3780&lt;&gt;"",ISNUMBER(A3780)),VLOOKUP(A3780,Studies!A:BR,4,FALSE),"")</f>
        <v>iv with Perpetrator (Clarithromycin)</v>
      </c>
      <c r="E3780" s="206" t="str">
        <f>IF(AND(A3780&lt;&gt;"",ISNUMBER(A3780)),VLOOKUP(A3780,Studies!A:BR,5,FALSE),"")</f>
        <v>Midazolam</v>
      </c>
      <c r="F3780" s="207" t="str">
        <f>IF(AND(A3780&lt;&gt;"",ISNUMBER(A3780)),VLOOKUP(A3780,Studies!A:BR,6,FALSE),"")</f>
        <v>Whole Blood</v>
      </c>
      <c r="G3780" s="194">
        <v>158</v>
      </c>
      <c r="H3780" s="194" t="s">
        <v>60</v>
      </c>
      <c r="I3780" s="187">
        <v>9.2241210000000002</v>
      </c>
      <c r="J3780" s="187" t="s">
        <v>1026</v>
      </c>
      <c r="K3780" s="187" t="s">
        <v>389</v>
      </c>
      <c r="L3780" s="195">
        <v>4.5913190000000004</v>
      </c>
      <c r="M3780" s="195" t="s">
        <v>1090</v>
      </c>
      <c r="N3780" s="195" t="s">
        <v>117</v>
      </c>
      <c r="O3780" s="199">
        <v>1</v>
      </c>
      <c r="P3780" s="188"/>
      <c r="Q3780" s="174">
        <f>IF(ISNUMBER(VLOOKUP(A3780,NotghiID!A:A,1,FALSE)),1,0)</f>
        <v>1</v>
      </c>
    </row>
    <row r="3781" spans="1:17" ht="14.25" x14ac:dyDescent="0.2">
      <c r="A3781" s="213">
        <v>176</v>
      </c>
      <c r="B3781" s="232" t="str">
        <f>IF(AND(A3781&lt;&gt;"",ISNUMBER(A3781)),VLOOKUP(A3781,Studies!A:BR,2,FALSE),"")</f>
        <v>Gorski 2003</v>
      </c>
      <c r="C3781" s="232" t="str">
        <f>IF(AND(A3781&lt;&gt;"",ISNUMBER(A3781)),VLOOKUP(A3781,Studies!A:BR,3,FALSE),"")</f>
        <v>https://www.ncbi.nlm.nih.gov/pubmed/12966371</v>
      </c>
      <c r="D3781" s="232" t="str">
        <f>IF(AND(A3781&lt;&gt;"",ISNUMBER(A3781)),VLOOKUP(A3781,Studies!A:BR,4,FALSE),"")</f>
        <v>po Control (Perpetrator Placebo)</v>
      </c>
      <c r="E3781" s="206" t="str">
        <f>IF(AND(A3781&lt;&gt;"",ISNUMBER(A3781)),VLOOKUP(A3781,Studies!A:BR,5,FALSE),"")</f>
        <v>Midazolam</v>
      </c>
      <c r="F3781" s="207" t="str">
        <f>IF(AND(A3781&lt;&gt;"",ISNUMBER(A3781)),VLOOKUP(A3781,Studies!A:BR,6,FALSE),"")</f>
        <v>Whole Blood</v>
      </c>
      <c r="G3781" s="194">
        <v>0.08</v>
      </c>
      <c r="H3781" s="194" t="s">
        <v>60</v>
      </c>
      <c r="I3781" s="187">
        <v>0.91903469999999998</v>
      </c>
      <c r="J3781" s="187" t="s">
        <v>1063</v>
      </c>
      <c r="K3781" s="187" t="s">
        <v>389</v>
      </c>
      <c r="L3781" s="195">
        <v>0.62516459999999996</v>
      </c>
      <c r="M3781" s="195" t="s">
        <v>1063</v>
      </c>
      <c r="N3781" s="195" t="s">
        <v>117</v>
      </c>
      <c r="O3781" s="199">
        <v>0.25</v>
      </c>
      <c r="P3781" s="188"/>
      <c r="Q3781" s="174">
        <f>IF(ISNUMBER(VLOOKUP(A3781,NotghiID!A:A,1,FALSE)),1,0)</f>
        <v>1</v>
      </c>
    </row>
    <row r="3782" spans="1:17" ht="14.25" x14ac:dyDescent="0.2">
      <c r="A3782" s="213">
        <v>176</v>
      </c>
      <c r="B3782" s="232" t="str">
        <f>IF(AND(A3782&lt;&gt;"",ISNUMBER(A3782)),VLOOKUP(A3782,Studies!A:BR,2,FALSE),"")</f>
        <v>Gorski 2003</v>
      </c>
      <c r="C3782" s="232" t="str">
        <f>IF(AND(A3782&lt;&gt;"",ISNUMBER(A3782)),VLOOKUP(A3782,Studies!A:BR,3,FALSE),"")</f>
        <v>https://www.ncbi.nlm.nih.gov/pubmed/12966371</v>
      </c>
      <c r="D3782" s="232" t="str">
        <f>IF(AND(A3782&lt;&gt;"",ISNUMBER(A3782)),VLOOKUP(A3782,Studies!A:BR,4,FALSE),"")</f>
        <v>po Control (Perpetrator Placebo)</v>
      </c>
      <c r="E3782" s="206" t="str">
        <f>IF(AND(A3782&lt;&gt;"",ISNUMBER(A3782)),VLOOKUP(A3782,Studies!A:BR,5,FALSE),"")</f>
        <v>Midazolam</v>
      </c>
      <c r="F3782" s="207" t="str">
        <f>IF(AND(A3782&lt;&gt;"",ISNUMBER(A3782)),VLOOKUP(A3782,Studies!A:BR,6,FALSE),"")</f>
        <v>Whole Blood</v>
      </c>
      <c r="G3782" s="194">
        <v>0.25</v>
      </c>
      <c r="H3782" s="194" t="s">
        <v>60</v>
      </c>
      <c r="I3782" s="187">
        <v>6.2668249999999999</v>
      </c>
      <c r="J3782" s="187" t="s">
        <v>1063</v>
      </c>
      <c r="K3782" s="187" t="s">
        <v>389</v>
      </c>
      <c r="L3782" s="195">
        <v>5.2633609999999997</v>
      </c>
      <c r="M3782" s="195" t="s">
        <v>1063</v>
      </c>
      <c r="N3782" s="195" t="s">
        <v>117</v>
      </c>
      <c r="O3782" s="199">
        <v>0.25</v>
      </c>
      <c r="P3782" s="188"/>
      <c r="Q3782" s="174">
        <f>IF(ISNUMBER(VLOOKUP(A3782,NotghiID!A:A,1,FALSE)),1,0)</f>
        <v>1</v>
      </c>
    </row>
    <row r="3783" spans="1:17" ht="14.25" x14ac:dyDescent="0.2">
      <c r="A3783" s="213">
        <v>176</v>
      </c>
      <c r="B3783" s="232" t="str">
        <f>IF(AND(A3783&lt;&gt;"",ISNUMBER(A3783)),VLOOKUP(A3783,Studies!A:BR,2,FALSE),"")</f>
        <v>Gorski 2003</v>
      </c>
      <c r="C3783" s="232" t="str">
        <f>IF(AND(A3783&lt;&gt;"",ISNUMBER(A3783)),VLOOKUP(A3783,Studies!A:BR,3,FALSE),"")</f>
        <v>https://www.ncbi.nlm.nih.gov/pubmed/12966371</v>
      </c>
      <c r="D3783" s="232" t="str">
        <f>IF(AND(A3783&lt;&gt;"",ISNUMBER(A3783)),VLOOKUP(A3783,Studies!A:BR,4,FALSE),"")</f>
        <v>po Control (Perpetrator Placebo)</v>
      </c>
      <c r="E3783" s="206" t="str">
        <f>IF(AND(A3783&lt;&gt;"",ISNUMBER(A3783)),VLOOKUP(A3783,Studies!A:BR,5,FALSE),"")</f>
        <v>Midazolam</v>
      </c>
      <c r="F3783" s="207" t="str">
        <f>IF(AND(A3783&lt;&gt;"",ISNUMBER(A3783)),VLOOKUP(A3783,Studies!A:BR,6,FALSE),"")</f>
        <v>Whole Blood</v>
      </c>
      <c r="G3783" s="194">
        <v>0.5</v>
      </c>
      <c r="H3783" s="194" t="s">
        <v>60</v>
      </c>
      <c r="I3783" s="187">
        <v>8.6647719999999993</v>
      </c>
      <c r="J3783" s="187" t="s">
        <v>1063</v>
      </c>
      <c r="K3783" s="187" t="s">
        <v>389</v>
      </c>
      <c r="L3783" s="195">
        <v>5.5206299999999997</v>
      </c>
      <c r="M3783" s="195" t="s">
        <v>1063</v>
      </c>
      <c r="N3783" s="195" t="s">
        <v>117</v>
      </c>
      <c r="O3783" s="199">
        <v>0.25</v>
      </c>
      <c r="P3783" s="188"/>
      <c r="Q3783" s="174">
        <f>IF(ISNUMBER(VLOOKUP(A3783,NotghiID!A:A,1,FALSE)),1,0)</f>
        <v>1</v>
      </c>
    </row>
    <row r="3784" spans="1:17" ht="14.25" x14ac:dyDescent="0.2">
      <c r="A3784" s="213">
        <v>176</v>
      </c>
      <c r="B3784" s="232" t="str">
        <f>IF(AND(A3784&lt;&gt;"",ISNUMBER(A3784)),VLOOKUP(A3784,Studies!A:BR,2,FALSE),"")</f>
        <v>Gorski 2003</v>
      </c>
      <c r="C3784" s="232" t="str">
        <f>IF(AND(A3784&lt;&gt;"",ISNUMBER(A3784)),VLOOKUP(A3784,Studies!A:BR,3,FALSE),"")</f>
        <v>https://www.ncbi.nlm.nih.gov/pubmed/12966371</v>
      </c>
      <c r="D3784" s="232" t="str">
        <f>IF(AND(A3784&lt;&gt;"",ISNUMBER(A3784)),VLOOKUP(A3784,Studies!A:BR,4,FALSE),"")</f>
        <v>po Control (Perpetrator Placebo)</v>
      </c>
      <c r="E3784" s="206" t="str">
        <f>IF(AND(A3784&lt;&gt;"",ISNUMBER(A3784)),VLOOKUP(A3784,Studies!A:BR,5,FALSE),"")</f>
        <v>Midazolam</v>
      </c>
      <c r="F3784" s="207" t="str">
        <f>IF(AND(A3784&lt;&gt;"",ISNUMBER(A3784)),VLOOKUP(A3784,Studies!A:BR,6,FALSE),"")</f>
        <v>Whole Blood</v>
      </c>
      <c r="G3784" s="194">
        <v>0.75</v>
      </c>
      <c r="H3784" s="194" t="s">
        <v>60</v>
      </c>
      <c r="I3784" s="187">
        <v>8.4400370000000002</v>
      </c>
      <c r="J3784" s="187" t="s">
        <v>1063</v>
      </c>
      <c r="K3784" s="187" t="s">
        <v>389</v>
      </c>
      <c r="L3784" s="195">
        <v>4.5096660000000002</v>
      </c>
      <c r="M3784" s="195" t="s">
        <v>1063</v>
      </c>
      <c r="N3784" s="195" t="s">
        <v>117</v>
      </c>
      <c r="O3784" s="199">
        <v>0.25</v>
      </c>
      <c r="P3784" s="188"/>
      <c r="Q3784" s="174">
        <f>IF(ISNUMBER(VLOOKUP(A3784,NotghiID!A:A,1,FALSE)),1,0)</f>
        <v>1</v>
      </c>
    </row>
    <row r="3785" spans="1:17" ht="14.25" x14ac:dyDescent="0.2">
      <c r="A3785" s="213">
        <v>176</v>
      </c>
      <c r="B3785" s="232" t="str">
        <f>IF(AND(A3785&lt;&gt;"",ISNUMBER(A3785)),VLOOKUP(A3785,Studies!A:BR,2,FALSE),"")</f>
        <v>Gorski 2003</v>
      </c>
      <c r="C3785" s="232" t="str">
        <f>IF(AND(A3785&lt;&gt;"",ISNUMBER(A3785)),VLOOKUP(A3785,Studies!A:BR,3,FALSE),"")</f>
        <v>https://www.ncbi.nlm.nih.gov/pubmed/12966371</v>
      </c>
      <c r="D3785" s="232" t="str">
        <f>IF(AND(A3785&lt;&gt;"",ISNUMBER(A3785)),VLOOKUP(A3785,Studies!A:BR,4,FALSE),"")</f>
        <v>po Control (Perpetrator Placebo)</v>
      </c>
      <c r="E3785" s="206" t="str">
        <f>IF(AND(A3785&lt;&gt;"",ISNUMBER(A3785)),VLOOKUP(A3785,Studies!A:BR,5,FALSE),"")</f>
        <v>Midazolam</v>
      </c>
      <c r="F3785" s="207" t="str">
        <f>IF(AND(A3785&lt;&gt;"",ISNUMBER(A3785)),VLOOKUP(A3785,Studies!A:BR,6,FALSE),"")</f>
        <v>Whole Blood</v>
      </c>
      <c r="G3785" s="194">
        <v>1</v>
      </c>
      <c r="H3785" s="194" t="s">
        <v>60</v>
      </c>
      <c r="I3785" s="187">
        <v>7.9075110000000004</v>
      </c>
      <c r="J3785" s="187" t="s">
        <v>1063</v>
      </c>
      <c r="K3785" s="187" t="s">
        <v>389</v>
      </c>
      <c r="L3785" s="195">
        <v>3.9141349999999999</v>
      </c>
      <c r="M3785" s="195" t="s">
        <v>1063</v>
      </c>
      <c r="N3785" s="195" t="s">
        <v>117</v>
      </c>
      <c r="O3785" s="199">
        <v>0.25</v>
      </c>
      <c r="P3785" s="188"/>
      <c r="Q3785" s="174">
        <f>IF(ISNUMBER(VLOOKUP(A3785,NotghiID!A:A,1,FALSE)),1,0)</f>
        <v>1</v>
      </c>
    </row>
    <row r="3786" spans="1:17" ht="14.25" x14ac:dyDescent="0.2">
      <c r="A3786" s="213">
        <v>176</v>
      </c>
      <c r="B3786" s="232" t="str">
        <f>IF(AND(A3786&lt;&gt;"",ISNUMBER(A3786)),VLOOKUP(A3786,Studies!A:BR,2,FALSE),"")</f>
        <v>Gorski 2003</v>
      </c>
      <c r="C3786" s="232" t="str">
        <f>IF(AND(A3786&lt;&gt;"",ISNUMBER(A3786)),VLOOKUP(A3786,Studies!A:BR,3,FALSE),"")</f>
        <v>https://www.ncbi.nlm.nih.gov/pubmed/12966371</v>
      </c>
      <c r="D3786" s="232" t="str">
        <f>IF(AND(A3786&lt;&gt;"",ISNUMBER(A3786)),VLOOKUP(A3786,Studies!A:BR,4,FALSE),"")</f>
        <v>po Control (Perpetrator Placebo)</v>
      </c>
      <c r="E3786" s="206" t="str">
        <f>IF(AND(A3786&lt;&gt;"",ISNUMBER(A3786)),VLOOKUP(A3786,Studies!A:BR,5,FALSE),"")</f>
        <v>Midazolam</v>
      </c>
      <c r="F3786" s="207" t="str">
        <f>IF(AND(A3786&lt;&gt;"",ISNUMBER(A3786)),VLOOKUP(A3786,Studies!A:BR,6,FALSE),"")</f>
        <v>Whole Blood</v>
      </c>
      <c r="G3786" s="194">
        <v>1.5</v>
      </c>
      <c r="H3786" s="194" t="s">
        <v>60</v>
      </c>
      <c r="I3786" s="187">
        <v>8.109928</v>
      </c>
      <c r="J3786" s="187" t="s">
        <v>1063</v>
      </c>
      <c r="K3786" s="187" t="s">
        <v>389</v>
      </c>
      <c r="L3786" s="195">
        <v>3.2531460000000001</v>
      </c>
      <c r="M3786" s="195" t="s">
        <v>1063</v>
      </c>
      <c r="N3786" s="195" t="s">
        <v>117</v>
      </c>
      <c r="O3786" s="199">
        <v>0.25</v>
      </c>
      <c r="P3786" s="188"/>
      <c r="Q3786" s="174">
        <f>IF(ISNUMBER(VLOOKUP(A3786,NotghiID!A:A,1,FALSE)),1,0)</f>
        <v>1</v>
      </c>
    </row>
    <row r="3787" spans="1:17" ht="14.25" x14ac:dyDescent="0.2">
      <c r="A3787" s="213">
        <v>176</v>
      </c>
      <c r="B3787" s="232" t="str">
        <f>IF(AND(A3787&lt;&gt;"",ISNUMBER(A3787)),VLOOKUP(A3787,Studies!A:BR,2,FALSE),"")</f>
        <v>Gorski 2003</v>
      </c>
      <c r="C3787" s="232" t="str">
        <f>IF(AND(A3787&lt;&gt;"",ISNUMBER(A3787)),VLOOKUP(A3787,Studies!A:BR,3,FALSE),"")</f>
        <v>https://www.ncbi.nlm.nih.gov/pubmed/12966371</v>
      </c>
      <c r="D3787" s="232" t="str">
        <f>IF(AND(A3787&lt;&gt;"",ISNUMBER(A3787)),VLOOKUP(A3787,Studies!A:BR,4,FALSE),"")</f>
        <v>po Control (Perpetrator Placebo)</v>
      </c>
      <c r="E3787" s="206" t="str">
        <f>IF(AND(A3787&lt;&gt;"",ISNUMBER(A3787)),VLOOKUP(A3787,Studies!A:BR,5,FALSE),"")</f>
        <v>Midazolam</v>
      </c>
      <c r="F3787" s="207" t="str">
        <f>IF(AND(A3787&lt;&gt;"",ISNUMBER(A3787)),VLOOKUP(A3787,Studies!A:BR,6,FALSE),"")</f>
        <v>Whole Blood</v>
      </c>
      <c r="G3787" s="194">
        <v>2</v>
      </c>
      <c r="H3787" s="194" t="s">
        <v>60</v>
      </c>
      <c r="I3787" s="187">
        <v>7.1186600000000002</v>
      </c>
      <c r="J3787" s="187" t="s">
        <v>1063</v>
      </c>
      <c r="K3787" s="187" t="s">
        <v>389</v>
      </c>
      <c r="L3787" s="195">
        <v>2.855518</v>
      </c>
      <c r="M3787" s="195" t="s">
        <v>1063</v>
      </c>
      <c r="N3787" s="195" t="s">
        <v>117</v>
      </c>
      <c r="O3787" s="199">
        <v>0.25</v>
      </c>
      <c r="P3787" s="188"/>
      <c r="Q3787" s="174">
        <f>IF(ISNUMBER(VLOOKUP(A3787,NotghiID!A:A,1,FALSE)),1,0)</f>
        <v>1</v>
      </c>
    </row>
    <row r="3788" spans="1:17" ht="14.25" x14ac:dyDescent="0.2">
      <c r="A3788" s="213">
        <v>176</v>
      </c>
      <c r="B3788" s="232" t="str">
        <f>IF(AND(A3788&lt;&gt;"",ISNUMBER(A3788)),VLOOKUP(A3788,Studies!A:BR,2,FALSE),"")</f>
        <v>Gorski 2003</v>
      </c>
      <c r="C3788" s="232" t="str">
        <f>IF(AND(A3788&lt;&gt;"",ISNUMBER(A3788)),VLOOKUP(A3788,Studies!A:BR,3,FALSE),"")</f>
        <v>https://www.ncbi.nlm.nih.gov/pubmed/12966371</v>
      </c>
      <c r="D3788" s="232" t="str">
        <f>IF(AND(A3788&lt;&gt;"",ISNUMBER(A3788)),VLOOKUP(A3788,Studies!A:BR,4,FALSE),"")</f>
        <v>po Control (Perpetrator Placebo)</v>
      </c>
      <c r="E3788" s="206" t="str">
        <f>IF(AND(A3788&lt;&gt;"",ISNUMBER(A3788)),VLOOKUP(A3788,Studies!A:BR,5,FALSE),"")</f>
        <v>Midazolam</v>
      </c>
      <c r="F3788" s="207" t="str">
        <f>IF(AND(A3788&lt;&gt;"",ISNUMBER(A3788)),VLOOKUP(A3788,Studies!A:BR,6,FALSE),"")</f>
        <v>Whole Blood</v>
      </c>
      <c r="G3788" s="194">
        <v>2.5</v>
      </c>
      <c r="H3788" s="194" t="s">
        <v>60</v>
      </c>
      <c r="I3788" s="187">
        <v>5.9325890000000001</v>
      </c>
      <c r="J3788" s="187" t="s">
        <v>1063</v>
      </c>
      <c r="K3788" s="187" t="s">
        <v>389</v>
      </c>
      <c r="L3788" s="195">
        <v>2.9367679999999998</v>
      </c>
      <c r="M3788" s="195" t="s">
        <v>1063</v>
      </c>
      <c r="N3788" s="195" t="s">
        <v>117</v>
      </c>
      <c r="O3788" s="199">
        <v>0.25</v>
      </c>
      <c r="P3788" s="188"/>
      <c r="Q3788" s="174">
        <f>IF(ISNUMBER(VLOOKUP(A3788,NotghiID!A:A,1,FALSE)),1,0)</f>
        <v>1</v>
      </c>
    </row>
    <row r="3789" spans="1:17" ht="14.25" x14ac:dyDescent="0.2">
      <c r="A3789" s="213">
        <v>176</v>
      </c>
      <c r="B3789" s="232" t="str">
        <f>IF(AND(A3789&lt;&gt;"",ISNUMBER(A3789)),VLOOKUP(A3789,Studies!A:BR,2,FALSE),"")</f>
        <v>Gorski 2003</v>
      </c>
      <c r="C3789" s="232" t="str">
        <f>IF(AND(A3789&lt;&gt;"",ISNUMBER(A3789)),VLOOKUP(A3789,Studies!A:BR,3,FALSE),"")</f>
        <v>https://www.ncbi.nlm.nih.gov/pubmed/12966371</v>
      </c>
      <c r="D3789" s="232" t="str">
        <f>IF(AND(A3789&lt;&gt;"",ISNUMBER(A3789)),VLOOKUP(A3789,Studies!A:BR,4,FALSE),"")</f>
        <v>po Control (Perpetrator Placebo)</v>
      </c>
      <c r="E3789" s="206" t="str">
        <f>IF(AND(A3789&lt;&gt;"",ISNUMBER(A3789)),VLOOKUP(A3789,Studies!A:BR,5,FALSE),"")</f>
        <v>Midazolam</v>
      </c>
      <c r="F3789" s="207" t="str">
        <f>IF(AND(A3789&lt;&gt;"",ISNUMBER(A3789)),VLOOKUP(A3789,Studies!A:BR,6,FALSE),"")</f>
        <v>Whole Blood</v>
      </c>
      <c r="G3789" s="194">
        <v>3</v>
      </c>
      <c r="H3789" s="194" t="s">
        <v>60</v>
      </c>
      <c r="I3789" s="187">
        <v>4.8174029999999997</v>
      </c>
      <c r="J3789" s="187" t="s">
        <v>1063</v>
      </c>
      <c r="K3789" s="187" t="s">
        <v>389</v>
      </c>
      <c r="L3789" s="195">
        <v>2.2002730000000001</v>
      </c>
      <c r="M3789" s="195" t="s">
        <v>1063</v>
      </c>
      <c r="N3789" s="195" t="s">
        <v>117</v>
      </c>
      <c r="O3789" s="199">
        <v>0.25</v>
      </c>
      <c r="P3789" s="188"/>
      <c r="Q3789" s="174">
        <f>IF(ISNUMBER(VLOOKUP(A3789,NotghiID!A:A,1,FALSE)),1,0)</f>
        <v>1</v>
      </c>
    </row>
    <row r="3790" spans="1:17" ht="14.25" x14ac:dyDescent="0.2">
      <c r="A3790" s="213">
        <v>176</v>
      </c>
      <c r="B3790" s="232" t="str">
        <f>IF(AND(A3790&lt;&gt;"",ISNUMBER(A3790)),VLOOKUP(A3790,Studies!A:BR,2,FALSE),"")</f>
        <v>Gorski 2003</v>
      </c>
      <c r="C3790" s="232" t="str">
        <f>IF(AND(A3790&lt;&gt;"",ISNUMBER(A3790)),VLOOKUP(A3790,Studies!A:BR,3,FALSE),"")</f>
        <v>https://www.ncbi.nlm.nih.gov/pubmed/12966371</v>
      </c>
      <c r="D3790" s="232" t="str">
        <f>IF(AND(A3790&lt;&gt;"",ISNUMBER(A3790)),VLOOKUP(A3790,Studies!A:BR,4,FALSE),"")</f>
        <v>po Control (Perpetrator Placebo)</v>
      </c>
      <c r="E3790" s="206" t="str">
        <f>IF(AND(A3790&lt;&gt;"",ISNUMBER(A3790)),VLOOKUP(A3790,Studies!A:BR,5,FALSE),"")</f>
        <v>Midazolam</v>
      </c>
      <c r="F3790" s="207" t="str">
        <f>IF(AND(A3790&lt;&gt;"",ISNUMBER(A3790)),VLOOKUP(A3790,Studies!A:BR,6,FALSE),"")</f>
        <v>Whole Blood</v>
      </c>
      <c r="G3790" s="194">
        <v>4</v>
      </c>
      <c r="H3790" s="194" t="s">
        <v>60</v>
      </c>
      <c r="I3790" s="187">
        <v>3.7117230000000001</v>
      </c>
      <c r="J3790" s="187" t="s">
        <v>1063</v>
      </c>
      <c r="K3790" s="187" t="s">
        <v>389</v>
      </c>
      <c r="L3790" s="195">
        <v>1.837388</v>
      </c>
      <c r="M3790" s="195" t="s">
        <v>1063</v>
      </c>
      <c r="N3790" s="195" t="s">
        <v>117</v>
      </c>
      <c r="O3790" s="199">
        <v>0.25</v>
      </c>
      <c r="P3790" s="188"/>
      <c r="Q3790" s="174">
        <f>IF(ISNUMBER(VLOOKUP(A3790,NotghiID!A:A,1,FALSE)),1,0)</f>
        <v>1</v>
      </c>
    </row>
    <row r="3791" spans="1:17" ht="14.25" x14ac:dyDescent="0.2">
      <c r="A3791" s="213">
        <v>176</v>
      </c>
      <c r="B3791" s="232" t="str">
        <f>IF(AND(A3791&lt;&gt;"",ISNUMBER(A3791)),VLOOKUP(A3791,Studies!A:BR,2,FALSE),"")</f>
        <v>Gorski 2003</v>
      </c>
      <c r="C3791" s="232" t="str">
        <f>IF(AND(A3791&lt;&gt;"",ISNUMBER(A3791)),VLOOKUP(A3791,Studies!A:BR,3,FALSE),"")</f>
        <v>https://www.ncbi.nlm.nih.gov/pubmed/12966371</v>
      </c>
      <c r="D3791" s="232" t="str">
        <f>IF(AND(A3791&lt;&gt;"",ISNUMBER(A3791)),VLOOKUP(A3791,Studies!A:BR,4,FALSE),"")</f>
        <v>po Control (Perpetrator Placebo)</v>
      </c>
      <c r="E3791" s="206" t="str">
        <f>IF(AND(A3791&lt;&gt;"",ISNUMBER(A3791)),VLOOKUP(A3791,Studies!A:BR,5,FALSE),"")</f>
        <v>Midazolam</v>
      </c>
      <c r="F3791" s="207" t="str">
        <f>IF(AND(A3791&lt;&gt;"",ISNUMBER(A3791)),VLOOKUP(A3791,Studies!A:BR,6,FALSE),"")</f>
        <v>Whole Blood</v>
      </c>
      <c r="G3791" s="194">
        <v>6</v>
      </c>
      <c r="H3791" s="194" t="s">
        <v>60</v>
      </c>
      <c r="I3791" s="187">
        <v>2.203436</v>
      </c>
      <c r="J3791" s="187" t="s">
        <v>1063</v>
      </c>
      <c r="K3791" s="187" t="s">
        <v>389</v>
      </c>
      <c r="L3791" s="195">
        <v>1.221479</v>
      </c>
      <c r="M3791" s="195" t="s">
        <v>1063</v>
      </c>
      <c r="N3791" s="195" t="s">
        <v>117</v>
      </c>
      <c r="O3791" s="199">
        <v>0.25</v>
      </c>
      <c r="P3791" s="188"/>
      <c r="Q3791" s="174">
        <f>IF(ISNUMBER(VLOOKUP(A3791,NotghiID!A:A,1,FALSE)),1,0)</f>
        <v>1</v>
      </c>
    </row>
    <row r="3792" spans="1:17" ht="14.25" x14ac:dyDescent="0.2">
      <c r="A3792" s="213">
        <v>176</v>
      </c>
      <c r="B3792" s="232" t="str">
        <f>IF(AND(A3792&lt;&gt;"",ISNUMBER(A3792)),VLOOKUP(A3792,Studies!A:BR,2,FALSE),"")</f>
        <v>Gorski 2003</v>
      </c>
      <c r="C3792" s="232" t="str">
        <f>IF(AND(A3792&lt;&gt;"",ISNUMBER(A3792)),VLOOKUP(A3792,Studies!A:BR,3,FALSE),"")</f>
        <v>https://www.ncbi.nlm.nih.gov/pubmed/12966371</v>
      </c>
      <c r="D3792" s="232" t="str">
        <f>IF(AND(A3792&lt;&gt;"",ISNUMBER(A3792)),VLOOKUP(A3792,Studies!A:BR,4,FALSE),"")</f>
        <v>po Control (Perpetrator Placebo)</v>
      </c>
      <c r="E3792" s="206" t="str">
        <f>IF(AND(A3792&lt;&gt;"",ISNUMBER(A3792)),VLOOKUP(A3792,Studies!A:BR,5,FALSE),"")</f>
        <v>Midazolam</v>
      </c>
      <c r="F3792" s="207" t="str">
        <f>IF(AND(A3792&lt;&gt;"",ISNUMBER(A3792)),VLOOKUP(A3792,Studies!A:BR,6,FALSE),"")</f>
        <v>Whole Blood</v>
      </c>
      <c r="G3792" s="194">
        <v>8</v>
      </c>
      <c r="H3792" s="194" t="s">
        <v>60</v>
      </c>
      <c r="I3792" s="187">
        <v>1.589032</v>
      </c>
      <c r="J3792" s="187" t="s">
        <v>1063</v>
      </c>
      <c r="K3792" s="187" t="s">
        <v>389</v>
      </c>
      <c r="L3792" s="195">
        <v>1.01237</v>
      </c>
      <c r="M3792" s="195" t="s">
        <v>1063</v>
      </c>
      <c r="N3792" s="195" t="s">
        <v>117</v>
      </c>
      <c r="O3792" s="199">
        <v>0.25</v>
      </c>
      <c r="P3792" s="188"/>
      <c r="Q3792" s="174">
        <f>IF(ISNUMBER(VLOOKUP(A3792,NotghiID!A:A,1,FALSE)),1,0)</f>
        <v>1</v>
      </c>
    </row>
    <row r="3793" spans="1:17" ht="14.25" x14ac:dyDescent="0.2">
      <c r="A3793" s="213">
        <v>176</v>
      </c>
      <c r="B3793" s="232" t="str">
        <f>IF(AND(A3793&lt;&gt;"",ISNUMBER(A3793)),VLOOKUP(A3793,Studies!A:BR,2,FALSE),"")</f>
        <v>Gorski 2003</v>
      </c>
      <c r="C3793" s="232" t="str">
        <f>IF(AND(A3793&lt;&gt;"",ISNUMBER(A3793)),VLOOKUP(A3793,Studies!A:BR,3,FALSE),"")</f>
        <v>https://www.ncbi.nlm.nih.gov/pubmed/12966371</v>
      </c>
      <c r="D3793" s="232" t="str">
        <f>IF(AND(A3793&lt;&gt;"",ISNUMBER(A3793)),VLOOKUP(A3793,Studies!A:BR,4,FALSE),"")</f>
        <v>po Control (Perpetrator Placebo)</v>
      </c>
      <c r="E3793" s="206" t="str">
        <f>IF(AND(A3793&lt;&gt;"",ISNUMBER(A3793)),VLOOKUP(A3793,Studies!A:BR,5,FALSE),"")</f>
        <v>Midazolam</v>
      </c>
      <c r="F3793" s="207" t="str">
        <f>IF(AND(A3793&lt;&gt;"",ISNUMBER(A3793)),VLOOKUP(A3793,Studies!A:BR,6,FALSE),"")</f>
        <v>Whole Blood</v>
      </c>
      <c r="G3793" s="194">
        <v>10</v>
      </c>
      <c r="H3793" s="194" t="s">
        <v>60</v>
      </c>
      <c r="I3793" s="187">
        <v>1.1311519999999999</v>
      </c>
      <c r="J3793" s="187" t="s">
        <v>1063</v>
      </c>
      <c r="K3793" s="187" t="s">
        <v>389</v>
      </c>
      <c r="L3793" s="195">
        <v>0.76937140000000004</v>
      </c>
      <c r="M3793" s="195" t="s">
        <v>1063</v>
      </c>
      <c r="N3793" s="195" t="s">
        <v>117</v>
      </c>
      <c r="O3793" s="199">
        <v>0.25</v>
      </c>
      <c r="P3793" s="189" t="s">
        <v>1158</v>
      </c>
      <c r="Q3793" s="174">
        <f>IF(ISNUMBER(VLOOKUP(A3793,NotghiID!A:A,1,FALSE)),1,0)</f>
        <v>1</v>
      </c>
    </row>
    <row r="3794" spans="1:17" ht="14.25" x14ac:dyDescent="0.2">
      <c r="A3794" s="213">
        <v>177</v>
      </c>
      <c r="B3794" s="232" t="str">
        <f>IF(AND(A3794&lt;&gt;"",ISNUMBER(A3794)),VLOOKUP(A3794,Studies!A:BR,2,FALSE),"")</f>
        <v>Gorski 2003</v>
      </c>
      <c r="C3794" s="232" t="str">
        <f>IF(AND(A3794&lt;&gt;"",ISNUMBER(A3794)),VLOOKUP(A3794,Studies!A:BR,3,FALSE),"")</f>
        <v>https://www.ncbi.nlm.nih.gov/pubmed/12966371</v>
      </c>
      <c r="D3794" s="232" t="str">
        <f>IF(AND(A3794&lt;&gt;"",ISNUMBER(A3794)),VLOOKUP(A3794,Studies!A:BR,4,FALSE),"")</f>
        <v>po with Perpetrator (Rifampicin)</v>
      </c>
      <c r="E3794" s="206" t="str">
        <f>IF(AND(A3794&lt;&gt;"",ISNUMBER(A3794)),VLOOKUP(A3794,Studies!A:BR,5,FALSE),"")</f>
        <v>Midazolam</v>
      </c>
      <c r="F3794" s="207" t="str">
        <f>IF(AND(A3794&lt;&gt;"",ISNUMBER(A3794)),VLOOKUP(A3794,Studies!A:BR,6,FALSE),"")</f>
        <v>Whole Blood</v>
      </c>
      <c r="G3794" s="194">
        <v>132.08000000000001</v>
      </c>
      <c r="H3794" s="194" t="s">
        <v>60</v>
      </c>
      <c r="I3794" s="187">
        <v>0.7764297</v>
      </c>
      <c r="J3794" s="187" t="s">
        <v>1063</v>
      </c>
      <c r="K3794" s="187" t="s">
        <v>389</v>
      </c>
      <c r="L3794" s="195">
        <v>0.67075739999999995</v>
      </c>
      <c r="M3794" s="195" t="s">
        <v>1063</v>
      </c>
      <c r="N3794" s="195" t="s">
        <v>117</v>
      </c>
      <c r="O3794" s="199">
        <v>0.25</v>
      </c>
      <c r="P3794" s="188"/>
      <c r="Q3794" s="174">
        <f>IF(ISNUMBER(VLOOKUP(A3794,NotghiID!A:A,1,FALSE)),1,0)</f>
        <v>1</v>
      </c>
    </row>
    <row r="3795" spans="1:17" ht="14.25" x14ac:dyDescent="0.2">
      <c r="A3795" s="213">
        <v>177</v>
      </c>
      <c r="B3795" s="232" t="str">
        <f>IF(AND(A3795&lt;&gt;"",ISNUMBER(A3795)),VLOOKUP(A3795,Studies!A:BR,2,FALSE),"")</f>
        <v>Gorski 2003</v>
      </c>
      <c r="C3795" s="232" t="str">
        <f>IF(AND(A3795&lt;&gt;"",ISNUMBER(A3795)),VLOOKUP(A3795,Studies!A:BR,3,FALSE),"")</f>
        <v>https://www.ncbi.nlm.nih.gov/pubmed/12966371</v>
      </c>
      <c r="D3795" s="232" t="str">
        <f>IF(AND(A3795&lt;&gt;"",ISNUMBER(A3795)),VLOOKUP(A3795,Studies!A:BR,4,FALSE),"")</f>
        <v>po with Perpetrator (Rifampicin)</v>
      </c>
      <c r="E3795" s="206" t="str">
        <f>IF(AND(A3795&lt;&gt;"",ISNUMBER(A3795)),VLOOKUP(A3795,Studies!A:BR,5,FALSE),"")</f>
        <v>Midazolam</v>
      </c>
      <c r="F3795" s="207" t="str">
        <f>IF(AND(A3795&lt;&gt;"",ISNUMBER(A3795)),VLOOKUP(A3795,Studies!A:BR,6,FALSE),"")</f>
        <v>Whole Blood</v>
      </c>
      <c r="G3795" s="194">
        <v>132.25</v>
      </c>
      <c r="H3795" s="194" t="s">
        <v>60</v>
      </c>
      <c r="I3795" s="187">
        <v>1.735006</v>
      </c>
      <c r="J3795" s="187" t="s">
        <v>1063</v>
      </c>
      <c r="K3795" s="187" t="s">
        <v>389</v>
      </c>
      <c r="L3795" s="195">
        <v>1.1425209999999999</v>
      </c>
      <c r="M3795" s="195" t="s">
        <v>1063</v>
      </c>
      <c r="N3795" s="195" t="s">
        <v>117</v>
      </c>
      <c r="O3795" s="199">
        <v>0.25</v>
      </c>
      <c r="P3795" s="188"/>
      <c r="Q3795" s="174">
        <f>IF(ISNUMBER(VLOOKUP(A3795,NotghiID!A:A,1,FALSE)),1,0)</f>
        <v>1</v>
      </c>
    </row>
    <row r="3796" spans="1:17" ht="14.25" x14ac:dyDescent="0.2">
      <c r="A3796" s="213">
        <v>177</v>
      </c>
      <c r="B3796" s="232" t="str">
        <f>IF(AND(A3796&lt;&gt;"",ISNUMBER(A3796)),VLOOKUP(A3796,Studies!A:BR,2,FALSE),"")</f>
        <v>Gorski 2003</v>
      </c>
      <c r="C3796" s="232" t="str">
        <f>IF(AND(A3796&lt;&gt;"",ISNUMBER(A3796)),VLOOKUP(A3796,Studies!A:BR,3,FALSE),"")</f>
        <v>https://www.ncbi.nlm.nih.gov/pubmed/12966371</v>
      </c>
      <c r="D3796" s="232" t="str">
        <f>IF(AND(A3796&lt;&gt;"",ISNUMBER(A3796)),VLOOKUP(A3796,Studies!A:BR,4,FALSE),"")</f>
        <v>po with Perpetrator (Rifampicin)</v>
      </c>
      <c r="E3796" s="206" t="str">
        <f>IF(AND(A3796&lt;&gt;"",ISNUMBER(A3796)),VLOOKUP(A3796,Studies!A:BR,5,FALSE),"")</f>
        <v>Midazolam</v>
      </c>
      <c r="F3796" s="207" t="str">
        <f>IF(AND(A3796&lt;&gt;"",ISNUMBER(A3796)),VLOOKUP(A3796,Studies!A:BR,6,FALSE),"")</f>
        <v>Whole Blood</v>
      </c>
      <c r="G3796" s="194">
        <v>132.5</v>
      </c>
      <c r="H3796" s="194" t="s">
        <v>60</v>
      </c>
      <c r="I3796" s="187">
        <v>1.949217</v>
      </c>
      <c r="J3796" s="187" t="s">
        <v>1063</v>
      </c>
      <c r="K3796" s="187" t="s">
        <v>389</v>
      </c>
      <c r="L3796" s="195">
        <v>1.2835799999999999</v>
      </c>
      <c r="M3796" s="195" t="s">
        <v>1063</v>
      </c>
      <c r="N3796" s="195" t="s">
        <v>117</v>
      </c>
      <c r="O3796" s="199">
        <v>0.25</v>
      </c>
      <c r="P3796" s="188"/>
      <c r="Q3796" s="174">
        <f>IF(ISNUMBER(VLOOKUP(A3796,NotghiID!A:A,1,FALSE)),1,0)</f>
        <v>1</v>
      </c>
    </row>
    <row r="3797" spans="1:17" ht="14.25" x14ac:dyDescent="0.2">
      <c r="A3797" s="213">
        <v>177</v>
      </c>
      <c r="B3797" s="232" t="str">
        <f>IF(AND(A3797&lt;&gt;"",ISNUMBER(A3797)),VLOOKUP(A3797,Studies!A:BR,2,FALSE),"")</f>
        <v>Gorski 2003</v>
      </c>
      <c r="C3797" s="232" t="str">
        <f>IF(AND(A3797&lt;&gt;"",ISNUMBER(A3797)),VLOOKUP(A3797,Studies!A:BR,3,FALSE),"")</f>
        <v>https://www.ncbi.nlm.nih.gov/pubmed/12966371</v>
      </c>
      <c r="D3797" s="232" t="str">
        <f>IF(AND(A3797&lt;&gt;"",ISNUMBER(A3797)),VLOOKUP(A3797,Studies!A:BR,4,FALSE),"")</f>
        <v>po with Perpetrator (Rifampicin)</v>
      </c>
      <c r="E3797" s="206" t="str">
        <f>IF(AND(A3797&lt;&gt;"",ISNUMBER(A3797)),VLOOKUP(A3797,Studies!A:BR,5,FALSE),"")</f>
        <v>Midazolam</v>
      </c>
      <c r="F3797" s="207" t="str">
        <f>IF(AND(A3797&lt;&gt;"",ISNUMBER(A3797)),VLOOKUP(A3797,Studies!A:BR,6,FALSE),"")</f>
        <v>Whole Blood</v>
      </c>
      <c r="G3797" s="194">
        <v>132.75</v>
      </c>
      <c r="H3797" s="194" t="s">
        <v>60</v>
      </c>
      <c r="I3797" s="187">
        <v>1.7794589999999999</v>
      </c>
      <c r="J3797" s="187" t="s">
        <v>1063</v>
      </c>
      <c r="K3797" s="187" t="s">
        <v>389</v>
      </c>
      <c r="L3797" s="195">
        <v>1.410676</v>
      </c>
      <c r="M3797" s="195" t="s">
        <v>1063</v>
      </c>
      <c r="N3797" s="195" t="s">
        <v>117</v>
      </c>
      <c r="O3797" s="199">
        <v>0.25</v>
      </c>
      <c r="P3797" s="188"/>
      <c r="Q3797" s="174">
        <f>IF(ISNUMBER(VLOOKUP(A3797,NotghiID!A:A,1,FALSE)),1,0)</f>
        <v>1</v>
      </c>
    </row>
    <row r="3798" spans="1:17" ht="14.25" x14ac:dyDescent="0.2">
      <c r="A3798" s="213">
        <v>177</v>
      </c>
      <c r="B3798" s="232" t="str">
        <f>IF(AND(A3798&lt;&gt;"",ISNUMBER(A3798)),VLOOKUP(A3798,Studies!A:BR,2,FALSE),"")</f>
        <v>Gorski 2003</v>
      </c>
      <c r="C3798" s="232" t="str">
        <f>IF(AND(A3798&lt;&gt;"",ISNUMBER(A3798)),VLOOKUP(A3798,Studies!A:BR,3,FALSE),"")</f>
        <v>https://www.ncbi.nlm.nih.gov/pubmed/12966371</v>
      </c>
      <c r="D3798" s="232" t="str">
        <f>IF(AND(A3798&lt;&gt;"",ISNUMBER(A3798)),VLOOKUP(A3798,Studies!A:BR,4,FALSE),"")</f>
        <v>po with Perpetrator (Rifampicin)</v>
      </c>
      <c r="E3798" s="206" t="str">
        <f>IF(AND(A3798&lt;&gt;"",ISNUMBER(A3798)),VLOOKUP(A3798,Studies!A:BR,5,FALSE),"")</f>
        <v>Midazolam</v>
      </c>
      <c r="F3798" s="207" t="str">
        <f>IF(AND(A3798&lt;&gt;"",ISNUMBER(A3798)),VLOOKUP(A3798,Studies!A:BR,6,FALSE),"")</f>
        <v>Whole Blood</v>
      </c>
      <c r="G3798" s="194">
        <v>133</v>
      </c>
      <c r="H3798" s="194" t="s">
        <v>60</v>
      </c>
      <c r="I3798" s="187">
        <v>1.624449</v>
      </c>
      <c r="J3798" s="187" t="s">
        <v>1063</v>
      </c>
      <c r="K3798" s="187" t="s">
        <v>389</v>
      </c>
      <c r="L3798" s="195">
        <v>1.1405320000000001</v>
      </c>
      <c r="M3798" s="195" t="s">
        <v>1063</v>
      </c>
      <c r="N3798" s="195" t="s">
        <v>117</v>
      </c>
      <c r="O3798" s="199">
        <v>0.25</v>
      </c>
      <c r="P3798" s="188"/>
      <c r="Q3798" s="174">
        <f>IF(ISNUMBER(VLOOKUP(A3798,NotghiID!A:A,1,FALSE)),1,0)</f>
        <v>1</v>
      </c>
    </row>
    <row r="3799" spans="1:17" ht="14.25" x14ac:dyDescent="0.2">
      <c r="A3799" s="213">
        <v>177</v>
      </c>
      <c r="B3799" s="232" t="str">
        <f>IF(AND(A3799&lt;&gt;"",ISNUMBER(A3799)),VLOOKUP(A3799,Studies!A:BR,2,FALSE),"")</f>
        <v>Gorski 2003</v>
      </c>
      <c r="C3799" s="232" t="str">
        <f>IF(AND(A3799&lt;&gt;"",ISNUMBER(A3799)),VLOOKUP(A3799,Studies!A:BR,3,FALSE),"")</f>
        <v>https://www.ncbi.nlm.nih.gov/pubmed/12966371</v>
      </c>
      <c r="D3799" s="232" t="str">
        <f>IF(AND(A3799&lt;&gt;"",ISNUMBER(A3799)),VLOOKUP(A3799,Studies!A:BR,4,FALSE),"")</f>
        <v>po with Perpetrator (Rifampicin)</v>
      </c>
      <c r="E3799" s="206" t="str">
        <f>IF(AND(A3799&lt;&gt;"",ISNUMBER(A3799)),VLOOKUP(A3799,Studies!A:BR,5,FALSE),"")</f>
        <v>Midazolam</v>
      </c>
      <c r="F3799" s="207" t="str">
        <f>IF(AND(A3799&lt;&gt;"",ISNUMBER(A3799)),VLOOKUP(A3799,Studies!A:BR,6,FALSE),"")</f>
        <v>Whole Blood</v>
      </c>
      <c r="G3799" s="194">
        <v>133.25</v>
      </c>
      <c r="H3799" s="194" t="s">
        <v>60</v>
      </c>
      <c r="I3799" s="187">
        <v>1.285738</v>
      </c>
      <c r="J3799" s="187" t="s">
        <v>1063</v>
      </c>
      <c r="K3799" s="187" t="s">
        <v>389</v>
      </c>
      <c r="L3799" s="195">
        <v>0.81918880000000005</v>
      </c>
      <c r="M3799" s="195" t="s">
        <v>1063</v>
      </c>
      <c r="N3799" s="195" t="s">
        <v>117</v>
      </c>
      <c r="O3799" s="199">
        <v>0.25</v>
      </c>
      <c r="P3799" s="188"/>
      <c r="Q3799" s="174">
        <f>IF(ISNUMBER(VLOOKUP(A3799,NotghiID!A:A,1,FALSE)),1,0)</f>
        <v>1</v>
      </c>
    </row>
    <row r="3800" spans="1:17" ht="14.25" x14ac:dyDescent="0.2">
      <c r="A3800" s="213">
        <v>177</v>
      </c>
      <c r="B3800" s="232" t="str">
        <f>IF(AND(A3800&lt;&gt;"",ISNUMBER(A3800)),VLOOKUP(A3800,Studies!A:BR,2,FALSE),"")</f>
        <v>Gorski 2003</v>
      </c>
      <c r="C3800" s="232" t="str">
        <f>IF(AND(A3800&lt;&gt;"",ISNUMBER(A3800)),VLOOKUP(A3800,Studies!A:BR,3,FALSE),"")</f>
        <v>https://www.ncbi.nlm.nih.gov/pubmed/12966371</v>
      </c>
      <c r="D3800" s="232" t="str">
        <f>IF(AND(A3800&lt;&gt;"",ISNUMBER(A3800)),VLOOKUP(A3800,Studies!A:BR,4,FALSE),"")</f>
        <v>po with Perpetrator (Rifampicin)</v>
      </c>
      <c r="E3800" s="206" t="str">
        <f>IF(AND(A3800&lt;&gt;"",ISNUMBER(A3800)),VLOOKUP(A3800,Studies!A:BR,5,FALSE),"")</f>
        <v>Midazolam</v>
      </c>
      <c r="F3800" s="207" t="str">
        <f>IF(AND(A3800&lt;&gt;"",ISNUMBER(A3800)),VLOOKUP(A3800,Studies!A:BR,6,FALSE),"")</f>
        <v>Whole Blood</v>
      </c>
      <c r="G3800" s="194">
        <v>133.5</v>
      </c>
      <c r="H3800" s="194" t="s">
        <v>60</v>
      </c>
      <c r="I3800" s="187">
        <v>0.97882970000000002</v>
      </c>
      <c r="J3800" s="187" t="s">
        <v>1063</v>
      </c>
      <c r="K3800" s="187" t="s">
        <v>389</v>
      </c>
      <c r="L3800" s="195">
        <v>0.62361100000000003</v>
      </c>
      <c r="M3800" s="195" t="s">
        <v>1063</v>
      </c>
      <c r="N3800" s="195" t="s">
        <v>117</v>
      </c>
      <c r="O3800" s="199">
        <v>0.25</v>
      </c>
      <c r="P3800" s="188"/>
      <c r="Q3800" s="174">
        <f>IF(ISNUMBER(VLOOKUP(A3800,NotghiID!A:A,1,FALSE)),1,0)</f>
        <v>1</v>
      </c>
    </row>
    <row r="3801" spans="1:17" ht="14.25" x14ac:dyDescent="0.2">
      <c r="A3801" s="213">
        <v>177</v>
      </c>
      <c r="B3801" s="232" t="str">
        <f>IF(AND(A3801&lt;&gt;"",ISNUMBER(A3801)),VLOOKUP(A3801,Studies!A:BR,2,FALSE),"")</f>
        <v>Gorski 2003</v>
      </c>
      <c r="C3801" s="232" t="str">
        <f>IF(AND(A3801&lt;&gt;"",ISNUMBER(A3801)),VLOOKUP(A3801,Studies!A:BR,3,FALSE),"")</f>
        <v>https://www.ncbi.nlm.nih.gov/pubmed/12966371</v>
      </c>
      <c r="D3801" s="232" t="str">
        <f>IF(AND(A3801&lt;&gt;"",ISNUMBER(A3801)),VLOOKUP(A3801,Studies!A:BR,4,FALSE),"")</f>
        <v>po with Perpetrator (Rifampicin)</v>
      </c>
      <c r="E3801" s="206" t="str">
        <f>IF(AND(A3801&lt;&gt;"",ISNUMBER(A3801)),VLOOKUP(A3801,Studies!A:BR,5,FALSE),"")</f>
        <v>Midazolam</v>
      </c>
      <c r="F3801" s="207" t="str">
        <f>IF(AND(A3801&lt;&gt;"",ISNUMBER(A3801)),VLOOKUP(A3801,Studies!A:BR,6,FALSE),"")</f>
        <v>Whole Blood</v>
      </c>
      <c r="G3801" s="194">
        <v>133.75</v>
      </c>
      <c r="H3801" s="194" t="s">
        <v>60</v>
      </c>
      <c r="I3801" s="187">
        <v>1.0042219999999999</v>
      </c>
      <c r="J3801" s="187" t="s">
        <v>1063</v>
      </c>
      <c r="K3801" s="187" t="s">
        <v>389</v>
      </c>
      <c r="L3801" s="195">
        <v>0.8434218</v>
      </c>
      <c r="M3801" s="195" t="s">
        <v>1063</v>
      </c>
      <c r="N3801" s="195" t="s">
        <v>117</v>
      </c>
      <c r="O3801" s="199">
        <v>0.25</v>
      </c>
      <c r="P3801" s="188"/>
      <c r="Q3801" s="174">
        <f>IF(ISNUMBER(VLOOKUP(A3801,NotghiID!A:A,1,FALSE)),1,0)</f>
        <v>1</v>
      </c>
    </row>
    <row r="3802" spans="1:17" ht="14.25" x14ac:dyDescent="0.2">
      <c r="A3802" s="213">
        <v>177</v>
      </c>
      <c r="B3802" s="232" t="str">
        <f>IF(AND(A3802&lt;&gt;"",ISNUMBER(A3802)),VLOOKUP(A3802,Studies!A:BR,2,FALSE),"")</f>
        <v>Gorski 2003</v>
      </c>
      <c r="C3802" s="232" t="str">
        <f>IF(AND(A3802&lt;&gt;"",ISNUMBER(A3802)),VLOOKUP(A3802,Studies!A:BR,3,FALSE),"")</f>
        <v>https://www.ncbi.nlm.nih.gov/pubmed/12966371</v>
      </c>
      <c r="D3802" s="232" t="str">
        <f>IF(AND(A3802&lt;&gt;"",ISNUMBER(A3802)),VLOOKUP(A3802,Studies!A:BR,4,FALSE),"")</f>
        <v>po with Perpetrator (Rifampicin)</v>
      </c>
      <c r="E3802" s="206" t="str">
        <f>IF(AND(A3802&lt;&gt;"",ISNUMBER(A3802)),VLOOKUP(A3802,Studies!A:BR,5,FALSE),"")</f>
        <v>Midazolam</v>
      </c>
      <c r="F3802" s="207" t="str">
        <f>IF(AND(A3802&lt;&gt;"",ISNUMBER(A3802)),VLOOKUP(A3802,Studies!A:BR,6,FALSE),"")</f>
        <v>Whole Blood</v>
      </c>
      <c r="G3802" s="194">
        <v>134</v>
      </c>
      <c r="H3802" s="194" t="s">
        <v>60</v>
      </c>
      <c r="I3802" s="187">
        <v>0.81574270000000004</v>
      </c>
      <c r="J3802" s="187" t="s">
        <v>1063</v>
      </c>
      <c r="K3802" s="187" t="s">
        <v>389</v>
      </c>
      <c r="L3802" s="195">
        <v>0.57273560000000001</v>
      </c>
      <c r="M3802" s="195" t="s">
        <v>1063</v>
      </c>
      <c r="N3802" s="195" t="s">
        <v>117</v>
      </c>
      <c r="O3802" s="199">
        <v>0.25</v>
      </c>
      <c r="P3802" s="188"/>
      <c r="Q3802" s="174">
        <f>IF(ISNUMBER(VLOOKUP(A3802,NotghiID!A:A,1,FALSE)),1,0)</f>
        <v>1</v>
      </c>
    </row>
    <row r="3803" spans="1:17" ht="14.25" x14ac:dyDescent="0.2">
      <c r="A3803" s="213">
        <v>177</v>
      </c>
      <c r="B3803" s="232" t="str">
        <f>IF(AND(A3803&lt;&gt;"",ISNUMBER(A3803)),VLOOKUP(A3803,Studies!A:BR,2,FALSE),"")</f>
        <v>Gorski 2003</v>
      </c>
      <c r="C3803" s="232" t="str">
        <f>IF(AND(A3803&lt;&gt;"",ISNUMBER(A3803)),VLOOKUP(A3803,Studies!A:BR,3,FALSE),"")</f>
        <v>https://www.ncbi.nlm.nih.gov/pubmed/12966371</v>
      </c>
      <c r="D3803" s="232" t="str">
        <f>IF(AND(A3803&lt;&gt;"",ISNUMBER(A3803)),VLOOKUP(A3803,Studies!A:BR,4,FALSE),"")</f>
        <v>po with Perpetrator (Rifampicin)</v>
      </c>
      <c r="E3803" s="206" t="str">
        <f>IF(AND(A3803&lt;&gt;"",ISNUMBER(A3803)),VLOOKUP(A3803,Studies!A:BR,5,FALSE),"")</f>
        <v>Midazolam</v>
      </c>
      <c r="F3803" s="207" t="str">
        <f>IF(AND(A3803&lt;&gt;"",ISNUMBER(A3803)),VLOOKUP(A3803,Studies!A:BR,6,FALSE),"")</f>
        <v>Whole Blood</v>
      </c>
      <c r="G3803" s="194">
        <v>134.5</v>
      </c>
      <c r="H3803" s="194" t="s">
        <v>60</v>
      </c>
      <c r="I3803" s="187">
        <v>0.67105130000000002</v>
      </c>
      <c r="J3803" s="187" t="s">
        <v>1063</v>
      </c>
      <c r="K3803" s="187" t="s">
        <v>389</v>
      </c>
      <c r="L3803" s="195">
        <v>0.48606080000000002</v>
      </c>
      <c r="M3803" s="195" t="s">
        <v>1063</v>
      </c>
      <c r="N3803" s="195" t="s">
        <v>117</v>
      </c>
      <c r="O3803" s="199">
        <v>0.25</v>
      </c>
      <c r="P3803" s="188"/>
      <c r="Q3803" s="174">
        <f>IF(ISNUMBER(VLOOKUP(A3803,NotghiID!A:A,1,FALSE)),1,0)</f>
        <v>1</v>
      </c>
    </row>
    <row r="3804" spans="1:17" ht="14.25" x14ac:dyDescent="0.2">
      <c r="A3804" s="213">
        <v>177</v>
      </c>
      <c r="B3804" s="232" t="str">
        <f>IF(AND(A3804&lt;&gt;"",ISNUMBER(A3804)),VLOOKUP(A3804,Studies!A:BR,2,FALSE),"")</f>
        <v>Gorski 2003</v>
      </c>
      <c r="C3804" s="232" t="str">
        <f>IF(AND(A3804&lt;&gt;"",ISNUMBER(A3804)),VLOOKUP(A3804,Studies!A:BR,3,FALSE),"")</f>
        <v>https://www.ncbi.nlm.nih.gov/pubmed/12966371</v>
      </c>
      <c r="D3804" s="232" t="str">
        <f>IF(AND(A3804&lt;&gt;"",ISNUMBER(A3804)),VLOOKUP(A3804,Studies!A:BR,4,FALSE),"")</f>
        <v>po with Perpetrator (Rifampicin)</v>
      </c>
      <c r="E3804" s="206" t="str">
        <f>IF(AND(A3804&lt;&gt;"",ISNUMBER(A3804)),VLOOKUP(A3804,Studies!A:BR,5,FALSE),"")</f>
        <v>Midazolam</v>
      </c>
      <c r="F3804" s="207" t="str">
        <f>IF(AND(A3804&lt;&gt;"",ISNUMBER(A3804)),VLOOKUP(A3804,Studies!A:BR,6,FALSE),"")</f>
        <v>Whole Blood</v>
      </c>
      <c r="G3804" s="194">
        <v>135</v>
      </c>
      <c r="H3804" s="194" t="s">
        <v>60</v>
      </c>
      <c r="I3804" s="187">
        <v>0.61240450000000002</v>
      </c>
      <c r="J3804" s="187" t="s">
        <v>1063</v>
      </c>
      <c r="K3804" s="187" t="s">
        <v>389</v>
      </c>
      <c r="L3804" s="195">
        <v>0.31508789999999998</v>
      </c>
      <c r="M3804" s="195" t="s">
        <v>1063</v>
      </c>
      <c r="N3804" s="195" t="s">
        <v>117</v>
      </c>
      <c r="O3804" s="199">
        <v>0.25</v>
      </c>
      <c r="P3804" s="188"/>
      <c r="Q3804" s="174">
        <f>IF(ISNUMBER(VLOOKUP(A3804,NotghiID!A:A,1,FALSE)),1,0)</f>
        <v>1</v>
      </c>
    </row>
    <row r="3805" spans="1:17" ht="14.25" x14ac:dyDescent="0.2">
      <c r="A3805" s="213">
        <v>177</v>
      </c>
      <c r="B3805" s="232" t="str">
        <f>IF(AND(A3805&lt;&gt;"",ISNUMBER(A3805)),VLOOKUP(A3805,Studies!A:BR,2,FALSE),"")</f>
        <v>Gorski 2003</v>
      </c>
      <c r="C3805" s="232" t="str">
        <f>IF(AND(A3805&lt;&gt;"",ISNUMBER(A3805)),VLOOKUP(A3805,Studies!A:BR,3,FALSE),"")</f>
        <v>https://www.ncbi.nlm.nih.gov/pubmed/12966371</v>
      </c>
      <c r="D3805" s="232" t="str">
        <f>IF(AND(A3805&lt;&gt;"",ISNUMBER(A3805)),VLOOKUP(A3805,Studies!A:BR,4,FALSE),"")</f>
        <v>po with Perpetrator (Rifampicin)</v>
      </c>
      <c r="E3805" s="206" t="str">
        <f>IF(AND(A3805&lt;&gt;"",ISNUMBER(A3805)),VLOOKUP(A3805,Studies!A:BR,5,FALSE),"")</f>
        <v>Midazolam</v>
      </c>
      <c r="F3805" s="207" t="str">
        <f>IF(AND(A3805&lt;&gt;"",ISNUMBER(A3805)),VLOOKUP(A3805,Studies!A:BR,6,FALSE),"")</f>
        <v>Whole Blood</v>
      </c>
      <c r="G3805" s="194">
        <v>135.5</v>
      </c>
      <c r="H3805" s="194" t="s">
        <v>60</v>
      </c>
      <c r="I3805" s="187">
        <v>0.51036919999999997</v>
      </c>
      <c r="J3805" s="187" t="s">
        <v>1063</v>
      </c>
      <c r="K3805" s="187" t="s">
        <v>389</v>
      </c>
      <c r="L3805" s="195">
        <v>0.29328189999999998</v>
      </c>
      <c r="M3805" s="195" t="s">
        <v>1063</v>
      </c>
      <c r="N3805" s="195" t="s">
        <v>117</v>
      </c>
      <c r="O3805" s="199">
        <v>0.25</v>
      </c>
      <c r="P3805" s="188"/>
      <c r="Q3805" s="174">
        <f>IF(ISNUMBER(VLOOKUP(A3805,NotghiID!A:A,1,FALSE)),1,0)</f>
        <v>1</v>
      </c>
    </row>
    <row r="3806" spans="1:17" ht="14.25" x14ac:dyDescent="0.2">
      <c r="A3806" s="213">
        <v>177</v>
      </c>
      <c r="B3806" s="232" t="str">
        <f>IF(AND(A3806&lt;&gt;"",ISNUMBER(A3806)),VLOOKUP(A3806,Studies!A:BR,2,FALSE),"")</f>
        <v>Gorski 2003</v>
      </c>
      <c r="C3806" s="232" t="str">
        <f>IF(AND(A3806&lt;&gt;"",ISNUMBER(A3806)),VLOOKUP(A3806,Studies!A:BR,3,FALSE),"")</f>
        <v>https://www.ncbi.nlm.nih.gov/pubmed/12966371</v>
      </c>
      <c r="D3806" s="232" t="str">
        <f>IF(AND(A3806&lt;&gt;"",ISNUMBER(A3806)),VLOOKUP(A3806,Studies!A:BR,4,FALSE),"")</f>
        <v>po with Perpetrator (Rifampicin)</v>
      </c>
      <c r="E3806" s="206" t="str">
        <f>IF(AND(A3806&lt;&gt;"",ISNUMBER(A3806)),VLOOKUP(A3806,Studies!A:BR,5,FALSE),"")</f>
        <v>Midazolam</v>
      </c>
      <c r="F3806" s="207" t="str">
        <f>IF(AND(A3806&lt;&gt;"",ISNUMBER(A3806)),VLOOKUP(A3806,Studies!A:BR,6,FALSE),"")</f>
        <v>Whole Blood</v>
      </c>
      <c r="G3806" s="194">
        <v>136</v>
      </c>
      <c r="H3806" s="194" t="s">
        <v>60</v>
      </c>
      <c r="I3806" s="187">
        <v>0.50346570000000002</v>
      </c>
      <c r="J3806" s="187" t="s">
        <v>1063</v>
      </c>
      <c r="K3806" s="187" t="s">
        <v>389</v>
      </c>
      <c r="L3806" s="195">
        <v>0.25905489999999998</v>
      </c>
      <c r="M3806" s="195" t="s">
        <v>1063</v>
      </c>
      <c r="N3806" s="195" t="s">
        <v>117</v>
      </c>
      <c r="O3806" s="199">
        <v>0.25</v>
      </c>
      <c r="P3806" s="188"/>
      <c r="Q3806" s="174">
        <f>IF(ISNUMBER(VLOOKUP(A3806,NotghiID!A:A,1,FALSE)),1,0)</f>
        <v>1</v>
      </c>
    </row>
    <row r="3807" spans="1:17" ht="14.25" x14ac:dyDescent="0.2">
      <c r="A3807" s="213">
        <v>177</v>
      </c>
      <c r="B3807" s="232" t="str">
        <f>IF(AND(A3807&lt;&gt;"",ISNUMBER(A3807)),VLOOKUP(A3807,Studies!A:BR,2,FALSE),"")</f>
        <v>Gorski 2003</v>
      </c>
      <c r="C3807" s="232" t="str">
        <f>IF(AND(A3807&lt;&gt;"",ISNUMBER(A3807)),VLOOKUP(A3807,Studies!A:BR,3,FALSE),"")</f>
        <v>https://www.ncbi.nlm.nih.gov/pubmed/12966371</v>
      </c>
      <c r="D3807" s="232" t="str">
        <f>IF(AND(A3807&lt;&gt;"",ISNUMBER(A3807)),VLOOKUP(A3807,Studies!A:BR,4,FALSE),"")</f>
        <v>po with Perpetrator (Rifampicin)</v>
      </c>
      <c r="E3807" s="206" t="str">
        <f>IF(AND(A3807&lt;&gt;"",ISNUMBER(A3807)),VLOOKUP(A3807,Studies!A:BR,5,FALSE),"")</f>
        <v>Midazolam</v>
      </c>
      <c r="F3807" s="207" t="str">
        <f>IF(AND(A3807&lt;&gt;"",ISNUMBER(A3807)),VLOOKUP(A3807,Studies!A:BR,6,FALSE),"")</f>
        <v>Whole Blood</v>
      </c>
      <c r="G3807" s="194">
        <v>138</v>
      </c>
      <c r="H3807" s="194" t="s">
        <v>60</v>
      </c>
      <c r="I3807" s="187">
        <v>0.353773</v>
      </c>
      <c r="J3807" s="187" t="s">
        <v>1063</v>
      </c>
      <c r="K3807" s="187" t="s">
        <v>389</v>
      </c>
      <c r="L3807" s="195">
        <v>0.27229520000000002</v>
      </c>
      <c r="M3807" s="195" t="s">
        <v>1063</v>
      </c>
      <c r="N3807" s="195" t="s">
        <v>117</v>
      </c>
      <c r="O3807" s="199">
        <v>0.25</v>
      </c>
      <c r="P3807" s="189" t="s">
        <v>1159</v>
      </c>
      <c r="Q3807" s="174">
        <f>IF(ISNUMBER(VLOOKUP(A3807,NotghiID!A:A,1,FALSE)),1,0)</f>
        <v>1</v>
      </c>
    </row>
    <row r="3808" spans="1:17" ht="14.25" x14ac:dyDescent="0.2">
      <c r="A3808" s="213">
        <v>178</v>
      </c>
      <c r="B3808" s="232" t="str">
        <f>IF(AND(A3808&lt;&gt;"",ISNUMBER(A3808)),VLOOKUP(A3808,Studies!A:BR,2,FALSE),"")</f>
        <v>Gorski 2003</v>
      </c>
      <c r="C3808" s="232" t="str">
        <f>IF(AND(A3808&lt;&gt;"",ISNUMBER(A3808)),VLOOKUP(A3808,Studies!A:BR,3,FALSE),"")</f>
        <v>https://www.ncbi.nlm.nih.gov/pubmed/12966371</v>
      </c>
      <c r="D3808" s="232" t="str">
        <f>IF(AND(A3808&lt;&gt;"",ISNUMBER(A3808)),VLOOKUP(A3808,Studies!A:BR,4,FALSE),"")</f>
        <v>iv Control (Perpetrator Placebo)</v>
      </c>
      <c r="E3808" s="206" t="str">
        <f>IF(AND(A3808&lt;&gt;"",ISNUMBER(A3808)),VLOOKUP(A3808,Studies!A:BR,5,FALSE),"")</f>
        <v>Midazolam</v>
      </c>
      <c r="F3808" s="207" t="str">
        <f>IF(AND(A3808&lt;&gt;"",ISNUMBER(A3808)),VLOOKUP(A3808,Studies!A:BR,6,FALSE),"")</f>
        <v>Whole Blood</v>
      </c>
      <c r="G3808" s="194">
        <v>0.08</v>
      </c>
      <c r="H3808" s="194" t="s">
        <v>60</v>
      </c>
      <c r="I3808" s="187">
        <v>16.341270000000002</v>
      </c>
      <c r="J3808" s="187" t="s">
        <v>1063</v>
      </c>
      <c r="K3808" s="187" t="s">
        <v>389</v>
      </c>
      <c r="L3808" s="195">
        <v>3.6819380000000002</v>
      </c>
      <c r="M3808" s="195" t="s">
        <v>1063</v>
      </c>
      <c r="N3808" s="195" t="s">
        <v>117</v>
      </c>
      <c r="O3808" s="199">
        <v>0.25</v>
      </c>
      <c r="P3808" s="188"/>
      <c r="Q3808" s="174">
        <f>IF(ISNUMBER(VLOOKUP(A3808,NotghiID!A:A,1,FALSE)),1,0)</f>
        <v>1</v>
      </c>
    </row>
    <row r="3809" spans="1:17" ht="14.25" x14ac:dyDescent="0.2">
      <c r="A3809" s="213">
        <v>178</v>
      </c>
      <c r="B3809" s="232" t="str">
        <f>IF(AND(A3809&lt;&gt;"",ISNUMBER(A3809)),VLOOKUP(A3809,Studies!A:BR,2,FALSE),"")</f>
        <v>Gorski 2003</v>
      </c>
      <c r="C3809" s="232" t="str">
        <f>IF(AND(A3809&lt;&gt;"",ISNUMBER(A3809)),VLOOKUP(A3809,Studies!A:BR,3,FALSE),"")</f>
        <v>https://www.ncbi.nlm.nih.gov/pubmed/12966371</v>
      </c>
      <c r="D3809" s="232" t="str">
        <f>IF(AND(A3809&lt;&gt;"",ISNUMBER(A3809)),VLOOKUP(A3809,Studies!A:BR,4,FALSE),"")</f>
        <v>iv Control (Perpetrator Placebo)</v>
      </c>
      <c r="E3809" s="206" t="str">
        <f>IF(AND(A3809&lt;&gt;"",ISNUMBER(A3809)),VLOOKUP(A3809,Studies!A:BR,5,FALSE),"")</f>
        <v>Midazolam</v>
      </c>
      <c r="F3809" s="207" t="str">
        <f>IF(AND(A3809&lt;&gt;"",ISNUMBER(A3809)),VLOOKUP(A3809,Studies!A:BR,6,FALSE),"")</f>
        <v>Whole Blood</v>
      </c>
      <c r="G3809" s="194">
        <v>0.25</v>
      </c>
      <c r="H3809" s="194" t="s">
        <v>60</v>
      </c>
      <c r="I3809" s="187">
        <v>31.635639999999999</v>
      </c>
      <c r="J3809" s="187" t="s">
        <v>1063</v>
      </c>
      <c r="K3809" s="187" t="s">
        <v>389</v>
      </c>
      <c r="L3809" s="195">
        <v>12.0054</v>
      </c>
      <c r="M3809" s="195" t="s">
        <v>1063</v>
      </c>
      <c r="N3809" s="195" t="s">
        <v>117</v>
      </c>
      <c r="O3809" s="199">
        <v>0.25</v>
      </c>
      <c r="P3809" s="188"/>
      <c r="Q3809" s="174">
        <f>IF(ISNUMBER(VLOOKUP(A3809,NotghiID!A:A,1,FALSE)),1,0)</f>
        <v>1</v>
      </c>
    </row>
    <row r="3810" spans="1:17" ht="14.25" x14ac:dyDescent="0.2">
      <c r="A3810" s="213">
        <v>178</v>
      </c>
      <c r="B3810" s="232" t="str">
        <f>IF(AND(A3810&lt;&gt;"",ISNUMBER(A3810)),VLOOKUP(A3810,Studies!A:BR,2,FALSE),"")</f>
        <v>Gorski 2003</v>
      </c>
      <c r="C3810" s="232" t="str">
        <f>IF(AND(A3810&lt;&gt;"",ISNUMBER(A3810)),VLOOKUP(A3810,Studies!A:BR,3,FALSE),"")</f>
        <v>https://www.ncbi.nlm.nih.gov/pubmed/12966371</v>
      </c>
      <c r="D3810" s="232" t="str">
        <f>IF(AND(A3810&lt;&gt;"",ISNUMBER(A3810)),VLOOKUP(A3810,Studies!A:BR,4,FALSE),"")</f>
        <v>iv Control (Perpetrator Placebo)</v>
      </c>
      <c r="E3810" s="206" t="str">
        <f>IF(AND(A3810&lt;&gt;"",ISNUMBER(A3810)),VLOOKUP(A3810,Studies!A:BR,5,FALSE),"")</f>
        <v>Midazolam</v>
      </c>
      <c r="F3810" s="207" t="str">
        <f>IF(AND(A3810&lt;&gt;"",ISNUMBER(A3810)),VLOOKUP(A3810,Studies!A:BR,6,FALSE),"")</f>
        <v>Whole Blood</v>
      </c>
      <c r="G3810" s="194">
        <v>0.5</v>
      </c>
      <c r="H3810" s="194" t="s">
        <v>60</v>
      </c>
      <c r="I3810" s="187">
        <v>42.925829999999998</v>
      </c>
      <c r="J3810" s="187" t="s">
        <v>1063</v>
      </c>
      <c r="K3810" s="187" t="s">
        <v>389</v>
      </c>
      <c r="L3810" s="195">
        <v>14.31668</v>
      </c>
      <c r="M3810" s="195" t="s">
        <v>1063</v>
      </c>
      <c r="N3810" s="195" t="s">
        <v>117</v>
      </c>
      <c r="O3810" s="199">
        <v>0.25</v>
      </c>
      <c r="P3810" s="188"/>
      <c r="Q3810" s="174">
        <f>IF(ISNUMBER(VLOOKUP(A3810,NotghiID!A:A,1,FALSE)),1,0)</f>
        <v>1</v>
      </c>
    </row>
    <row r="3811" spans="1:17" ht="14.25" x14ac:dyDescent="0.2">
      <c r="A3811" s="213">
        <v>178</v>
      </c>
      <c r="B3811" s="232" t="str">
        <f>IF(AND(A3811&lt;&gt;"",ISNUMBER(A3811)),VLOOKUP(A3811,Studies!A:BR,2,FALSE),"")</f>
        <v>Gorski 2003</v>
      </c>
      <c r="C3811" s="232" t="str">
        <f>IF(AND(A3811&lt;&gt;"",ISNUMBER(A3811)),VLOOKUP(A3811,Studies!A:BR,3,FALSE),"")</f>
        <v>https://www.ncbi.nlm.nih.gov/pubmed/12966371</v>
      </c>
      <c r="D3811" s="232" t="str">
        <f>IF(AND(A3811&lt;&gt;"",ISNUMBER(A3811)),VLOOKUP(A3811,Studies!A:BR,4,FALSE),"")</f>
        <v>iv Control (Perpetrator Placebo)</v>
      </c>
      <c r="E3811" s="206" t="str">
        <f>IF(AND(A3811&lt;&gt;"",ISNUMBER(A3811)),VLOOKUP(A3811,Studies!A:BR,5,FALSE),"")</f>
        <v>Midazolam</v>
      </c>
      <c r="F3811" s="207" t="str">
        <f>IF(AND(A3811&lt;&gt;"",ISNUMBER(A3811)),VLOOKUP(A3811,Studies!A:BR,6,FALSE),"")</f>
        <v>Whole Blood</v>
      </c>
      <c r="G3811" s="194">
        <v>0.75</v>
      </c>
      <c r="H3811" s="194" t="s">
        <v>60</v>
      </c>
      <c r="I3811" s="187">
        <v>26.73086</v>
      </c>
      <c r="J3811" s="187" t="s">
        <v>1063</v>
      </c>
      <c r="K3811" s="187" t="s">
        <v>389</v>
      </c>
      <c r="L3811" s="195">
        <v>8.9163490000000003</v>
      </c>
      <c r="M3811" s="195" t="s">
        <v>1063</v>
      </c>
      <c r="N3811" s="195" t="s">
        <v>117</v>
      </c>
      <c r="O3811" s="199">
        <v>0.25</v>
      </c>
      <c r="P3811" s="188"/>
      <c r="Q3811" s="174">
        <f>IF(ISNUMBER(VLOOKUP(A3811,NotghiID!A:A,1,FALSE)),1,0)</f>
        <v>1</v>
      </c>
    </row>
    <row r="3812" spans="1:17" ht="14.25" x14ac:dyDescent="0.2">
      <c r="A3812" s="213">
        <v>178</v>
      </c>
      <c r="B3812" s="232" t="str">
        <f>IF(AND(A3812&lt;&gt;"",ISNUMBER(A3812)),VLOOKUP(A3812,Studies!A:BR,2,FALSE),"")</f>
        <v>Gorski 2003</v>
      </c>
      <c r="C3812" s="232" t="str">
        <f>IF(AND(A3812&lt;&gt;"",ISNUMBER(A3812)),VLOOKUP(A3812,Studies!A:BR,3,FALSE),"")</f>
        <v>https://www.ncbi.nlm.nih.gov/pubmed/12966371</v>
      </c>
      <c r="D3812" s="232" t="str">
        <f>IF(AND(A3812&lt;&gt;"",ISNUMBER(A3812)),VLOOKUP(A3812,Studies!A:BR,4,FALSE),"")</f>
        <v>iv Control (Perpetrator Placebo)</v>
      </c>
      <c r="E3812" s="206" t="str">
        <f>IF(AND(A3812&lt;&gt;"",ISNUMBER(A3812)),VLOOKUP(A3812,Studies!A:BR,5,FALSE),"")</f>
        <v>Midazolam</v>
      </c>
      <c r="F3812" s="207" t="str">
        <f>IF(AND(A3812&lt;&gt;"",ISNUMBER(A3812)),VLOOKUP(A3812,Studies!A:BR,6,FALSE),"")</f>
        <v>Whole Blood</v>
      </c>
      <c r="G3812" s="194">
        <v>1</v>
      </c>
      <c r="H3812" s="194" t="s">
        <v>60</v>
      </c>
      <c r="I3812" s="187">
        <v>22.57734</v>
      </c>
      <c r="J3812" s="187" t="s">
        <v>1063</v>
      </c>
      <c r="K3812" s="187" t="s">
        <v>389</v>
      </c>
      <c r="L3812" s="195">
        <v>7.024572</v>
      </c>
      <c r="M3812" s="195" t="s">
        <v>1063</v>
      </c>
      <c r="N3812" s="195" t="s">
        <v>117</v>
      </c>
      <c r="O3812" s="199">
        <v>0.25</v>
      </c>
      <c r="P3812" s="188"/>
      <c r="Q3812" s="174">
        <f>IF(ISNUMBER(VLOOKUP(A3812,NotghiID!A:A,1,FALSE)),1,0)</f>
        <v>1</v>
      </c>
    </row>
    <row r="3813" spans="1:17" ht="14.25" x14ac:dyDescent="0.2">
      <c r="A3813" s="213">
        <v>178</v>
      </c>
      <c r="B3813" s="232" t="str">
        <f>IF(AND(A3813&lt;&gt;"",ISNUMBER(A3813)),VLOOKUP(A3813,Studies!A:BR,2,FALSE),"")</f>
        <v>Gorski 2003</v>
      </c>
      <c r="C3813" s="232" t="str">
        <f>IF(AND(A3813&lt;&gt;"",ISNUMBER(A3813)),VLOOKUP(A3813,Studies!A:BR,3,FALSE),"")</f>
        <v>https://www.ncbi.nlm.nih.gov/pubmed/12966371</v>
      </c>
      <c r="D3813" s="232" t="str">
        <f>IF(AND(A3813&lt;&gt;"",ISNUMBER(A3813)),VLOOKUP(A3813,Studies!A:BR,4,FALSE),"")</f>
        <v>iv Control (Perpetrator Placebo)</v>
      </c>
      <c r="E3813" s="206" t="str">
        <f>IF(AND(A3813&lt;&gt;"",ISNUMBER(A3813)),VLOOKUP(A3813,Studies!A:BR,5,FALSE),"")</f>
        <v>Midazolam</v>
      </c>
      <c r="F3813" s="207" t="str">
        <f>IF(AND(A3813&lt;&gt;"",ISNUMBER(A3813)),VLOOKUP(A3813,Studies!A:BR,6,FALSE),"")</f>
        <v>Whole Blood</v>
      </c>
      <c r="G3813" s="194">
        <v>1.5</v>
      </c>
      <c r="H3813" s="194" t="s">
        <v>60</v>
      </c>
      <c r="I3813" s="187">
        <v>18.132190000000001</v>
      </c>
      <c r="J3813" s="187" t="s">
        <v>1063</v>
      </c>
      <c r="K3813" s="187" t="s">
        <v>389</v>
      </c>
      <c r="L3813" s="195">
        <v>13.57058</v>
      </c>
      <c r="M3813" s="195" t="s">
        <v>1063</v>
      </c>
      <c r="N3813" s="195" t="s">
        <v>117</v>
      </c>
      <c r="O3813" s="199">
        <v>0.25</v>
      </c>
      <c r="P3813" s="188"/>
      <c r="Q3813" s="174">
        <f>IF(ISNUMBER(VLOOKUP(A3813,NotghiID!A:A,1,FALSE)),1,0)</f>
        <v>1</v>
      </c>
    </row>
    <row r="3814" spans="1:17" ht="14.25" x14ac:dyDescent="0.2">
      <c r="A3814" s="213">
        <v>178</v>
      </c>
      <c r="B3814" s="232" t="str">
        <f>IF(AND(A3814&lt;&gt;"",ISNUMBER(A3814)),VLOOKUP(A3814,Studies!A:BR,2,FALSE),"")</f>
        <v>Gorski 2003</v>
      </c>
      <c r="C3814" s="232" t="str">
        <f>IF(AND(A3814&lt;&gt;"",ISNUMBER(A3814)),VLOOKUP(A3814,Studies!A:BR,3,FALSE),"")</f>
        <v>https://www.ncbi.nlm.nih.gov/pubmed/12966371</v>
      </c>
      <c r="D3814" s="232" t="str">
        <f>IF(AND(A3814&lt;&gt;"",ISNUMBER(A3814)),VLOOKUP(A3814,Studies!A:BR,4,FALSE),"")</f>
        <v>iv Control (Perpetrator Placebo)</v>
      </c>
      <c r="E3814" s="206" t="str">
        <f>IF(AND(A3814&lt;&gt;"",ISNUMBER(A3814)),VLOOKUP(A3814,Studies!A:BR,5,FALSE),"")</f>
        <v>Midazolam</v>
      </c>
      <c r="F3814" s="207" t="str">
        <f>IF(AND(A3814&lt;&gt;"",ISNUMBER(A3814)),VLOOKUP(A3814,Studies!A:BR,6,FALSE),"")</f>
        <v>Whole Blood</v>
      </c>
      <c r="G3814" s="194">
        <v>2</v>
      </c>
      <c r="H3814" s="194" t="s">
        <v>60</v>
      </c>
      <c r="I3814" s="187">
        <v>15.58304</v>
      </c>
      <c r="J3814" s="187" t="s">
        <v>1063</v>
      </c>
      <c r="K3814" s="187" t="s">
        <v>389</v>
      </c>
      <c r="L3814" s="195">
        <v>9.4504760000000001</v>
      </c>
      <c r="M3814" s="195" t="s">
        <v>1063</v>
      </c>
      <c r="N3814" s="195" t="s">
        <v>117</v>
      </c>
      <c r="O3814" s="199">
        <v>0.25</v>
      </c>
      <c r="P3814" s="188"/>
      <c r="Q3814" s="174">
        <f>IF(ISNUMBER(VLOOKUP(A3814,NotghiID!A:A,1,FALSE)),1,0)</f>
        <v>1</v>
      </c>
    </row>
    <row r="3815" spans="1:17" ht="14.25" x14ac:dyDescent="0.2">
      <c r="A3815" s="213">
        <v>178</v>
      </c>
      <c r="B3815" s="232" t="str">
        <f>IF(AND(A3815&lt;&gt;"",ISNUMBER(A3815)),VLOOKUP(A3815,Studies!A:BR,2,FALSE),"")</f>
        <v>Gorski 2003</v>
      </c>
      <c r="C3815" s="232" t="str">
        <f>IF(AND(A3815&lt;&gt;"",ISNUMBER(A3815)),VLOOKUP(A3815,Studies!A:BR,3,FALSE),"")</f>
        <v>https://www.ncbi.nlm.nih.gov/pubmed/12966371</v>
      </c>
      <c r="D3815" s="232" t="str">
        <f>IF(AND(A3815&lt;&gt;"",ISNUMBER(A3815)),VLOOKUP(A3815,Studies!A:BR,4,FALSE),"")</f>
        <v>iv Control (Perpetrator Placebo)</v>
      </c>
      <c r="E3815" s="206" t="str">
        <f>IF(AND(A3815&lt;&gt;"",ISNUMBER(A3815)),VLOOKUP(A3815,Studies!A:BR,5,FALSE),"")</f>
        <v>Midazolam</v>
      </c>
      <c r="F3815" s="207" t="str">
        <f>IF(AND(A3815&lt;&gt;"",ISNUMBER(A3815)),VLOOKUP(A3815,Studies!A:BR,6,FALSE),"")</f>
        <v>Whole Blood</v>
      </c>
      <c r="G3815" s="194">
        <v>2.5</v>
      </c>
      <c r="H3815" s="194" t="s">
        <v>60</v>
      </c>
      <c r="I3815" s="187">
        <v>12.51497</v>
      </c>
      <c r="J3815" s="187" t="s">
        <v>1063</v>
      </c>
      <c r="K3815" s="187" t="s">
        <v>389</v>
      </c>
      <c r="L3815" s="195">
        <v>7.5903960000000001</v>
      </c>
      <c r="M3815" s="195" t="s">
        <v>1063</v>
      </c>
      <c r="N3815" s="195" t="s">
        <v>117</v>
      </c>
      <c r="O3815" s="199">
        <v>0.25</v>
      </c>
      <c r="P3815" s="188"/>
      <c r="Q3815" s="174">
        <f>IF(ISNUMBER(VLOOKUP(A3815,NotghiID!A:A,1,FALSE)),1,0)</f>
        <v>1</v>
      </c>
    </row>
    <row r="3816" spans="1:17" ht="14.25" x14ac:dyDescent="0.2">
      <c r="A3816" s="213">
        <v>178</v>
      </c>
      <c r="B3816" s="232" t="str">
        <f>IF(AND(A3816&lt;&gt;"",ISNUMBER(A3816)),VLOOKUP(A3816,Studies!A:BR,2,FALSE),"")</f>
        <v>Gorski 2003</v>
      </c>
      <c r="C3816" s="232" t="str">
        <f>IF(AND(A3816&lt;&gt;"",ISNUMBER(A3816)),VLOOKUP(A3816,Studies!A:BR,3,FALSE),"")</f>
        <v>https://www.ncbi.nlm.nih.gov/pubmed/12966371</v>
      </c>
      <c r="D3816" s="232" t="str">
        <f>IF(AND(A3816&lt;&gt;"",ISNUMBER(A3816)),VLOOKUP(A3816,Studies!A:BR,4,FALSE),"")</f>
        <v>iv Control (Perpetrator Placebo)</v>
      </c>
      <c r="E3816" s="206" t="str">
        <f>IF(AND(A3816&lt;&gt;"",ISNUMBER(A3816)),VLOOKUP(A3816,Studies!A:BR,5,FALSE),"")</f>
        <v>Midazolam</v>
      </c>
      <c r="F3816" s="207" t="str">
        <f>IF(AND(A3816&lt;&gt;"",ISNUMBER(A3816)),VLOOKUP(A3816,Studies!A:BR,6,FALSE),"")</f>
        <v>Whole Blood</v>
      </c>
      <c r="G3816" s="194">
        <v>3</v>
      </c>
      <c r="H3816" s="194" t="s">
        <v>60</v>
      </c>
      <c r="I3816" s="187">
        <v>11.125629999999999</v>
      </c>
      <c r="J3816" s="187" t="s">
        <v>1063</v>
      </c>
      <c r="K3816" s="187" t="s">
        <v>389</v>
      </c>
      <c r="L3816" s="195">
        <v>5.2969900000000001</v>
      </c>
      <c r="M3816" s="195" t="s">
        <v>1063</v>
      </c>
      <c r="N3816" s="195" t="s">
        <v>117</v>
      </c>
      <c r="O3816" s="199">
        <v>0.25</v>
      </c>
      <c r="P3816" s="188"/>
      <c r="Q3816" s="174">
        <f>IF(ISNUMBER(VLOOKUP(A3816,NotghiID!A:A,1,FALSE)),1,0)</f>
        <v>1</v>
      </c>
    </row>
    <row r="3817" spans="1:17" ht="14.25" x14ac:dyDescent="0.2">
      <c r="A3817" s="213">
        <v>178</v>
      </c>
      <c r="B3817" s="232" t="str">
        <f>IF(AND(A3817&lt;&gt;"",ISNUMBER(A3817)),VLOOKUP(A3817,Studies!A:BR,2,FALSE),"")</f>
        <v>Gorski 2003</v>
      </c>
      <c r="C3817" s="232" t="str">
        <f>IF(AND(A3817&lt;&gt;"",ISNUMBER(A3817)),VLOOKUP(A3817,Studies!A:BR,3,FALSE),"")</f>
        <v>https://www.ncbi.nlm.nih.gov/pubmed/12966371</v>
      </c>
      <c r="D3817" s="232" t="str">
        <f>IF(AND(A3817&lt;&gt;"",ISNUMBER(A3817)),VLOOKUP(A3817,Studies!A:BR,4,FALSE),"")</f>
        <v>iv Control (Perpetrator Placebo)</v>
      </c>
      <c r="E3817" s="206" t="str">
        <f>IF(AND(A3817&lt;&gt;"",ISNUMBER(A3817)),VLOOKUP(A3817,Studies!A:BR,5,FALSE),"")</f>
        <v>Midazolam</v>
      </c>
      <c r="F3817" s="207" t="str">
        <f>IF(AND(A3817&lt;&gt;"",ISNUMBER(A3817)),VLOOKUP(A3817,Studies!A:BR,6,FALSE),"")</f>
        <v>Whole Blood</v>
      </c>
      <c r="G3817" s="194">
        <v>4</v>
      </c>
      <c r="H3817" s="194" t="s">
        <v>60</v>
      </c>
      <c r="I3817" s="187">
        <v>8.6449440000000006</v>
      </c>
      <c r="J3817" s="187" t="s">
        <v>1063</v>
      </c>
      <c r="K3817" s="187" t="s">
        <v>389</v>
      </c>
      <c r="L3817" s="195">
        <v>5.0100530000000001</v>
      </c>
      <c r="M3817" s="195" t="s">
        <v>1063</v>
      </c>
      <c r="N3817" s="195" t="s">
        <v>117</v>
      </c>
      <c r="O3817" s="199">
        <v>0.25</v>
      </c>
      <c r="P3817" s="188"/>
      <c r="Q3817" s="174">
        <f>IF(ISNUMBER(VLOOKUP(A3817,NotghiID!A:A,1,FALSE)),1,0)</f>
        <v>1</v>
      </c>
    </row>
    <row r="3818" spans="1:17" ht="14.25" x14ac:dyDescent="0.2">
      <c r="A3818" s="213">
        <v>178</v>
      </c>
      <c r="B3818" s="232" t="str">
        <f>IF(AND(A3818&lt;&gt;"",ISNUMBER(A3818)),VLOOKUP(A3818,Studies!A:BR,2,FALSE),"")</f>
        <v>Gorski 2003</v>
      </c>
      <c r="C3818" s="232" t="str">
        <f>IF(AND(A3818&lt;&gt;"",ISNUMBER(A3818)),VLOOKUP(A3818,Studies!A:BR,3,FALSE),"")</f>
        <v>https://www.ncbi.nlm.nih.gov/pubmed/12966371</v>
      </c>
      <c r="D3818" s="232" t="str">
        <f>IF(AND(A3818&lt;&gt;"",ISNUMBER(A3818)),VLOOKUP(A3818,Studies!A:BR,4,FALSE),"")</f>
        <v>iv Control (Perpetrator Placebo)</v>
      </c>
      <c r="E3818" s="206" t="str">
        <f>IF(AND(A3818&lt;&gt;"",ISNUMBER(A3818)),VLOOKUP(A3818,Studies!A:BR,5,FALSE),"")</f>
        <v>Midazolam</v>
      </c>
      <c r="F3818" s="207" t="str">
        <f>IF(AND(A3818&lt;&gt;"",ISNUMBER(A3818)),VLOOKUP(A3818,Studies!A:BR,6,FALSE),"")</f>
        <v>Whole Blood</v>
      </c>
      <c r="G3818" s="194">
        <v>6</v>
      </c>
      <c r="H3818" s="194" t="s">
        <v>60</v>
      </c>
      <c r="I3818" s="187">
        <v>6.2880979999999997</v>
      </c>
      <c r="J3818" s="187" t="s">
        <v>1063</v>
      </c>
      <c r="K3818" s="187" t="s">
        <v>389</v>
      </c>
      <c r="L3818" s="195">
        <v>5.4765290000000002</v>
      </c>
      <c r="M3818" s="195" t="s">
        <v>1063</v>
      </c>
      <c r="N3818" s="195" t="s">
        <v>117</v>
      </c>
      <c r="O3818" s="199">
        <v>0.25</v>
      </c>
      <c r="P3818" s="188"/>
      <c r="Q3818" s="174">
        <f>IF(ISNUMBER(VLOOKUP(A3818,NotghiID!A:A,1,FALSE)),1,0)</f>
        <v>1</v>
      </c>
    </row>
    <row r="3819" spans="1:17" ht="14.25" x14ac:dyDescent="0.2">
      <c r="A3819" s="213">
        <v>178</v>
      </c>
      <c r="B3819" s="232" t="str">
        <f>IF(AND(A3819&lt;&gt;"",ISNUMBER(A3819)),VLOOKUP(A3819,Studies!A:BR,2,FALSE),"")</f>
        <v>Gorski 2003</v>
      </c>
      <c r="C3819" s="232" t="str">
        <f>IF(AND(A3819&lt;&gt;"",ISNUMBER(A3819)),VLOOKUP(A3819,Studies!A:BR,3,FALSE),"")</f>
        <v>https://www.ncbi.nlm.nih.gov/pubmed/12966371</v>
      </c>
      <c r="D3819" s="232" t="str">
        <f>IF(AND(A3819&lt;&gt;"",ISNUMBER(A3819)),VLOOKUP(A3819,Studies!A:BR,4,FALSE),"")</f>
        <v>iv Control (Perpetrator Placebo)</v>
      </c>
      <c r="E3819" s="206" t="str">
        <f>IF(AND(A3819&lt;&gt;"",ISNUMBER(A3819)),VLOOKUP(A3819,Studies!A:BR,5,FALSE),"")</f>
        <v>Midazolam</v>
      </c>
      <c r="F3819" s="207" t="str">
        <f>IF(AND(A3819&lt;&gt;"",ISNUMBER(A3819)),VLOOKUP(A3819,Studies!A:BR,6,FALSE),"")</f>
        <v>Whole Blood</v>
      </c>
      <c r="G3819" s="194">
        <v>8</v>
      </c>
      <c r="H3819" s="194" t="s">
        <v>60</v>
      </c>
      <c r="I3819" s="187">
        <v>3.9944130000000002</v>
      </c>
      <c r="J3819" s="187" t="s">
        <v>1063</v>
      </c>
      <c r="K3819" s="187" t="s">
        <v>389</v>
      </c>
      <c r="L3819" s="195">
        <v>2.1050149999999999</v>
      </c>
      <c r="M3819" s="195" t="s">
        <v>1063</v>
      </c>
      <c r="N3819" s="195" t="s">
        <v>117</v>
      </c>
      <c r="O3819" s="199">
        <v>0.25</v>
      </c>
      <c r="P3819" s="188"/>
      <c r="Q3819" s="174">
        <f>IF(ISNUMBER(VLOOKUP(A3819,NotghiID!A:A,1,FALSE)),1,0)</f>
        <v>1</v>
      </c>
    </row>
    <row r="3820" spans="1:17" ht="14.25" x14ac:dyDescent="0.2">
      <c r="A3820" s="213">
        <v>178</v>
      </c>
      <c r="B3820" s="232" t="str">
        <f>IF(AND(A3820&lt;&gt;"",ISNUMBER(A3820)),VLOOKUP(A3820,Studies!A:BR,2,FALSE),"")</f>
        <v>Gorski 2003</v>
      </c>
      <c r="C3820" s="232" t="str">
        <f>IF(AND(A3820&lt;&gt;"",ISNUMBER(A3820)),VLOOKUP(A3820,Studies!A:BR,3,FALSE),"")</f>
        <v>https://www.ncbi.nlm.nih.gov/pubmed/12966371</v>
      </c>
      <c r="D3820" s="232" t="str">
        <f>IF(AND(A3820&lt;&gt;"",ISNUMBER(A3820)),VLOOKUP(A3820,Studies!A:BR,4,FALSE),"")</f>
        <v>iv Control (Perpetrator Placebo)</v>
      </c>
      <c r="E3820" s="206" t="str">
        <f>IF(AND(A3820&lt;&gt;"",ISNUMBER(A3820)),VLOOKUP(A3820,Studies!A:BR,5,FALSE),"")</f>
        <v>Midazolam</v>
      </c>
      <c r="F3820" s="207" t="str">
        <f>IF(AND(A3820&lt;&gt;"",ISNUMBER(A3820)),VLOOKUP(A3820,Studies!A:BR,6,FALSE),"")</f>
        <v>Whole Blood</v>
      </c>
      <c r="G3820" s="194">
        <v>10</v>
      </c>
      <c r="H3820" s="194" t="s">
        <v>60</v>
      </c>
      <c r="I3820" s="187">
        <v>3.056991</v>
      </c>
      <c r="J3820" s="187" t="s">
        <v>1063</v>
      </c>
      <c r="K3820" s="187" t="s">
        <v>389</v>
      </c>
      <c r="L3820" s="195">
        <v>1.6904330000000001</v>
      </c>
      <c r="M3820" s="195" t="s">
        <v>1063</v>
      </c>
      <c r="N3820" s="195" t="s">
        <v>117</v>
      </c>
      <c r="O3820" s="199">
        <v>0.25</v>
      </c>
      <c r="P3820" s="189" t="s">
        <v>1158</v>
      </c>
      <c r="Q3820" s="174">
        <f>IF(ISNUMBER(VLOOKUP(A3820,NotghiID!A:A,1,FALSE)),1,0)</f>
        <v>1</v>
      </c>
    </row>
    <row r="3821" spans="1:17" ht="14.25" x14ac:dyDescent="0.2">
      <c r="A3821" s="213">
        <v>179</v>
      </c>
      <c r="B3821" s="232" t="str">
        <f>IF(AND(A3821&lt;&gt;"",ISNUMBER(A3821)),VLOOKUP(A3821,Studies!A:BR,2,FALSE),"")</f>
        <v>Gorski 2003</v>
      </c>
      <c r="C3821" s="232" t="str">
        <f>IF(AND(A3821&lt;&gt;"",ISNUMBER(A3821)),VLOOKUP(A3821,Studies!A:BR,3,FALSE),"")</f>
        <v>https://www.ncbi.nlm.nih.gov/pubmed/12966371</v>
      </c>
      <c r="D3821" s="232" t="str">
        <f>IF(AND(A3821&lt;&gt;"",ISNUMBER(A3821)),VLOOKUP(A3821,Studies!A:BR,4,FALSE),"")</f>
        <v>iv with Perpetrator (Rifampicin)</v>
      </c>
      <c r="E3821" s="206" t="str">
        <f>IF(AND(A3821&lt;&gt;"",ISNUMBER(A3821)),VLOOKUP(A3821,Studies!A:BR,5,FALSE),"")</f>
        <v>Midazolam</v>
      </c>
      <c r="F3821" s="207" t="str">
        <f>IF(AND(A3821&lt;&gt;"",ISNUMBER(A3821)),VLOOKUP(A3821,Studies!A:BR,6,FALSE),"")</f>
        <v>Whole Blood</v>
      </c>
      <c r="G3821" s="194">
        <v>132.25</v>
      </c>
      <c r="H3821" s="194" t="s">
        <v>60</v>
      </c>
      <c r="I3821" s="187">
        <v>28.57978</v>
      </c>
      <c r="J3821" s="187" t="s">
        <v>1063</v>
      </c>
      <c r="K3821" s="187" t="s">
        <v>389</v>
      </c>
      <c r="L3821" s="195">
        <v>1.90735E-6</v>
      </c>
      <c r="M3821" s="195" t="s">
        <v>1063</v>
      </c>
      <c r="N3821" s="195" t="s">
        <v>117</v>
      </c>
      <c r="O3821" s="199">
        <v>0.25</v>
      </c>
      <c r="P3821" s="189" t="s">
        <v>1160</v>
      </c>
      <c r="Q3821" s="174">
        <f>IF(ISNUMBER(VLOOKUP(A3821,NotghiID!A:A,1,FALSE)),1,0)</f>
        <v>1</v>
      </c>
    </row>
    <row r="3822" spans="1:17" ht="14.25" x14ac:dyDescent="0.2">
      <c r="A3822" s="213">
        <v>179</v>
      </c>
      <c r="B3822" s="232" t="str">
        <f>IF(AND(A3822&lt;&gt;"",ISNUMBER(A3822)),VLOOKUP(A3822,Studies!A:BR,2,FALSE),"")</f>
        <v>Gorski 2003</v>
      </c>
      <c r="C3822" s="232" t="str">
        <f>IF(AND(A3822&lt;&gt;"",ISNUMBER(A3822)),VLOOKUP(A3822,Studies!A:BR,3,FALSE),"")</f>
        <v>https://www.ncbi.nlm.nih.gov/pubmed/12966371</v>
      </c>
      <c r="D3822" s="232" t="str">
        <f>IF(AND(A3822&lt;&gt;"",ISNUMBER(A3822)),VLOOKUP(A3822,Studies!A:BR,4,FALSE),"")</f>
        <v>iv with Perpetrator (Rifampicin)</v>
      </c>
      <c r="E3822" s="206" t="str">
        <f>IF(AND(A3822&lt;&gt;"",ISNUMBER(A3822)),VLOOKUP(A3822,Studies!A:BR,5,FALSE),"")</f>
        <v>Midazolam</v>
      </c>
      <c r="F3822" s="207" t="str">
        <f>IF(AND(A3822&lt;&gt;"",ISNUMBER(A3822)),VLOOKUP(A3822,Studies!A:BR,6,FALSE),"")</f>
        <v>Whole Blood</v>
      </c>
      <c r="G3822" s="194">
        <v>132.5</v>
      </c>
      <c r="H3822" s="194" t="s">
        <v>60</v>
      </c>
      <c r="I3822" s="187">
        <v>33.867060000000002</v>
      </c>
      <c r="J3822" s="187" t="s">
        <v>1063</v>
      </c>
      <c r="K3822" s="187" t="s">
        <v>389</v>
      </c>
      <c r="L3822" s="195">
        <v>0.57727810000000002</v>
      </c>
      <c r="M3822" s="195" t="s">
        <v>1063</v>
      </c>
      <c r="N3822" s="195" t="s">
        <v>117</v>
      </c>
      <c r="O3822" s="199">
        <v>0.25</v>
      </c>
      <c r="P3822" s="188"/>
      <c r="Q3822" s="174">
        <f>IF(ISNUMBER(VLOOKUP(A3822,NotghiID!A:A,1,FALSE)),1,0)</f>
        <v>1</v>
      </c>
    </row>
    <row r="3823" spans="1:17" ht="14.25" x14ac:dyDescent="0.2">
      <c r="A3823" s="213">
        <v>179</v>
      </c>
      <c r="B3823" s="232" t="str">
        <f>IF(AND(A3823&lt;&gt;"",ISNUMBER(A3823)),VLOOKUP(A3823,Studies!A:BR,2,FALSE),"")</f>
        <v>Gorski 2003</v>
      </c>
      <c r="C3823" s="232" t="str">
        <f>IF(AND(A3823&lt;&gt;"",ISNUMBER(A3823)),VLOOKUP(A3823,Studies!A:BR,3,FALSE),"")</f>
        <v>https://www.ncbi.nlm.nih.gov/pubmed/12966371</v>
      </c>
      <c r="D3823" s="232" t="str">
        <f>IF(AND(A3823&lt;&gt;"",ISNUMBER(A3823)),VLOOKUP(A3823,Studies!A:BR,4,FALSE),"")</f>
        <v>iv with Perpetrator (Rifampicin)</v>
      </c>
      <c r="E3823" s="206" t="str">
        <f>IF(AND(A3823&lt;&gt;"",ISNUMBER(A3823)),VLOOKUP(A3823,Studies!A:BR,5,FALSE),"")</f>
        <v>Midazolam</v>
      </c>
      <c r="F3823" s="207" t="str">
        <f>IF(AND(A3823&lt;&gt;"",ISNUMBER(A3823)),VLOOKUP(A3823,Studies!A:BR,6,FALSE),"")</f>
        <v>Whole Blood</v>
      </c>
      <c r="G3823" s="194">
        <v>132.75</v>
      </c>
      <c r="H3823" s="194" t="s">
        <v>60</v>
      </c>
      <c r="I3823" s="187">
        <v>23.34544</v>
      </c>
      <c r="J3823" s="187" t="s">
        <v>1063</v>
      </c>
      <c r="K3823" s="187" t="s">
        <v>389</v>
      </c>
      <c r="L3823" s="195">
        <v>20.332370000000001</v>
      </c>
      <c r="M3823" s="195" t="s">
        <v>1063</v>
      </c>
      <c r="N3823" s="195" t="s">
        <v>117</v>
      </c>
      <c r="O3823" s="199">
        <v>0.25</v>
      </c>
      <c r="P3823" s="188"/>
      <c r="Q3823" s="174">
        <f>IF(ISNUMBER(VLOOKUP(A3823,NotghiID!A:A,1,FALSE)),1,0)</f>
        <v>1</v>
      </c>
    </row>
    <row r="3824" spans="1:17" ht="14.25" x14ac:dyDescent="0.2">
      <c r="A3824" s="213">
        <v>179</v>
      </c>
      <c r="B3824" s="232" t="str">
        <f>IF(AND(A3824&lt;&gt;"",ISNUMBER(A3824)),VLOOKUP(A3824,Studies!A:BR,2,FALSE),"")</f>
        <v>Gorski 2003</v>
      </c>
      <c r="C3824" s="232" t="str">
        <f>IF(AND(A3824&lt;&gt;"",ISNUMBER(A3824)),VLOOKUP(A3824,Studies!A:BR,3,FALSE),"")</f>
        <v>https://www.ncbi.nlm.nih.gov/pubmed/12966371</v>
      </c>
      <c r="D3824" s="232" t="str">
        <f>IF(AND(A3824&lt;&gt;"",ISNUMBER(A3824)),VLOOKUP(A3824,Studies!A:BR,4,FALSE),"")</f>
        <v>iv with Perpetrator (Rifampicin)</v>
      </c>
      <c r="E3824" s="206" t="str">
        <f>IF(AND(A3824&lt;&gt;"",ISNUMBER(A3824)),VLOOKUP(A3824,Studies!A:BR,5,FALSE),"")</f>
        <v>Midazolam</v>
      </c>
      <c r="F3824" s="207" t="str">
        <f>IF(AND(A3824&lt;&gt;"",ISNUMBER(A3824)),VLOOKUP(A3824,Studies!A:BR,6,FALSE),"")</f>
        <v>Whole Blood</v>
      </c>
      <c r="G3824" s="194">
        <v>133</v>
      </c>
      <c r="H3824" s="194" t="s">
        <v>60</v>
      </c>
      <c r="I3824" s="187">
        <v>14.53772</v>
      </c>
      <c r="J3824" s="187" t="s">
        <v>1063</v>
      </c>
      <c r="K3824" s="187" t="s">
        <v>389</v>
      </c>
      <c r="L3824" s="195">
        <v>3.8885480000000001</v>
      </c>
      <c r="M3824" s="195" t="s">
        <v>1063</v>
      </c>
      <c r="N3824" s="195" t="s">
        <v>117</v>
      </c>
      <c r="O3824" s="199">
        <v>0.25</v>
      </c>
      <c r="P3824" s="188"/>
      <c r="Q3824" s="174">
        <f>IF(ISNUMBER(VLOOKUP(A3824,NotghiID!A:A,1,FALSE)),1,0)</f>
        <v>1</v>
      </c>
    </row>
    <row r="3825" spans="1:17" ht="14.25" x14ac:dyDescent="0.2">
      <c r="A3825" s="213">
        <v>179</v>
      </c>
      <c r="B3825" s="232" t="str">
        <f>IF(AND(A3825&lt;&gt;"",ISNUMBER(A3825)),VLOOKUP(A3825,Studies!A:BR,2,FALSE),"")</f>
        <v>Gorski 2003</v>
      </c>
      <c r="C3825" s="232" t="str">
        <f>IF(AND(A3825&lt;&gt;"",ISNUMBER(A3825)),VLOOKUP(A3825,Studies!A:BR,3,FALSE),"")</f>
        <v>https://www.ncbi.nlm.nih.gov/pubmed/12966371</v>
      </c>
      <c r="D3825" s="232" t="str">
        <f>IF(AND(A3825&lt;&gt;"",ISNUMBER(A3825)),VLOOKUP(A3825,Studies!A:BR,4,FALSE),"")</f>
        <v>iv with Perpetrator (Rifampicin)</v>
      </c>
      <c r="E3825" s="206" t="str">
        <f>IF(AND(A3825&lt;&gt;"",ISNUMBER(A3825)),VLOOKUP(A3825,Studies!A:BR,5,FALSE),"")</f>
        <v>Midazolam</v>
      </c>
      <c r="F3825" s="207" t="str">
        <f>IF(AND(A3825&lt;&gt;"",ISNUMBER(A3825)),VLOOKUP(A3825,Studies!A:BR,6,FALSE),"")</f>
        <v>Whole Blood</v>
      </c>
      <c r="G3825" s="194">
        <v>133.25</v>
      </c>
      <c r="H3825" s="194" t="s">
        <v>60</v>
      </c>
      <c r="I3825" s="187">
        <v>11.092409999999999</v>
      </c>
      <c r="J3825" s="187" t="s">
        <v>1063</v>
      </c>
      <c r="K3825" s="187" t="s">
        <v>389</v>
      </c>
      <c r="L3825" s="195">
        <v>3.699551</v>
      </c>
      <c r="M3825" s="195" t="s">
        <v>1063</v>
      </c>
      <c r="N3825" s="195" t="s">
        <v>117</v>
      </c>
      <c r="O3825" s="199">
        <v>0.25</v>
      </c>
      <c r="P3825" s="188"/>
      <c r="Q3825" s="174">
        <f>IF(ISNUMBER(VLOOKUP(A3825,NotghiID!A:A,1,FALSE)),1,0)</f>
        <v>1</v>
      </c>
    </row>
    <row r="3826" spans="1:17" ht="14.25" x14ac:dyDescent="0.2">
      <c r="A3826" s="213">
        <v>179</v>
      </c>
      <c r="B3826" s="232" t="str">
        <f>IF(AND(A3826&lt;&gt;"",ISNUMBER(A3826)),VLOOKUP(A3826,Studies!A:BR,2,FALSE),"")</f>
        <v>Gorski 2003</v>
      </c>
      <c r="C3826" s="232" t="str">
        <f>IF(AND(A3826&lt;&gt;"",ISNUMBER(A3826)),VLOOKUP(A3826,Studies!A:BR,3,FALSE),"")</f>
        <v>https://www.ncbi.nlm.nih.gov/pubmed/12966371</v>
      </c>
      <c r="D3826" s="232" t="str">
        <f>IF(AND(A3826&lt;&gt;"",ISNUMBER(A3826)),VLOOKUP(A3826,Studies!A:BR,4,FALSE),"")</f>
        <v>iv with Perpetrator (Rifampicin)</v>
      </c>
      <c r="E3826" s="206" t="str">
        <f>IF(AND(A3826&lt;&gt;"",ISNUMBER(A3826)),VLOOKUP(A3826,Studies!A:BR,5,FALSE),"")</f>
        <v>Midazolam</v>
      </c>
      <c r="F3826" s="207" t="str">
        <f>IF(AND(A3826&lt;&gt;"",ISNUMBER(A3826)),VLOOKUP(A3826,Studies!A:BR,6,FALSE),"")</f>
        <v>Whole Blood</v>
      </c>
      <c r="G3826" s="194">
        <v>133.5</v>
      </c>
      <c r="H3826" s="194" t="s">
        <v>60</v>
      </c>
      <c r="I3826" s="187">
        <v>8.9045930000000002</v>
      </c>
      <c r="J3826" s="187" t="s">
        <v>1063</v>
      </c>
      <c r="K3826" s="187" t="s">
        <v>389</v>
      </c>
      <c r="L3826" s="195">
        <v>2.9702169999999999</v>
      </c>
      <c r="M3826" s="195" t="s">
        <v>1063</v>
      </c>
      <c r="N3826" s="195" t="s">
        <v>117</v>
      </c>
      <c r="O3826" s="199">
        <v>0.25</v>
      </c>
      <c r="P3826" s="188"/>
      <c r="Q3826" s="174">
        <f>IF(ISNUMBER(VLOOKUP(A3826,NotghiID!A:A,1,FALSE)),1,0)</f>
        <v>1</v>
      </c>
    </row>
    <row r="3827" spans="1:17" ht="14.25" x14ac:dyDescent="0.2">
      <c r="A3827" s="213">
        <v>179</v>
      </c>
      <c r="B3827" s="232" t="str">
        <f>IF(AND(A3827&lt;&gt;"",ISNUMBER(A3827)),VLOOKUP(A3827,Studies!A:BR,2,FALSE),"")</f>
        <v>Gorski 2003</v>
      </c>
      <c r="C3827" s="232" t="str">
        <f>IF(AND(A3827&lt;&gt;"",ISNUMBER(A3827)),VLOOKUP(A3827,Studies!A:BR,3,FALSE),"")</f>
        <v>https://www.ncbi.nlm.nih.gov/pubmed/12966371</v>
      </c>
      <c r="D3827" s="232" t="str">
        <f>IF(AND(A3827&lt;&gt;"",ISNUMBER(A3827)),VLOOKUP(A3827,Studies!A:BR,4,FALSE),"")</f>
        <v>iv with Perpetrator (Rifampicin)</v>
      </c>
      <c r="E3827" s="206" t="str">
        <f>IF(AND(A3827&lt;&gt;"",ISNUMBER(A3827)),VLOOKUP(A3827,Studies!A:BR,5,FALSE),"")</f>
        <v>Midazolam</v>
      </c>
      <c r="F3827" s="207" t="str">
        <f>IF(AND(A3827&lt;&gt;"",ISNUMBER(A3827)),VLOOKUP(A3827,Studies!A:BR,6,FALSE),"")</f>
        <v>Whole Blood</v>
      </c>
      <c r="G3827" s="194">
        <v>133.75</v>
      </c>
      <c r="H3827" s="194" t="s">
        <v>60</v>
      </c>
      <c r="I3827" s="187">
        <v>7.7802280000000001</v>
      </c>
      <c r="J3827" s="187" t="s">
        <v>1063</v>
      </c>
      <c r="K3827" s="187" t="s">
        <v>389</v>
      </c>
      <c r="L3827" s="195">
        <v>2.420693</v>
      </c>
      <c r="M3827" s="195" t="s">
        <v>1063</v>
      </c>
      <c r="N3827" s="195" t="s">
        <v>117</v>
      </c>
      <c r="O3827" s="199">
        <v>0.25</v>
      </c>
      <c r="P3827" s="188"/>
      <c r="Q3827" s="174">
        <f>IF(ISNUMBER(VLOOKUP(A3827,NotghiID!A:A,1,FALSE)),1,0)</f>
        <v>1</v>
      </c>
    </row>
    <row r="3828" spans="1:17" ht="14.25" x14ac:dyDescent="0.2">
      <c r="A3828" s="213">
        <v>179</v>
      </c>
      <c r="B3828" s="232" t="str">
        <f>IF(AND(A3828&lt;&gt;"",ISNUMBER(A3828)),VLOOKUP(A3828,Studies!A:BR,2,FALSE),"")</f>
        <v>Gorski 2003</v>
      </c>
      <c r="C3828" s="232" t="str">
        <f>IF(AND(A3828&lt;&gt;"",ISNUMBER(A3828)),VLOOKUP(A3828,Studies!A:BR,3,FALSE),"")</f>
        <v>https://www.ncbi.nlm.nih.gov/pubmed/12966371</v>
      </c>
      <c r="D3828" s="232" t="str">
        <f>IF(AND(A3828&lt;&gt;"",ISNUMBER(A3828)),VLOOKUP(A3828,Studies!A:BR,4,FALSE),"")</f>
        <v>iv with Perpetrator (Rifampicin)</v>
      </c>
      <c r="E3828" s="206" t="str">
        <f>IF(AND(A3828&lt;&gt;"",ISNUMBER(A3828)),VLOOKUP(A3828,Studies!A:BR,5,FALSE),"")</f>
        <v>Midazolam</v>
      </c>
      <c r="F3828" s="207" t="str">
        <f>IF(AND(A3828&lt;&gt;"",ISNUMBER(A3828)),VLOOKUP(A3828,Studies!A:BR,6,FALSE),"")</f>
        <v>Whole Blood</v>
      </c>
      <c r="G3828" s="194">
        <v>134</v>
      </c>
      <c r="H3828" s="194" t="s">
        <v>60</v>
      </c>
      <c r="I3828" s="187">
        <v>6.6835170000000002</v>
      </c>
      <c r="J3828" s="187" t="s">
        <v>1063</v>
      </c>
      <c r="K3828" s="187" t="s">
        <v>389</v>
      </c>
      <c r="L3828" s="195">
        <v>2.3810150000000001</v>
      </c>
      <c r="M3828" s="195" t="s">
        <v>1063</v>
      </c>
      <c r="N3828" s="195" t="s">
        <v>117</v>
      </c>
      <c r="O3828" s="199">
        <v>0.25</v>
      </c>
      <c r="P3828" s="188"/>
      <c r="Q3828" s="174">
        <f>IF(ISNUMBER(VLOOKUP(A3828,NotghiID!A:A,1,FALSE)),1,0)</f>
        <v>1</v>
      </c>
    </row>
    <row r="3829" spans="1:17" ht="14.25" x14ac:dyDescent="0.2">
      <c r="A3829" s="213">
        <v>179</v>
      </c>
      <c r="B3829" s="232" t="str">
        <f>IF(AND(A3829&lt;&gt;"",ISNUMBER(A3829)),VLOOKUP(A3829,Studies!A:BR,2,FALSE),"")</f>
        <v>Gorski 2003</v>
      </c>
      <c r="C3829" s="232" t="str">
        <f>IF(AND(A3829&lt;&gt;"",ISNUMBER(A3829)),VLOOKUP(A3829,Studies!A:BR,3,FALSE),"")</f>
        <v>https://www.ncbi.nlm.nih.gov/pubmed/12966371</v>
      </c>
      <c r="D3829" s="232" t="str">
        <f>IF(AND(A3829&lt;&gt;"",ISNUMBER(A3829)),VLOOKUP(A3829,Studies!A:BR,4,FALSE),"")</f>
        <v>iv with Perpetrator (Rifampicin)</v>
      </c>
      <c r="E3829" s="206" t="str">
        <f>IF(AND(A3829&lt;&gt;"",ISNUMBER(A3829)),VLOOKUP(A3829,Studies!A:BR,5,FALSE),"")</f>
        <v>Midazolam</v>
      </c>
      <c r="F3829" s="207" t="str">
        <f>IF(AND(A3829&lt;&gt;"",ISNUMBER(A3829)),VLOOKUP(A3829,Studies!A:BR,6,FALSE),"")</f>
        <v>Whole Blood</v>
      </c>
      <c r="G3829" s="194">
        <v>134.5</v>
      </c>
      <c r="H3829" s="194" t="s">
        <v>60</v>
      </c>
      <c r="I3829" s="187">
        <v>6.2511369999999999</v>
      </c>
      <c r="J3829" s="187" t="s">
        <v>1063</v>
      </c>
      <c r="K3829" s="187" t="s">
        <v>389</v>
      </c>
      <c r="L3829" s="195">
        <v>3.962828</v>
      </c>
      <c r="M3829" s="195" t="s">
        <v>1063</v>
      </c>
      <c r="N3829" s="195" t="s">
        <v>117</v>
      </c>
      <c r="O3829" s="199">
        <v>0.25</v>
      </c>
      <c r="P3829" s="188"/>
      <c r="Q3829" s="174">
        <f>IF(ISNUMBER(VLOOKUP(A3829,NotghiID!A:A,1,FALSE)),1,0)</f>
        <v>1</v>
      </c>
    </row>
    <row r="3830" spans="1:17" ht="14.25" x14ac:dyDescent="0.2">
      <c r="A3830" s="213">
        <v>179</v>
      </c>
      <c r="B3830" s="232" t="str">
        <f>IF(AND(A3830&lt;&gt;"",ISNUMBER(A3830)),VLOOKUP(A3830,Studies!A:BR,2,FALSE),"")</f>
        <v>Gorski 2003</v>
      </c>
      <c r="C3830" s="232" t="str">
        <f>IF(AND(A3830&lt;&gt;"",ISNUMBER(A3830)),VLOOKUP(A3830,Studies!A:BR,3,FALSE),"")</f>
        <v>https://www.ncbi.nlm.nih.gov/pubmed/12966371</v>
      </c>
      <c r="D3830" s="232" t="str">
        <f>IF(AND(A3830&lt;&gt;"",ISNUMBER(A3830)),VLOOKUP(A3830,Studies!A:BR,4,FALSE),"")</f>
        <v>iv with Perpetrator (Rifampicin)</v>
      </c>
      <c r="E3830" s="206" t="str">
        <f>IF(AND(A3830&lt;&gt;"",ISNUMBER(A3830)),VLOOKUP(A3830,Studies!A:BR,5,FALSE),"")</f>
        <v>Midazolam</v>
      </c>
      <c r="F3830" s="207" t="str">
        <f>IF(AND(A3830&lt;&gt;"",ISNUMBER(A3830)),VLOOKUP(A3830,Studies!A:BR,6,FALSE),"")</f>
        <v>Whole Blood</v>
      </c>
      <c r="G3830" s="194">
        <v>135</v>
      </c>
      <c r="H3830" s="194" t="s">
        <v>60</v>
      </c>
      <c r="I3830" s="187">
        <v>4.6916409999999997</v>
      </c>
      <c r="J3830" s="187" t="s">
        <v>1063</v>
      </c>
      <c r="K3830" s="187" t="s">
        <v>389</v>
      </c>
      <c r="L3830" s="195">
        <v>2.2335199999999999</v>
      </c>
      <c r="M3830" s="195" t="s">
        <v>1063</v>
      </c>
      <c r="N3830" s="195" t="s">
        <v>117</v>
      </c>
      <c r="O3830" s="199">
        <v>0.25</v>
      </c>
      <c r="P3830" s="188"/>
      <c r="Q3830" s="174">
        <f>IF(ISNUMBER(VLOOKUP(A3830,NotghiID!A:A,1,FALSE)),1,0)</f>
        <v>1</v>
      </c>
    </row>
    <row r="3831" spans="1:17" ht="14.25" x14ac:dyDescent="0.2">
      <c r="A3831" s="213">
        <v>179</v>
      </c>
      <c r="B3831" s="232" t="str">
        <f>IF(AND(A3831&lt;&gt;"",ISNUMBER(A3831)),VLOOKUP(A3831,Studies!A:BR,2,FALSE),"")</f>
        <v>Gorski 2003</v>
      </c>
      <c r="C3831" s="232" t="str">
        <f>IF(AND(A3831&lt;&gt;"",ISNUMBER(A3831)),VLOOKUP(A3831,Studies!A:BR,3,FALSE),"")</f>
        <v>https://www.ncbi.nlm.nih.gov/pubmed/12966371</v>
      </c>
      <c r="D3831" s="232" t="str">
        <f>IF(AND(A3831&lt;&gt;"",ISNUMBER(A3831)),VLOOKUP(A3831,Studies!A:BR,4,FALSE),"")</f>
        <v>iv with Perpetrator (Rifampicin)</v>
      </c>
      <c r="E3831" s="206" t="str">
        <f>IF(AND(A3831&lt;&gt;"",ISNUMBER(A3831)),VLOOKUP(A3831,Studies!A:BR,5,FALSE),"")</f>
        <v>Midazolam</v>
      </c>
      <c r="F3831" s="207" t="str">
        <f>IF(AND(A3831&lt;&gt;"",ISNUMBER(A3831)),VLOOKUP(A3831,Studies!A:BR,6,FALSE),"")</f>
        <v>Whole Blood</v>
      </c>
      <c r="G3831" s="194">
        <v>135.5</v>
      </c>
      <c r="H3831" s="194" t="s">
        <v>60</v>
      </c>
      <c r="I3831" s="187">
        <v>3.964251</v>
      </c>
      <c r="J3831" s="187" t="s">
        <v>1063</v>
      </c>
      <c r="K3831" s="187" t="s">
        <v>389</v>
      </c>
      <c r="L3831" s="195">
        <v>1.4124270000000001</v>
      </c>
      <c r="M3831" s="195" t="s">
        <v>1063</v>
      </c>
      <c r="N3831" s="195" t="s">
        <v>117</v>
      </c>
      <c r="O3831" s="199">
        <v>0.25</v>
      </c>
      <c r="P3831" s="188"/>
      <c r="Q3831" s="174">
        <f>IF(ISNUMBER(VLOOKUP(A3831,NotghiID!A:A,1,FALSE)),1,0)</f>
        <v>1</v>
      </c>
    </row>
    <row r="3832" spans="1:17" ht="14.25" x14ac:dyDescent="0.2">
      <c r="A3832" s="213">
        <v>179</v>
      </c>
      <c r="B3832" s="232" t="str">
        <f>IF(AND(A3832&lt;&gt;"",ISNUMBER(A3832)),VLOOKUP(A3832,Studies!A:BR,2,FALSE),"")</f>
        <v>Gorski 2003</v>
      </c>
      <c r="C3832" s="232" t="str">
        <f>IF(AND(A3832&lt;&gt;"",ISNUMBER(A3832)),VLOOKUP(A3832,Studies!A:BR,3,FALSE),"")</f>
        <v>https://www.ncbi.nlm.nih.gov/pubmed/12966371</v>
      </c>
      <c r="D3832" s="232" t="str">
        <f>IF(AND(A3832&lt;&gt;"",ISNUMBER(A3832)),VLOOKUP(A3832,Studies!A:BR,4,FALSE),"")</f>
        <v>iv with Perpetrator (Rifampicin)</v>
      </c>
      <c r="E3832" s="206" t="str">
        <f>IF(AND(A3832&lt;&gt;"",ISNUMBER(A3832)),VLOOKUP(A3832,Studies!A:BR,5,FALSE),"")</f>
        <v>Midazolam</v>
      </c>
      <c r="F3832" s="207" t="str">
        <f>IF(AND(A3832&lt;&gt;"",ISNUMBER(A3832)),VLOOKUP(A3832,Studies!A:BR,6,FALSE),"")</f>
        <v>Whole Blood</v>
      </c>
      <c r="G3832" s="194">
        <v>136</v>
      </c>
      <c r="H3832" s="194" t="s">
        <v>60</v>
      </c>
      <c r="I3832" s="187">
        <v>3.4068299999999998</v>
      </c>
      <c r="J3832" s="187" t="s">
        <v>1063</v>
      </c>
      <c r="K3832" s="187" t="s">
        <v>389</v>
      </c>
      <c r="L3832" s="195">
        <v>1.372965</v>
      </c>
      <c r="M3832" s="195" t="s">
        <v>1063</v>
      </c>
      <c r="N3832" s="195" t="s">
        <v>117</v>
      </c>
      <c r="O3832" s="199">
        <v>0.25</v>
      </c>
      <c r="P3832" s="188"/>
      <c r="Q3832" s="174">
        <f>IF(ISNUMBER(VLOOKUP(A3832,NotghiID!A:A,1,FALSE)),1,0)</f>
        <v>1</v>
      </c>
    </row>
    <row r="3833" spans="1:17" ht="14.25" x14ac:dyDescent="0.2">
      <c r="A3833" s="213">
        <v>179</v>
      </c>
      <c r="B3833" s="232" t="str">
        <f>IF(AND(A3833&lt;&gt;"",ISNUMBER(A3833)),VLOOKUP(A3833,Studies!A:BR,2,FALSE),"")</f>
        <v>Gorski 2003</v>
      </c>
      <c r="C3833" s="232" t="str">
        <f>IF(AND(A3833&lt;&gt;"",ISNUMBER(A3833)),VLOOKUP(A3833,Studies!A:BR,3,FALSE),"")</f>
        <v>https://www.ncbi.nlm.nih.gov/pubmed/12966371</v>
      </c>
      <c r="D3833" s="232" t="str">
        <f>IF(AND(A3833&lt;&gt;"",ISNUMBER(A3833)),VLOOKUP(A3833,Studies!A:BR,4,FALSE),"")</f>
        <v>iv with Perpetrator (Rifampicin)</v>
      </c>
      <c r="E3833" s="206" t="str">
        <f>IF(AND(A3833&lt;&gt;"",ISNUMBER(A3833)),VLOOKUP(A3833,Studies!A:BR,5,FALSE),"")</f>
        <v>Midazolam</v>
      </c>
      <c r="F3833" s="207" t="str">
        <f>IF(AND(A3833&lt;&gt;"",ISNUMBER(A3833)),VLOOKUP(A3833,Studies!A:BR,6,FALSE),"")</f>
        <v>Whole Blood</v>
      </c>
      <c r="G3833" s="194">
        <v>138</v>
      </c>
      <c r="H3833" s="194" t="s">
        <v>60</v>
      </c>
      <c r="I3833" s="187">
        <v>1.7365839999999999</v>
      </c>
      <c r="J3833" s="187" t="s">
        <v>1063</v>
      </c>
      <c r="K3833" s="187" t="s">
        <v>389</v>
      </c>
      <c r="L3833" s="195">
        <v>1.248729</v>
      </c>
      <c r="M3833" s="195" t="s">
        <v>1063</v>
      </c>
      <c r="N3833" s="195" t="s">
        <v>117</v>
      </c>
      <c r="O3833" s="199">
        <v>0.25</v>
      </c>
      <c r="P3833" s="188"/>
      <c r="Q3833" s="174">
        <f>IF(ISNUMBER(VLOOKUP(A3833,NotghiID!A:A,1,FALSE)),1,0)</f>
        <v>1</v>
      </c>
    </row>
    <row r="3834" spans="1:17" ht="14.25" x14ac:dyDescent="0.2">
      <c r="A3834" s="213">
        <v>179</v>
      </c>
      <c r="B3834" s="232" t="str">
        <f>IF(AND(A3834&lt;&gt;"",ISNUMBER(A3834)),VLOOKUP(A3834,Studies!A:BR,2,FALSE),"")</f>
        <v>Gorski 2003</v>
      </c>
      <c r="C3834" s="232" t="str">
        <f>IF(AND(A3834&lt;&gt;"",ISNUMBER(A3834)),VLOOKUP(A3834,Studies!A:BR,3,FALSE),"")</f>
        <v>https://www.ncbi.nlm.nih.gov/pubmed/12966371</v>
      </c>
      <c r="D3834" s="232" t="str">
        <f>IF(AND(A3834&lt;&gt;"",ISNUMBER(A3834)),VLOOKUP(A3834,Studies!A:BR,4,FALSE),"")</f>
        <v>iv with Perpetrator (Rifampicin)</v>
      </c>
      <c r="E3834" s="206" t="str">
        <f>IF(AND(A3834&lt;&gt;"",ISNUMBER(A3834)),VLOOKUP(A3834,Studies!A:BR,5,FALSE),"")</f>
        <v>Midazolam</v>
      </c>
      <c r="F3834" s="207" t="str">
        <f>IF(AND(A3834&lt;&gt;"",ISNUMBER(A3834)),VLOOKUP(A3834,Studies!A:BR,6,FALSE),"")</f>
        <v>Whole Blood</v>
      </c>
      <c r="G3834" s="194">
        <v>140</v>
      </c>
      <c r="H3834" s="194" t="s">
        <v>60</v>
      </c>
      <c r="I3834" s="187">
        <v>1.200623</v>
      </c>
      <c r="J3834" s="187" t="s">
        <v>1063</v>
      </c>
      <c r="K3834" s="187" t="s">
        <v>389</v>
      </c>
      <c r="L3834" s="195">
        <v>0.79461610000000005</v>
      </c>
      <c r="M3834" s="195" t="s">
        <v>1063</v>
      </c>
      <c r="N3834" s="195" t="s">
        <v>117</v>
      </c>
      <c r="O3834" s="199">
        <v>0.25</v>
      </c>
      <c r="P3834" s="188"/>
      <c r="Q3834" s="174">
        <f>IF(ISNUMBER(VLOOKUP(A3834,NotghiID!A:A,1,FALSE)),1,0)</f>
        <v>1</v>
      </c>
    </row>
    <row r="3835" spans="1:17" ht="14.25" x14ac:dyDescent="0.2">
      <c r="A3835" s="205">
        <v>180</v>
      </c>
      <c r="B3835" s="232" t="str">
        <f>IF(AND(A3835&lt;&gt;"",ISNUMBER(A3835)),VLOOKUP(A3835,Studies!A:BR,2,FALSE),"")</f>
        <v>Greenblat 1984</v>
      </c>
      <c r="C3835" s="232" t="str">
        <f>IF(AND(A3835&lt;&gt;"",ISNUMBER(A3835)),VLOOKUP(A3835,Studies!A:BR,3,FALSE),"")</f>
        <v>https://www.ncbi.nlm.nih.gov/pubmed/6742481</v>
      </c>
      <c r="D3835" s="232" t="str">
        <f>IF(AND(A3835&lt;&gt;"",ISNUMBER(A3835)),VLOOKUP(A3835,Studies!A:BR,4,FALSE),"")</f>
        <v>iv - f, 136kg, 36y (obese female)</v>
      </c>
      <c r="E3835" s="206" t="str">
        <f>IF(AND(A3835&lt;&gt;"",ISNUMBER(A3835)),VLOOKUP(A3835,Studies!A:BR,5,FALSE),"")</f>
        <v>Midazolam</v>
      </c>
      <c r="F3835" s="207" t="str">
        <f>IF(AND(A3835&lt;&gt;"",ISNUMBER(A3835)),VLOOKUP(A3835,Studies!A:BR,6,FALSE),"")</f>
        <v>Plasma</v>
      </c>
      <c r="G3835" s="194">
        <v>0.08</v>
      </c>
      <c r="H3835" s="194" t="s">
        <v>60</v>
      </c>
      <c r="I3835" s="187">
        <v>76.737949999999998</v>
      </c>
      <c r="J3835" s="187" t="s">
        <v>1026</v>
      </c>
      <c r="K3835" s="187" t="s">
        <v>264</v>
      </c>
      <c r="L3835" s="195"/>
      <c r="M3835" s="195"/>
      <c r="N3835" s="195"/>
      <c r="O3835" s="199"/>
      <c r="P3835" s="188"/>
      <c r="Q3835" s="174">
        <f>IF(ISNUMBER(VLOOKUP(A3835,NotghiID!A:A,1,FALSE)),1,0)</f>
        <v>1</v>
      </c>
    </row>
    <row r="3836" spans="1:17" ht="14.25" x14ac:dyDescent="0.2">
      <c r="A3836" s="205">
        <v>180</v>
      </c>
      <c r="B3836" s="232" t="str">
        <f>IF(AND(A3836&lt;&gt;"",ISNUMBER(A3836)),VLOOKUP(A3836,Studies!A:BR,2,FALSE),"")</f>
        <v>Greenblat 1984</v>
      </c>
      <c r="C3836" s="232" t="str">
        <f>IF(AND(A3836&lt;&gt;"",ISNUMBER(A3836)),VLOOKUP(A3836,Studies!A:BR,3,FALSE),"")</f>
        <v>https://www.ncbi.nlm.nih.gov/pubmed/6742481</v>
      </c>
      <c r="D3836" s="232" t="str">
        <f>IF(AND(A3836&lt;&gt;"",ISNUMBER(A3836)),VLOOKUP(A3836,Studies!A:BR,4,FALSE),"")</f>
        <v>iv - f, 136kg, 36y (obese female)</v>
      </c>
      <c r="E3836" s="206" t="str">
        <f>IF(AND(A3836&lt;&gt;"",ISNUMBER(A3836)),VLOOKUP(A3836,Studies!A:BR,5,FALSE),"")</f>
        <v>Midazolam</v>
      </c>
      <c r="F3836" s="207" t="str">
        <f>IF(AND(A3836&lt;&gt;"",ISNUMBER(A3836)),VLOOKUP(A3836,Studies!A:BR,6,FALSE),"")</f>
        <v>Plasma</v>
      </c>
      <c r="G3836" s="194">
        <v>0.25</v>
      </c>
      <c r="H3836" s="194" t="s">
        <v>60</v>
      </c>
      <c r="I3836" s="187">
        <v>49.197479999999999</v>
      </c>
      <c r="J3836" s="187" t="s">
        <v>1026</v>
      </c>
      <c r="K3836" s="187" t="s">
        <v>264</v>
      </c>
      <c r="L3836" s="195"/>
      <c r="M3836" s="195"/>
      <c r="N3836" s="195"/>
      <c r="O3836" s="199"/>
      <c r="P3836" s="188"/>
      <c r="Q3836" s="174">
        <f>IF(ISNUMBER(VLOOKUP(A3836,NotghiID!A:A,1,FALSE)),1,0)</f>
        <v>1</v>
      </c>
    </row>
    <row r="3837" spans="1:17" ht="14.25" x14ac:dyDescent="0.2">
      <c r="A3837" s="205">
        <v>180</v>
      </c>
      <c r="B3837" s="232" t="str">
        <f>IF(AND(A3837&lt;&gt;"",ISNUMBER(A3837)),VLOOKUP(A3837,Studies!A:BR,2,FALSE),"")</f>
        <v>Greenblat 1984</v>
      </c>
      <c r="C3837" s="232" t="str">
        <f>IF(AND(A3837&lt;&gt;"",ISNUMBER(A3837)),VLOOKUP(A3837,Studies!A:BR,3,FALSE),"")</f>
        <v>https://www.ncbi.nlm.nih.gov/pubmed/6742481</v>
      </c>
      <c r="D3837" s="232" t="str">
        <f>IF(AND(A3837&lt;&gt;"",ISNUMBER(A3837)),VLOOKUP(A3837,Studies!A:BR,4,FALSE),"")</f>
        <v>iv - f, 136kg, 36y (obese female)</v>
      </c>
      <c r="E3837" s="206" t="str">
        <f>IF(AND(A3837&lt;&gt;"",ISNUMBER(A3837)),VLOOKUP(A3837,Studies!A:BR,5,FALSE),"")</f>
        <v>Midazolam</v>
      </c>
      <c r="F3837" s="207" t="str">
        <f>IF(AND(A3837&lt;&gt;"",ISNUMBER(A3837)),VLOOKUP(A3837,Studies!A:BR,6,FALSE),"")</f>
        <v>Plasma</v>
      </c>
      <c r="G3837" s="194">
        <v>0.5</v>
      </c>
      <c r="H3837" s="194" t="s">
        <v>60</v>
      </c>
      <c r="I3837" s="187">
        <v>30.43449</v>
      </c>
      <c r="J3837" s="187" t="s">
        <v>1026</v>
      </c>
      <c r="K3837" s="187" t="s">
        <v>264</v>
      </c>
      <c r="L3837" s="195"/>
      <c r="M3837" s="195"/>
      <c r="N3837" s="195"/>
      <c r="O3837" s="199"/>
      <c r="P3837" s="188"/>
      <c r="Q3837" s="174">
        <f>IF(ISNUMBER(VLOOKUP(A3837,NotghiID!A:A,1,FALSE)),1,0)</f>
        <v>1</v>
      </c>
    </row>
    <row r="3838" spans="1:17" ht="14.25" x14ac:dyDescent="0.2">
      <c r="A3838" s="205">
        <v>180</v>
      </c>
      <c r="B3838" s="232" t="str">
        <f>IF(AND(A3838&lt;&gt;"",ISNUMBER(A3838)),VLOOKUP(A3838,Studies!A:BR,2,FALSE),"")</f>
        <v>Greenblat 1984</v>
      </c>
      <c r="C3838" s="232" t="str">
        <f>IF(AND(A3838&lt;&gt;"",ISNUMBER(A3838)),VLOOKUP(A3838,Studies!A:BR,3,FALSE),"")</f>
        <v>https://www.ncbi.nlm.nih.gov/pubmed/6742481</v>
      </c>
      <c r="D3838" s="232" t="str">
        <f>IF(AND(A3838&lt;&gt;"",ISNUMBER(A3838)),VLOOKUP(A3838,Studies!A:BR,4,FALSE),"")</f>
        <v>iv - f, 136kg, 36y (obese female)</v>
      </c>
      <c r="E3838" s="206" t="str">
        <f>IF(AND(A3838&lt;&gt;"",ISNUMBER(A3838)),VLOOKUP(A3838,Studies!A:BR,5,FALSE),"")</f>
        <v>Midazolam</v>
      </c>
      <c r="F3838" s="207" t="str">
        <f>IF(AND(A3838&lt;&gt;"",ISNUMBER(A3838)),VLOOKUP(A3838,Studies!A:BR,6,FALSE),"")</f>
        <v>Plasma</v>
      </c>
      <c r="G3838" s="194">
        <v>0.75</v>
      </c>
      <c r="H3838" s="194" t="s">
        <v>60</v>
      </c>
      <c r="I3838" s="187">
        <v>20.37424</v>
      </c>
      <c r="J3838" s="187" t="s">
        <v>1026</v>
      </c>
      <c r="K3838" s="187" t="s">
        <v>264</v>
      </c>
      <c r="L3838" s="195"/>
      <c r="M3838" s="195"/>
      <c r="N3838" s="195"/>
      <c r="O3838" s="199"/>
      <c r="P3838" s="188"/>
      <c r="Q3838" s="174">
        <f>IF(ISNUMBER(VLOOKUP(A3838,NotghiID!A:A,1,FALSE)),1,0)</f>
        <v>1</v>
      </c>
    </row>
    <row r="3839" spans="1:17" ht="14.25" x14ac:dyDescent="0.2">
      <c r="A3839" s="205">
        <v>180</v>
      </c>
      <c r="B3839" s="232" t="str">
        <f>IF(AND(A3839&lt;&gt;"",ISNUMBER(A3839)),VLOOKUP(A3839,Studies!A:BR,2,FALSE),"")</f>
        <v>Greenblat 1984</v>
      </c>
      <c r="C3839" s="232" t="str">
        <f>IF(AND(A3839&lt;&gt;"",ISNUMBER(A3839)),VLOOKUP(A3839,Studies!A:BR,3,FALSE),"")</f>
        <v>https://www.ncbi.nlm.nih.gov/pubmed/6742481</v>
      </c>
      <c r="D3839" s="232" t="str">
        <f>IF(AND(A3839&lt;&gt;"",ISNUMBER(A3839)),VLOOKUP(A3839,Studies!A:BR,4,FALSE),"")</f>
        <v>iv - f, 136kg, 36y (obese female)</v>
      </c>
      <c r="E3839" s="206" t="str">
        <f>IF(AND(A3839&lt;&gt;"",ISNUMBER(A3839)),VLOOKUP(A3839,Studies!A:BR,5,FALSE),"")</f>
        <v>Midazolam</v>
      </c>
      <c r="F3839" s="207" t="str">
        <f>IF(AND(A3839&lt;&gt;"",ISNUMBER(A3839)),VLOOKUP(A3839,Studies!A:BR,6,FALSE),"")</f>
        <v>Plasma</v>
      </c>
      <c r="G3839" s="194">
        <v>1</v>
      </c>
      <c r="H3839" s="194" t="s">
        <v>60</v>
      </c>
      <c r="I3839" s="187">
        <v>20.36083</v>
      </c>
      <c r="J3839" s="187" t="s">
        <v>1026</v>
      </c>
      <c r="K3839" s="187" t="s">
        <v>264</v>
      </c>
      <c r="L3839" s="195"/>
      <c r="M3839" s="195"/>
      <c r="N3839" s="195"/>
      <c r="O3839" s="199"/>
      <c r="P3839" s="188"/>
      <c r="Q3839" s="174">
        <f>IF(ISNUMBER(VLOOKUP(A3839,NotghiID!A:A,1,FALSE)),1,0)</f>
        <v>1</v>
      </c>
    </row>
    <row r="3840" spans="1:17" ht="14.25" x14ac:dyDescent="0.2">
      <c r="A3840" s="205">
        <v>180</v>
      </c>
      <c r="B3840" s="232" t="str">
        <f>IF(AND(A3840&lt;&gt;"",ISNUMBER(A3840)),VLOOKUP(A3840,Studies!A:BR,2,FALSE),"")</f>
        <v>Greenblat 1984</v>
      </c>
      <c r="C3840" s="232" t="str">
        <f>IF(AND(A3840&lt;&gt;"",ISNUMBER(A3840)),VLOOKUP(A3840,Studies!A:BR,3,FALSE),"")</f>
        <v>https://www.ncbi.nlm.nih.gov/pubmed/6742481</v>
      </c>
      <c r="D3840" s="232" t="str">
        <f>IF(AND(A3840&lt;&gt;"",ISNUMBER(A3840)),VLOOKUP(A3840,Studies!A:BR,4,FALSE),"")</f>
        <v>iv - f, 136kg, 36y (obese female)</v>
      </c>
      <c r="E3840" s="206" t="str">
        <f>IF(AND(A3840&lt;&gt;"",ISNUMBER(A3840)),VLOOKUP(A3840,Studies!A:BR,5,FALSE),"")</f>
        <v>Midazolam</v>
      </c>
      <c r="F3840" s="207" t="str">
        <f>IF(AND(A3840&lt;&gt;"",ISNUMBER(A3840)),VLOOKUP(A3840,Studies!A:BR,6,FALSE),"")</f>
        <v>Plasma</v>
      </c>
      <c r="G3840" s="194">
        <v>1.5</v>
      </c>
      <c r="H3840" s="194" t="s">
        <v>60</v>
      </c>
      <c r="I3840" s="187">
        <v>14.21686</v>
      </c>
      <c r="J3840" s="187" t="s">
        <v>1026</v>
      </c>
      <c r="K3840" s="187" t="s">
        <v>264</v>
      </c>
      <c r="L3840" s="195"/>
      <c r="M3840" s="195"/>
      <c r="N3840" s="195"/>
      <c r="O3840" s="199"/>
      <c r="P3840" s="188"/>
      <c r="Q3840" s="174">
        <f>IF(ISNUMBER(VLOOKUP(A3840,NotghiID!A:A,1,FALSE)),1,0)</f>
        <v>1</v>
      </c>
    </row>
    <row r="3841" spans="1:17" ht="14.25" x14ac:dyDescent="0.2">
      <c r="A3841" s="205">
        <v>180</v>
      </c>
      <c r="B3841" s="232" t="str">
        <f>IF(AND(A3841&lt;&gt;"",ISNUMBER(A3841)),VLOOKUP(A3841,Studies!A:BR,2,FALSE),"")</f>
        <v>Greenblat 1984</v>
      </c>
      <c r="C3841" s="232" t="str">
        <f>IF(AND(A3841&lt;&gt;"",ISNUMBER(A3841)),VLOOKUP(A3841,Studies!A:BR,3,FALSE),"")</f>
        <v>https://www.ncbi.nlm.nih.gov/pubmed/6742481</v>
      </c>
      <c r="D3841" s="232" t="str">
        <f>IF(AND(A3841&lt;&gt;"",ISNUMBER(A3841)),VLOOKUP(A3841,Studies!A:BR,4,FALSE),"")</f>
        <v>iv - f, 136kg, 36y (obese female)</v>
      </c>
      <c r="E3841" s="206" t="str">
        <f>IF(AND(A3841&lt;&gt;"",ISNUMBER(A3841)),VLOOKUP(A3841,Studies!A:BR,5,FALSE),"")</f>
        <v>Midazolam</v>
      </c>
      <c r="F3841" s="207" t="str">
        <f>IF(AND(A3841&lt;&gt;"",ISNUMBER(A3841)),VLOOKUP(A3841,Studies!A:BR,6,FALSE),"")</f>
        <v>Plasma</v>
      </c>
      <c r="G3841" s="194">
        <v>2</v>
      </c>
      <c r="H3841" s="194" t="s">
        <v>60</v>
      </c>
      <c r="I3841" s="187">
        <v>11.459770000000001</v>
      </c>
      <c r="J3841" s="187" t="s">
        <v>1026</v>
      </c>
      <c r="K3841" s="187" t="s">
        <v>264</v>
      </c>
      <c r="L3841" s="195"/>
      <c r="M3841" s="195"/>
      <c r="N3841" s="195"/>
      <c r="O3841" s="199"/>
      <c r="P3841" s="188"/>
      <c r="Q3841" s="174">
        <f>IF(ISNUMBER(VLOOKUP(A3841,NotghiID!A:A,1,FALSE)),1,0)</f>
        <v>1</v>
      </c>
    </row>
    <row r="3842" spans="1:17" ht="14.25" x14ac:dyDescent="0.2">
      <c r="A3842" s="205">
        <v>180</v>
      </c>
      <c r="B3842" s="232" t="str">
        <f>IF(AND(A3842&lt;&gt;"",ISNUMBER(A3842)),VLOOKUP(A3842,Studies!A:BR,2,FALSE),"")</f>
        <v>Greenblat 1984</v>
      </c>
      <c r="C3842" s="232" t="str">
        <f>IF(AND(A3842&lt;&gt;"",ISNUMBER(A3842)),VLOOKUP(A3842,Studies!A:BR,3,FALSE),"")</f>
        <v>https://www.ncbi.nlm.nih.gov/pubmed/6742481</v>
      </c>
      <c r="D3842" s="232" t="str">
        <f>IF(AND(A3842&lt;&gt;"",ISNUMBER(A3842)),VLOOKUP(A3842,Studies!A:BR,4,FALSE),"")</f>
        <v>iv - f, 136kg, 36y (obese female)</v>
      </c>
      <c r="E3842" s="206" t="str">
        <f>IF(AND(A3842&lt;&gt;"",ISNUMBER(A3842)),VLOOKUP(A3842,Studies!A:BR,5,FALSE),"")</f>
        <v>Midazolam</v>
      </c>
      <c r="F3842" s="207" t="str">
        <f>IF(AND(A3842&lt;&gt;"",ISNUMBER(A3842)),VLOOKUP(A3842,Studies!A:BR,6,FALSE),"")</f>
        <v>Plasma</v>
      </c>
      <c r="G3842" s="194">
        <v>2.5</v>
      </c>
      <c r="H3842" s="194" t="s">
        <v>60</v>
      </c>
      <c r="I3842" s="187">
        <v>9.1688620000000007</v>
      </c>
      <c r="J3842" s="187" t="s">
        <v>1026</v>
      </c>
      <c r="K3842" s="187" t="s">
        <v>264</v>
      </c>
      <c r="L3842" s="195"/>
      <c r="M3842" s="195"/>
      <c r="N3842" s="195"/>
      <c r="O3842" s="199"/>
      <c r="P3842" s="188"/>
      <c r="Q3842" s="174">
        <f>IF(ISNUMBER(VLOOKUP(A3842,NotghiID!A:A,1,FALSE)),1,0)</f>
        <v>1</v>
      </c>
    </row>
    <row r="3843" spans="1:17" ht="14.25" x14ac:dyDescent="0.2">
      <c r="A3843" s="205">
        <v>180</v>
      </c>
      <c r="B3843" s="232" t="str">
        <f>IF(AND(A3843&lt;&gt;"",ISNUMBER(A3843)),VLOOKUP(A3843,Studies!A:BR,2,FALSE),"")</f>
        <v>Greenblat 1984</v>
      </c>
      <c r="C3843" s="232" t="str">
        <f>IF(AND(A3843&lt;&gt;"",ISNUMBER(A3843)),VLOOKUP(A3843,Studies!A:BR,3,FALSE),"")</f>
        <v>https://www.ncbi.nlm.nih.gov/pubmed/6742481</v>
      </c>
      <c r="D3843" s="232" t="str">
        <f>IF(AND(A3843&lt;&gt;"",ISNUMBER(A3843)),VLOOKUP(A3843,Studies!A:BR,4,FALSE),"")</f>
        <v>iv - f, 136kg, 36y (obese female)</v>
      </c>
      <c r="E3843" s="206" t="str">
        <f>IF(AND(A3843&lt;&gt;"",ISNUMBER(A3843)),VLOOKUP(A3843,Studies!A:BR,5,FALSE),"")</f>
        <v>Midazolam</v>
      </c>
      <c r="F3843" s="207" t="str">
        <f>IF(AND(A3843&lt;&gt;"",ISNUMBER(A3843)),VLOOKUP(A3843,Studies!A:BR,6,FALSE),"")</f>
        <v>Plasma</v>
      </c>
      <c r="G3843" s="194">
        <v>3</v>
      </c>
      <c r="H3843" s="194" t="s">
        <v>60</v>
      </c>
      <c r="I3843" s="187">
        <v>7.4424510000000001</v>
      </c>
      <c r="J3843" s="187" t="s">
        <v>1026</v>
      </c>
      <c r="K3843" s="187" t="s">
        <v>264</v>
      </c>
      <c r="L3843" s="195"/>
      <c r="M3843" s="195"/>
      <c r="N3843" s="195"/>
      <c r="O3843" s="199"/>
      <c r="P3843" s="188"/>
      <c r="Q3843" s="174">
        <f>IF(ISNUMBER(VLOOKUP(A3843,NotghiID!A:A,1,FALSE)),1,0)</f>
        <v>1</v>
      </c>
    </row>
    <row r="3844" spans="1:17" ht="14.25" x14ac:dyDescent="0.2">
      <c r="A3844" s="205">
        <v>180</v>
      </c>
      <c r="B3844" s="232" t="str">
        <f>IF(AND(A3844&lt;&gt;"",ISNUMBER(A3844)),VLOOKUP(A3844,Studies!A:BR,2,FALSE),"")</f>
        <v>Greenblat 1984</v>
      </c>
      <c r="C3844" s="232" t="str">
        <f>IF(AND(A3844&lt;&gt;"",ISNUMBER(A3844)),VLOOKUP(A3844,Studies!A:BR,3,FALSE),"")</f>
        <v>https://www.ncbi.nlm.nih.gov/pubmed/6742481</v>
      </c>
      <c r="D3844" s="232" t="str">
        <f>IF(AND(A3844&lt;&gt;"",ISNUMBER(A3844)),VLOOKUP(A3844,Studies!A:BR,4,FALSE),"")</f>
        <v>iv - f, 136kg, 36y (obese female)</v>
      </c>
      <c r="E3844" s="206" t="str">
        <f>IF(AND(A3844&lt;&gt;"",ISNUMBER(A3844)),VLOOKUP(A3844,Studies!A:BR,5,FALSE),"")</f>
        <v>Midazolam</v>
      </c>
      <c r="F3844" s="207" t="str">
        <f>IF(AND(A3844&lt;&gt;"",ISNUMBER(A3844)),VLOOKUP(A3844,Studies!A:BR,6,FALSE),"")</f>
        <v>Plasma</v>
      </c>
      <c r="G3844" s="194">
        <v>4</v>
      </c>
      <c r="H3844" s="194" t="s">
        <v>60</v>
      </c>
      <c r="I3844" s="187">
        <v>6.4372230000000004</v>
      </c>
      <c r="J3844" s="187" t="s">
        <v>1026</v>
      </c>
      <c r="K3844" s="187" t="s">
        <v>264</v>
      </c>
      <c r="L3844" s="195"/>
      <c r="M3844" s="195"/>
      <c r="N3844" s="195"/>
      <c r="O3844" s="199"/>
      <c r="P3844" s="188"/>
      <c r="Q3844" s="174">
        <f>IF(ISNUMBER(VLOOKUP(A3844,NotghiID!A:A,1,FALSE)),1,0)</f>
        <v>1</v>
      </c>
    </row>
    <row r="3845" spans="1:17" ht="14.25" x14ac:dyDescent="0.2">
      <c r="A3845" s="205">
        <v>180</v>
      </c>
      <c r="B3845" s="232" t="str">
        <f>IF(AND(A3845&lt;&gt;"",ISNUMBER(A3845)),VLOOKUP(A3845,Studies!A:BR,2,FALSE),"")</f>
        <v>Greenblat 1984</v>
      </c>
      <c r="C3845" s="232" t="str">
        <f>IF(AND(A3845&lt;&gt;"",ISNUMBER(A3845)),VLOOKUP(A3845,Studies!A:BR,3,FALSE),"")</f>
        <v>https://www.ncbi.nlm.nih.gov/pubmed/6742481</v>
      </c>
      <c r="D3845" s="232" t="str">
        <f>IF(AND(A3845&lt;&gt;"",ISNUMBER(A3845)),VLOOKUP(A3845,Studies!A:BR,4,FALSE),"")</f>
        <v>iv - f, 136kg, 36y (obese female)</v>
      </c>
      <c r="E3845" s="206" t="str">
        <f>IF(AND(A3845&lt;&gt;"",ISNUMBER(A3845)),VLOOKUP(A3845,Studies!A:BR,5,FALSE),"")</f>
        <v>Midazolam</v>
      </c>
      <c r="F3845" s="207" t="str">
        <f>IF(AND(A3845&lt;&gt;"",ISNUMBER(A3845)),VLOOKUP(A3845,Studies!A:BR,6,FALSE),"")</f>
        <v>Plasma</v>
      </c>
      <c r="G3845" s="194">
        <v>6</v>
      </c>
      <c r="H3845" s="194" t="s">
        <v>60</v>
      </c>
      <c r="I3845" s="187">
        <v>4.7142790000000003</v>
      </c>
      <c r="J3845" s="187" t="s">
        <v>1026</v>
      </c>
      <c r="K3845" s="187" t="s">
        <v>264</v>
      </c>
      <c r="L3845" s="195"/>
      <c r="M3845" s="195"/>
      <c r="N3845" s="195"/>
      <c r="O3845" s="199"/>
      <c r="P3845" s="188"/>
      <c r="Q3845" s="174">
        <f>IF(ISNUMBER(VLOOKUP(A3845,NotghiID!A:A,1,FALSE)),1,0)</f>
        <v>1</v>
      </c>
    </row>
    <row r="3846" spans="1:17" ht="14.25" x14ac:dyDescent="0.2">
      <c r="A3846" s="205">
        <v>180</v>
      </c>
      <c r="B3846" s="232" t="str">
        <f>IF(AND(A3846&lt;&gt;"",ISNUMBER(A3846)),VLOOKUP(A3846,Studies!A:BR,2,FALSE),"")</f>
        <v>Greenblat 1984</v>
      </c>
      <c r="C3846" s="232" t="str">
        <f>IF(AND(A3846&lt;&gt;"",ISNUMBER(A3846)),VLOOKUP(A3846,Studies!A:BR,3,FALSE),"")</f>
        <v>https://www.ncbi.nlm.nih.gov/pubmed/6742481</v>
      </c>
      <c r="D3846" s="232" t="str">
        <f>IF(AND(A3846&lt;&gt;"",ISNUMBER(A3846)),VLOOKUP(A3846,Studies!A:BR,4,FALSE),"")</f>
        <v>iv - f, 136kg, 36y (obese female)</v>
      </c>
      <c r="E3846" s="206" t="str">
        <f>IF(AND(A3846&lt;&gt;"",ISNUMBER(A3846)),VLOOKUP(A3846,Studies!A:BR,5,FALSE),"")</f>
        <v>Midazolam</v>
      </c>
      <c r="F3846" s="207" t="str">
        <f>IF(AND(A3846&lt;&gt;"",ISNUMBER(A3846)),VLOOKUP(A3846,Studies!A:BR,6,FALSE),"")</f>
        <v>Plasma</v>
      </c>
      <c r="G3846" s="194">
        <v>8</v>
      </c>
      <c r="H3846" s="194" t="s">
        <v>60</v>
      </c>
      <c r="I3846" s="187">
        <v>4.4990600000000001</v>
      </c>
      <c r="J3846" s="187" t="s">
        <v>1026</v>
      </c>
      <c r="K3846" s="187" t="s">
        <v>264</v>
      </c>
      <c r="L3846" s="195"/>
      <c r="M3846" s="195"/>
      <c r="N3846" s="195"/>
      <c r="O3846" s="199"/>
      <c r="P3846" s="188"/>
      <c r="Q3846" s="174">
        <f>IF(ISNUMBER(VLOOKUP(A3846,NotghiID!A:A,1,FALSE)),1,0)</f>
        <v>1</v>
      </c>
    </row>
    <row r="3847" spans="1:17" ht="14.25" x14ac:dyDescent="0.2">
      <c r="A3847" s="205">
        <v>180</v>
      </c>
      <c r="B3847" s="232" t="str">
        <f>IF(AND(A3847&lt;&gt;"",ISNUMBER(A3847)),VLOOKUP(A3847,Studies!A:BR,2,FALSE),"")</f>
        <v>Greenblat 1984</v>
      </c>
      <c r="C3847" s="232" t="str">
        <f>IF(AND(A3847&lt;&gt;"",ISNUMBER(A3847)),VLOOKUP(A3847,Studies!A:BR,3,FALSE),"")</f>
        <v>https://www.ncbi.nlm.nih.gov/pubmed/6742481</v>
      </c>
      <c r="D3847" s="232" t="str">
        <f>IF(AND(A3847&lt;&gt;"",ISNUMBER(A3847)),VLOOKUP(A3847,Studies!A:BR,4,FALSE),"")</f>
        <v>iv - f, 136kg, 36y (obese female)</v>
      </c>
      <c r="E3847" s="206" t="str">
        <f>IF(AND(A3847&lt;&gt;"",ISNUMBER(A3847)),VLOOKUP(A3847,Studies!A:BR,5,FALSE),"")</f>
        <v>Midazolam</v>
      </c>
      <c r="F3847" s="207" t="str">
        <f>IF(AND(A3847&lt;&gt;"",ISNUMBER(A3847)),VLOOKUP(A3847,Studies!A:BR,6,FALSE),"")</f>
        <v>Plasma</v>
      </c>
      <c r="G3847" s="194">
        <v>12</v>
      </c>
      <c r="H3847" s="194" t="s">
        <v>60</v>
      </c>
      <c r="I3847" s="187">
        <v>3.2370429999999999</v>
      </c>
      <c r="J3847" s="187" t="s">
        <v>1026</v>
      </c>
      <c r="K3847" s="187" t="s">
        <v>264</v>
      </c>
      <c r="L3847" s="195"/>
      <c r="M3847" s="195"/>
      <c r="N3847" s="195"/>
      <c r="O3847" s="199"/>
      <c r="P3847" s="188"/>
      <c r="Q3847" s="174">
        <f>IF(ISNUMBER(VLOOKUP(A3847,NotghiID!A:A,1,FALSE)),1,0)</f>
        <v>1</v>
      </c>
    </row>
    <row r="3848" spans="1:17" ht="14.25" x14ac:dyDescent="0.2">
      <c r="A3848" s="205">
        <v>180</v>
      </c>
      <c r="B3848" s="232" t="str">
        <f>IF(AND(A3848&lt;&gt;"",ISNUMBER(A3848)),VLOOKUP(A3848,Studies!A:BR,2,FALSE),"")</f>
        <v>Greenblat 1984</v>
      </c>
      <c r="C3848" s="232" t="str">
        <f>IF(AND(A3848&lt;&gt;"",ISNUMBER(A3848)),VLOOKUP(A3848,Studies!A:BR,3,FALSE),"")</f>
        <v>https://www.ncbi.nlm.nih.gov/pubmed/6742481</v>
      </c>
      <c r="D3848" s="232" t="str">
        <f>IF(AND(A3848&lt;&gt;"",ISNUMBER(A3848)),VLOOKUP(A3848,Studies!A:BR,4,FALSE),"")</f>
        <v>iv - f, 136kg, 36y (obese female)</v>
      </c>
      <c r="E3848" s="206" t="str">
        <f>IF(AND(A3848&lt;&gt;"",ISNUMBER(A3848)),VLOOKUP(A3848,Studies!A:BR,5,FALSE),"")</f>
        <v>Midazolam</v>
      </c>
      <c r="F3848" s="207" t="str">
        <f>IF(AND(A3848&lt;&gt;"",ISNUMBER(A3848)),VLOOKUP(A3848,Studies!A:BR,6,FALSE),"")</f>
        <v>Plasma</v>
      </c>
      <c r="G3848" s="194">
        <v>24</v>
      </c>
      <c r="H3848" s="194" t="s">
        <v>60</v>
      </c>
      <c r="I3848" s="187">
        <v>1.0665720000000001</v>
      </c>
      <c r="J3848" s="187" t="s">
        <v>1026</v>
      </c>
      <c r="K3848" s="187" t="s">
        <v>264</v>
      </c>
      <c r="L3848" s="195"/>
      <c r="M3848" s="195"/>
      <c r="N3848" s="195"/>
      <c r="O3848" s="199"/>
      <c r="P3848" s="188"/>
      <c r="Q3848" s="174">
        <f>IF(ISNUMBER(VLOOKUP(A3848,NotghiID!A:A,1,FALSE)),1,0)</f>
        <v>1</v>
      </c>
    </row>
    <row r="3849" spans="1:17" ht="14.25" x14ac:dyDescent="0.2">
      <c r="A3849" s="205">
        <v>181</v>
      </c>
      <c r="B3849" s="232" t="str">
        <f>IF(AND(A3849&lt;&gt;"",ISNUMBER(A3849)),VLOOKUP(A3849,Studies!A:BR,2,FALSE),"")</f>
        <v>Greenblat 1984</v>
      </c>
      <c r="C3849" s="232" t="str">
        <f>IF(AND(A3849&lt;&gt;"",ISNUMBER(A3849)),VLOOKUP(A3849,Studies!A:BR,3,FALSE),"")</f>
        <v>https://www.ncbi.nlm.nih.gov/pubmed/6742481</v>
      </c>
      <c r="D3849" s="232" t="str">
        <f>IF(AND(A3849&lt;&gt;"",ISNUMBER(A3849)),VLOOKUP(A3849,Studies!A:BR,4,FALSE),"")</f>
        <v>iv - f, 61kg, 37y (normal female)</v>
      </c>
      <c r="E3849" s="206" t="str">
        <f>IF(AND(A3849&lt;&gt;"",ISNUMBER(A3849)),VLOOKUP(A3849,Studies!A:BR,5,FALSE),"")</f>
        <v>Midazolam</v>
      </c>
      <c r="F3849" s="207" t="str">
        <f>IF(AND(A3849&lt;&gt;"",ISNUMBER(A3849)),VLOOKUP(A3849,Studies!A:BR,6,FALSE),"")</f>
        <v>Plasma</v>
      </c>
      <c r="G3849" s="194">
        <v>0.08</v>
      </c>
      <c r="H3849" s="194" t="s">
        <v>60</v>
      </c>
      <c r="I3849" s="187">
        <v>65.928920000000005</v>
      </c>
      <c r="J3849" s="187" t="s">
        <v>1026</v>
      </c>
      <c r="K3849" s="187" t="s">
        <v>264</v>
      </c>
      <c r="L3849" s="195"/>
      <c r="M3849" s="195"/>
      <c r="N3849" s="195"/>
      <c r="O3849" s="199"/>
      <c r="P3849" s="188"/>
      <c r="Q3849" s="174">
        <f>IF(ISNUMBER(VLOOKUP(A3849,NotghiID!A:A,1,FALSE)),1,0)</f>
        <v>1</v>
      </c>
    </row>
    <row r="3850" spans="1:17" ht="14.25" x14ac:dyDescent="0.2">
      <c r="A3850" s="205">
        <v>181</v>
      </c>
      <c r="B3850" s="232" t="str">
        <f>IF(AND(A3850&lt;&gt;"",ISNUMBER(A3850)),VLOOKUP(A3850,Studies!A:BR,2,FALSE),"")</f>
        <v>Greenblat 1984</v>
      </c>
      <c r="C3850" s="232" t="str">
        <f>IF(AND(A3850&lt;&gt;"",ISNUMBER(A3850)),VLOOKUP(A3850,Studies!A:BR,3,FALSE),"")</f>
        <v>https://www.ncbi.nlm.nih.gov/pubmed/6742481</v>
      </c>
      <c r="D3850" s="232" t="str">
        <f>IF(AND(A3850&lt;&gt;"",ISNUMBER(A3850)),VLOOKUP(A3850,Studies!A:BR,4,FALSE),"")</f>
        <v>iv - f, 61kg, 37y (normal female)</v>
      </c>
      <c r="E3850" s="206" t="str">
        <f>IF(AND(A3850&lt;&gt;"",ISNUMBER(A3850)),VLOOKUP(A3850,Studies!A:BR,5,FALSE),"")</f>
        <v>Midazolam</v>
      </c>
      <c r="F3850" s="207" t="str">
        <f>IF(AND(A3850&lt;&gt;"",ISNUMBER(A3850)),VLOOKUP(A3850,Studies!A:BR,6,FALSE),"")</f>
        <v>Plasma</v>
      </c>
      <c r="G3850" s="194">
        <v>0.25</v>
      </c>
      <c r="H3850" s="194" t="s">
        <v>60</v>
      </c>
      <c r="I3850" s="187">
        <v>54.639299999999999</v>
      </c>
      <c r="J3850" s="187" t="s">
        <v>1026</v>
      </c>
      <c r="K3850" s="187" t="s">
        <v>264</v>
      </c>
      <c r="L3850" s="195"/>
      <c r="M3850" s="195"/>
      <c r="N3850" s="195"/>
      <c r="O3850" s="199"/>
      <c r="P3850" s="188"/>
      <c r="Q3850" s="174">
        <f>IF(ISNUMBER(VLOOKUP(A3850,NotghiID!A:A,1,FALSE)),1,0)</f>
        <v>1</v>
      </c>
    </row>
    <row r="3851" spans="1:17" ht="14.25" x14ac:dyDescent="0.2">
      <c r="A3851" s="205">
        <v>181</v>
      </c>
      <c r="B3851" s="232" t="str">
        <f>IF(AND(A3851&lt;&gt;"",ISNUMBER(A3851)),VLOOKUP(A3851,Studies!A:BR,2,FALSE),"")</f>
        <v>Greenblat 1984</v>
      </c>
      <c r="C3851" s="232" t="str">
        <f>IF(AND(A3851&lt;&gt;"",ISNUMBER(A3851)),VLOOKUP(A3851,Studies!A:BR,3,FALSE),"")</f>
        <v>https://www.ncbi.nlm.nih.gov/pubmed/6742481</v>
      </c>
      <c r="D3851" s="232" t="str">
        <f>IF(AND(A3851&lt;&gt;"",ISNUMBER(A3851)),VLOOKUP(A3851,Studies!A:BR,4,FALSE),"")</f>
        <v>iv - f, 61kg, 37y (normal female)</v>
      </c>
      <c r="E3851" s="206" t="str">
        <f>IF(AND(A3851&lt;&gt;"",ISNUMBER(A3851)),VLOOKUP(A3851,Studies!A:BR,5,FALSE),"")</f>
        <v>Midazolam</v>
      </c>
      <c r="F3851" s="207" t="str">
        <f>IF(AND(A3851&lt;&gt;"",ISNUMBER(A3851)),VLOOKUP(A3851,Studies!A:BR,6,FALSE),"")</f>
        <v>Plasma</v>
      </c>
      <c r="G3851" s="194">
        <v>0.5</v>
      </c>
      <c r="H3851" s="194" t="s">
        <v>60</v>
      </c>
      <c r="I3851" s="187">
        <v>42.066180000000003</v>
      </c>
      <c r="J3851" s="187" t="s">
        <v>1026</v>
      </c>
      <c r="K3851" s="187" t="s">
        <v>264</v>
      </c>
      <c r="L3851" s="195"/>
      <c r="M3851" s="195"/>
      <c r="N3851" s="195"/>
      <c r="O3851" s="199"/>
      <c r="P3851" s="188"/>
      <c r="Q3851" s="174">
        <f>IF(ISNUMBER(VLOOKUP(A3851,NotghiID!A:A,1,FALSE)),1,0)</f>
        <v>1</v>
      </c>
    </row>
    <row r="3852" spans="1:17" ht="14.25" x14ac:dyDescent="0.2">
      <c r="A3852" s="205">
        <v>181</v>
      </c>
      <c r="B3852" s="232" t="str">
        <f>IF(AND(A3852&lt;&gt;"",ISNUMBER(A3852)),VLOOKUP(A3852,Studies!A:BR,2,FALSE),"")</f>
        <v>Greenblat 1984</v>
      </c>
      <c r="C3852" s="232" t="str">
        <f>IF(AND(A3852&lt;&gt;"",ISNUMBER(A3852)),VLOOKUP(A3852,Studies!A:BR,3,FALSE),"")</f>
        <v>https://www.ncbi.nlm.nih.gov/pubmed/6742481</v>
      </c>
      <c r="D3852" s="232" t="str">
        <f>IF(AND(A3852&lt;&gt;"",ISNUMBER(A3852)),VLOOKUP(A3852,Studies!A:BR,4,FALSE),"")</f>
        <v>iv - f, 61kg, 37y (normal female)</v>
      </c>
      <c r="E3852" s="206" t="str">
        <f>IF(AND(A3852&lt;&gt;"",ISNUMBER(A3852)),VLOOKUP(A3852,Studies!A:BR,5,FALSE),"")</f>
        <v>Midazolam</v>
      </c>
      <c r="F3852" s="207" t="str">
        <f>IF(AND(A3852&lt;&gt;"",ISNUMBER(A3852)),VLOOKUP(A3852,Studies!A:BR,6,FALSE),"")</f>
        <v>Plasma</v>
      </c>
      <c r="G3852" s="194">
        <v>0.75</v>
      </c>
      <c r="H3852" s="194" t="s">
        <v>60</v>
      </c>
      <c r="I3852" s="187">
        <v>35.432389999999998</v>
      </c>
      <c r="J3852" s="187" t="s">
        <v>1026</v>
      </c>
      <c r="K3852" s="187" t="s">
        <v>264</v>
      </c>
      <c r="L3852" s="195"/>
      <c r="M3852" s="195"/>
      <c r="N3852" s="195"/>
      <c r="O3852" s="199"/>
      <c r="P3852" s="188"/>
      <c r="Q3852" s="174">
        <f>IF(ISNUMBER(VLOOKUP(A3852,NotghiID!A:A,1,FALSE)),1,0)</f>
        <v>1</v>
      </c>
    </row>
    <row r="3853" spans="1:17" ht="14.25" x14ac:dyDescent="0.2">
      <c r="A3853" s="205">
        <v>181</v>
      </c>
      <c r="B3853" s="232" t="str">
        <f>IF(AND(A3853&lt;&gt;"",ISNUMBER(A3853)),VLOOKUP(A3853,Studies!A:BR,2,FALSE),"")</f>
        <v>Greenblat 1984</v>
      </c>
      <c r="C3853" s="232" t="str">
        <f>IF(AND(A3853&lt;&gt;"",ISNUMBER(A3853)),VLOOKUP(A3853,Studies!A:BR,3,FALSE),"")</f>
        <v>https://www.ncbi.nlm.nih.gov/pubmed/6742481</v>
      </c>
      <c r="D3853" s="232" t="str">
        <f>IF(AND(A3853&lt;&gt;"",ISNUMBER(A3853)),VLOOKUP(A3853,Studies!A:BR,4,FALSE),"")</f>
        <v>iv - f, 61kg, 37y (normal female)</v>
      </c>
      <c r="E3853" s="206" t="str">
        <f>IF(AND(A3853&lt;&gt;"",ISNUMBER(A3853)),VLOOKUP(A3853,Studies!A:BR,5,FALSE),"")</f>
        <v>Midazolam</v>
      </c>
      <c r="F3853" s="207" t="str">
        <f>IF(AND(A3853&lt;&gt;"",ISNUMBER(A3853)),VLOOKUP(A3853,Studies!A:BR,6,FALSE),"")</f>
        <v>Plasma</v>
      </c>
      <c r="G3853" s="194">
        <v>1</v>
      </c>
      <c r="H3853" s="194" t="s">
        <v>60</v>
      </c>
      <c r="I3853" s="187">
        <v>30.337309999999999</v>
      </c>
      <c r="J3853" s="187" t="s">
        <v>1026</v>
      </c>
      <c r="K3853" s="187" t="s">
        <v>264</v>
      </c>
      <c r="L3853" s="195"/>
      <c r="M3853" s="195"/>
      <c r="N3853" s="195"/>
      <c r="O3853" s="199"/>
      <c r="P3853" s="188"/>
      <c r="Q3853" s="174">
        <f>IF(ISNUMBER(VLOOKUP(A3853,NotghiID!A:A,1,FALSE)),1,0)</f>
        <v>1</v>
      </c>
    </row>
    <row r="3854" spans="1:17" ht="14.25" x14ac:dyDescent="0.2">
      <c r="A3854" s="205">
        <v>181</v>
      </c>
      <c r="B3854" s="232" t="str">
        <f>IF(AND(A3854&lt;&gt;"",ISNUMBER(A3854)),VLOOKUP(A3854,Studies!A:BR,2,FALSE),"")</f>
        <v>Greenblat 1984</v>
      </c>
      <c r="C3854" s="232" t="str">
        <f>IF(AND(A3854&lt;&gt;"",ISNUMBER(A3854)),VLOOKUP(A3854,Studies!A:BR,3,FALSE),"")</f>
        <v>https://www.ncbi.nlm.nih.gov/pubmed/6742481</v>
      </c>
      <c r="D3854" s="232" t="str">
        <f>IF(AND(A3854&lt;&gt;"",ISNUMBER(A3854)),VLOOKUP(A3854,Studies!A:BR,4,FALSE),"")</f>
        <v>iv - f, 61kg, 37y (normal female)</v>
      </c>
      <c r="E3854" s="206" t="str">
        <f>IF(AND(A3854&lt;&gt;"",ISNUMBER(A3854)),VLOOKUP(A3854,Studies!A:BR,5,FALSE),"")</f>
        <v>Midazolam</v>
      </c>
      <c r="F3854" s="207" t="str">
        <f>IF(AND(A3854&lt;&gt;"",ISNUMBER(A3854)),VLOOKUP(A3854,Studies!A:BR,6,FALSE),"")</f>
        <v>Plasma</v>
      </c>
      <c r="G3854" s="194">
        <v>1.5</v>
      </c>
      <c r="H3854" s="194" t="s">
        <v>60</v>
      </c>
      <c r="I3854" s="187">
        <v>20.659949999999998</v>
      </c>
      <c r="J3854" s="187" t="s">
        <v>1026</v>
      </c>
      <c r="K3854" s="187" t="s">
        <v>264</v>
      </c>
      <c r="L3854" s="195"/>
      <c r="M3854" s="195"/>
      <c r="N3854" s="195"/>
      <c r="O3854" s="199"/>
      <c r="P3854" s="188"/>
      <c r="Q3854" s="174">
        <f>IF(ISNUMBER(VLOOKUP(A3854,NotghiID!A:A,1,FALSE)),1,0)</f>
        <v>1</v>
      </c>
    </row>
    <row r="3855" spans="1:17" ht="14.25" x14ac:dyDescent="0.2">
      <c r="A3855" s="205">
        <v>181</v>
      </c>
      <c r="B3855" s="232" t="str">
        <f>IF(AND(A3855&lt;&gt;"",ISNUMBER(A3855)),VLOOKUP(A3855,Studies!A:BR,2,FALSE),"")</f>
        <v>Greenblat 1984</v>
      </c>
      <c r="C3855" s="232" t="str">
        <f>IF(AND(A3855&lt;&gt;"",ISNUMBER(A3855)),VLOOKUP(A3855,Studies!A:BR,3,FALSE),"")</f>
        <v>https://www.ncbi.nlm.nih.gov/pubmed/6742481</v>
      </c>
      <c r="D3855" s="232" t="str">
        <f>IF(AND(A3855&lt;&gt;"",ISNUMBER(A3855)),VLOOKUP(A3855,Studies!A:BR,4,FALSE),"")</f>
        <v>iv - f, 61kg, 37y (normal female)</v>
      </c>
      <c r="E3855" s="206" t="str">
        <f>IF(AND(A3855&lt;&gt;"",ISNUMBER(A3855)),VLOOKUP(A3855,Studies!A:BR,5,FALSE),"")</f>
        <v>Midazolam</v>
      </c>
      <c r="F3855" s="207" t="str">
        <f>IF(AND(A3855&lt;&gt;"",ISNUMBER(A3855)),VLOOKUP(A3855,Studies!A:BR,6,FALSE),"")</f>
        <v>Plasma</v>
      </c>
      <c r="G3855" s="194">
        <v>2</v>
      </c>
      <c r="H3855" s="194" t="s">
        <v>60</v>
      </c>
      <c r="I3855" s="187">
        <v>15.77459</v>
      </c>
      <c r="J3855" s="187" t="s">
        <v>1026</v>
      </c>
      <c r="K3855" s="187" t="s">
        <v>264</v>
      </c>
      <c r="L3855" s="195"/>
      <c r="M3855" s="195"/>
      <c r="N3855" s="195"/>
      <c r="O3855" s="199"/>
      <c r="P3855" s="188"/>
      <c r="Q3855" s="174">
        <f>IF(ISNUMBER(VLOOKUP(A3855,NotghiID!A:A,1,FALSE)),1,0)</f>
        <v>1</v>
      </c>
    </row>
    <row r="3856" spans="1:17" ht="14.25" x14ac:dyDescent="0.2">
      <c r="A3856" s="205">
        <v>181</v>
      </c>
      <c r="B3856" s="232" t="str">
        <f>IF(AND(A3856&lt;&gt;"",ISNUMBER(A3856)),VLOOKUP(A3856,Studies!A:BR,2,FALSE),"")</f>
        <v>Greenblat 1984</v>
      </c>
      <c r="C3856" s="232" t="str">
        <f>IF(AND(A3856&lt;&gt;"",ISNUMBER(A3856)),VLOOKUP(A3856,Studies!A:BR,3,FALSE),"")</f>
        <v>https://www.ncbi.nlm.nih.gov/pubmed/6742481</v>
      </c>
      <c r="D3856" s="232" t="str">
        <f>IF(AND(A3856&lt;&gt;"",ISNUMBER(A3856)),VLOOKUP(A3856,Studies!A:BR,4,FALSE),"")</f>
        <v>iv - f, 61kg, 37y (normal female)</v>
      </c>
      <c r="E3856" s="206" t="str">
        <f>IF(AND(A3856&lt;&gt;"",ISNUMBER(A3856)),VLOOKUP(A3856,Studies!A:BR,5,FALSE),"")</f>
        <v>Midazolam</v>
      </c>
      <c r="F3856" s="207" t="str">
        <f>IF(AND(A3856&lt;&gt;"",ISNUMBER(A3856)),VLOOKUP(A3856,Studies!A:BR,6,FALSE),"")</f>
        <v>Plasma</v>
      </c>
      <c r="G3856" s="194">
        <v>2.5</v>
      </c>
      <c r="H3856" s="194" t="s">
        <v>60</v>
      </c>
      <c r="I3856" s="187">
        <v>14.41432</v>
      </c>
      <c r="J3856" s="187" t="s">
        <v>1026</v>
      </c>
      <c r="K3856" s="187" t="s">
        <v>264</v>
      </c>
      <c r="L3856" s="195"/>
      <c r="M3856" s="195"/>
      <c r="N3856" s="195"/>
      <c r="O3856" s="199"/>
      <c r="P3856" s="188"/>
      <c r="Q3856" s="174">
        <f>IF(ISNUMBER(VLOOKUP(A3856,NotghiID!A:A,1,FALSE)),1,0)</f>
        <v>1</v>
      </c>
    </row>
    <row r="3857" spans="1:17" ht="14.25" x14ac:dyDescent="0.2">
      <c r="A3857" s="205">
        <v>181</v>
      </c>
      <c r="B3857" s="232" t="str">
        <f>IF(AND(A3857&lt;&gt;"",ISNUMBER(A3857)),VLOOKUP(A3857,Studies!A:BR,2,FALSE),"")</f>
        <v>Greenblat 1984</v>
      </c>
      <c r="C3857" s="232" t="str">
        <f>IF(AND(A3857&lt;&gt;"",ISNUMBER(A3857)),VLOOKUP(A3857,Studies!A:BR,3,FALSE),"")</f>
        <v>https://www.ncbi.nlm.nih.gov/pubmed/6742481</v>
      </c>
      <c r="D3857" s="232" t="str">
        <f>IF(AND(A3857&lt;&gt;"",ISNUMBER(A3857)),VLOOKUP(A3857,Studies!A:BR,4,FALSE),"")</f>
        <v>iv - f, 61kg, 37y (normal female)</v>
      </c>
      <c r="E3857" s="206" t="str">
        <f>IF(AND(A3857&lt;&gt;"",ISNUMBER(A3857)),VLOOKUP(A3857,Studies!A:BR,5,FALSE),"")</f>
        <v>Midazolam</v>
      </c>
      <c r="F3857" s="207" t="str">
        <f>IF(AND(A3857&lt;&gt;"",ISNUMBER(A3857)),VLOOKUP(A3857,Studies!A:BR,6,FALSE),"")</f>
        <v>Plasma</v>
      </c>
      <c r="G3857" s="194">
        <v>3</v>
      </c>
      <c r="H3857" s="194" t="s">
        <v>60</v>
      </c>
      <c r="I3857" s="187">
        <v>10.06091</v>
      </c>
      <c r="J3857" s="187" t="s">
        <v>1026</v>
      </c>
      <c r="K3857" s="187" t="s">
        <v>264</v>
      </c>
      <c r="L3857" s="195"/>
      <c r="M3857" s="195"/>
      <c r="N3857" s="195"/>
      <c r="O3857" s="199"/>
      <c r="P3857" s="188"/>
      <c r="Q3857" s="174">
        <f>IF(ISNUMBER(VLOOKUP(A3857,NotghiID!A:A,1,FALSE)),1,0)</f>
        <v>1</v>
      </c>
    </row>
    <row r="3858" spans="1:17" ht="14.25" x14ac:dyDescent="0.2">
      <c r="A3858" s="205">
        <v>181</v>
      </c>
      <c r="B3858" s="232" t="str">
        <f>IF(AND(A3858&lt;&gt;"",ISNUMBER(A3858)),VLOOKUP(A3858,Studies!A:BR,2,FALSE),"")</f>
        <v>Greenblat 1984</v>
      </c>
      <c r="C3858" s="232" t="str">
        <f>IF(AND(A3858&lt;&gt;"",ISNUMBER(A3858)),VLOOKUP(A3858,Studies!A:BR,3,FALSE),"")</f>
        <v>https://www.ncbi.nlm.nih.gov/pubmed/6742481</v>
      </c>
      <c r="D3858" s="232" t="str">
        <f>IF(AND(A3858&lt;&gt;"",ISNUMBER(A3858)),VLOOKUP(A3858,Studies!A:BR,4,FALSE),"")</f>
        <v>iv - f, 61kg, 37y (normal female)</v>
      </c>
      <c r="E3858" s="206" t="str">
        <f>IF(AND(A3858&lt;&gt;"",ISNUMBER(A3858)),VLOOKUP(A3858,Studies!A:BR,5,FALSE),"")</f>
        <v>Midazolam</v>
      </c>
      <c r="F3858" s="207" t="str">
        <f>IF(AND(A3858&lt;&gt;"",ISNUMBER(A3858)),VLOOKUP(A3858,Studies!A:BR,6,FALSE),"")</f>
        <v>Plasma</v>
      </c>
      <c r="G3858" s="194">
        <v>4</v>
      </c>
      <c r="H3858" s="194" t="s">
        <v>60</v>
      </c>
      <c r="I3858" s="187">
        <v>8.9675829999999994</v>
      </c>
      <c r="J3858" s="187" t="s">
        <v>1026</v>
      </c>
      <c r="K3858" s="187" t="s">
        <v>264</v>
      </c>
      <c r="L3858" s="195"/>
      <c r="M3858" s="195"/>
      <c r="N3858" s="195"/>
      <c r="O3858" s="199"/>
      <c r="P3858" s="188"/>
      <c r="Q3858" s="174">
        <f>IF(ISNUMBER(VLOOKUP(A3858,NotghiID!A:A,1,FALSE)),1,0)</f>
        <v>1</v>
      </c>
    </row>
    <row r="3859" spans="1:17" ht="14.25" x14ac:dyDescent="0.2">
      <c r="A3859" s="205">
        <v>181</v>
      </c>
      <c r="B3859" s="232" t="str">
        <f>IF(AND(A3859&lt;&gt;"",ISNUMBER(A3859)),VLOOKUP(A3859,Studies!A:BR,2,FALSE),"")</f>
        <v>Greenblat 1984</v>
      </c>
      <c r="C3859" s="232" t="str">
        <f>IF(AND(A3859&lt;&gt;"",ISNUMBER(A3859)),VLOOKUP(A3859,Studies!A:BR,3,FALSE),"")</f>
        <v>https://www.ncbi.nlm.nih.gov/pubmed/6742481</v>
      </c>
      <c r="D3859" s="232" t="str">
        <f>IF(AND(A3859&lt;&gt;"",ISNUMBER(A3859)),VLOOKUP(A3859,Studies!A:BR,4,FALSE),"")</f>
        <v>iv - f, 61kg, 37y (normal female)</v>
      </c>
      <c r="E3859" s="206" t="str">
        <f>IF(AND(A3859&lt;&gt;"",ISNUMBER(A3859)),VLOOKUP(A3859,Studies!A:BR,5,FALSE),"")</f>
        <v>Midazolam</v>
      </c>
      <c r="F3859" s="207" t="str">
        <f>IF(AND(A3859&lt;&gt;"",ISNUMBER(A3859)),VLOOKUP(A3859,Studies!A:BR,6,FALSE),"")</f>
        <v>Plasma</v>
      </c>
      <c r="G3859" s="194">
        <v>6</v>
      </c>
      <c r="H3859" s="194" t="s">
        <v>60</v>
      </c>
      <c r="I3859" s="187">
        <v>4.6223320000000001</v>
      </c>
      <c r="J3859" s="187" t="s">
        <v>1026</v>
      </c>
      <c r="K3859" s="187" t="s">
        <v>264</v>
      </c>
      <c r="L3859" s="195"/>
      <c r="M3859" s="195"/>
      <c r="N3859" s="195"/>
      <c r="O3859" s="199"/>
      <c r="P3859" s="188"/>
      <c r="Q3859" s="174">
        <f>IF(ISNUMBER(VLOOKUP(A3859,NotghiID!A:A,1,FALSE)),1,0)</f>
        <v>1</v>
      </c>
    </row>
    <row r="3860" spans="1:17" ht="14.25" x14ac:dyDescent="0.2">
      <c r="A3860" s="205">
        <v>181</v>
      </c>
      <c r="B3860" s="232" t="str">
        <f>IF(AND(A3860&lt;&gt;"",ISNUMBER(A3860)),VLOOKUP(A3860,Studies!A:BR,2,FALSE),"")</f>
        <v>Greenblat 1984</v>
      </c>
      <c r="C3860" s="232" t="str">
        <f>IF(AND(A3860&lt;&gt;"",ISNUMBER(A3860)),VLOOKUP(A3860,Studies!A:BR,3,FALSE),"")</f>
        <v>https://www.ncbi.nlm.nih.gov/pubmed/6742481</v>
      </c>
      <c r="D3860" s="232" t="str">
        <f>IF(AND(A3860&lt;&gt;"",ISNUMBER(A3860)),VLOOKUP(A3860,Studies!A:BR,4,FALSE),"")</f>
        <v>iv - f, 61kg, 37y (normal female)</v>
      </c>
      <c r="E3860" s="206" t="str">
        <f>IF(AND(A3860&lt;&gt;"",ISNUMBER(A3860)),VLOOKUP(A3860,Studies!A:BR,5,FALSE),"")</f>
        <v>Midazolam</v>
      </c>
      <c r="F3860" s="207" t="str">
        <f>IF(AND(A3860&lt;&gt;"",ISNUMBER(A3860)),VLOOKUP(A3860,Studies!A:BR,6,FALSE),"")</f>
        <v>Plasma</v>
      </c>
      <c r="G3860" s="194">
        <v>8</v>
      </c>
      <c r="H3860" s="194" t="s">
        <v>60</v>
      </c>
      <c r="I3860" s="187">
        <v>3.5835889999999999</v>
      </c>
      <c r="J3860" s="187" t="s">
        <v>1026</v>
      </c>
      <c r="K3860" s="187" t="s">
        <v>264</v>
      </c>
      <c r="L3860" s="195"/>
      <c r="M3860" s="195"/>
      <c r="N3860" s="195"/>
      <c r="O3860" s="199"/>
      <c r="P3860" s="188"/>
      <c r="Q3860" s="174">
        <f>IF(ISNUMBER(VLOOKUP(A3860,NotghiID!A:A,1,FALSE)),1,0)</f>
        <v>1</v>
      </c>
    </row>
    <row r="3861" spans="1:17" ht="14.25" x14ac:dyDescent="0.2">
      <c r="A3861" s="205">
        <v>181</v>
      </c>
      <c r="B3861" s="232" t="str">
        <f>IF(AND(A3861&lt;&gt;"",ISNUMBER(A3861)),VLOOKUP(A3861,Studies!A:BR,2,FALSE),"")</f>
        <v>Greenblat 1984</v>
      </c>
      <c r="C3861" s="232" t="str">
        <f>IF(AND(A3861&lt;&gt;"",ISNUMBER(A3861)),VLOOKUP(A3861,Studies!A:BR,3,FALSE),"")</f>
        <v>https://www.ncbi.nlm.nih.gov/pubmed/6742481</v>
      </c>
      <c r="D3861" s="232" t="str">
        <f>IF(AND(A3861&lt;&gt;"",ISNUMBER(A3861)),VLOOKUP(A3861,Studies!A:BR,4,FALSE),"")</f>
        <v>iv - f, 61kg, 37y (normal female)</v>
      </c>
      <c r="E3861" s="206" t="str">
        <f>IF(AND(A3861&lt;&gt;"",ISNUMBER(A3861)),VLOOKUP(A3861,Studies!A:BR,5,FALSE),"")</f>
        <v>Midazolam</v>
      </c>
      <c r="F3861" s="207" t="str">
        <f>IF(AND(A3861&lt;&gt;"",ISNUMBER(A3861)),VLOOKUP(A3861,Studies!A:BR,6,FALSE),"")</f>
        <v>Plasma</v>
      </c>
      <c r="G3861" s="194">
        <v>12</v>
      </c>
      <c r="H3861" s="194" t="s">
        <v>60</v>
      </c>
      <c r="I3861" s="187">
        <v>1.6863509999999999</v>
      </c>
      <c r="J3861" s="187" t="s">
        <v>1026</v>
      </c>
      <c r="K3861" s="187" t="s">
        <v>264</v>
      </c>
      <c r="L3861" s="195"/>
      <c r="M3861" s="195"/>
      <c r="N3861" s="195"/>
      <c r="O3861" s="199"/>
      <c r="P3861" s="189" t="s">
        <v>1161</v>
      </c>
      <c r="Q3861" s="174">
        <f>IF(ISNUMBER(VLOOKUP(A3861,NotghiID!A:A,1,FALSE)),1,0)</f>
        <v>1</v>
      </c>
    </row>
    <row r="3862" spans="1:17" ht="14.25" x14ac:dyDescent="0.2">
      <c r="A3862" s="205">
        <v>182</v>
      </c>
      <c r="B3862" s="232" t="str">
        <f>IF(AND(A3862&lt;&gt;"",ISNUMBER(A3862)),VLOOKUP(A3862,Studies!A:BR,2,FALSE),"")</f>
        <v>Greenblat 1984</v>
      </c>
      <c r="C3862" s="232" t="str">
        <f>IF(AND(A3862&lt;&gt;"",ISNUMBER(A3862)),VLOOKUP(A3862,Studies!A:BR,3,FALSE),"")</f>
        <v>https://www.ncbi.nlm.nih.gov/pubmed/6742481</v>
      </c>
      <c r="D3862" s="232" t="str">
        <f>IF(AND(A3862&lt;&gt;"",ISNUMBER(A3862)),VLOOKUP(A3862,Studies!A:BR,4,FALSE),"")</f>
        <v>iv - m, 70kg, 32y (young male)</v>
      </c>
      <c r="E3862" s="206" t="str">
        <f>IF(AND(A3862&lt;&gt;"",ISNUMBER(A3862)),VLOOKUP(A3862,Studies!A:BR,5,FALSE),"")</f>
        <v>Midazolam</v>
      </c>
      <c r="F3862" s="207" t="str">
        <f>IF(AND(A3862&lt;&gt;"",ISNUMBER(A3862)),VLOOKUP(A3862,Studies!A:BR,6,FALSE),"")</f>
        <v>Plasma</v>
      </c>
      <c r="G3862" s="194">
        <v>0.08</v>
      </c>
      <c r="H3862" s="194" t="s">
        <v>60</v>
      </c>
      <c r="I3862" s="187">
        <v>97.580669999999998</v>
      </c>
      <c r="J3862" s="187" t="s">
        <v>1026</v>
      </c>
      <c r="K3862" s="187" t="s">
        <v>264</v>
      </c>
      <c r="L3862" s="195"/>
      <c r="M3862" s="195"/>
      <c r="N3862" s="195"/>
      <c r="O3862" s="199"/>
      <c r="P3862" s="188"/>
      <c r="Q3862" s="174">
        <f>IF(ISNUMBER(VLOOKUP(A3862,NotghiID!A:A,1,FALSE)),1,0)</f>
        <v>1</v>
      </c>
    </row>
    <row r="3863" spans="1:17" ht="14.25" x14ac:dyDescent="0.2">
      <c r="A3863" s="205">
        <v>182</v>
      </c>
      <c r="B3863" s="232" t="str">
        <f>IF(AND(A3863&lt;&gt;"",ISNUMBER(A3863)),VLOOKUP(A3863,Studies!A:BR,2,FALSE),"")</f>
        <v>Greenblat 1984</v>
      </c>
      <c r="C3863" s="232" t="str">
        <f>IF(AND(A3863&lt;&gt;"",ISNUMBER(A3863)),VLOOKUP(A3863,Studies!A:BR,3,FALSE),"")</f>
        <v>https://www.ncbi.nlm.nih.gov/pubmed/6742481</v>
      </c>
      <c r="D3863" s="232" t="str">
        <f>IF(AND(A3863&lt;&gt;"",ISNUMBER(A3863)),VLOOKUP(A3863,Studies!A:BR,4,FALSE),"")</f>
        <v>iv - m, 70kg, 32y (young male)</v>
      </c>
      <c r="E3863" s="206" t="str">
        <f>IF(AND(A3863&lt;&gt;"",ISNUMBER(A3863)),VLOOKUP(A3863,Studies!A:BR,5,FALSE),"")</f>
        <v>Midazolam</v>
      </c>
      <c r="F3863" s="207" t="str">
        <f>IF(AND(A3863&lt;&gt;"",ISNUMBER(A3863)),VLOOKUP(A3863,Studies!A:BR,6,FALSE),"")</f>
        <v>Plasma</v>
      </c>
      <c r="G3863" s="194">
        <v>0.25</v>
      </c>
      <c r="H3863" s="194" t="s">
        <v>60</v>
      </c>
      <c r="I3863" s="187">
        <v>39.07629</v>
      </c>
      <c r="J3863" s="187" t="s">
        <v>1026</v>
      </c>
      <c r="K3863" s="187" t="s">
        <v>264</v>
      </c>
      <c r="L3863" s="195"/>
      <c r="M3863" s="195"/>
      <c r="N3863" s="195"/>
      <c r="O3863" s="199"/>
      <c r="P3863" s="188"/>
      <c r="Q3863" s="174">
        <f>IF(ISNUMBER(VLOOKUP(A3863,NotghiID!A:A,1,FALSE)),1,0)</f>
        <v>1</v>
      </c>
    </row>
    <row r="3864" spans="1:17" ht="14.25" x14ac:dyDescent="0.2">
      <c r="A3864" s="205">
        <v>182</v>
      </c>
      <c r="B3864" s="232" t="str">
        <f>IF(AND(A3864&lt;&gt;"",ISNUMBER(A3864)),VLOOKUP(A3864,Studies!A:BR,2,FALSE),"")</f>
        <v>Greenblat 1984</v>
      </c>
      <c r="C3864" s="232" t="str">
        <f>IF(AND(A3864&lt;&gt;"",ISNUMBER(A3864)),VLOOKUP(A3864,Studies!A:BR,3,FALSE),"")</f>
        <v>https://www.ncbi.nlm.nih.gov/pubmed/6742481</v>
      </c>
      <c r="D3864" s="232" t="str">
        <f>IF(AND(A3864&lt;&gt;"",ISNUMBER(A3864)),VLOOKUP(A3864,Studies!A:BR,4,FALSE),"")</f>
        <v>iv - m, 70kg, 32y (young male)</v>
      </c>
      <c r="E3864" s="206" t="str">
        <f>IF(AND(A3864&lt;&gt;"",ISNUMBER(A3864)),VLOOKUP(A3864,Studies!A:BR,5,FALSE),"")</f>
        <v>Midazolam</v>
      </c>
      <c r="F3864" s="207" t="str">
        <f>IF(AND(A3864&lt;&gt;"",ISNUMBER(A3864)),VLOOKUP(A3864,Studies!A:BR,6,FALSE),"")</f>
        <v>Plasma</v>
      </c>
      <c r="G3864" s="194">
        <v>0.5</v>
      </c>
      <c r="H3864" s="194" t="s">
        <v>60</v>
      </c>
      <c r="I3864" s="187">
        <v>50.680970000000002</v>
      </c>
      <c r="J3864" s="187" t="s">
        <v>1026</v>
      </c>
      <c r="K3864" s="187" t="s">
        <v>264</v>
      </c>
      <c r="L3864" s="195"/>
      <c r="M3864" s="195"/>
      <c r="N3864" s="195"/>
      <c r="O3864" s="199"/>
      <c r="P3864" s="188"/>
      <c r="Q3864" s="174">
        <f>IF(ISNUMBER(VLOOKUP(A3864,NotghiID!A:A,1,FALSE)),1,0)</f>
        <v>1</v>
      </c>
    </row>
    <row r="3865" spans="1:17" ht="14.25" x14ac:dyDescent="0.2">
      <c r="A3865" s="205">
        <v>182</v>
      </c>
      <c r="B3865" s="232" t="str">
        <f>IF(AND(A3865&lt;&gt;"",ISNUMBER(A3865)),VLOOKUP(A3865,Studies!A:BR,2,FALSE),"")</f>
        <v>Greenblat 1984</v>
      </c>
      <c r="C3865" s="232" t="str">
        <f>IF(AND(A3865&lt;&gt;"",ISNUMBER(A3865)),VLOOKUP(A3865,Studies!A:BR,3,FALSE),"")</f>
        <v>https://www.ncbi.nlm.nih.gov/pubmed/6742481</v>
      </c>
      <c r="D3865" s="232" t="str">
        <f>IF(AND(A3865&lt;&gt;"",ISNUMBER(A3865)),VLOOKUP(A3865,Studies!A:BR,4,FALSE),"")</f>
        <v>iv - m, 70kg, 32y (young male)</v>
      </c>
      <c r="E3865" s="206" t="str">
        <f>IF(AND(A3865&lt;&gt;"",ISNUMBER(A3865)),VLOOKUP(A3865,Studies!A:BR,5,FALSE),"")</f>
        <v>Midazolam</v>
      </c>
      <c r="F3865" s="207" t="str">
        <f>IF(AND(A3865&lt;&gt;"",ISNUMBER(A3865)),VLOOKUP(A3865,Studies!A:BR,6,FALSE),"")</f>
        <v>Plasma</v>
      </c>
      <c r="G3865" s="194">
        <v>0.75</v>
      </c>
      <c r="H3865" s="194" t="s">
        <v>60</v>
      </c>
      <c r="I3865" s="187">
        <v>36.36054</v>
      </c>
      <c r="J3865" s="187" t="s">
        <v>1026</v>
      </c>
      <c r="K3865" s="187" t="s">
        <v>264</v>
      </c>
      <c r="L3865" s="195"/>
      <c r="M3865" s="195"/>
      <c r="N3865" s="195"/>
      <c r="O3865" s="199"/>
      <c r="P3865" s="188"/>
      <c r="Q3865" s="174">
        <f>IF(ISNUMBER(VLOOKUP(A3865,NotghiID!A:A,1,FALSE)),1,0)</f>
        <v>1</v>
      </c>
    </row>
    <row r="3866" spans="1:17" ht="14.25" x14ac:dyDescent="0.2">
      <c r="A3866" s="205">
        <v>182</v>
      </c>
      <c r="B3866" s="232" t="str">
        <f>IF(AND(A3866&lt;&gt;"",ISNUMBER(A3866)),VLOOKUP(A3866,Studies!A:BR,2,FALSE),"")</f>
        <v>Greenblat 1984</v>
      </c>
      <c r="C3866" s="232" t="str">
        <f>IF(AND(A3866&lt;&gt;"",ISNUMBER(A3866)),VLOOKUP(A3866,Studies!A:BR,3,FALSE),"")</f>
        <v>https://www.ncbi.nlm.nih.gov/pubmed/6742481</v>
      </c>
      <c r="D3866" s="232" t="str">
        <f>IF(AND(A3866&lt;&gt;"",ISNUMBER(A3866)),VLOOKUP(A3866,Studies!A:BR,4,FALSE),"")</f>
        <v>iv - m, 70kg, 32y (young male)</v>
      </c>
      <c r="E3866" s="206" t="str">
        <f>IF(AND(A3866&lt;&gt;"",ISNUMBER(A3866)),VLOOKUP(A3866,Studies!A:BR,5,FALSE),"")</f>
        <v>Midazolam</v>
      </c>
      <c r="F3866" s="207" t="str">
        <f>IF(AND(A3866&lt;&gt;"",ISNUMBER(A3866)),VLOOKUP(A3866,Studies!A:BR,6,FALSE),"")</f>
        <v>Plasma</v>
      </c>
      <c r="G3866" s="194">
        <v>1</v>
      </c>
      <c r="H3866" s="194" t="s">
        <v>60</v>
      </c>
      <c r="I3866" s="187">
        <v>35.52561</v>
      </c>
      <c r="J3866" s="187" t="s">
        <v>1026</v>
      </c>
      <c r="K3866" s="187" t="s">
        <v>264</v>
      </c>
      <c r="L3866" s="195"/>
      <c r="M3866" s="195"/>
      <c r="N3866" s="195"/>
      <c r="O3866" s="199"/>
      <c r="P3866" s="189" t="s">
        <v>1162</v>
      </c>
      <c r="Q3866" s="174">
        <f>IF(ISNUMBER(VLOOKUP(A3866,NotghiID!A:A,1,FALSE)),1,0)</f>
        <v>1</v>
      </c>
    </row>
    <row r="3867" spans="1:17" ht="14.25" x14ac:dyDescent="0.2">
      <c r="A3867" s="205">
        <v>182</v>
      </c>
      <c r="B3867" s="232" t="str">
        <f>IF(AND(A3867&lt;&gt;"",ISNUMBER(A3867)),VLOOKUP(A3867,Studies!A:BR,2,FALSE),"")</f>
        <v>Greenblat 1984</v>
      </c>
      <c r="C3867" s="232" t="str">
        <f>IF(AND(A3867&lt;&gt;"",ISNUMBER(A3867)),VLOOKUP(A3867,Studies!A:BR,3,FALSE),"")</f>
        <v>https://www.ncbi.nlm.nih.gov/pubmed/6742481</v>
      </c>
      <c r="D3867" s="232" t="str">
        <f>IF(AND(A3867&lt;&gt;"",ISNUMBER(A3867)),VLOOKUP(A3867,Studies!A:BR,4,FALSE),"")</f>
        <v>iv - m, 70kg, 32y (young male)</v>
      </c>
      <c r="E3867" s="206" t="str">
        <f>IF(AND(A3867&lt;&gt;"",ISNUMBER(A3867)),VLOOKUP(A3867,Studies!A:BR,5,FALSE),"")</f>
        <v>Midazolam</v>
      </c>
      <c r="F3867" s="207" t="str">
        <f>IF(AND(A3867&lt;&gt;"",ISNUMBER(A3867)),VLOOKUP(A3867,Studies!A:BR,6,FALSE),"")</f>
        <v>Plasma</v>
      </c>
      <c r="G3867" s="194">
        <v>2</v>
      </c>
      <c r="H3867" s="194" t="s">
        <v>60</v>
      </c>
      <c r="I3867" s="187">
        <v>21.909510000000001</v>
      </c>
      <c r="J3867" s="187" t="s">
        <v>1026</v>
      </c>
      <c r="K3867" s="187" t="s">
        <v>264</v>
      </c>
      <c r="L3867" s="195"/>
      <c r="M3867" s="195"/>
      <c r="N3867" s="195"/>
      <c r="O3867" s="199"/>
      <c r="P3867" s="188"/>
      <c r="Q3867" s="174">
        <f>IF(ISNUMBER(VLOOKUP(A3867,NotghiID!A:A,1,FALSE)),1,0)</f>
        <v>1</v>
      </c>
    </row>
    <row r="3868" spans="1:17" ht="14.25" x14ac:dyDescent="0.2">
      <c r="A3868" s="205">
        <v>182</v>
      </c>
      <c r="B3868" s="232" t="str">
        <f>IF(AND(A3868&lt;&gt;"",ISNUMBER(A3868)),VLOOKUP(A3868,Studies!A:BR,2,FALSE),"")</f>
        <v>Greenblat 1984</v>
      </c>
      <c r="C3868" s="232" t="str">
        <f>IF(AND(A3868&lt;&gt;"",ISNUMBER(A3868)),VLOOKUP(A3868,Studies!A:BR,3,FALSE),"")</f>
        <v>https://www.ncbi.nlm.nih.gov/pubmed/6742481</v>
      </c>
      <c r="D3868" s="232" t="str">
        <f>IF(AND(A3868&lt;&gt;"",ISNUMBER(A3868)),VLOOKUP(A3868,Studies!A:BR,4,FALSE),"")</f>
        <v>iv - m, 70kg, 32y (young male)</v>
      </c>
      <c r="E3868" s="206" t="str">
        <f>IF(AND(A3868&lt;&gt;"",ISNUMBER(A3868)),VLOOKUP(A3868,Studies!A:BR,5,FALSE),"")</f>
        <v>Midazolam</v>
      </c>
      <c r="F3868" s="207" t="str">
        <f>IF(AND(A3868&lt;&gt;"",ISNUMBER(A3868)),VLOOKUP(A3868,Studies!A:BR,6,FALSE),"")</f>
        <v>Plasma</v>
      </c>
      <c r="G3868" s="194">
        <v>2.5</v>
      </c>
      <c r="H3868" s="194" t="s">
        <v>60</v>
      </c>
      <c r="I3868" s="187">
        <v>15.60594</v>
      </c>
      <c r="J3868" s="187" t="s">
        <v>1026</v>
      </c>
      <c r="K3868" s="187" t="s">
        <v>264</v>
      </c>
      <c r="L3868" s="195"/>
      <c r="M3868" s="195"/>
      <c r="N3868" s="195"/>
      <c r="O3868" s="199"/>
      <c r="P3868" s="188"/>
      <c r="Q3868" s="174">
        <f>IF(ISNUMBER(VLOOKUP(A3868,NotghiID!A:A,1,FALSE)),1,0)</f>
        <v>1</v>
      </c>
    </row>
    <row r="3869" spans="1:17" ht="14.25" x14ac:dyDescent="0.2">
      <c r="A3869" s="205">
        <v>182</v>
      </c>
      <c r="B3869" s="232" t="str">
        <f>IF(AND(A3869&lt;&gt;"",ISNUMBER(A3869)),VLOOKUP(A3869,Studies!A:BR,2,FALSE),"")</f>
        <v>Greenblat 1984</v>
      </c>
      <c r="C3869" s="232" t="str">
        <f>IF(AND(A3869&lt;&gt;"",ISNUMBER(A3869)),VLOOKUP(A3869,Studies!A:BR,3,FALSE),"")</f>
        <v>https://www.ncbi.nlm.nih.gov/pubmed/6742481</v>
      </c>
      <c r="D3869" s="232" t="str">
        <f>IF(AND(A3869&lt;&gt;"",ISNUMBER(A3869)),VLOOKUP(A3869,Studies!A:BR,4,FALSE),"")</f>
        <v>iv - m, 70kg, 32y (young male)</v>
      </c>
      <c r="E3869" s="206" t="str">
        <f>IF(AND(A3869&lt;&gt;"",ISNUMBER(A3869)),VLOOKUP(A3869,Studies!A:BR,5,FALSE),"")</f>
        <v>Midazolam</v>
      </c>
      <c r="F3869" s="207" t="str">
        <f>IF(AND(A3869&lt;&gt;"",ISNUMBER(A3869)),VLOOKUP(A3869,Studies!A:BR,6,FALSE),"")</f>
        <v>Plasma</v>
      </c>
      <c r="G3869" s="194">
        <v>3</v>
      </c>
      <c r="H3869" s="194" t="s">
        <v>60</v>
      </c>
      <c r="I3869" s="187">
        <v>12.97092</v>
      </c>
      <c r="J3869" s="187" t="s">
        <v>1026</v>
      </c>
      <c r="K3869" s="187" t="s">
        <v>264</v>
      </c>
      <c r="L3869" s="195"/>
      <c r="M3869" s="195"/>
      <c r="N3869" s="195"/>
      <c r="O3869" s="199"/>
      <c r="P3869" s="188"/>
      <c r="Q3869" s="174">
        <f>IF(ISNUMBER(VLOOKUP(A3869,NotghiID!A:A,1,FALSE)),1,0)</f>
        <v>1</v>
      </c>
    </row>
    <row r="3870" spans="1:17" ht="14.25" x14ac:dyDescent="0.2">
      <c r="A3870" s="205">
        <v>182</v>
      </c>
      <c r="B3870" s="232" t="str">
        <f>IF(AND(A3870&lt;&gt;"",ISNUMBER(A3870)),VLOOKUP(A3870,Studies!A:BR,2,FALSE),"")</f>
        <v>Greenblat 1984</v>
      </c>
      <c r="C3870" s="232" t="str">
        <f>IF(AND(A3870&lt;&gt;"",ISNUMBER(A3870)),VLOOKUP(A3870,Studies!A:BR,3,FALSE),"")</f>
        <v>https://www.ncbi.nlm.nih.gov/pubmed/6742481</v>
      </c>
      <c r="D3870" s="232" t="str">
        <f>IF(AND(A3870&lt;&gt;"",ISNUMBER(A3870)),VLOOKUP(A3870,Studies!A:BR,4,FALSE),"")</f>
        <v>iv - m, 70kg, 32y (young male)</v>
      </c>
      <c r="E3870" s="206" t="str">
        <f>IF(AND(A3870&lt;&gt;"",ISNUMBER(A3870)),VLOOKUP(A3870,Studies!A:BR,5,FALSE),"")</f>
        <v>Midazolam</v>
      </c>
      <c r="F3870" s="207" t="str">
        <f>IF(AND(A3870&lt;&gt;"",ISNUMBER(A3870)),VLOOKUP(A3870,Studies!A:BR,6,FALSE),"")</f>
        <v>Plasma</v>
      </c>
      <c r="G3870" s="194">
        <v>4</v>
      </c>
      <c r="H3870" s="194" t="s">
        <v>60</v>
      </c>
      <c r="I3870" s="187">
        <v>7.3185880000000001</v>
      </c>
      <c r="J3870" s="187" t="s">
        <v>1026</v>
      </c>
      <c r="K3870" s="187" t="s">
        <v>264</v>
      </c>
      <c r="L3870" s="195"/>
      <c r="M3870" s="195"/>
      <c r="N3870" s="195"/>
      <c r="O3870" s="199"/>
      <c r="P3870" s="188"/>
      <c r="Q3870" s="174">
        <f>IF(ISNUMBER(VLOOKUP(A3870,NotghiID!A:A,1,FALSE)),1,0)</f>
        <v>1</v>
      </c>
    </row>
    <row r="3871" spans="1:17" ht="14.25" x14ac:dyDescent="0.2">
      <c r="A3871" s="205">
        <v>182</v>
      </c>
      <c r="B3871" s="232" t="str">
        <f>IF(AND(A3871&lt;&gt;"",ISNUMBER(A3871)),VLOOKUP(A3871,Studies!A:BR,2,FALSE),"")</f>
        <v>Greenblat 1984</v>
      </c>
      <c r="C3871" s="232" t="str">
        <f>IF(AND(A3871&lt;&gt;"",ISNUMBER(A3871)),VLOOKUP(A3871,Studies!A:BR,3,FALSE),"")</f>
        <v>https://www.ncbi.nlm.nih.gov/pubmed/6742481</v>
      </c>
      <c r="D3871" s="232" t="str">
        <f>IF(AND(A3871&lt;&gt;"",ISNUMBER(A3871)),VLOOKUP(A3871,Studies!A:BR,4,FALSE),"")</f>
        <v>iv - m, 70kg, 32y (young male)</v>
      </c>
      <c r="E3871" s="206" t="str">
        <f>IF(AND(A3871&lt;&gt;"",ISNUMBER(A3871)),VLOOKUP(A3871,Studies!A:BR,5,FALSE),"")</f>
        <v>Midazolam</v>
      </c>
      <c r="F3871" s="207" t="str">
        <f>IF(AND(A3871&lt;&gt;"",ISNUMBER(A3871)),VLOOKUP(A3871,Studies!A:BR,6,FALSE),"")</f>
        <v>Plasma</v>
      </c>
      <c r="G3871" s="194">
        <v>6</v>
      </c>
      <c r="H3871" s="194" t="s">
        <v>60</v>
      </c>
      <c r="I3871" s="187">
        <v>2.545309</v>
      </c>
      <c r="J3871" s="187" t="s">
        <v>1026</v>
      </c>
      <c r="K3871" s="187" t="s">
        <v>264</v>
      </c>
      <c r="L3871" s="195"/>
      <c r="M3871" s="195"/>
      <c r="N3871" s="195"/>
      <c r="O3871" s="199"/>
      <c r="P3871" s="188"/>
      <c r="Q3871" s="174">
        <f>IF(ISNUMBER(VLOOKUP(A3871,NotghiID!A:A,1,FALSE)),1,0)</f>
        <v>1</v>
      </c>
    </row>
    <row r="3872" spans="1:17" ht="14.25" x14ac:dyDescent="0.2">
      <c r="A3872" s="205">
        <v>182</v>
      </c>
      <c r="B3872" s="232" t="str">
        <f>IF(AND(A3872&lt;&gt;"",ISNUMBER(A3872)),VLOOKUP(A3872,Studies!A:BR,2,FALSE),"")</f>
        <v>Greenblat 1984</v>
      </c>
      <c r="C3872" s="232" t="str">
        <f>IF(AND(A3872&lt;&gt;"",ISNUMBER(A3872)),VLOOKUP(A3872,Studies!A:BR,3,FALSE),"")</f>
        <v>https://www.ncbi.nlm.nih.gov/pubmed/6742481</v>
      </c>
      <c r="D3872" s="232" t="str">
        <f>IF(AND(A3872&lt;&gt;"",ISNUMBER(A3872)),VLOOKUP(A3872,Studies!A:BR,4,FALSE),"")</f>
        <v>iv - m, 70kg, 32y (young male)</v>
      </c>
      <c r="E3872" s="206" t="str">
        <f>IF(AND(A3872&lt;&gt;"",ISNUMBER(A3872)),VLOOKUP(A3872,Studies!A:BR,5,FALSE),"")</f>
        <v>Midazolam</v>
      </c>
      <c r="F3872" s="207" t="str">
        <f>IF(AND(A3872&lt;&gt;"",ISNUMBER(A3872)),VLOOKUP(A3872,Studies!A:BR,6,FALSE),"")</f>
        <v>Plasma</v>
      </c>
      <c r="G3872" s="194">
        <v>8</v>
      </c>
      <c r="H3872" s="194" t="s">
        <v>60</v>
      </c>
      <c r="I3872" s="187">
        <v>1.205317</v>
      </c>
      <c r="J3872" s="187" t="s">
        <v>1026</v>
      </c>
      <c r="K3872" s="187" t="s">
        <v>264</v>
      </c>
      <c r="L3872" s="195"/>
      <c r="M3872" s="195"/>
      <c r="N3872" s="195"/>
      <c r="O3872" s="199"/>
      <c r="P3872" s="188"/>
      <c r="Q3872" s="174">
        <f>IF(ISNUMBER(VLOOKUP(A3872,NotghiID!A:A,1,FALSE)),1,0)</f>
        <v>1</v>
      </c>
    </row>
    <row r="3873" spans="1:17" ht="14.25" x14ac:dyDescent="0.2">
      <c r="A3873" s="205">
        <v>183</v>
      </c>
      <c r="B3873" s="232" t="str">
        <f>IF(AND(A3873&lt;&gt;"",ISNUMBER(A3873)),VLOOKUP(A3873,Studies!A:BR,2,FALSE),"")</f>
        <v>Greenblat 1984</v>
      </c>
      <c r="C3873" s="232" t="str">
        <f>IF(AND(A3873&lt;&gt;"",ISNUMBER(A3873)),VLOOKUP(A3873,Studies!A:BR,3,FALSE),"")</f>
        <v>https://www.ncbi.nlm.nih.gov/pubmed/6742481</v>
      </c>
      <c r="D3873" s="232" t="str">
        <f>IF(AND(A3873&lt;&gt;"",ISNUMBER(A3873)),VLOOKUP(A3873,Studies!A:BR,4,FALSE),"")</f>
        <v>iv - m, 80kg, 70y (elderly male)</v>
      </c>
      <c r="E3873" s="206" t="str">
        <f>IF(AND(A3873&lt;&gt;"",ISNUMBER(A3873)),VLOOKUP(A3873,Studies!A:BR,5,FALSE),"")</f>
        <v>Midazolam</v>
      </c>
      <c r="F3873" s="207" t="str">
        <f>IF(AND(A3873&lt;&gt;"",ISNUMBER(A3873)),VLOOKUP(A3873,Studies!A:BR,6,FALSE),"")</f>
        <v>Plasma</v>
      </c>
      <c r="G3873" s="194">
        <v>0.08</v>
      </c>
      <c r="H3873" s="194" t="s">
        <v>60</v>
      </c>
      <c r="I3873" s="187">
        <v>102.46120000000001</v>
      </c>
      <c r="J3873" s="187" t="s">
        <v>1026</v>
      </c>
      <c r="K3873" s="187" t="s">
        <v>264</v>
      </c>
      <c r="L3873" s="195"/>
      <c r="M3873" s="195"/>
      <c r="N3873" s="195"/>
      <c r="O3873" s="199"/>
      <c r="P3873" s="188"/>
      <c r="Q3873" s="174">
        <f>IF(ISNUMBER(VLOOKUP(A3873,NotghiID!A:A,1,FALSE)),1,0)</f>
        <v>1</v>
      </c>
    </row>
    <row r="3874" spans="1:17" ht="14.25" x14ac:dyDescent="0.2">
      <c r="A3874" s="205">
        <v>183</v>
      </c>
      <c r="B3874" s="232" t="str">
        <f>IF(AND(A3874&lt;&gt;"",ISNUMBER(A3874)),VLOOKUP(A3874,Studies!A:BR,2,FALSE),"")</f>
        <v>Greenblat 1984</v>
      </c>
      <c r="C3874" s="232" t="str">
        <f>IF(AND(A3874&lt;&gt;"",ISNUMBER(A3874)),VLOOKUP(A3874,Studies!A:BR,3,FALSE),"")</f>
        <v>https://www.ncbi.nlm.nih.gov/pubmed/6742481</v>
      </c>
      <c r="D3874" s="232" t="str">
        <f>IF(AND(A3874&lt;&gt;"",ISNUMBER(A3874)),VLOOKUP(A3874,Studies!A:BR,4,FALSE),"")</f>
        <v>iv - m, 80kg, 70y (elderly male)</v>
      </c>
      <c r="E3874" s="206" t="str">
        <f>IF(AND(A3874&lt;&gt;"",ISNUMBER(A3874)),VLOOKUP(A3874,Studies!A:BR,5,FALSE),"")</f>
        <v>Midazolam</v>
      </c>
      <c r="F3874" s="207" t="str">
        <f>IF(AND(A3874&lt;&gt;"",ISNUMBER(A3874)),VLOOKUP(A3874,Studies!A:BR,6,FALSE),"")</f>
        <v>Plasma</v>
      </c>
      <c r="G3874" s="194">
        <v>0.25</v>
      </c>
      <c r="H3874" s="194" t="s">
        <v>60</v>
      </c>
      <c r="I3874" s="187">
        <v>71.174289999999999</v>
      </c>
      <c r="J3874" s="187" t="s">
        <v>1026</v>
      </c>
      <c r="K3874" s="187" t="s">
        <v>264</v>
      </c>
      <c r="L3874" s="195"/>
      <c r="M3874" s="195"/>
      <c r="N3874" s="195"/>
      <c r="O3874" s="199"/>
      <c r="P3874" s="188"/>
      <c r="Q3874" s="174">
        <f>IF(ISNUMBER(VLOOKUP(A3874,NotghiID!A:A,1,FALSE)),1,0)</f>
        <v>1</v>
      </c>
    </row>
    <row r="3875" spans="1:17" ht="14.25" x14ac:dyDescent="0.2">
      <c r="A3875" s="205">
        <v>183</v>
      </c>
      <c r="B3875" s="232" t="str">
        <f>IF(AND(A3875&lt;&gt;"",ISNUMBER(A3875)),VLOOKUP(A3875,Studies!A:BR,2,FALSE),"")</f>
        <v>Greenblat 1984</v>
      </c>
      <c r="C3875" s="232" t="str">
        <f>IF(AND(A3875&lt;&gt;"",ISNUMBER(A3875)),VLOOKUP(A3875,Studies!A:BR,3,FALSE),"")</f>
        <v>https://www.ncbi.nlm.nih.gov/pubmed/6742481</v>
      </c>
      <c r="D3875" s="232" t="str">
        <f>IF(AND(A3875&lt;&gt;"",ISNUMBER(A3875)),VLOOKUP(A3875,Studies!A:BR,4,FALSE),"")</f>
        <v>iv - m, 80kg, 70y (elderly male)</v>
      </c>
      <c r="E3875" s="206" t="str">
        <f>IF(AND(A3875&lt;&gt;"",ISNUMBER(A3875)),VLOOKUP(A3875,Studies!A:BR,5,FALSE),"")</f>
        <v>Midazolam</v>
      </c>
      <c r="F3875" s="207" t="str">
        <f>IF(AND(A3875&lt;&gt;"",ISNUMBER(A3875)),VLOOKUP(A3875,Studies!A:BR,6,FALSE),"")</f>
        <v>Plasma</v>
      </c>
      <c r="G3875" s="194">
        <v>0.5</v>
      </c>
      <c r="H3875" s="194" t="s">
        <v>60</v>
      </c>
      <c r="I3875" s="187">
        <v>59.084159999999997</v>
      </c>
      <c r="J3875" s="187" t="s">
        <v>1026</v>
      </c>
      <c r="K3875" s="187" t="s">
        <v>264</v>
      </c>
      <c r="L3875" s="195"/>
      <c r="M3875" s="195"/>
      <c r="N3875" s="195"/>
      <c r="O3875" s="199"/>
      <c r="P3875" s="188"/>
      <c r="Q3875" s="174">
        <f>IF(ISNUMBER(VLOOKUP(A3875,NotghiID!A:A,1,FALSE)),1,0)</f>
        <v>1</v>
      </c>
    </row>
    <row r="3876" spans="1:17" ht="14.25" x14ac:dyDescent="0.2">
      <c r="A3876" s="205">
        <v>183</v>
      </c>
      <c r="B3876" s="232" t="str">
        <f>IF(AND(A3876&lt;&gt;"",ISNUMBER(A3876)),VLOOKUP(A3876,Studies!A:BR,2,FALSE),"")</f>
        <v>Greenblat 1984</v>
      </c>
      <c r="C3876" s="232" t="str">
        <f>IF(AND(A3876&lt;&gt;"",ISNUMBER(A3876)),VLOOKUP(A3876,Studies!A:BR,3,FALSE),"")</f>
        <v>https://www.ncbi.nlm.nih.gov/pubmed/6742481</v>
      </c>
      <c r="D3876" s="232" t="str">
        <f>IF(AND(A3876&lt;&gt;"",ISNUMBER(A3876)),VLOOKUP(A3876,Studies!A:BR,4,FALSE),"")</f>
        <v>iv - m, 80kg, 70y (elderly male)</v>
      </c>
      <c r="E3876" s="206" t="str">
        <f>IF(AND(A3876&lt;&gt;"",ISNUMBER(A3876)),VLOOKUP(A3876,Studies!A:BR,5,FALSE),"")</f>
        <v>Midazolam</v>
      </c>
      <c r="F3876" s="207" t="str">
        <f>IF(AND(A3876&lt;&gt;"",ISNUMBER(A3876)),VLOOKUP(A3876,Studies!A:BR,6,FALSE),"")</f>
        <v>Plasma</v>
      </c>
      <c r="G3876" s="194">
        <v>0.75</v>
      </c>
      <c r="H3876" s="194" t="s">
        <v>60</v>
      </c>
      <c r="I3876" s="187">
        <v>44.523519999999998</v>
      </c>
      <c r="J3876" s="187" t="s">
        <v>1026</v>
      </c>
      <c r="K3876" s="187" t="s">
        <v>264</v>
      </c>
      <c r="L3876" s="195"/>
      <c r="M3876" s="195"/>
      <c r="N3876" s="195"/>
      <c r="O3876" s="199"/>
      <c r="P3876" s="188"/>
      <c r="Q3876" s="174">
        <f>IF(ISNUMBER(VLOOKUP(A3876,NotghiID!A:A,1,FALSE)),1,0)</f>
        <v>1</v>
      </c>
    </row>
    <row r="3877" spans="1:17" ht="14.25" x14ac:dyDescent="0.2">
      <c r="A3877" s="205">
        <v>183</v>
      </c>
      <c r="B3877" s="232" t="str">
        <f>IF(AND(A3877&lt;&gt;"",ISNUMBER(A3877)),VLOOKUP(A3877,Studies!A:BR,2,FALSE),"")</f>
        <v>Greenblat 1984</v>
      </c>
      <c r="C3877" s="232" t="str">
        <f>IF(AND(A3877&lt;&gt;"",ISNUMBER(A3877)),VLOOKUP(A3877,Studies!A:BR,3,FALSE),"")</f>
        <v>https://www.ncbi.nlm.nih.gov/pubmed/6742481</v>
      </c>
      <c r="D3877" s="232" t="str">
        <f>IF(AND(A3877&lt;&gt;"",ISNUMBER(A3877)),VLOOKUP(A3877,Studies!A:BR,4,FALSE),"")</f>
        <v>iv - m, 80kg, 70y (elderly male)</v>
      </c>
      <c r="E3877" s="206" t="str">
        <f>IF(AND(A3877&lt;&gt;"",ISNUMBER(A3877)),VLOOKUP(A3877,Studies!A:BR,5,FALSE),"")</f>
        <v>Midazolam</v>
      </c>
      <c r="F3877" s="207" t="str">
        <f>IF(AND(A3877&lt;&gt;"",ISNUMBER(A3877)),VLOOKUP(A3877,Studies!A:BR,6,FALSE),"")</f>
        <v>Plasma</v>
      </c>
      <c r="G3877" s="194">
        <v>1</v>
      </c>
      <c r="H3877" s="194" t="s">
        <v>60</v>
      </c>
      <c r="I3877" s="187">
        <v>38.182899999999997</v>
      </c>
      <c r="J3877" s="187" t="s">
        <v>1026</v>
      </c>
      <c r="K3877" s="187" t="s">
        <v>264</v>
      </c>
      <c r="L3877" s="195"/>
      <c r="M3877" s="195"/>
      <c r="N3877" s="195"/>
      <c r="O3877" s="199"/>
      <c r="P3877" s="188"/>
      <c r="Q3877" s="174">
        <f>IF(ISNUMBER(VLOOKUP(A3877,NotghiID!A:A,1,FALSE)),1,0)</f>
        <v>1</v>
      </c>
    </row>
    <row r="3878" spans="1:17" ht="14.25" x14ac:dyDescent="0.2">
      <c r="A3878" s="205">
        <v>183</v>
      </c>
      <c r="B3878" s="232" t="str">
        <f>IF(AND(A3878&lt;&gt;"",ISNUMBER(A3878)),VLOOKUP(A3878,Studies!A:BR,2,FALSE),"")</f>
        <v>Greenblat 1984</v>
      </c>
      <c r="C3878" s="232" t="str">
        <f>IF(AND(A3878&lt;&gt;"",ISNUMBER(A3878)),VLOOKUP(A3878,Studies!A:BR,3,FALSE),"")</f>
        <v>https://www.ncbi.nlm.nih.gov/pubmed/6742481</v>
      </c>
      <c r="D3878" s="232" t="str">
        <f>IF(AND(A3878&lt;&gt;"",ISNUMBER(A3878)),VLOOKUP(A3878,Studies!A:BR,4,FALSE),"")</f>
        <v>iv - m, 80kg, 70y (elderly male)</v>
      </c>
      <c r="E3878" s="206" t="str">
        <f>IF(AND(A3878&lt;&gt;"",ISNUMBER(A3878)),VLOOKUP(A3878,Studies!A:BR,5,FALSE),"")</f>
        <v>Midazolam</v>
      </c>
      <c r="F3878" s="207" t="str">
        <f>IF(AND(A3878&lt;&gt;"",ISNUMBER(A3878)),VLOOKUP(A3878,Studies!A:BR,6,FALSE),"")</f>
        <v>Plasma</v>
      </c>
      <c r="G3878" s="194">
        <v>1.5</v>
      </c>
      <c r="H3878" s="194" t="s">
        <v>60</v>
      </c>
      <c r="I3878" s="187">
        <v>31.463709999999999</v>
      </c>
      <c r="J3878" s="187" t="s">
        <v>1026</v>
      </c>
      <c r="K3878" s="187" t="s">
        <v>264</v>
      </c>
      <c r="L3878" s="195"/>
      <c r="M3878" s="195"/>
      <c r="N3878" s="195"/>
      <c r="O3878" s="199"/>
      <c r="P3878" s="188"/>
      <c r="Q3878" s="174">
        <f>IF(ISNUMBER(VLOOKUP(A3878,NotghiID!A:A,1,FALSE)),1,0)</f>
        <v>1</v>
      </c>
    </row>
    <row r="3879" spans="1:17" ht="14.25" x14ac:dyDescent="0.2">
      <c r="A3879" s="205">
        <v>183</v>
      </c>
      <c r="B3879" s="232" t="str">
        <f>IF(AND(A3879&lt;&gt;"",ISNUMBER(A3879)),VLOOKUP(A3879,Studies!A:BR,2,FALSE),"")</f>
        <v>Greenblat 1984</v>
      </c>
      <c r="C3879" s="232" t="str">
        <f>IF(AND(A3879&lt;&gt;"",ISNUMBER(A3879)),VLOOKUP(A3879,Studies!A:BR,3,FALSE),"")</f>
        <v>https://www.ncbi.nlm.nih.gov/pubmed/6742481</v>
      </c>
      <c r="D3879" s="232" t="str">
        <f>IF(AND(A3879&lt;&gt;"",ISNUMBER(A3879)),VLOOKUP(A3879,Studies!A:BR,4,FALSE),"")</f>
        <v>iv - m, 80kg, 70y (elderly male)</v>
      </c>
      <c r="E3879" s="206" t="str">
        <f>IF(AND(A3879&lt;&gt;"",ISNUMBER(A3879)),VLOOKUP(A3879,Studies!A:BR,5,FALSE),"")</f>
        <v>Midazolam</v>
      </c>
      <c r="F3879" s="207" t="str">
        <f>IF(AND(A3879&lt;&gt;"",ISNUMBER(A3879)),VLOOKUP(A3879,Studies!A:BR,6,FALSE),"")</f>
        <v>Plasma</v>
      </c>
      <c r="G3879" s="194">
        <v>2</v>
      </c>
      <c r="H3879" s="194" t="s">
        <v>60</v>
      </c>
      <c r="I3879" s="187">
        <v>27.437059999999999</v>
      </c>
      <c r="J3879" s="187" t="s">
        <v>1026</v>
      </c>
      <c r="K3879" s="187" t="s">
        <v>264</v>
      </c>
      <c r="L3879" s="195"/>
      <c r="M3879" s="195"/>
      <c r="N3879" s="195"/>
      <c r="O3879" s="199"/>
      <c r="P3879" s="188"/>
      <c r="Q3879" s="174">
        <f>IF(ISNUMBER(VLOOKUP(A3879,NotghiID!A:A,1,FALSE)),1,0)</f>
        <v>1</v>
      </c>
    </row>
    <row r="3880" spans="1:17" ht="14.25" x14ac:dyDescent="0.2">
      <c r="A3880" s="205">
        <v>183</v>
      </c>
      <c r="B3880" s="232" t="str">
        <f>IF(AND(A3880&lt;&gt;"",ISNUMBER(A3880)),VLOOKUP(A3880,Studies!A:BR,2,FALSE),"")</f>
        <v>Greenblat 1984</v>
      </c>
      <c r="C3880" s="232" t="str">
        <f>IF(AND(A3880&lt;&gt;"",ISNUMBER(A3880)),VLOOKUP(A3880,Studies!A:BR,3,FALSE),"")</f>
        <v>https://www.ncbi.nlm.nih.gov/pubmed/6742481</v>
      </c>
      <c r="D3880" s="232" t="str">
        <f>IF(AND(A3880&lt;&gt;"",ISNUMBER(A3880)),VLOOKUP(A3880,Studies!A:BR,4,FALSE),"")</f>
        <v>iv - m, 80kg, 70y (elderly male)</v>
      </c>
      <c r="E3880" s="206" t="str">
        <f>IF(AND(A3880&lt;&gt;"",ISNUMBER(A3880)),VLOOKUP(A3880,Studies!A:BR,5,FALSE),"")</f>
        <v>Midazolam</v>
      </c>
      <c r="F3880" s="207" t="str">
        <f>IF(AND(A3880&lt;&gt;"",ISNUMBER(A3880)),VLOOKUP(A3880,Studies!A:BR,6,FALSE),"")</f>
        <v>Plasma</v>
      </c>
      <c r="G3880" s="194">
        <v>2.5</v>
      </c>
      <c r="H3880" s="194" t="s">
        <v>60</v>
      </c>
      <c r="I3880" s="187">
        <v>22.981079999999999</v>
      </c>
      <c r="J3880" s="187" t="s">
        <v>1026</v>
      </c>
      <c r="K3880" s="187" t="s">
        <v>264</v>
      </c>
      <c r="L3880" s="195"/>
      <c r="M3880" s="195"/>
      <c r="N3880" s="195"/>
      <c r="O3880" s="199"/>
      <c r="P3880" s="188"/>
      <c r="Q3880" s="174">
        <f>IF(ISNUMBER(VLOOKUP(A3880,NotghiID!A:A,1,FALSE)),1,0)</f>
        <v>1</v>
      </c>
    </row>
    <row r="3881" spans="1:17" ht="14.25" x14ac:dyDescent="0.2">
      <c r="A3881" s="205">
        <v>183</v>
      </c>
      <c r="B3881" s="232" t="str">
        <f>IF(AND(A3881&lt;&gt;"",ISNUMBER(A3881)),VLOOKUP(A3881,Studies!A:BR,2,FALSE),"")</f>
        <v>Greenblat 1984</v>
      </c>
      <c r="C3881" s="232" t="str">
        <f>IF(AND(A3881&lt;&gt;"",ISNUMBER(A3881)),VLOOKUP(A3881,Studies!A:BR,3,FALSE),"")</f>
        <v>https://www.ncbi.nlm.nih.gov/pubmed/6742481</v>
      </c>
      <c r="D3881" s="232" t="str">
        <f>IF(AND(A3881&lt;&gt;"",ISNUMBER(A3881)),VLOOKUP(A3881,Studies!A:BR,4,FALSE),"")</f>
        <v>iv - m, 80kg, 70y (elderly male)</v>
      </c>
      <c r="E3881" s="206" t="str">
        <f>IF(AND(A3881&lt;&gt;"",ISNUMBER(A3881)),VLOOKUP(A3881,Studies!A:BR,5,FALSE),"")</f>
        <v>Midazolam</v>
      </c>
      <c r="F3881" s="207" t="str">
        <f>IF(AND(A3881&lt;&gt;"",ISNUMBER(A3881)),VLOOKUP(A3881,Studies!A:BR,6,FALSE),"")</f>
        <v>Plasma</v>
      </c>
      <c r="G3881" s="194">
        <v>3</v>
      </c>
      <c r="H3881" s="194" t="s">
        <v>60</v>
      </c>
      <c r="I3881" s="187">
        <v>21.39012</v>
      </c>
      <c r="J3881" s="187" t="s">
        <v>1026</v>
      </c>
      <c r="K3881" s="187" t="s">
        <v>264</v>
      </c>
      <c r="L3881" s="195"/>
      <c r="M3881" s="195"/>
      <c r="N3881" s="195"/>
      <c r="O3881" s="199"/>
      <c r="P3881" s="188"/>
      <c r="Q3881" s="174">
        <f>IF(ISNUMBER(VLOOKUP(A3881,NotghiID!A:A,1,FALSE)),1,0)</f>
        <v>1</v>
      </c>
    </row>
    <row r="3882" spans="1:17" ht="14.25" x14ac:dyDescent="0.2">
      <c r="A3882" s="205">
        <v>183</v>
      </c>
      <c r="B3882" s="232" t="str">
        <f>IF(AND(A3882&lt;&gt;"",ISNUMBER(A3882)),VLOOKUP(A3882,Studies!A:BR,2,FALSE),"")</f>
        <v>Greenblat 1984</v>
      </c>
      <c r="C3882" s="232" t="str">
        <f>IF(AND(A3882&lt;&gt;"",ISNUMBER(A3882)),VLOOKUP(A3882,Studies!A:BR,3,FALSE),"")</f>
        <v>https://www.ncbi.nlm.nih.gov/pubmed/6742481</v>
      </c>
      <c r="D3882" s="232" t="str">
        <f>IF(AND(A3882&lt;&gt;"",ISNUMBER(A3882)),VLOOKUP(A3882,Studies!A:BR,4,FALSE),"")</f>
        <v>iv - m, 80kg, 70y (elderly male)</v>
      </c>
      <c r="E3882" s="206" t="str">
        <f>IF(AND(A3882&lt;&gt;"",ISNUMBER(A3882)),VLOOKUP(A3882,Studies!A:BR,5,FALSE),"")</f>
        <v>Midazolam</v>
      </c>
      <c r="F3882" s="207" t="str">
        <f>IF(AND(A3882&lt;&gt;"",ISNUMBER(A3882)),VLOOKUP(A3882,Studies!A:BR,6,FALSE),"")</f>
        <v>Plasma</v>
      </c>
      <c r="G3882" s="194">
        <v>4</v>
      </c>
      <c r="H3882" s="194" t="s">
        <v>60</v>
      </c>
      <c r="I3882" s="187">
        <v>14.28734</v>
      </c>
      <c r="J3882" s="187" t="s">
        <v>1026</v>
      </c>
      <c r="K3882" s="187" t="s">
        <v>264</v>
      </c>
      <c r="L3882" s="195"/>
      <c r="M3882" s="195"/>
      <c r="N3882" s="195"/>
      <c r="O3882" s="199"/>
      <c r="P3882" s="188"/>
      <c r="Q3882" s="174">
        <f>IF(ISNUMBER(VLOOKUP(A3882,NotghiID!A:A,1,FALSE)),1,0)</f>
        <v>1</v>
      </c>
    </row>
    <row r="3883" spans="1:17" ht="14.25" x14ac:dyDescent="0.2">
      <c r="A3883" s="205">
        <v>183</v>
      </c>
      <c r="B3883" s="232" t="str">
        <f>IF(AND(A3883&lt;&gt;"",ISNUMBER(A3883)),VLOOKUP(A3883,Studies!A:BR,2,FALSE),"")</f>
        <v>Greenblat 1984</v>
      </c>
      <c r="C3883" s="232" t="str">
        <f>IF(AND(A3883&lt;&gt;"",ISNUMBER(A3883)),VLOOKUP(A3883,Studies!A:BR,3,FALSE),"")</f>
        <v>https://www.ncbi.nlm.nih.gov/pubmed/6742481</v>
      </c>
      <c r="D3883" s="232" t="str">
        <f>IF(AND(A3883&lt;&gt;"",ISNUMBER(A3883)),VLOOKUP(A3883,Studies!A:BR,4,FALSE),"")</f>
        <v>iv - m, 80kg, 70y (elderly male)</v>
      </c>
      <c r="E3883" s="206" t="str">
        <f>IF(AND(A3883&lt;&gt;"",ISNUMBER(A3883)),VLOOKUP(A3883,Studies!A:BR,5,FALSE),"")</f>
        <v>Midazolam</v>
      </c>
      <c r="F3883" s="207" t="str">
        <f>IF(AND(A3883&lt;&gt;"",ISNUMBER(A3883)),VLOOKUP(A3883,Studies!A:BR,6,FALSE),"")</f>
        <v>Plasma</v>
      </c>
      <c r="G3883" s="194">
        <v>6</v>
      </c>
      <c r="H3883" s="194" t="s">
        <v>60</v>
      </c>
      <c r="I3883" s="187">
        <v>10.541880000000001</v>
      </c>
      <c r="J3883" s="187" t="s">
        <v>1026</v>
      </c>
      <c r="K3883" s="187" t="s">
        <v>264</v>
      </c>
      <c r="L3883" s="195"/>
      <c r="M3883" s="195"/>
      <c r="N3883" s="195"/>
      <c r="O3883" s="199"/>
      <c r="P3883" s="188"/>
      <c r="Q3883" s="174">
        <f>IF(ISNUMBER(VLOOKUP(A3883,NotghiID!A:A,1,FALSE)),1,0)</f>
        <v>1</v>
      </c>
    </row>
    <row r="3884" spans="1:17" ht="14.25" x14ac:dyDescent="0.2">
      <c r="A3884" s="205">
        <v>183</v>
      </c>
      <c r="B3884" s="232" t="str">
        <f>IF(AND(A3884&lt;&gt;"",ISNUMBER(A3884)),VLOOKUP(A3884,Studies!A:BR,2,FALSE),"")</f>
        <v>Greenblat 1984</v>
      </c>
      <c r="C3884" s="232" t="str">
        <f>IF(AND(A3884&lt;&gt;"",ISNUMBER(A3884)),VLOOKUP(A3884,Studies!A:BR,3,FALSE),"")</f>
        <v>https://www.ncbi.nlm.nih.gov/pubmed/6742481</v>
      </c>
      <c r="D3884" s="232" t="str">
        <f>IF(AND(A3884&lt;&gt;"",ISNUMBER(A3884)),VLOOKUP(A3884,Studies!A:BR,4,FALSE),"")</f>
        <v>iv - m, 80kg, 70y (elderly male)</v>
      </c>
      <c r="E3884" s="206" t="str">
        <f>IF(AND(A3884&lt;&gt;"",ISNUMBER(A3884)),VLOOKUP(A3884,Studies!A:BR,5,FALSE),"")</f>
        <v>Midazolam</v>
      </c>
      <c r="F3884" s="207" t="str">
        <f>IF(AND(A3884&lt;&gt;"",ISNUMBER(A3884)),VLOOKUP(A3884,Studies!A:BR,6,FALSE),"")</f>
        <v>Plasma</v>
      </c>
      <c r="G3884" s="194">
        <v>8</v>
      </c>
      <c r="H3884" s="194" t="s">
        <v>60</v>
      </c>
      <c r="I3884" s="187">
        <v>9.1492609999999992</v>
      </c>
      <c r="J3884" s="187" t="s">
        <v>1026</v>
      </c>
      <c r="K3884" s="187" t="s">
        <v>264</v>
      </c>
      <c r="L3884" s="195"/>
      <c r="M3884" s="195"/>
      <c r="N3884" s="195"/>
      <c r="O3884" s="199"/>
      <c r="P3884" s="188"/>
      <c r="Q3884" s="174">
        <f>IF(ISNUMBER(VLOOKUP(A3884,NotghiID!A:A,1,FALSE)),1,0)</f>
        <v>1</v>
      </c>
    </row>
    <row r="3885" spans="1:17" ht="14.25" x14ac:dyDescent="0.2">
      <c r="A3885" s="205">
        <v>183</v>
      </c>
      <c r="B3885" s="232" t="str">
        <f>IF(AND(A3885&lt;&gt;"",ISNUMBER(A3885)),VLOOKUP(A3885,Studies!A:BR,2,FALSE),"")</f>
        <v>Greenblat 1984</v>
      </c>
      <c r="C3885" s="232" t="str">
        <f>IF(AND(A3885&lt;&gt;"",ISNUMBER(A3885)),VLOOKUP(A3885,Studies!A:BR,3,FALSE),"")</f>
        <v>https://www.ncbi.nlm.nih.gov/pubmed/6742481</v>
      </c>
      <c r="D3885" s="232" t="str">
        <f>IF(AND(A3885&lt;&gt;"",ISNUMBER(A3885)),VLOOKUP(A3885,Studies!A:BR,4,FALSE),"")</f>
        <v>iv - m, 80kg, 70y (elderly male)</v>
      </c>
      <c r="E3885" s="206" t="str">
        <f>IF(AND(A3885&lt;&gt;"",ISNUMBER(A3885)),VLOOKUP(A3885,Studies!A:BR,5,FALSE),"")</f>
        <v>Midazolam</v>
      </c>
      <c r="F3885" s="207" t="str">
        <f>IF(AND(A3885&lt;&gt;"",ISNUMBER(A3885)),VLOOKUP(A3885,Studies!A:BR,6,FALSE),"")</f>
        <v>Plasma</v>
      </c>
      <c r="G3885" s="194">
        <v>12</v>
      </c>
      <c r="H3885" s="194" t="s">
        <v>60</v>
      </c>
      <c r="I3885" s="187">
        <v>5.4898160000000003</v>
      </c>
      <c r="J3885" s="187" t="s">
        <v>1026</v>
      </c>
      <c r="K3885" s="187" t="s">
        <v>264</v>
      </c>
      <c r="L3885" s="195"/>
      <c r="M3885" s="195"/>
      <c r="N3885" s="195"/>
      <c r="O3885" s="199"/>
      <c r="P3885" s="188"/>
      <c r="Q3885" s="174">
        <f>IF(ISNUMBER(VLOOKUP(A3885,NotghiID!A:A,1,FALSE)),1,0)</f>
        <v>1</v>
      </c>
    </row>
    <row r="3886" spans="1:17" ht="14.25" x14ac:dyDescent="0.2">
      <c r="A3886" s="205">
        <v>183</v>
      </c>
      <c r="B3886" s="232" t="str">
        <f>IF(AND(A3886&lt;&gt;"",ISNUMBER(A3886)),VLOOKUP(A3886,Studies!A:BR,2,FALSE),"")</f>
        <v>Greenblat 1984</v>
      </c>
      <c r="C3886" s="232" t="str">
        <f>IF(AND(A3886&lt;&gt;"",ISNUMBER(A3886)),VLOOKUP(A3886,Studies!A:BR,3,FALSE),"")</f>
        <v>https://www.ncbi.nlm.nih.gov/pubmed/6742481</v>
      </c>
      <c r="D3886" s="232" t="str">
        <f>IF(AND(A3886&lt;&gt;"",ISNUMBER(A3886)),VLOOKUP(A3886,Studies!A:BR,4,FALSE),"")</f>
        <v>iv - m, 80kg, 70y (elderly male)</v>
      </c>
      <c r="E3886" s="206" t="str">
        <f>IF(AND(A3886&lt;&gt;"",ISNUMBER(A3886)),VLOOKUP(A3886,Studies!A:BR,5,FALSE),"")</f>
        <v>Midazolam</v>
      </c>
      <c r="F3886" s="207" t="str">
        <f>IF(AND(A3886&lt;&gt;"",ISNUMBER(A3886)),VLOOKUP(A3886,Studies!A:BR,6,FALSE),"")</f>
        <v>Plasma</v>
      </c>
      <c r="G3886" s="194">
        <v>24</v>
      </c>
      <c r="H3886" s="194" t="s">
        <v>60</v>
      </c>
      <c r="I3886" s="187">
        <v>1.157063</v>
      </c>
      <c r="J3886" s="187" t="s">
        <v>1026</v>
      </c>
      <c r="K3886" s="187" t="s">
        <v>264</v>
      </c>
      <c r="L3886" s="195"/>
      <c r="M3886" s="195"/>
      <c r="N3886" s="195"/>
      <c r="O3886" s="199"/>
      <c r="P3886" s="188"/>
      <c r="Q3886" s="174">
        <f>IF(ISNUMBER(VLOOKUP(A3886,NotghiID!A:A,1,FALSE)),1,0)</f>
        <v>1</v>
      </c>
    </row>
    <row r="3887" spans="1:17" ht="14.25" x14ac:dyDescent="0.2">
      <c r="A3887" s="205">
        <v>184</v>
      </c>
      <c r="B3887" s="232" t="str">
        <f>IF(AND(A3887&lt;&gt;"",ISNUMBER(A3887)),VLOOKUP(A3887,Studies!A:BR,2,FALSE),"")</f>
        <v>Greenblat 1984</v>
      </c>
      <c r="C3887" s="232" t="str">
        <f>IF(AND(A3887&lt;&gt;"",ISNUMBER(A3887)),VLOOKUP(A3887,Studies!A:BR,3,FALSE),"")</f>
        <v>https://www.ncbi.nlm.nih.gov/pubmed/6742481</v>
      </c>
      <c r="D3887" s="232" t="str">
        <f>IF(AND(A3887&lt;&gt;"",ISNUMBER(A3887)),VLOOKUP(A3887,Studies!A:BR,4,FALSE),"")</f>
        <v>po - f, 136kg, 36y (obese female)</v>
      </c>
      <c r="E3887" s="206" t="str">
        <f>IF(AND(A3887&lt;&gt;"",ISNUMBER(A3887)),VLOOKUP(A3887,Studies!A:BR,5,FALSE),"")</f>
        <v>Midazolam</v>
      </c>
      <c r="F3887" s="207" t="str">
        <f>IF(AND(A3887&lt;&gt;"",ISNUMBER(A3887)),VLOOKUP(A3887,Studies!A:BR,6,FALSE),"")</f>
        <v>Plasma</v>
      </c>
      <c r="G3887" s="194">
        <v>0.5</v>
      </c>
      <c r="H3887" s="194" t="s">
        <v>60</v>
      </c>
      <c r="I3887" s="187">
        <v>7.4234660000000003</v>
      </c>
      <c r="J3887" s="187" t="s">
        <v>1026</v>
      </c>
      <c r="K3887" s="187" t="s">
        <v>264</v>
      </c>
      <c r="L3887" s="195"/>
      <c r="M3887" s="195"/>
      <c r="N3887" s="195"/>
      <c r="O3887" s="199"/>
      <c r="P3887" s="189" t="s">
        <v>1163</v>
      </c>
      <c r="Q3887" s="174">
        <f>IF(ISNUMBER(VLOOKUP(A3887,NotghiID!A:A,1,FALSE)),1,0)</f>
        <v>1</v>
      </c>
    </row>
    <row r="3888" spans="1:17" ht="14.25" x14ac:dyDescent="0.2">
      <c r="A3888" s="205">
        <v>184</v>
      </c>
      <c r="B3888" s="232" t="str">
        <f>IF(AND(A3888&lt;&gt;"",ISNUMBER(A3888)),VLOOKUP(A3888,Studies!A:BR,2,FALSE),"")</f>
        <v>Greenblat 1984</v>
      </c>
      <c r="C3888" s="232" t="str">
        <f>IF(AND(A3888&lt;&gt;"",ISNUMBER(A3888)),VLOOKUP(A3888,Studies!A:BR,3,FALSE),"")</f>
        <v>https://www.ncbi.nlm.nih.gov/pubmed/6742481</v>
      </c>
      <c r="D3888" s="232" t="str">
        <f>IF(AND(A3888&lt;&gt;"",ISNUMBER(A3888)),VLOOKUP(A3888,Studies!A:BR,4,FALSE),"")</f>
        <v>po - f, 136kg, 36y (obese female)</v>
      </c>
      <c r="E3888" s="206" t="str">
        <f>IF(AND(A3888&lt;&gt;"",ISNUMBER(A3888)),VLOOKUP(A3888,Studies!A:BR,5,FALSE),"")</f>
        <v>Midazolam</v>
      </c>
      <c r="F3888" s="207" t="str">
        <f>IF(AND(A3888&lt;&gt;"",ISNUMBER(A3888)),VLOOKUP(A3888,Studies!A:BR,6,FALSE),"")</f>
        <v>Plasma</v>
      </c>
      <c r="G3888" s="194">
        <v>0.75</v>
      </c>
      <c r="H3888" s="194" t="s">
        <v>60</v>
      </c>
      <c r="I3888" s="187">
        <v>17.650549999999999</v>
      </c>
      <c r="J3888" s="187" t="s">
        <v>1026</v>
      </c>
      <c r="K3888" s="187" t="s">
        <v>264</v>
      </c>
      <c r="L3888" s="195"/>
      <c r="M3888" s="195"/>
      <c r="N3888" s="195"/>
      <c r="O3888" s="199"/>
      <c r="P3888" s="188"/>
      <c r="Q3888" s="174">
        <f>IF(ISNUMBER(VLOOKUP(A3888,NotghiID!A:A,1,FALSE)),1,0)</f>
        <v>1</v>
      </c>
    </row>
    <row r="3889" spans="1:17" ht="14.25" x14ac:dyDescent="0.2">
      <c r="A3889" s="205">
        <v>184</v>
      </c>
      <c r="B3889" s="232" t="str">
        <f>IF(AND(A3889&lt;&gt;"",ISNUMBER(A3889)),VLOOKUP(A3889,Studies!A:BR,2,FALSE),"")</f>
        <v>Greenblat 1984</v>
      </c>
      <c r="C3889" s="232" t="str">
        <f>IF(AND(A3889&lt;&gt;"",ISNUMBER(A3889)),VLOOKUP(A3889,Studies!A:BR,3,FALSE),"")</f>
        <v>https://www.ncbi.nlm.nih.gov/pubmed/6742481</v>
      </c>
      <c r="D3889" s="232" t="str">
        <f>IF(AND(A3889&lt;&gt;"",ISNUMBER(A3889)),VLOOKUP(A3889,Studies!A:BR,4,FALSE),"")</f>
        <v>po - f, 136kg, 36y (obese female)</v>
      </c>
      <c r="E3889" s="206" t="str">
        <f>IF(AND(A3889&lt;&gt;"",ISNUMBER(A3889)),VLOOKUP(A3889,Studies!A:BR,5,FALSE),"")</f>
        <v>Midazolam</v>
      </c>
      <c r="F3889" s="207" t="str">
        <f>IF(AND(A3889&lt;&gt;"",ISNUMBER(A3889)),VLOOKUP(A3889,Studies!A:BR,6,FALSE),"")</f>
        <v>Plasma</v>
      </c>
      <c r="G3889" s="194">
        <v>1</v>
      </c>
      <c r="H3889" s="194" t="s">
        <v>60</v>
      </c>
      <c r="I3889" s="187">
        <v>23.662769999999998</v>
      </c>
      <c r="J3889" s="187" t="s">
        <v>1026</v>
      </c>
      <c r="K3889" s="187" t="s">
        <v>264</v>
      </c>
      <c r="L3889" s="195"/>
      <c r="M3889" s="195"/>
      <c r="N3889" s="195"/>
      <c r="O3889" s="199"/>
      <c r="P3889" s="188"/>
      <c r="Q3889" s="174">
        <f>IF(ISNUMBER(VLOOKUP(A3889,NotghiID!A:A,1,FALSE)),1,0)</f>
        <v>1</v>
      </c>
    </row>
    <row r="3890" spans="1:17" ht="14.25" x14ac:dyDescent="0.2">
      <c r="A3890" s="205">
        <v>184</v>
      </c>
      <c r="B3890" s="232" t="str">
        <f>IF(AND(A3890&lt;&gt;"",ISNUMBER(A3890)),VLOOKUP(A3890,Studies!A:BR,2,FALSE),"")</f>
        <v>Greenblat 1984</v>
      </c>
      <c r="C3890" s="232" t="str">
        <f>IF(AND(A3890&lt;&gt;"",ISNUMBER(A3890)),VLOOKUP(A3890,Studies!A:BR,3,FALSE),"")</f>
        <v>https://www.ncbi.nlm.nih.gov/pubmed/6742481</v>
      </c>
      <c r="D3890" s="232" t="str">
        <f>IF(AND(A3890&lt;&gt;"",ISNUMBER(A3890)),VLOOKUP(A3890,Studies!A:BR,4,FALSE),"")</f>
        <v>po - f, 136kg, 36y (obese female)</v>
      </c>
      <c r="E3890" s="206" t="str">
        <f>IF(AND(A3890&lt;&gt;"",ISNUMBER(A3890)),VLOOKUP(A3890,Studies!A:BR,5,FALSE),"")</f>
        <v>Midazolam</v>
      </c>
      <c r="F3890" s="207" t="str">
        <f>IF(AND(A3890&lt;&gt;"",ISNUMBER(A3890)),VLOOKUP(A3890,Studies!A:BR,6,FALSE),"")</f>
        <v>Plasma</v>
      </c>
      <c r="G3890" s="194">
        <v>1.5</v>
      </c>
      <c r="H3890" s="194" t="s">
        <v>60</v>
      </c>
      <c r="I3890" s="187">
        <v>15.38494</v>
      </c>
      <c r="J3890" s="187" t="s">
        <v>1026</v>
      </c>
      <c r="K3890" s="187" t="s">
        <v>264</v>
      </c>
      <c r="L3890" s="195"/>
      <c r="M3890" s="195"/>
      <c r="N3890" s="195"/>
      <c r="O3890" s="199"/>
      <c r="P3890" s="188"/>
      <c r="Q3890" s="174">
        <f>IF(ISNUMBER(VLOOKUP(A3890,NotghiID!A:A,1,FALSE)),1,0)</f>
        <v>1</v>
      </c>
    </row>
    <row r="3891" spans="1:17" ht="14.25" x14ac:dyDescent="0.2">
      <c r="A3891" s="205">
        <v>184</v>
      </c>
      <c r="B3891" s="232" t="str">
        <f>IF(AND(A3891&lt;&gt;"",ISNUMBER(A3891)),VLOOKUP(A3891,Studies!A:BR,2,FALSE),"")</f>
        <v>Greenblat 1984</v>
      </c>
      <c r="C3891" s="232" t="str">
        <f>IF(AND(A3891&lt;&gt;"",ISNUMBER(A3891)),VLOOKUP(A3891,Studies!A:BR,3,FALSE),"")</f>
        <v>https://www.ncbi.nlm.nih.gov/pubmed/6742481</v>
      </c>
      <c r="D3891" s="232" t="str">
        <f>IF(AND(A3891&lt;&gt;"",ISNUMBER(A3891)),VLOOKUP(A3891,Studies!A:BR,4,FALSE),"")</f>
        <v>po - f, 136kg, 36y (obese female)</v>
      </c>
      <c r="E3891" s="206" t="str">
        <f>IF(AND(A3891&lt;&gt;"",ISNUMBER(A3891)),VLOOKUP(A3891,Studies!A:BR,5,FALSE),"")</f>
        <v>Midazolam</v>
      </c>
      <c r="F3891" s="207" t="str">
        <f>IF(AND(A3891&lt;&gt;"",ISNUMBER(A3891)),VLOOKUP(A3891,Studies!A:BR,6,FALSE),"")</f>
        <v>Plasma</v>
      </c>
      <c r="G3891" s="194">
        <v>2.5</v>
      </c>
      <c r="H3891" s="194" t="s">
        <v>60</v>
      </c>
      <c r="I3891" s="187">
        <v>21.812819999999999</v>
      </c>
      <c r="J3891" s="187" t="s">
        <v>1026</v>
      </c>
      <c r="K3891" s="187" t="s">
        <v>264</v>
      </c>
      <c r="L3891" s="195"/>
      <c r="M3891" s="195"/>
      <c r="N3891" s="195"/>
      <c r="O3891" s="199"/>
      <c r="P3891" s="188"/>
      <c r="Q3891" s="174">
        <f>IF(ISNUMBER(VLOOKUP(A3891,NotghiID!A:A,1,FALSE)),1,0)</f>
        <v>1</v>
      </c>
    </row>
    <row r="3892" spans="1:17" ht="14.25" x14ac:dyDescent="0.2">
      <c r="A3892" s="205">
        <v>184</v>
      </c>
      <c r="B3892" s="232" t="str">
        <f>IF(AND(A3892&lt;&gt;"",ISNUMBER(A3892)),VLOOKUP(A3892,Studies!A:BR,2,FALSE),"")</f>
        <v>Greenblat 1984</v>
      </c>
      <c r="C3892" s="232" t="str">
        <f>IF(AND(A3892&lt;&gt;"",ISNUMBER(A3892)),VLOOKUP(A3892,Studies!A:BR,3,FALSE),"")</f>
        <v>https://www.ncbi.nlm.nih.gov/pubmed/6742481</v>
      </c>
      <c r="D3892" s="232" t="str">
        <f>IF(AND(A3892&lt;&gt;"",ISNUMBER(A3892)),VLOOKUP(A3892,Studies!A:BR,4,FALSE),"")</f>
        <v>po - f, 136kg, 36y (obese female)</v>
      </c>
      <c r="E3892" s="206" t="str">
        <f>IF(AND(A3892&lt;&gt;"",ISNUMBER(A3892)),VLOOKUP(A3892,Studies!A:BR,5,FALSE),"")</f>
        <v>Midazolam</v>
      </c>
      <c r="F3892" s="207" t="str">
        <f>IF(AND(A3892&lt;&gt;"",ISNUMBER(A3892)),VLOOKUP(A3892,Studies!A:BR,6,FALSE),"")</f>
        <v>Plasma</v>
      </c>
      <c r="G3892" s="194">
        <v>3</v>
      </c>
      <c r="H3892" s="194" t="s">
        <v>60</v>
      </c>
      <c r="I3892" s="187">
        <v>12.826840000000001</v>
      </c>
      <c r="J3892" s="187" t="s">
        <v>1026</v>
      </c>
      <c r="K3892" s="187" t="s">
        <v>264</v>
      </c>
      <c r="L3892" s="195"/>
      <c r="M3892" s="195"/>
      <c r="N3892" s="195"/>
      <c r="O3892" s="199"/>
      <c r="P3892" s="188"/>
      <c r="Q3892" s="174">
        <f>IF(ISNUMBER(VLOOKUP(A3892,NotghiID!A:A,1,FALSE)),1,0)</f>
        <v>1</v>
      </c>
    </row>
    <row r="3893" spans="1:17" ht="14.25" x14ac:dyDescent="0.2">
      <c r="A3893" s="205">
        <v>184</v>
      </c>
      <c r="B3893" s="232" t="str">
        <f>IF(AND(A3893&lt;&gt;"",ISNUMBER(A3893)),VLOOKUP(A3893,Studies!A:BR,2,FALSE),"")</f>
        <v>Greenblat 1984</v>
      </c>
      <c r="C3893" s="232" t="str">
        <f>IF(AND(A3893&lt;&gt;"",ISNUMBER(A3893)),VLOOKUP(A3893,Studies!A:BR,3,FALSE),"")</f>
        <v>https://www.ncbi.nlm.nih.gov/pubmed/6742481</v>
      </c>
      <c r="D3893" s="232" t="str">
        <f>IF(AND(A3893&lt;&gt;"",ISNUMBER(A3893)),VLOOKUP(A3893,Studies!A:BR,4,FALSE),"")</f>
        <v>po - f, 136kg, 36y (obese female)</v>
      </c>
      <c r="E3893" s="206" t="str">
        <f>IF(AND(A3893&lt;&gt;"",ISNUMBER(A3893)),VLOOKUP(A3893,Studies!A:BR,5,FALSE),"")</f>
        <v>Midazolam</v>
      </c>
      <c r="F3893" s="207" t="str">
        <f>IF(AND(A3893&lt;&gt;"",ISNUMBER(A3893)),VLOOKUP(A3893,Studies!A:BR,6,FALSE),"")</f>
        <v>Plasma</v>
      </c>
      <c r="G3893" s="194">
        <v>4</v>
      </c>
      <c r="H3893" s="194" t="s">
        <v>60</v>
      </c>
      <c r="I3893" s="187">
        <v>6.9164089999999998</v>
      </c>
      <c r="J3893" s="187" t="s">
        <v>1026</v>
      </c>
      <c r="K3893" s="187" t="s">
        <v>264</v>
      </c>
      <c r="L3893" s="195"/>
      <c r="M3893" s="195"/>
      <c r="N3893" s="195"/>
      <c r="O3893" s="199"/>
      <c r="P3893" s="188"/>
      <c r="Q3893" s="174">
        <f>IF(ISNUMBER(VLOOKUP(A3893,NotghiID!A:A,1,FALSE)),1,0)</f>
        <v>1</v>
      </c>
    </row>
    <row r="3894" spans="1:17" ht="14.25" x14ac:dyDescent="0.2">
      <c r="A3894" s="205">
        <v>184</v>
      </c>
      <c r="B3894" s="232" t="str">
        <f>IF(AND(A3894&lt;&gt;"",ISNUMBER(A3894)),VLOOKUP(A3894,Studies!A:BR,2,FALSE),"")</f>
        <v>Greenblat 1984</v>
      </c>
      <c r="C3894" s="232" t="str">
        <f>IF(AND(A3894&lt;&gt;"",ISNUMBER(A3894)),VLOOKUP(A3894,Studies!A:BR,3,FALSE),"")</f>
        <v>https://www.ncbi.nlm.nih.gov/pubmed/6742481</v>
      </c>
      <c r="D3894" s="232" t="str">
        <f>IF(AND(A3894&lt;&gt;"",ISNUMBER(A3894)),VLOOKUP(A3894,Studies!A:BR,4,FALSE),"")</f>
        <v>po - f, 136kg, 36y (obese female)</v>
      </c>
      <c r="E3894" s="206" t="str">
        <f>IF(AND(A3894&lt;&gt;"",ISNUMBER(A3894)),VLOOKUP(A3894,Studies!A:BR,5,FALSE),"")</f>
        <v>Midazolam</v>
      </c>
      <c r="F3894" s="207" t="str">
        <f>IF(AND(A3894&lt;&gt;"",ISNUMBER(A3894)),VLOOKUP(A3894,Studies!A:BR,6,FALSE),"")</f>
        <v>Plasma</v>
      </c>
      <c r="G3894" s="194">
        <v>6</v>
      </c>
      <c r="H3894" s="194" t="s">
        <v>60</v>
      </c>
      <c r="I3894" s="187">
        <v>4.5151620000000001</v>
      </c>
      <c r="J3894" s="187" t="s">
        <v>1026</v>
      </c>
      <c r="K3894" s="187" t="s">
        <v>264</v>
      </c>
      <c r="L3894" s="195"/>
      <c r="M3894" s="195"/>
      <c r="N3894" s="195"/>
      <c r="O3894" s="199"/>
      <c r="P3894" s="188"/>
      <c r="Q3894" s="174">
        <f>IF(ISNUMBER(VLOOKUP(A3894,NotghiID!A:A,1,FALSE)),1,0)</f>
        <v>1</v>
      </c>
    </row>
    <row r="3895" spans="1:17" ht="14.25" x14ac:dyDescent="0.2">
      <c r="A3895" s="205">
        <v>184</v>
      </c>
      <c r="B3895" s="232" t="str">
        <f>IF(AND(A3895&lt;&gt;"",ISNUMBER(A3895)),VLOOKUP(A3895,Studies!A:BR,2,FALSE),"")</f>
        <v>Greenblat 1984</v>
      </c>
      <c r="C3895" s="232" t="str">
        <f>IF(AND(A3895&lt;&gt;"",ISNUMBER(A3895)),VLOOKUP(A3895,Studies!A:BR,3,FALSE),"")</f>
        <v>https://www.ncbi.nlm.nih.gov/pubmed/6742481</v>
      </c>
      <c r="D3895" s="232" t="str">
        <f>IF(AND(A3895&lt;&gt;"",ISNUMBER(A3895)),VLOOKUP(A3895,Studies!A:BR,4,FALSE),"")</f>
        <v>po - f, 136kg, 36y (obese female)</v>
      </c>
      <c r="E3895" s="206" t="str">
        <f>IF(AND(A3895&lt;&gt;"",ISNUMBER(A3895)),VLOOKUP(A3895,Studies!A:BR,5,FALSE),"")</f>
        <v>Midazolam</v>
      </c>
      <c r="F3895" s="207" t="str">
        <f>IF(AND(A3895&lt;&gt;"",ISNUMBER(A3895)),VLOOKUP(A3895,Studies!A:BR,6,FALSE),"")</f>
        <v>Plasma</v>
      </c>
      <c r="G3895" s="194">
        <v>8</v>
      </c>
      <c r="H3895" s="194" t="s">
        <v>60</v>
      </c>
      <c r="I3895" s="187">
        <v>5.2672439999999998</v>
      </c>
      <c r="J3895" s="187" t="s">
        <v>1026</v>
      </c>
      <c r="K3895" s="187" t="s">
        <v>264</v>
      </c>
      <c r="L3895" s="195"/>
      <c r="M3895" s="195"/>
      <c r="N3895" s="195"/>
      <c r="O3895" s="199"/>
      <c r="P3895" s="188"/>
      <c r="Q3895" s="174">
        <f>IF(ISNUMBER(VLOOKUP(A3895,NotghiID!A:A,1,FALSE)),1,0)</f>
        <v>1</v>
      </c>
    </row>
    <row r="3896" spans="1:17" ht="14.25" x14ac:dyDescent="0.2">
      <c r="A3896" s="205">
        <v>184</v>
      </c>
      <c r="B3896" s="232" t="str">
        <f>IF(AND(A3896&lt;&gt;"",ISNUMBER(A3896)),VLOOKUP(A3896,Studies!A:BR,2,FALSE),"")</f>
        <v>Greenblat 1984</v>
      </c>
      <c r="C3896" s="232" t="str">
        <f>IF(AND(A3896&lt;&gt;"",ISNUMBER(A3896)),VLOOKUP(A3896,Studies!A:BR,3,FALSE),"")</f>
        <v>https://www.ncbi.nlm.nih.gov/pubmed/6742481</v>
      </c>
      <c r="D3896" s="232" t="str">
        <f>IF(AND(A3896&lt;&gt;"",ISNUMBER(A3896)),VLOOKUP(A3896,Studies!A:BR,4,FALSE),"")</f>
        <v>po - f, 136kg, 36y (obese female)</v>
      </c>
      <c r="E3896" s="206" t="str">
        <f>IF(AND(A3896&lt;&gt;"",ISNUMBER(A3896)),VLOOKUP(A3896,Studies!A:BR,5,FALSE),"")</f>
        <v>Midazolam</v>
      </c>
      <c r="F3896" s="207" t="str">
        <f>IF(AND(A3896&lt;&gt;"",ISNUMBER(A3896)),VLOOKUP(A3896,Studies!A:BR,6,FALSE),"")</f>
        <v>Plasma</v>
      </c>
      <c r="G3896" s="194">
        <v>10</v>
      </c>
      <c r="H3896" s="194" t="s">
        <v>60</v>
      </c>
      <c r="I3896" s="187">
        <v>4.714353</v>
      </c>
      <c r="J3896" s="187" t="s">
        <v>1026</v>
      </c>
      <c r="K3896" s="187" t="s">
        <v>264</v>
      </c>
      <c r="L3896" s="195"/>
      <c r="M3896" s="195"/>
      <c r="N3896" s="195"/>
      <c r="O3896" s="199"/>
      <c r="P3896" s="189" t="s">
        <v>1164</v>
      </c>
      <c r="Q3896" s="174">
        <f>IF(ISNUMBER(VLOOKUP(A3896,NotghiID!A:A,1,FALSE)),1,0)</f>
        <v>1</v>
      </c>
    </row>
    <row r="3897" spans="1:17" ht="14.25" x14ac:dyDescent="0.2">
      <c r="A3897" s="205">
        <v>184</v>
      </c>
      <c r="B3897" s="232" t="str">
        <f>IF(AND(A3897&lt;&gt;"",ISNUMBER(A3897)),VLOOKUP(A3897,Studies!A:BR,2,FALSE),"")</f>
        <v>Greenblat 1984</v>
      </c>
      <c r="C3897" s="232" t="str">
        <f>IF(AND(A3897&lt;&gt;"",ISNUMBER(A3897)),VLOOKUP(A3897,Studies!A:BR,3,FALSE),"")</f>
        <v>https://www.ncbi.nlm.nih.gov/pubmed/6742481</v>
      </c>
      <c r="D3897" s="232" t="str">
        <f>IF(AND(A3897&lt;&gt;"",ISNUMBER(A3897)),VLOOKUP(A3897,Studies!A:BR,4,FALSE),"")</f>
        <v>po - f, 136kg, 36y (obese female)</v>
      </c>
      <c r="E3897" s="206" t="str">
        <f>IF(AND(A3897&lt;&gt;"",ISNUMBER(A3897)),VLOOKUP(A3897,Studies!A:BR,5,FALSE),"")</f>
        <v>Midazolam</v>
      </c>
      <c r="F3897" s="207" t="str">
        <f>IF(AND(A3897&lt;&gt;"",ISNUMBER(A3897)),VLOOKUP(A3897,Studies!A:BR,6,FALSE),"")</f>
        <v>Plasma</v>
      </c>
      <c r="G3897" s="194">
        <v>12</v>
      </c>
      <c r="H3897" s="194" t="s">
        <v>60</v>
      </c>
      <c r="I3897" s="187">
        <v>3.8429690000000001</v>
      </c>
      <c r="J3897" s="187" t="s">
        <v>1026</v>
      </c>
      <c r="K3897" s="187" t="s">
        <v>264</v>
      </c>
      <c r="L3897" s="195"/>
      <c r="M3897" s="195"/>
      <c r="N3897" s="195"/>
      <c r="O3897" s="199"/>
      <c r="P3897" s="188"/>
      <c r="Q3897" s="174">
        <f>IF(ISNUMBER(VLOOKUP(A3897,NotghiID!A:A,1,FALSE)),1,0)</f>
        <v>1</v>
      </c>
    </row>
    <row r="3898" spans="1:17" ht="14.25" x14ac:dyDescent="0.2">
      <c r="A3898" s="205">
        <v>184</v>
      </c>
      <c r="B3898" s="232" t="str">
        <f>IF(AND(A3898&lt;&gt;"",ISNUMBER(A3898)),VLOOKUP(A3898,Studies!A:BR,2,FALSE),"")</f>
        <v>Greenblat 1984</v>
      </c>
      <c r="C3898" s="232" t="str">
        <f>IF(AND(A3898&lt;&gt;"",ISNUMBER(A3898)),VLOOKUP(A3898,Studies!A:BR,3,FALSE),"")</f>
        <v>https://www.ncbi.nlm.nih.gov/pubmed/6742481</v>
      </c>
      <c r="D3898" s="232" t="str">
        <f>IF(AND(A3898&lt;&gt;"",ISNUMBER(A3898)),VLOOKUP(A3898,Studies!A:BR,4,FALSE),"")</f>
        <v>po - f, 136kg, 36y (obese female)</v>
      </c>
      <c r="E3898" s="206" t="str">
        <f>IF(AND(A3898&lt;&gt;"",ISNUMBER(A3898)),VLOOKUP(A3898,Studies!A:BR,5,FALSE),"")</f>
        <v>Midazolam</v>
      </c>
      <c r="F3898" s="207" t="str">
        <f>IF(AND(A3898&lt;&gt;"",ISNUMBER(A3898)),VLOOKUP(A3898,Studies!A:BR,6,FALSE),"")</f>
        <v>Plasma</v>
      </c>
      <c r="G3898" s="194">
        <v>15</v>
      </c>
      <c r="H3898" s="194" t="s">
        <v>60</v>
      </c>
      <c r="I3898" s="187">
        <v>2.7901030000000002</v>
      </c>
      <c r="J3898" s="187" t="s">
        <v>1026</v>
      </c>
      <c r="K3898" s="187" t="s">
        <v>264</v>
      </c>
      <c r="L3898" s="195"/>
      <c r="M3898" s="195"/>
      <c r="N3898" s="195"/>
      <c r="O3898" s="199"/>
      <c r="P3898" s="188"/>
      <c r="Q3898" s="174">
        <f>IF(ISNUMBER(VLOOKUP(A3898,NotghiID!A:A,1,FALSE)),1,0)</f>
        <v>1</v>
      </c>
    </row>
    <row r="3899" spans="1:17" ht="14.25" x14ac:dyDescent="0.2">
      <c r="A3899" s="205">
        <v>184</v>
      </c>
      <c r="B3899" s="232" t="str">
        <f>IF(AND(A3899&lt;&gt;"",ISNUMBER(A3899)),VLOOKUP(A3899,Studies!A:BR,2,FALSE),"")</f>
        <v>Greenblat 1984</v>
      </c>
      <c r="C3899" s="232" t="str">
        <f>IF(AND(A3899&lt;&gt;"",ISNUMBER(A3899)),VLOOKUP(A3899,Studies!A:BR,3,FALSE),"")</f>
        <v>https://www.ncbi.nlm.nih.gov/pubmed/6742481</v>
      </c>
      <c r="D3899" s="232" t="str">
        <f>IF(AND(A3899&lt;&gt;"",ISNUMBER(A3899)),VLOOKUP(A3899,Studies!A:BR,4,FALSE),"")</f>
        <v>po - f, 136kg, 36y (obese female)</v>
      </c>
      <c r="E3899" s="206" t="str">
        <f>IF(AND(A3899&lt;&gt;"",ISNUMBER(A3899)),VLOOKUP(A3899,Studies!A:BR,5,FALSE),"")</f>
        <v>Midazolam</v>
      </c>
      <c r="F3899" s="207" t="str">
        <f>IF(AND(A3899&lt;&gt;"",ISNUMBER(A3899)),VLOOKUP(A3899,Studies!A:BR,6,FALSE),"")</f>
        <v>Plasma</v>
      </c>
      <c r="G3899" s="194">
        <v>24</v>
      </c>
      <c r="H3899" s="194" t="s">
        <v>60</v>
      </c>
      <c r="I3899" s="187">
        <v>1.294081</v>
      </c>
      <c r="J3899" s="187" t="s">
        <v>1026</v>
      </c>
      <c r="K3899" s="187" t="s">
        <v>264</v>
      </c>
      <c r="L3899" s="195"/>
      <c r="M3899" s="195"/>
      <c r="N3899" s="195"/>
      <c r="O3899" s="199"/>
      <c r="P3899" s="188"/>
      <c r="Q3899" s="174">
        <f>IF(ISNUMBER(VLOOKUP(A3899,NotghiID!A:A,1,FALSE)),1,0)</f>
        <v>1</v>
      </c>
    </row>
    <row r="3900" spans="1:17" ht="14.25" x14ac:dyDescent="0.2">
      <c r="A3900" s="205">
        <v>185</v>
      </c>
      <c r="B3900" s="232" t="str">
        <f>IF(AND(A3900&lt;&gt;"",ISNUMBER(A3900)),VLOOKUP(A3900,Studies!A:BR,2,FALSE),"")</f>
        <v>Greenblat 1984</v>
      </c>
      <c r="C3900" s="232" t="str">
        <f>IF(AND(A3900&lt;&gt;"",ISNUMBER(A3900)),VLOOKUP(A3900,Studies!A:BR,3,FALSE),"")</f>
        <v>https://www.ncbi.nlm.nih.gov/pubmed/6742481</v>
      </c>
      <c r="D3900" s="232" t="str">
        <f>IF(AND(A3900&lt;&gt;"",ISNUMBER(A3900)),VLOOKUP(A3900,Studies!A:BR,4,FALSE),"")</f>
        <v>po - f, 61kg, 37y (normal female)</v>
      </c>
      <c r="E3900" s="206" t="str">
        <f>IF(AND(A3900&lt;&gt;"",ISNUMBER(A3900)),VLOOKUP(A3900,Studies!A:BR,5,FALSE),"")</f>
        <v>Midazolam</v>
      </c>
      <c r="F3900" s="207" t="str">
        <f>IF(AND(A3900&lt;&gt;"",ISNUMBER(A3900)),VLOOKUP(A3900,Studies!A:BR,6,FALSE),"")</f>
        <v>Plasma</v>
      </c>
      <c r="G3900" s="194">
        <v>0.25</v>
      </c>
      <c r="H3900" s="194" t="s">
        <v>60</v>
      </c>
      <c r="I3900" s="187">
        <v>24.949190000000002</v>
      </c>
      <c r="J3900" s="187" t="s">
        <v>1026</v>
      </c>
      <c r="K3900" s="187" t="s">
        <v>264</v>
      </c>
      <c r="L3900" s="195"/>
      <c r="M3900" s="195"/>
      <c r="N3900" s="195"/>
      <c r="O3900" s="199"/>
      <c r="P3900" s="189" t="s">
        <v>1165</v>
      </c>
      <c r="Q3900" s="174">
        <f>IF(ISNUMBER(VLOOKUP(A3900,NotghiID!A:A,1,FALSE)),1,0)</f>
        <v>1</v>
      </c>
    </row>
    <row r="3901" spans="1:17" ht="14.25" x14ac:dyDescent="0.2">
      <c r="A3901" s="205">
        <v>185</v>
      </c>
      <c r="B3901" s="232" t="str">
        <f>IF(AND(A3901&lt;&gt;"",ISNUMBER(A3901)),VLOOKUP(A3901,Studies!A:BR,2,FALSE),"")</f>
        <v>Greenblat 1984</v>
      </c>
      <c r="C3901" s="232" t="str">
        <f>IF(AND(A3901&lt;&gt;"",ISNUMBER(A3901)),VLOOKUP(A3901,Studies!A:BR,3,FALSE),"")</f>
        <v>https://www.ncbi.nlm.nih.gov/pubmed/6742481</v>
      </c>
      <c r="D3901" s="232" t="str">
        <f>IF(AND(A3901&lt;&gt;"",ISNUMBER(A3901)),VLOOKUP(A3901,Studies!A:BR,4,FALSE),"")</f>
        <v>po - f, 61kg, 37y (normal female)</v>
      </c>
      <c r="E3901" s="206" t="str">
        <f>IF(AND(A3901&lt;&gt;"",ISNUMBER(A3901)),VLOOKUP(A3901,Studies!A:BR,5,FALSE),"")</f>
        <v>Midazolam</v>
      </c>
      <c r="F3901" s="207" t="str">
        <f>IF(AND(A3901&lt;&gt;"",ISNUMBER(A3901)),VLOOKUP(A3901,Studies!A:BR,6,FALSE),"")</f>
        <v>Plasma</v>
      </c>
      <c r="G3901" s="194">
        <v>0.5</v>
      </c>
      <c r="H3901" s="194" t="s">
        <v>60</v>
      </c>
      <c r="I3901" s="187">
        <v>68.100790000000003</v>
      </c>
      <c r="J3901" s="187" t="s">
        <v>1026</v>
      </c>
      <c r="K3901" s="187" t="s">
        <v>264</v>
      </c>
      <c r="L3901" s="195"/>
      <c r="M3901" s="195"/>
      <c r="N3901" s="195"/>
      <c r="O3901" s="199"/>
      <c r="P3901" s="188"/>
      <c r="Q3901" s="174">
        <f>IF(ISNUMBER(VLOOKUP(A3901,NotghiID!A:A,1,FALSE)),1,0)</f>
        <v>1</v>
      </c>
    </row>
    <row r="3902" spans="1:17" ht="14.25" x14ac:dyDescent="0.2">
      <c r="A3902" s="205">
        <v>185</v>
      </c>
      <c r="B3902" s="232" t="str">
        <f>IF(AND(A3902&lt;&gt;"",ISNUMBER(A3902)),VLOOKUP(A3902,Studies!A:BR,2,FALSE),"")</f>
        <v>Greenblat 1984</v>
      </c>
      <c r="C3902" s="232" t="str">
        <f>IF(AND(A3902&lt;&gt;"",ISNUMBER(A3902)),VLOOKUP(A3902,Studies!A:BR,3,FALSE),"")</f>
        <v>https://www.ncbi.nlm.nih.gov/pubmed/6742481</v>
      </c>
      <c r="D3902" s="232" t="str">
        <f>IF(AND(A3902&lt;&gt;"",ISNUMBER(A3902)),VLOOKUP(A3902,Studies!A:BR,4,FALSE),"")</f>
        <v>po - f, 61kg, 37y (normal female)</v>
      </c>
      <c r="E3902" s="206" t="str">
        <f>IF(AND(A3902&lt;&gt;"",ISNUMBER(A3902)),VLOOKUP(A3902,Studies!A:BR,5,FALSE),"")</f>
        <v>Midazolam</v>
      </c>
      <c r="F3902" s="207" t="str">
        <f>IF(AND(A3902&lt;&gt;"",ISNUMBER(A3902)),VLOOKUP(A3902,Studies!A:BR,6,FALSE),"")</f>
        <v>Plasma</v>
      </c>
      <c r="G3902" s="194">
        <v>0.75</v>
      </c>
      <c r="H3902" s="194" t="s">
        <v>60</v>
      </c>
      <c r="I3902" s="187">
        <v>60.732640000000004</v>
      </c>
      <c r="J3902" s="187" t="s">
        <v>1026</v>
      </c>
      <c r="K3902" s="187" t="s">
        <v>264</v>
      </c>
      <c r="L3902" s="195"/>
      <c r="M3902" s="195"/>
      <c r="N3902" s="195"/>
      <c r="O3902" s="199"/>
      <c r="P3902" s="188"/>
      <c r="Q3902" s="174">
        <f>IF(ISNUMBER(VLOOKUP(A3902,NotghiID!A:A,1,FALSE)),1,0)</f>
        <v>1</v>
      </c>
    </row>
    <row r="3903" spans="1:17" ht="14.25" x14ac:dyDescent="0.2">
      <c r="A3903" s="205">
        <v>185</v>
      </c>
      <c r="B3903" s="232" t="str">
        <f>IF(AND(A3903&lt;&gt;"",ISNUMBER(A3903)),VLOOKUP(A3903,Studies!A:BR,2,FALSE),"")</f>
        <v>Greenblat 1984</v>
      </c>
      <c r="C3903" s="232" t="str">
        <f>IF(AND(A3903&lt;&gt;"",ISNUMBER(A3903)),VLOOKUP(A3903,Studies!A:BR,3,FALSE),"")</f>
        <v>https://www.ncbi.nlm.nih.gov/pubmed/6742481</v>
      </c>
      <c r="D3903" s="232" t="str">
        <f>IF(AND(A3903&lt;&gt;"",ISNUMBER(A3903)),VLOOKUP(A3903,Studies!A:BR,4,FALSE),"")</f>
        <v>po - f, 61kg, 37y (normal female)</v>
      </c>
      <c r="E3903" s="206" t="str">
        <f>IF(AND(A3903&lt;&gt;"",ISNUMBER(A3903)),VLOOKUP(A3903,Studies!A:BR,5,FALSE),"")</f>
        <v>Midazolam</v>
      </c>
      <c r="F3903" s="207" t="str">
        <f>IF(AND(A3903&lt;&gt;"",ISNUMBER(A3903)),VLOOKUP(A3903,Studies!A:BR,6,FALSE),"")</f>
        <v>Plasma</v>
      </c>
      <c r="G3903" s="194">
        <v>1</v>
      </c>
      <c r="H3903" s="194" t="s">
        <v>60</v>
      </c>
      <c r="I3903" s="187">
        <v>38.126190000000001</v>
      </c>
      <c r="J3903" s="187" t="s">
        <v>1026</v>
      </c>
      <c r="K3903" s="187" t="s">
        <v>264</v>
      </c>
      <c r="L3903" s="195"/>
      <c r="M3903" s="195"/>
      <c r="N3903" s="195"/>
      <c r="O3903" s="199"/>
      <c r="P3903" s="188"/>
      <c r="Q3903" s="174">
        <f>IF(ISNUMBER(VLOOKUP(A3903,NotghiID!A:A,1,FALSE)),1,0)</f>
        <v>1</v>
      </c>
    </row>
    <row r="3904" spans="1:17" ht="14.25" x14ac:dyDescent="0.2">
      <c r="A3904" s="205">
        <v>185</v>
      </c>
      <c r="B3904" s="232" t="str">
        <f>IF(AND(A3904&lt;&gt;"",ISNUMBER(A3904)),VLOOKUP(A3904,Studies!A:BR,2,FALSE),"")</f>
        <v>Greenblat 1984</v>
      </c>
      <c r="C3904" s="232" t="str">
        <f>IF(AND(A3904&lt;&gt;"",ISNUMBER(A3904)),VLOOKUP(A3904,Studies!A:BR,3,FALSE),"")</f>
        <v>https://www.ncbi.nlm.nih.gov/pubmed/6742481</v>
      </c>
      <c r="D3904" s="232" t="str">
        <f>IF(AND(A3904&lt;&gt;"",ISNUMBER(A3904)),VLOOKUP(A3904,Studies!A:BR,4,FALSE),"")</f>
        <v>po - f, 61kg, 37y (normal female)</v>
      </c>
      <c r="E3904" s="206" t="str">
        <f>IF(AND(A3904&lt;&gt;"",ISNUMBER(A3904)),VLOOKUP(A3904,Studies!A:BR,5,FALSE),"")</f>
        <v>Midazolam</v>
      </c>
      <c r="F3904" s="207" t="str">
        <f>IF(AND(A3904&lt;&gt;"",ISNUMBER(A3904)),VLOOKUP(A3904,Studies!A:BR,6,FALSE),"")</f>
        <v>Plasma</v>
      </c>
      <c r="G3904" s="194">
        <v>1.5</v>
      </c>
      <c r="H3904" s="194" t="s">
        <v>60</v>
      </c>
      <c r="I3904" s="187">
        <v>23.543970000000002</v>
      </c>
      <c r="J3904" s="187" t="s">
        <v>1026</v>
      </c>
      <c r="K3904" s="187" t="s">
        <v>264</v>
      </c>
      <c r="L3904" s="195"/>
      <c r="M3904" s="195"/>
      <c r="N3904" s="195"/>
      <c r="O3904" s="199"/>
      <c r="P3904" s="188"/>
      <c r="Q3904" s="174">
        <f>IF(ISNUMBER(VLOOKUP(A3904,NotghiID!A:A,1,FALSE)),1,0)</f>
        <v>1</v>
      </c>
    </row>
    <row r="3905" spans="1:17" ht="14.25" x14ac:dyDescent="0.2">
      <c r="A3905" s="205">
        <v>185</v>
      </c>
      <c r="B3905" s="232" t="str">
        <f>IF(AND(A3905&lt;&gt;"",ISNUMBER(A3905)),VLOOKUP(A3905,Studies!A:BR,2,FALSE),"")</f>
        <v>Greenblat 1984</v>
      </c>
      <c r="C3905" s="232" t="str">
        <f>IF(AND(A3905&lt;&gt;"",ISNUMBER(A3905)),VLOOKUP(A3905,Studies!A:BR,3,FALSE),"")</f>
        <v>https://www.ncbi.nlm.nih.gov/pubmed/6742481</v>
      </c>
      <c r="D3905" s="232" t="str">
        <f>IF(AND(A3905&lt;&gt;"",ISNUMBER(A3905)),VLOOKUP(A3905,Studies!A:BR,4,FALSE),"")</f>
        <v>po - f, 61kg, 37y (normal female)</v>
      </c>
      <c r="E3905" s="206" t="str">
        <f>IF(AND(A3905&lt;&gt;"",ISNUMBER(A3905)),VLOOKUP(A3905,Studies!A:BR,5,FALSE),"")</f>
        <v>Midazolam</v>
      </c>
      <c r="F3905" s="207" t="str">
        <f>IF(AND(A3905&lt;&gt;"",ISNUMBER(A3905)),VLOOKUP(A3905,Studies!A:BR,6,FALSE),"")</f>
        <v>Plasma</v>
      </c>
      <c r="G3905" s="194">
        <v>2</v>
      </c>
      <c r="H3905" s="194" t="s">
        <v>60</v>
      </c>
      <c r="I3905" s="187">
        <v>27.039429999999999</v>
      </c>
      <c r="J3905" s="187" t="s">
        <v>1026</v>
      </c>
      <c r="K3905" s="187" t="s">
        <v>264</v>
      </c>
      <c r="L3905" s="195"/>
      <c r="M3905" s="195"/>
      <c r="N3905" s="195"/>
      <c r="O3905" s="199"/>
      <c r="P3905" s="188"/>
      <c r="Q3905" s="174">
        <f>IF(ISNUMBER(VLOOKUP(A3905,NotghiID!A:A,1,FALSE)),1,0)</f>
        <v>1</v>
      </c>
    </row>
    <row r="3906" spans="1:17" ht="14.25" x14ac:dyDescent="0.2">
      <c r="A3906" s="205">
        <v>185</v>
      </c>
      <c r="B3906" s="232" t="str">
        <f>IF(AND(A3906&lt;&gt;"",ISNUMBER(A3906)),VLOOKUP(A3906,Studies!A:BR,2,FALSE),"")</f>
        <v>Greenblat 1984</v>
      </c>
      <c r="C3906" s="232" t="str">
        <f>IF(AND(A3906&lt;&gt;"",ISNUMBER(A3906)),VLOOKUP(A3906,Studies!A:BR,3,FALSE),"")</f>
        <v>https://www.ncbi.nlm.nih.gov/pubmed/6742481</v>
      </c>
      <c r="D3906" s="232" t="str">
        <f>IF(AND(A3906&lt;&gt;"",ISNUMBER(A3906)),VLOOKUP(A3906,Studies!A:BR,4,FALSE),"")</f>
        <v>po - f, 61kg, 37y (normal female)</v>
      </c>
      <c r="E3906" s="206" t="str">
        <f>IF(AND(A3906&lt;&gt;"",ISNUMBER(A3906)),VLOOKUP(A3906,Studies!A:BR,5,FALSE),"")</f>
        <v>Midazolam</v>
      </c>
      <c r="F3906" s="207" t="str">
        <f>IF(AND(A3906&lt;&gt;"",ISNUMBER(A3906)),VLOOKUP(A3906,Studies!A:BR,6,FALSE),"")</f>
        <v>Plasma</v>
      </c>
      <c r="G3906" s="194">
        <v>2.5</v>
      </c>
      <c r="H3906" s="194" t="s">
        <v>60</v>
      </c>
      <c r="I3906" s="187">
        <v>17.3919</v>
      </c>
      <c r="J3906" s="187" t="s">
        <v>1026</v>
      </c>
      <c r="K3906" s="187" t="s">
        <v>264</v>
      </c>
      <c r="L3906" s="195"/>
      <c r="M3906" s="195"/>
      <c r="N3906" s="195"/>
      <c r="O3906" s="199"/>
      <c r="P3906" s="188"/>
      <c r="Q3906" s="174">
        <f>IF(ISNUMBER(VLOOKUP(A3906,NotghiID!A:A,1,FALSE)),1,0)</f>
        <v>1</v>
      </c>
    </row>
    <row r="3907" spans="1:17" ht="14.25" x14ac:dyDescent="0.2">
      <c r="A3907" s="205">
        <v>185</v>
      </c>
      <c r="B3907" s="232" t="str">
        <f>IF(AND(A3907&lt;&gt;"",ISNUMBER(A3907)),VLOOKUP(A3907,Studies!A:BR,2,FALSE),"")</f>
        <v>Greenblat 1984</v>
      </c>
      <c r="C3907" s="232" t="str">
        <f>IF(AND(A3907&lt;&gt;"",ISNUMBER(A3907)),VLOOKUP(A3907,Studies!A:BR,3,FALSE),"")</f>
        <v>https://www.ncbi.nlm.nih.gov/pubmed/6742481</v>
      </c>
      <c r="D3907" s="232" t="str">
        <f>IF(AND(A3907&lt;&gt;"",ISNUMBER(A3907)),VLOOKUP(A3907,Studies!A:BR,4,FALSE),"")</f>
        <v>po - f, 61kg, 37y (normal female)</v>
      </c>
      <c r="E3907" s="206" t="str">
        <f>IF(AND(A3907&lt;&gt;"",ISNUMBER(A3907)),VLOOKUP(A3907,Studies!A:BR,5,FALSE),"")</f>
        <v>Midazolam</v>
      </c>
      <c r="F3907" s="207" t="str">
        <f>IF(AND(A3907&lt;&gt;"",ISNUMBER(A3907)),VLOOKUP(A3907,Studies!A:BR,6,FALSE),"")</f>
        <v>Plasma</v>
      </c>
      <c r="G3907" s="194">
        <v>3</v>
      </c>
      <c r="H3907" s="194" t="s">
        <v>60</v>
      </c>
      <c r="I3907" s="187">
        <v>13.83263</v>
      </c>
      <c r="J3907" s="187" t="s">
        <v>1026</v>
      </c>
      <c r="K3907" s="187" t="s">
        <v>264</v>
      </c>
      <c r="L3907" s="195"/>
      <c r="M3907" s="195"/>
      <c r="N3907" s="195"/>
      <c r="O3907" s="199"/>
      <c r="P3907" s="188"/>
      <c r="Q3907" s="174">
        <f>IF(ISNUMBER(VLOOKUP(A3907,NotghiID!A:A,1,FALSE)),1,0)</f>
        <v>1</v>
      </c>
    </row>
    <row r="3908" spans="1:17" ht="14.25" x14ac:dyDescent="0.2">
      <c r="A3908" s="205">
        <v>185</v>
      </c>
      <c r="B3908" s="232" t="str">
        <f>IF(AND(A3908&lt;&gt;"",ISNUMBER(A3908)),VLOOKUP(A3908,Studies!A:BR,2,FALSE),"")</f>
        <v>Greenblat 1984</v>
      </c>
      <c r="C3908" s="232" t="str">
        <f>IF(AND(A3908&lt;&gt;"",ISNUMBER(A3908)),VLOOKUP(A3908,Studies!A:BR,3,FALSE),"")</f>
        <v>https://www.ncbi.nlm.nih.gov/pubmed/6742481</v>
      </c>
      <c r="D3908" s="232" t="str">
        <f>IF(AND(A3908&lt;&gt;"",ISNUMBER(A3908)),VLOOKUP(A3908,Studies!A:BR,4,FALSE),"")</f>
        <v>po - f, 61kg, 37y (normal female)</v>
      </c>
      <c r="E3908" s="206" t="str">
        <f>IF(AND(A3908&lt;&gt;"",ISNUMBER(A3908)),VLOOKUP(A3908,Studies!A:BR,5,FALSE),"")</f>
        <v>Midazolam</v>
      </c>
      <c r="F3908" s="207" t="str">
        <f>IF(AND(A3908&lt;&gt;"",ISNUMBER(A3908)),VLOOKUP(A3908,Studies!A:BR,6,FALSE),"")</f>
        <v>Plasma</v>
      </c>
      <c r="G3908" s="194">
        <v>4</v>
      </c>
      <c r="H3908" s="194" t="s">
        <v>60</v>
      </c>
      <c r="I3908" s="187">
        <v>8.3322699999999994</v>
      </c>
      <c r="J3908" s="187" t="s">
        <v>1026</v>
      </c>
      <c r="K3908" s="187" t="s">
        <v>264</v>
      </c>
      <c r="L3908" s="195"/>
      <c r="M3908" s="195"/>
      <c r="N3908" s="195"/>
      <c r="O3908" s="199"/>
      <c r="P3908" s="188"/>
      <c r="Q3908" s="174">
        <f>IF(ISNUMBER(VLOOKUP(A3908,NotghiID!A:A,1,FALSE)),1,0)</f>
        <v>1</v>
      </c>
    </row>
    <row r="3909" spans="1:17" ht="14.25" x14ac:dyDescent="0.2">
      <c r="A3909" s="205">
        <v>185</v>
      </c>
      <c r="B3909" s="232" t="str">
        <f>IF(AND(A3909&lt;&gt;"",ISNUMBER(A3909)),VLOOKUP(A3909,Studies!A:BR,2,FALSE),"")</f>
        <v>Greenblat 1984</v>
      </c>
      <c r="C3909" s="232" t="str">
        <f>IF(AND(A3909&lt;&gt;"",ISNUMBER(A3909)),VLOOKUP(A3909,Studies!A:BR,3,FALSE),"")</f>
        <v>https://www.ncbi.nlm.nih.gov/pubmed/6742481</v>
      </c>
      <c r="D3909" s="232" t="str">
        <f>IF(AND(A3909&lt;&gt;"",ISNUMBER(A3909)),VLOOKUP(A3909,Studies!A:BR,4,FALSE),"")</f>
        <v>po - f, 61kg, 37y (normal female)</v>
      </c>
      <c r="E3909" s="206" t="str">
        <f>IF(AND(A3909&lt;&gt;"",ISNUMBER(A3909)),VLOOKUP(A3909,Studies!A:BR,5,FALSE),"")</f>
        <v>Midazolam</v>
      </c>
      <c r="F3909" s="207" t="str">
        <f>IF(AND(A3909&lt;&gt;"",ISNUMBER(A3909)),VLOOKUP(A3909,Studies!A:BR,6,FALSE),"")</f>
        <v>Plasma</v>
      </c>
      <c r="G3909" s="194">
        <v>6</v>
      </c>
      <c r="H3909" s="194" t="s">
        <v>60</v>
      </c>
      <c r="I3909" s="187">
        <v>4.1568649999999998</v>
      </c>
      <c r="J3909" s="187" t="s">
        <v>1026</v>
      </c>
      <c r="K3909" s="187" t="s">
        <v>264</v>
      </c>
      <c r="L3909" s="195"/>
      <c r="M3909" s="195"/>
      <c r="N3909" s="195"/>
      <c r="O3909" s="199"/>
      <c r="P3909" s="188"/>
      <c r="Q3909" s="174">
        <f>IF(ISNUMBER(VLOOKUP(A3909,NotghiID!A:A,1,FALSE)),1,0)</f>
        <v>1</v>
      </c>
    </row>
    <row r="3910" spans="1:17" ht="14.25" x14ac:dyDescent="0.2">
      <c r="A3910" s="205">
        <v>185</v>
      </c>
      <c r="B3910" s="232" t="str">
        <f>IF(AND(A3910&lt;&gt;"",ISNUMBER(A3910)),VLOOKUP(A3910,Studies!A:BR,2,FALSE),"")</f>
        <v>Greenblat 1984</v>
      </c>
      <c r="C3910" s="232" t="str">
        <f>IF(AND(A3910&lt;&gt;"",ISNUMBER(A3910)),VLOOKUP(A3910,Studies!A:BR,3,FALSE),"")</f>
        <v>https://www.ncbi.nlm.nih.gov/pubmed/6742481</v>
      </c>
      <c r="D3910" s="232" t="str">
        <f>IF(AND(A3910&lt;&gt;"",ISNUMBER(A3910)),VLOOKUP(A3910,Studies!A:BR,4,FALSE),"")</f>
        <v>po - f, 61kg, 37y (normal female)</v>
      </c>
      <c r="E3910" s="206" t="str">
        <f>IF(AND(A3910&lt;&gt;"",ISNUMBER(A3910)),VLOOKUP(A3910,Studies!A:BR,5,FALSE),"")</f>
        <v>Midazolam</v>
      </c>
      <c r="F3910" s="207" t="str">
        <f>IF(AND(A3910&lt;&gt;"",ISNUMBER(A3910)),VLOOKUP(A3910,Studies!A:BR,6,FALSE),"")</f>
        <v>Plasma</v>
      </c>
      <c r="G3910" s="194">
        <v>8</v>
      </c>
      <c r="H3910" s="194" t="s">
        <v>60</v>
      </c>
      <c r="I3910" s="187">
        <v>3.0437050000000001</v>
      </c>
      <c r="J3910" s="187" t="s">
        <v>1026</v>
      </c>
      <c r="K3910" s="187" t="s">
        <v>264</v>
      </c>
      <c r="L3910" s="195"/>
      <c r="M3910" s="195"/>
      <c r="N3910" s="195"/>
      <c r="O3910" s="199"/>
      <c r="P3910" s="188"/>
      <c r="Q3910" s="174">
        <f>IF(ISNUMBER(VLOOKUP(A3910,NotghiID!A:A,1,FALSE)),1,0)</f>
        <v>1</v>
      </c>
    </row>
    <row r="3911" spans="1:17" ht="14.25" x14ac:dyDescent="0.2">
      <c r="A3911" s="205">
        <v>185</v>
      </c>
      <c r="B3911" s="232" t="str">
        <f>IF(AND(A3911&lt;&gt;"",ISNUMBER(A3911)),VLOOKUP(A3911,Studies!A:BR,2,FALSE),"")</f>
        <v>Greenblat 1984</v>
      </c>
      <c r="C3911" s="232" t="str">
        <f>IF(AND(A3911&lt;&gt;"",ISNUMBER(A3911)),VLOOKUP(A3911,Studies!A:BR,3,FALSE),"")</f>
        <v>https://www.ncbi.nlm.nih.gov/pubmed/6742481</v>
      </c>
      <c r="D3911" s="232" t="str">
        <f>IF(AND(A3911&lt;&gt;"",ISNUMBER(A3911)),VLOOKUP(A3911,Studies!A:BR,4,FALSE),"")</f>
        <v>po - f, 61kg, 37y (normal female)</v>
      </c>
      <c r="E3911" s="206" t="str">
        <f>IF(AND(A3911&lt;&gt;"",ISNUMBER(A3911)),VLOOKUP(A3911,Studies!A:BR,5,FALSE),"")</f>
        <v>Midazolam</v>
      </c>
      <c r="F3911" s="207" t="str">
        <f>IF(AND(A3911&lt;&gt;"",ISNUMBER(A3911)),VLOOKUP(A3911,Studies!A:BR,6,FALSE),"")</f>
        <v>Plasma</v>
      </c>
      <c r="G3911" s="194">
        <v>12</v>
      </c>
      <c r="H3911" s="194" t="s">
        <v>60</v>
      </c>
      <c r="I3911" s="187">
        <v>1.319947</v>
      </c>
      <c r="J3911" s="187" t="s">
        <v>1026</v>
      </c>
      <c r="K3911" s="187" t="s">
        <v>264</v>
      </c>
      <c r="L3911" s="195"/>
      <c r="M3911" s="195"/>
      <c r="N3911" s="195"/>
      <c r="O3911" s="199"/>
      <c r="P3911" s="188"/>
      <c r="Q3911" s="174">
        <f>IF(ISNUMBER(VLOOKUP(A3911,NotghiID!A:A,1,FALSE)),1,0)</f>
        <v>1</v>
      </c>
    </row>
    <row r="3912" spans="1:17" ht="14.25" x14ac:dyDescent="0.2">
      <c r="A3912" s="205">
        <v>186</v>
      </c>
      <c r="B3912" s="232" t="str">
        <f>IF(AND(A3912&lt;&gt;"",ISNUMBER(A3912)),VLOOKUP(A3912,Studies!A:BR,2,FALSE),"")</f>
        <v>Greenblat 1984</v>
      </c>
      <c r="C3912" s="232" t="str">
        <f>IF(AND(A3912&lt;&gt;"",ISNUMBER(A3912)),VLOOKUP(A3912,Studies!A:BR,3,FALSE),"")</f>
        <v>https://www.ncbi.nlm.nih.gov/pubmed/6742481</v>
      </c>
      <c r="D3912" s="232" t="str">
        <f>IF(AND(A3912&lt;&gt;"",ISNUMBER(A3912)),VLOOKUP(A3912,Studies!A:BR,4,FALSE),"")</f>
        <v>po - m, 70kg, 32y (young male)</v>
      </c>
      <c r="E3912" s="206" t="str">
        <f>IF(AND(A3912&lt;&gt;"",ISNUMBER(A3912)),VLOOKUP(A3912,Studies!A:BR,5,FALSE),"")</f>
        <v>Midazolam</v>
      </c>
      <c r="F3912" s="207" t="str">
        <f>IF(AND(A3912&lt;&gt;"",ISNUMBER(A3912)),VLOOKUP(A3912,Studies!A:BR,6,FALSE),"")</f>
        <v>Plasma</v>
      </c>
      <c r="G3912" s="194">
        <v>0.17</v>
      </c>
      <c r="H3912" s="194" t="s">
        <v>60</v>
      </c>
      <c r="I3912" s="187">
        <v>21.96482</v>
      </c>
      <c r="J3912" s="187" t="s">
        <v>1026</v>
      </c>
      <c r="K3912" s="187" t="s">
        <v>264</v>
      </c>
      <c r="L3912" s="195"/>
      <c r="M3912" s="195"/>
      <c r="N3912" s="195"/>
      <c r="O3912" s="199"/>
      <c r="P3912" s="189" t="s">
        <v>1166</v>
      </c>
      <c r="Q3912" s="174">
        <f>IF(ISNUMBER(VLOOKUP(A3912,NotghiID!A:A,1,FALSE)),1,0)</f>
        <v>1</v>
      </c>
    </row>
    <row r="3913" spans="1:17" ht="14.25" x14ac:dyDescent="0.2">
      <c r="A3913" s="205">
        <v>186</v>
      </c>
      <c r="B3913" s="232" t="str">
        <f>IF(AND(A3913&lt;&gt;"",ISNUMBER(A3913)),VLOOKUP(A3913,Studies!A:BR,2,FALSE),"")</f>
        <v>Greenblat 1984</v>
      </c>
      <c r="C3913" s="232" t="str">
        <f>IF(AND(A3913&lt;&gt;"",ISNUMBER(A3913)),VLOOKUP(A3913,Studies!A:BR,3,FALSE),"")</f>
        <v>https://www.ncbi.nlm.nih.gov/pubmed/6742481</v>
      </c>
      <c r="D3913" s="232" t="str">
        <f>IF(AND(A3913&lt;&gt;"",ISNUMBER(A3913)),VLOOKUP(A3913,Studies!A:BR,4,FALSE),"")</f>
        <v>po - m, 70kg, 32y (young male)</v>
      </c>
      <c r="E3913" s="206" t="str">
        <f>IF(AND(A3913&lt;&gt;"",ISNUMBER(A3913)),VLOOKUP(A3913,Studies!A:BR,5,FALSE),"")</f>
        <v>Midazolam</v>
      </c>
      <c r="F3913" s="207" t="str">
        <f>IF(AND(A3913&lt;&gt;"",ISNUMBER(A3913)),VLOOKUP(A3913,Studies!A:BR,6,FALSE),"")</f>
        <v>Plasma</v>
      </c>
      <c r="G3913" s="194">
        <v>0.25</v>
      </c>
      <c r="H3913" s="194" t="s">
        <v>60</v>
      </c>
      <c r="I3913" s="187">
        <v>96.098399999999998</v>
      </c>
      <c r="J3913" s="187" t="s">
        <v>1026</v>
      </c>
      <c r="K3913" s="187" t="s">
        <v>264</v>
      </c>
      <c r="L3913" s="195"/>
      <c r="M3913" s="195"/>
      <c r="N3913" s="195"/>
      <c r="O3913" s="199"/>
      <c r="P3913" s="188"/>
      <c r="Q3913" s="174">
        <f>IF(ISNUMBER(VLOOKUP(A3913,NotghiID!A:A,1,FALSE)),1,0)</f>
        <v>1</v>
      </c>
    </row>
    <row r="3914" spans="1:17" ht="14.25" x14ac:dyDescent="0.2">
      <c r="A3914" s="205">
        <v>186</v>
      </c>
      <c r="B3914" s="232" t="str">
        <f>IF(AND(A3914&lt;&gt;"",ISNUMBER(A3914)),VLOOKUP(A3914,Studies!A:BR,2,FALSE),"")</f>
        <v>Greenblat 1984</v>
      </c>
      <c r="C3914" s="232" t="str">
        <f>IF(AND(A3914&lt;&gt;"",ISNUMBER(A3914)),VLOOKUP(A3914,Studies!A:BR,3,FALSE),"")</f>
        <v>https://www.ncbi.nlm.nih.gov/pubmed/6742481</v>
      </c>
      <c r="D3914" s="232" t="str">
        <f>IF(AND(A3914&lt;&gt;"",ISNUMBER(A3914)),VLOOKUP(A3914,Studies!A:BR,4,FALSE),"")</f>
        <v>po - m, 70kg, 32y (young male)</v>
      </c>
      <c r="E3914" s="206" t="str">
        <f>IF(AND(A3914&lt;&gt;"",ISNUMBER(A3914)),VLOOKUP(A3914,Studies!A:BR,5,FALSE),"")</f>
        <v>Midazolam</v>
      </c>
      <c r="F3914" s="207" t="str">
        <f>IF(AND(A3914&lt;&gt;"",ISNUMBER(A3914)),VLOOKUP(A3914,Studies!A:BR,6,FALSE),"")</f>
        <v>Plasma</v>
      </c>
      <c r="G3914" s="194">
        <v>0.5</v>
      </c>
      <c r="H3914" s="194" t="s">
        <v>60</v>
      </c>
      <c r="I3914" s="187">
        <v>58.166600000000003</v>
      </c>
      <c r="J3914" s="187" t="s">
        <v>1026</v>
      </c>
      <c r="K3914" s="187" t="s">
        <v>264</v>
      </c>
      <c r="L3914" s="195"/>
      <c r="M3914" s="195"/>
      <c r="N3914" s="195"/>
      <c r="O3914" s="199"/>
      <c r="P3914" s="188"/>
      <c r="Q3914" s="174">
        <f>IF(ISNUMBER(VLOOKUP(A3914,NotghiID!A:A,1,FALSE)),1,0)</f>
        <v>1</v>
      </c>
    </row>
    <row r="3915" spans="1:17" ht="14.25" x14ac:dyDescent="0.2">
      <c r="A3915" s="205">
        <v>186</v>
      </c>
      <c r="B3915" s="232" t="str">
        <f>IF(AND(A3915&lt;&gt;"",ISNUMBER(A3915)),VLOOKUP(A3915,Studies!A:BR,2,FALSE),"")</f>
        <v>Greenblat 1984</v>
      </c>
      <c r="C3915" s="232" t="str">
        <f>IF(AND(A3915&lt;&gt;"",ISNUMBER(A3915)),VLOOKUP(A3915,Studies!A:BR,3,FALSE),"")</f>
        <v>https://www.ncbi.nlm.nih.gov/pubmed/6742481</v>
      </c>
      <c r="D3915" s="232" t="str">
        <f>IF(AND(A3915&lt;&gt;"",ISNUMBER(A3915)),VLOOKUP(A3915,Studies!A:BR,4,FALSE),"")</f>
        <v>po - m, 70kg, 32y (young male)</v>
      </c>
      <c r="E3915" s="206" t="str">
        <f>IF(AND(A3915&lt;&gt;"",ISNUMBER(A3915)),VLOOKUP(A3915,Studies!A:BR,5,FALSE),"")</f>
        <v>Midazolam</v>
      </c>
      <c r="F3915" s="207" t="str">
        <f>IF(AND(A3915&lt;&gt;"",ISNUMBER(A3915)),VLOOKUP(A3915,Studies!A:BR,6,FALSE),"")</f>
        <v>Plasma</v>
      </c>
      <c r="G3915" s="194">
        <v>0.75</v>
      </c>
      <c r="H3915" s="194" t="s">
        <v>60</v>
      </c>
      <c r="I3915" s="187">
        <v>44.912550000000003</v>
      </c>
      <c r="J3915" s="187" t="s">
        <v>1026</v>
      </c>
      <c r="K3915" s="187" t="s">
        <v>264</v>
      </c>
      <c r="L3915" s="195"/>
      <c r="M3915" s="195"/>
      <c r="N3915" s="195"/>
      <c r="O3915" s="199"/>
      <c r="P3915" s="188"/>
      <c r="Q3915" s="174">
        <f>IF(ISNUMBER(VLOOKUP(A3915,NotghiID!A:A,1,FALSE)),1,0)</f>
        <v>1</v>
      </c>
    </row>
    <row r="3916" spans="1:17" ht="14.25" x14ac:dyDescent="0.2">
      <c r="A3916" s="205">
        <v>186</v>
      </c>
      <c r="B3916" s="232" t="str">
        <f>IF(AND(A3916&lt;&gt;"",ISNUMBER(A3916)),VLOOKUP(A3916,Studies!A:BR,2,FALSE),"")</f>
        <v>Greenblat 1984</v>
      </c>
      <c r="C3916" s="232" t="str">
        <f>IF(AND(A3916&lt;&gt;"",ISNUMBER(A3916)),VLOOKUP(A3916,Studies!A:BR,3,FALSE),"")</f>
        <v>https://www.ncbi.nlm.nih.gov/pubmed/6742481</v>
      </c>
      <c r="D3916" s="232" t="str">
        <f>IF(AND(A3916&lt;&gt;"",ISNUMBER(A3916)),VLOOKUP(A3916,Studies!A:BR,4,FALSE),"")</f>
        <v>po - m, 70kg, 32y (young male)</v>
      </c>
      <c r="E3916" s="206" t="str">
        <f>IF(AND(A3916&lt;&gt;"",ISNUMBER(A3916)),VLOOKUP(A3916,Studies!A:BR,5,FALSE),"")</f>
        <v>Midazolam</v>
      </c>
      <c r="F3916" s="207" t="str">
        <f>IF(AND(A3916&lt;&gt;"",ISNUMBER(A3916)),VLOOKUP(A3916,Studies!A:BR,6,FALSE),"")</f>
        <v>Plasma</v>
      </c>
      <c r="G3916" s="194">
        <v>1</v>
      </c>
      <c r="H3916" s="194" t="s">
        <v>60</v>
      </c>
      <c r="I3916" s="187">
        <v>32.495919999999998</v>
      </c>
      <c r="J3916" s="187" t="s">
        <v>1026</v>
      </c>
      <c r="K3916" s="187" t="s">
        <v>264</v>
      </c>
      <c r="L3916" s="195"/>
      <c r="M3916" s="195"/>
      <c r="N3916" s="195"/>
      <c r="O3916" s="199"/>
      <c r="P3916" s="188"/>
      <c r="Q3916" s="174">
        <f>IF(ISNUMBER(VLOOKUP(A3916,NotghiID!A:A,1,FALSE)),1,0)</f>
        <v>1</v>
      </c>
    </row>
    <row r="3917" spans="1:17" ht="14.25" x14ac:dyDescent="0.2">
      <c r="A3917" s="205">
        <v>186</v>
      </c>
      <c r="B3917" s="232" t="str">
        <f>IF(AND(A3917&lt;&gt;"",ISNUMBER(A3917)),VLOOKUP(A3917,Studies!A:BR,2,FALSE),"")</f>
        <v>Greenblat 1984</v>
      </c>
      <c r="C3917" s="232" t="str">
        <f>IF(AND(A3917&lt;&gt;"",ISNUMBER(A3917)),VLOOKUP(A3917,Studies!A:BR,3,FALSE),"")</f>
        <v>https://www.ncbi.nlm.nih.gov/pubmed/6742481</v>
      </c>
      <c r="D3917" s="232" t="str">
        <f>IF(AND(A3917&lt;&gt;"",ISNUMBER(A3917)),VLOOKUP(A3917,Studies!A:BR,4,FALSE),"")</f>
        <v>po - m, 70kg, 32y (young male)</v>
      </c>
      <c r="E3917" s="206" t="str">
        <f>IF(AND(A3917&lt;&gt;"",ISNUMBER(A3917)),VLOOKUP(A3917,Studies!A:BR,5,FALSE),"")</f>
        <v>Midazolam</v>
      </c>
      <c r="F3917" s="207" t="str">
        <f>IF(AND(A3917&lt;&gt;"",ISNUMBER(A3917)),VLOOKUP(A3917,Studies!A:BR,6,FALSE),"")</f>
        <v>Plasma</v>
      </c>
      <c r="G3917" s="194">
        <v>1.5</v>
      </c>
      <c r="H3917" s="194" t="s">
        <v>60</v>
      </c>
      <c r="I3917" s="187">
        <v>31.516179999999999</v>
      </c>
      <c r="J3917" s="187" t="s">
        <v>1026</v>
      </c>
      <c r="K3917" s="187" t="s">
        <v>264</v>
      </c>
      <c r="L3917" s="195"/>
      <c r="M3917" s="195"/>
      <c r="N3917" s="195"/>
      <c r="O3917" s="199"/>
      <c r="P3917" s="188"/>
      <c r="Q3917" s="174">
        <f>IF(ISNUMBER(VLOOKUP(A3917,NotghiID!A:A,1,FALSE)),1,0)</f>
        <v>1</v>
      </c>
    </row>
    <row r="3918" spans="1:17" ht="14.25" x14ac:dyDescent="0.2">
      <c r="A3918" s="205">
        <v>186</v>
      </c>
      <c r="B3918" s="232" t="str">
        <f>IF(AND(A3918&lt;&gt;"",ISNUMBER(A3918)),VLOOKUP(A3918,Studies!A:BR,2,FALSE),"")</f>
        <v>Greenblat 1984</v>
      </c>
      <c r="C3918" s="232" t="str">
        <f>IF(AND(A3918&lt;&gt;"",ISNUMBER(A3918)),VLOOKUP(A3918,Studies!A:BR,3,FALSE),"")</f>
        <v>https://www.ncbi.nlm.nih.gov/pubmed/6742481</v>
      </c>
      <c r="D3918" s="232" t="str">
        <f>IF(AND(A3918&lt;&gt;"",ISNUMBER(A3918)),VLOOKUP(A3918,Studies!A:BR,4,FALSE),"")</f>
        <v>po - m, 70kg, 32y (young male)</v>
      </c>
      <c r="E3918" s="206" t="str">
        <f>IF(AND(A3918&lt;&gt;"",ISNUMBER(A3918)),VLOOKUP(A3918,Studies!A:BR,5,FALSE),"")</f>
        <v>Midazolam</v>
      </c>
      <c r="F3918" s="207" t="str">
        <f>IF(AND(A3918&lt;&gt;"",ISNUMBER(A3918)),VLOOKUP(A3918,Studies!A:BR,6,FALSE),"")</f>
        <v>Plasma</v>
      </c>
      <c r="G3918" s="194">
        <v>2</v>
      </c>
      <c r="H3918" s="194" t="s">
        <v>60</v>
      </c>
      <c r="I3918" s="187">
        <v>23.00525</v>
      </c>
      <c r="J3918" s="187" t="s">
        <v>1026</v>
      </c>
      <c r="K3918" s="187" t="s">
        <v>264</v>
      </c>
      <c r="L3918" s="195"/>
      <c r="M3918" s="195"/>
      <c r="N3918" s="195"/>
      <c r="O3918" s="199"/>
      <c r="P3918" s="188"/>
      <c r="Q3918" s="174">
        <f>IF(ISNUMBER(VLOOKUP(A3918,NotghiID!A:A,1,FALSE)),1,0)</f>
        <v>1</v>
      </c>
    </row>
    <row r="3919" spans="1:17" ht="14.25" x14ac:dyDescent="0.2">
      <c r="A3919" s="205">
        <v>186</v>
      </c>
      <c r="B3919" s="232" t="str">
        <f>IF(AND(A3919&lt;&gt;"",ISNUMBER(A3919)),VLOOKUP(A3919,Studies!A:BR,2,FALSE),"")</f>
        <v>Greenblat 1984</v>
      </c>
      <c r="C3919" s="232" t="str">
        <f>IF(AND(A3919&lt;&gt;"",ISNUMBER(A3919)),VLOOKUP(A3919,Studies!A:BR,3,FALSE),"")</f>
        <v>https://www.ncbi.nlm.nih.gov/pubmed/6742481</v>
      </c>
      <c r="D3919" s="232" t="str">
        <f>IF(AND(A3919&lt;&gt;"",ISNUMBER(A3919)),VLOOKUP(A3919,Studies!A:BR,4,FALSE),"")</f>
        <v>po - m, 70kg, 32y (young male)</v>
      </c>
      <c r="E3919" s="206" t="str">
        <f>IF(AND(A3919&lt;&gt;"",ISNUMBER(A3919)),VLOOKUP(A3919,Studies!A:BR,5,FALSE),"")</f>
        <v>Midazolam</v>
      </c>
      <c r="F3919" s="207" t="str">
        <f>IF(AND(A3919&lt;&gt;"",ISNUMBER(A3919)),VLOOKUP(A3919,Studies!A:BR,6,FALSE),"")</f>
        <v>Plasma</v>
      </c>
      <c r="G3919" s="194">
        <v>2.5</v>
      </c>
      <c r="H3919" s="194" t="s">
        <v>60</v>
      </c>
      <c r="I3919" s="187">
        <v>20.567519999999998</v>
      </c>
      <c r="J3919" s="187" t="s">
        <v>1026</v>
      </c>
      <c r="K3919" s="187" t="s">
        <v>264</v>
      </c>
      <c r="L3919" s="195"/>
      <c r="M3919" s="195"/>
      <c r="N3919" s="195"/>
      <c r="O3919" s="199"/>
      <c r="P3919" s="188"/>
      <c r="Q3919" s="174">
        <f>IF(ISNUMBER(VLOOKUP(A3919,NotghiID!A:A,1,FALSE)),1,0)</f>
        <v>1</v>
      </c>
    </row>
    <row r="3920" spans="1:17" ht="14.25" x14ac:dyDescent="0.2">
      <c r="A3920" s="205">
        <v>186</v>
      </c>
      <c r="B3920" s="232" t="str">
        <f>IF(AND(A3920&lt;&gt;"",ISNUMBER(A3920)),VLOOKUP(A3920,Studies!A:BR,2,FALSE),"")</f>
        <v>Greenblat 1984</v>
      </c>
      <c r="C3920" s="232" t="str">
        <f>IF(AND(A3920&lt;&gt;"",ISNUMBER(A3920)),VLOOKUP(A3920,Studies!A:BR,3,FALSE),"")</f>
        <v>https://www.ncbi.nlm.nih.gov/pubmed/6742481</v>
      </c>
      <c r="D3920" s="232" t="str">
        <f>IF(AND(A3920&lt;&gt;"",ISNUMBER(A3920)),VLOOKUP(A3920,Studies!A:BR,4,FALSE),"")</f>
        <v>po - m, 70kg, 32y (young male)</v>
      </c>
      <c r="E3920" s="206" t="str">
        <f>IF(AND(A3920&lt;&gt;"",ISNUMBER(A3920)),VLOOKUP(A3920,Studies!A:BR,5,FALSE),"")</f>
        <v>Midazolam</v>
      </c>
      <c r="F3920" s="207" t="str">
        <f>IF(AND(A3920&lt;&gt;"",ISNUMBER(A3920)),VLOOKUP(A3920,Studies!A:BR,6,FALSE),"")</f>
        <v>Plasma</v>
      </c>
      <c r="G3920" s="194">
        <v>3</v>
      </c>
      <c r="H3920" s="194" t="s">
        <v>60</v>
      </c>
      <c r="I3920" s="187">
        <v>15.76695</v>
      </c>
      <c r="J3920" s="187" t="s">
        <v>1026</v>
      </c>
      <c r="K3920" s="187" t="s">
        <v>264</v>
      </c>
      <c r="L3920" s="195"/>
      <c r="M3920" s="195"/>
      <c r="N3920" s="195"/>
      <c r="O3920" s="199"/>
      <c r="P3920" s="188"/>
      <c r="Q3920" s="174">
        <f>IF(ISNUMBER(VLOOKUP(A3920,NotghiID!A:A,1,FALSE)),1,0)</f>
        <v>1</v>
      </c>
    </row>
    <row r="3921" spans="1:17" ht="14.25" x14ac:dyDescent="0.2">
      <c r="A3921" s="205">
        <v>186</v>
      </c>
      <c r="B3921" s="232" t="str">
        <f>IF(AND(A3921&lt;&gt;"",ISNUMBER(A3921)),VLOOKUP(A3921,Studies!A:BR,2,FALSE),"")</f>
        <v>Greenblat 1984</v>
      </c>
      <c r="C3921" s="232" t="str">
        <f>IF(AND(A3921&lt;&gt;"",ISNUMBER(A3921)),VLOOKUP(A3921,Studies!A:BR,3,FALSE),"")</f>
        <v>https://www.ncbi.nlm.nih.gov/pubmed/6742481</v>
      </c>
      <c r="D3921" s="232" t="str">
        <f>IF(AND(A3921&lt;&gt;"",ISNUMBER(A3921)),VLOOKUP(A3921,Studies!A:BR,4,FALSE),"")</f>
        <v>po - m, 70kg, 32y (young male)</v>
      </c>
      <c r="E3921" s="206" t="str">
        <f>IF(AND(A3921&lt;&gt;"",ISNUMBER(A3921)),VLOOKUP(A3921,Studies!A:BR,5,FALSE),"")</f>
        <v>Midazolam</v>
      </c>
      <c r="F3921" s="207" t="str">
        <f>IF(AND(A3921&lt;&gt;"",ISNUMBER(A3921)),VLOOKUP(A3921,Studies!A:BR,6,FALSE),"")</f>
        <v>Plasma</v>
      </c>
      <c r="G3921" s="194">
        <v>4</v>
      </c>
      <c r="H3921" s="194" t="s">
        <v>60</v>
      </c>
      <c r="I3921" s="187">
        <v>8.1345799999999997</v>
      </c>
      <c r="J3921" s="187" t="s">
        <v>1026</v>
      </c>
      <c r="K3921" s="187" t="s">
        <v>264</v>
      </c>
      <c r="L3921" s="195"/>
      <c r="M3921" s="195"/>
      <c r="N3921" s="195"/>
      <c r="O3921" s="199"/>
      <c r="P3921" s="188"/>
      <c r="Q3921" s="174">
        <f>IF(ISNUMBER(VLOOKUP(A3921,NotghiID!A:A,1,FALSE)),1,0)</f>
        <v>1</v>
      </c>
    </row>
    <row r="3922" spans="1:17" ht="14.25" x14ac:dyDescent="0.2">
      <c r="A3922" s="205">
        <v>186</v>
      </c>
      <c r="B3922" s="232" t="str">
        <f>IF(AND(A3922&lt;&gt;"",ISNUMBER(A3922)),VLOOKUP(A3922,Studies!A:BR,2,FALSE),"")</f>
        <v>Greenblat 1984</v>
      </c>
      <c r="C3922" s="232" t="str">
        <f>IF(AND(A3922&lt;&gt;"",ISNUMBER(A3922)),VLOOKUP(A3922,Studies!A:BR,3,FALSE),"")</f>
        <v>https://www.ncbi.nlm.nih.gov/pubmed/6742481</v>
      </c>
      <c r="D3922" s="232" t="str">
        <f>IF(AND(A3922&lt;&gt;"",ISNUMBER(A3922)),VLOOKUP(A3922,Studies!A:BR,4,FALSE),"")</f>
        <v>po - m, 70kg, 32y (young male)</v>
      </c>
      <c r="E3922" s="206" t="str">
        <f>IF(AND(A3922&lt;&gt;"",ISNUMBER(A3922)),VLOOKUP(A3922,Studies!A:BR,5,FALSE),"")</f>
        <v>Midazolam</v>
      </c>
      <c r="F3922" s="207" t="str">
        <f>IF(AND(A3922&lt;&gt;"",ISNUMBER(A3922)),VLOOKUP(A3922,Studies!A:BR,6,FALSE),"")</f>
        <v>Plasma</v>
      </c>
      <c r="G3922" s="194">
        <v>6</v>
      </c>
      <c r="H3922" s="194" t="s">
        <v>60</v>
      </c>
      <c r="I3922" s="187">
        <v>3.0679029999999998</v>
      </c>
      <c r="J3922" s="187" t="s">
        <v>1026</v>
      </c>
      <c r="K3922" s="187" t="s">
        <v>264</v>
      </c>
      <c r="L3922" s="195"/>
      <c r="M3922" s="195"/>
      <c r="N3922" s="195"/>
      <c r="O3922" s="199"/>
      <c r="P3922" s="188"/>
      <c r="Q3922" s="174">
        <f>IF(ISNUMBER(VLOOKUP(A3922,NotghiID!A:A,1,FALSE)),1,0)</f>
        <v>1</v>
      </c>
    </row>
    <row r="3923" spans="1:17" ht="14.25" x14ac:dyDescent="0.2">
      <c r="A3923" s="205">
        <v>186</v>
      </c>
      <c r="B3923" s="232" t="str">
        <f>IF(AND(A3923&lt;&gt;"",ISNUMBER(A3923)),VLOOKUP(A3923,Studies!A:BR,2,FALSE),"")</f>
        <v>Greenblat 1984</v>
      </c>
      <c r="C3923" s="232" t="str">
        <f>IF(AND(A3923&lt;&gt;"",ISNUMBER(A3923)),VLOOKUP(A3923,Studies!A:BR,3,FALSE),"")</f>
        <v>https://www.ncbi.nlm.nih.gov/pubmed/6742481</v>
      </c>
      <c r="D3923" s="232" t="str">
        <f>IF(AND(A3923&lt;&gt;"",ISNUMBER(A3923)),VLOOKUP(A3923,Studies!A:BR,4,FALSE),"")</f>
        <v>po - m, 70kg, 32y (young male)</v>
      </c>
      <c r="E3923" s="206" t="str">
        <f>IF(AND(A3923&lt;&gt;"",ISNUMBER(A3923)),VLOOKUP(A3923,Studies!A:BR,5,FALSE),"")</f>
        <v>Midazolam</v>
      </c>
      <c r="F3923" s="207" t="str">
        <f>IF(AND(A3923&lt;&gt;"",ISNUMBER(A3923)),VLOOKUP(A3923,Studies!A:BR,6,FALSE),"")</f>
        <v>Plasma</v>
      </c>
      <c r="G3923" s="194">
        <v>8</v>
      </c>
      <c r="H3923" s="194" t="s">
        <v>60</v>
      </c>
      <c r="I3923" s="187">
        <v>1.512589</v>
      </c>
      <c r="J3923" s="187" t="s">
        <v>1026</v>
      </c>
      <c r="K3923" s="187" t="s">
        <v>264</v>
      </c>
      <c r="L3923" s="195"/>
      <c r="M3923" s="195"/>
      <c r="N3923" s="195"/>
      <c r="O3923" s="199"/>
      <c r="P3923" s="188"/>
      <c r="Q3923" s="174">
        <f>IF(ISNUMBER(VLOOKUP(A3923,NotghiID!A:A,1,FALSE)),1,0)</f>
        <v>1</v>
      </c>
    </row>
    <row r="3924" spans="1:17" ht="14.25" x14ac:dyDescent="0.2">
      <c r="A3924" s="205">
        <v>187</v>
      </c>
      <c r="B3924" s="232" t="str">
        <f>IF(AND(A3924&lt;&gt;"",ISNUMBER(A3924)),VLOOKUP(A3924,Studies!A:BR,2,FALSE),"")</f>
        <v>Greenblat 1984</v>
      </c>
      <c r="C3924" s="232" t="str">
        <f>IF(AND(A3924&lt;&gt;"",ISNUMBER(A3924)),VLOOKUP(A3924,Studies!A:BR,3,FALSE),"")</f>
        <v>https://www.ncbi.nlm.nih.gov/pubmed/6742481</v>
      </c>
      <c r="D3924" s="232" t="str">
        <f>IF(AND(A3924&lt;&gt;"",ISNUMBER(A3924)),VLOOKUP(A3924,Studies!A:BR,4,FALSE),"")</f>
        <v>po - m, 80kg, 70y (elderly male)</v>
      </c>
      <c r="E3924" s="206" t="str">
        <f>IF(AND(A3924&lt;&gt;"",ISNUMBER(A3924)),VLOOKUP(A3924,Studies!A:BR,5,FALSE),"")</f>
        <v>Midazolam</v>
      </c>
      <c r="F3924" s="207" t="str">
        <f>IF(AND(A3924&lt;&gt;"",ISNUMBER(A3924)),VLOOKUP(A3924,Studies!A:BR,6,FALSE),"")</f>
        <v>Plasma</v>
      </c>
      <c r="G3924" s="194">
        <v>0.5</v>
      </c>
      <c r="H3924" s="194" t="s">
        <v>60</v>
      </c>
      <c r="I3924" s="187">
        <v>43.072220000000002</v>
      </c>
      <c r="J3924" s="187" t="s">
        <v>1026</v>
      </c>
      <c r="K3924" s="187" t="s">
        <v>264</v>
      </c>
      <c r="L3924" s="195"/>
      <c r="M3924" s="195"/>
      <c r="N3924" s="195"/>
      <c r="O3924" s="199"/>
      <c r="P3924" s="189" t="s">
        <v>1163</v>
      </c>
      <c r="Q3924" s="174">
        <f>IF(ISNUMBER(VLOOKUP(A3924,NotghiID!A:A,1,FALSE)),1,0)</f>
        <v>1</v>
      </c>
    </row>
    <row r="3925" spans="1:17" ht="14.25" x14ac:dyDescent="0.2">
      <c r="A3925" s="205">
        <v>187</v>
      </c>
      <c r="B3925" s="232" t="str">
        <f>IF(AND(A3925&lt;&gt;"",ISNUMBER(A3925)),VLOOKUP(A3925,Studies!A:BR,2,FALSE),"")</f>
        <v>Greenblat 1984</v>
      </c>
      <c r="C3925" s="232" t="str">
        <f>IF(AND(A3925&lt;&gt;"",ISNUMBER(A3925)),VLOOKUP(A3925,Studies!A:BR,3,FALSE),"")</f>
        <v>https://www.ncbi.nlm.nih.gov/pubmed/6742481</v>
      </c>
      <c r="D3925" s="232" t="str">
        <f>IF(AND(A3925&lt;&gt;"",ISNUMBER(A3925)),VLOOKUP(A3925,Studies!A:BR,4,FALSE),"")</f>
        <v>po - m, 80kg, 70y (elderly male)</v>
      </c>
      <c r="E3925" s="206" t="str">
        <f>IF(AND(A3925&lt;&gt;"",ISNUMBER(A3925)),VLOOKUP(A3925,Studies!A:BR,5,FALSE),"")</f>
        <v>Midazolam</v>
      </c>
      <c r="F3925" s="207" t="str">
        <f>IF(AND(A3925&lt;&gt;"",ISNUMBER(A3925)),VLOOKUP(A3925,Studies!A:BR,6,FALSE),"")</f>
        <v>Plasma</v>
      </c>
      <c r="G3925" s="194">
        <v>0.75</v>
      </c>
      <c r="H3925" s="194" t="s">
        <v>60</v>
      </c>
      <c r="I3925" s="187">
        <v>90.863119999999995</v>
      </c>
      <c r="J3925" s="187" t="s">
        <v>1026</v>
      </c>
      <c r="K3925" s="187" t="s">
        <v>264</v>
      </c>
      <c r="L3925" s="195"/>
      <c r="M3925" s="195"/>
      <c r="N3925" s="195"/>
      <c r="O3925" s="199"/>
      <c r="P3925" s="188"/>
      <c r="Q3925" s="174">
        <f>IF(ISNUMBER(VLOOKUP(A3925,NotghiID!A:A,1,FALSE)),1,0)</f>
        <v>1</v>
      </c>
    </row>
    <row r="3926" spans="1:17" ht="14.25" x14ac:dyDescent="0.2">
      <c r="A3926" s="205">
        <v>187</v>
      </c>
      <c r="B3926" s="232" t="str">
        <f>IF(AND(A3926&lt;&gt;"",ISNUMBER(A3926)),VLOOKUP(A3926,Studies!A:BR,2,FALSE),"")</f>
        <v>Greenblat 1984</v>
      </c>
      <c r="C3926" s="232" t="str">
        <f>IF(AND(A3926&lt;&gt;"",ISNUMBER(A3926)),VLOOKUP(A3926,Studies!A:BR,3,FALSE),"")</f>
        <v>https://www.ncbi.nlm.nih.gov/pubmed/6742481</v>
      </c>
      <c r="D3926" s="232" t="str">
        <f>IF(AND(A3926&lt;&gt;"",ISNUMBER(A3926)),VLOOKUP(A3926,Studies!A:BR,4,FALSE),"")</f>
        <v>po - m, 80kg, 70y (elderly male)</v>
      </c>
      <c r="E3926" s="206" t="str">
        <f>IF(AND(A3926&lt;&gt;"",ISNUMBER(A3926)),VLOOKUP(A3926,Studies!A:BR,5,FALSE),"")</f>
        <v>Midazolam</v>
      </c>
      <c r="F3926" s="207" t="str">
        <f>IF(AND(A3926&lt;&gt;"",ISNUMBER(A3926)),VLOOKUP(A3926,Studies!A:BR,6,FALSE),"")</f>
        <v>Plasma</v>
      </c>
      <c r="G3926" s="194">
        <v>1</v>
      </c>
      <c r="H3926" s="194" t="s">
        <v>60</v>
      </c>
      <c r="I3926" s="187">
        <v>57.741109999999999</v>
      </c>
      <c r="J3926" s="187" t="s">
        <v>1026</v>
      </c>
      <c r="K3926" s="187" t="s">
        <v>264</v>
      </c>
      <c r="L3926" s="195"/>
      <c r="M3926" s="195"/>
      <c r="N3926" s="195"/>
      <c r="O3926" s="199"/>
      <c r="P3926" s="188"/>
      <c r="Q3926" s="174">
        <f>IF(ISNUMBER(VLOOKUP(A3926,NotghiID!A:A,1,FALSE)),1,0)</f>
        <v>1</v>
      </c>
    </row>
    <row r="3927" spans="1:17" ht="14.25" x14ac:dyDescent="0.2">
      <c r="A3927" s="205">
        <v>187</v>
      </c>
      <c r="B3927" s="232" t="str">
        <f>IF(AND(A3927&lt;&gt;"",ISNUMBER(A3927)),VLOOKUP(A3927,Studies!A:BR,2,FALSE),"")</f>
        <v>Greenblat 1984</v>
      </c>
      <c r="C3927" s="232" t="str">
        <f>IF(AND(A3927&lt;&gt;"",ISNUMBER(A3927)),VLOOKUP(A3927,Studies!A:BR,3,FALSE),"")</f>
        <v>https://www.ncbi.nlm.nih.gov/pubmed/6742481</v>
      </c>
      <c r="D3927" s="232" t="str">
        <f>IF(AND(A3927&lt;&gt;"",ISNUMBER(A3927)),VLOOKUP(A3927,Studies!A:BR,4,FALSE),"")</f>
        <v>po - m, 80kg, 70y (elderly male)</v>
      </c>
      <c r="E3927" s="206" t="str">
        <f>IF(AND(A3927&lt;&gt;"",ISNUMBER(A3927)),VLOOKUP(A3927,Studies!A:BR,5,FALSE),"")</f>
        <v>Midazolam</v>
      </c>
      <c r="F3927" s="207" t="str">
        <f>IF(AND(A3927&lt;&gt;"",ISNUMBER(A3927)),VLOOKUP(A3927,Studies!A:BR,6,FALSE),"")</f>
        <v>Plasma</v>
      </c>
      <c r="G3927" s="194">
        <v>1.5</v>
      </c>
      <c r="H3927" s="194" t="s">
        <v>60</v>
      </c>
      <c r="I3927" s="187">
        <v>44.95055</v>
      </c>
      <c r="J3927" s="187" t="s">
        <v>1026</v>
      </c>
      <c r="K3927" s="187" t="s">
        <v>264</v>
      </c>
      <c r="L3927" s="195"/>
      <c r="M3927" s="195"/>
      <c r="N3927" s="195"/>
      <c r="O3927" s="199"/>
      <c r="P3927" s="188"/>
      <c r="Q3927" s="174">
        <f>IF(ISNUMBER(VLOOKUP(A3927,NotghiID!A:A,1,FALSE)),1,0)</f>
        <v>1</v>
      </c>
    </row>
    <row r="3928" spans="1:17" ht="14.25" x14ac:dyDescent="0.2">
      <c r="A3928" s="205">
        <v>187</v>
      </c>
      <c r="B3928" s="232" t="str">
        <f>IF(AND(A3928&lt;&gt;"",ISNUMBER(A3928)),VLOOKUP(A3928,Studies!A:BR,2,FALSE),"")</f>
        <v>Greenblat 1984</v>
      </c>
      <c r="C3928" s="232" t="str">
        <f>IF(AND(A3928&lt;&gt;"",ISNUMBER(A3928)),VLOOKUP(A3928,Studies!A:BR,3,FALSE),"")</f>
        <v>https://www.ncbi.nlm.nih.gov/pubmed/6742481</v>
      </c>
      <c r="D3928" s="232" t="str">
        <f>IF(AND(A3928&lt;&gt;"",ISNUMBER(A3928)),VLOOKUP(A3928,Studies!A:BR,4,FALSE),"")</f>
        <v>po - m, 80kg, 70y (elderly male)</v>
      </c>
      <c r="E3928" s="206" t="str">
        <f>IF(AND(A3928&lt;&gt;"",ISNUMBER(A3928)),VLOOKUP(A3928,Studies!A:BR,5,FALSE),"")</f>
        <v>Midazolam</v>
      </c>
      <c r="F3928" s="207" t="str">
        <f>IF(AND(A3928&lt;&gt;"",ISNUMBER(A3928)),VLOOKUP(A3928,Studies!A:BR,6,FALSE),"")</f>
        <v>Plasma</v>
      </c>
      <c r="G3928" s="194">
        <v>2</v>
      </c>
      <c r="H3928" s="194" t="s">
        <v>60</v>
      </c>
      <c r="I3928" s="187">
        <v>28.814630000000001</v>
      </c>
      <c r="J3928" s="187" t="s">
        <v>1026</v>
      </c>
      <c r="K3928" s="187" t="s">
        <v>264</v>
      </c>
      <c r="L3928" s="195"/>
      <c r="M3928" s="195"/>
      <c r="N3928" s="195"/>
      <c r="O3928" s="199"/>
      <c r="P3928" s="188"/>
      <c r="Q3928" s="174">
        <f>IF(ISNUMBER(VLOOKUP(A3928,NotghiID!A:A,1,FALSE)),1,0)</f>
        <v>1</v>
      </c>
    </row>
    <row r="3929" spans="1:17" ht="14.25" x14ac:dyDescent="0.2">
      <c r="A3929" s="205">
        <v>187</v>
      </c>
      <c r="B3929" s="232" t="str">
        <f>IF(AND(A3929&lt;&gt;"",ISNUMBER(A3929)),VLOOKUP(A3929,Studies!A:BR,2,FALSE),"")</f>
        <v>Greenblat 1984</v>
      </c>
      <c r="C3929" s="232" t="str">
        <f>IF(AND(A3929&lt;&gt;"",ISNUMBER(A3929)),VLOOKUP(A3929,Studies!A:BR,3,FALSE),"")</f>
        <v>https://www.ncbi.nlm.nih.gov/pubmed/6742481</v>
      </c>
      <c r="D3929" s="232" t="str">
        <f>IF(AND(A3929&lt;&gt;"",ISNUMBER(A3929)),VLOOKUP(A3929,Studies!A:BR,4,FALSE),"")</f>
        <v>po - m, 80kg, 70y (elderly male)</v>
      </c>
      <c r="E3929" s="206" t="str">
        <f>IF(AND(A3929&lt;&gt;"",ISNUMBER(A3929)),VLOOKUP(A3929,Studies!A:BR,5,FALSE),"")</f>
        <v>Midazolam</v>
      </c>
      <c r="F3929" s="207" t="str">
        <f>IF(AND(A3929&lt;&gt;"",ISNUMBER(A3929)),VLOOKUP(A3929,Studies!A:BR,6,FALSE),"")</f>
        <v>Plasma</v>
      </c>
      <c r="G3929" s="194">
        <v>2.5</v>
      </c>
      <c r="H3929" s="194" t="s">
        <v>60</v>
      </c>
      <c r="I3929" s="187">
        <v>24.328399999999998</v>
      </c>
      <c r="J3929" s="187" t="s">
        <v>1026</v>
      </c>
      <c r="K3929" s="187" t="s">
        <v>264</v>
      </c>
      <c r="L3929" s="195"/>
      <c r="M3929" s="195"/>
      <c r="N3929" s="195"/>
      <c r="O3929" s="199"/>
      <c r="P3929" s="188"/>
      <c r="Q3929" s="174">
        <f>IF(ISNUMBER(VLOOKUP(A3929,NotghiID!A:A,1,FALSE)),1,0)</f>
        <v>1</v>
      </c>
    </row>
    <row r="3930" spans="1:17" ht="14.25" x14ac:dyDescent="0.2">
      <c r="A3930" s="205">
        <v>187</v>
      </c>
      <c r="B3930" s="232" t="str">
        <f>IF(AND(A3930&lt;&gt;"",ISNUMBER(A3930)),VLOOKUP(A3930,Studies!A:BR,2,FALSE),"")</f>
        <v>Greenblat 1984</v>
      </c>
      <c r="C3930" s="232" t="str">
        <f>IF(AND(A3930&lt;&gt;"",ISNUMBER(A3930)),VLOOKUP(A3930,Studies!A:BR,3,FALSE),"")</f>
        <v>https://www.ncbi.nlm.nih.gov/pubmed/6742481</v>
      </c>
      <c r="D3930" s="232" t="str">
        <f>IF(AND(A3930&lt;&gt;"",ISNUMBER(A3930)),VLOOKUP(A3930,Studies!A:BR,4,FALSE),"")</f>
        <v>po - m, 80kg, 70y (elderly male)</v>
      </c>
      <c r="E3930" s="206" t="str">
        <f>IF(AND(A3930&lt;&gt;"",ISNUMBER(A3930)),VLOOKUP(A3930,Studies!A:BR,5,FALSE),"")</f>
        <v>Midazolam</v>
      </c>
      <c r="F3930" s="207" t="str">
        <f>IF(AND(A3930&lt;&gt;"",ISNUMBER(A3930)),VLOOKUP(A3930,Studies!A:BR,6,FALSE),"")</f>
        <v>Plasma</v>
      </c>
      <c r="G3930" s="194">
        <v>3</v>
      </c>
      <c r="H3930" s="194" t="s">
        <v>60</v>
      </c>
      <c r="I3930" s="187">
        <v>22.636019999999998</v>
      </c>
      <c r="J3930" s="187" t="s">
        <v>1026</v>
      </c>
      <c r="K3930" s="187" t="s">
        <v>264</v>
      </c>
      <c r="L3930" s="195"/>
      <c r="M3930" s="195"/>
      <c r="N3930" s="195"/>
      <c r="O3930" s="199"/>
      <c r="P3930" s="188"/>
      <c r="Q3930" s="174">
        <f>IF(ISNUMBER(VLOOKUP(A3930,NotghiID!A:A,1,FALSE)),1,0)</f>
        <v>1</v>
      </c>
    </row>
    <row r="3931" spans="1:17" ht="14.25" x14ac:dyDescent="0.2">
      <c r="A3931" s="205">
        <v>187</v>
      </c>
      <c r="B3931" s="232" t="str">
        <f>IF(AND(A3931&lt;&gt;"",ISNUMBER(A3931)),VLOOKUP(A3931,Studies!A:BR,2,FALSE),"")</f>
        <v>Greenblat 1984</v>
      </c>
      <c r="C3931" s="232" t="str">
        <f>IF(AND(A3931&lt;&gt;"",ISNUMBER(A3931)),VLOOKUP(A3931,Studies!A:BR,3,FALSE),"")</f>
        <v>https://www.ncbi.nlm.nih.gov/pubmed/6742481</v>
      </c>
      <c r="D3931" s="232" t="str">
        <f>IF(AND(A3931&lt;&gt;"",ISNUMBER(A3931)),VLOOKUP(A3931,Studies!A:BR,4,FALSE),"")</f>
        <v>po - m, 80kg, 70y (elderly male)</v>
      </c>
      <c r="E3931" s="206" t="str">
        <f>IF(AND(A3931&lt;&gt;"",ISNUMBER(A3931)),VLOOKUP(A3931,Studies!A:BR,5,FALSE),"")</f>
        <v>Midazolam</v>
      </c>
      <c r="F3931" s="207" t="str">
        <f>IF(AND(A3931&lt;&gt;"",ISNUMBER(A3931)),VLOOKUP(A3931,Studies!A:BR,6,FALSE),"")</f>
        <v>Plasma</v>
      </c>
      <c r="G3931" s="194">
        <v>4</v>
      </c>
      <c r="H3931" s="194" t="s">
        <v>60</v>
      </c>
      <c r="I3931" s="187">
        <v>21.781479999999998</v>
      </c>
      <c r="J3931" s="187" t="s">
        <v>1026</v>
      </c>
      <c r="K3931" s="187" t="s">
        <v>264</v>
      </c>
      <c r="L3931" s="195"/>
      <c r="M3931" s="195"/>
      <c r="N3931" s="195"/>
      <c r="O3931" s="199"/>
      <c r="P3931" s="188"/>
      <c r="Q3931" s="174">
        <f>IF(ISNUMBER(VLOOKUP(A3931,NotghiID!A:A,1,FALSE)),1,0)</f>
        <v>1</v>
      </c>
    </row>
    <row r="3932" spans="1:17" ht="14.25" x14ac:dyDescent="0.2">
      <c r="A3932" s="205">
        <v>187</v>
      </c>
      <c r="B3932" s="232" t="str">
        <f>IF(AND(A3932&lt;&gt;"",ISNUMBER(A3932)),VLOOKUP(A3932,Studies!A:BR,2,FALSE),"")</f>
        <v>Greenblat 1984</v>
      </c>
      <c r="C3932" s="232" t="str">
        <f>IF(AND(A3932&lt;&gt;"",ISNUMBER(A3932)),VLOOKUP(A3932,Studies!A:BR,3,FALSE),"")</f>
        <v>https://www.ncbi.nlm.nih.gov/pubmed/6742481</v>
      </c>
      <c r="D3932" s="232" t="str">
        <f>IF(AND(A3932&lt;&gt;"",ISNUMBER(A3932)),VLOOKUP(A3932,Studies!A:BR,4,FALSE),"")</f>
        <v>po - m, 80kg, 70y (elderly male)</v>
      </c>
      <c r="E3932" s="206" t="str">
        <f>IF(AND(A3932&lt;&gt;"",ISNUMBER(A3932)),VLOOKUP(A3932,Studies!A:BR,5,FALSE),"")</f>
        <v>Midazolam</v>
      </c>
      <c r="F3932" s="207" t="str">
        <f>IF(AND(A3932&lt;&gt;"",ISNUMBER(A3932)),VLOOKUP(A3932,Studies!A:BR,6,FALSE),"")</f>
        <v>Plasma</v>
      </c>
      <c r="G3932" s="194">
        <v>6</v>
      </c>
      <c r="H3932" s="194" t="s">
        <v>60</v>
      </c>
      <c r="I3932" s="187">
        <v>12.912739999999999</v>
      </c>
      <c r="J3932" s="187" t="s">
        <v>1026</v>
      </c>
      <c r="K3932" s="187" t="s">
        <v>264</v>
      </c>
      <c r="L3932" s="195"/>
      <c r="M3932" s="195"/>
      <c r="N3932" s="195"/>
      <c r="O3932" s="199"/>
      <c r="P3932" s="188"/>
      <c r="Q3932" s="174">
        <f>IF(ISNUMBER(VLOOKUP(A3932,NotghiID!A:A,1,FALSE)),1,0)</f>
        <v>1</v>
      </c>
    </row>
    <row r="3933" spans="1:17" ht="14.25" x14ac:dyDescent="0.2">
      <c r="A3933" s="205">
        <v>187</v>
      </c>
      <c r="B3933" s="232" t="str">
        <f>IF(AND(A3933&lt;&gt;"",ISNUMBER(A3933)),VLOOKUP(A3933,Studies!A:BR,2,FALSE),"")</f>
        <v>Greenblat 1984</v>
      </c>
      <c r="C3933" s="232" t="str">
        <f>IF(AND(A3933&lt;&gt;"",ISNUMBER(A3933)),VLOOKUP(A3933,Studies!A:BR,3,FALSE),"")</f>
        <v>https://www.ncbi.nlm.nih.gov/pubmed/6742481</v>
      </c>
      <c r="D3933" s="232" t="str">
        <f>IF(AND(A3933&lt;&gt;"",ISNUMBER(A3933)),VLOOKUP(A3933,Studies!A:BR,4,FALSE),"")</f>
        <v>po - m, 80kg, 70y (elderly male)</v>
      </c>
      <c r="E3933" s="206" t="str">
        <f>IF(AND(A3933&lt;&gt;"",ISNUMBER(A3933)),VLOOKUP(A3933,Studies!A:BR,5,FALSE),"")</f>
        <v>Midazolam</v>
      </c>
      <c r="F3933" s="207" t="str">
        <f>IF(AND(A3933&lt;&gt;"",ISNUMBER(A3933)),VLOOKUP(A3933,Studies!A:BR,6,FALSE),"")</f>
        <v>Plasma</v>
      </c>
      <c r="G3933" s="194">
        <v>8</v>
      </c>
      <c r="H3933" s="194" t="s">
        <v>60</v>
      </c>
      <c r="I3933" s="187">
        <v>10.671139999999999</v>
      </c>
      <c r="J3933" s="187" t="s">
        <v>1026</v>
      </c>
      <c r="K3933" s="187" t="s">
        <v>264</v>
      </c>
      <c r="L3933" s="195"/>
      <c r="M3933" s="195"/>
      <c r="N3933" s="195"/>
      <c r="O3933" s="199"/>
      <c r="P3933" s="188"/>
      <c r="Q3933" s="174">
        <f>IF(ISNUMBER(VLOOKUP(A3933,NotghiID!A:A,1,FALSE)),1,0)</f>
        <v>1</v>
      </c>
    </row>
    <row r="3934" spans="1:17" ht="14.25" x14ac:dyDescent="0.2">
      <c r="A3934" s="205">
        <v>187</v>
      </c>
      <c r="B3934" s="232" t="str">
        <f>IF(AND(A3934&lt;&gt;"",ISNUMBER(A3934)),VLOOKUP(A3934,Studies!A:BR,2,FALSE),"")</f>
        <v>Greenblat 1984</v>
      </c>
      <c r="C3934" s="232" t="str">
        <f>IF(AND(A3934&lt;&gt;"",ISNUMBER(A3934)),VLOOKUP(A3934,Studies!A:BR,3,FALSE),"")</f>
        <v>https://www.ncbi.nlm.nih.gov/pubmed/6742481</v>
      </c>
      <c r="D3934" s="232" t="str">
        <f>IF(AND(A3934&lt;&gt;"",ISNUMBER(A3934)),VLOOKUP(A3934,Studies!A:BR,4,FALSE),"")</f>
        <v>po - m, 80kg, 70y (elderly male)</v>
      </c>
      <c r="E3934" s="206" t="str">
        <f>IF(AND(A3934&lt;&gt;"",ISNUMBER(A3934)),VLOOKUP(A3934,Studies!A:BR,5,FALSE),"")</f>
        <v>Midazolam</v>
      </c>
      <c r="F3934" s="207" t="str">
        <f>IF(AND(A3934&lt;&gt;"",ISNUMBER(A3934)),VLOOKUP(A3934,Studies!A:BR,6,FALSE),"")</f>
        <v>Plasma</v>
      </c>
      <c r="G3934" s="194">
        <v>12</v>
      </c>
      <c r="H3934" s="194" t="s">
        <v>60</v>
      </c>
      <c r="I3934" s="187">
        <v>6.7244710000000003</v>
      </c>
      <c r="J3934" s="187" t="s">
        <v>1026</v>
      </c>
      <c r="K3934" s="187" t="s">
        <v>264</v>
      </c>
      <c r="L3934" s="195"/>
      <c r="M3934" s="195"/>
      <c r="N3934" s="195"/>
      <c r="O3934" s="199"/>
      <c r="P3934" s="188"/>
      <c r="Q3934" s="174">
        <f>IF(ISNUMBER(VLOOKUP(A3934,NotghiID!A:A,1,FALSE)),1,0)</f>
        <v>1</v>
      </c>
    </row>
    <row r="3935" spans="1:17" ht="14.25" x14ac:dyDescent="0.2">
      <c r="A3935" s="205">
        <v>187</v>
      </c>
      <c r="B3935" s="232" t="str">
        <f>IF(AND(A3935&lt;&gt;"",ISNUMBER(A3935)),VLOOKUP(A3935,Studies!A:BR,2,FALSE),"")</f>
        <v>Greenblat 1984</v>
      </c>
      <c r="C3935" s="232" t="str">
        <f>IF(AND(A3935&lt;&gt;"",ISNUMBER(A3935)),VLOOKUP(A3935,Studies!A:BR,3,FALSE),"")</f>
        <v>https://www.ncbi.nlm.nih.gov/pubmed/6742481</v>
      </c>
      <c r="D3935" s="232" t="str">
        <f>IF(AND(A3935&lt;&gt;"",ISNUMBER(A3935)),VLOOKUP(A3935,Studies!A:BR,4,FALSE),"")</f>
        <v>po - m, 80kg, 70y (elderly male)</v>
      </c>
      <c r="E3935" s="206" t="str">
        <f>IF(AND(A3935&lt;&gt;"",ISNUMBER(A3935)),VLOOKUP(A3935,Studies!A:BR,5,FALSE),"")</f>
        <v>Midazolam</v>
      </c>
      <c r="F3935" s="207" t="str">
        <f>IF(AND(A3935&lt;&gt;"",ISNUMBER(A3935)),VLOOKUP(A3935,Studies!A:BR,6,FALSE),"")</f>
        <v>Plasma</v>
      </c>
      <c r="G3935" s="194">
        <v>24</v>
      </c>
      <c r="H3935" s="194" t="s">
        <v>60</v>
      </c>
      <c r="I3935" s="187">
        <v>1.317428</v>
      </c>
      <c r="J3935" s="187" t="s">
        <v>1026</v>
      </c>
      <c r="K3935" s="187" t="s">
        <v>264</v>
      </c>
      <c r="L3935" s="195"/>
      <c r="M3935" s="195"/>
      <c r="N3935" s="195"/>
      <c r="O3935" s="199"/>
      <c r="P3935" s="188"/>
      <c r="Q3935" s="174">
        <f>IF(ISNUMBER(VLOOKUP(A3935,NotghiID!A:A,1,FALSE)),1,0)</f>
        <v>1</v>
      </c>
    </row>
    <row r="3936" spans="1:17" ht="14.25" x14ac:dyDescent="0.2">
      <c r="A3936" s="205">
        <v>188</v>
      </c>
      <c r="B3936" s="232" t="str">
        <f>IF(AND(A3936&lt;&gt;"",ISNUMBER(A3936)),VLOOKUP(A3936,Studies!A:BR,2,FALSE),"")</f>
        <v>Greenblat 2003</v>
      </c>
      <c r="C3936" s="232" t="str">
        <f>IF(AND(A3936&lt;&gt;"",ISNUMBER(A3936)),VLOOKUP(A3936,Studies!A:BR,3,FALSE),"")</f>
        <v>https://www.ncbi.nlm.nih.gov/pubmed/12891222</v>
      </c>
      <c r="D3936" s="232" t="str">
        <f>IF(AND(A3936&lt;&gt;"",ISNUMBER(A3936)),VLOOKUP(A3936,Studies!A:BR,4,FALSE),"")</f>
        <v>Control (Perpetrator Placebo)</v>
      </c>
      <c r="E3936" s="206" t="str">
        <f>IF(AND(A3936&lt;&gt;"",ISNUMBER(A3936)),VLOOKUP(A3936,Studies!A:BR,5,FALSE),"")</f>
        <v>Midazolam</v>
      </c>
      <c r="F3936" s="207" t="str">
        <f>IF(AND(A3936&lt;&gt;"",ISNUMBER(A3936)),VLOOKUP(A3936,Studies!A:BR,6,FALSE),"")</f>
        <v>Plasma</v>
      </c>
      <c r="G3936" s="194">
        <v>0</v>
      </c>
      <c r="H3936" s="194" t="s">
        <v>60</v>
      </c>
      <c r="I3936" s="187" t="s">
        <v>1128</v>
      </c>
      <c r="J3936" s="187" t="s">
        <v>1090</v>
      </c>
      <c r="K3936" s="187" t="s">
        <v>389</v>
      </c>
      <c r="L3936" s="195"/>
      <c r="M3936" s="195"/>
      <c r="N3936" s="195"/>
      <c r="O3936" s="199">
        <v>1</v>
      </c>
      <c r="P3936" s="188"/>
      <c r="Q3936" s="174">
        <f>IF(ISNUMBER(VLOOKUP(A3936,NotghiID!A:A,1,FALSE)),1,0)</f>
        <v>1</v>
      </c>
    </row>
    <row r="3937" spans="1:17" ht="14.25" x14ac:dyDescent="0.2">
      <c r="A3937" s="205">
        <v>188</v>
      </c>
      <c r="B3937" s="232" t="str">
        <f>IF(AND(A3937&lt;&gt;"",ISNUMBER(A3937)),VLOOKUP(A3937,Studies!A:BR,2,FALSE),"")</f>
        <v>Greenblat 2003</v>
      </c>
      <c r="C3937" s="232" t="str">
        <f>IF(AND(A3937&lt;&gt;"",ISNUMBER(A3937)),VLOOKUP(A3937,Studies!A:BR,3,FALSE),"")</f>
        <v>https://www.ncbi.nlm.nih.gov/pubmed/12891222</v>
      </c>
      <c r="D3937" s="232" t="str">
        <f>IF(AND(A3937&lt;&gt;"",ISNUMBER(A3937)),VLOOKUP(A3937,Studies!A:BR,4,FALSE),"")</f>
        <v>Control (Perpetrator Placebo)</v>
      </c>
      <c r="E3937" s="206" t="str">
        <f>IF(AND(A3937&lt;&gt;"",ISNUMBER(A3937)),VLOOKUP(A3937,Studies!A:BR,5,FALSE),"")</f>
        <v>Midazolam</v>
      </c>
      <c r="F3937" s="207" t="str">
        <f>IF(AND(A3937&lt;&gt;"",ISNUMBER(A3937)),VLOOKUP(A3937,Studies!A:BR,6,FALSE),"")</f>
        <v>Plasma</v>
      </c>
      <c r="G3937" s="194">
        <v>0.5</v>
      </c>
      <c r="H3937" s="194" t="s">
        <v>60</v>
      </c>
      <c r="I3937" s="187">
        <v>11.05903</v>
      </c>
      <c r="J3937" s="187" t="s">
        <v>1090</v>
      </c>
      <c r="K3937" s="187" t="s">
        <v>389</v>
      </c>
      <c r="L3937" s="195">
        <v>1.701387</v>
      </c>
      <c r="M3937" s="195" t="s">
        <v>1090</v>
      </c>
      <c r="N3937" s="195" t="s">
        <v>117</v>
      </c>
      <c r="O3937" s="199">
        <v>1</v>
      </c>
      <c r="P3937" s="188"/>
      <c r="Q3937" s="174">
        <f>IF(ISNUMBER(VLOOKUP(A3937,NotghiID!A:A,1,FALSE)),1,0)</f>
        <v>1</v>
      </c>
    </row>
    <row r="3938" spans="1:17" ht="14.25" x14ac:dyDescent="0.2">
      <c r="A3938" s="205">
        <v>188</v>
      </c>
      <c r="B3938" s="232" t="str">
        <f>IF(AND(A3938&lt;&gt;"",ISNUMBER(A3938)),VLOOKUP(A3938,Studies!A:BR,2,FALSE),"")</f>
        <v>Greenblat 2003</v>
      </c>
      <c r="C3938" s="232" t="str">
        <f>IF(AND(A3938&lt;&gt;"",ISNUMBER(A3938)),VLOOKUP(A3938,Studies!A:BR,3,FALSE),"")</f>
        <v>https://www.ncbi.nlm.nih.gov/pubmed/12891222</v>
      </c>
      <c r="D3938" s="232" t="str">
        <f>IF(AND(A3938&lt;&gt;"",ISNUMBER(A3938)),VLOOKUP(A3938,Studies!A:BR,4,FALSE),"")</f>
        <v>Control (Perpetrator Placebo)</v>
      </c>
      <c r="E3938" s="206" t="str">
        <f>IF(AND(A3938&lt;&gt;"",ISNUMBER(A3938)),VLOOKUP(A3938,Studies!A:BR,5,FALSE),"")</f>
        <v>Midazolam</v>
      </c>
      <c r="F3938" s="207" t="str">
        <f>IF(AND(A3938&lt;&gt;"",ISNUMBER(A3938)),VLOOKUP(A3938,Studies!A:BR,6,FALSE),"")</f>
        <v>Plasma</v>
      </c>
      <c r="G3938" s="194">
        <v>1</v>
      </c>
      <c r="H3938" s="194" t="s">
        <v>60</v>
      </c>
      <c r="I3938" s="187">
        <v>15.85938</v>
      </c>
      <c r="J3938" s="187" t="s">
        <v>1090</v>
      </c>
      <c r="K3938" s="187" t="s">
        <v>389</v>
      </c>
      <c r="L3938" s="195">
        <v>1.9444399999999999</v>
      </c>
      <c r="M3938" s="195" t="s">
        <v>1090</v>
      </c>
      <c r="N3938" s="195" t="s">
        <v>117</v>
      </c>
      <c r="O3938" s="199">
        <v>1</v>
      </c>
      <c r="P3938" s="188"/>
      <c r="Q3938" s="174">
        <f>IF(ISNUMBER(VLOOKUP(A3938,NotghiID!A:A,1,FALSE)),1,0)</f>
        <v>1</v>
      </c>
    </row>
    <row r="3939" spans="1:17" ht="14.25" x14ac:dyDescent="0.2">
      <c r="A3939" s="205">
        <v>188</v>
      </c>
      <c r="B3939" s="232" t="str">
        <f>IF(AND(A3939&lt;&gt;"",ISNUMBER(A3939)),VLOOKUP(A3939,Studies!A:BR,2,FALSE),"")</f>
        <v>Greenblat 2003</v>
      </c>
      <c r="C3939" s="232" t="str">
        <f>IF(AND(A3939&lt;&gt;"",ISNUMBER(A3939)),VLOOKUP(A3939,Studies!A:BR,3,FALSE),"")</f>
        <v>https://www.ncbi.nlm.nih.gov/pubmed/12891222</v>
      </c>
      <c r="D3939" s="232" t="str">
        <f>IF(AND(A3939&lt;&gt;"",ISNUMBER(A3939)),VLOOKUP(A3939,Studies!A:BR,4,FALSE),"")</f>
        <v>Control (Perpetrator Placebo)</v>
      </c>
      <c r="E3939" s="206" t="str">
        <f>IF(AND(A3939&lt;&gt;"",ISNUMBER(A3939)),VLOOKUP(A3939,Studies!A:BR,5,FALSE),"")</f>
        <v>Midazolam</v>
      </c>
      <c r="F3939" s="207" t="str">
        <f>IF(AND(A3939&lt;&gt;"",ISNUMBER(A3939)),VLOOKUP(A3939,Studies!A:BR,6,FALSE),"")</f>
        <v>Plasma</v>
      </c>
      <c r="G3939" s="194">
        <v>1.5</v>
      </c>
      <c r="H3939" s="194" t="s">
        <v>60</v>
      </c>
      <c r="I3939" s="187">
        <v>15.49479</v>
      </c>
      <c r="J3939" s="187" t="s">
        <v>1090</v>
      </c>
      <c r="K3939" s="187" t="s">
        <v>389</v>
      </c>
      <c r="L3939" s="195">
        <v>1.2152799999999999</v>
      </c>
      <c r="M3939" s="195" t="s">
        <v>1090</v>
      </c>
      <c r="N3939" s="195" t="s">
        <v>117</v>
      </c>
      <c r="O3939" s="199">
        <v>1</v>
      </c>
      <c r="P3939" s="188"/>
      <c r="Q3939" s="174">
        <f>IF(ISNUMBER(VLOOKUP(A3939,NotghiID!A:A,1,FALSE)),1,0)</f>
        <v>1</v>
      </c>
    </row>
    <row r="3940" spans="1:17" ht="14.25" x14ac:dyDescent="0.2">
      <c r="A3940" s="205">
        <v>188</v>
      </c>
      <c r="B3940" s="232" t="str">
        <f>IF(AND(A3940&lt;&gt;"",ISNUMBER(A3940)),VLOOKUP(A3940,Studies!A:BR,2,FALSE),"")</f>
        <v>Greenblat 2003</v>
      </c>
      <c r="C3940" s="232" t="str">
        <f>IF(AND(A3940&lt;&gt;"",ISNUMBER(A3940)),VLOOKUP(A3940,Studies!A:BR,3,FALSE),"")</f>
        <v>https://www.ncbi.nlm.nih.gov/pubmed/12891222</v>
      </c>
      <c r="D3940" s="232" t="str">
        <f>IF(AND(A3940&lt;&gt;"",ISNUMBER(A3940)),VLOOKUP(A3940,Studies!A:BR,4,FALSE),"")</f>
        <v>Control (Perpetrator Placebo)</v>
      </c>
      <c r="E3940" s="206" t="str">
        <f>IF(AND(A3940&lt;&gt;"",ISNUMBER(A3940)),VLOOKUP(A3940,Studies!A:BR,5,FALSE),"")</f>
        <v>Midazolam</v>
      </c>
      <c r="F3940" s="207" t="str">
        <f>IF(AND(A3940&lt;&gt;"",ISNUMBER(A3940)),VLOOKUP(A3940,Studies!A:BR,6,FALSE),"")</f>
        <v>Plasma</v>
      </c>
      <c r="G3940" s="194">
        <v>2</v>
      </c>
      <c r="H3940" s="194" t="s">
        <v>60</v>
      </c>
      <c r="I3940" s="187">
        <v>13.67188</v>
      </c>
      <c r="J3940" s="187" t="s">
        <v>1090</v>
      </c>
      <c r="K3940" s="187" t="s">
        <v>389</v>
      </c>
      <c r="L3940" s="195">
        <v>1.1545099999999999</v>
      </c>
      <c r="M3940" s="195" t="s">
        <v>1090</v>
      </c>
      <c r="N3940" s="195" t="s">
        <v>117</v>
      </c>
      <c r="O3940" s="199">
        <v>1</v>
      </c>
      <c r="P3940" s="188"/>
      <c r="Q3940" s="174">
        <f>IF(ISNUMBER(VLOOKUP(A3940,NotghiID!A:A,1,FALSE)),1,0)</f>
        <v>1</v>
      </c>
    </row>
    <row r="3941" spans="1:17" ht="14.25" x14ac:dyDescent="0.2">
      <c r="A3941" s="205">
        <v>188</v>
      </c>
      <c r="B3941" s="232" t="str">
        <f>IF(AND(A3941&lt;&gt;"",ISNUMBER(A3941)),VLOOKUP(A3941,Studies!A:BR,2,FALSE),"")</f>
        <v>Greenblat 2003</v>
      </c>
      <c r="C3941" s="232" t="str">
        <f>IF(AND(A3941&lt;&gt;"",ISNUMBER(A3941)),VLOOKUP(A3941,Studies!A:BR,3,FALSE),"")</f>
        <v>https://www.ncbi.nlm.nih.gov/pubmed/12891222</v>
      </c>
      <c r="D3941" s="232" t="str">
        <f>IF(AND(A3941&lt;&gt;"",ISNUMBER(A3941)),VLOOKUP(A3941,Studies!A:BR,4,FALSE),"")</f>
        <v>Control (Perpetrator Placebo)</v>
      </c>
      <c r="E3941" s="206" t="str">
        <f>IF(AND(A3941&lt;&gt;"",ISNUMBER(A3941)),VLOOKUP(A3941,Studies!A:BR,5,FALSE),"")</f>
        <v>Midazolam</v>
      </c>
      <c r="F3941" s="207" t="str">
        <f>IF(AND(A3941&lt;&gt;"",ISNUMBER(A3941)),VLOOKUP(A3941,Studies!A:BR,6,FALSE),"")</f>
        <v>Plasma</v>
      </c>
      <c r="G3941" s="194">
        <v>2.5</v>
      </c>
      <c r="H3941" s="194" t="s">
        <v>60</v>
      </c>
      <c r="I3941" s="187">
        <v>11.72743</v>
      </c>
      <c r="J3941" s="187" t="s">
        <v>1090</v>
      </c>
      <c r="K3941" s="187" t="s">
        <v>389</v>
      </c>
      <c r="L3941" s="195">
        <v>0.91145900000000002</v>
      </c>
      <c r="M3941" s="195" t="s">
        <v>1090</v>
      </c>
      <c r="N3941" s="195" t="s">
        <v>117</v>
      </c>
      <c r="O3941" s="199">
        <v>1</v>
      </c>
      <c r="P3941" s="188"/>
      <c r="Q3941" s="174">
        <f>IF(ISNUMBER(VLOOKUP(A3941,NotghiID!A:A,1,FALSE)),1,0)</f>
        <v>1</v>
      </c>
    </row>
    <row r="3942" spans="1:17" ht="14.25" x14ac:dyDescent="0.2">
      <c r="A3942" s="205">
        <v>188</v>
      </c>
      <c r="B3942" s="232" t="str">
        <f>IF(AND(A3942&lt;&gt;"",ISNUMBER(A3942)),VLOOKUP(A3942,Studies!A:BR,2,FALSE),"")</f>
        <v>Greenblat 2003</v>
      </c>
      <c r="C3942" s="232" t="str">
        <f>IF(AND(A3942&lt;&gt;"",ISNUMBER(A3942)),VLOOKUP(A3942,Studies!A:BR,3,FALSE),"")</f>
        <v>https://www.ncbi.nlm.nih.gov/pubmed/12891222</v>
      </c>
      <c r="D3942" s="232" t="str">
        <f>IF(AND(A3942&lt;&gt;"",ISNUMBER(A3942)),VLOOKUP(A3942,Studies!A:BR,4,FALSE),"")</f>
        <v>Control (Perpetrator Placebo)</v>
      </c>
      <c r="E3942" s="206" t="str">
        <f>IF(AND(A3942&lt;&gt;"",ISNUMBER(A3942)),VLOOKUP(A3942,Studies!A:BR,5,FALSE),"")</f>
        <v>Midazolam</v>
      </c>
      <c r="F3942" s="207" t="str">
        <f>IF(AND(A3942&lt;&gt;"",ISNUMBER(A3942)),VLOOKUP(A3942,Studies!A:BR,6,FALSE),"")</f>
        <v>Plasma</v>
      </c>
      <c r="G3942" s="194">
        <v>3</v>
      </c>
      <c r="H3942" s="194" t="s">
        <v>60</v>
      </c>
      <c r="I3942" s="187">
        <v>9.600695</v>
      </c>
      <c r="J3942" s="187" t="s">
        <v>1090</v>
      </c>
      <c r="K3942" s="187" t="s">
        <v>389</v>
      </c>
      <c r="L3942" s="195">
        <v>0.97222229999999998</v>
      </c>
      <c r="M3942" s="195" t="s">
        <v>1090</v>
      </c>
      <c r="N3942" s="195" t="s">
        <v>117</v>
      </c>
      <c r="O3942" s="199">
        <v>1</v>
      </c>
      <c r="P3942" s="188"/>
      <c r="Q3942" s="174">
        <f>IF(ISNUMBER(VLOOKUP(A3942,NotghiID!A:A,1,FALSE)),1,0)</f>
        <v>1</v>
      </c>
    </row>
    <row r="3943" spans="1:17" ht="14.25" x14ac:dyDescent="0.2">
      <c r="A3943" s="205">
        <v>188</v>
      </c>
      <c r="B3943" s="232" t="str">
        <f>IF(AND(A3943&lt;&gt;"",ISNUMBER(A3943)),VLOOKUP(A3943,Studies!A:BR,2,FALSE),"")</f>
        <v>Greenblat 2003</v>
      </c>
      <c r="C3943" s="232" t="str">
        <f>IF(AND(A3943&lt;&gt;"",ISNUMBER(A3943)),VLOOKUP(A3943,Studies!A:BR,3,FALSE),"")</f>
        <v>https://www.ncbi.nlm.nih.gov/pubmed/12891222</v>
      </c>
      <c r="D3943" s="232" t="str">
        <f>IF(AND(A3943&lt;&gt;"",ISNUMBER(A3943)),VLOOKUP(A3943,Studies!A:BR,4,FALSE),"")</f>
        <v>Control (Perpetrator Placebo)</v>
      </c>
      <c r="E3943" s="206" t="str">
        <f>IF(AND(A3943&lt;&gt;"",ISNUMBER(A3943)),VLOOKUP(A3943,Studies!A:BR,5,FALSE),"")</f>
        <v>Midazolam</v>
      </c>
      <c r="F3943" s="207" t="str">
        <f>IF(AND(A3943&lt;&gt;"",ISNUMBER(A3943)),VLOOKUP(A3943,Studies!A:BR,6,FALSE),"")</f>
        <v>Plasma</v>
      </c>
      <c r="G3943" s="194">
        <v>4</v>
      </c>
      <c r="H3943" s="194" t="s">
        <v>60</v>
      </c>
      <c r="I3943" s="187">
        <v>6.6232639999999998</v>
      </c>
      <c r="J3943" s="187" t="s">
        <v>1090</v>
      </c>
      <c r="K3943" s="187" t="s">
        <v>389</v>
      </c>
      <c r="L3943" s="195">
        <v>1.032986</v>
      </c>
      <c r="M3943" s="195" t="s">
        <v>1090</v>
      </c>
      <c r="N3943" s="195" t="s">
        <v>117</v>
      </c>
      <c r="O3943" s="199">
        <v>1</v>
      </c>
      <c r="P3943" s="188"/>
      <c r="Q3943" s="174">
        <f>IF(ISNUMBER(VLOOKUP(A3943,NotghiID!A:A,1,FALSE)),1,0)</f>
        <v>1</v>
      </c>
    </row>
    <row r="3944" spans="1:17" ht="14.25" x14ac:dyDescent="0.2">
      <c r="A3944" s="205">
        <v>188</v>
      </c>
      <c r="B3944" s="232" t="str">
        <f>IF(AND(A3944&lt;&gt;"",ISNUMBER(A3944)),VLOOKUP(A3944,Studies!A:BR,2,FALSE),"")</f>
        <v>Greenblat 2003</v>
      </c>
      <c r="C3944" s="232" t="str">
        <f>IF(AND(A3944&lt;&gt;"",ISNUMBER(A3944)),VLOOKUP(A3944,Studies!A:BR,3,FALSE),"")</f>
        <v>https://www.ncbi.nlm.nih.gov/pubmed/12891222</v>
      </c>
      <c r="D3944" s="232" t="str">
        <f>IF(AND(A3944&lt;&gt;"",ISNUMBER(A3944)),VLOOKUP(A3944,Studies!A:BR,4,FALSE),"")</f>
        <v>Control (Perpetrator Placebo)</v>
      </c>
      <c r="E3944" s="206" t="str">
        <f>IF(AND(A3944&lt;&gt;"",ISNUMBER(A3944)),VLOOKUP(A3944,Studies!A:BR,5,FALSE),"")</f>
        <v>Midazolam</v>
      </c>
      <c r="F3944" s="207" t="str">
        <f>IF(AND(A3944&lt;&gt;"",ISNUMBER(A3944)),VLOOKUP(A3944,Studies!A:BR,6,FALSE),"")</f>
        <v>Plasma</v>
      </c>
      <c r="G3944" s="194">
        <v>5</v>
      </c>
      <c r="H3944" s="194" t="s">
        <v>60</v>
      </c>
      <c r="I3944" s="187">
        <v>3.5850689999999998</v>
      </c>
      <c r="J3944" s="187" t="s">
        <v>1090</v>
      </c>
      <c r="K3944" s="187" t="s">
        <v>389</v>
      </c>
      <c r="L3944" s="195">
        <v>0.54687569999999996</v>
      </c>
      <c r="M3944" s="195" t="s">
        <v>1090</v>
      </c>
      <c r="N3944" s="195" t="s">
        <v>117</v>
      </c>
      <c r="O3944" s="199">
        <v>1</v>
      </c>
      <c r="P3944" s="188"/>
      <c r="Q3944" s="174">
        <f>IF(ISNUMBER(VLOOKUP(A3944,NotghiID!A:A,1,FALSE)),1,0)</f>
        <v>1</v>
      </c>
    </row>
    <row r="3945" spans="1:17" ht="14.25" x14ac:dyDescent="0.2">
      <c r="A3945" s="205">
        <v>188</v>
      </c>
      <c r="B3945" s="232" t="str">
        <f>IF(AND(A3945&lt;&gt;"",ISNUMBER(A3945)),VLOOKUP(A3945,Studies!A:BR,2,FALSE),"")</f>
        <v>Greenblat 2003</v>
      </c>
      <c r="C3945" s="232" t="str">
        <f>IF(AND(A3945&lt;&gt;"",ISNUMBER(A3945)),VLOOKUP(A3945,Studies!A:BR,3,FALSE),"")</f>
        <v>https://www.ncbi.nlm.nih.gov/pubmed/12891222</v>
      </c>
      <c r="D3945" s="232" t="str">
        <f>IF(AND(A3945&lt;&gt;"",ISNUMBER(A3945)),VLOOKUP(A3945,Studies!A:BR,4,FALSE),"")</f>
        <v>Control (Perpetrator Placebo)</v>
      </c>
      <c r="E3945" s="206" t="str">
        <f>IF(AND(A3945&lt;&gt;"",ISNUMBER(A3945)),VLOOKUP(A3945,Studies!A:BR,5,FALSE),"")</f>
        <v>Midazolam</v>
      </c>
      <c r="F3945" s="207" t="str">
        <f>IF(AND(A3945&lt;&gt;"",ISNUMBER(A3945)),VLOOKUP(A3945,Studies!A:BR,6,FALSE),"")</f>
        <v>Plasma</v>
      </c>
      <c r="G3945" s="194">
        <v>6</v>
      </c>
      <c r="H3945" s="194" t="s">
        <v>60</v>
      </c>
      <c r="I3945" s="187">
        <v>2.7951389999999998</v>
      </c>
      <c r="J3945" s="187" t="s">
        <v>1090</v>
      </c>
      <c r="K3945" s="187" t="s">
        <v>389</v>
      </c>
      <c r="L3945" s="195">
        <v>0.42534709999999998</v>
      </c>
      <c r="M3945" s="195" t="s">
        <v>1090</v>
      </c>
      <c r="N3945" s="195" t="s">
        <v>117</v>
      </c>
      <c r="O3945" s="199">
        <v>1</v>
      </c>
      <c r="P3945" s="188"/>
      <c r="Q3945" s="174">
        <f>IF(ISNUMBER(VLOOKUP(A3945,NotghiID!A:A,1,FALSE)),1,0)</f>
        <v>1</v>
      </c>
    </row>
    <row r="3946" spans="1:17" ht="14.25" x14ac:dyDescent="0.2">
      <c r="A3946" s="205">
        <v>188</v>
      </c>
      <c r="B3946" s="232" t="str">
        <f>IF(AND(A3946&lt;&gt;"",ISNUMBER(A3946)),VLOOKUP(A3946,Studies!A:BR,2,FALSE),"")</f>
        <v>Greenblat 2003</v>
      </c>
      <c r="C3946" s="232" t="str">
        <f>IF(AND(A3946&lt;&gt;"",ISNUMBER(A3946)),VLOOKUP(A3946,Studies!A:BR,3,FALSE),"")</f>
        <v>https://www.ncbi.nlm.nih.gov/pubmed/12891222</v>
      </c>
      <c r="D3946" s="232" t="str">
        <f>IF(AND(A3946&lt;&gt;"",ISNUMBER(A3946)),VLOOKUP(A3946,Studies!A:BR,4,FALSE),"")</f>
        <v>Control (Perpetrator Placebo)</v>
      </c>
      <c r="E3946" s="206" t="str">
        <f>IF(AND(A3946&lt;&gt;"",ISNUMBER(A3946)),VLOOKUP(A3946,Studies!A:BR,5,FALSE),"")</f>
        <v>Midazolam</v>
      </c>
      <c r="F3946" s="207" t="str">
        <f>IF(AND(A3946&lt;&gt;"",ISNUMBER(A3946)),VLOOKUP(A3946,Studies!A:BR,6,FALSE),"")</f>
        <v>Plasma</v>
      </c>
      <c r="G3946" s="194">
        <v>8</v>
      </c>
      <c r="H3946" s="194" t="s">
        <v>60</v>
      </c>
      <c r="I3946" s="187">
        <v>1.7621530000000001</v>
      </c>
      <c r="J3946" s="187" t="s">
        <v>1090</v>
      </c>
      <c r="K3946" s="187" t="s">
        <v>389</v>
      </c>
      <c r="L3946" s="195"/>
      <c r="M3946" s="195"/>
      <c r="N3946" s="195"/>
      <c r="O3946" s="199">
        <v>1</v>
      </c>
      <c r="P3946" s="189" t="s">
        <v>1167</v>
      </c>
      <c r="Q3946" s="174">
        <f>IF(ISNUMBER(VLOOKUP(A3946,NotghiID!A:A,1,FALSE)),1,0)</f>
        <v>1</v>
      </c>
    </row>
    <row r="3947" spans="1:17" ht="14.25" x14ac:dyDescent="0.2">
      <c r="A3947" s="205">
        <v>189</v>
      </c>
      <c r="B3947" s="232" t="str">
        <f>IF(AND(A3947&lt;&gt;"",ISNUMBER(A3947)),VLOOKUP(A3947,Studies!A:BR,2,FALSE),"")</f>
        <v>Greenblat 2003</v>
      </c>
      <c r="C3947" s="232" t="str">
        <f>IF(AND(A3947&lt;&gt;"",ISNUMBER(A3947)),VLOOKUP(A3947,Studies!A:BR,3,FALSE),"")</f>
        <v>https://www.ncbi.nlm.nih.gov/pubmed/12891223</v>
      </c>
      <c r="D3947" s="232" t="str">
        <f>IF(AND(A3947&lt;&gt;"",ISNUMBER(A3947)),VLOOKUP(A3947,Studies!A:BR,4,FALSE),"")</f>
        <v>with Perpetrator (GFJ)</v>
      </c>
      <c r="E3947" s="206" t="str">
        <f>IF(AND(A3947&lt;&gt;"",ISNUMBER(A3947)),VLOOKUP(A3947,Studies!A:BR,5,FALSE),"")</f>
        <v>Midazolam</v>
      </c>
      <c r="F3947" s="207" t="str">
        <f>IF(AND(A3947&lt;&gt;"",ISNUMBER(A3947)),VLOOKUP(A3947,Studies!A:BR,6,FALSE),"")</f>
        <v>Plasma</v>
      </c>
      <c r="G3947" s="194">
        <v>0</v>
      </c>
      <c r="H3947" s="194" t="s">
        <v>60</v>
      </c>
      <c r="I3947" s="187" t="s">
        <v>1128</v>
      </c>
      <c r="J3947" s="187" t="s">
        <v>1090</v>
      </c>
      <c r="K3947" s="187" t="s">
        <v>389</v>
      </c>
      <c r="L3947" s="195"/>
      <c r="M3947" s="195"/>
      <c r="N3947" s="195"/>
      <c r="O3947" s="199">
        <v>1</v>
      </c>
      <c r="P3947" s="188"/>
      <c r="Q3947" s="174">
        <f>IF(ISNUMBER(VLOOKUP(A3947,NotghiID!A:A,1,FALSE)),1,0)</f>
        <v>1</v>
      </c>
    </row>
    <row r="3948" spans="1:17" ht="14.25" x14ac:dyDescent="0.2">
      <c r="A3948" s="205">
        <v>189</v>
      </c>
      <c r="B3948" s="232" t="str">
        <f>IF(AND(A3948&lt;&gt;"",ISNUMBER(A3948)),VLOOKUP(A3948,Studies!A:BR,2,FALSE),"")</f>
        <v>Greenblat 2003</v>
      </c>
      <c r="C3948" s="232" t="str">
        <f>IF(AND(A3948&lt;&gt;"",ISNUMBER(A3948)),VLOOKUP(A3948,Studies!A:BR,3,FALSE),"")</f>
        <v>https://www.ncbi.nlm.nih.gov/pubmed/12891223</v>
      </c>
      <c r="D3948" s="232" t="str">
        <f>IF(AND(A3948&lt;&gt;"",ISNUMBER(A3948)),VLOOKUP(A3948,Studies!A:BR,4,FALSE),"")</f>
        <v>with Perpetrator (GFJ)</v>
      </c>
      <c r="E3948" s="206" t="str">
        <f>IF(AND(A3948&lt;&gt;"",ISNUMBER(A3948)),VLOOKUP(A3948,Studies!A:BR,5,FALSE),"")</f>
        <v>Midazolam</v>
      </c>
      <c r="F3948" s="207" t="str">
        <f>IF(AND(A3948&lt;&gt;"",ISNUMBER(A3948)),VLOOKUP(A3948,Studies!A:BR,6,FALSE),"")</f>
        <v>Plasma</v>
      </c>
      <c r="G3948" s="194">
        <v>0.5</v>
      </c>
      <c r="H3948" s="194" t="s">
        <v>60</v>
      </c>
      <c r="I3948" s="187">
        <v>18.95833</v>
      </c>
      <c r="J3948" s="187" t="s">
        <v>1090</v>
      </c>
      <c r="K3948" s="187" t="s">
        <v>389</v>
      </c>
      <c r="L3948" s="195">
        <v>2.0659749999999999</v>
      </c>
      <c r="M3948" s="195" t="s">
        <v>1090</v>
      </c>
      <c r="N3948" s="195" t="s">
        <v>117</v>
      </c>
      <c r="O3948" s="199">
        <v>1</v>
      </c>
      <c r="P3948" s="188"/>
      <c r="Q3948" s="174">
        <f>IF(ISNUMBER(VLOOKUP(A3948,NotghiID!A:A,1,FALSE)),1,0)</f>
        <v>1</v>
      </c>
    </row>
    <row r="3949" spans="1:17" ht="14.25" x14ac:dyDescent="0.2">
      <c r="A3949" s="205">
        <v>189</v>
      </c>
      <c r="B3949" s="232" t="str">
        <f>IF(AND(A3949&lt;&gt;"",ISNUMBER(A3949)),VLOOKUP(A3949,Studies!A:BR,2,FALSE),"")</f>
        <v>Greenblat 2003</v>
      </c>
      <c r="C3949" s="232" t="str">
        <f>IF(AND(A3949&lt;&gt;"",ISNUMBER(A3949)),VLOOKUP(A3949,Studies!A:BR,3,FALSE),"")</f>
        <v>https://www.ncbi.nlm.nih.gov/pubmed/12891223</v>
      </c>
      <c r="D3949" s="232" t="str">
        <f>IF(AND(A3949&lt;&gt;"",ISNUMBER(A3949)),VLOOKUP(A3949,Studies!A:BR,4,FALSE),"")</f>
        <v>with Perpetrator (GFJ)</v>
      </c>
      <c r="E3949" s="206" t="str">
        <f>IF(AND(A3949&lt;&gt;"",ISNUMBER(A3949)),VLOOKUP(A3949,Studies!A:BR,5,FALSE),"")</f>
        <v>Midazolam</v>
      </c>
      <c r="F3949" s="207" t="str">
        <f>IF(AND(A3949&lt;&gt;"",ISNUMBER(A3949)),VLOOKUP(A3949,Studies!A:BR,6,FALSE),"")</f>
        <v>Plasma</v>
      </c>
      <c r="G3949" s="194">
        <v>1</v>
      </c>
      <c r="H3949" s="194" t="s">
        <v>60</v>
      </c>
      <c r="I3949" s="187">
        <v>26.067710000000002</v>
      </c>
      <c r="J3949" s="187" t="s">
        <v>1090</v>
      </c>
      <c r="K3949" s="187" t="s">
        <v>389</v>
      </c>
      <c r="L3949" s="195">
        <v>2.6736089999999999</v>
      </c>
      <c r="M3949" s="195" t="s">
        <v>1090</v>
      </c>
      <c r="N3949" s="195" t="s">
        <v>117</v>
      </c>
      <c r="O3949" s="199">
        <v>1</v>
      </c>
      <c r="P3949" s="188"/>
      <c r="Q3949" s="174">
        <f>IF(ISNUMBER(VLOOKUP(A3949,NotghiID!A:A,1,FALSE)),1,0)</f>
        <v>1</v>
      </c>
    </row>
    <row r="3950" spans="1:17" ht="14.25" x14ac:dyDescent="0.2">
      <c r="A3950" s="205">
        <v>189</v>
      </c>
      <c r="B3950" s="232" t="str">
        <f>IF(AND(A3950&lt;&gt;"",ISNUMBER(A3950)),VLOOKUP(A3950,Studies!A:BR,2,FALSE),"")</f>
        <v>Greenblat 2003</v>
      </c>
      <c r="C3950" s="232" t="str">
        <f>IF(AND(A3950&lt;&gt;"",ISNUMBER(A3950)),VLOOKUP(A3950,Studies!A:BR,3,FALSE),"")</f>
        <v>https://www.ncbi.nlm.nih.gov/pubmed/12891223</v>
      </c>
      <c r="D3950" s="232" t="str">
        <f>IF(AND(A3950&lt;&gt;"",ISNUMBER(A3950)),VLOOKUP(A3950,Studies!A:BR,4,FALSE),"")</f>
        <v>with Perpetrator (GFJ)</v>
      </c>
      <c r="E3950" s="206" t="str">
        <f>IF(AND(A3950&lt;&gt;"",ISNUMBER(A3950)),VLOOKUP(A3950,Studies!A:BR,5,FALSE),"")</f>
        <v>Midazolam</v>
      </c>
      <c r="F3950" s="207" t="str">
        <f>IF(AND(A3950&lt;&gt;"",ISNUMBER(A3950)),VLOOKUP(A3950,Studies!A:BR,6,FALSE),"")</f>
        <v>Plasma</v>
      </c>
      <c r="G3950" s="194">
        <v>1.5</v>
      </c>
      <c r="H3950" s="194" t="s">
        <v>60</v>
      </c>
      <c r="I3950" s="187">
        <v>24.730899999999998</v>
      </c>
      <c r="J3950" s="187" t="s">
        <v>1090</v>
      </c>
      <c r="K3950" s="187" t="s">
        <v>389</v>
      </c>
      <c r="L3950" s="195">
        <v>2.3090310000000001</v>
      </c>
      <c r="M3950" s="195" t="s">
        <v>1090</v>
      </c>
      <c r="N3950" s="195" t="s">
        <v>117</v>
      </c>
      <c r="O3950" s="199">
        <v>1</v>
      </c>
      <c r="P3950" s="188"/>
      <c r="Q3950" s="174">
        <f>IF(ISNUMBER(VLOOKUP(A3950,NotghiID!A:A,1,FALSE)),1,0)</f>
        <v>1</v>
      </c>
    </row>
    <row r="3951" spans="1:17" ht="14.25" x14ac:dyDescent="0.2">
      <c r="A3951" s="205">
        <v>189</v>
      </c>
      <c r="B3951" s="232" t="str">
        <f>IF(AND(A3951&lt;&gt;"",ISNUMBER(A3951)),VLOOKUP(A3951,Studies!A:BR,2,FALSE),"")</f>
        <v>Greenblat 2003</v>
      </c>
      <c r="C3951" s="232" t="str">
        <f>IF(AND(A3951&lt;&gt;"",ISNUMBER(A3951)),VLOOKUP(A3951,Studies!A:BR,3,FALSE),"")</f>
        <v>https://www.ncbi.nlm.nih.gov/pubmed/12891223</v>
      </c>
      <c r="D3951" s="232" t="str">
        <f>IF(AND(A3951&lt;&gt;"",ISNUMBER(A3951)),VLOOKUP(A3951,Studies!A:BR,4,FALSE),"")</f>
        <v>with Perpetrator (GFJ)</v>
      </c>
      <c r="E3951" s="206" t="str">
        <f>IF(AND(A3951&lt;&gt;"",ISNUMBER(A3951)),VLOOKUP(A3951,Studies!A:BR,5,FALSE),"")</f>
        <v>Midazolam</v>
      </c>
      <c r="F3951" s="207" t="str">
        <f>IF(AND(A3951&lt;&gt;"",ISNUMBER(A3951)),VLOOKUP(A3951,Studies!A:BR,6,FALSE),"")</f>
        <v>Plasma</v>
      </c>
      <c r="G3951" s="194">
        <v>2</v>
      </c>
      <c r="H3951" s="194" t="s">
        <v>60</v>
      </c>
      <c r="I3951" s="187">
        <v>21.63194</v>
      </c>
      <c r="J3951" s="187" t="s">
        <v>1090</v>
      </c>
      <c r="K3951" s="187" t="s">
        <v>389</v>
      </c>
      <c r="L3951" s="195">
        <v>1.8229200000000001</v>
      </c>
      <c r="M3951" s="195" t="s">
        <v>1090</v>
      </c>
      <c r="N3951" s="195" t="s">
        <v>117</v>
      </c>
      <c r="O3951" s="199">
        <v>1</v>
      </c>
      <c r="P3951" s="188"/>
      <c r="Q3951" s="174">
        <f>IF(ISNUMBER(VLOOKUP(A3951,NotghiID!A:A,1,FALSE)),1,0)</f>
        <v>1</v>
      </c>
    </row>
    <row r="3952" spans="1:17" ht="14.25" x14ac:dyDescent="0.2">
      <c r="A3952" s="205">
        <v>189</v>
      </c>
      <c r="B3952" s="232" t="str">
        <f>IF(AND(A3952&lt;&gt;"",ISNUMBER(A3952)),VLOOKUP(A3952,Studies!A:BR,2,FALSE),"")</f>
        <v>Greenblat 2003</v>
      </c>
      <c r="C3952" s="232" t="str">
        <f>IF(AND(A3952&lt;&gt;"",ISNUMBER(A3952)),VLOOKUP(A3952,Studies!A:BR,3,FALSE),"")</f>
        <v>https://www.ncbi.nlm.nih.gov/pubmed/12891223</v>
      </c>
      <c r="D3952" s="232" t="str">
        <f>IF(AND(A3952&lt;&gt;"",ISNUMBER(A3952)),VLOOKUP(A3952,Studies!A:BR,4,FALSE),"")</f>
        <v>with Perpetrator (GFJ)</v>
      </c>
      <c r="E3952" s="206" t="str">
        <f>IF(AND(A3952&lt;&gt;"",ISNUMBER(A3952)),VLOOKUP(A3952,Studies!A:BR,5,FALSE),"")</f>
        <v>Midazolam</v>
      </c>
      <c r="F3952" s="207" t="str">
        <f>IF(AND(A3952&lt;&gt;"",ISNUMBER(A3952)),VLOOKUP(A3952,Studies!A:BR,6,FALSE),"")</f>
        <v>Plasma</v>
      </c>
      <c r="G3952" s="194">
        <v>2.5</v>
      </c>
      <c r="H3952" s="194" t="s">
        <v>60</v>
      </c>
      <c r="I3952" s="187">
        <v>17.98611</v>
      </c>
      <c r="J3952" s="187" t="s">
        <v>1090</v>
      </c>
      <c r="K3952" s="187" t="s">
        <v>389</v>
      </c>
      <c r="L3952" s="195">
        <v>1.701389</v>
      </c>
      <c r="M3952" s="195" t="s">
        <v>1090</v>
      </c>
      <c r="N3952" s="195" t="s">
        <v>117</v>
      </c>
      <c r="O3952" s="199">
        <v>1</v>
      </c>
      <c r="P3952" s="188"/>
      <c r="Q3952" s="174">
        <f>IF(ISNUMBER(VLOOKUP(A3952,NotghiID!A:A,1,FALSE)),1,0)</f>
        <v>1</v>
      </c>
    </row>
    <row r="3953" spans="1:17" ht="14.25" x14ac:dyDescent="0.2">
      <c r="A3953" s="205">
        <v>189</v>
      </c>
      <c r="B3953" s="232" t="str">
        <f>IF(AND(A3953&lt;&gt;"",ISNUMBER(A3953)),VLOOKUP(A3953,Studies!A:BR,2,FALSE),"")</f>
        <v>Greenblat 2003</v>
      </c>
      <c r="C3953" s="232" t="str">
        <f>IF(AND(A3953&lt;&gt;"",ISNUMBER(A3953)),VLOOKUP(A3953,Studies!A:BR,3,FALSE),"")</f>
        <v>https://www.ncbi.nlm.nih.gov/pubmed/12891223</v>
      </c>
      <c r="D3953" s="232" t="str">
        <f>IF(AND(A3953&lt;&gt;"",ISNUMBER(A3953)),VLOOKUP(A3953,Studies!A:BR,4,FALSE),"")</f>
        <v>with Perpetrator (GFJ)</v>
      </c>
      <c r="E3953" s="206" t="str">
        <f>IF(AND(A3953&lt;&gt;"",ISNUMBER(A3953)),VLOOKUP(A3953,Studies!A:BR,5,FALSE),"")</f>
        <v>Midazolam</v>
      </c>
      <c r="F3953" s="207" t="str">
        <f>IF(AND(A3953&lt;&gt;"",ISNUMBER(A3953)),VLOOKUP(A3953,Studies!A:BR,6,FALSE),"")</f>
        <v>Plasma</v>
      </c>
      <c r="G3953" s="194">
        <v>3</v>
      </c>
      <c r="H3953" s="194" t="s">
        <v>60</v>
      </c>
      <c r="I3953" s="187">
        <v>15.61632</v>
      </c>
      <c r="J3953" s="187" t="s">
        <v>1090</v>
      </c>
      <c r="K3953" s="187" t="s">
        <v>389</v>
      </c>
      <c r="L3953" s="195">
        <v>1.7621519999999999</v>
      </c>
      <c r="M3953" s="195" t="s">
        <v>1090</v>
      </c>
      <c r="N3953" s="195" t="s">
        <v>117</v>
      </c>
      <c r="O3953" s="199">
        <v>1</v>
      </c>
      <c r="P3953" s="188"/>
      <c r="Q3953" s="174">
        <f>IF(ISNUMBER(VLOOKUP(A3953,NotghiID!A:A,1,FALSE)),1,0)</f>
        <v>1</v>
      </c>
    </row>
    <row r="3954" spans="1:17" ht="14.25" x14ac:dyDescent="0.2">
      <c r="A3954" s="205">
        <v>189</v>
      </c>
      <c r="B3954" s="232" t="str">
        <f>IF(AND(A3954&lt;&gt;"",ISNUMBER(A3954)),VLOOKUP(A3954,Studies!A:BR,2,FALSE),"")</f>
        <v>Greenblat 2003</v>
      </c>
      <c r="C3954" s="232" t="str">
        <f>IF(AND(A3954&lt;&gt;"",ISNUMBER(A3954)),VLOOKUP(A3954,Studies!A:BR,3,FALSE),"")</f>
        <v>https://www.ncbi.nlm.nih.gov/pubmed/12891223</v>
      </c>
      <c r="D3954" s="232" t="str">
        <f>IF(AND(A3954&lt;&gt;"",ISNUMBER(A3954)),VLOOKUP(A3954,Studies!A:BR,4,FALSE),"")</f>
        <v>with Perpetrator (GFJ)</v>
      </c>
      <c r="E3954" s="206" t="str">
        <f>IF(AND(A3954&lt;&gt;"",ISNUMBER(A3954)),VLOOKUP(A3954,Studies!A:BR,5,FALSE),"")</f>
        <v>Midazolam</v>
      </c>
      <c r="F3954" s="207" t="str">
        <f>IF(AND(A3954&lt;&gt;"",ISNUMBER(A3954)),VLOOKUP(A3954,Studies!A:BR,6,FALSE),"")</f>
        <v>Plasma</v>
      </c>
      <c r="G3954" s="194">
        <v>4</v>
      </c>
      <c r="H3954" s="194" t="s">
        <v>60</v>
      </c>
      <c r="I3954" s="187">
        <v>9.9652779999999996</v>
      </c>
      <c r="J3954" s="187" t="s">
        <v>1090</v>
      </c>
      <c r="K3954" s="187" t="s">
        <v>389</v>
      </c>
      <c r="L3954" s="195">
        <v>1.2760419999999999</v>
      </c>
      <c r="M3954" s="195" t="s">
        <v>1090</v>
      </c>
      <c r="N3954" s="195" t="s">
        <v>117</v>
      </c>
      <c r="O3954" s="199">
        <v>1</v>
      </c>
      <c r="P3954" s="188"/>
      <c r="Q3954" s="174">
        <f>IF(ISNUMBER(VLOOKUP(A3954,NotghiID!A:A,1,FALSE)),1,0)</f>
        <v>1</v>
      </c>
    </row>
    <row r="3955" spans="1:17" ht="14.25" x14ac:dyDescent="0.2">
      <c r="A3955" s="205">
        <v>189</v>
      </c>
      <c r="B3955" s="232" t="str">
        <f>IF(AND(A3955&lt;&gt;"",ISNUMBER(A3955)),VLOOKUP(A3955,Studies!A:BR,2,FALSE),"")</f>
        <v>Greenblat 2003</v>
      </c>
      <c r="C3955" s="232" t="str">
        <f>IF(AND(A3955&lt;&gt;"",ISNUMBER(A3955)),VLOOKUP(A3955,Studies!A:BR,3,FALSE),"")</f>
        <v>https://www.ncbi.nlm.nih.gov/pubmed/12891223</v>
      </c>
      <c r="D3955" s="232" t="str">
        <f>IF(AND(A3955&lt;&gt;"",ISNUMBER(A3955)),VLOOKUP(A3955,Studies!A:BR,4,FALSE),"")</f>
        <v>with Perpetrator (GFJ)</v>
      </c>
      <c r="E3955" s="206" t="str">
        <f>IF(AND(A3955&lt;&gt;"",ISNUMBER(A3955)),VLOOKUP(A3955,Studies!A:BR,5,FALSE),"")</f>
        <v>Midazolam</v>
      </c>
      <c r="F3955" s="207" t="str">
        <f>IF(AND(A3955&lt;&gt;"",ISNUMBER(A3955)),VLOOKUP(A3955,Studies!A:BR,6,FALSE),"")</f>
        <v>Plasma</v>
      </c>
      <c r="G3955" s="194">
        <v>5</v>
      </c>
      <c r="H3955" s="194" t="s">
        <v>60</v>
      </c>
      <c r="I3955" s="187">
        <v>6.5625</v>
      </c>
      <c r="J3955" s="187" t="s">
        <v>1090</v>
      </c>
      <c r="K3955" s="187" t="s">
        <v>389</v>
      </c>
      <c r="L3955" s="195">
        <v>0.97222229999999998</v>
      </c>
      <c r="M3955" s="195" t="s">
        <v>1090</v>
      </c>
      <c r="N3955" s="195" t="s">
        <v>117</v>
      </c>
      <c r="O3955" s="199">
        <v>1</v>
      </c>
      <c r="P3955" s="188"/>
      <c r="Q3955" s="174">
        <f>IF(ISNUMBER(VLOOKUP(A3955,NotghiID!A:A,1,FALSE)),1,0)</f>
        <v>1</v>
      </c>
    </row>
    <row r="3956" spans="1:17" ht="14.25" x14ac:dyDescent="0.2">
      <c r="A3956" s="205">
        <v>189</v>
      </c>
      <c r="B3956" s="232" t="str">
        <f>IF(AND(A3956&lt;&gt;"",ISNUMBER(A3956)),VLOOKUP(A3956,Studies!A:BR,2,FALSE),"")</f>
        <v>Greenblat 2003</v>
      </c>
      <c r="C3956" s="232" t="str">
        <f>IF(AND(A3956&lt;&gt;"",ISNUMBER(A3956)),VLOOKUP(A3956,Studies!A:BR,3,FALSE),"")</f>
        <v>https://www.ncbi.nlm.nih.gov/pubmed/12891223</v>
      </c>
      <c r="D3956" s="232" t="str">
        <f>IF(AND(A3956&lt;&gt;"",ISNUMBER(A3956)),VLOOKUP(A3956,Studies!A:BR,4,FALSE),"")</f>
        <v>with Perpetrator (GFJ)</v>
      </c>
      <c r="E3956" s="206" t="str">
        <f>IF(AND(A3956&lt;&gt;"",ISNUMBER(A3956)),VLOOKUP(A3956,Studies!A:BR,5,FALSE),"")</f>
        <v>Midazolam</v>
      </c>
      <c r="F3956" s="207" t="str">
        <f>IF(AND(A3956&lt;&gt;"",ISNUMBER(A3956)),VLOOKUP(A3956,Studies!A:BR,6,FALSE),"")</f>
        <v>Plasma</v>
      </c>
      <c r="G3956" s="194">
        <v>6</v>
      </c>
      <c r="H3956" s="194" t="s">
        <v>60</v>
      </c>
      <c r="I3956" s="187">
        <v>4.9826389999999998</v>
      </c>
      <c r="J3956" s="187" t="s">
        <v>1090</v>
      </c>
      <c r="K3956" s="187" t="s">
        <v>389</v>
      </c>
      <c r="L3956" s="195">
        <v>0.78993080000000004</v>
      </c>
      <c r="M3956" s="195" t="s">
        <v>1090</v>
      </c>
      <c r="N3956" s="195" t="s">
        <v>117</v>
      </c>
      <c r="O3956" s="199">
        <v>1</v>
      </c>
      <c r="P3956" s="188"/>
      <c r="Q3956" s="174">
        <f>IF(ISNUMBER(VLOOKUP(A3956,NotghiID!A:A,1,FALSE)),1,0)</f>
        <v>1</v>
      </c>
    </row>
    <row r="3957" spans="1:17" ht="14.25" x14ac:dyDescent="0.2">
      <c r="A3957" s="205">
        <v>189</v>
      </c>
      <c r="B3957" s="232" t="str">
        <f>IF(AND(A3957&lt;&gt;"",ISNUMBER(A3957)),VLOOKUP(A3957,Studies!A:BR,2,FALSE),"")</f>
        <v>Greenblat 2003</v>
      </c>
      <c r="C3957" s="232" t="str">
        <f>IF(AND(A3957&lt;&gt;"",ISNUMBER(A3957)),VLOOKUP(A3957,Studies!A:BR,3,FALSE),"")</f>
        <v>https://www.ncbi.nlm.nih.gov/pubmed/12891223</v>
      </c>
      <c r="D3957" s="232" t="str">
        <f>IF(AND(A3957&lt;&gt;"",ISNUMBER(A3957)),VLOOKUP(A3957,Studies!A:BR,4,FALSE),"")</f>
        <v>with Perpetrator (GFJ)</v>
      </c>
      <c r="E3957" s="206" t="str">
        <f>IF(AND(A3957&lt;&gt;"",ISNUMBER(A3957)),VLOOKUP(A3957,Studies!A:BR,5,FALSE),"")</f>
        <v>Midazolam</v>
      </c>
      <c r="F3957" s="207" t="str">
        <f>IF(AND(A3957&lt;&gt;"",ISNUMBER(A3957)),VLOOKUP(A3957,Studies!A:BR,6,FALSE),"")</f>
        <v>Plasma</v>
      </c>
      <c r="G3957" s="194">
        <v>8</v>
      </c>
      <c r="H3957" s="194" t="s">
        <v>60</v>
      </c>
      <c r="I3957" s="187">
        <v>3.0989580000000001</v>
      </c>
      <c r="J3957" s="187" t="s">
        <v>1090</v>
      </c>
      <c r="K3957" s="187" t="s">
        <v>389</v>
      </c>
      <c r="L3957" s="195">
        <v>0.48611140000000003</v>
      </c>
      <c r="M3957" s="195" t="s">
        <v>1090</v>
      </c>
      <c r="N3957" s="195" t="s">
        <v>117</v>
      </c>
      <c r="O3957" s="199">
        <v>1</v>
      </c>
      <c r="P3957" s="189" t="s">
        <v>1167</v>
      </c>
      <c r="Q3957" s="174">
        <f>IF(ISNUMBER(VLOOKUP(A3957,NotghiID!A:A,1,FALSE)),1,0)</f>
        <v>1</v>
      </c>
    </row>
    <row r="3958" spans="1:17" ht="14.25" x14ac:dyDescent="0.2">
      <c r="A3958" s="205">
        <v>275</v>
      </c>
      <c r="B3958" s="232" t="str">
        <f>IF(AND(A3958&lt;&gt;"",ISNUMBER(A3958)),VLOOKUP(A3958,Studies!A:BR,2,FALSE),"")</f>
        <v>Kharasch 1997</v>
      </c>
      <c r="C3958" s="232" t="str">
        <f>IF(AND(A3958&lt;&gt;"",ISNUMBER(A3958)),VLOOKUP(A3958,Studies!A:BR,3,FALSE),"")</f>
        <v>https://www.ncbi.nlm.nih.gov/pubmed/9232132</v>
      </c>
      <c r="D3958" s="232" t="str">
        <f>IF(AND(A3958&lt;&gt;"",ISNUMBER(A3958)),VLOOKUP(A3958,Studies!A:BR,4,FALSE),"")</f>
        <v>Control (Perpetrator Placebo)</v>
      </c>
      <c r="E3958" s="206" t="str">
        <f>IF(AND(A3958&lt;&gt;"",ISNUMBER(A3958)),VLOOKUP(A3958,Studies!A:BR,5,FALSE),"")</f>
        <v>Midazolam</v>
      </c>
      <c r="F3958" s="207" t="str">
        <f>IF(AND(A3958&lt;&gt;"",ISNUMBER(A3958)),VLOOKUP(A3958,Studies!A:BR,6,FALSE),"")</f>
        <v>Plasma</v>
      </c>
      <c r="G3958" s="194">
        <v>15</v>
      </c>
      <c r="H3958" s="194" t="s">
        <v>1041</v>
      </c>
      <c r="I3958" s="187">
        <v>28.076170000000001</v>
      </c>
      <c r="J3958" s="187" t="s">
        <v>1090</v>
      </c>
      <c r="K3958" s="187" t="s">
        <v>264</v>
      </c>
      <c r="L3958" s="195"/>
      <c r="M3958" s="195"/>
      <c r="N3958" s="195"/>
      <c r="O3958" s="199"/>
      <c r="P3958" s="188"/>
      <c r="Q3958" s="174">
        <f>IF(ISNUMBER(VLOOKUP(A3958,NotghiID!A:A,1,FALSE)),1,0)</f>
        <v>1</v>
      </c>
    </row>
    <row r="3959" spans="1:17" ht="14.25" x14ac:dyDescent="0.2">
      <c r="A3959" s="205">
        <v>275</v>
      </c>
      <c r="B3959" s="232" t="str">
        <f>IF(AND(A3959&lt;&gt;"",ISNUMBER(A3959)),VLOOKUP(A3959,Studies!A:BR,2,FALSE),"")</f>
        <v>Kharasch 1997</v>
      </c>
      <c r="C3959" s="232" t="str">
        <f>IF(AND(A3959&lt;&gt;"",ISNUMBER(A3959)),VLOOKUP(A3959,Studies!A:BR,3,FALSE),"")</f>
        <v>https://www.ncbi.nlm.nih.gov/pubmed/9232132</v>
      </c>
      <c r="D3959" s="232" t="str">
        <f>IF(AND(A3959&lt;&gt;"",ISNUMBER(A3959)),VLOOKUP(A3959,Studies!A:BR,4,FALSE),"")</f>
        <v>Control (Perpetrator Placebo)</v>
      </c>
      <c r="E3959" s="206" t="str">
        <f>IF(AND(A3959&lt;&gt;"",ISNUMBER(A3959)),VLOOKUP(A3959,Studies!A:BR,5,FALSE),"")</f>
        <v>Midazolam</v>
      </c>
      <c r="F3959" s="207" t="str">
        <f>IF(AND(A3959&lt;&gt;"",ISNUMBER(A3959)),VLOOKUP(A3959,Studies!A:BR,6,FALSE),"")</f>
        <v>Plasma</v>
      </c>
      <c r="G3959" s="194">
        <v>30</v>
      </c>
      <c r="H3959" s="194" t="s">
        <v>1041</v>
      </c>
      <c r="I3959" s="187">
        <v>22.017410000000002</v>
      </c>
      <c r="J3959" s="187" t="s">
        <v>1090</v>
      </c>
      <c r="K3959" s="187" t="s">
        <v>264</v>
      </c>
      <c r="L3959" s="195"/>
      <c r="M3959" s="195"/>
      <c r="N3959" s="195"/>
      <c r="O3959" s="199"/>
      <c r="P3959" s="188"/>
      <c r="Q3959" s="174">
        <f>IF(ISNUMBER(VLOOKUP(A3959,NotghiID!A:A,1,FALSE)),1,0)</f>
        <v>1</v>
      </c>
    </row>
    <row r="3960" spans="1:17" ht="14.25" x14ac:dyDescent="0.2">
      <c r="A3960" s="205">
        <v>275</v>
      </c>
      <c r="B3960" s="232" t="str">
        <f>IF(AND(A3960&lt;&gt;"",ISNUMBER(A3960)),VLOOKUP(A3960,Studies!A:BR,2,FALSE),"")</f>
        <v>Kharasch 1997</v>
      </c>
      <c r="C3960" s="232" t="str">
        <f>IF(AND(A3960&lt;&gt;"",ISNUMBER(A3960)),VLOOKUP(A3960,Studies!A:BR,3,FALSE),"")</f>
        <v>https://www.ncbi.nlm.nih.gov/pubmed/9232132</v>
      </c>
      <c r="D3960" s="232" t="str">
        <f>IF(AND(A3960&lt;&gt;"",ISNUMBER(A3960)),VLOOKUP(A3960,Studies!A:BR,4,FALSE),"")</f>
        <v>Control (Perpetrator Placebo)</v>
      </c>
      <c r="E3960" s="206" t="str">
        <f>IF(AND(A3960&lt;&gt;"",ISNUMBER(A3960)),VLOOKUP(A3960,Studies!A:BR,5,FALSE),"")</f>
        <v>Midazolam</v>
      </c>
      <c r="F3960" s="207" t="str">
        <f>IF(AND(A3960&lt;&gt;"",ISNUMBER(A3960)),VLOOKUP(A3960,Studies!A:BR,6,FALSE),"")</f>
        <v>Plasma</v>
      </c>
      <c r="G3960" s="164">
        <v>72.849729999999994</v>
      </c>
      <c r="H3960" s="194" t="s">
        <v>1041</v>
      </c>
      <c r="I3960" s="187">
        <v>14.24062</v>
      </c>
      <c r="J3960" s="187" t="s">
        <v>1090</v>
      </c>
      <c r="K3960" s="187" t="s">
        <v>264</v>
      </c>
      <c r="L3960" s="195"/>
      <c r="M3960" s="195"/>
      <c r="N3960" s="195"/>
      <c r="O3960" s="199"/>
      <c r="P3960" s="189" t="s">
        <v>1168</v>
      </c>
      <c r="Q3960" s="174">
        <f>IF(ISNUMBER(VLOOKUP(A3960,NotghiID!A:A,1,FALSE)),1,0)</f>
        <v>1</v>
      </c>
    </row>
    <row r="3961" spans="1:17" ht="14.25" x14ac:dyDescent="0.2">
      <c r="A3961" s="205">
        <v>275</v>
      </c>
      <c r="B3961" s="232" t="str">
        <f>IF(AND(A3961&lt;&gt;"",ISNUMBER(A3961)),VLOOKUP(A3961,Studies!A:BR,2,FALSE),"")</f>
        <v>Kharasch 1997</v>
      </c>
      <c r="C3961" s="232" t="str">
        <f>IF(AND(A3961&lt;&gt;"",ISNUMBER(A3961)),VLOOKUP(A3961,Studies!A:BR,3,FALSE),"")</f>
        <v>https://www.ncbi.nlm.nih.gov/pubmed/9232132</v>
      </c>
      <c r="D3961" s="232" t="str">
        <f>IF(AND(A3961&lt;&gt;"",ISNUMBER(A3961)),VLOOKUP(A3961,Studies!A:BR,4,FALSE),"")</f>
        <v>Control (Perpetrator Placebo)</v>
      </c>
      <c r="E3961" s="206" t="str">
        <f>IF(AND(A3961&lt;&gt;"",ISNUMBER(A3961)),VLOOKUP(A3961,Studies!A:BR,5,FALSE),"")</f>
        <v>Midazolam</v>
      </c>
      <c r="F3961" s="207" t="str">
        <f>IF(AND(A3961&lt;&gt;"",ISNUMBER(A3961)),VLOOKUP(A3961,Studies!A:BR,6,FALSE),"")</f>
        <v>Plasma</v>
      </c>
      <c r="G3961" s="164">
        <v>131.05340000000001</v>
      </c>
      <c r="H3961" s="194" t="s">
        <v>1041</v>
      </c>
      <c r="I3961" s="187">
        <v>7.6751290000000001</v>
      </c>
      <c r="J3961" s="187" t="s">
        <v>1090</v>
      </c>
      <c r="K3961" s="187" t="s">
        <v>264</v>
      </c>
      <c r="L3961" s="195"/>
      <c r="M3961" s="195"/>
      <c r="N3961" s="195"/>
      <c r="O3961" s="199"/>
      <c r="P3961" s="188"/>
      <c r="Q3961" s="174">
        <f>IF(ISNUMBER(VLOOKUP(A3961,NotghiID!A:A,1,FALSE)),1,0)</f>
        <v>1</v>
      </c>
    </row>
    <row r="3962" spans="1:17" ht="14.25" x14ac:dyDescent="0.2">
      <c r="A3962" s="205">
        <v>275</v>
      </c>
      <c r="B3962" s="232" t="str">
        <f>IF(AND(A3962&lt;&gt;"",ISNUMBER(A3962)),VLOOKUP(A3962,Studies!A:BR,2,FALSE),"")</f>
        <v>Kharasch 1997</v>
      </c>
      <c r="C3962" s="232" t="str">
        <f>IF(AND(A3962&lt;&gt;"",ISNUMBER(A3962)),VLOOKUP(A3962,Studies!A:BR,3,FALSE),"")</f>
        <v>https://www.ncbi.nlm.nih.gov/pubmed/9232132</v>
      </c>
      <c r="D3962" s="232" t="str">
        <f>IF(AND(A3962&lt;&gt;"",ISNUMBER(A3962)),VLOOKUP(A3962,Studies!A:BR,4,FALSE),"")</f>
        <v>Control (Perpetrator Placebo)</v>
      </c>
      <c r="E3962" s="206" t="str">
        <f>IF(AND(A3962&lt;&gt;"",ISNUMBER(A3962)),VLOOKUP(A3962,Studies!A:BR,5,FALSE),"")</f>
        <v>Midazolam</v>
      </c>
      <c r="F3962" s="207" t="str">
        <f>IF(AND(A3962&lt;&gt;"",ISNUMBER(A3962)),VLOOKUP(A3962,Studies!A:BR,6,FALSE),"")</f>
        <v>Plasma</v>
      </c>
      <c r="G3962" s="164">
        <v>190.54580000000001</v>
      </c>
      <c r="H3962" s="194" t="s">
        <v>1041</v>
      </c>
      <c r="I3962" s="187">
        <v>6.2010370000000004</v>
      </c>
      <c r="J3962" s="187" t="s">
        <v>1090</v>
      </c>
      <c r="K3962" s="187" t="s">
        <v>264</v>
      </c>
      <c r="L3962" s="195"/>
      <c r="M3962" s="195"/>
      <c r="N3962" s="195"/>
      <c r="O3962" s="199"/>
      <c r="P3962" s="188"/>
      <c r="Q3962" s="174">
        <f>IF(ISNUMBER(VLOOKUP(A3962,NotghiID!A:A,1,FALSE)),1,0)</f>
        <v>1</v>
      </c>
    </row>
    <row r="3963" spans="1:17" ht="14.25" x14ac:dyDescent="0.2">
      <c r="A3963" s="205">
        <v>275</v>
      </c>
      <c r="B3963" s="232" t="str">
        <f>IF(AND(A3963&lt;&gt;"",ISNUMBER(A3963)),VLOOKUP(A3963,Studies!A:BR,2,FALSE),"")</f>
        <v>Kharasch 1997</v>
      </c>
      <c r="C3963" s="232" t="str">
        <f>IF(AND(A3963&lt;&gt;"",ISNUMBER(A3963)),VLOOKUP(A3963,Studies!A:BR,3,FALSE),"")</f>
        <v>https://www.ncbi.nlm.nih.gov/pubmed/9232132</v>
      </c>
      <c r="D3963" s="232" t="str">
        <f>IF(AND(A3963&lt;&gt;"",ISNUMBER(A3963)),VLOOKUP(A3963,Studies!A:BR,4,FALSE),"")</f>
        <v>Control (Perpetrator Placebo)</v>
      </c>
      <c r="E3963" s="206" t="str">
        <f>IF(AND(A3963&lt;&gt;"",ISNUMBER(A3963)),VLOOKUP(A3963,Studies!A:BR,5,FALSE),"")</f>
        <v>Midazolam</v>
      </c>
      <c r="F3963" s="207" t="str">
        <f>IF(AND(A3963&lt;&gt;"",ISNUMBER(A3963)),VLOOKUP(A3963,Studies!A:BR,6,FALSE),"")</f>
        <v>Plasma</v>
      </c>
      <c r="G3963" s="164">
        <v>250.07220000000001</v>
      </c>
      <c r="H3963" s="194" t="s">
        <v>1041</v>
      </c>
      <c r="I3963" s="187">
        <v>4.8602169999999996</v>
      </c>
      <c r="J3963" s="187" t="s">
        <v>1090</v>
      </c>
      <c r="K3963" s="187" t="s">
        <v>264</v>
      </c>
      <c r="L3963" s="195"/>
      <c r="M3963" s="195"/>
      <c r="N3963" s="195"/>
      <c r="O3963" s="199"/>
      <c r="P3963" s="188"/>
      <c r="Q3963" s="174">
        <f>IF(ISNUMBER(VLOOKUP(A3963,NotghiID!A:A,1,FALSE)),1,0)</f>
        <v>1</v>
      </c>
    </row>
    <row r="3964" spans="1:17" ht="14.25" x14ac:dyDescent="0.2">
      <c r="A3964" s="205">
        <v>275</v>
      </c>
      <c r="B3964" s="232" t="str">
        <f>IF(AND(A3964&lt;&gt;"",ISNUMBER(A3964)),VLOOKUP(A3964,Studies!A:BR,2,FALSE),"")</f>
        <v>Kharasch 1997</v>
      </c>
      <c r="C3964" s="232" t="str">
        <f>IF(AND(A3964&lt;&gt;"",ISNUMBER(A3964)),VLOOKUP(A3964,Studies!A:BR,3,FALSE),"")</f>
        <v>https://www.ncbi.nlm.nih.gov/pubmed/9232132</v>
      </c>
      <c r="D3964" s="232" t="str">
        <f>IF(AND(A3964&lt;&gt;"",ISNUMBER(A3964)),VLOOKUP(A3964,Studies!A:BR,4,FALSE),"")</f>
        <v>Control (Perpetrator Placebo)</v>
      </c>
      <c r="E3964" s="206" t="str">
        <f>IF(AND(A3964&lt;&gt;"",ISNUMBER(A3964)),VLOOKUP(A3964,Studies!A:BR,5,FALSE),"")</f>
        <v>Midazolam</v>
      </c>
      <c r="F3964" s="207" t="str">
        <f>IF(AND(A3964&lt;&gt;"",ISNUMBER(A3964)),VLOOKUP(A3964,Studies!A:BR,6,FALSE),"")</f>
        <v>Plasma</v>
      </c>
      <c r="G3964" s="164">
        <v>311.36399999999998</v>
      </c>
      <c r="H3964" s="194" t="s">
        <v>1041</v>
      </c>
      <c r="I3964" s="187">
        <v>3.7328990000000002</v>
      </c>
      <c r="J3964" s="187" t="s">
        <v>1090</v>
      </c>
      <c r="K3964" s="187" t="s">
        <v>264</v>
      </c>
      <c r="L3964" s="195"/>
      <c r="M3964" s="195"/>
      <c r="N3964" s="195"/>
      <c r="O3964" s="199"/>
      <c r="P3964" s="188"/>
      <c r="Q3964" s="174">
        <f>IF(ISNUMBER(VLOOKUP(A3964,NotghiID!A:A,1,FALSE)),1,0)</f>
        <v>1</v>
      </c>
    </row>
    <row r="3965" spans="1:17" ht="14.25" x14ac:dyDescent="0.2">
      <c r="A3965" s="205">
        <v>275</v>
      </c>
      <c r="B3965" s="232" t="str">
        <f>IF(AND(A3965&lt;&gt;"",ISNUMBER(A3965)),VLOOKUP(A3965,Studies!A:BR,2,FALSE),"")</f>
        <v>Kharasch 1997</v>
      </c>
      <c r="C3965" s="232" t="str">
        <f>IF(AND(A3965&lt;&gt;"",ISNUMBER(A3965)),VLOOKUP(A3965,Studies!A:BR,3,FALSE),"")</f>
        <v>https://www.ncbi.nlm.nih.gov/pubmed/9232132</v>
      </c>
      <c r="D3965" s="232" t="str">
        <f>IF(AND(A3965&lt;&gt;"",ISNUMBER(A3965)),VLOOKUP(A3965,Studies!A:BR,4,FALSE),"")</f>
        <v>Control (Perpetrator Placebo)</v>
      </c>
      <c r="E3965" s="206" t="str">
        <f>IF(AND(A3965&lt;&gt;"",ISNUMBER(A3965)),VLOOKUP(A3965,Studies!A:BR,5,FALSE),"")</f>
        <v>Midazolam</v>
      </c>
      <c r="F3965" s="207" t="str">
        <f>IF(AND(A3965&lt;&gt;"",ISNUMBER(A3965)),VLOOKUP(A3965,Studies!A:BR,6,FALSE),"")</f>
        <v>Plasma</v>
      </c>
      <c r="G3965" s="164">
        <v>430.30329999999998</v>
      </c>
      <c r="H3965" s="194" t="s">
        <v>1041</v>
      </c>
      <c r="I3965" s="187">
        <v>2.5373860000000001</v>
      </c>
      <c r="J3965" s="187" t="s">
        <v>1090</v>
      </c>
      <c r="K3965" s="187" t="s">
        <v>264</v>
      </c>
      <c r="L3965" s="195"/>
      <c r="M3965" s="195"/>
      <c r="N3965" s="195"/>
      <c r="O3965" s="199"/>
      <c r="P3965" s="188"/>
      <c r="Q3965" s="174">
        <f>IF(ISNUMBER(VLOOKUP(A3965,NotghiID!A:A,1,FALSE)),1,0)</f>
        <v>1</v>
      </c>
    </row>
    <row r="3966" spans="1:17" ht="14.25" x14ac:dyDescent="0.2">
      <c r="A3966" s="205">
        <v>275</v>
      </c>
      <c r="B3966" s="232" t="str">
        <f>IF(AND(A3966&lt;&gt;"",ISNUMBER(A3966)),VLOOKUP(A3966,Studies!A:BR,2,FALSE),"")</f>
        <v>Kharasch 1997</v>
      </c>
      <c r="C3966" s="232" t="str">
        <f>IF(AND(A3966&lt;&gt;"",ISNUMBER(A3966)),VLOOKUP(A3966,Studies!A:BR,3,FALSE),"")</f>
        <v>https://www.ncbi.nlm.nih.gov/pubmed/9232132</v>
      </c>
      <c r="D3966" s="232" t="str">
        <f>IF(AND(A3966&lt;&gt;"",ISNUMBER(A3966)),VLOOKUP(A3966,Studies!A:BR,4,FALSE),"")</f>
        <v>Control (Perpetrator Placebo)</v>
      </c>
      <c r="E3966" s="206" t="str">
        <f>IF(AND(A3966&lt;&gt;"",ISNUMBER(A3966)),VLOOKUP(A3966,Studies!A:BR,5,FALSE),"")</f>
        <v>Midazolam</v>
      </c>
      <c r="F3966" s="207" t="str">
        <f>IF(AND(A3966&lt;&gt;"",ISNUMBER(A3966)),VLOOKUP(A3966,Studies!A:BR,6,FALSE),"")</f>
        <v>Plasma</v>
      </c>
      <c r="G3966" s="164">
        <v>550.88310000000001</v>
      </c>
      <c r="H3966" s="194" t="s">
        <v>1041</v>
      </c>
      <c r="I3966" s="187">
        <v>1.889208</v>
      </c>
      <c r="J3966" s="187" t="s">
        <v>1090</v>
      </c>
      <c r="K3966" s="187" t="s">
        <v>264</v>
      </c>
      <c r="L3966" s="195"/>
      <c r="M3966" s="195"/>
      <c r="N3966" s="195"/>
      <c r="O3966" s="199"/>
      <c r="P3966" s="188"/>
      <c r="Q3966" s="174">
        <f>IF(ISNUMBER(VLOOKUP(A3966,NotghiID!A:A,1,FALSE)),1,0)</f>
        <v>1</v>
      </c>
    </row>
    <row r="3967" spans="1:17" ht="14.25" x14ac:dyDescent="0.2">
      <c r="A3967" s="205">
        <v>275</v>
      </c>
      <c r="B3967" s="232" t="str">
        <f>IF(AND(A3967&lt;&gt;"",ISNUMBER(A3967)),VLOOKUP(A3967,Studies!A:BR,2,FALSE),"")</f>
        <v>Kharasch 1997</v>
      </c>
      <c r="C3967" s="232" t="str">
        <f>IF(AND(A3967&lt;&gt;"",ISNUMBER(A3967)),VLOOKUP(A3967,Studies!A:BR,3,FALSE),"")</f>
        <v>https://www.ncbi.nlm.nih.gov/pubmed/9232132</v>
      </c>
      <c r="D3967" s="232" t="str">
        <f>IF(AND(A3967&lt;&gt;"",ISNUMBER(A3967)),VLOOKUP(A3967,Studies!A:BR,4,FALSE),"")</f>
        <v>Control (Perpetrator Placebo)</v>
      </c>
      <c r="E3967" s="206" t="str">
        <f>IF(AND(A3967&lt;&gt;"",ISNUMBER(A3967)),VLOOKUP(A3967,Studies!A:BR,5,FALSE),"")</f>
        <v>Midazolam</v>
      </c>
      <c r="F3967" s="207" t="str">
        <f>IF(AND(A3967&lt;&gt;"",ISNUMBER(A3967)),VLOOKUP(A3967,Studies!A:BR,6,FALSE),"")</f>
        <v>Plasma</v>
      </c>
      <c r="G3967" s="164">
        <v>669.59529999999995</v>
      </c>
      <c r="H3967" s="194" t="s">
        <v>1041</v>
      </c>
      <c r="I3967" s="187">
        <v>1.5723009999999999</v>
      </c>
      <c r="J3967" s="187" t="s">
        <v>1090</v>
      </c>
      <c r="K3967" s="187" t="s">
        <v>264</v>
      </c>
      <c r="L3967" s="195"/>
      <c r="M3967" s="195"/>
      <c r="N3967" s="195"/>
      <c r="O3967" s="199"/>
      <c r="P3967" s="188"/>
      <c r="Q3967" s="174">
        <f>IF(ISNUMBER(VLOOKUP(A3967,NotghiID!A:A,1,FALSE)),1,0)</f>
        <v>1</v>
      </c>
    </row>
    <row r="3968" spans="1:17" ht="14.25" x14ac:dyDescent="0.2">
      <c r="A3968" s="205">
        <v>275</v>
      </c>
      <c r="B3968" s="232" t="str">
        <f>IF(AND(A3968&lt;&gt;"",ISNUMBER(A3968)),VLOOKUP(A3968,Studies!A:BR,2,FALSE),"")</f>
        <v>Kharasch 1997</v>
      </c>
      <c r="C3968" s="232" t="str">
        <f>IF(AND(A3968&lt;&gt;"",ISNUMBER(A3968)),VLOOKUP(A3968,Studies!A:BR,3,FALSE),"")</f>
        <v>https://www.ncbi.nlm.nih.gov/pubmed/9232132</v>
      </c>
      <c r="D3968" s="232" t="str">
        <f>IF(AND(A3968&lt;&gt;"",ISNUMBER(A3968)),VLOOKUP(A3968,Studies!A:BR,4,FALSE),"")</f>
        <v>Control (Perpetrator Placebo)</v>
      </c>
      <c r="E3968" s="206" t="str">
        <f>IF(AND(A3968&lt;&gt;"",ISNUMBER(A3968)),VLOOKUP(A3968,Studies!A:BR,5,FALSE),"")</f>
        <v>Midazolam</v>
      </c>
      <c r="F3968" s="207" t="str">
        <f>IF(AND(A3968&lt;&gt;"",ISNUMBER(A3968)),VLOOKUP(A3968,Studies!A:BR,6,FALSE),"")</f>
        <v>Plasma</v>
      </c>
      <c r="G3968" s="164">
        <v>790.09569999999997</v>
      </c>
      <c r="H3968" s="194" t="s">
        <v>1041</v>
      </c>
      <c r="I3968" s="187">
        <v>1.256607</v>
      </c>
      <c r="J3968" s="187" t="s">
        <v>1090</v>
      </c>
      <c r="K3968" s="187" t="s">
        <v>264</v>
      </c>
      <c r="L3968" s="195"/>
      <c r="M3968" s="195"/>
      <c r="N3968" s="195"/>
      <c r="O3968" s="199"/>
      <c r="P3968" s="188"/>
      <c r="Q3968" s="174">
        <f>IF(ISNUMBER(VLOOKUP(A3968,NotghiID!A:A,1,FALSE)),1,0)</f>
        <v>1</v>
      </c>
    </row>
    <row r="3969" spans="1:17" ht="14.25" x14ac:dyDescent="0.2">
      <c r="A3969" s="205">
        <v>276</v>
      </c>
      <c r="B3969" s="232" t="str">
        <f>IF(AND(A3969&lt;&gt;"",ISNUMBER(A3969)),VLOOKUP(A3969,Studies!A:BR,2,FALSE),"")</f>
        <v>Kharasch 1997</v>
      </c>
      <c r="C3969" s="232" t="str">
        <f>IF(AND(A3969&lt;&gt;"",ISNUMBER(A3969)),VLOOKUP(A3969,Studies!A:BR,3,FALSE),"")</f>
        <v>https://www.ncbi.nlm.nih.gov/pubmed/9232132</v>
      </c>
      <c r="D3969" s="232" t="str">
        <f>IF(AND(A3969&lt;&gt;"",ISNUMBER(A3969)),VLOOKUP(A3969,Studies!A:BR,4,FALSE),"")</f>
        <v>with Perpetrator (Rifampicin)</v>
      </c>
      <c r="E3969" s="206" t="str">
        <f>IF(AND(A3969&lt;&gt;"",ISNUMBER(A3969)),VLOOKUP(A3969,Studies!A:BR,5,FALSE),"")</f>
        <v>Midazolam</v>
      </c>
      <c r="F3969" s="207" t="str">
        <f>IF(AND(A3969&lt;&gt;"",ISNUMBER(A3969)),VLOOKUP(A3969,Studies!A:BR,6,FALSE),"")</f>
        <v>Plasma</v>
      </c>
      <c r="G3969" s="164">
        <v>7215</v>
      </c>
      <c r="H3969" s="194" t="s">
        <v>1041</v>
      </c>
      <c r="I3969" s="187">
        <v>14.16216</v>
      </c>
      <c r="J3969" s="187" t="s">
        <v>1090</v>
      </c>
      <c r="K3969" s="187" t="s">
        <v>264</v>
      </c>
      <c r="L3969" s="195"/>
      <c r="M3969" s="195"/>
      <c r="N3969" s="195"/>
      <c r="O3969" s="199"/>
      <c r="P3969" s="188"/>
      <c r="Q3969" s="174">
        <f>IF(ISNUMBER(VLOOKUP(A3969,NotghiID!A:A,1,FALSE)),1,0)</f>
        <v>1</v>
      </c>
    </row>
    <row r="3970" spans="1:17" ht="14.25" x14ac:dyDescent="0.2">
      <c r="A3970" s="205">
        <v>276</v>
      </c>
      <c r="B3970" s="232" t="str">
        <f>IF(AND(A3970&lt;&gt;"",ISNUMBER(A3970)),VLOOKUP(A3970,Studies!A:BR,2,FALSE),"")</f>
        <v>Kharasch 1997</v>
      </c>
      <c r="C3970" s="232" t="str">
        <f>IF(AND(A3970&lt;&gt;"",ISNUMBER(A3970)),VLOOKUP(A3970,Studies!A:BR,3,FALSE),"")</f>
        <v>https://www.ncbi.nlm.nih.gov/pubmed/9232132</v>
      </c>
      <c r="D3970" s="232" t="str">
        <f>IF(AND(A3970&lt;&gt;"",ISNUMBER(A3970)),VLOOKUP(A3970,Studies!A:BR,4,FALSE),"")</f>
        <v>with Perpetrator (Rifampicin)</v>
      </c>
      <c r="E3970" s="206" t="str">
        <f>IF(AND(A3970&lt;&gt;"",ISNUMBER(A3970)),VLOOKUP(A3970,Studies!A:BR,5,FALSE),"")</f>
        <v>Midazolam</v>
      </c>
      <c r="F3970" s="207" t="str">
        <f>IF(AND(A3970&lt;&gt;"",ISNUMBER(A3970)),VLOOKUP(A3970,Studies!A:BR,6,FALSE),"")</f>
        <v>Plasma</v>
      </c>
      <c r="G3970" s="164">
        <v>7230</v>
      </c>
      <c r="H3970" s="194" t="s">
        <v>1041</v>
      </c>
      <c r="I3970" s="187">
        <v>10.78158</v>
      </c>
      <c r="J3970" s="187" t="s">
        <v>1090</v>
      </c>
      <c r="K3970" s="187" t="s">
        <v>264</v>
      </c>
      <c r="L3970" s="195"/>
      <c r="M3970" s="195"/>
      <c r="N3970" s="195"/>
      <c r="O3970" s="199"/>
      <c r="P3970" s="188"/>
      <c r="Q3970" s="174">
        <f>IF(ISNUMBER(VLOOKUP(A3970,NotghiID!A:A,1,FALSE)),1,0)</f>
        <v>1</v>
      </c>
    </row>
    <row r="3971" spans="1:17" ht="14.25" x14ac:dyDescent="0.2">
      <c r="A3971" s="205">
        <v>276</v>
      </c>
      <c r="B3971" s="232" t="str">
        <f>IF(AND(A3971&lt;&gt;"",ISNUMBER(A3971)),VLOOKUP(A3971,Studies!A:BR,2,FALSE),"")</f>
        <v>Kharasch 1997</v>
      </c>
      <c r="C3971" s="232" t="str">
        <f>IF(AND(A3971&lt;&gt;"",ISNUMBER(A3971)),VLOOKUP(A3971,Studies!A:BR,3,FALSE),"")</f>
        <v>https://www.ncbi.nlm.nih.gov/pubmed/9232132</v>
      </c>
      <c r="D3971" s="232" t="str">
        <f>IF(AND(A3971&lt;&gt;"",ISNUMBER(A3971)),VLOOKUP(A3971,Studies!A:BR,4,FALSE),"")</f>
        <v>with Perpetrator (Rifampicin)</v>
      </c>
      <c r="E3971" s="206" t="str">
        <f>IF(AND(A3971&lt;&gt;"",ISNUMBER(A3971)),VLOOKUP(A3971,Studies!A:BR,5,FALSE),"")</f>
        <v>Midazolam</v>
      </c>
      <c r="F3971" s="207" t="str">
        <f>IF(AND(A3971&lt;&gt;"",ISNUMBER(A3971)),VLOOKUP(A3971,Studies!A:BR,6,FALSE),"")</f>
        <v>Plasma</v>
      </c>
      <c r="G3971" s="164">
        <v>7263.1863400000002</v>
      </c>
      <c r="H3971" s="194" t="s">
        <v>1041</v>
      </c>
      <c r="I3971" s="187">
        <v>6.2476250000000002</v>
      </c>
      <c r="J3971" s="187" t="s">
        <v>1090</v>
      </c>
      <c r="K3971" s="187" t="s">
        <v>264</v>
      </c>
      <c r="L3971" s="195"/>
      <c r="M3971" s="195"/>
      <c r="N3971" s="195"/>
      <c r="O3971" s="199"/>
      <c r="P3971" s="189" t="s">
        <v>1169</v>
      </c>
      <c r="Q3971" s="174">
        <f>IF(ISNUMBER(VLOOKUP(A3971,NotghiID!A:A,1,FALSE)),1,0)</f>
        <v>1</v>
      </c>
    </row>
    <row r="3972" spans="1:17" ht="14.25" x14ac:dyDescent="0.2">
      <c r="A3972" s="205">
        <v>276</v>
      </c>
      <c r="B3972" s="232" t="str">
        <f>IF(AND(A3972&lt;&gt;"",ISNUMBER(A3972)),VLOOKUP(A3972,Studies!A:BR,2,FALSE),"")</f>
        <v>Kharasch 1997</v>
      </c>
      <c r="C3972" s="232" t="str">
        <f>IF(AND(A3972&lt;&gt;"",ISNUMBER(A3972)),VLOOKUP(A3972,Studies!A:BR,3,FALSE),"")</f>
        <v>https://www.ncbi.nlm.nih.gov/pubmed/9232132</v>
      </c>
      <c r="D3972" s="232" t="str">
        <f>IF(AND(A3972&lt;&gt;"",ISNUMBER(A3972)),VLOOKUP(A3972,Studies!A:BR,4,FALSE),"")</f>
        <v>with Perpetrator (Rifampicin)</v>
      </c>
      <c r="E3972" s="206" t="str">
        <f>IF(AND(A3972&lt;&gt;"",ISNUMBER(A3972)),VLOOKUP(A3972,Studies!A:BR,5,FALSE),"")</f>
        <v>Midazolam</v>
      </c>
      <c r="F3972" s="207" t="str">
        <f>IF(AND(A3972&lt;&gt;"",ISNUMBER(A3972)),VLOOKUP(A3972,Studies!A:BR,6,FALSE),"")</f>
        <v>Plasma</v>
      </c>
      <c r="G3972" s="164">
        <v>7266.7211600000001</v>
      </c>
      <c r="H3972" s="194" t="s">
        <v>1041</v>
      </c>
      <c r="I3972" s="187">
        <v>5.9397869999999999</v>
      </c>
      <c r="J3972" s="187" t="s">
        <v>1090</v>
      </c>
      <c r="K3972" s="187" t="s">
        <v>264</v>
      </c>
      <c r="L3972" s="195"/>
      <c r="M3972" s="195"/>
      <c r="N3972" s="195"/>
      <c r="O3972" s="199"/>
      <c r="P3972" s="188"/>
      <c r="Q3972" s="174">
        <f>IF(ISNUMBER(VLOOKUP(A3972,NotghiID!A:A,1,FALSE)),1,0)</f>
        <v>1</v>
      </c>
    </row>
    <row r="3973" spans="1:17" ht="14.25" x14ac:dyDescent="0.2">
      <c r="A3973" s="205">
        <v>276</v>
      </c>
      <c r="B3973" s="232" t="str">
        <f>IF(AND(A3973&lt;&gt;"",ISNUMBER(A3973)),VLOOKUP(A3973,Studies!A:BR,2,FALSE),"")</f>
        <v>Kharasch 1997</v>
      </c>
      <c r="C3973" s="232" t="str">
        <f>IF(AND(A3973&lt;&gt;"",ISNUMBER(A3973)),VLOOKUP(A3973,Studies!A:BR,3,FALSE),"")</f>
        <v>https://www.ncbi.nlm.nih.gov/pubmed/9232132</v>
      </c>
      <c r="D3973" s="232" t="str">
        <f>IF(AND(A3973&lt;&gt;"",ISNUMBER(A3973)),VLOOKUP(A3973,Studies!A:BR,4,FALSE),"")</f>
        <v>with Perpetrator (Rifampicin)</v>
      </c>
      <c r="E3973" s="206" t="str">
        <f>IF(AND(A3973&lt;&gt;"",ISNUMBER(A3973)),VLOOKUP(A3973,Studies!A:BR,5,FALSE),"")</f>
        <v>Midazolam</v>
      </c>
      <c r="F3973" s="207" t="str">
        <f>IF(AND(A3973&lt;&gt;"",ISNUMBER(A3973)),VLOOKUP(A3973,Studies!A:BR,6,FALSE),"")</f>
        <v>Plasma</v>
      </c>
      <c r="G3973" s="164">
        <v>7308.9130999999998</v>
      </c>
      <c r="H3973" s="194" t="s">
        <v>1041</v>
      </c>
      <c r="I3973" s="187">
        <v>3.9634459999999998</v>
      </c>
      <c r="J3973" s="187" t="s">
        <v>1090</v>
      </c>
      <c r="K3973" s="187" t="s">
        <v>264</v>
      </c>
      <c r="L3973" s="195"/>
      <c r="M3973" s="195"/>
      <c r="N3973" s="195"/>
      <c r="O3973" s="199"/>
      <c r="P3973" s="188"/>
      <c r="Q3973" s="174">
        <f>IF(ISNUMBER(VLOOKUP(A3973,NotghiID!A:A,1,FALSE)),1,0)</f>
        <v>1</v>
      </c>
    </row>
    <row r="3974" spans="1:17" ht="14.25" x14ac:dyDescent="0.2">
      <c r="A3974" s="205">
        <v>276</v>
      </c>
      <c r="B3974" s="232" t="str">
        <f>IF(AND(A3974&lt;&gt;"",ISNUMBER(A3974)),VLOOKUP(A3974,Studies!A:BR,2,FALSE),"")</f>
        <v>Kharasch 1997</v>
      </c>
      <c r="C3974" s="232" t="str">
        <f>IF(AND(A3974&lt;&gt;"",ISNUMBER(A3974)),VLOOKUP(A3974,Studies!A:BR,3,FALSE),"")</f>
        <v>https://www.ncbi.nlm.nih.gov/pubmed/9232132</v>
      </c>
      <c r="D3974" s="232" t="str">
        <f>IF(AND(A3974&lt;&gt;"",ISNUMBER(A3974)),VLOOKUP(A3974,Studies!A:BR,4,FALSE),"")</f>
        <v>with Perpetrator (Rifampicin)</v>
      </c>
      <c r="E3974" s="206" t="str">
        <f>IF(AND(A3974&lt;&gt;"",ISNUMBER(A3974)),VLOOKUP(A3974,Studies!A:BR,5,FALSE),"")</f>
        <v>Midazolam</v>
      </c>
      <c r="F3974" s="207" t="str">
        <f>IF(AND(A3974&lt;&gt;"",ISNUMBER(A3974)),VLOOKUP(A3974,Studies!A:BR,6,FALSE),"")</f>
        <v>Plasma</v>
      </c>
      <c r="G3974" s="164">
        <v>7323.0862999999999</v>
      </c>
      <c r="H3974" s="194" t="s">
        <v>1041</v>
      </c>
      <c r="I3974" s="187">
        <v>3.141607</v>
      </c>
      <c r="J3974" s="187" t="s">
        <v>1090</v>
      </c>
      <c r="K3974" s="187" t="s">
        <v>264</v>
      </c>
      <c r="L3974" s="195"/>
      <c r="M3974" s="195"/>
      <c r="N3974" s="195"/>
      <c r="O3974" s="199"/>
      <c r="P3974" s="188"/>
      <c r="Q3974" s="174">
        <f>IF(ISNUMBER(VLOOKUP(A3974,NotghiID!A:A,1,FALSE)),1,0)</f>
        <v>1</v>
      </c>
    </row>
    <row r="3975" spans="1:17" ht="14.25" x14ac:dyDescent="0.2">
      <c r="A3975" s="205">
        <v>276</v>
      </c>
      <c r="B3975" s="232" t="str">
        <f>IF(AND(A3975&lt;&gt;"",ISNUMBER(A3975)),VLOOKUP(A3975,Studies!A:BR,2,FALSE),"")</f>
        <v>Kharasch 1997</v>
      </c>
      <c r="C3975" s="232" t="str">
        <f>IF(AND(A3975&lt;&gt;"",ISNUMBER(A3975)),VLOOKUP(A3975,Studies!A:BR,3,FALSE),"")</f>
        <v>https://www.ncbi.nlm.nih.gov/pubmed/9232132</v>
      </c>
      <c r="D3975" s="232" t="str">
        <f>IF(AND(A3975&lt;&gt;"",ISNUMBER(A3975)),VLOOKUP(A3975,Studies!A:BR,4,FALSE),"")</f>
        <v>with Perpetrator (Rifampicin)</v>
      </c>
      <c r="E3975" s="206" t="str">
        <f>IF(AND(A3975&lt;&gt;"",ISNUMBER(A3975)),VLOOKUP(A3975,Studies!A:BR,5,FALSE),"")</f>
        <v>Midazolam</v>
      </c>
      <c r="F3975" s="207" t="str">
        <f>IF(AND(A3975&lt;&gt;"",ISNUMBER(A3975)),VLOOKUP(A3975,Studies!A:BR,6,FALSE),"")</f>
        <v>Plasma</v>
      </c>
      <c r="G3975" s="164">
        <v>7352.6522999999997</v>
      </c>
      <c r="H3975" s="194" t="s">
        <v>1041</v>
      </c>
      <c r="I3975" s="187">
        <v>3.1393759999999999</v>
      </c>
      <c r="J3975" s="187" t="s">
        <v>1090</v>
      </c>
      <c r="K3975" s="187" t="s">
        <v>264</v>
      </c>
      <c r="L3975" s="195"/>
      <c r="M3975" s="195"/>
      <c r="N3975" s="195"/>
      <c r="O3975" s="199"/>
      <c r="P3975" s="188"/>
      <c r="Q3975" s="174">
        <f>IF(ISNUMBER(VLOOKUP(A3975,NotghiID!A:A,1,FALSE)),1,0)</f>
        <v>1</v>
      </c>
    </row>
    <row r="3976" spans="1:17" ht="14.25" x14ac:dyDescent="0.2">
      <c r="A3976" s="205">
        <v>276</v>
      </c>
      <c r="B3976" s="232" t="str">
        <f>IF(AND(A3976&lt;&gt;"",ISNUMBER(A3976)),VLOOKUP(A3976,Studies!A:BR,2,FALSE),"")</f>
        <v>Kharasch 1997</v>
      </c>
      <c r="C3976" s="232" t="str">
        <f>IF(AND(A3976&lt;&gt;"",ISNUMBER(A3976)),VLOOKUP(A3976,Studies!A:BR,3,FALSE),"")</f>
        <v>https://www.ncbi.nlm.nih.gov/pubmed/9232132</v>
      </c>
      <c r="D3976" s="232" t="str">
        <f>IF(AND(A3976&lt;&gt;"",ISNUMBER(A3976)),VLOOKUP(A3976,Studies!A:BR,4,FALSE),"")</f>
        <v>with Perpetrator (Rifampicin)</v>
      </c>
      <c r="E3976" s="206" t="str">
        <f>IF(AND(A3976&lt;&gt;"",ISNUMBER(A3976)),VLOOKUP(A3976,Studies!A:BR,5,FALSE),"")</f>
        <v>Midazolam</v>
      </c>
      <c r="F3976" s="207" t="str">
        <f>IF(AND(A3976&lt;&gt;"",ISNUMBER(A3976)),VLOOKUP(A3976,Studies!A:BR,6,FALSE),"")</f>
        <v>Plasma</v>
      </c>
      <c r="G3976" s="164">
        <v>7382.6588000000002</v>
      </c>
      <c r="H3976" s="194" t="s">
        <v>1041</v>
      </c>
      <c r="I3976" s="187">
        <v>2.1166740000000002</v>
      </c>
      <c r="J3976" s="187" t="s">
        <v>1090</v>
      </c>
      <c r="K3976" s="187" t="s">
        <v>264</v>
      </c>
      <c r="L3976" s="195"/>
      <c r="M3976" s="195"/>
      <c r="N3976" s="195"/>
      <c r="O3976" s="199"/>
      <c r="P3976" s="188"/>
      <c r="Q3976" s="174">
        <f>IF(ISNUMBER(VLOOKUP(A3976,NotghiID!A:A,1,FALSE)),1,0)</f>
        <v>1</v>
      </c>
    </row>
    <row r="3977" spans="1:17" ht="14.25" x14ac:dyDescent="0.2">
      <c r="A3977" s="205">
        <v>276</v>
      </c>
      <c r="B3977" s="232" t="str">
        <f>IF(AND(A3977&lt;&gt;"",ISNUMBER(A3977)),VLOOKUP(A3977,Studies!A:BR,2,FALSE),"")</f>
        <v>Kharasch 1997</v>
      </c>
      <c r="C3977" s="232" t="str">
        <f>IF(AND(A3977&lt;&gt;"",ISNUMBER(A3977)),VLOOKUP(A3977,Studies!A:BR,3,FALSE),"")</f>
        <v>https://www.ncbi.nlm.nih.gov/pubmed/9232132</v>
      </c>
      <c r="D3977" s="232" t="str">
        <f>IF(AND(A3977&lt;&gt;"",ISNUMBER(A3977)),VLOOKUP(A3977,Studies!A:BR,4,FALSE),"")</f>
        <v>with Perpetrator (Rifampicin)</v>
      </c>
      <c r="E3977" s="206" t="str">
        <f>IF(AND(A3977&lt;&gt;"",ISNUMBER(A3977)),VLOOKUP(A3977,Studies!A:BR,5,FALSE),"")</f>
        <v>Midazolam</v>
      </c>
      <c r="F3977" s="207" t="str">
        <f>IF(AND(A3977&lt;&gt;"",ISNUMBER(A3977)),VLOOKUP(A3977,Studies!A:BR,6,FALSE),"")</f>
        <v>Plasma</v>
      </c>
      <c r="G3977" s="164">
        <v>7442.1296000000002</v>
      </c>
      <c r="H3977" s="194" t="s">
        <v>1041</v>
      </c>
      <c r="I3977" s="187">
        <v>1.561674</v>
      </c>
      <c r="J3977" s="187" t="s">
        <v>1090</v>
      </c>
      <c r="K3977" s="187" t="s">
        <v>264</v>
      </c>
      <c r="L3977" s="195"/>
      <c r="M3977" s="195"/>
      <c r="N3977" s="195"/>
      <c r="O3977" s="199"/>
      <c r="P3977" s="188"/>
      <c r="Q3977" s="174">
        <f>IF(ISNUMBER(VLOOKUP(A3977,NotghiID!A:A,1,FALSE)),1,0)</f>
        <v>1</v>
      </c>
    </row>
    <row r="3978" spans="1:17" ht="14.25" x14ac:dyDescent="0.2">
      <c r="A3978" s="205">
        <v>277</v>
      </c>
      <c r="B3978" s="232" t="str">
        <f>IF(AND(A3978&lt;&gt;"",ISNUMBER(A3978)),VLOOKUP(A3978,Studies!A:BR,2,FALSE),"")</f>
        <v>Kharasch 1997</v>
      </c>
      <c r="C3978" s="232" t="str">
        <f>IF(AND(A3978&lt;&gt;"",ISNUMBER(A3978)),VLOOKUP(A3978,Studies!A:BR,3,FALSE),"")</f>
        <v>https://www.ncbi.nlm.nih.gov/pubmed/9232132</v>
      </c>
      <c r="D3978" s="232" t="str">
        <f>IF(AND(A3978&lt;&gt;"",ISNUMBER(A3978)),VLOOKUP(A3978,Studies!A:BR,4,FALSE),"")</f>
        <v>Control (Perpetrator Placebo)</v>
      </c>
      <c r="E3978" s="206" t="str">
        <f>IF(AND(A3978&lt;&gt;"",ISNUMBER(A3978)),VLOOKUP(A3978,Studies!A:BR,5,FALSE),"")</f>
        <v>Alfentanil</v>
      </c>
      <c r="F3978" s="207" t="str">
        <f>IF(AND(A3978&lt;&gt;"",ISNUMBER(A3978)),VLOOKUP(A3978,Studies!A:BR,6,FALSE),"")</f>
        <v>Plasma</v>
      </c>
      <c r="G3978" s="194">
        <v>0.02</v>
      </c>
      <c r="H3978" s="194" t="s">
        <v>60</v>
      </c>
      <c r="I3978" s="187">
        <v>130.09909999999999</v>
      </c>
      <c r="J3978" s="187" t="s">
        <v>1090</v>
      </c>
      <c r="K3978" s="187" t="s">
        <v>389</v>
      </c>
      <c r="L3978" s="195">
        <v>41.494219999999999</v>
      </c>
      <c r="M3978" s="195" t="s">
        <v>1090</v>
      </c>
      <c r="N3978" s="195" t="s">
        <v>1034</v>
      </c>
      <c r="O3978" s="199"/>
      <c r="P3978" s="188"/>
      <c r="Q3978" s="174">
        <f>IF(ISNUMBER(VLOOKUP(A3978,NotghiID!A:A,1,FALSE)),1,0)</f>
        <v>1</v>
      </c>
    </row>
    <row r="3979" spans="1:17" ht="14.25" x14ac:dyDescent="0.2">
      <c r="A3979" s="205">
        <v>277</v>
      </c>
      <c r="B3979" s="232" t="str">
        <f>IF(AND(A3979&lt;&gt;"",ISNUMBER(A3979)),VLOOKUP(A3979,Studies!A:BR,2,FALSE),"")</f>
        <v>Kharasch 1997</v>
      </c>
      <c r="C3979" s="232" t="str">
        <f>IF(AND(A3979&lt;&gt;"",ISNUMBER(A3979)),VLOOKUP(A3979,Studies!A:BR,3,FALSE),"")</f>
        <v>https://www.ncbi.nlm.nih.gov/pubmed/9232132</v>
      </c>
      <c r="D3979" s="232" t="str">
        <f>IF(AND(A3979&lt;&gt;"",ISNUMBER(A3979)),VLOOKUP(A3979,Studies!A:BR,4,FALSE),"")</f>
        <v>Control (Perpetrator Placebo)</v>
      </c>
      <c r="E3979" s="206" t="str">
        <f>IF(AND(A3979&lt;&gt;"",ISNUMBER(A3979)),VLOOKUP(A3979,Studies!A:BR,5,FALSE),"")</f>
        <v>Alfentanil</v>
      </c>
      <c r="F3979" s="207" t="str">
        <f>IF(AND(A3979&lt;&gt;"",ISNUMBER(A3979)),VLOOKUP(A3979,Studies!A:BR,6,FALSE),"")</f>
        <v>Plasma</v>
      </c>
      <c r="G3979" s="194">
        <v>0.05</v>
      </c>
      <c r="H3979" s="194" t="s">
        <v>60</v>
      </c>
      <c r="I3979" s="187">
        <v>77.957080000000005</v>
      </c>
      <c r="J3979" s="187" t="s">
        <v>1090</v>
      </c>
      <c r="K3979" s="187" t="s">
        <v>389</v>
      </c>
      <c r="L3979" s="195">
        <v>15.38165</v>
      </c>
      <c r="M3979" s="195" t="s">
        <v>1090</v>
      </c>
      <c r="N3979" s="195" t="s">
        <v>1034</v>
      </c>
      <c r="O3979" s="199"/>
      <c r="P3979" s="188"/>
      <c r="Q3979" s="174">
        <f>IF(ISNUMBER(VLOOKUP(A3979,NotghiID!A:A,1,FALSE)),1,0)</f>
        <v>1</v>
      </c>
    </row>
    <row r="3980" spans="1:17" ht="14.25" x14ac:dyDescent="0.2">
      <c r="A3980" s="205">
        <v>277</v>
      </c>
      <c r="B3980" s="232" t="str">
        <f>IF(AND(A3980&lt;&gt;"",ISNUMBER(A3980)),VLOOKUP(A3980,Studies!A:BR,2,FALSE),"")</f>
        <v>Kharasch 1997</v>
      </c>
      <c r="C3980" s="232" t="str">
        <f>IF(AND(A3980&lt;&gt;"",ISNUMBER(A3980)),VLOOKUP(A3980,Studies!A:BR,3,FALSE),"")</f>
        <v>https://www.ncbi.nlm.nih.gov/pubmed/9232132</v>
      </c>
      <c r="D3980" s="232" t="str">
        <f>IF(AND(A3980&lt;&gt;"",ISNUMBER(A3980)),VLOOKUP(A3980,Studies!A:BR,4,FALSE),"")</f>
        <v>Control (Perpetrator Placebo)</v>
      </c>
      <c r="E3980" s="206" t="str">
        <f>IF(AND(A3980&lt;&gt;"",ISNUMBER(A3980)),VLOOKUP(A3980,Studies!A:BR,5,FALSE),"")</f>
        <v>Alfentanil</v>
      </c>
      <c r="F3980" s="207" t="str">
        <f>IF(AND(A3980&lt;&gt;"",ISNUMBER(A3980)),VLOOKUP(A3980,Studies!A:BR,6,FALSE),"")</f>
        <v>Plasma</v>
      </c>
      <c r="G3980" s="194">
        <v>0.5</v>
      </c>
      <c r="H3980" s="194" t="s">
        <v>60</v>
      </c>
      <c r="I3980" s="187">
        <v>35.489440000000002</v>
      </c>
      <c r="J3980" s="187" t="s">
        <v>1090</v>
      </c>
      <c r="K3980" s="187" t="s">
        <v>389</v>
      </c>
      <c r="L3980" s="195">
        <v>5.0122619999999998</v>
      </c>
      <c r="M3980" s="195" t="s">
        <v>1090</v>
      </c>
      <c r="N3980" s="195" t="s">
        <v>1034</v>
      </c>
      <c r="O3980" s="199"/>
      <c r="P3980" s="189" t="s">
        <v>1170</v>
      </c>
      <c r="Q3980" s="174">
        <f>IF(ISNUMBER(VLOOKUP(A3980,NotghiID!A:A,1,FALSE)),1,0)</f>
        <v>1</v>
      </c>
    </row>
    <row r="3981" spans="1:17" ht="14.25" x14ac:dyDescent="0.2">
      <c r="A3981" s="205">
        <v>277</v>
      </c>
      <c r="B3981" s="232" t="str">
        <f>IF(AND(A3981&lt;&gt;"",ISNUMBER(A3981)),VLOOKUP(A3981,Studies!A:BR,2,FALSE),"")</f>
        <v>Kharasch 1997</v>
      </c>
      <c r="C3981" s="232" t="str">
        <f>IF(AND(A3981&lt;&gt;"",ISNUMBER(A3981)),VLOOKUP(A3981,Studies!A:BR,3,FALSE),"")</f>
        <v>https://www.ncbi.nlm.nih.gov/pubmed/9232132</v>
      </c>
      <c r="D3981" s="232" t="str">
        <f>IF(AND(A3981&lt;&gt;"",ISNUMBER(A3981)),VLOOKUP(A3981,Studies!A:BR,4,FALSE),"")</f>
        <v>Control (Perpetrator Placebo)</v>
      </c>
      <c r="E3981" s="206" t="str">
        <f>IF(AND(A3981&lt;&gt;"",ISNUMBER(A3981)),VLOOKUP(A3981,Studies!A:BR,5,FALSE),"")</f>
        <v>Alfentanil</v>
      </c>
      <c r="F3981" s="207" t="str">
        <f>IF(AND(A3981&lt;&gt;"",ISNUMBER(A3981)),VLOOKUP(A3981,Studies!A:BR,6,FALSE),"")</f>
        <v>Plasma</v>
      </c>
      <c r="G3981" s="194">
        <v>0.75</v>
      </c>
      <c r="H3981" s="194" t="s">
        <v>60</v>
      </c>
      <c r="I3981" s="187">
        <v>25.13223</v>
      </c>
      <c r="J3981" s="187" t="s">
        <v>1090</v>
      </c>
      <c r="K3981" s="187" t="s">
        <v>389</v>
      </c>
      <c r="L3981" s="195">
        <v>3.73488</v>
      </c>
      <c r="M3981" s="195" t="s">
        <v>1090</v>
      </c>
      <c r="N3981" s="195" t="s">
        <v>1034</v>
      </c>
      <c r="O3981" s="199"/>
      <c r="P3981" s="188"/>
      <c r="Q3981" s="174">
        <f>IF(ISNUMBER(VLOOKUP(A3981,NotghiID!A:A,1,FALSE)),1,0)</f>
        <v>1</v>
      </c>
    </row>
    <row r="3982" spans="1:17" ht="14.25" x14ac:dyDescent="0.2">
      <c r="A3982" s="205">
        <v>277</v>
      </c>
      <c r="B3982" s="232" t="str">
        <f>IF(AND(A3982&lt;&gt;"",ISNUMBER(A3982)),VLOOKUP(A3982,Studies!A:BR,2,FALSE),"")</f>
        <v>Kharasch 1997</v>
      </c>
      <c r="C3982" s="232" t="str">
        <f>IF(AND(A3982&lt;&gt;"",ISNUMBER(A3982)),VLOOKUP(A3982,Studies!A:BR,3,FALSE),"")</f>
        <v>https://www.ncbi.nlm.nih.gov/pubmed/9232132</v>
      </c>
      <c r="D3982" s="232" t="str">
        <f>IF(AND(A3982&lt;&gt;"",ISNUMBER(A3982)),VLOOKUP(A3982,Studies!A:BR,4,FALSE),"")</f>
        <v>Control (Perpetrator Placebo)</v>
      </c>
      <c r="E3982" s="206" t="str">
        <f>IF(AND(A3982&lt;&gt;"",ISNUMBER(A3982)),VLOOKUP(A3982,Studies!A:BR,5,FALSE),"")</f>
        <v>Alfentanil</v>
      </c>
      <c r="F3982" s="207" t="str">
        <f>IF(AND(A3982&lt;&gt;"",ISNUMBER(A3982)),VLOOKUP(A3982,Studies!A:BR,6,FALSE),"")</f>
        <v>Plasma</v>
      </c>
      <c r="G3982" s="194">
        <v>1</v>
      </c>
      <c r="H3982" s="194" t="s">
        <v>60</v>
      </c>
      <c r="I3982" s="187">
        <v>21.910430000000002</v>
      </c>
      <c r="J3982" s="187" t="s">
        <v>1090</v>
      </c>
      <c r="K3982" s="187" t="s">
        <v>389</v>
      </c>
      <c r="L3982" s="195">
        <v>3.6082079999999999</v>
      </c>
      <c r="M3982" s="195" t="s">
        <v>1090</v>
      </c>
      <c r="N3982" s="195" t="s">
        <v>1034</v>
      </c>
      <c r="O3982" s="199"/>
      <c r="P3982" s="188"/>
      <c r="Q3982" s="174">
        <f>IF(ISNUMBER(VLOOKUP(A3982,NotghiID!A:A,1,FALSE)),1,0)</f>
        <v>1</v>
      </c>
    </row>
    <row r="3983" spans="1:17" ht="14.25" x14ac:dyDescent="0.2">
      <c r="A3983" s="205">
        <v>277</v>
      </c>
      <c r="B3983" s="232" t="str">
        <f>IF(AND(A3983&lt;&gt;"",ISNUMBER(A3983)),VLOOKUP(A3983,Studies!A:BR,2,FALSE),"")</f>
        <v>Kharasch 1997</v>
      </c>
      <c r="C3983" s="232" t="str">
        <f>IF(AND(A3983&lt;&gt;"",ISNUMBER(A3983)),VLOOKUP(A3983,Studies!A:BR,3,FALSE),"")</f>
        <v>https://www.ncbi.nlm.nih.gov/pubmed/9232132</v>
      </c>
      <c r="D3983" s="232" t="str">
        <f>IF(AND(A3983&lt;&gt;"",ISNUMBER(A3983)),VLOOKUP(A3983,Studies!A:BR,4,FALSE),"")</f>
        <v>Control (Perpetrator Placebo)</v>
      </c>
      <c r="E3983" s="206" t="str">
        <f>IF(AND(A3983&lt;&gt;"",ISNUMBER(A3983)),VLOOKUP(A3983,Studies!A:BR,5,FALSE),"")</f>
        <v>Alfentanil</v>
      </c>
      <c r="F3983" s="207" t="str">
        <f>IF(AND(A3983&lt;&gt;"",ISNUMBER(A3983)),VLOOKUP(A3983,Studies!A:BR,6,FALSE),"")</f>
        <v>Plasma</v>
      </c>
      <c r="G3983" s="194">
        <v>1.5</v>
      </c>
      <c r="H3983" s="194" t="s">
        <v>60</v>
      </c>
      <c r="I3983" s="187">
        <v>15.753830000000001</v>
      </c>
      <c r="J3983" s="187" t="s">
        <v>1090</v>
      </c>
      <c r="K3983" s="187" t="s">
        <v>389</v>
      </c>
      <c r="L3983" s="195">
        <v>2.0382600000000002</v>
      </c>
      <c r="M3983" s="195" t="s">
        <v>1090</v>
      </c>
      <c r="N3983" s="195" t="s">
        <v>1034</v>
      </c>
      <c r="O3983" s="199"/>
      <c r="P3983" s="188"/>
      <c r="Q3983" s="174">
        <f>IF(ISNUMBER(VLOOKUP(A3983,NotghiID!A:A,1,FALSE)),1,0)</f>
        <v>1</v>
      </c>
    </row>
    <row r="3984" spans="1:17" ht="14.25" x14ac:dyDescent="0.2">
      <c r="A3984" s="205">
        <v>277</v>
      </c>
      <c r="B3984" s="232" t="str">
        <f>IF(AND(A3984&lt;&gt;"",ISNUMBER(A3984)),VLOOKUP(A3984,Studies!A:BR,2,FALSE),"")</f>
        <v>Kharasch 1997</v>
      </c>
      <c r="C3984" s="232" t="str">
        <f>IF(AND(A3984&lt;&gt;"",ISNUMBER(A3984)),VLOOKUP(A3984,Studies!A:BR,3,FALSE),"")</f>
        <v>https://www.ncbi.nlm.nih.gov/pubmed/9232132</v>
      </c>
      <c r="D3984" s="232" t="str">
        <f>IF(AND(A3984&lt;&gt;"",ISNUMBER(A3984)),VLOOKUP(A3984,Studies!A:BR,4,FALSE),"")</f>
        <v>Control (Perpetrator Placebo)</v>
      </c>
      <c r="E3984" s="206" t="str">
        <f>IF(AND(A3984&lt;&gt;"",ISNUMBER(A3984)),VLOOKUP(A3984,Studies!A:BR,5,FALSE),"")</f>
        <v>Alfentanil</v>
      </c>
      <c r="F3984" s="207" t="str">
        <f>IF(AND(A3984&lt;&gt;"",ISNUMBER(A3984)),VLOOKUP(A3984,Studies!A:BR,6,FALSE),"")</f>
        <v>Plasma</v>
      </c>
      <c r="G3984" s="194">
        <v>2</v>
      </c>
      <c r="H3984" s="194" t="s">
        <v>60</v>
      </c>
      <c r="I3984" s="187">
        <v>13.00695</v>
      </c>
      <c r="J3984" s="187" t="s">
        <v>1090</v>
      </c>
      <c r="K3984" s="187" t="s">
        <v>389</v>
      </c>
      <c r="L3984" s="195">
        <v>2.5839089999999998</v>
      </c>
      <c r="M3984" s="195" t="s">
        <v>1090</v>
      </c>
      <c r="N3984" s="195" t="s">
        <v>1034</v>
      </c>
      <c r="O3984" s="199"/>
      <c r="P3984" s="188"/>
      <c r="Q3984" s="174">
        <f>IF(ISNUMBER(VLOOKUP(A3984,NotghiID!A:A,1,FALSE)),1,0)</f>
        <v>1</v>
      </c>
    </row>
    <row r="3985" spans="1:17" ht="14.25" x14ac:dyDescent="0.2">
      <c r="A3985" s="205">
        <v>277</v>
      </c>
      <c r="B3985" s="232" t="str">
        <f>IF(AND(A3985&lt;&gt;"",ISNUMBER(A3985)),VLOOKUP(A3985,Studies!A:BR,2,FALSE),"")</f>
        <v>Kharasch 1997</v>
      </c>
      <c r="C3985" s="232" t="str">
        <f>IF(AND(A3985&lt;&gt;"",ISNUMBER(A3985)),VLOOKUP(A3985,Studies!A:BR,3,FALSE),"")</f>
        <v>https://www.ncbi.nlm.nih.gov/pubmed/9232132</v>
      </c>
      <c r="D3985" s="232" t="str">
        <f>IF(AND(A3985&lt;&gt;"",ISNUMBER(A3985)),VLOOKUP(A3985,Studies!A:BR,4,FALSE),"")</f>
        <v>Control (Perpetrator Placebo)</v>
      </c>
      <c r="E3985" s="206" t="str">
        <f>IF(AND(A3985&lt;&gt;"",ISNUMBER(A3985)),VLOOKUP(A3985,Studies!A:BR,5,FALSE),"")</f>
        <v>Alfentanil</v>
      </c>
      <c r="F3985" s="207" t="str">
        <f>IF(AND(A3985&lt;&gt;"",ISNUMBER(A3985)),VLOOKUP(A3985,Studies!A:BR,6,FALSE),"")</f>
        <v>Plasma</v>
      </c>
      <c r="G3985" s="194">
        <v>3</v>
      </c>
      <c r="H3985" s="194" t="s">
        <v>60</v>
      </c>
      <c r="I3985" s="187">
        <v>7.7214700000000001</v>
      </c>
      <c r="J3985" s="187" t="s">
        <v>1090</v>
      </c>
      <c r="K3985" s="187" t="s">
        <v>389</v>
      </c>
      <c r="L3985" s="195">
        <v>1.6189709999999999</v>
      </c>
      <c r="M3985" s="195" t="s">
        <v>1090</v>
      </c>
      <c r="N3985" s="195" t="s">
        <v>1034</v>
      </c>
      <c r="O3985" s="199"/>
      <c r="P3985" s="188"/>
      <c r="Q3985" s="174">
        <f>IF(ISNUMBER(VLOOKUP(A3985,NotghiID!A:A,1,FALSE)),1,0)</f>
        <v>1</v>
      </c>
    </row>
    <row r="3986" spans="1:17" ht="14.25" x14ac:dyDescent="0.2">
      <c r="A3986" s="205">
        <v>277</v>
      </c>
      <c r="B3986" s="232" t="str">
        <f>IF(AND(A3986&lt;&gt;"",ISNUMBER(A3986)),VLOOKUP(A3986,Studies!A:BR,2,FALSE),"")</f>
        <v>Kharasch 1997</v>
      </c>
      <c r="C3986" s="232" t="str">
        <f>IF(AND(A3986&lt;&gt;"",ISNUMBER(A3986)),VLOOKUP(A3986,Studies!A:BR,3,FALSE),"")</f>
        <v>https://www.ncbi.nlm.nih.gov/pubmed/9232132</v>
      </c>
      <c r="D3986" s="232" t="str">
        <f>IF(AND(A3986&lt;&gt;"",ISNUMBER(A3986)),VLOOKUP(A3986,Studies!A:BR,4,FALSE),"")</f>
        <v>Control (Perpetrator Placebo)</v>
      </c>
      <c r="E3986" s="206" t="str">
        <f>IF(AND(A3986&lt;&gt;"",ISNUMBER(A3986)),VLOOKUP(A3986,Studies!A:BR,5,FALSE),"")</f>
        <v>Alfentanil</v>
      </c>
      <c r="F3986" s="207" t="str">
        <f>IF(AND(A3986&lt;&gt;"",ISNUMBER(A3986)),VLOOKUP(A3986,Studies!A:BR,6,FALSE),"")</f>
        <v>Plasma</v>
      </c>
      <c r="G3986" s="194">
        <v>4</v>
      </c>
      <c r="H3986" s="194" t="s">
        <v>60</v>
      </c>
      <c r="I3986" s="187">
        <v>3.8289309999999999</v>
      </c>
      <c r="J3986" s="187" t="s">
        <v>1090</v>
      </c>
      <c r="K3986" s="187" t="s">
        <v>389</v>
      </c>
      <c r="L3986" s="195">
        <v>0.96580840000000001</v>
      </c>
      <c r="M3986" s="195" t="s">
        <v>1090</v>
      </c>
      <c r="N3986" s="195" t="s">
        <v>1034</v>
      </c>
      <c r="O3986" s="199"/>
      <c r="P3986" s="188"/>
      <c r="Q3986" s="174">
        <f>IF(ISNUMBER(VLOOKUP(A3986,NotghiID!A:A,1,FALSE)),1,0)</f>
        <v>1</v>
      </c>
    </row>
    <row r="3987" spans="1:17" ht="14.25" x14ac:dyDescent="0.2">
      <c r="A3987" s="205">
        <v>277</v>
      </c>
      <c r="B3987" s="232" t="str">
        <f>IF(AND(A3987&lt;&gt;"",ISNUMBER(A3987)),VLOOKUP(A3987,Studies!A:BR,2,FALSE),"")</f>
        <v>Kharasch 1997</v>
      </c>
      <c r="C3987" s="232" t="str">
        <f>IF(AND(A3987&lt;&gt;"",ISNUMBER(A3987)),VLOOKUP(A3987,Studies!A:BR,3,FALSE),"")</f>
        <v>https://www.ncbi.nlm.nih.gov/pubmed/9232132</v>
      </c>
      <c r="D3987" s="232" t="str">
        <f>IF(AND(A3987&lt;&gt;"",ISNUMBER(A3987)),VLOOKUP(A3987,Studies!A:BR,4,FALSE),"")</f>
        <v>Control (Perpetrator Placebo)</v>
      </c>
      <c r="E3987" s="206" t="str">
        <f>IF(AND(A3987&lt;&gt;"",ISNUMBER(A3987)),VLOOKUP(A3987,Studies!A:BR,5,FALSE),"")</f>
        <v>Alfentanil</v>
      </c>
      <c r="F3987" s="207" t="str">
        <f>IF(AND(A3987&lt;&gt;"",ISNUMBER(A3987)),VLOOKUP(A3987,Studies!A:BR,6,FALSE),"")</f>
        <v>Plasma</v>
      </c>
      <c r="G3987" s="194">
        <v>5</v>
      </c>
      <c r="H3987" s="194" t="s">
        <v>60</v>
      </c>
      <c r="I3987" s="187">
        <v>2.36971</v>
      </c>
      <c r="J3987" s="187" t="s">
        <v>1090</v>
      </c>
      <c r="K3987" s="187" t="s">
        <v>389</v>
      </c>
      <c r="L3987" s="195">
        <v>0.78347610000000001</v>
      </c>
      <c r="M3987" s="195" t="s">
        <v>1090</v>
      </c>
      <c r="N3987" s="195" t="s">
        <v>1034</v>
      </c>
      <c r="O3987" s="199"/>
      <c r="P3987" s="188"/>
      <c r="Q3987" s="174">
        <f>IF(ISNUMBER(VLOOKUP(A3987,NotghiID!A:A,1,FALSE)),1,0)</f>
        <v>1</v>
      </c>
    </row>
    <row r="3988" spans="1:17" ht="14.25" x14ac:dyDescent="0.2">
      <c r="A3988" s="205">
        <v>277</v>
      </c>
      <c r="B3988" s="232" t="str">
        <f>IF(AND(A3988&lt;&gt;"",ISNUMBER(A3988)),VLOOKUP(A3988,Studies!A:BR,2,FALSE),"")</f>
        <v>Kharasch 1997</v>
      </c>
      <c r="C3988" s="232" t="str">
        <f>IF(AND(A3988&lt;&gt;"",ISNUMBER(A3988)),VLOOKUP(A3988,Studies!A:BR,3,FALSE),"")</f>
        <v>https://www.ncbi.nlm.nih.gov/pubmed/9232132</v>
      </c>
      <c r="D3988" s="232" t="str">
        <f>IF(AND(A3988&lt;&gt;"",ISNUMBER(A3988)),VLOOKUP(A3988,Studies!A:BR,4,FALSE),"")</f>
        <v>Control (Perpetrator Placebo)</v>
      </c>
      <c r="E3988" s="206" t="str">
        <f>IF(AND(A3988&lt;&gt;"",ISNUMBER(A3988)),VLOOKUP(A3988,Studies!A:BR,5,FALSE),"")</f>
        <v>Alfentanil</v>
      </c>
      <c r="F3988" s="207" t="str">
        <f>IF(AND(A3988&lt;&gt;"",ISNUMBER(A3988)),VLOOKUP(A3988,Studies!A:BR,6,FALSE),"")</f>
        <v>Plasma</v>
      </c>
      <c r="G3988" s="194">
        <v>6</v>
      </c>
      <c r="H3988" s="194" t="s">
        <v>60</v>
      </c>
      <c r="I3988" s="187">
        <v>1.0517749999999999</v>
      </c>
      <c r="J3988" s="187" t="s">
        <v>1090</v>
      </c>
      <c r="K3988" s="187" t="s">
        <v>389</v>
      </c>
      <c r="L3988" s="195">
        <v>0.39481569999999999</v>
      </c>
      <c r="M3988" s="195" t="s">
        <v>1090</v>
      </c>
      <c r="N3988" s="195" t="s">
        <v>1034</v>
      </c>
      <c r="O3988" s="199"/>
      <c r="P3988" s="188"/>
      <c r="Q3988" s="174">
        <f>IF(ISNUMBER(VLOOKUP(A3988,NotghiID!A:A,1,FALSE)),1,0)</f>
        <v>1</v>
      </c>
    </row>
    <row r="3989" spans="1:17" ht="14.25" x14ac:dyDescent="0.2">
      <c r="A3989" s="205">
        <v>277</v>
      </c>
      <c r="B3989" s="232" t="str">
        <f>IF(AND(A3989&lt;&gt;"",ISNUMBER(A3989)),VLOOKUP(A3989,Studies!A:BR,2,FALSE),"")</f>
        <v>Kharasch 1997</v>
      </c>
      <c r="C3989" s="232" t="str">
        <f>IF(AND(A3989&lt;&gt;"",ISNUMBER(A3989)),VLOOKUP(A3989,Studies!A:BR,3,FALSE),"")</f>
        <v>https://www.ncbi.nlm.nih.gov/pubmed/9232132</v>
      </c>
      <c r="D3989" s="232" t="str">
        <f>IF(AND(A3989&lt;&gt;"",ISNUMBER(A3989)),VLOOKUP(A3989,Studies!A:BR,4,FALSE),"")</f>
        <v>Control (Perpetrator Placebo)</v>
      </c>
      <c r="E3989" s="206" t="str">
        <f>IF(AND(A3989&lt;&gt;"",ISNUMBER(A3989)),VLOOKUP(A3989,Studies!A:BR,5,FALSE),"")</f>
        <v>Alfentanil</v>
      </c>
      <c r="F3989" s="207" t="str">
        <f>IF(AND(A3989&lt;&gt;"",ISNUMBER(A3989)),VLOOKUP(A3989,Studies!A:BR,6,FALSE),"")</f>
        <v>Plasma</v>
      </c>
      <c r="G3989" s="194">
        <v>7</v>
      </c>
      <c r="H3989" s="194" t="s">
        <v>60</v>
      </c>
      <c r="I3989" s="187">
        <v>0.48005599999999998</v>
      </c>
      <c r="J3989" s="187" t="s">
        <v>1090</v>
      </c>
      <c r="K3989" s="187" t="s">
        <v>389</v>
      </c>
      <c r="L3989" s="195">
        <v>0.13093779999999999</v>
      </c>
      <c r="M3989" s="195" t="s">
        <v>1090</v>
      </c>
      <c r="N3989" s="195" t="s">
        <v>1034</v>
      </c>
      <c r="O3989" s="199"/>
      <c r="P3989" s="188"/>
      <c r="Q3989" s="174">
        <f>IF(ISNUMBER(VLOOKUP(A3989,NotghiID!A:A,1,FALSE)),1,0)</f>
        <v>1</v>
      </c>
    </row>
    <row r="3990" spans="1:17" ht="14.25" x14ac:dyDescent="0.2">
      <c r="A3990" s="205">
        <v>277</v>
      </c>
      <c r="B3990" s="232" t="str">
        <f>IF(AND(A3990&lt;&gt;"",ISNUMBER(A3990)),VLOOKUP(A3990,Studies!A:BR,2,FALSE),"")</f>
        <v>Kharasch 1997</v>
      </c>
      <c r="C3990" s="232" t="str">
        <f>IF(AND(A3990&lt;&gt;"",ISNUMBER(A3990)),VLOOKUP(A3990,Studies!A:BR,3,FALSE),"")</f>
        <v>https://www.ncbi.nlm.nih.gov/pubmed/9232132</v>
      </c>
      <c r="D3990" s="232" t="str">
        <f>IF(AND(A3990&lt;&gt;"",ISNUMBER(A3990)),VLOOKUP(A3990,Studies!A:BR,4,FALSE),"")</f>
        <v>Control (Perpetrator Placebo)</v>
      </c>
      <c r="E3990" s="206" t="str">
        <f>IF(AND(A3990&lt;&gt;"",ISNUMBER(A3990)),VLOOKUP(A3990,Studies!A:BR,5,FALSE),"")</f>
        <v>Alfentanil</v>
      </c>
      <c r="F3990" s="207" t="str">
        <f>IF(AND(A3990&lt;&gt;"",ISNUMBER(A3990)),VLOOKUP(A3990,Studies!A:BR,6,FALSE),"")</f>
        <v>Plasma</v>
      </c>
      <c r="G3990" s="194">
        <v>8</v>
      </c>
      <c r="H3990" s="194" t="s">
        <v>60</v>
      </c>
      <c r="I3990" s="187">
        <v>0.32283269999999997</v>
      </c>
      <c r="J3990" s="187" t="s">
        <v>1090</v>
      </c>
      <c r="K3990" s="187" t="s">
        <v>389</v>
      </c>
      <c r="L3990" s="195">
        <v>9.1281639999999997E-2</v>
      </c>
      <c r="M3990" s="195" t="s">
        <v>1090</v>
      </c>
      <c r="N3990" s="195" t="s">
        <v>1034</v>
      </c>
      <c r="O3990" s="199"/>
      <c r="P3990" s="188"/>
      <c r="Q3990" s="174">
        <f>IF(ISNUMBER(VLOOKUP(A3990,NotghiID!A:A,1,FALSE)),1,0)</f>
        <v>1</v>
      </c>
    </row>
    <row r="3991" spans="1:17" ht="14.25" x14ac:dyDescent="0.2">
      <c r="A3991" s="205">
        <v>277</v>
      </c>
      <c r="B3991" s="232" t="str">
        <f>IF(AND(A3991&lt;&gt;"",ISNUMBER(A3991)),VLOOKUP(A3991,Studies!A:BR,2,FALSE),"")</f>
        <v>Kharasch 1997</v>
      </c>
      <c r="C3991" s="232" t="str">
        <f>IF(AND(A3991&lt;&gt;"",ISNUMBER(A3991)),VLOOKUP(A3991,Studies!A:BR,3,FALSE),"")</f>
        <v>https://www.ncbi.nlm.nih.gov/pubmed/9232132</v>
      </c>
      <c r="D3991" s="232" t="str">
        <f>IF(AND(A3991&lt;&gt;"",ISNUMBER(A3991)),VLOOKUP(A3991,Studies!A:BR,4,FALSE),"")</f>
        <v>Control (Perpetrator Placebo)</v>
      </c>
      <c r="E3991" s="206" t="str">
        <f>IF(AND(A3991&lt;&gt;"",ISNUMBER(A3991)),VLOOKUP(A3991,Studies!A:BR,5,FALSE),"")</f>
        <v>Alfentanil</v>
      </c>
      <c r="F3991" s="207" t="str">
        <f>IF(AND(A3991&lt;&gt;"",ISNUMBER(A3991)),VLOOKUP(A3991,Studies!A:BR,6,FALSE),"")</f>
        <v>Plasma</v>
      </c>
      <c r="G3991" s="194">
        <v>10</v>
      </c>
      <c r="H3991" s="194" t="s">
        <v>60</v>
      </c>
      <c r="I3991" s="187">
        <v>0.20633470000000001</v>
      </c>
      <c r="J3991" s="187" t="s">
        <v>1090</v>
      </c>
      <c r="K3991" s="187" t="s">
        <v>389</v>
      </c>
      <c r="L3991" s="195">
        <v>0.11056580000000001</v>
      </c>
      <c r="M3991" s="195" t="s">
        <v>1090</v>
      </c>
      <c r="N3991" s="195" t="s">
        <v>1034</v>
      </c>
      <c r="O3991" s="199"/>
      <c r="P3991" s="188"/>
      <c r="Q3991" s="174">
        <f>IF(ISNUMBER(VLOOKUP(A3991,NotghiID!A:A,1,FALSE)),1,0)</f>
        <v>1</v>
      </c>
    </row>
    <row r="3992" spans="1:17" ht="14.25" x14ac:dyDescent="0.2">
      <c r="A3992" s="205">
        <v>278</v>
      </c>
      <c r="B3992" s="232" t="str">
        <f>IF(AND(A3992&lt;&gt;"",ISNUMBER(A3992)),VLOOKUP(A3992,Studies!A:BR,2,FALSE),"")</f>
        <v>Kharasch 1997</v>
      </c>
      <c r="C3992" s="232" t="str">
        <f>IF(AND(A3992&lt;&gt;"",ISNUMBER(A3992)),VLOOKUP(A3992,Studies!A:BR,3,FALSE),"")</f>
        <v>https://www.ncbi.nlm.nih.gov/pubmed/9232132</v>
      </c>
      <c r="D3992" s="232" t="str">
        <f>IF(AND(A3992&lt;&gt;"",ISNUMBER(A3992)),VLOOKUP(A3992,Studies!A:BR,4,FALSE),"")</f>
        <v>with Perpetrator (Rifampicin)</v>
      </c>
      <c r="E3992" s="206" t="str">
        <f>IF(AND(A3992&lt;&gt;"",ISNUMBER(A3992)),VLOOKUP(A3992,Studies!A:BR,5,FALSE),"")</f>
        <v>Alfentanil</v>
      </c>
      <c r="F3992" s="207" t="str">
        <f>IF(AND(A3992&lt;&gt;"",ISNUMBER(A3992)),VLOOKUP(A3992,Studies!A:BR,6,FALSE),"")</f>
        <v>Plasma</v>
      </c>
      <c r="G3992" s="194">
        <v>121.52</v>
      </c>
      <c r="H3992" s="194" t="s">
        <v>60</v>
      </c>
      <c r="I3992" s="187">
        <v>130.09909999999999</v>
      </c>
      <c r="J3992" s="187" t="s">
        <v>1090</v>
      </c>
      <c r="K3992" s="187" t="s">
        <v>389</v>
      </c>
      <c r="L3992" s="195">
        <v>27.84076</v>
      </c>
      <c r="M3992" s="195" t="s">
        <v>1090</v>
      </c>
      <c r="N3992" s="195" t="s">
        <v>1034</v>
      </c>
      <c r="O3992" s="199"/>
      <c r="P3992" s="188"/>
      <c r="Q3992" s="174">
        <f>IF(ISNUMBER(VLOOKUP(A3992,NotghiID!A:A,1,FALSE)),1,0)</f>
        <v>1</v>
      </c>
    </row>
    <row r="3993" spans="1:17" ht="14.25" x14ac:dyDescent="0.2">
      <c r="A3993" s="205">
        <v>278</v>
      </c>
      <c r="B3993" s="232" t="str">
        <f>IF(AND(A3993&lt;&gt;"",ISNUMBER(A3993)),VLOOKUP(A3993,Studies!A:BR,2,FALSE),"")</f>
        <v>Kharasch 1997</v>
      </c>
      <c r="C3993" s="232" t="str">
        <f>IF(AND(A3993&lt;&gt;"",ISNUMBER(A3993)),VLOOKUP(A3993,Studies!A:BR,3,FALSE),"")</f>
        <v>https://www.ncbi.nlm.nih.gov/pubmed/9232132</v>
      </c>
      <c r="D3993" s="232" t="str">
        <f>IF(AND(A3993&lt;&gt;"",ISNUMBER(A3993)),VLOOKUP(A3993,Studies!A:BR,4,FALSE),"")</f>
        <v>with Perpetrator (Rifampicin)</v>
      </c>
      <c r="E3993" s="206" t="str">
        <f>IF(AND(A3993&lt;&gt;"",ISNUMBER(A3993)),VLOOKUP(A3993,Studies!A:BR,5,FALSE),"")</f>
        <v>Alfentanil</v>
      </c>
      <c r="F3993" s="207" t="str">
        <f>IF(AND(A3993&lt;&gt;"",ISNUMBER(A3993)),VLOOKUP(A3993,Studies!A:BR,6,FALSE),"")</f>
        <v>Plasma</v>
      </c>
      <c r="G3993" s="194">
        <v>121.55</v>
      </c>
      <c r="H3993" s="194" t="s">
        <v>60</v>
      </c>
      <c r="I3993" s="187">
        <v>70.767790000000005</v>
      </c>
      <c r="J3993" s="187" t="s">
        <v>1090</v>
      </c>
      <c r="K3993" s="187" t="s">
        <v>389</v>
      </c>
      <c r="L3993" s="195">
        <v>7.1786649999999996</v>
      </c>
      <c r="M3993" s="195" t="s">
        <v>1090</v>
      </c>
      <c r="N3993" s="195" t="s">
        <v>1034</v>
      </c>
      <c r="O3993" s="199"/>
      <c r="P3993" s="188"/>
      <c r="Q3993" s="174">
        <f>IF(ISNUMBER(VLOOKUP(A3993,NotghiID!A:A,1,FALSE)),1,0)</f>
        <v>1</v>
      </c>
    </row>
    <row r="3994" spans="1:17" ht="14.25" x14ac:dyDescent="0.2">
      <c r="A3994" s="205">
        <v>278</v>
      </c>
      <c r="B3994" s="232" t="str">
        <f>IF(AND(A3994&lt;&gt;"",ISNUMBER(A3994)),VLOOKUP(A3994,Studies!A:BR,2,FALSE),"")</f>
        <v>Kharasch 1997</v>
      </c>
      <c r="C3994" s="232" t="str">
        <f>IF(AND(A3994&lt;&gt;"",ISNUMBER(A3994)),VLOOKUP(A3994,Studies!A:BR,3,FALSE),"")</f>
        <v>https://www.ncbi.nlm.nih.gov/pubmed/9232132</v>
      </c>
      <c r="D3994" s="232" t="str">
        <f>IF(AND(A3994&lt;&gt;"",ISNUMBER(A3994)),VLOOKUP(A3994,Studies!A:BR,4,FALSE),"")</f>
        <v>with Perpetrator (Rifampicin)</v>
      </c>
      <c r="E3994" s="206" t="str">
        <f>IF(AND(A3994&lt;&gt;"",ISNUMBER(A3994)),VLOOKUP(A3994,Studies!A:BR,5,FALSE),"")</f>
        <v>Alfentanil</v>
      </c>
      <c r="F3994" s="207" t="str">
        <f>IF(AND(A3994&lt;&gt;"",ISNUMBER(A3994)),VLOOKUP(A3994,Studies!A:BR,6,FALSE),"")</f>
        <v>Plasma</v>
      </c>
      <c r="G3994" s="194">
        <v>121.58</v>
      </c>
      <c r="H3994" s="194" t="s">
        <v>60</v>
      </c>
      <c r="I3994" s="187">
        <v>45.4499</v>
      </c>
      <c r="J3994" s="187" t="s">
        <v>1090</v>
      </c>
      <c r="K3994" s="187" t="s">
        <v>389</v>
      </c>
      <c r="L3994" s="195"/>
      <c r="M3994" s="195"/>
      <c r="N3994" s="195"/>
      <c r="O3994" s="199"/>
      <c r="P3994" s="188"/>
      <c r="Q3994" s="174">
        <f>IF(ISNUMBER(VLOOKUP(A3994,NotghiID!A:A,1,FALSE)),1,0)</f>
        <v>1</v>
      </c>
    </row>
    <row r="3995" spans="1:17" ht="14.25" x14ac:dyDescent="0.2">
      <c r="A3995" s="205">
        <v>278</v>
      </c>
      <c r="B3995" s="232" t="str">
        <f>IF(AND(A3995&lt;&gt;"",ISNUMBER(A3995)),VLOOKUP(A3995,Studies!A:BR,2,FALSE),"")</f>
        <v>Kharasch 1997</v>
      </c>
      <c r="C3995" s="232" t="str">
        <f>IF(AND(A3995&lt;&gt;"",ISNUMBER(A3995)),VLOOKUP(A3995,Studies!A:BR,3,FALSE),"")</f>
        <v>https://www.ncbi.nlm.nih.gov/pubmed/9232132</v>
      </c>
      <c r="D3995" s="232" t="str">
        <f>IF(AND(A3995&lt;&gt;"",ISNUMBER(A3995)),VLOOKUP(A3995,Studies!A:BR,4,FALSE),"")</f>
        <v>with Perpetrator (Rifampicin)</v>
      </c>
      <c r="E3995" s="206" t="str">
        <f>IF(AND(A3995&lt;&gt;"",ISNUMBER(A3995)),VLOOKUP(A3995,Studies!A:BR,5,FALSE),"")</f>
        <v>Alfentanil</v>
      </c>
      <c r="F3995" s="207" t="str">
        <f>IF(AND(A3995&lt;&gt;"",ISNUMBER(A3995)),VLOOKUP(A3995,Studies!A:BR,6,FALSE),"")</f>
        <v>Plasma</v>
      </c>
      <c r="G3995" s="194">
        <v>121.67</v>
      </c>
      <c r="H3995" s="194" t="s">
        <v>60</v>
      </c>
      <c r="I3995" s="187">
        <v>27.617529999999999</v>
      </c>
      <c r="J3995" s="187" t="s">
        <v>1090</v>
      </c>
      <c r="K3995" s="187" t="s">
        <v>389</v>
      </c>
      <c r="L3995" s="195"/>
      <c r="M3995" s="195"/>
      <c r="N3995" s="195"/>
      <c r="O3995" s="199"/>
      <c r="P3995" s="188"/>
      <c r="Q3995" s="174">
        <f>IF(ISNUMBER(VLOOKUP(A3995,NotghiID!A:A,1,FALSE)),1,0)</f>
        <v>1</v>
      </c>
    </row>
    <row r="3996" spans="1:17" ht="14.25" x14ac:dyDescent="0.2">
      <c r="A3996" s="205">
        <v>278</v>
      </c>
      <c r="B3996" s="232" t="str">
        <f>IF(AND(A3996&lt;&gt;"",ISNUMBER(A3996)),VLOOKUP(A3996,Studies!A:BR,2,FALSE),"")</f>
        <v>Kharasch 1997</v>
      </c>
      <c r="C3996" s="232" t="str">
        <f>IF(AND(A3996&lt;&gt;"",ISNUMBER(A3996)),VLOOKUP(A3996,Studies!A:BR,3,FALSE),"")</f>
        <v>https://www.ncbi.nlm.nih.gov/pubmed/9232132</v>
      </c>
      <c r="D3996" s="232" t="str">
        <f>IF(AND(A3996&lt;&gt;"",ISNUMBER(A3996)),VLOOKUP(A3996,Studies!A:BR,4,FALSE),"")</f>
        <v>with Perpetrator (Rifampicin)</v>
      </c>
      <c r="E3996" s="206" t="str">
        <f>IF(AND(A3996&lt;&gt;"",ISNUMBER(A3996)),VLOOKUP(A3996,Studies!A:BR,5,FALSE),"")</f>
        <v>Alfentanil</v>
      </c>
      <c r="F3996" s="207" t="str">
        <f>IF(AND(A3996&lt;&gt;"",ISNUMBER(A3996)),VLOOKUP(A3996,Studies!A:BR,6,FALSE),"")</f>
        <v>Plasma</v>
      </c>
      <c r="G3996" s="194">
        <v>121.75</v>
      </c>
      <c r="H3996" s="194" t="s">
        <v>60</v>
      </c>
      <c r="I3996" s="187">
        <v>22.448789999999999</v>
      </c>
      <c r="J3996" s="187" t="s">
        <v>1090</v>
      </c>
      <c r="K3996" s="187" t="s">
        <v>389</v>
      </c>
      <c r="L3996" s="195"/>
      <c r="M3996" s="195"/>
      <c r="N3996" s="195"/>
      <c r="O3996" s="199"/>
      <c r="P3996" s="188"/>
      <c r="Q3996" s="174">
        <f>IF(ISNUMBER(VLOOKUP(A3996,NotghiID!A:A,1,FALSE)),1,0)</f>
        <v>1</v>
      </c>
    </row>
    <row r="3997" spans="1:17" ht="14.25" x14ac:dyDescent="0.2">
      <c r="A3997" s="205">
        <v>278</v>
      </c>
      <c r="B3997" s="232" t="str">
        <f>IF(AND(A3997&lt;&gt;"",ISNUMBER(A3997)),VLOOKUP(A3997,Studies!A:BR,2,FALSE),"")</f>
        <v>Kharasch 1997</v>
      </c>
      <c r="C3997" s="232" t="str">
        <f>IF(AND(A3997&lt;&gt;"",ISNUMBER(A3997)),VLOOKUP(A3997,Studies!A:BR,3,FALSE),"")</f>
        <v>https://www.ncbi.nlm.nih.gov/pubmed/9232132</v>
      </c>
      <c r="D3997" s="232" t="str">
        <f>IF(AND(A3997&lt;&gt;"",ISNUMBER(A3997)),VLOOKUP(A3997,Studies!A:BR,4,FALSE),"")</f>
        <v>with Perpetrator (Rifampicin)</v>
      </c>
      <c r="E3997" s="206" t="str">
        <f>IF(AND(A3997&lt;&gt;"",ISNUMBER(A3997)),VLOOKUP(A3997,Studies!A:BR,5,FALSE),"")</f>
        <v>Alfentanil</v>
      </c>
      <c r="F3997" s="207" t="str">
        <f>IF(AND(A3997&lt;&gt;"",ISNUMBER(A3997)),VLOOKUP(A3997,Studies!A:BR,6,FALSE),"")</f>
        <v>Plasma</v>
      </c>
      <c r="G3997" s="194">
        <v>122</v>
      </c>
      <c r="H3997" s="194" t="s">
        <v>60</v>
      </c>
      <c r="I3997" s="187">
        <v>14.63241</v>
      </c>
      <c r="J3997" s="187" t="s">
        <v>1090</v>
      </c>
      <c r="K3997" s="187" t="s">
        <v>389</v>
      </c>
      <c r="L3997" s="195"/>
      <c r="M3997" s="195"/>
      <c r="N3997" s="195"/>
      <c r="O3997" s="199"/>
      <c r="P3997" s="188"/>
      <c r="Q3997" s="174">
        <f>IF(ISNUMBER(VLOOKUP(A3997,NotghiID!A:A,1,FALSE)),1,0)</f>
        <v>1</v>
      </c>
    </row>
    <row r="3998" spans="1:17" ht="14.25" x14ac:dyDescent="0.2">
      <c r="A3998" s="205">
        <v>278</v>
      </c>
      <c r="B3998" s="232" t="str">
        <f>IF(AND(A3998&lt;&gt;"",ISNUMBER(A3998)),VLOOKUP(A3998,Studies!A:BR,2,FALSE),"")</f>
        <v>Kharasch 1997</v>
      </c>
      <c r="C3998" s="232" t="str">
        <f>IF(AND(A3998&lt;&gt;"",ISNUMBER(A3998)),VLOOKUP(A3998,Studies!A:BR,3,FALSE),"")</f>
        <v>https://www.ncbi.nlm.nih.gov/pubmed/9232132</v>
      </c>
      <c r="D3998" s="232" t="str">
        <f>IF(AND(A3998&lt;&gt;"",ISNUMBER(A3998)),VLOOKUP(A3998,Studies!A:BR,4,FALSE),"")</f>
        <v>with Perpetrator (Rifampicin)</v>
      </c>
      <c r="E3998" s="206" t="str">
        <f>IF(AND(A3998&lt;&gt;"",ISNUMBER(A3998)),VLOOKUP(A3998,Studies!A:BR,5,FALSE),"")</f>
        <v>Alfentanil</v>
      </c>
      <c r="F3998" s="207" t="str">
        <f>IF(AND(A3998&lt;&gt;"",ISNUMBER(A3998)),VLOOKUP(A3998,Studies!A:BR,6,FALSE),"")</f>
        <v>Plasma</v>
      </c>
      <c r="G3998" s="194">
        <v>122.25</v>
      </c>
      <c r="H3998" s="194" t="s">
        <v>60</v>
      </c>
      <c r="I3998" s="187">
        <v>8.6568520000000007</v>
      </c>
      <c r="J3998" s="187" t="s">
        <v>1090</v>
      </c>
      <c r="K3998" s="187" t="s">
        <v>389</v>
      </c>
      <c r="L3998" s="195"/>
      <c r="M3998" s="195"/>
      <c r="N3998" s="195"/>
      <c r="O3998" s="199"/>
      <c r="P3998" s="188"/>
      <c r="Q3998" s="174">
        <f>IF(ISNUMBER(VLOOKUP(A3998,NotghiID!A:A,1,FALSE)),1,0)</f>
        <v>1</v>
      </c>
    </row>
    <row r="3999" spans="1:17" ht="14.25" x14ac:dyDescent="0.2">
      <c r="A3999" s="205">
        <v>278</v>
      </c>
      <c r="B3999" s="232" t="str">
        <f>IF(AND(A3999&lt;&gt;"",ISNUMBER(A3999)),VLOOKUP(A3999,Studies!A:BR,2,FALSE),"")</f>
        <v>Kharasch 1997</v>
      </c>
      <c r="C3999" s="232" t="str">
        <f>IF(AND(A3999&lt;&gt;"",ISNUMBER(A3999)),VLOOKUP(A3999,Studies!A:BR,3,FALSE),"")</f>
        <v>https://www.ncbi.nlm.nih.gov/pubmed/9232132</v>
      </c>
      <c r="D3999" s="232" t="str">
        <f>IF(AND(A3999&lt;&gt;"",ISNUMBER(A3999)),VLOOKUP(A3999,Studies!A:BR,4,FALSE),"")</f>
        <v>with Perpetrator (Rifampicin)</v>
      </c>
      <c r="E3999" s="206" t="str">
        <f>IF(AND(A3999&lt;&gt;"",ISNUMBER(A3999)),VLOOKUP(A3999,Studies!A:BR,5,FALSE),"")</f>
        <v>Alfentanil</v>
      </c>
      <c r="F3999" s="207" t="str">
        <f>IF(AND(A3999&lt;&gt;"",ISNUMBER(A3999)),VLOOKUP(A3999,Studies!A:BR,6,FALSE),"")</f>
        <v>Plasma</v>
      </c>
      <c r="G3999" s="194">
        <v>122.5</v>
      </c>
      <c r="H3999" s="194" t="s">
        <v>60</v>
      </c>
      <c r="I3999" s="187">
        <v>6.3033809999999999</v>
      </c>
      <c r="J3999" s="187" t="s">
        <v>1090</v>
      </c>
      <c r="K3999" s="187" t="s">
        <v>389</v>
      </c>
      <c r="L3999" s="195">
        <v>0.83624410000000005</v>
      </c>
      <c r="M3999" s="195" t="s">
        <v>1090</v>
      </c>
      <c r="N3999" s="195" t="s">
        <v>1034</v>
      </c>
      <c r="O3999" s="199"/>
      <c r="P3999" s="188"/>
      <c r="Q3999" s="174">
        <f>IF(ISNUMBER(VLOOKUP(A3999,NotghiID!A:A,1,FALSE)),1,0)</f>
        <v>1</v>
      </c>
    </row>
    <row r="4000" spans="1:17" ht="14.25" x14ac:dyDescent="0.2">
      <c r="A4000" s="205">
        <v>278</v>
      </c>
      <c r="B4000" s="232" t="str">
        <f>IF(AND(A4000&lt;&gt;"",ISNUMBER(A4000)),VLOOKUP(A4000,Studies!A:BR,2,FALSE),"")</f>
        <v>Kharasch 1997</v>
      </c>
      <c r="C4000" s="232" t="str">
        <f>IF(AND(A4000&lt;&gt;"",ISNUMBER(A4000)),VLOOKUP(A4000,Studies!A:BR,3,FALSE),"")</f>
        <v>https://www.ncbi.nlm.nih.gov/pubmed/9232132</v>
      </c>
      <c r="D4000" s="232" t="str">
        <f>IF(AND(A4000&lt;&gt;"",ISNUMBER(A4000)),VLOOKUP(A4000,Studies!A:BR,4,FALSE),"")</f>
        <v>with Perpetrator (Rifampicin)</v>
      </c>
      <c r="E4000" s="206" t="str">
        <f>IF(AND(A4000&lt;&gt;"",ISNUMBER(A4000)),VLOOKUP(A4000,Studies!A:BR,5,FALSE),"")</f>
        <v>Alfentanil</v>
      </c>
      <c r="F4000" s="207" t="str">
        <f>IF(AND(A4000&lt;&gt;"",ISNUMBER(A4000)),VLOOKUP(A4000,Studies!A:BR,6,FALSE),"")</f>
        <v>Plasma</v>
      </c>
      <c r="G4000" s="194">
        <v>123</v>
      </c>
      <c r="H4000" s="194" t="s">
        <v>60</v>
      </c>
      <c r="I4000" s="187">
        <v>3.3885360000000002</v>
      </c>
      <c r="J4000" s="187" t="s">
        <v>1090</v>
      </c>
      <c r="K4000" s="187" t="s">
        <v>389</v>
      </c>
      <c r="L4000" s="195">
        <v>0.55727769999999999</v>
      </c>
      <c r="M4000" s="195" t="s">
        <v>1090</v>
      </c>
      <c r="N4000" s="195" t="s">
        <v>1034</v>
      </c>
      <c r="O4000" s="199"/>
      <c r="P4000" s="188"/>
      <c r="Q4000" s="174">
        <f>IF(ISNUMBER(VLOOKUP(A4000,NotghiID!A:A,1,FALSE)),1,0)</f>
        <v>1</v>
      </c>
    </row>
    <row r="4001" spans="1:17" ht="14.25" x14ac:dyDescent="0.2">
      <c r="A4001" s="205">
        <v>278</v>
      </c>
      <c r="B4001" s="232" t="str">
        <f>IF(AND(A4001&lt;&gt;"",ISNUMBER(A4001)),VLOOKUP(A4001,Studies!A:BR,2,FALSE),"")</f>
        <v>Kharasch 1997</v>
      </c>
      <c r="C4001" s="232" t="str">
        <f>IF(AND(A4001&lt;&gt;"",ISNUMBER(A4001)),VLOOKUP(A4001,Studies!A:BR,3,FALSE),"")</f>
        <v>https://www.ncbi.nlm.nih.gov/pubmed/9232132</v>
      </c>
      <c r="D4001" s="232" t="str">
        <f>IF(AND(A4001&lt;&gt;"",ISNUMBER(A4001)),VLOOKUP(A4001,Studies!A:BR,4,FALSE),"")</f>
        <v>with Perpetrator (Rifampicin)</v>
      </c>
      <c r="E4001" s="206" t="str">
        <f>IF(AND(A4001&lt;&gt;"",ISNUMBER(A4001)),VLOOKUP(A4001,Studies!A:BR,5,FALSE),"")</f>
        <v>Alfentanil</v>
      </c>
      <c r="F4001" s="207" t="str">
        <f>IF(AND(A4001&lt;&gt;"",ISNUMBER(A4001)),VLOOKUP(A4001,Studies!A:BR,6,FALSE),"")</f>
        <v>Plasma</v>
      </c>
      <c r="G4001" s="194">
        <v>123.5</v>
      </c>
      <c r="H4001" s="194" t="s">
        <v>60</v>
      </c>
      <c r="I4001" s="187">
        <v>2.0635340000000002</v>
      </c>
      <c r="J4001" s="187" t="s">
        <v>1090</v>
      </c>
      <c r="K4001" s="187" t="s">
        <v>389</v>
      </c>
      <c r="L4001" s="195">
        <v>0.4412489</v>
      </c>
      <c r="M4001" s="195" t="s">
        <v>1090</v>
      </c>
      <c r="N4001" s="195" t="s">
        <v>1034</v>
      </c>
      <c r="O4001" s="199"/>
      <c r="P4001" s="188"/>
      <c r="Q4001" s="174">
        <f>IF(ISNUMBER(VLOOKUP(A4001,NotghiID!A:A,1,FALSE)),1,0)</f>
        <v>1</v>
      </c>
    </row>
    <row r="4002" spans="1:17" ht="14.25" x14ac:dyDescent="0.2">
      <c r="A4002" s="205">
        <v>278</v>
      </c>
      <c r="B4002" s="232" t="str">
        <f>IF(AND(A4002&lt;&gt;"",ISNUMBER(A4002)),VLOOKUP(A4002,Studies!A:BR,2,FALSE),"")</f>
        <v>Kharasch 1997</v>
      </c>
      <c r="C4002" s="232" t="str">
        <f>IF(AND(A4002&lt;&gt;"",ISNUMBER(A4002)),VLOOKUP(A4002,Studies!A:BR,3,FALSE),"")</f>
        <v>https://www.ncbi.nlm.nih.gov/pubmed/9232132</v>
      </c>
      <c r="D4002" s="232" t="str">
        <f>IF(AND(A4002&lt;&gt;"",ISNUMBER(A4002)),VLOOKUP(A4002,Studies!A:BR,4,FALSE),"")</f>
        <v>with Perpetrator (Rifampicin)</v>
      </c>
      <c r="E4002" s="206" t="str">
        <f>IF(AND(A4002&lt;&gt;"",ISNUMBER(A4002)),VLOOKUP(A4002,Studies!A:BR,5,FALSE),"")</f>
        <v>Alfentanil</v>
      </c>
      <c r="F4002" s="207" t="str">
        <f>IF(AND(A4002&lt;&gt;"",ISNUMBER(A4002)),VLOOKUP(A4002,Studies!A:BR,6,FALSE),"")</f>
        <v>Plasma</v>
      </c>
      <c r="G4002" s="194">
        <v>124.5</v>
      </c>
      <c r="H4002" s="194" t="s">
        <v>60</v>
      </c>
      <c r="I4002" s="187">
        <v>0.54126470000000004</v>
      </c>
      <c r="J4002" s="187" t="s">
        <v>1090</v>
      </c>
      <c r="K4002" s="187" t="s">
        <v>389</v>
      </c>
      <c r="L4002" s="195">
        <v>0.153141</v>
      </c>
      <c r="M4002" s="195" t="s">
        <v>1090</v>
      </c>
      <c r="N4002" s="195" t="s">
        <v>1034</v>
      </c>
      <c r="O4002" s="199"/>
      <c r="P4002" s="188"/>
      <c r="Q4002" s="174">
        <f>IF(ISNUMBER(VLOOKUP(A4002,NotghiID!A:A,1,FALSE)),1,0)</f>
        <v>1</v>
      </c>
    </row>
    <row r="4003" spans="1:17" ht="14.25" x14ac:dyDescent="0.2">
      <c r="A4003" s="205">
        <v>278</v>
      </c>
      <c r="B4003" s="232" t="str">
        <f>IF(AND(A4003&lt;&gt;"",ISNUMBER(A4003)),VLOOKUP(A4003,Studies!A:BR,2,FALSE),"")</f>
        <v>Kharasch 1997</v>
      </c>
      <c r="C4003" s="232" t="str">
        <f>IF(AND(A4003&lt;&gt;"",ISNUMBER(A4003)),VLOOKUP(A4003,Studies!A:BR,3,FALSE),"")</f>
        <v>https://www.ncbi.nlm.nih.gov/pubmed/9232132</v>
      </c>
      <c r="D4003" s="232" t="str">
        <f>IF(AND(A4003&lt;&gt;"",ISNUMBER(A4003)),VLOOKUP(A4003,Studies!A:BR,4,FALSE),"")</f>
        <v>with Perpetrator (Rifampicin)</v>
      </c>
      <c r="E4003" s="206" t="str">
        <f>IF(AND(A4003&lt;&gt;"",ISNUMBER(A4003)),VLOOKUP(A4003,Studies!A:BR,5,FALSE),"")</f>
        <v>Alfentanil</v>
      </c>
      <c r="F4003" s="207" t="str">
        <f>IF(AND(A4003&lt;&gt;"",ISNUMBER(A4003)),VLOOKUP(A4003,Studies!A:BR,6,FALSE),"")</f>
        <v>Plasma</v>
      </c>
      <c r="G4003" s="194">
        <v>125.5</v>
      </c>
      <c r="H4003" s="194" t="s">
        <v>60</v>
      </c>
      <c r="I4003" s="187">
        <v>0.3125443</v>
      </c>
      <c r="J4003" s="187" t="s">
        <v>1090</v>
      </c>
      <c r="K4003" s="187" t="s">
        <v>389</v>
      </c>
      <c r="L4003" s="195">
        <v>0.1543727</v>
      </c>
      <c r="M4003" s="195" t="s">
        <v>1090</v>
      </c>
      <c r="N4003" s="195" t="s">
        <v>1034</v>
      </c>
      <c r="O4003" s="199"/>
      <c r="P4003" s="189" t="s">
        <v>1171</v>
      </c>
      <c r="Q4003" s="174">
        <f>IF(ISNUMBER(VLOOKUP(A4003,NotghiID!A:A,1,FALSE)),1,0)</f>
        <v>1</v>
      </c>
    </row>
    <row r="4004" spans="1:17" s="183" customFormat="1" x14ac:dyDescent="0.2">
      <c r="A4004" s="213">
        <v>374</v>
      </c>
      <c r="B4004" s="232" t="str">
        <f>IF(AND(A4004&lt;&gt;"",ISNUMBER(A4004)),VLOOKUP(A4004,Studies!A:BR,2,FALSE),"")</f>
        <v>Olkkola 1996</v>
      </c>
      <c r="C4004" s="232" t="str">
        <f>IF(AND(A4004&lt;&gt;"",ISNUMBER(A4004)),VLOOKUP(A4004,Studies!A:BR,3,FALSE),"")</f>
        <v>https://www.ncbi.nlm.nih.gov/pubmed/8623953</v>
      </c>
      <c r="D4004" s="232" t="str">
        <f>IF(AND(A4004&lt;&gt;"",ISNUMBER(A4004)),VLOOKUP(A4004,Studies!A:BR,4,FALSE),"")</f>
        <v>day 1 (po) Control (Perpetrator Placebo)</v>
      </c>
      <c r="E4004" s="206" t="str">
        <f>IF(AND(A4004&lt;&gt;"",ISNUMBER(A4004)),VLOOKUP(A4004,Studies!A:BR,5,FALSE),"")</f>
        <v>Midazolam</v>
      </c>
      <c r="F4004" s="207" t="str">
        <f>IF(AND(A4004&lt;&gt;"",ISNUMBER(A4004)),VLOOKUP(A4004,Studies!A:BR,6,FALSE),"")</f>
        <v>Plasma</v>
      </c>
      <c r="G4004" s="194">
        <v>0</v>
      </c>
      <c r="H4004" s="194" t="s">
        <v>60</v>
      </c>
      <c r="I4004" s="187">
        <v>0</v>
      </c>
      <c r="J4004" s="187" t="s">
        <v>1026</v>
      </c>
      <c r="K4004" s="187" t="s">
        <v>116</v>
      </c>
      <c r="L4004" s="195"/>
      <c r="M4004" s="195"/>
      <c r="N4004" s="195"/>
      <c r="O4004" s="199"/>
      <c r="P4004" s="188"/>
    </row>
    <row r="4005" spans="1:17" s="183" customFormat="1" x14ac:dyDescent="0.2">
      <c r="A4005" s="213">
        <v>374</v>
      </c>
      <c r="B4005" s="232" t="str">
        <f>IF(AND(A4005&lt;&gt;"",ISNUMBER(A4005)),VLOOKUP(A4005,Studies!A:BR,2,FALSE),"")</f>
        <v>Olkkola 1996</v>
      </c>
      <c r="C4005" s="232" t="str">
        <f>IF(AND(A4005&lt;&gt;"",ISNUMBER(A4005)),VLOOKUP(A4005,Studies!A:BR,3,FALSE),"")</f>
        <v>https://www.ncbi.nlm.nih.gov/pubmed/8623953</v>
      </c>
      <c r="D4005" s="232" t="str">
        <f>IF(AND(A4005&lt;&gt;"",ISNUMBER(A4005)),VLOOKUP(A4005,Studies!A:BR,4,FALSE),"")</f>
        <v>day 1 (po) Control (Perpetrator Placebo)</v>
      </c>
      <c r="E4005" s="206" t="str">
        <f>IF(AND(A4005&lt;&gt;"",ISNUMBER(A4005)),VLOOKUP(A4005,Studies!A:BR,5,FALSE),"")</f>
        <v>Midazolam</v>
      </c>
      <c r="F4005" s="207" t="str">
        <f>IF(AND(A4005&lt;&gt;"",ISNUMBER(A4005)),VLOOKUP(A4005,Studies!A:BR,6,FALSE),"")</f>
        <v>Plasma</v>
      </c>
      <c r="G4005" s="194">
        <v>0.5</v>
      </c>
      <c r="H4005" s="194" t="s">
        <v>60</v>
      </c>
      <c r="I4005" s="187">
        <v>17.570650000000001</v>
      </c>
      <c r="J4005" s="187" t="s">
        <v>1026</v>
      </c>
      <c r="K4005" s="187" t="s">
        <v>116</v>
      </c>
      <c r="L4005" s="195">
        <v>3.702709</v>
      </c>
      <c r="M4005" s="195" t="s">
        <v>1026</v>
      </c>
      <c r="N4005" s="195" t="s">
        <v>1034</v>
      </c>
      <c r="O4005" s="199"/>
      <c r="P4005" s="188"/>
    </row>
    <row r="4006" spans="1:17" s="183" customFormat="1" x14ac:dyDescent="0.2">
      <c r="A4006" s="213">
        <v>374</v>
      </c>
      <c r="B4006" s="232" t="str">
        <f>IF(AND(A4006&lt;&gt;"",ISNUMBER(A4006)),VLOOKUP(A4006,Studies!A:BR,2,FALSE),"")</f>
        <v>Olkkola 1996</v>
      </c>
      <c r="C4006" s="232" t="str">
        <f>IF(AND(A4006&lt;&gt;"",ISNUMBER(A4006)),VLOOKUP(A4006,Studies!A:BR,3,FALSE),"")</f>
        <v>https://www.ncbi.nlm.nih.gov/pubmed/8623953</v>
      </c>
      <c r="D4006" s="232" t="str">
        <f>IF(AND(A4006&lt;&gt;"",ISNUMBER(A4006)),VLOOKUP(A4006,Studies!A:BR,4,FALSE),"")</f>
        <v>day 1 (po) Control (Perpetrator Placebo)</v>
      </c>
      <c r="E4006" s="206" t="str">
        <f>IF(AND(A4006&lt;&gt;"",ISNUMBER(A4006)),VLOOKUP(A4006,Studies!A:BR,5,FALSE),"")</f>
        <v>Midazolam</v>
      </c>
      <c r="F4006" s="207" t="str">
        <f>IF(AND(A4006&lt;&gt;"",ISNUMBER(A4006)),VLOOKUP(A4006,Studies!A:BR,6,FALSE),"")</f>
        <v>Plasma</v>
      </c>
      <c r="G4006" s="194">
        <v>1</v>
      </c>
      <c r="H4006" s="194" t="s">
        <v>60</v>
      </c>
      <c r="I4006" s="187">
        <v>25.882290000000001</v>
      </c>
      <c r="J4006" s="187" t="s">
        <v>1026</v>
      </c>
      <c r="K4006" s="187" t="s">
        <v>116</v>
      </c>
      <c r="L4006" s="195"/>
      <c r="M4006" s="195"/>
      <c r="N4006" s="195"/>
      <c r="O4006" s="199"/>
      <c r="P4006" s="188"/>
    </row>
    <row r="4007" spans="1:17" s="183" customFormat="1" x14ac:dyDescent="0.2">
      <c r="A4007" s="213">
        <v>374</v>
      </c>
      <c r="B4007" s="232" t="str">
        <f>IF(AND(A4007&lt;&gt;"",ISNUMBER(A4007)),VLOOKUP(A4007,Studies!A:BR,2,FALSE),"")</f>
        <v>Olkkola 1996</v>
      </c>
      <c r="C4007" s="232" t="str">
        <f>IF(AND(A4007&lt;&gt;"",ISNUMBER(A4007)),VLOOKUP(A4007,Studies!A:BR,3,FALSE),"")</f>
        <v>https://www.ncbi.nlm.nih.gov/pubmed/8623953</v>
      </c>
      <c r="D4007" s="232" t="str">
        <f>IF(AND(A4007&lt;&gt;"",ISNUMBER(A4007)),VLOOKUP(A4007,Studies!A:BR,4,FALSE),"")</f>
        <v>day 1 (po) Control (Perpetrator Placebo)</v>
      </c>
      <c r="E4007" s="206" t="str">
        <f>IF(AND(A4007&lt;&gt;"",ISNUMBER(A4007)),VLOOKUP(A4007,Studies!A:BR,5,FALSE),"")</f>
        <v>Midazolam</v>
      </c>
      <c r="F4007" s="207" t="str">
        <f>IF(AND(A4007&lt;&gt;"",ISNUMBER(A4007)),VLOOKUP(A4007,Studies!A:BR,6,FALSE),"")</f>
        <v>Plasma</v>
      </c>
      <c r="G4007" s="194">
        <v>1.5</v>
      </c>
      <c r="H4007" s="194" t="s">
        <v>60</v>
      </c>
      <c r="I4007" s="187">
        <v>21.971139999999998</v>
      </c>
      <c r="J4007" s="187" t="s">
        <v>1026</v>
      </c>
      <c r="K4007" s="187" t="s">
        <v>116</v>
      </c>
      <c r="L4007" s="195"/>
      <c r="M4007" s="195"/>
      <c r="N4007" s="195"/>
      <c r="O4007" s="199"/>
      <c r="P4007" s="188"/>
    </row>
    <row r="4008" spans="1:17" s="183" customFormat="1" x14ac:dyDescent="0.2">
      <c r="A4008" s="213">
        <v>374</v>
      </c>
      <c r="B4008" s="232" t="str">
        <f>IF(AND(A4008&lt;&gt;"",ISNUMBER(A4008)),VLOOKUP(A4008,Studies!A:BR,2,FALSE),"")</f>
        <v>Olkkola 1996</v>
      </c>
      <c r="C4008" s="232" t="str">
        <f>IF(AND(A4008&lt;&gt;"",ISNUMBER(A4008)),VLOOKUP(A4008,Studies!A:BR,3,FALSE),"")</f>
        <v>https://www.ncbi.nlm.nih.gov/pubmed/8623953</v>
      </c>
      <c r="D4008" s="232" t="str">
        <f>IF(AND(A4008&lt;&gt;"",ISNUMBER(A4008)),VLOOKUP(A4008,Studies!A:BR,4,FALSE),"")</f>
        <v>day 1 (po) Control (Perpetrator Placebo)</v>
      </c>
      <c r="E4008" s="206" t="str">
        <f>IF(AND(A4008&lt;&gt;"",ISNUMBER(A4008)),VLOOKUP(A4008,Studies!A:BR,5,FALSE),"")</f>
        <v>Midazolam</v>
      </c>
      <c r="F4008" s="207" t="str">
        <f>IF(AND(A4008&lt;&gt;"",ISNUMBER(A4008)),VLOOKUP(A4008,Studies!A:BR,6,FALSE),"")</f>
        <v>Plasma</v>
      </c>
      <c r="G4008" s="194">
        <v>2</v>
      </c>
      <c r="H4008" s="194" t="s">
        <v>60</v>
      </c>
      <c r="I4008" s="187">
        <v>16.948910000000001</v>
      </c>
      <c r="J4008" s="187" t="s">
        <v>1026</v>
      </c>
      <c r="K4008" s="187" t="s">
        <v>116</v>
      </c>
      <c r="L4008" s="195"/>
      <c r="M4008" s="195"/>
      <c r="N4008" s="195"/>
      <c r="O4008" s="199"/>
      <c r="P4008" s="188"/>
    </row>
    <row r="4009" spans="1:17" s="183" customFormat="1" x14ac:dyDescent="0.2">
      <c r="A4009" s="213">
        <v>374</v>
      </c>
      <c r="B4009" s="232" t="str">
        <f>IF(AND(A4009&lt;&gt;"",ISNUMBER(A4009)),VLOOKUP(A4009,Studies!A:BR,2,FALSE),"")</f>
        <v>Olkkola 1996</v>
      </c>
      <c r="C4009" s="232" t="str">
        <f>IF(AND(A4009&lt;&gt;"",ISNUMBER(A4009)),VLOOKUP(A4009,Studies!A:BR,3,FALSE),"")</f>
        <v>https://www.ncbi.nlm.nih.gov/pubmed/8623953</v>
      </c>
      <c r="D4009" s="232" t="str">
        <f>IF(AND(A4009&lt;&gt;"",ISNUMBER(A4009)),VLOOKUP(A4009,Studies!A:BR,4,FALSE),"")</f>
        <v>day 1 (po) Control (Perpetrator Placebo)</v>
      </c>
      <c r="E4009" s="206" t="str">
        <f>IF(AND(A4009&lt;&gt;"",ISNUMBER(A4009)),VLOOKUP(A4009,Studies!A:BR,5,FALSE),"")</f>
        <v>Midazolam</v>
      </c>
      <c r="F4009" s="207" t="str">
        <f>IF(AND(A4009&lt;&gt;"",ISNUMBER(A4009)),VLOOKUP(A4009,Studies!A:BR,6,FALSE),"")</f>
        <v>Plasma</v>
      </c>
      <c r="G4009" s="194">
        <v>3</v>
      </c>
      <c r="H4009" s="194" t="s">
        <v>60</v>
      </c>
      <c r="I4009" s="187">
        <v>11.722709999999999</v>
      </c>
      <c r="J4009" s="187" t="s">
        <v>1026</v>
      </c>
      <c r="K4009" s="187" t="s">
        <v>116</v>
      </c>
      <c r="L4009" s="195"/>
      <c r="M4009" s="195"/>
      <c r="N4009" s="195"/>
      <c r="O4009" s="199"/>
      <c r="P4009" s="188"/>
    </row>
    <row r="4010" spans="1:17" s="183" customFormat="1" x14ac:dyDescent="0.2">
      <c r="A4010" s="213">
        <v>374</v>
      </c>
      <c r="B4010" s="232" t="str">
        <f>IF(AND(A4010&lt;&gt;"",ISNUMBER(A4010)),VLOOKUP(A4010,Studies!A:BR,2,FALSE),"")</f>
        <v>Olkkola 1996</v>
      </c>
      <c r="C4010" s="232" t="str">
        <f>IF(AND(A4010&lt;&gt;"",ISNUMBER(A4010)),VLOOKUP(A4010,Studies!A:BR,3,FALSE),"")</f>
        <v>https://www.ncbi.nlm.nih.gov/pubmed/8623953</v>
      </c>
      <c r="D4010" s="232" t="str">
        <f>IF(AND(A4010&lt;&gt;"",ISNUMBER(A4010)),VLOOKUP(A4010,Studies!A:BR,4,FALSE),"")</f>
        <v>day 1 (po) Control (Perpetrator Placebo)</v>
      </c>
      <c r="E4010" s="206" t="str">
        <f>IF(AND(A4010&lt;&gt;"",ISNUMBER(A4010)),VLOOKUP(A4010,Studies!A:BR,5,FALSE),"")</f>
        <v>Midazolam</v>
      </c>
      <c r="F4010" s="207" t="str">
        <f>IF(AND(A4010&lt;&gt;"",ISNUMBER(A4010)),VLOOKUP(A4010,Studies!A:BR,6,FALSE),"")</f>
        <v>Plasma</v>
      </c>
      <c r="G4010" s="194">
        <v>4</v>
      </c>
      <c r="H4010" s="194" t="s">
        <v>60</v>
      </c>
      <c r="I4010" s="187">
        <v>8.3447390000000006</v>
      </c>
      <c r="J4010" s="187" t="s">
        <v>1026</v>
      </c>
      <c r="K4010" s="187" t="s">
        <v>116</v>
      </c>
      <c r="L4010" s="195"/>
      <c r="M4010" s="195"/>
      <c r="N4010" s="195"/>
      <c r="O4010" s="199"/>
      <c r="P4010" s="188"/>
    </row>
    <row r="4011" spans="1:17" s="183" customFormat="1" x14ac:dyDescent="0.2">
      <c r="A4011" s="213">
        <v>374</v>
      </c>
      <c r="B4011" s="232" t="str">
        <f>IF(AND(A4011&lt;&gt;"",ISNUMBER(A4011)),VLOOKUP(A4011,Studies!A:BR,2,FALSE),"")</f>
        <v>Olkkola 1996</v>
      </c>
      <c r="C4011" s="232" t="str">
        <f>IF(AND(A4011&lt;&gt;"",ISNUMBER(A4011)),VLOOKUP(A4011,Studies!A:BR,3,FALSE),"")</f>
        <v>https://www.ncbi.nlm.nih.gov/pubmed/8623953</v>
      </c>
      <c r="D4011" s="232" t="str">
        <f>IF(AND(A4011&lt;&gt;"",ISNUMBER(A4011)),VLOOKUP(A4011,Studies!A:BR,4,FALSE),"")</f>
        <v>day 1 (po) Control (Perpetrator Placebo)</v>
      </c>
      <c r="E4011" s="206" t="str">
        <f>IF(AND(A4011&lt;&gt;"",ISNUMBER(A4011)),VLOOKUP(A4011,Studies!A:BR,5,FALSE),"")</f>
        <v>Midazolam</v>
      </c>
      <c r="F4011" s="207" t="str">
        <f>IF(AND(A4011&lt;&gt;"",ISNUMBER(A4011)),VLOOKUP(A4011,Studies!A:BR,6,FALSE),"")</f>
        <v>Plasma</v>
      </c>
      <c r="G4011" s="194">
        <v>5</v>
      </c>
      <c r="H4011" s="194" t="s">
        <v>60</v>
      </c>
      <c r="I4011" s="187">
        <v>4.9676600000000004</v>
      </c>
      <c r="J4011" s="187" t="s">
        <v>1026</v>
      </c>
      <c r="K4011" s="187" t="s">
        <v>116</v>
      </c>
      <c r="L4011" s="195"/>
      <c r="M4011" s="195"/>
      <c r="N4011" s="195"/>
      <c r="O4011" s="199"/>
      <c r="P4011" s="188"/>
    </row>
    <row r="4012" spans="1:17" s="183" customFormat="1" x14ac:dyDescent="0.2">
      <c r="A4012" s="213">
        <v>374</v>
      </c>
      <c r="B4012" s="232" t="str">
        <f>IF(AND(A4012&lt;&gt;"",ISNUMBER(A4012)),VLOOKUP(A4012,Studies!A:BR,2,FALSE),"")</f>
        <v>Olkkola 1996</v>
      </c>
      <c r="C4012" s="232" t="str">
        <f>IF(AND(A4012&lt;&gt;"",ISNUMBER(A4012)),VLOOKUP(A4012,Studies!A:BR,3,FALSE),"")</f>
        <v>https://www.ncbi.nlm.nih.gov/pubmed/8623953</v>
      </c>
      <c r="D4012" s="232" t="str">
        <f>IF(AND(A4012&lt;&gt;"",ISNUMBER(A4012)),VLOOKUP(A4012,Studies!A:BR,4,FALSE),"")</f>
        <v>day 1 (po) Control (Perpetrator Placebo)</v>
      </c>
      <c r="E4012" s="206" t="str">
        <f>IF(AND(A4012&lt;&gt;"",ISNUMBER(A4012)),VLOOKUP(A4012,Studies!A:BR,5,FALSE),"")</f>
        <v>Midazolam</v>
      </c>
      <c r="F4012" s="207" t="str">
        <f>IF(AND(A4012&lt;&gt;"",ISNUMBER(A4012)),VLOOKUP(A4012,Studies!A:BR,6,FALSE),"")</f>
        <v>Plasma</v>
      </c>
      <c r="G4012" s="194">
        <v>6</v>
      </c>
      <c r="H4012" s="194" t="s">
        <v>60</v>
      </c>
      <c r="I4012" s="187">
        <v>4.1822100000000004</v>
      </c>
      <c r="J4012" s="187" t="s">
        <v>1026</v>
      </c>
      <c r="K4012" s="187" t="s">
        <v>116</v>
      </c>
      <c r="L4012" s="195"/>
      <c r="M4012" s="195"/>
      <c r="N4012" s="195"/>
      <c r="O4012" s="199"/>
      <c r="P4012" s="188"/>
    </row>
    <row r="4013" spans="1:17" s="183" customFormat="1" x14ac:dyDescent="0.2">
      <c r="A4013" s="213">
        <v>374</v>
      </c>
      <c r="B4013" s="232" t="str">
        <f>IF(AND(A4013&lt;&gt;"",ISNUMBER(A4013)),VLOOKUP(A4013,Studies!A:BR,2,FALSE),"")</f>
        <v>Olkkola 1996</v>
      </c>
      <c r="C4013" s="232" t="str">
        <f>IF(AND(A4013&lt;&gt;"",ISNUMBER(A4013)),VLOOKUP(A4013,Studies!A:BR,3,FALSE),"")</f>
        <v>https://www.ncbi.nlm.nih.gov/pubmed/8623953</v>
      </c>
      <c r="D4013" s="232" t="str">
        <f>IF(AND(A4013&lt;&gt;"",ISNUMBER(A4013)),VLOOKUP(A4013,Studies!A:BR,4,FALSE),"")</f>
        <v>day 1 (po) Control (Perpetrator Placebo)</v>
      </c>
      <c r="E4013" s="206" t="str">
        <f>IF(AND(A4013&lt;&gt;"",ISNUMBER(A4013)),VLOOKUP(A4013,Studies!A:BR,5,FALSE),"")</f>
        <v>Midazolam</v>
      </c>
      <c r="F4013" s="207" t="str">
        <f>IF(AND(A4013&lt;&gt;"",ISNUMBER(A4013)),VLOOKUP(A4013,Studies!A:BR,6,FALSE),"")</f>
        <v>Plasma</v>
      </c>
      <c r="G4013" s="194">
        <v>7</v>
      </c>
      <c r="H4013" s="194" t="s">
        <v>60</v>
      </c>
      <c r="I4013" s="187">
        <v>3.4003380000000001</v>
      </c>
      <c r="J4013" s="187" t="s">
        <v>1026</v>
      </c>
      <c r="K4013" s="187" t="s">
        <v>116</v>
      </c>
      <c r="L4013" s="195"/>
      <c r="M4013" s="195"/>
      <c r="N4013" s="195"/>
      <c r="O4013" s="199"/>
      <c r="P4013" s="188"/>
    </row>
    <row r="4014" spans="1:17" s="183" customFormat="1" x14ac:dyDescent="0.2">
      <c r="A4014" s="213">
        <v>374</v>
      </c>
      <c r="B4014" s="232" t="str">
        <f>IF(AND(A4014&lt;&gt;"",ISNUMBER(A4014)),VLOOKUP(A4014,Studies!A:BR,2,FALSE),"")</f>
        <v>Olkkola 1996</v>
      </c>
      <c r="C4014" s="232" t="str">
        <f>IF(AND(A4014&lt;&gt;"",ISNUMBER(A4014)),VLOOKUP(A4014,Studies!A:BR,3,FALSE),"")</f>
        <v>https://www.ncbi.nlm.nih.gov/pubmed/8623953</v>
      </c>
      <c r="D4014" s="232" t="str">
        <f>IF(AND(A4014&lt;&gt;"",ISNUMBER(A4014)),VLOOKUP(A4014,Studies!A:BR,4,FALSE),"")</f>
        <v>day 1 (po) Control (Perpetrator Placebo)</v>
      </c>
      <c r="E4014" s="206" t="str">
        <f>IF(AND(A4014&lt;&gt;"",ISNUMBER(A4014)),VLOOKUP(A4014,Studies!A:BR,5,FALSE),"")</f>
        <v>Midazolam</v>
      </c>
      <c r="F4014" s="207" t="str">
        <f>IF(AND(A4014&lt;&gt;"",ISNUMBER(A4014)),VLOOKUP(A4014,Studies!A:BR,6,FALSE),"")</f>
        <v>Plasma</v>
      </c>
      <c r="G4014" s="194">
        <v>17</v>
      </c>
      <c r="H4014" s="194" t="s">
        <v>60</v>
      </c>
      <c r="I4014" s="187">
        <v>-0.36946580000000001</v>
      </c>
      <c r="J4014" s="187" t="s">
        <v>1026</v>
      </c>
      <c r="K4014" s="187" t="s">
        <v>116</v>
      </c>
      <c r="L4014" s="195"/>
      <c r="M4014" s="195"/>
      <c r="N4014" s="195"/>
      <c r="O4014" s="199"/>
      <c r="P4014" s="188"/>
    </row>
    <row r="4015" spans="1:17" s="183" customFormat="1" x14ac:dyDescent="0.2">
      <c r="A4015" s="213">
        <v>375</v>
      </c>
      <c r="B4015" s="232" t="str">
        <f>IF(AND(A4015&lt;&gt;"",ISNUMBER(A4015)),VLOOKUP(A4015,Studies!A:BR,2,FALSE),"")</f>
        <v>Olkkola 1996</v>
      </c>
      <c r="C4015" s="232" t="str">
        <f>IF(AND(A4015&lt;&gt;"",ISNUMBER(A4015)),VLOOKUP(A4015,Studies!A:BR,3,FALSE),"")</f>
        <v>https://www.ncbi.nlm.nih.gov/pubmed/8623953</v>
      </c>
      <c r="D4015" s="232" t="str">
        <f>IF(AND(A4015&lt;&gt;"",ISNUMBER(A4015)),VLOOKUP(A4015,Studies!A:BR,4,FALSE),"")</f>
        <v>day 4 (iv) Control (Perpetrator Placebo)</v>
      </c>
      <c r="E4015" s="206" t="str">
        <f>IF(AND(A4015&lt;&gt;"",ISNUMBER(A4015)),VLOOKUP(A4015,Studies!A:BR,5,FALSE),"")</f>
        <v>Midazolam</v>
      </c>
      <c r="F4015" s="207" t="str">
        <f>IF(AND(A4015&lt;&gt;"",ISNUMBER(A4015)),VLOOKUP(A4015,Studies!A:BR,6,FALSE),"")</f>
        <v>Plasma</v>
      </c>
      <c r="G4015" s="194">
        <v>0</v>
      </c>
      <c r="H4015" s="194" t="s">
        <v>60</v>
      </c>
      <c r="I4015" s="187">
        <v>0</v>
      </c>
      <c r="J4015" s="187" t="s">
        <v>1026</v>
      </c>
      <c r="K4015" s="187" t="s">
        <v>116</v>
      </c>
      <c r="L4015" s="195"/>
      <c r="M4015" s="195"/>
      <c r="N4015" s="195"/>
      <c r="O4015" s="199"/>
      <c r="P4015" s="188"/>
    </row>
    <row r="4016" spans="1:17" s="183" customFormat="1" x14ac:dyDescent="0.2">
      <c r="A4016" s="213">
        <v>375</v>
      </c>
      <c r="B4016" s="232" t="str">
        <f>IF(AND(A4016&lt;&gt;"",ISNUMBER(A4016)),VLOOKUP(A4016,Studies!A:BR,2,FALSE),"")</f>
        <v>Olkkola 1996</v>
      </c>
      <c r="C4016" s="232" t="str">
        <f>IF(AND(A4016&lt;&gt;"",ISNUMBER(A4016)),VLOOKUP(A4016,Studies!A:BR,3,FALSE),"")</f>
        <v>https://www.ncbi.nlm.nih.gov/pubmed/8623953</v>
      </c>
      <c r="D4016" s="232" t="str">
        <f>IF(AND(A4016&lt;&gt;"",ISNUMBER(A4016)),VLOOKUP(A4016,Studies!A:BR,4,FALSE),"")</f>
        <v>day 4 (iv) Control (Perpetrator Placebo)</v>
      </c>
      <c r="E4016" s="206" t="str">
        <f>IF(AND(A4016&lt;&gt;"",ISNUMBER(A4016)),VLOOKUP(A4016,Studies!A:BR,5,FALSE),"")</f>
        <v>Midazolam</v>
      </c>
      <c r="F4016" s="207" t="str">
        <f>IF(AND(A4016&lt;&gt;"",ISNUMBER(A4016)),VLOOKUP(A4016,Studies!A:BR,6,FALSE),"")</f>
        <v>Plasma</v>
      </c>
      <c r="G4016" s="194">
        <v>0.25</v>
      </c>
      <c r="H4016" s="194" t="s">
        <v>60</v>
      </c>
      <c r="I4016" s="187">
        <v>54.13523</v>
      </c>
      <c r="J4016" s="187" t="s">
        <v>1026</v>
      </c>
      <c r="K4016" s="187" t="s">
        <v>116</v>
      </c>
      <c r="L4016" s="195"/>
      <c r="M4016" s="195"/>
      <c r="N4016" s="195"/>
      <c r="O4016" s="199"/>
      <c r="P4016" s="188"/>
    </row>
    <row r="4017" spans="1:16" s="183" customFormat="1" x14ac:dyDescent="0.2">
      <c r="A4017" s="213">
        <v>375</v>
      </c>
      <c r="B4017" s="232" t="str">
        <f>IF(AND(A4017&lt;&gt;"",ISNUMBER(A4017)),VLOOKUP(A4017,Studies!A:BR,2,FALSE),"")</f>
        <v>Olkkola 1996</v>
      </c>
      <c r="C4017" s="232" t="str">
        <f>IF(AND(A4017&lt;&gt;"",ISNUMBER(A4017)),VLOOKUP(A4017,Studies!A:BR,3,FALSE),"")</f>
        <v>https://www.ncbi.nlm.nih.gov/pubmed/8623953</v>
      </c>
      <c r="D4017" s="232" t="str">
        <f>IF(AND(A4017&lt;&gt;"",ISNUMBER(A4017)),VLOOKUP(A4017,Studies!A:BR,4,FALSE),"")</f>
        <v>day 4 (iv) Control (Perpetrator Placebo)</v>
      </c>
      <c r="E4017" s="206" t="str">
        <f>IF(AND(A4017&lt;&gt;"",ISNUMBER(A4017)),VLOOKUP(A4017,Studies!A:BR,5,FALSE),"")</f>
        <v>Midazolam</v>
      </c>
      <c r="F4017" s="207" t="str">
        <f>IF(AND(A4017&lt;&gt;"",ISNUMBER(A4017)),VLOOKUP(A4017,Studies!A:BR,6,FALSE),"")</f>
        <v>Plasma</v>
      </c>
      <c r="G4017" s="194">
        <v>0.5</v>
      </c>
      <c r="H4017" s="194" t="s">
        <v>60</v>
      </c>
      <c r="I4017" s="187">
        <v>42.525260000000003</v>
      </c>
      <c r="J4017" s="187" t="s">
        <v>1026</v>
      </c>
      <c r="K4017" s="187" t="s">
        <v>116</v>
      </c>
      <c r="L4017" s="195"/>
      <c r="M4017" s="195"/>
      <c r="N4017" s="195"/>
      <c r="O4017" s="199"/>
      <c r="P4017" s="188"/>
    </row>
    <row r="4018" spans="1:16" s="183" customFormat="1" x14ac:dyDescent="0.2">
      <c r="A4018" s="213">
        <v>375</v>
      </c>
      <c r="B4018" s="232" t="str">
        <f>IF(AND(A4018&lt;&gt;"",ISNUMBER(A4018)),VLOOKUP(A4018,Studies!A:BR,2,FALSE),"")</f>
        <v>Olkkola 1996</v>
      </c>
      <c r="C4018" s="232" t="str">
        <f>IF(AND(A4018&lt;&gt;"",ISNUMBER(A4018)),VLOOKUP(A4018,Studies!A:BR,3,FALSE),"")</f>
        <v>https://www.ncbi.nlm.nih.gov/pubmed/8623953</v>
      </c>
      <c r="D4018" s="232" t="str">
        <f>IF(AND(A4018&lt;&gt;"",ISNUMBER(A4018)),VLOOKUP(A4018,Studies!A:BR,4,FALSE),"")</f>
        <v>day 4 (iv) Control (Perpetrator Placebo)</v>
      </c>
      <c r="E4018" s="206" t="str">
        <f>IF(AND(A4018&lt;&gt;"",ISNUMBER(A4018)),VLOOKUP(A4018,Studies!A:BR,5,FALSE),"")</f>
        <v>Midazolam</v>
      </c>
      <c r="F4018" s="207" t="str">
        <f>IF(AND(A4018&lt;&gt;"",ISNUMBER(A4018)),VLOOKUP(A4018,Studies!A:BR,6,FALSE),"")</f>
        <v>Plasma</v>
      </c>
      <c r="G4018" s="194">
        <v>1</v>
      </c>
      <c r="H4018" s="194" t="s">
        <v>60</v>
      </c>
      <c r="I4018" s="187">
        <v>28.696719999999999</v>
      </c>
      <c r="J4018" s="187" t="s">
        <v>1026</v>
      </c>
      <c r="K4018" s="187" t="s">
        <v>116</v>
      </c>
      <c r="L4018" s="195"/>
      <c r="M4018" s="195"/>
      <c r="N4018" s="195"/>
      <c r="O4018" s="199"/>
      <c r="P4018" s="188"/>
    </row>
    <row r="4019" spans="1:16" s="183" customFormat="1" x14ac:dyDescent="0.2">
      <c r="A4019" s="213">
        <v>375</v>
      </c>
      <c r="B4019" s="232" t="str">
        <f>IF(AND(A4019&lt;&gt;"",ISNUMBER(A4019)),VLOOKUP(A4019,Studies!A:BR,2,FALSE),"")</f>
        <v>Olkkola 1996</v>
      </c>
      <c r="C4019" s="232" t="str">
        <f>IF(AND(A4019&lt;&gt;"",ISNUMBER(A4019)),VLOOKUP(A4019,Studies!A:BR,3,FALSE),"")</f>
        <v>https://www.ncbi.nlm.nih.gov/pubmed/8623953</v>
      </c>
      <c r="D4019" s="232" t="str">
        <f>IF(AND(A4019&lt;&gt;"",ISNUMBER(A4019)),VLOOKUP(A4019,Studies!A:BR,4,FALSE),"")</f>
        <v>day 4 (iv) Control (Perpetrator Placebo)</v>
      </c>
      <c r="E4019" s="206" t="str">
        <f>IF(AND(A4019&lt;&gt;"",ISNUMBER(A4019)),VLOOKUP(A4019,Studies!A:BR,5,FALSE),"")</f>
        <v>Midazolam</v>
      </c>
      <c r="F4019" s="207" t="str">
        <f>IF(AND(A4019&lt;&gt;"",ISNUMBER(A4019)),VLOOKUP(A4019,Studies!A:BR,6,FALSE),"")</f>
        <v>Plasma</v>
      </c>
      <c r="G4019" s="194">
        <v>1.5</v>
      </c>
      <c r="H4019" s="194" t="s">
        <v>60</v>
      </c>
      <c r="I4019" s="187">
        <v>20.577089999999998</v>
      </c>
      <c r="J4019" s="187" t="s">
        <v>1026</v>
      </c>
      <c r="K4019" s="187" t="s">
        <v>116</v>
      </c>
      <c r="L4019" s="195"/>
      <c r="M4019" s="195"/>
      <c r="N4019" s="195"/>
      <c r="O4019" s="199"/>
      <c r="P4019" s="188"/>
    </row>
    <row r="4020" spans="1:16" s="183" customFormat="1" x14ac:dyDescent="0.2">
      <c r="A4020" s="213">
        <v>375</v>
      </c>
      <c r="B4020" s="232" t="str">
        <f>IF(AND(A4020&lt;&gt;"",ISNUMBER(A4020)),VLOOKUP(A4020,Studies!A:BR,2,FALSE),"")</f>
        <v>Olkkola 1996</v>
      </c>
      <c r="C4020" s="232" t="str">
        <f>IF(AND(A4020&lt;&gt;"",ISNUMBER(A4020)),VLOOKUP(A4020,Studies!A:BR,3,FALSE),"")</f>
        <v>https://www.ncbi.nlm.nih.gov/pubmed/8623953</v>
      </c>
      <c r="D4020" s="232" t="str">
        <f>IF(AND(A4020&lt;&gt;"",ISNUMBER(A4020)),VLOOKUP(A4020,Studies!A:BR,4,FALSE),"")</f>
        <v>day 4 (iv) Control (Perpetrator Placebo)</v>
      </c>
      <c r="E4020" s="206" t="str">
        <f>IF(AND(A4020&lt;&gt;"",ISNUMBER(A4020)),VLOOKUP(A4020,Studies!A:BR,5,FALSE),"")</f>
        <v>Midazolam</v>
      </c>
      <c r="F4020" s="207" t="str">
        <f>IF(AND(A4020&lt;&gt;"",ISNUMBER(A4020)),VLOOKUP(A4020,Studies!A:BR,6,FALSE),"")</f>
        <v>Plasma</v>
      </c>
      <c r="G4020" s="194">
        <v>2</v>
      </c>
      <c r="H4020" s="194" t="s">
        <v>60</v>
      </c>
      <c r="I4020" s="187">
        <v>15.957140000000001</v>
      </c>
      <c r="J4020" s="187" t="s">
        <v>1026</v>
      </c>
      <c r="K4020" s="187" t="s">
        <v>116</v>
      </c>
      <c r="L4020" s="195"/>
      <c r="M4020" s="195"/>
      <c r="N4020" s="195"/>
      <c r="O4020" s="199"/>
      <c r="P4020" s="188"/>
    </row>
    <row r="4021" spans="1:16" s="183" customFormat="1" x14ac:dyDescent="0.2">
      <c r="A4021" s="213">
        <v>375</v>
      </c>
      <c r="B4021" s="232" t="str">
        <f>IF(AND(A4021&lt;&gt;"",ISNUMBER(A4021)),VLOOKUP(A4021,Studies!A:BR,2,FALSE),"")</f>
        <v>Olkkola 1996</v>
      </c>
      <c r="C4021" s="232" t="str">
        <f>IF(AND(A4021&lt;&gt;"",ISNUMBER(A4021)),VLOOKUP(A4021,Studies!A:BR,3,FALSE),"")</f>
        <v>https://www.ncbi.nlm.nih.gov/pubmed/8623953</v>
      </c>
      <c r="D4021" s="232" t="str">
        <f>IF(AND(A4021&lt;&gt;"",ISNUMBER(A4021)),VLOOKUP(A4021,Studies!A:BR,4,FALSE),"")</f>
        <v>day 4 (iv) Control (Perpetrator Placebo)</v>
      </c>
      <c r="E4021" s="206" t="str">
        <f>IF(AND(A4021&lt;&gt;"",ISNUMBER(A4021)),VLOOKUP(A4021,Studies!A:BR,5,FALSE),"")</f>
        <v>Midazolam</v>
      </c>
      <c r="F4021" s="207" t="str">
        <f>IF(AND(A4021&lt;&gt;"",ISNUMBER(A4021)),VLOOKUP(A4021,Studies!A:BR,6,FALSE),"")</f>
        <v>Plasma</v>
      </c>
      <c r="G4021" s="194">
        <v>3</v>
      </c>
      <c r="H4021" s="194" t="s">
        <v>60</v>
      </c>
      <c r="I4021" s="187">
        <v>10.76871</v>
      </c>
      <c r="J4021" s="187" t="s">
        <v>1026</v>
      </c>
      <c r="K4021" s="187" t="s">
        <v>116</v>
      </c>
      <c r="L4021" s="195"/>
      <c r="M4021" s="195"/>
      <c r="N4021" s="195"/>
      <c r="O4021" s="199"/>
      <c r="P4021" s="188"/>
    </row>
    <row r="4022" spans="1:16" s="183" customFormat="1" x14ac:dyDescent="0.2">
      <c r="A4022" s="213">
        <v>375</v>
      </c>
      <c r="B4022" s="232" t="str">
        <f>IF(AND(A4022&lt;&gt;"",ISNUMBER(A4022)),VLOOKUP(A4022,Studies!A:BR,2,FALSE),"")</f>
        <v>Olkkola 1996</v>
      </c>
      <c r="C4022" s="232" t="str">
        <f>IF(AND(A4022&lt;&gt;"",ISNUMBER(A4022)),VLOOKUP(A4022,Studies!A:BR,3,FALSE),"")</f>
        <v>https://www.ncbi.nlm.nih.gov/pubmed/8623953</v>
      </c>
      <c r="D4022" s="232" t="str">
        <f>IF(AND(A4022&lt;&gt;"",ISNUMBER(A4022)),VLOOKUP(A4022,Studies!A:BR,4,FALSE),"")</f>
        <v>day 4 (iv) Control (Perpetrator Placebo)</v>
      </c>
      <c r="E4022" s="206" t="str">
        <f>IF(AND(A4022&lt;&gt;"",ISNUMBER(A4022)),VLOOKUP(A4022,Studies!A:BR,5,FALSE),"")</f>
        <v>Midazolam</v>
      </c>
      <c r="F4022" s="207" t="str">
        <f>IF(AND(A4022&lt;&gt;"",ISNUMBER(A4022)),VLOOKUP(A4022,Studies!A:BR,6,FALSE),"")</f>
        <v>Plasma</v>
      </c>
      <c r="G4022" s="194">
        <v>4</v>
      </c>
      <c r="H4022" s="194" t="s">
        <v>60</v>
      </c>
      <c r="I4022" s="187">
        <v>8.1578389999999992</v>
      </c>
      <c r="J4022" s="187" t="s">
        <v>1026</v>
      </c>
      <c r="K4022" s="187" t="s">
        <v>116</v>
      </c>
      <c r="L4022" s="195"/>
      <c r="M4022" s="195"/>
      <c r="N4022" s="195"/>
      <c r="O4022" s="199"/>
      <c r="P4022" s="188"/>
    </row>
    <row r="4023" spans="1:16" s="183" customFormat="1" x14ac:dyDescent="0.2">
      <c r="A4023" s="213">
        <v>375</v>
      </c>
      <c r="B4023" s="232" t="str">
        <f>IF(AND(A4023&lt;&gt;"",ISNUMBER(A4023)),VLOOKUP(A4023,Studies!A:BR,2,FALSE),"")</f>
        <v>Olkkola 1996</v>
      </c>
      <c r="C4023" s="232" t="str">
        <f>IF(AND(A4023&lt;&gt;"",ISNUMBER(A4023)),VLOOKUP(A4023,Studies!A:BR,3,FALSE),"")</f>
        <v>https://www.ncbi.nlm.nih.gov/pubmed/8623953</v>
      </c>
      <c r="D4023" s="232" t="str">
        <f>IF(AND(A4023&lt;&gt;"",ISNUMBER(A4023)),VLOOKUP(A4023,Studies!A:BR,4,FALSE),"")</f>
        <v>day 4 (iv) Control (Perpetrator Placebo)</v>
      </c>
      <c r="E4023" s="206" t="str">
        <f>IF(AND(A4023&lt;&gt;"",ISNUMBER(A4023)),VLOOKUP(A4023,Studies!A:BR,5,FALSE),"")</f>
        <v>Midazolam</v>
      </c>
      <c r="F4023" s="207" t="str">
        <f>IF(AND(A4023&lt;&gt;"",ISNUMBER(A4023)),VLOOKUP(A4023,Studies!A:BR,6,FALSE),"")</f>
        <v>Plasma</v>
      </c>
      <c r="G4023" s="194">
        <v>5</v>
      </c>
      <c r="H4023" s="194" t="s">
        <v>60</v>
      </c>
      <c r="I4023" s="187">
        <v>5.7311240000000003</v>
      </c>
      <c r="J4023" s="187" t="s">
        <v>1026</v>
      </c>
      <c r="K4023" s="187" t="s">
        <v>116</v>
      </c>
      <c r="L4023" s="195"/>
      <c r="M4023" s="195"/>
      <c r="N4023" s="195"/>
      <c r="O4023" s="199"/>
      <c r="P4023" s="188"/>
    </row>
    <row r="4024" spans="1:16" s="183" customFormat="1" x14ac:dyDescent="0.2">
      <c r="A4024" s="213">
        <v>375</v>
      </c>
      <c r="B4024" s="232" t="str">
        <f>IF(AND(A4024&lt;&gt;"",ISNUMBER(A4024)),VLOOKUP(A4024,Studies!A:BR,2,FALSE),"")</f>
        <v>Olkkola 1996</v>
      </c>
      <c r="C4024" s="232" t="str">
        <f>IF(AND(A4024&lt;&gt;"",ISNUMBER(A4024)),VLOOKUP(A4024,Studies!A:BR,3,FALSE),"")</f>
        <v>https://www.ncbi.nlm.nih.gov/pubmed/8623953</v>
      </c>
      <c r="D4024" s="232" t="str">
        <f>IF(AND(A4024&lt;&gt;"",ISNUMBER(A4024)),VLOOKUP(A4024,Studies!A:BR,4,FALSE),"")</f>
        <v>day 4 (iv) Control (Perpetrator Placebo)</v>
      </c>
      <c r="E4024" s="206" t="str">
        <f>IF(AND(A4024&lt;&gt;"",ISNUMBER(A4024)),VLOOKUP(A4024,Studies!A:BR,5,FALSE),"")</f>
        <v>Midazolam</v>
      </c>
      <c r="F4024" s="207" t="str">
        <f>IF(AND(A4024&lt;&gt;"",ISNUMBER(A4024)),VLOOKUP(A4024,Studies!A:BR,6,FALSE),"")</f>
        <v>Plasma</v>
      </c>
      <c r="G4024" s="194">
        <v>6</v>
      </c>
      <c r="H4024" s="194" t="s">
        <v>60</v>
      </c>
      <c r="I4024" s="187">
        <v>4.9618349999999998</v>
      </c>
      <c r="J4024" s="187" t="s">
        <v>1026</v>
      </c>
      <c r="K4024" s="187" t="s">
        <v>116</v>
      </c>
      <c r="L4024" s="195"/>
      <c r="M4024" s="195"/>
      <c r="N4024" s="195"/>
      <c r="O4024" s="199"/>
      <c r="P4024" s="188"/>
    </row>
    <row r="4025" spans="1:16" s="183" customFormat="1" x14ac:dyDescent="0.2">
      <c r="A4025" s="213">
        <v>375</v>
      </c>
      <c r="B4025" s="232" t="str">
        <f>IF(AND(A4025&lt;&gt;"",ISNUMBER(A4025)),VLOOKUP(A4025,Studies!A:BR,2,FALSE),"")</f>
        <v>Olkkola 1996</v>
      </c>
      <c r="C4025" s="232" t="str">
        <f>IF(AND(A4025&lt;&gt;"",ISNUMBER(A4025)),VLOOKUP(A4025,Studies!A:BR,3,FALSE),"")</f>
        <v>https://www.ncbi.nlm.nih.gov/pubmed/8623953</v>
      </c>
      <c r="D4025" s="232" t="str">
        <f>IF(AND(A4025&lt;&gt;"",ISNUMBER(A4025)),VLOOKUP(A4025,Studies!A:BR,4,FALSE),"")</f>
        <v>day 4 (iv) Control (Perpetrator Placebo)</v>
      </c>
      <c r="E4025" s="206" t="str">
        <f>IF(AND(A4025&lt;&gt;"",ISNUMBER(A4025)),VLOOKUP(A4025,Studies!A:BR,5,FALSE),"")</f>
        <v>Midazolam</v>
      </c>
      <c r="F4025" s="207" t="str">
        <f>IF(AND(A4025&lt;&gt;"",ISNUMBER(A4025)),VLOOKUP(A4025,Studies!A:BR,6,FALSE),"")</f>
        <v>Plasma</v>
      </c>
      <c r="G4025" s="194">
        <v>7</v>
      </c>
      <c r="H4025" s="194" t="s">
        <v>60</v>
      </c>
      <c r="I4025" s="187">
        <v>4.5615300000000003</v>
      </c>
      <c r="J4025" s="187" t="s">
        <v>1026</v>
      </c>
      <c r="K4025" s="187" t="s">
        <v>116</v>
      </c>
      <c r="L4025" s="195"/>
      <c r="M4025" s="195"/>
      <c r="N4025" s="195"/>
      <c r="O4025" s="199"/>
      <c r="P4025" s="188"/>
    </row>
    <row r="4026" spans="1:16" s="183" customFormat="1" x14ac:dyDescent="0.2">
      <c r="A4026" s="213">
        <v>375</v>
      </c>
      <c r="B4026" s="232" t="str">
        <f>IF(AND(A4026&lt;&gt;"",ISNUMBER(A4026)),VLOOKUP(A4026,Studies!A:BR,2,FALSE),"")</f>
        <v>Olkkola 1996</v>
      </c>
      <c r="C4026" s="232" t="str">
        <f>IF(AND(A4026&lt;&gt;"",ISNUMBER(A4026)),VLOOKUP(A4026,Studies!A:BR,3,FALSE),"")</f>
        <v>https://www.ncbi.nlm.nih.gov/pubmed/8623953</v>
      </c>
      <c r="D4026" s="232" t="str">
        <f>IF(AND(A4026&lt;&gt;"",ISNUMBER(A4026)),VLOOKUP(A4026,Studies!A:BR,4,FALSE),"")</f>
        <v>day 4 (iv) Control (Perpetrator Placebo)</v>
      </c>
      <c r="E4026" s="206" t="str">
        <f>IF(AND(A4026&lt;&gt;"",ISNUMBER(A4026)),VLOOKUP(A4026,Studies!A:BR,5,FALSE),"")</f>
        <v>Midazolam</v>
      </c>
      <c r="F4026" s="207" t="str">
        <f>IF(AND(A4026&lt;&gt;"",ISNUMBER(A4026)),VLOOKUP(A4026,Studies!A:BR,6,FALSE),"")</f>
        <v>Plasma</v>
      </c>
      <c r="G4026" s="194">
        <v>17</v>
      </c>
      <c r="H4026" s="194" t="s">
        <v>60</v>
      </c>
      <c r="I4026" s="187">
        <v>0</v>
      </c>
      <c r="J4026" s="187" t="s">
        <v>1026</v>
      </c>
      <c r="K4026" s="187" t="s">
        <v>116</v>
      </c>
      <c r="L4026" s="195"/>
      <c r="M4026" s="195"/>
      <c r="N4026" s="195"/>
      <c r="O4026" s="199"/>
      <c r="P4026" s="188" t="s">
        <v>1172</v>
      </c>
    </row>
    <row r="4027" spans="1:16" s="183" customFormat="1" x14ac:dyDescent="0.2">
      <c r="A4027" s="213">
        <v>376</v>
      </c>
      <c r="B4027" s="232" t="str">
        <f>IF(AND(A4027&lt;&gt;"",ISNUMBER(A4027)),VLOOKUP(A4027,Studies!A:BR,2,FALSE),"")</f>
        <v>Olkkola 1996</v>
      </c>
      <c r="C4027" s="232" t="str">
        <f>IF(AND(A4027&lt;&gt;"",ISNUMBER(A4027)),VLOOKUP(A4027,Studies!A:BR,3,FALSE),"")</f>
        <v>https://www.ncbi.nlm.nih.gov/pubmed/8623953</v>
      </c>
      <c r="D4027" s="232" t="str">
        <f>IF(AND(A4027&lt;&gt;"",ISNUMBER(A4027)),VLOOKUP(A4027,Studies!A:BR,4,FALSE),"")</f>
        <v>day 6 (po) Control (Perpetrator Placebo)</v>
      </c>
      <c r="E4027" s="206" t="str">
        <f>IF(AND(A4027&lt;&gt;"",ISNUMBER(A4027)),VLOOKUP(A4027,Studies!A:BR,5,FALSE),"")</f>
        <v>Midazolam</v>
      </c>
      <c r="F4027" s="207" t="str">
        <f>IF(AND(A4027&lt;&gt;"",ISNUMBER(A4027)),VLOOKUP(A4027,Studies!A:BR,6,FALSE),"")</f>
        <v>Plasma</v>
      </c>
      <c r="G4027" s="194">
        <v>0</v>
      </c>
      <c r="H4027" s="194" t="s">
        <v>60</v>
      </c>
      <c r="I4027" s="187">
        <v>0</v>
      </c>
      <c r="J4027" s="187" t="s">
        <v>1026</v>
      </c>
      <c r="K4027" s="187" t="s">
        <v>116</v>
      </c>
      <c r="L4027" s="195"/>
      <c r="M4027" s="195"/>
      <c r="N4027" s="195"/>
      <c r="O4027" s="199"/>
      <c r="P4027" s="188"/>
    </row>
    <row r="4028" spans="1:16" s="183" customFormat="1" x14ac:dyDescent="0.2">
      <c r="A4028" s="213">
        <v>376</v>
      </c>
      <c r="B4028" s="232" t="str">
        <f>IF(AND(A4028&lt;&gt;"",ISNUMBER(A4028)),VLOOKUP(A4028,Studies!A:BR,2,FALSE),"")</f>
        <v>Olkkola 1996</v>
      </c>
      <c r="C4028" s="232" t="str">
        <f>IF(AND(A4028&lt;&gt;"",ISNUMBER(A4028)),VLOOKUP(A4028,Studies!A:BR,3,FALSE),"")</f>
        <v>https://www.ncbi.nlm.nih.gov/pubmed/8623953</v>
      </c>
      <c r="D4028" s="232" t="str">
        <f>IF(AND(A4028&lt;&gt;"",ISNUMBER(A4028)),VLOOKUP(A4028,Studies!A:BR,4,FALSE),"")</f>
        <v>day 6 (po) Control (Perpetrator Placebo)</v>
      </c>
      <c r="E4028" s="206" t="str">
        <f>IF(AND(A4028&lt;&gt;"",ISNUMBER(A4028)),VLOOKUP(A4028,Studies!A:BR,5,FALSE),"")</f>
        <v>Midazolam</v>
      </c>
      <c r="F4028" s="207" t="str">
        <f>IF(AND(A4028&lt;&gt;"",ISNUMBER(A4028)),VLOOKUP(A4028,Studies!A:BR,6,FALSE),"")</f>
        <v>Plasma</v>
      </c>
      <c r="G4028" s="194">
        <v>0.5</v>
      </c>
      <c r="H4028" s="194" t="s">
        <v>60</v>
      </c>
      <c r="I4028" s="187">
        <v>19.24999</v>
      </c>
      <c r="J4028" s="187" t="s">
        <v>1026</v>
      </c>
      <c r="K4028" s="187" t="s">
        <v>116</v>
      </c>
      <c r="L4028" s="195">
        <v>6.0550050000000004</v>
      </c>
      <c r="M4028" s="195" t="s">
        <v>1026</v>
      </c>
      <c r="N4028" s="195" t="s">
        <v>1034</v>
      </c>
      <c r="O4028" s="199"/>
      <c r="P4028" s="188"/>
    </row>
    <row r="4029" spans="1:16" s="183" customFormat="1" x14ac:dyDescent="0.2">
      <c r="A4029" s="213">
        <v>376</v>
      </c>
      <c r="B4029" s="232" t="str">
        <f>IF(AND(A4029&lt;&gt;"",ISNUMBER(A4029)),VLOOKUP(A4029,Studies!A:BR,2,FALSE),"")</f>
        <v>Olkkola 1996</v>
      </c>
      <c r="C4029" s="232" t="str">
        <f>IF(AND(A4029&lt;&gt;"",ISNUMBER(A4029)),VLOOKUP(A4029,Studies!A:BR,3,FALSE),"")</f>
        <v>https://www.ncbi.nlm.nih.gov/pubmed/8623953</v>
      </c>
      <c r="D4029" s="232" t="str">
        <f>IF(AND(A4029&lt;&gt;"",ISNUMBER(A4029)),VLOOKUP(A4029,Studies!A:BR,4,FALSE),"")</f>
        <v>day 6 (po) Control (Perpetrator Placebo)</v>
      </c>
      <c r="E4029" s="206" t="str">
        <f>IF(AND(A4029&lt;&gt;"",ISNUMBER(A4029)),VLOOKUP(A4029,Studies!A:BR,5,FALSE),"")</f>
        <v>Midazolam</v>
      </c>
      <c r="F4029" s="207" t="str">
        <f>IF(AND(A4029&lt;&gt;"",ISNUMBER(A4029)),VLOOKUP(A4029,Studies!A:BR,6,FALSE),"")</f>
        <v>Plasma</v>
      </c>
      <c r="G4029" s="194">
        <v>1</v>
      </c>
      <c r="H4029" s="194" t="s">
        <v>60</v>
      </c>
      <c r="I4029" s="187">
        <v>33.362400000000001</v>
      </c>
      <c r="J4029" s="187" t="s">
        <v>1026</v>
      </c>
      <c r="K4029" s="187" t="s">
        <v>116</v>
      </c>
      <c r="L4029" s="195">
        <v>4.0366689999999998</v>
      </c>
      <c r="M4029" s="195" t="s">
        <v>1026</v>
      </c>
      <c r="N4029" s="195" t="s">
        <v>1034</v>
      </c>
      <c r="O4029" s="199"/>
      <c r="P4029" s="188"/>
    </row>
    <row r="4030" spans="1:16" s="183" customFormat="1" x14ac:dyDescent="0.2">
      <c r="A4030" s="213">
        <v>376</v>
      </c>
      <c r="B4030" s="232" t="str">
        <f>IF(AND(A4030&lt;&gt;"",ISNUMBER(A4030)),VLOOKUP(A4030,Studies!A:BR,2,FALSE),"")</f>
        <v>Olkkola 1996</v>
      </c>
      <c r="C4030" s="232" t="str">
        <f>IF(AND(A4030&lt;&gt;"",ISNUMBER(A4030)),VLOOKUP(A4030,Studies!A:BR,3,FALSE),"")</f>
        <v>https://www.ncbi.nlm.nih.gov/pubmed/8623953</v>
      </c>
      <c r="D4030" s="232" t="str">
        <f>IF(AND(A4030&lt;&gt;"",ISNUMBER(A4030)),VLOOKUP(A4030,Studies!A:BR,4,FALSE),"")</f>
        <v>day 6 (po) Control (Perpetrator Placebo)</v>
      </c>
      <c r="E4030" s="206" t="str">
        <f>IF(AND(A4030&lt;&gt;"",ISNUMBER(A4030)),VLOOKUP(A4030,Studies!A:BR,5,FALSE),"")</f>
        <v>Midazolam</v>
      </c>
      <c r="F4030" s="207" t="str">
        <f>IF(AND(A4030&lt;&gt;"",ISNUMBER(A4030)),VLOOKUP(A4030,Studies!A:BR,6,FALSE),"")</f>
        <v>Plasma</v>
      </c>
      <c r="G4030" s="194">
        <v>1.5</v>
      </c>
      <c r="H4030" s="194" t="s">
        <v>60</v>
      </c>
      <c r="I4030" s="187">
        <v>26.373370000000001</v>
      </c>
      <c r="J4030" s="187" t="s">
        <v>1026</v>
      </c>
      <c r="K4030" s="187" t="s">
        <v>116</v>
      </c>
      <c r="L4030" s="195"/>
      <c r="M4030" s="195"/>
      <c r="N4030" s="195"/>
      <c r="O4030" s="199"/>
      <c r="P4030" s="188"/>
    </row>
    <row r="4031" spans="1:16" s="183" customFormat="1" x14ac:dyDescent="0.2">
      <c r="A4031" s="213">
        <v>376</v>
      </c>
      <c r="B4031" s="232" t="str">
        <f>IF(AND(A4031&lt;&gt;"",ISNUMBER(A4031)),VLOOKUP(A4031,Studies!A:BR,2,FALSE),"")</f>
        <v>Olkkola 1996</v>
      </c>
      <c r="C4031" s="232" t="str">
        <f>IF(AND(A4031&lt;&gt;"",ISNUMBER(A4031)),VLOOKUP(A4031,Studies!A:BR,3,FALSE),"")</f>
        <v>https://www.ncbi.nlm.nih.gov/pubmed/8623953</v>
      </c>
      <c r="D4031" s="232" t="str">
        <f>IF(AND(A4031&lt;&gt;"",ISNUMBER(A4031)),VLOOKUP(A4031,Studies!A:BR,4,FALSE),"")</f>
        <v>day 6 (po) Control (Perpetrator Placebo)</v>
      </c>
      <c r="E4031" s="206" t="str">
        <f>IF(AND(A4031&lt;&gt;"",ISNUMBER(A4031)),VLOOKUP(A4031,Studies!A:BR,5,FALSE),"")</f>
        <v>Midazolam</v>
      </c>
      <c r="F4031" s="207" t="str">
        <f>IF(AND(A4031&lt;&gt;"",ISNUMBER(A4031)),VLOOKUP(A4031,Studies!A:BR,6,FALSE),"")</f>
        <v>Plasma</v>
      </c>
      <c r="G4031" s="194">
        <v>2</v>
      </c>
      <c r="H4031" s="194" t="s">
        <v>60</v>
      </c>
      <c r="I4031" s="187">
        <v>19.201519999999999</v>
      </c>
      <c r="J4031" s="187" t="s">
        <v>1026</v>
      </c>
      <c r="K4031" s="187" t="s">
        <v>116</v>
      </c>
      <c r="L4031" s="195"/>
      <c r="M4031" s="195"/>
      <c r="N4031" s="195"/>
      <c r="O4031" s="199"/>
      <c r="P4031" s="188"/>
    </row>
    <row r="4032" spans="1:16" s="183" customFormat="1" x14ac:dyDescent="0.2">
      <c r="A4032" s="213">
        <v>376</v>
      </c>
      <c r="B4032" s="232" t="str">
        <f>IF(AND(A4032&lt;&gt;"",ISNUMBER(A4032)),VLOOKUP(A4032,Studies!A:BR,2,FALSE),"")</f>
        <v>Olkkola 1996</v>
      </c>
      <c r="C4032" s="232" t="str">
        <f>IF(AND(A4032&lt;&gt;"",ISNUMBER(A4032)),VLOOKUP(A4032,Studies!A:BR,3,FALSE),"")</f>
        <v>https://www.ncbi.nlm.nih.gov/pubmed/8623953</v>
      </c>
      <c r="D4032" s="232" t="str">
        <f>IF(AND(A4032&lt;&gt;"",ISNUMBER(A4032)),VLOOKUP(A4032,Studies!A:BR,4,FALSE),"")</f>
        <v>day 6 (po) Control (Perpetrator Placebo)</v>
      </c>
      <c r="E4032" s="206" t="str">
        <f>IF(AND(A4032&lt;&gt;"",ISNUMBER(A4032)),VLOOKUP(A4032,Studies!A:BR,5,FALSE),"")</f>
        <v>Midazolam</v>
      </c>
      <c r="F4032" s="207" t="str">
        <f>IF(AND(A4032&lt;&gt;"",ISNUMBER(A4032)),VLOOKUP(A4032,Studies!A:BR,6,FALSE),"")</f>
        <v>Plasma</v>
      </c>
      <c r="G4032" s="194">
        <v>3</v>
      </c>
      <c r="H4032" s="194" t="s">
        <v>60</v>
      </c>
      <c r="I4032" s="187">
        <v>12.013070000000001</v>
      </c>
      <c r="J4032" s="187" t="s">
        <v>1026</v>
      </c>
      <c r="K4032" s="187" t="s">
        <v>116</v>
      </c>
      <c r="L4032" s="195"/>
      <c r="M4032" s="195"/>
      <c r="N4032" s="195"/>
      <c r="O4032" s="199"/>
      <c r="P4032" s="188"/>
    </row>
    <row r="4033" spans="1:16" s="183" customFormat="1" x14ac:dyDescent="0.2">
      <c r="A4033" s="213">
        <v>376</v>
      </c>
      <c r="B4033" s="232" t="str">
        <f>IF(AND(A4033&lt;&gt;"",ISNUMBER(A4033)),VLOOKUP(A4033,Studies!A:BR,2,FALSE),"")</f>
        <v>Olkkola 1996</v>
      </c>
      <c r="C4033" s="232" t="str">
        <f>IF(AND(A4033&lt;&gt;"",ISNUMBER(A4033)),VLOOKUP(A4033,Studies!A:BR,3,FALSE),"")</f>
        <v>https://www.ncbi.nlm.nih.gov/pubmed/8623953</v>
      </c>
      <c r="D4033" s="232" t="str">
        <f>IF(AND(A4033&lt;&gt;"",ISNUMBER(A4033)),VLOOKUP(A4033,Studies!A:BR,4,FALSE),"")</f>
        <v>day 6 (po) Control (Perpetrator Placebo)</v>
      </c>
      <c r="E4033" s="206" t="str">
        <f>IF(AND(A4033&lt;&gt;"",ISNUMBER(A4033)),VLOOKUP(A4033,Studies!A:BR,5,FALSE),"")</f>
        <v>Midazolam</v>
      </c>
      <c r="F4033" s="207" t="str">
        <f>IF(AND(A4033&lt;&gt;"",ISNUMBER(A4033)),VLOOKUP(A4033,Studies!A:BR,6,FALSE),"")</f>
        <v>Plasma</v>
      </c>
      <c r="G4033" s="194">
        <v>4</v>
      </c>
      <c r="H4033" s="194" t="s">
        <v>60</v>
      </c>
      <c r="I4033" s="187">
        <v>7.9438610000000001</v>
      </c>
      <c r="J4033" s="187" t="s">
        <v>1026</v>
      </c>
      <c r="K4033" s="187" t="s">
        <v>116</v>
      </c>
      <c r="L4033" s="195"/>
      <c r="M4033" s="195"/>
      <c r="N4033" s="195"/>
      <c r="O4033" s="199"/>
      <c r="P4033" s="188"/>
    </row>
    <row r="4034" spans="1:16" s="183" customFormat="1" x14ac:dyDescent="0.2">
      <c r="A4034" s="213">
        <v>376</v>
      </c>
      <c r="B4034" s="232" t="str">
        <f>IF(AND(A4034&lt;&gt;"",ISNUMBER(A4034)),VLOOKUP(A4034,Studies!A:BR,2,FALSE),"")</f>
        <v>Olkkola 1996</v>
      </c>
      <c r="C4034" s="232" t="str">
        <f>IF(AND(A4034&lt;&gt;"",ISNUMBER(A4034)),VLOOKUP(A4034,Studies!A:BR,3,FALSE),"")</f>
        <v>https://www.ncbi.nlm.nih.gov/pubmed/8623953</v>
      </c>
      <c r="D4034" s="232" t="str">
        <f>IF(AND(A4034&lt;&gt;"",ISNUMBER(A4034)),VLOOKUP(A4034,Studies!A:BR,4,FALSE),"")</f>
        <v>day 6 (po) Control (Perpetrator Placebo)</v>
      </c>
      <c r="E4034" s="206" t="str">
        <f>IF(AND(A4034&lt;&gt;"",ISNUMBER(A4034)),VLOOKUP(A4034,Studies!A:BR,5,FALSE),"")</f>
        <v>Midazolam</v>
      </c>
      <c r="F4034" s="207" t="str">
        <f>IF(AND(A4034&lt;&gt;"",ISNUMBER(A4034)),VLOOKUP(A4034,Studies!A:BR,6,FALSE),"")</f>
        <v>Plasma</v>
      </c>
      <c r="G4034" s="194">
        <v>5</v>
      </c>
      <c r="H4034" s="194" t="s">
        <v>60</v>
      </c>
      <c r="I4034" s="187">
        <v>4.976229</v>
      </c>
      <c r="J4034" s="187" t="s">
        <v>1026</v>
      </c>
      <c r="K4034" s="187" t="s">
        <v>116</v>
      </c>
      <c r="L4034" s="195"/>
      <c r="M4034" s="195"/>
      <c r="N4034" s="195"/>
      <c r="O4034" s="199"/>
      <c r="P4034" s="188"/>
    </row>
    <row r="4035" spans="1:16" s="183" customFormat="1" x14ac:dyDescent="0.2">
      <c r="A4035" s="213">
        <v>376</v>
      </c>
      <c r="B4035" s="232" t="str">
        <f>IF(AND(A4035&lt;&gt;"",ISNUMBER(A4035)),VLOOKUP(A4035,Studies!A:BR,2,FALSE),"")</f>
        <v>Olkkola 1996</v>
      </c>
      <c r="C4035" s="232" t="str">
        <f>IF(AND(A4035&lt;&gt;"",ISNUMBER(A4035)),VLOOKUP(A4035,Studies!A:BR,3,FALSE),"")</f>
        <v>https://www.ncbi.nlm.nih.gov/pubmed/8623953</v>
      </c>
      <c r="D4035" s="232" t="str">
        <f>IF(AND(A4035&lt;&gt;"",ISNUMBER(A4035)),VLOOKUP(A4035,Studies!A:BR,4,FALSE),"")</f>
        <v>day 6 (po) Control (Perpetrator Placebo)</v>
      </c>
      <c r="E4035" s="206" t="str">
        <f>IF(AND(A4035&lt;&gt;"",ISNUMBER(A4035)),VLOOKUP(A4035,Studies!A:BR,5,FALSE),"")</f>
        <v>Midazolam</v>
      </c>
      <c r="F4035" s="207" t="str">
        <f>IF(AND(A4035&lt;&gt;"",ISNUMBER(A4035)),VLOOKUP(A4035,Studies!A:BR,6,FALSE),"")</f>
        <v>Plasma</v>
      </c>
      <c r="G4035" s="194">
        <v>6</v>
      </c>
      <c r="H4035" s="194" t="s">
        <v>60</v>
      </c>
      <c r="I4035" s="187">
        <v>4.3932380000000002</v>
      </c>
      <c r="J4035" s="187" t="s">
        <v>1026</v>
      </c>
      <c r="K4035" s="187" t="s">
        <v>116</v>
      </c>
      <c r="L4035" s="195"/>
      <c r="M4035" s="195"/>
      <c r="N4035" s="195"/>
      <c r="O4035" s="199"/>
      <c r="P4035" s="188"/>
    </row>
    <row r="4036" spans="1:16" s="183" customFormat="1" x14ac:dyDescent="0.2">
      <c r="A4036" s="213">
        <v>376</v>
      </c>
      <c r="B4036" s="232" t="str">
        <f>IF(AND(A4036&lt;&gt;"",ISNUMBER(A4036)),VLOOKUP(A4036,Studies!A:BR,2,FALSE),"")</f>
        <v>Olkkola 1996</v>
      </c>
      <c r="C4036" s="232" t="str">
        <f>IF(AND(A4036&lt;&gt;"",ISNUMBER(A4036)),VLOOKUP(A4036,Studies!A:BR,3,FALSE),"")</f>
        <v>https://www.ncbi.nlm.nih.gov/pubmed/8623953</v>
      </c>
      <c r="D4036" s="232" t="str">
        <f>IF(AND(A4036&lt;&gt;"",ISNUMBER(A4036)),VLOOKUP(A4036,Studies!A:BR,4,FALSE),"")</f>
        <v>day 6 (po) Control (Perpetrator Placebo)</v>
      </c>
      <c r="E4036" s="206" t="str">
        <f>IF(AND(A4036&lt;&gt;"",ISNUMBER(A4036)),VLOOKUP(A4036,Studies!A:BR,5,FALSE),"")</f>
        <v>Midazolam</v>
      </c>
      <c r="F4036" s="207" t="str">
        <f>IF(AND(A4036&lt;&gt;"",ISNUMBER(A4036)),VLOOKUP(A4036,Studies!A:BR,6,FALSE),"")</f>
        <v>Plasma</v>
      </c>
      <c r="G4036" s="194">
        <v>7</v>
      </c>
      <c r="H4036" s="194" t="s">
        <v>60</v>
      </c>
      <c r="I4036" s="187">
        <v>3.8109109999999999</v>
      </c>
      <c r="J4036" s="187" t="s">
        <v>1026</v>
      </c>
      <c r="K4036" s="187" t="s">
        <v>116</v>
      </c>
      <c r="L4036" s="195"/>
      <c r="M4036" s="195"/>
      <c r="N4036" s="195"/>
      <c r="O4036" s="199"/>
      <c r="P4036" s="188"/>
    </row>
    <row r="4037" spans="1:16" s="183" customFormat="1" x14ac:dyDescent="0.2">
      <c r="A4037" s="213">
        <v>376</v>
      </c>
      <c r="B4037" s="232" t="str">
        <f>IF(AND(A4037&lt;&gt;"",ISNUMBER(A4037)),VLOOKUP(A4037,Studies!A:BR,2,FALSE),"")</f>
        <v>Olkkola 1996</v>
      </c>
      <c r="C4037" s="232" t="str">
        <f>IF(AND(A4037&lt;&gt;"",ISNUMBER(A4037)),VLOOKUP(A4037,Studies!A:BR,3,FALSE),"")</f>
        <v>https://www.ncbi.nlm.nih.gov/pubmed/8623953</v>
      </c>
      <c r="D4037" s="232" t="str">
        <f>IF(AND(A4037&lt;&gt;"",ISNUMBER(A4037)),VLOOKUP(A4037,Studies!A:BR,4,FALSE),"")</f>
        <v>day 6 (po) Control (Perpetrator Placebo)</v>
      </c>
      <c r="E4037" s="206" t="str">
        <f>IF(AND(A4037&lt;&gt;"",ISNUMBER(A4037)),VLOOKUP(A4037,Studies!A:BR,5,FALSE),"")</f>
        <v>Midazolam</v>
      </c>
      <c r="F4037" s="207" t="str">
        <f>IF(AND(A4037&lt;&gt;"",ISNUMBER(A4037)),VLOOKUP(A4037,Studies!A:BR,6,FALSE),"")</f>
        <v>Plasma</v>
      </c>
      <c r="G4037" s="194">
        <v>17</v>
      </c>
      <c r="H4037" s="194" t="s">
        <v>60</v>
      </c>
      <c r="I4037" s="187">
        <v>0.18414900000000001</v>
      </c>
      <c r="J4037" s="187" t="s">
        <v>1026</v>
      </c>
      <c r="K4037" s="187" t="s">
        <v>116</v>
      </c>
      <c r="L4037" s="195"/>
      <c r="M4037" s="195"/>
      <c r="N4037" s="195"/>
      <c r="O4037" s="199"/>
      <c r="P4037" s="188"/>
    </row>
    <row r="4038" spans="1:16" s="183" customFormat="1" x14ac:dyDescent="0.2">
      <c r="A4038" s="213">
        <v>377</v>
      </c>
      <c r="B4038" s="232" t="str">
        <f>IF(AND(A4038&lt;&gt;"",ISNUMBER(A4038)),VLOOKUP(A4038,Studies!A:BR,2,FALSE),"")</f>
        <v>Olkkola 1996</v>
      </c>
      <c r="C4038" s="232" t="str">
        <f>IF(AND(A4038&lt;&gt;"",ISNUMBER(A4038)),VLOOKUP(A4038,Studies!A:BR,3,FALSE),"")</f>
        <v>https://www.ncbi.nlm.nih.gov/pubmed/8623953</v>
      </c>
      <c r="D4038" s="232" t="str">
        <f>IF(AND(A4038&lt;&gt;"",ISNUMBER(A4038)),VLOOKUP(A4038,Studies!A:BR,4,FALSE),"")</f>
        <v>day 1 (po) with Perpetrator (Itraconazole)</v>
      </c>
      <c r="E4038" s="206" t="str">
        <f>IF(AND(A4038&lt;&gt;"",ISNUMBER(A4038)),VLOOKUP(A4038,Studies!A:BR,5,FALSE),"")</f>
        <v>Midazolam</v>
      </c>
      <c r="F4038" s="207" t="str">
        <f>IF(AND(A4038&lt;&gt;"",ISNUMBER(A4038)),VLOOKUP(A4038,Studies!A:BR,6,FALSE),"")</f>
        <v>Plasma</v>
      </c>
      <c r="G4038" s="194">
        <f>2+0</f>
        <v>2</v>
      </c>
      <c r="H4038" s="194" t="s">
        <v>60</v>
      </c>
      <c r="I4038" s="187">
        <v>0</v>
      </c>
      <c r="J4038" s="187" t="s">
        <v>1026</v>
      </c>
      <c r="K4038" s="187" t="s">
        <v>116</v>
      </c>
      <c r="L4038" s="195"/>
      <c r="M4038" s="195"/>
      <c r="N4038" s="195"/>
      <c r="O4038" s="199"/>
      <c r="P4038" s="188"/>
    </row>
    <row r="4039" spans="1:16" s="183" customFormat="1" x14ac:dyDescent="0.2">
      <c r="A4039" s="213">
        <v>377</v>
      </c>
      <c r="B4039" s="232" t="str">
        <f>IF(AND(A4039&lt;&gt;"",ISNUMBER(A4039)),VLOOKUP(A4039,Studies!A:BR,2,FALSE),"")</f>
        <v>Olkkola 1996</v>
      </c>
      <c r="C4039" s="232" t="str">
        <f>IF(AND(A4039&lt;&gt;"",ISNUMBER(A4039)),VLOOKUP(A4039,Studies!A:BR,3,FALSE),"")</f>
        <v>https://www.ncbi.nlm.nih.gov/pubmed/8623953</v>
      </c>
      <c r="D4039" s="232" t="str">
        <f>IF(AND(A4039&lt;&gt;"",ISNUMBER(A4039)),VLOOKUP(A4039,Studies!A:BR,4,FALSE),"")</f>
        <v>day 1 (po) with Perpetrator (Itraconazole)</v>
      </c>
      <c r="E4039" s="206" t="str">
        <f>IF(AND(A4039&lt;&gt;"",ISNUMBER(A4039)),VLOOKUP(A4039,Studies!A:BR,5,FALSE),"")</f>
        <v>Midazolam</v>
      </c>
      <c r="F4039" s="207" t="str">
        <f>IF(AND(A4039&lt;&gt;"",ISNUMBER(A4039)),VLOOKUP(A4039,Studies!A:BR,6,FALSE),"")</f>
        <v>Plasma</v>
      </c>
      <c r="G4039" s="194">
        <f>2+0.5</f>
        <v>2.5</v>
      </c>
      <c r="H4039" s="194" t="s">
        <v>60</v>
      </c>
      <c r="I4039" s="187">
        <v>18.681730000000002</v>
      </c>
      <c r="J4039" s="187" t="s">
        <v>1026</v>
      </c>
      <c r="K4039" s="187" t="s">
        <v>116</v>
      </c>
      <c r="L4039" s="195">
        <v>7.9627509999999999</v>
      </c>
      <c r="M4039" s="195" t="s">
        <v>1026</v>
      </c>
      <c r="N4039" s="195" t="s">
        <v>1034</v>
      </c>
      <c r="O4039" s="199"/>
      <c r="P4039" s="188"/>
    </row>
    <row r="4040" spans="1:16" s="183" customFormat="1" x14ac:dyDescent="0.2">
      <c r="A4040" s="213">
        <v>377</v>
      </c>
      <c r="B4040" s="232" t="str">
        <f>IF(AND(A4040&lt;&gt;"",ISNUMBER(A4040)),VLOOKUP(A4040,Studies!A:BR,2,FALSE),"")</f>
        <v>Olkkola 1996</v>
      </c>
      <c r="C4040" s="232" t="str">
        <f>IF(AND(A4040&lt;&gt;"",ISNUMBER(A4040)),VLOOKUP(A4040,Studies!A:BR,3,FALSE),"")</f>
        <v>https://www.ncbi.nlm.nih.gov/pubmed/8623953</v>
      </c>
      <c r="D4040" s="232" t="str">
        <f>IF(AND(A4040&lt;&gt;"",ISNUMBER(A4040)),VLOOKUP(A4040,Studies!A:BR,4,FALSE),"")</f>
        <v>day 1 (po) with Perpetrator (Itraconazole)</v>
      </c>
      <c r="E4040" s="206" t="str">
        <f>IF(AND(A4040&lt;&gt;"",ISNUMBER(A4040)),VLOOKUP(A4040,Studies!A:BR,5,FALSE),"")</f>
        <v>Midazolam</v>
      </c>
      <c r="F4040" s="207" t="str">
        <f>IF(AND(A4040&lt;&gt;"",ISNUMBER(A4040)),VLOOKUP(A4040,Studies!A:BR,6,FALSE),"")</f>
        <v>Plasma</v>
      </c>
      <c r="G4040" s="194">
        <f>2+1</f>
        <v>3</v>
      </c>
      <c r="H4040" s="194" t="s">
        <v>60</v>
      </c>
      <c r="I4040" s="187">
        <v>34.95523</v>
      </c>
      <c r="J4040" s="187" t="s">
        <v>1026</v>
      </c>
      <c r="K4040" s="187" t="s">
        <v>116</v>
      </c>
      <c r="L4040" s="195">
        <v>4.8155749999999999</v>
      </c>
      <c r="M4040" s="195" t="s">
        <v>1026</v>
      </c>
      <c r="N4040" s="195" t="s">
        <v>1034</v>
      </c>
      <c r="O4040" s="199"/>
      <c r="P4040" s="188"/>
    </row>
    <row r="4041" spans="1:16" s="183" customFormat="1" x14ac:dyDescent="0.2">
      <c r="A4041" s="213">
        <v>377</v>
      </c>
      <c r="B4041" s="232" t="str">
        <f>IF(AND(A4041&lt;&gt;"",ISNUMBER(A4041)),VLOOKUP(A4041,Studies!A:BR,2,FALSE),"")</f>
        <v>Olkkola 1996</v>
      </c>
      <c r="C4041" s="232" t="str">
        <f>IF(AND(A4041&lt;&gt;"",ISNUMBER(A4041)),VLOOKUP(A4041,Studies!A:BR,3,FALSE),"")</f>
        <v>https://www.ncbi.nlm.nih.gov/pubmed/8623953</v>
      </c>
      <c r="D4041" s="232" t="str">
        <f>IF(AND(A4041&lt;&gt;"",ISNUMBER(A4041)),VLOOKUP(A4041,Studies!A:BR,4,FALSE),"")</f>
        <v>day 1 (po) with Perpetrator (Itraconazole)</v>
      </c>
      <c r="E4041" s="206" t="str">
        <f>IF(AND(A4041&lt;&gt;"",ISNUMBER(A4041)),VLOOKUP(A4041,Studies!A:BR,5,FALSE),"")</f>
        <v>Midazolam</v>
      </c>
      <c r="F4041" s="207" t="str">
        <f>IF(AND(A4041&lt;&gt;"",ISNUMBER(A4041)),VLOOKUP(A4041,Studies!A:BR,6,FALSE),"")</f>
        <v>Plasma</v>
      </c>
      <c r="G4041" s="194">
        <f>2+1.5</f>
        <v>3.5</v>
      </c>
      <c r="H4041" s="194" t="s">
        <v>60</v>
      </c>
      <c r="I4041" s="187">
        <v>34.007849999999998</v>
      </c>
      <c r="J4041" s="187" t="s">
        <v>1026</v>
      </c>
      <c r="K4041" s="187" t="s">
        <v>116</v>
      </c>
      <c r="L4041" s="195"/>
      <c r="M4041" s="195"/>
      <c r="N4041" s="195"/>
      <c r="O4041" s="199"/>
      <c r="P4041" s="188"/>
    </row>
    <row r="4042" spans="1:16" s="183" customFormat="1" x14ac:dyDescent="0.2">
      <c r="A4042" s="213">
        <v>377</v>
      </c>
      <c r="B4042" s="232" t="str">
        <f>IF(AND(A4042&lt;&gt;"",ISNUMBER(A4042)),VLOOKUP(A4042,Studies!A:BR,2,FALSE),"")</f>
        <v>Olkkola 1996</v>
      </c>
      <c r="C4042" s="232" t="str">
        <f>IF(AND(A4042&lt;&gt;"",ISNUMBER(A4042)),VLOOKUP(A4042,Studies!A:BR,3,FALSE),"")</f>
        <v>https://www.ncbi.nlm.nih.gov/pubmed/8623953</v>
      </c>
      <c r="D4042" s="232" t="str">
        <f>IF(AND(A4042&lt;&gt;"",ISNUMBER(A4042)),VLOOKUP(A4042,Studies!A:BR,4,FALSE),"")</f>
        <v>day 1 (po) with Perpetrator (Itraconazole)</v>
      </c>
      <c r="E4042" s="206" t="str">
        <f>IF(AND(A4042&lt;&gt;"",ISNUMBER(A4042)),VLOOKUP(A4042,Studies!A:BR,5,FALSE),"")</f>
        <v>Midazolam</v>
      </c>
      <c r="F4042" s="207" t="str">
        <f>IF(AND(A4042&lt;&gt;"",ISNUMBER(A4042)),VLOOKUP(A4042,Studies!A:BR,6,FALSE),"")</f>
        <v>Plasma</v>
      </c>
      <c r="G4042" s="194">
        <f>2+2</f>
        <v>4</v>
      </c>
      <c r="H4042" s="194" t="s">
        <v>60</v>
      </c>
      <c r="I4042" s="187">
        <v>34.356740000000002</v>
      </c>
      <c r="J4042" s="187" t="s">
        <v>1026</v>
      </c>
      <c r="K4042" s="187" t="s">
        <v>116</v>
      </c>
      <c r="L4042" s="195"/>
      <c r="M4042" s="195"/>
      <c r="N4042" s="195"/>
      <c r="O4042" s="199"/>
      <c r="P4042" s="188"/>
    </row>
    <row r="4043" spans="1:16" s="183" customFormat="1" x14ac:dyDescent="0.2">
      <c r="A4043" s="213">
        <v>377</v>
      </c>
      <c r="B4043" s="232" t="str">
        <f>IF(AND(A4043&lt;&gt;"",ISNUMBER(A4043)),VLOOKUP(A4043,Studies!A:BR,2,FALSE),"")</f>
        <v>Olkkola 1996</v>
      </c>
      <c r="C4043" s="232" t="str">
        <f>IF(AND(A4043&lt;&gt;"",ISNUMBER(A4043)),VLOOKUP(A4043,Studies!A:BR,3,FALSE),"")</f>
        <v>https://www.ncbi.nlm.nih.gov/pubmed/8623953</v>
      </c>
      <c r="D4043" s="232" t="str">
        <f>IF(AND(A4043&lt;&gt;"",ISNUMBER(A4043)),VLOOKUP(A4043,Studies!A:BR,4,FALSE),"")</f>
        <v>day 1 (po) with Perpetrator (Itraconazole)</v>
      </c>
      <c r="E4043" s="206" t="str">
        <f>IF(AND(A4043&lt;&gt;"",ISNUMBER(A4043)),VLOOKUP(A4043,Studies!A:BR,5,FALSE),"")</f>
        <v>Midazolam</v>
      </c>
      <c r="F4043" s="207" t="str">
        <f>IF(AND(A4043&lt;&gt;"",ISNUMBER(A4043)),VLOOKUP(A4043,Studies!A:BR,6,FALSE),"")</f>
        <v>Plasma</v>
      </c>
      <c r="G4043" s="194">
        <f>2+3</f>
        <v>5</v>
      </c>
      <c r="H4043" s="194" t="s">
        <v>60</v>
      </c>
      <c r="I4043" s="187">
        <v>27.8325</v>
      </c>
      <c r="J4043" s="187" t="s">
        <v>1026</v>
      </c>
      <c r="K4043" s="187" t="s">
        <v>116</v>
      </c>
      <c r="L4043" s="195"/>
      <c r="M4043" s="195"/>
      <c r="N4043" s="195"/>
      <c r="O4043" s="199"/>
      <c r="P4043" s="188"/>
    </row>
    <row r="4044" spans="1:16" s="183" customFormat="1" x14ac:dyDescent="0.2">
      <c r="A4044" s="213">
        <v>377</v>
      </c>
      <c r="B4044" s="232" t="str">
        <f>IF(AND(A4044&lt;&gt;"",ISNUMBER(A4044)),VLOOKUP(A4044,Studies!A:BR,2,FALSE),"")</f>
        <v>Olkkola 1996</v>
      </c>
      <c r="C4044" s="232" t="str">
        <f>IF(AND(A4044&lt;&gt;"",ISNUMBER(A4044)),VLOOKUP(A4044,Studies!A:BR,3,FALSE),"")</f>
        <v>https://www.ncbi.nlm.nih.gov/pubmed/8623953</v>
      </c>
      <c r="D4044" s="232" t="str">
        <f>IF(AND(A4044&lt;&gt;"",ISNUMBER(A4044)),VLOOKUP(A4044,Studies!A:BR,4,FALSE),"")</f>
        <v>day 1 (po) with Perpetrator (Itraconazole)</v>
      </c>
      <c r="E4044" s="206" t="str">
        <f>IF(AND(A4044&lt;&gt;"",ISNUMBER(A4044)),VLOOKUP(A4044,Studies!A:BR,5,FALSE),"")</f>
        <v>Midazolam</v>
      </c>
      <c r="F4044" s="207" t="str">
        <f>IF(AND(A4044&lt;&gt;"",ISNUMBER(A4044)),VLOOKUP(A4044,Studies!A:BR,6,FALSE),"")</f>
        <v>Plasma</v>
      </c>
      <c r="G4044" s="194">
        <f>2+4</f>
        <v>6</v>
      </c>
      <c r="H4044" s="194" t="s">
        <v>60</v>
      </c>
      <c r="I4044" s="187">
        <v>24.270240000000001</v>
      </c>
      <c r="J4044" s="187" t="s">
        <v>1026</v>
      </c>
      <c r="K4044" s="187" t="s">
        <v>116</v>
      </c>
      <c r="L4044" s="195"/>
      <c r="M4044" s="195"/>
      <c r="N4044" s="195"/>
      <c r="O4044" s="199"/>
      <c r="P4044" s="188"/>
    </row>
    <row r="4045" spans="1:16" s="183" customFormat="1" x14ac:dyDescent="0.2">
      <c r="A4045" s="213">
        <v>377</v>
      </c>
      <c r="B4045" s="232" t="str">
        <f>IF(AND(A4045&lt;&gt;"",ISNUMBER(A4045)),VLOOKUP(A4045,Studies!A:BR,2,FALSE),"")</f>
        <v>Olkkola 1996</v>
      </c>
      <c r="C4045" s="232" t="str">
        <f>IF(AND(A4045&lt;&gt;"",ISNUMBER(A4045)),VLOOKUP(A4045,Studies!A:BR,3,FALSE),"")</f>
        <v>https://www.ncbi.nlm.nih.gov/pubmed/8623953</v>
      </c>
      <c r="D4045" s="232" t="str">
        <f>IF(AND(A4045&lt;&gt;"",ISNUMBER(A4045)),VLOOKUP(A4045,Studies!A:BR,4,FALSE),"")</f>
        <v>day 1 (po) with Perpetrator (Itraconazole)</v>
      </c>
      <c r="E4045" s="206" t="str">
        <f>IF(AND(A4045&lt;&gt;"",ISNUMBER(A4045)),VLOOKUP(A4045,Studies!A:BR,5,FALSE),"")</f>
        <v>Midazolam</v>
      </c>
      <c r="F4045" s="207" t="str">
        <f>IF(AND(A4045&lt;&gt;"",ISNUMBER(A4045)),VLOOKUP(A4045,Studies!A:BR,6,FALSE),"")</f>
        <v>Plasma</v>
      </c>
      <c r="G4045" s="194">
        <f>2+5</f>
        <v>7</v>
      </c>
      <c r="H4045" s="194" t="s">
        <v>60</v>
      </c>
      <c r="I4045" s="187">
        <v>17.004380000000001</v>
      </c>
      <c r="J4045" s="187" t="s">
        <v>1026</v>
      </c>
      <c r="K4045" s="187" t="s">
        <v>116</v>
      </c>
      <c r="L4045" s="195"/>
      <c r="M4045" s="195"/>
      <c r="N4045" s="195"/>
      <c r="O4045" s="199"/>
      <c r="P4045" s="188"/>
    </row>
    <row r="4046" spans="1:16" s="183" customFormat="1" x14ac:dyDescent="0.2">
      <c r="A4046" s="213">
        <v>377</v>
      </c>
      <c r="B4046" s="232" t="str">
        <f>IF(AND(A4046&lt;&gt;"",ISNUMBER(A4046)),VLOOKUP(A4046,Studies!A:BR,2,FALSE),"")</f>
        <v>Olkkola 1996</v>
      </c>
      <c r="C4046" s="232" t="str">
        <f>IF(AND(A4046&lt;&gt;"",ISNUMBER(A4046)),VLOOKUP(A4046,Studies!A:BR,3,FALSE),"")</f>
        <v>https://www.ncbi.nlm.nih.gov/pubmed/8623953</v>
      </c>
      <c r="D4046" s="232" t="str">
        <f>IF(AND(A4046&lt;&gt;"",ISNUMBER(A4046)),VLOOKUP(A4046,Studies!A:BR,4,FALSE),"")</f>
        <v>day 1 (po) with Perpetrator (Itraconazole)</v>
      </c>
      <c r="E4046" s="206" t="str">
        <f>IF(AND(A4046&lt;&gt;"",ISNUMBER(A4046)),VLOOKUP(A4046,Studies!A:BR,5,FALSE),"")</f>
        <v>Midazolam</v>
      </c>
      <c r="F4046" s="207" t="str">
        <f>IF(AND(A4046&lt;&gt;"",ISNUMBER(A4046)),VLOOKUP(A4046,Studies!A:BR,6,FALSE),"")</f>
        <v>Plasma</v>
      </c>
      <c r="G4046" s="194">
        <f>2+6</f>
        <v>8</v>
      </c>
      <c r="H4046" s="194" t="s">
        <v>60</v>
      </c>
      <c r="I4046" s="187">
        <v>12.88747</v>
      </c>
      <c r="J4046" s="187" t="s">
        <v>1026</v>
      </c>
      <c r="K4046" s="187" t="s">
        <v>116</v>
      </c>
      <c r="L4046" s="195"/>
      <c r="M4046" s="195"/>
      <c r="N4046" s="195"/>
      <c r="O4046" s="199"/>
      <c r="P4046" s="188"/>
    </row>
    <row r="4047" spans="1:16" s="183" customFormat="1" x14ac:dyDescent="0.2">
      <c r="A4047" s="213">
        <v>377</v>
      </c>
      <c r="B4047" s="232" t="str">
        <f>IF(AND(A4047&lt;&gt;"",ISNUMBER(A4047)),VLOOKUP(A4047,Studies!A:BR,2,FALSE),"")</f>
        <v>Olkkola 1996</v>
      </c>
      <c r="C4047" s="232" t="str">
        <f>IF(AND(A4047&lt;&gt;"",ISNUMBER(A4047)),VLOOKUP(A4047,Studies!A:BR,3,FALSE),"")</f>
        <v>https://www.ncbi.nlm.nih.gov/pubmed/8623953</v>
      </c>
      <c r="D4047" s="232" t="str">
        <f>IF(AND(A4047&lt;&gt;"",ISNUMBER(A4047)),VLOOKUP(A4047,Studies!A:BR,4,FALSE),"")</f>
        <v>day 1 (po) with Perpetrator (Itraconazole)</v>
      </c>
      <c r="E4047" s="206" t="str">
        <f>IF(AND(A4047&lt;&gt;"",ISNUMBER(A4047)),VLOOKUP(A4047,Studies!A:BR,5,FALSE),"")</f>
        <v>Midazolam</v>
      </c>
      <c r="F4047" s="207" t="str">
        <f>IF(AND(A4047&lt;&gt;"",ISNUMBER(A4047)),VLOOKUP(A4047,Studies!A:BR,6,FALSE),"")</f>
        <v>Plasma</v>
      </c>
      <c r="G4047" s="194">
        <f>2+7</f>
        <v>9</v>
      </c>
      <c r="H4047" s="194" t="s">
        <v>60</v>
      </c>
      <c r="I4047" s="187">
        <v>12.28899</v>
      </c>
      <c r="J4047" s="187" t="s">
        <v>1026</v>
      </c>
      <c r="K4047" s="187" t="s">
        <v>116</v>
      </c>
      <c r="L4047" s="195"/>
      <c r="M4047" s="195"/>
      <c r="N4047" s="195"/>
      <c r="O4047" s="199"/>
      <c r="P4047" s="188"/>
    </row>
    <row r="4048" spans="1:16" s="183" customFormat="1" x14ac:dyDescent="0.2">
      <c r="A4048" s="213">
        <v>377</v>
      </c>
      <c r="B4048" s="232" t="str">
        <f>IF(AND(A4048&lt;&gt;"",ISNUMBER(A4048)),VLOOKUP(A4048,Studies!A:BR,2,FALSE),"")</f>
        <v>Olkkola 1996</v>
      </c>
      <c r="C4048" s="232" t="str">
        <f>IF(AND(A4048&lt;&gt;"",ISNUMBER(A4048)),VLOOKUP(A4048,Studies!A:BR,3,FALSE),"")</f>
        <v>https://www.ncbi.nlm.nih.gov/pubmed/8623953</v>
      </c>
      <c r="D4048" s="232" t="str">
        <f>IF(AND(A4048&lt;&gt;"",ISNUMBER(A4048)),VLOOKUP(A4048,Studies!A:BR,4,FALSE),"")</f>
        <v>day 1 (po) with Perpetrator (Itraconazole)</v>
      </c>
      <c r="E4048" s="206" t="str">
        <f>IF(AND(A4048&lt;&gt;"",ISNUMBER(A4048)),VLOOKUP(A4048,Studies!A:BR,5,FALSE),"")</f>
        <v>Midazolam</v>
      </c>
      <c r="F4048" s="207" t="str">
        <f>IF(AND(A4048&lt;&gt;"",ISNUMBER(A4048)),VLOOKUP(A4048,Studies!A:BR,6,FALSE),"")</f>
        <v>Plasma</v>
      </c>
      <c r="G4048" s="194">
        <f>2+17</f>
        <v>19</v>
      </c>
      <c r="H4048" s="194" t="s">
        <v>60</v>
      </c>
      <c r="I4048" s="187">
        <v>3.1489579999999999</v>
      </c>
      <c r="J4048" s="187" t="s">
        <v>1026</v>
      </c>
      <c r="K4048" s="187" t="s">
        <v>116</v>
      </c>
      <c r="L4048" s="195"/>
      <c r="M4048" s="195"/>
      <c r="N4048" s="195"/>
      <c r="O4048" s="199"/>
      <c r="P4048" s="188"/>
    </row>
    <row r="4049" spans="1:16" s="183" customFormat="1" x14ac:dyDescent="0.2">
      <c r="A4049" s="213">
        <v>378</v>
      </c>
      <c r="B4049" s="232" t="str">
        <f>IF(AND(A4049&lt;&gt;"",ISNUMBER(A4049)),VLOOKUP(A4049,Studies!A:BR,2,FALSE),"")</f>
        <v>Olkkola 1996</v>
      </c>
      <c r="C4049" s="232" t="str">
        <f>IF(AND(A4049&lt;&gt;"",ISNUMBER(A4049)),VLOOKUP(A4049,Studies!A:BR,3,FALSE),"")</f>
        <v>https://www.ncbi.nlm.nih.gov/pubmed/8623953</v>
      </c>
      <c r="D4049" s="232" t="str">
        <f>IF(AND(A4049&lt;&gt;"",ISNUMBER(A4049)),VLOOKUP(A4049,Studies!A:BR,4,FALSE),"")</f>
        <v>day 4 (iv) with Perpetrator (Itraconazole)</v>
      </c>
      <c r="E4049" s="206" t="str">
        <f>IF(AND(A4049&lt;&gt;"",ISNUMBER(A4049)),VLOOKUP(A4049,Studies!A:BR,5,FALSE),"")</f>
        <v>Midazolam</v>
      </c>
      <c r="F4049" s="207" t="str">
        <f>IF(AND(A4049&lt;&gt;"",ISNUMBER(A4049)),VLOOKUP(A4049,Studies!A:BR,6,FALSE),"")</f>
        <v>Plasma</v>
      </c>
      <c r="G4049" s="194">
        <f>74+0</f>
        <v>74</v>
      </c>
      <c r="H4049" s="194" t="s">
        <v>60</v>
      </c>
      <c r="I4049" s="187">
        <v>0</v>
      </c>
      <c r="J4049" s="187" t="s">
        <v>1026</v>
      </c>
      <c r="K4049" s="187" t="s">
        <v>116</v>
      </c>
      <c r="L4049" s="195"/>
      <c r="M4049" s="195"/>
      <c r="N4049" s="195"/>
      <c r="O4049" s="199"/>
      <c r="P4049" s="188"/>
    </row>
    <row r="4050" spans="1:16" s="183" customFormat="1" x14ac:dyDescent="0.2">
      <c r="A4050" s="213">
        <v>378</v>
      </c>
      <c r="B4050" s="232" t="str">
        <f>IF(AND(A4050&lt;&gt;"",ISNUMBER(A4050)),VLOOKUP(A4050,Studies!A:BR,2,FALSE),"")</f>
        <v>Olkkola 1996</v>
      </c>
      <c r="C4050" s="232" t="str">
        <f>IF(AND(A4050&lt;&gt;"",ISNUMBER(A4050)),VLOOKUP(A4050,Studies!A:BR,3,FALSE),"")</f>
        <v>https://www.ncbi.nlm.nih.gov/pubmed/8623953</v>
      </c>
      <c r="D4050" s="232" t="str">
        <f>IF(AND(A4050&lt;&gt;"",ISNUMBER(A4050)),VLOOKUP(A4050,Studies!A:BR,4,FALSE),"")</f>
        <v>day 4 (iv) with Perpetrator (Itraconazole)</v>
      </c>
      <c r="E4050" s="206" t="str">
        <f>IF(AND(A4050&lt;&gt;"",ISNUMBER(A4050)),VLOOKUP(A4050,Studies!A:BR,5,FALSE),"")</f>
        <v>Midazolam</v>
      </c>
      <c r="F4050" s="207" t="str">
        <f>IF(AND(A4050&lt;&gt;"",ISNUMBER(A4050)),VLOOKUP(A4050,Studies!A:BR,6,FALSE),"")</f>
        <v>Plasma</v>
      </c>
      <c r="G4050" s="194">
        <f>74+0.25</f>
        <v>74.25</v>
      </c>
      <c r="H4050" s="194" t="s">
        <v>60</v>
      </c>
      <c r="I4050" s="187">
        <v>60.76493</v>
      </c>
      <c r="J4050" s="187" t="s">
        <v>1026</v>
      </c>
      <c r="K4050" s="187" t="s">
        <v>116</v>
      </c>
      <c r="L4050" s="195">
        <v>5.1571040000000004</v>
      </c>
      <c r="M4050" s="195" t="s">
        <v>1026</v>
      </c>
      <c r="N4050" s="195" t="s">
        <v>1034</v>
      </c>
      <c r="O4050" s="199"/>
      <c r="P4050" s="188"/>
    </row>
    <row r="4051" spans="1:16" s="183" customFormat="1" x14ac:dyDescent="0.2">
      <c r="A4051" s="213">
        <v>378</v>
      </c>
      <c r="B4051" s="232" t="str">
        <f>IF(AND(A4051&lt;&gt;"",ISNUMBER(A4051)),VLOOKUP(A4051,Studies!A:BR,2,FALSE),"")</f>
        <v>Olkkola 1996</v>
      </c>
      <c r="C4051" s="232" t="str">
        <f>IF(AND(A4051&lt;&gt;"",ISNUMBER(A4051)),VLOOKUP(A4051,Studies!A:BR,3,FALSE),"")</f>
        <v>https://www.ncbi.nlm.nih.gov/pubmed/8623953</v>
      </c>
      <c r="D4051" s="232" t="str">
        <f>IF(AND(A4051&lt;&gt;"",ISNUMBER(A4051)),VLOOKUP(A4051,Studies!A:BR,4,FALSE),"")</f>
        <v>day 4 (iv) with Perpetrator (Itraconazole)</v>
      </c>
      <c r="E4051" s="206" t="str">
        <f>IF(AND(A4051&lt;&gt;"",ISNUMBER(A4051)),VLOOKUP(A4051,Studies!A:BR,5,FALSE),"")</f>
        <v>Midazolam</v>
      </c>
      <c r="F4051" s="207" t="str">
        <f>IF(AND(A4051&lt;&gt;"",ISNUMBER(A4051)),VLOOKUP(A4051,Studies!A:BR,6,FALSE),"")</f>
        <v>Plasma</v>
      </c>
      <c r="G4051" s="194">
        <f>74+0.5</f>
        <v>74.5</v>
      </c>
      <c r="H4051" s="194" t="s">
        <v>60</v>
      </c>
      <c r="I4051" s="187">
        <v>55.968820000000001</v>
      </c>
      <c r="J4051" s="187" t="s">
        <v>1026</v>
      </c>
      <c r="K4051" s="187" t="s">
        <v>116</v>
      </c>
      <c r="L4051" s="195"/>
      <c r="M4051" s="195"/>
      <c r="N4051" s="195"/>
      <c r="O4051" s="199"/>
      <c r="P4051" s="188"/>
    </row>
    <row r="4052" spans="1:16" s="183" customFormat="1" x14ac:dyDescent="0.2">
      <c r="A4052" s="213">
        <v>378</v>
      </c>
      <c r="B4052" s="232" t="str">
        <f>IF(AND(A4052&lt;&gt;"",ISNUMBER(A4052)),VLOOKUP(A4052,Studies!A:BR,2,FALSE),"")</f>
        <v>Olkkola 1996</v>
      </c>
      <c r="C4052" s="232" t="str">
        <f>IF(AND(A4052&lt;&gt;"",ISNUMBER(A4052)),VLOOKUP(A4052,Studies!A:BR,3,FALSE),"")</f>
        <v>https://www.ncbi.nlm.nih.gov/pubmed/8623953</v>
      </c>
      <c r="D4052" s="232" t="str">
        <f>IF(AND(A4052&lt;&gt;"",ISNUMBER(A4052)),VLOOKUP(A4052,Studies!A:BR,4,FALSE),"")</f>
        <v>day 4 (iv) with Perpetrator (Itraconazole)</v>
      </c>
      <c r="E4052" s="206" t="str">
        <f>IF(AND(A4052&lt;&gt;"",ISNUMBER(A4052)),VLOOKUP(A4052,Studies!A:BR,5,FALSE),"")</f>
        <v>Midazolam</v>
      </c>
      <c r="F4052" s="207" t="str">
        <f>IF(AND(A4052&lt;&gt;"",ISNUMBER(A4052)),VLOOKUP(A4052,Studies!A:BR,6,FALSE),"")</f>
        <v>Plasma</v>
      </c>
      <c r="G4052" s="194">
        <f>74+1</f>
        <v>75</v>
      </c>
      <c r="H4052" s="194" t="s">
        <v>60</v>
      </c>
      <c r="I4052" s="187">
        <v>44.53434</v>
      </c>
      <c r="J4052" s="187" t="s">
        <v>1026</v>
      </c>
      <c r="K4052" s="187" t="s">
        <v>116</v>
      </c>
      <c r="L4052" s="195"/>
      <c r="M4052" s="195"/>
      <c r="N4052" s="195"/>
      <c r="O4052" s="199"/>
      <c r="P4052" s="188"/>
    </row>
    <row r="4053" spans="1:16" s="183" customFormat="1" x14ac:dyDescent="0.2">
      <c r="A4053" s="213">
        <v>378</v>
      </c>
      <c r="B4053" s="232" t="str">
        <f>IF(AND(A4053&lt;&gt;"",ISNUMBER(A4053)),VLOOKUP(A4053,Studies!A:BR,2,FALSE),"")</f>
        <v>Olkkola 1996</v>
      </c>
      <c r="C4053" s="232" t="str">
        <f>IF(AND(A4053&lt;&gt;"",ISNUMBER(A4053)),VLOOKUP(A4053,Studies!A:BR,3,FALSE),"")</f>
        <v>https://www.ncbi.nlm.nih.gov/pubmed/8623953</v>
      </c>
      <c r="D4053" s="232" t="str">
        <f>IF(AND(A4053&lt;&gt;"",ISNUMBER(A4053)),VLOOKUP(A4053,Studies!A:BR,4,FALSE),"")</f>
        <v>day 4 (iv) with Perpetrator (Itraconazole)</v>
      </c>
      <c r="E4053" s="206" t="str">
        <f>IF(AND(A4053&lt;&gt;"",ISNUMBER(A4053)),VLOOKUP(A4053,Studies!A:BR,5,FALSE),"")</f>
        <v>Midazolam</v>
      </c>
      <c r="F4053" s="207" t="str">
        <f>IF(AND(A4053&lt;&gt;"",ISNUMBER(A4053)),VLOOKUP(A4053,Studies!A:BR,6,FALSE),"")</f>
        <v>Plasma</v>
      </c>
      <c r="G4053" s="194">
        <f>74+1.5</f>
        <v>75.5</v>
      </c>
      <c r="H4053" s="194" t="s">
        <v>60</v>
      </c>
      <c r="I4053" s="187">
        <v>37.704479999999997</v>
      </c>
      <c r="J4053" s="187" t="s">
        <v>1026</v>
      </c>
      <c r="K4053" s="187" t="s">
        <v>116</v>
      </c>
      <c r="L4053" s="195"/>
      <c r="M4053" s="195"/>
      <c r="N4053" s="195"/>
      <c r="O4053" s="199"/>
      <c r="P4053" s="188"/>
    </row>
    <row r="4054" spans="1:16" s="183" customFormat="1" x14ac:dyDescent="0.2">
      <c r="A4054" s="213">
        <v>378</v>
      </c>
      <c r="B4054" s="232" t="str">
        <f>IF(AND(A4054&lt;&gt;"",ISNUMBER(A4054)),VLOOKUP(A4054,Studies!A:BR,2,FALSE),"")</f>
        <v>Olkkola 1996</v>
      </c>
      <c r="C4054" s="232" t="str">
        <f>IF(AND(A4054&lt;&gt;"",ISNUMBER(A4054)),VLOOKUP(A4054,Studies!A:BR,3,FALSE),"")</f>
        <v>https://www.ncbi.nlm.nih.gov/pubmed/8623953</v>
      </c>
      <c r="D4054" s="232" t="str">
        <f>IF(AND(A4054&lt;&gt;"",ISNUMBER(A4054)),VLOOKUP(A4054,Studies!A:BR,4,FALSE),"")</f>
        <v>day 4 (iv) with Perpetrator (Itraconazole)</v>
      </c>
      <c r="E4054" s="206" t="str">
        <f>IF(AND(A4054&lt;&gt;"",ISNUMBER(A4054)),VLOOKUP(A4054,Studies!A:BR,5,FALSE),"")</f>
        <v>Midazolam</v>
      </c>
      <c r="F4054" s="207" t="str">
        <f>IF(AND(A4054&lt;&gt;"",ISNUMBER(A4054)),VLOOKUP(A4054,Studies!A:BR,6,FALSE),"")</f>
        <v>Plasma</v>
      </c>
      <c r="G4054" s="194">
        <f>74+2</f>
        <v>76</v>
      </c>
      <c r="H4054" s="194" t="s">
        <v>60</v>
      </c>
      <c r="I4054" s="187">
        <v>32.347230000000003</v>
      </c>
      <c r="J4054" s="187" t="s">
        <v>1026</v>
      </c>
      <c r="K4054" s="187" t="s">
        <v>116</v>
      </c>
      <c r="L4054" s="195"/>
      <c r="M4054" s="195"/>
      <c r="N4054" s="195"/>
      <c r="O4054" s="199"/>
      <c r="P4054" s="188"/>
    </row>
    <row r="4055" spans="1:16" s="183" customFormat="1" x14ac:dyDescent="0.2">
      <c r="A4055" s="213">
        <v>378</v>
      </c>
      <c r="B4055" s="232" t="str">
        <f>IF(AND(A4055&lt;&gt;"",ISNUMBER(A4055)),VLOOKUP(A4055,Studies!A:BR,2,FALSE),"")</f>
        <v>Olkkola 1996</v>
      </c>
      <c r="C4055" s="232" t="str">
        <f>IF(AND(A4055&lt;&gt;"",ISNUMBER(A4055)),VLOOKUP(A4055,Studies!A:BR,3,FALSE),"")</f>
        <v>https://www.ncbi.nlm.nih.gov/pubmed/8623953</v>
      </c>
      <c r="D4055" s="232" t="str">
        <f>IF(AND(A4055&lt;&gt;"",ISNUMBER(A4055)),VLOOKUP(A4055,Studies!A:BR,4,FALSE),"")</f>
        <v>day 4 (iv) with Perpetrator (Itraconazole)</v>
      </c>
      <c r="E4055" s="206" t="str">
        <f>IF(AND(A4055&lt;&gt;"",ISNUMBER(A4055)),VLOOKUP(A4055,Studies!A:BR,5,FALSE),"")</f>
        <v>Midazolam</v>
      </c>
      <c r="F4055" s="207" t="str">
        <f>IF(AND(A4055&lt;&gt;"",ISNUMBER(A4055)),VLOOKUP(A4055,Studies!A:BR,6,FALSE),"")</f>
        <v>Plasma</v>
      </c>
      <c r="G4055" s="194">
        <f>74+3</f>
        <v>77</v>
      </c>
      <c r="H4055" s="194" t="s">
        <v>60</v>
      </c>
      <c r="I4055" s="187">
        <v>26.05452</v>
      </c>
      <c r="J4055" s="187" t="s">
        <v>1026</v>
      </c>
      <c r="K4055" s="187" t="s">
        <v>116</v>
      </c>
      <c r="L4055" s="195"/>
      <c r="M4055" s="195"/>
      <c r="N4055" s="195"/>
      <c r="O4055" s="199"/>
      <c r="P4055" s="188"/>
    </row>
    <row r="4056" spans="1:16" s="183" customFormat="1" x14ac:dyDescent="0.2">
      <c r="A4056" s="213">
        <v>378</v>
      </c>
      <c r="B4056" s="232" t="str">
        <f>IF(AND(A4056&lt;&gt;"",ISNUMBER(A4056)),VLOOKUP(A4056,Studies!A:BR,2,FALSE),"")</f>
        <v>Olkkola 1996</v>
      </c>
      <c r="C4056" s="232" t="str">
        <f>IF(AND(A4056&lt;&gt;"",ISNUMBER(A4056)),VLOOKUP(A4056,Studies!A:BR,3,FALSE),"")</f>
        <v>https://www.ncbi.nlm.nih.gov/pubmed/8623953</v>
      </c>
      <c r="D4056" s="232" t="str">
        <f>IF(AND(A4056&lt;&gt;"",ISNUMBER(A4056)),VLOOKUP(A4056,Studies!A:BR,4,FALSE),"")</f>
        <v>day 4 (iv) with Perpetrator (Itraconazole)</v>
      </c>
      <c r="E4056" s="206" t="str">
        <f>IF(AND(A4056&lt;&gt;"",ISNUMBER(A4056)),VLOOKUP(A4056,Studies!A:BR,5,FALSE),"")</f>
        <v>Midazolam</v>
      </c>
      <c r="F4056" s="207" t="str">
        <f>IF(AND(A4056&lt;&gt;"",ISNUMBER(A4056)),VLOOKUP(A4056,Studies!A:BR,6,FALSE),"")</f>
        <v>Plasma</v>
      </c>
      <c r="G4056" s="194">
        <f>74+4</f>
        <v>78</v>
      </c>
      <c r="H4056" s="194" t="s">
        <v>60</v>
      </c>
      <c r="I4056" s="187">
        <v>23.25883</v>
      </c>
      <c r="J4056" s="187" t="s">
        <v>1026</v>
      </c>
      <c r="K4056" s="187" t="s">
        <v>116</v>
      </c>
      <c r="L4056" s="195"/>
      <c r="M4056" s="195"/>
      <c r="N4056" s="195"/>
      <c r="O4056" s="199"/>
      <c r="P4056" s="188"/>
    </row>
    <row r="4057" spans="1:16" s="183" customFormat="1" x14ac:dyDescent="0.2">
      <c r="A4057" s="213">
        <v>378</v>
      </c>
      <c r="B4057" s="232" t="str">
        <f>IF(AND(A4057&lt;&gt;"",ISNUMBER(A4057)),VLOOKUP(A4057,Studies!A:BR,2,FALSE),"")</f>
        <v>Olkkola 1996</v>
      </c>
      <c r="C4057" s="232" t="str">
        <f>IF(AND(A4057&lt;&gt;"",ISNUMBER(A4057)),VLOOKUP(A4057,Studies!A:BR,3,FALSE),"")</f>
        <v>https://www.ncbi.nlm.nih.gov/pubmed/8623953</v>
      </c>
      <c r="D4057" s="232" t="str">
        <f>IF(AND(A4057&lt;&gt;"",ISNUMBER(A4057)),VLOOKUP(A4057,Studies!A:BR,4,FALSE),"")</f>
        <v>day 4 (iv) with Perpetrator (Itraconazole)</v>
      </c>
      <c r="E4057" s="206" t="str">
        <f>IF(AND(A4057&lt;&gt;"",ISNUMBER(A4057)),VLOOKUP(A4057,Studies!A:BR,5,FALSE),"")</f>
        <v>Midazolam</v>
      </c>
      <c r="F4057" s="207" t="str">
        <f>IF(AND(A4057&lt;&gt;"",ISNUMBER(A4057)),VLOOKUP(A4057,Studies!A:BR,6,FALSE),"")</f>
        <v>Plasma</v>
      </c>
      <c r="G4057" s="194">
        <f>74+5</f>
        <v>79</v>
      </c>
      <c r="H4057" s="194" t="s">
        <v>60</v>
      </c>
      <c r="I4057" s="187">
        <v>18.622209999999999</v>
      </c>
      <c r="J4057" s="187" t="s">
        <v>1026</v>
      </c>
      <c r="K4057" s="187" t="s">
        <v>116</v>
      </c>
      <c r="L4057" s="195"/>
      <c r="M4057" s="195"/>
      <c r="N4057" s="195"/>
      <c r="O4057" s="199"/>
      <c r="P4057" s="188"/>
    </row>
    <row r="4058" spans="1:16" s="183" customFormat="1" x14ac:dyDescent="0.2">
      <c r="A4058" s="213">
        <v>378</v>
      </c>
      <c r="B4058" s="232" t="str">
        <f>IF(AND(A4058&lt;&gt;"",ISNUMBER(A4058)),VLOOKUP(A4058,Studies!A:BR,2,FALSE),"")</f>
        <v>Olkkola 1996</v>
      </c>
      <c r="C4058" s="232" t="str">
        <f>IF(AND(A4058&lt;&gt;"",ISNUMBER(A4058)),VLOOKUP(A4058,Studies!A:BR,3,FALSE),"")</f>
        <v>https://www.ncbi.nlm.nih.gov/pubmed/8623953</v>
      </c>
      <c r="D4058" s="232" t="str">
        <f>IF(AND(A4058&lt;&gt;"",ISNUMBER(A4058)),VLOOKUP(A4058,Studies!A:BR,4,FALSE),"")</f>
        <v>day 4 (iv) with Perpetrator (Itraconazole)</v>
      </c>
      <c r="E4058" s="206" t="str">
        <f>IF(AND(A4058&lt;&gt;"",ISNUMBER(A4058)),VLOOKUP(A4058,Studies!A:BR,5,FALSE),"")</f>
        <v>Midazolam</v>
      </c>
      <c r="F4058" s="207" t="str">
        <f>IF(AND(A4058&lt;&gt;"",ISNUMBER(A4058)),VLOOKUP(A4058,Studies!A:BR,6,FALSE),"")</f>
        <v>Plasma</v>
      </c>
      <c r="G4058" s="194">
        <f>74+6</f>
        <v>80</v>
      </c>
      <c r="H4058" s="194" t="s">
        <v>60</v>
      </c>
      <c r="I4058" s="187">
        <v>16.56381</v>
      </c>
      <c r="J4058" s="187" t="s">
        <v>1026</v>
      </c>
      <c r="K4058" s="187" t="s">
        <v>116</v>
      </c>
      <c r="L4058" s="195"/>
      <c r="M4058" s="195"/>
      <c r="N4058" s="195"/>
      <c r="O4058" s="199"/>
      <c r="P4058" s="188"/>
    </row>
    <row r="4059" spans="1:16" s="183" customFormat="1" x14ac:dyDescent="0.2">
      <c r="A4059" s="213">
        <v>378</v>
      </c>
      <c r="B4059" s="232" t="str">
        <f>IF(AND(A4059&lt;&gt;"",ISNUMBER(A4059)),VLOOKUP(A4059,Studies!A:BR,2,FALSE),"")</f>
        <v>Olkkola 1996</v>
      </c>
      <c r="C4059" s="232" t="str">
        <f>IF(AND(A4059&lt;&gt;"",ISNUMBER(A4059)),VLOOKUP(A4059,Studies!A:BR,3,FALSE),"")</f>
        <v>https://www.ncbi.nlm.nih.gov/pubmed/8623953</v>
      </c>
      <c r="D4059" s="232" t="str">
        <f>IF(AND(A4059&lt;&gt;"",ISNUMBER(A4059)),VLOOKUP(A4059,Studies!A:BR,4,FALSE),"")</f>
        <v>day 4 (iv) with Perpetrator (Itraconazole)</v>
      </c>
      <c r="E4059" s="206" t="str">
        <f>IF(AND(A4059&lt;&gt;"",ISNUMBER(A4059)),VLOOKUP(A4059,Studies!A:BR,5,FALSE),"")</f>
        <v>Midazolam</v>
      </c>
      <c r="F4059" s="207" t="str">
        <f>IF(AND(A4059&lt;&gt;"",ISNUMBER(A4059)),VLOOKUP(A4059,Studies!A:BR,6,FALSE),"")</f>
        <v>Plasma</v>
      </c>
      <c r="G4059" s="194">
        <f>74+7</f>
        <v>81</v>
      </c>
      <c r="H4059" s="194" t="s">
        <v>60</v>
      </c>
      <c r="I4059" s="187">
        <v>15.79519</v>
      </c>
      <c r="J4059" s="187" t="s">
        <v>1026</v>
      </c>
      <c r="K4059" s="187" t="s">
        <v>116</v>
      </c>
      <c r="L4059" s="195"/>
      <c r="M4059" s="195"/>
      <c r="N4059" s="195"/>
      <c r="O4059" s="199"/>
      <c r="P4059" s="188"/>
    </row>
    <row r="4060" spans="1:16" s="183" customFormat="1" x14ac:dyDescent="0.2">
      <c r="A4060" s="213">
        <v>378</v>
      </c>
      <c r="B4060" s="232" t="str">
        <f>IF(AND(A4060&lt;&gt;"",ISNUMBER(A4060)),VLOOKUP(A4060,Studies!A:BR,2,FALSE),"")</f>
        <v>Olkkola 1996</v>
      </c>
      <c r="C4060" s="232" t="str">
        <f>IF(AND(A4060&lt;&gt;"",ISNUMBER(A4060)),VLOOKUP(A4060,Studies!A:BR,3,FALSE),"")</f>
        <v>https://www.ncbi.nlm.nih.gov/pubmed/8623953</v>
      </c>
      <c r="D4060" s="232" t="str">
        <f>IF(AND(A4060&lt;&gt;"",ISNUMBER(A4060)),VLOOKUP(A4060,Studies!A:BR,4,FALSE),"")</f>
        <v>day 4 (iv) with Perpetrator (Itraconazole)</v>
      </c>
      <c r="E4060" s="206" t="str">
        <f>IF(AND(A4060&lt;&gt;"",ISNUMBER(A4060)),VLOOKUP(A4060,Studies!A:BR,5,FALSE),"")</f>
        <v>Midazolam</v>
      </c>
      <c r="F4060" s="207" t="str">
        <f>IF(AND(A4060&lt;&gt;"",ISNUMBER(A4060)),VLOOKUP(A4060,Studies!A:BR,6,FALSE),"")</f>
        <v>Plasma</v>
      </c>
      <c r="G4060" s="194">
        <f>74+17</f>
        <v>91</v>
      </c>
      <c r="H4060" s="194" t="s">
        <v>60</v>
      </c>
      <c r="I4060" s="187">
        <v>6.0792260000000002</v>
      </c>
      <c r="J4060" s="187" t="s">
        <v>1026</v>
      </c>
      <c r="K4060" s="187" t="s">
        <v>116</v>
      </c>
      <c r="L4060" s="195"/>
      <c r="M4060" s="195"/>
      <c r="N4060" s="195"/>
      <c r="O4060" s="199"/>
      <c r="P4060" s="188"/>
    </row>
    <row r="4061" spans="1:16" s="183" customFormat="1" x14ac:dyDescent="0.2">
      <c r="A4061" s="213">
        <v>379</v>
      </c>
      <c r="B4061" s="232" t="str">
        <f>IF(AND(A4061&lt;&gt;"",ISNUMBER(A4061)),VLOOKUP(A4061,Studies!A:BR,2,FALSE),"")</f>
        <v>Olkkola 1996</v>
      </c>
      <c r="C4061" s="232" t="str">
        <f>IF(AND(A4061&lt;&gt;"",ISNUMBER(A4061)),VLOOKUP(A4061,Studies!A:BR,3,FALSE),"")</f>
        <v>https://www.ncbi.nlm.nih.gov/pubmed/8623953</v>
      </c>
      <c r="D4061" s="232" t="str">
        <f>IF(AND(A4061&lt;&gt;"",ISNUMBER(A4061)),VLOOKUP(A4061,Studies!A:BR,4,FALSE),"")</f>
        <v>day 6 (po) with Perpetrator (Itraconazole)</v>
      </c>
      <c r="E4061" s="206" t="str">
        <f>IF(AND(A4061&lt;&gt;"",ISNUMBER(A4061)),VLOOKUP(A4061,Studies!A:BR,5,FALSE),"")</f>
        <v>Midazolam</v>
      </c>
      <c r="F4061" s="207" t="str">
        <f>IF(AND(A4061&lt;&gt;"",ISNUMBER(A4061)),VLOOKUP(A4061,Studies!A:BR,6,FALSE),"")</f>
        <v>Plasma</v>
      </c>
      <c r="G4061" s="194">
        <f>122+0</f>
        <v>122</v>
      </c>
      <c r="H4061" s="194" t="s">
        <v>60</v>
      </c>
      <c r="I4061" s="187">
        <v>0</v>
      </c>
      <c r="J4061" s="187" t="s">
        <v>1026</v>
      </c>
      <c r="K4061" s="187" t="s">
        <v>116</v>
      </c>
      <c r="L4061" s="195"/>
      <c r="M4061" s="195"/>
      <c r="N4061" s="195"/>
      <c r="O4061" s="199"/>
      <c r="P4061" s="188"/>
    </row>
    <row r="4062" spans="1:16" s="183" customFormat="1" x14ac:dyDescent="0.2">
      <c r="A4062" s="213">
        <v>379</v>
      </c>
      <c r="B4062" s="232" t="str">
        <f>IF(AND(A4062&lt;&gt;"",ISNUMBER(A4062)),VLOOKUP(A4062,Studies!A:BR,2,FALSE),"")</f>
        <v>Olkkola 1996</v>
      </c>
      <c r="C4062" s="232" t="str">
        <f>IF(AND(A4062&lt;&gt;"",ISNUMBER(A4062)),VLOOKUP(A4062,Studies!A:BR,3,FALSE),"")</f>
        <v>https://www.ncbi.nlm.nih.gov/pubmed/8623953</v>
      </c>
      <c r="D4062" s="232" t="str">
        <f>IF(AND(A4062&lt;&gt;"",ISNUMBER(A4062)),VLOOKUP(A4062,Studies!A:BR,4,FALSE),"")</f>
        <v>day 6 (po) with Perpetrator (Itraconazole)</v>
      </c>
      <c r="E4062" s="206" t="str">
        <f>IF(AND(A4062&lt;&gt;"",ISNUMBER(A4062)),VLOOKUP(A4062,Studies!A:BR,5,FALSE),"")</f>
        <v>Midazolam</v>
      </c>
      <c r="F4062" s="207" t="str">
        <f>IF(AND(A4062&lt;&gt;"",ISNUMBER(A4062)),VLOOKUP(A4062,Studies!A:BR,6,FALSE),"")</f>
        <v>Plasma</v>
      </c>
      <c r="G4062" s="194">
        <f>122+0.5</f>
        <v>122.5</v>
      </c>
      <c r="H4062" s="194" t="s">
        <v>60</v>
      </c>
      <c r="I4062" s="187">
        <v>24.203420000000001</v>
      </c>
      <c r="J4062" s="187" t="s">
        <v>1026</v>
      </c>
      <c r="K4062" s="187" t="s">
        <v>116</v>
      </c>
      <c r="L4062" s="195">
        <v>10.09168</v>
      </c>
      <c r="M4062" s="195" t="s">
        <v>1026</v>
      </c>
      <c r="N4062" s="195" t="s">
        <v>1034</v>
      </c>
      <c r="O4062" s="199"/>
      <c r="P4062" s="188"/>
    </row>
    <row r="4063" spans="1:16" s="183" customFormat="1" x14ac:dyDescent="0.2">
      <c r="A4063" s="213">
        <v>379</v>
      </c>
      <c r="B4063" s="232" t="str">
        <f>IF(AND(A4063&lt;&gt;"",ISNUMBER(A4063)),VLOOKUP(A4063,Studies!A:BR,2,FALSE),"")</f>
        <v>Olkkola 1996</v>
      </c>
      <c r="C4063" s="232" t="str">
        <f>IF(AND(A4063&lt;&gt;"",ISNUMBER(A4063)),VLOOKUP(A4063,Studies!A:BR,3,FALSE),"")</f>
        <v>https://www.ncbi.nlm.nih.gov/pubmed/8623953</v>
      </c>
      <c r="D4063" s="232" t="str">
        <f>IF(AND(A4063&lt;&gt;"",ISNUMBER(A4063)),VLOOKUP(A4063,Studies!A:BR,4,FALSE),"")</f>
        <v>day 6 (po) with Perpetrator (Itraconazole)</v>
      </c>
      <c r="E4063" s="206" t="str">
        <f>IF(AND(A4063&lt;&gt;"",ISNUMBER(A4063)),VLOOKUP(A4063,Studies!A:BR,5,FALSE),"")</f>
        <v>Midazolam</v>
      </c>
      <c r="F4063" s="207" t="str">
        <f>IF(AND(A4063&lt;&gt;"",ISNUMBER(A4063)),VLOOKUP(A4063,Studies!A:BR,6,FALSE),"")</f>
        <v>Plasma</v>
      </c>
      <c r="G4063" s="194">
        <f>122+1</f>
        <v>123</v>
      </c>
      <c r="H4063" s="194" t="s">
        <v>60</v>
      </c>
      <c r="I4063" s="187">
        <v>61.61909</v>
      </c>
      <c r="J4063" s="187" t="s">
        <v>1026</v>
      </c>
      <c r="K4063" s="187" t="s">
        <v>116</v>
      </c>
      <c r="L4063" s="195">
        <v>9.9081919999999997</v>
      </c>
      <c r="M4063" s="195" t="s">
        <v>1026</v>
      </c>
      <c r="N4063" s="195" t="s">
        <v>1034</v>
      </c>
      <c r="O4063" s="199"/>
      <c r="P4063" s="188"/>
    </row>
    <row r="4064" spans="1:16" s="183" customFormat="1" x14ac:dyDescent="0.2">
      <c r="A4064" s="213">
        <v>379</v>
      </c>
      <c r="B4064" s="232" t="str">
        <f>IF(AND(A4064&lt;&gt;"",ISNUMBER(A4064)),VLOOKUP(A4064,Studies!A:BR,2,FALSE),"")</f>
        <v>Olkkola 1996</v>
      </c>
      <c r="C4064" s="232" t="str">
        <f>IF(AND(A4064&lt;&gt;"",ISNUMBER(A4064)),VLOOKUP(A4064,Studies!A:BR,3,FALSE),"")</f>
        <v>https://www.ncbi.nlm.nih.gov/pubmed/8623953</v>
      </c>
      <c r="D4064" s="232" t="str">
        <f>IF(AND(A4064&lt;&gt;"",ISNUMBER(A4064)),VLOOKUP(A4064,Studies!A:BR,4,FALSE),"")</f>
        <v>day 6 (po) with Perpetrator (Itraconazole)</v>
      </c>
      <c r="E4064" s="206" t="str">
        <f>IF(AND(A4064&lt;&gt;"",ISNUMBER(A4064)),VLOOKUP(A4064,Studies!A:BR,5,FALSE),"")</f>
        <v>Midazolam</v>
      </c>
      <c r="F4064" s="207" t="str">
        <f>IF(AND(A4064&lt;&gt;"",ISNUMBER(A4064)),VLOOKUP(A4064,Studies!A:BR,6,FALSE),"")</f>
        <v>Plasma</v>
      </c>
      <c r="G4064" s="194">
        <f>122+1.5</f>
        <v>123.5</v>
      </c>
      <c r="H4064" s="194" t="s">
        <v>60</v>
      </c>
      <c r="I4064" s="187">
        <v>67.107709999999997</v>
      </c>
      <c r="J4064" s="187" t="s">
        <v>1026</v>
      </c>
      <c r="K4064" s="187" t="s">
        <v>116</v>
      </c>
      <c r="L4064" s="195">
        <v>7.3394009999999996</v>
      </c>
      <c r="M4064" s="195" t="s">
        <v>1026</v>
      </c>
      <c r="N4064" s="195" t="s">
        <v>1034</v>
      </c>
      <c r="O4064" s="199"/>
      <c r="P4064" s="188"/>
    </row>
    <row r="4065" spans="1:16" s="183" customFormat="1" x14ac:dyDescent="0.2">
      <c r="A4065" s="213">
        <v>379</v>
      </c>
      <c r="B4065" s="232" t="str">
        <f>IF(AND(A4065&lt;&gt;"",ISNUMBER(A4065)),VLOOKUP(A4065,Studies!A:BR,2,FALSE),"")</f>
        <v>Olkkola 1996</v>
      </c>
      <c r="C4065" s="232" t="str">
        <f>IF(AND(A4065&lt;&gt;"",ISNUMBER(A4065)),VLOOKUP(A4065,Studies!A:BR,3,FALSE),"")</f>
        <v>https://www.ncbi.nlm.nih.gov/pubmed/8623953</v>
      </c>
      <c r="D4065" s="232" t="str">
        <f>IF(AND(A4065&lt;&gt;"",ISNUMBER(A4065)),VLOOKUP(A4065,Studies!A:BR,4,FALSE),"")</f>
        <v>day 6 (po) with Perpetrator (Itraconazole)</v>
      </c>
      <c r="E4065" s="206" t="str">
        <f>IF(AND(A4065&lt;&gt;"",ISNUMBER(A4065)),VLOOKUP(A4065,Studies!A:BR,5,FALSE),"")</f>
        <v>Midazolam</v>
      </c>
      <c r="F4065" s="207" t="str">
        <f>IF(AND(A4065&lt;&gt;"",ISNUMBER(A4065)),VLOOKUP(A4065,Studies!A:BR,6,FALSE),"")</f>
        <v>Plasma</v>
      </c>
      <c r="G4065" s="194">
        <f>122+2</f>
        <v>124</v>
      </c>
      <c r="H4065" s="194" t="s">
        <v>60</v>
      </c>
      <c r="I4065" s="187">
        <v>60.852620000000002</v>
      </c>
      <c r="J4065" s="187" t="s">
        <v>1026</v>
      </c>
      <c r="K4065" s="187" t="s">
        <v>116</v>
      </c>
      <c r="L4065" s="195">
        <v>6.0550040000000003</v>
      </c>
      <c r="M4065" s="195" t="s">
        <v>1026</v>
      </c>
      <c r="N4065" s="195" t="s">
        <v>1034</v>
      </c>
      <c r="O4065" s="199"/>
      <c r="P4065" s="188"/>
    </row>
    <row r="4066" spans="1:16" s="183" customFormat="1" x14ac:dyDescent="0.2">
      <c r="A4066" s="213">
        <v>379</v>
      </c>
      <c r="B4066" s="232" t="str">
        <f>IF(AND(A4066&lt;&gt;"",ISNUMBER(A4066)),VLOOKUP(A4066,Studies!A:BR,2,FALSE),"")</f>
        <v>Olkkola 1996</v>
      </c>
      <c r="C4066" s="232" t="str">
        <f>IF(AND(A4066&lt;&gt;"",ISNUMBER(A4066)),VLOOKUP(A4066,Studies!A:BR,3,FALSE),"")</f>
        <v>https://www.ncbi.nlm.nih.gov/pubmed/8623953</v>
      </c>
      <c r="D4066" s="232" t="str">
        <f>IF(AND(A4066&lt;&gt;"",ISNUMBER(A4066)),VLOOKUP(A4066,Studies!A:BR,4,FALSE),"")</f>
        <v>day 6 (po) with Perpetrator (Itraconazole)</v>
      </c>
      <c r="E4066" s="206" t="str">
        <f>IF(AND(A4066&lt;&gt;"",ISNUMBER(A4066)),VLOOKUP(A4066,Studies!A:BR,5,FALSE),"")</f>
        <v>Midazolam</v>
      </c>
      <c r="F4066" s="207" t="str">
        <f>IF(AND(A4066&lt;&gt;"",ISNUMBER(A4066)),VLOOKUP(A4066,Studies!A:BR,6,FALSE),"")</f>
        <v>Plasma</v>
      </c>
      <c r="G4066" s="194">
        <f>122+3</f>
        <v>125</v>
      </c>
      <c r="H4066" s="194" t="s">
        <v>60</v>
      </c>
      <c r="I4066" s="187">
        <v>54.949890000000003</v>
      </c>
      <c r="J4066" s="187" t="s">
        <v>1026</v>
      </c>
      <c r="K4066" s="187" t="s">
        <v>116</v>
      </c>
      <c r="L4066" s="195">
        <v>4.95343</v>
      </c>
      <c r="M4066" s="195" t="s">
        <v>1026</v>
      </c>
      <c r="N4066" s="195" t="s">
        <v>1034</v>
      </c>
      <c r="O4066" s="199"/>
      <c r="P4066" s="188"/>
    </row>
    <row r="4067" spans="1:16" s="183" customFormat="1" x14ac:dyDescent="0.2">
      <c r="A4067" s="213">
        <v>379</v>
      </c>
      <c r="B4067" s="232" t="str">
        <f>IF(AND(A4067&lt;&gt;"",ISNUMBER(A4067)),VLOOKUP(A4067,Studies!A:BR,2,FALSE),"")</f>
        <v>Olkkola 1996</v>
      </c>
      <c r="C4067" s="232" t="str">
        <f>IF(AND(A4067&lt;&gt;"",ISNUMBER(A4067)),VLOOKUP(A4067,Studies!A:BR,3,FALSE),"")</f>
        <v>https://www.ncbi.nlm.nih.gov/pubmed/8623953</v>
      </c>
      <c r="D4067" s="232" t="str">
        <f>IF(AND(A4067&lt;&gt;"",ISNUMBER(A4067)),VLOOKUP(A4067,Studies!A:BR,4,FALSE),"")</f>
        <v>day 6 (po) with Perpetrator (Itraconazole)</v>
      </c>
      <c r="E4067" s="206" t="str">
        <f>IF(AND(A4067&lt;&gt;"",ISNUMBER(A4067)),VLOOKUP(A4067,Studies!A:BR,5,FALSE),"")</f>
        <v>Midazolam</v>
      </c>
      <c r="F4067" s="207" t="str">
        <f>IF(AND(A4067&lt;&gt;"",ISNUMBER(A4067)),VLOOKUP(A4067,Studies!A:BR,6,FALSE),"")</f>
        <v>Plasma</v>
      </c>
      <c r="G4067" s="194">
        <f>122+4</f>
        <v>126</v>
      </c>
      <c r="H4067" s="194" t="s">
        <v>60</v>
      </c>
      <c r="I4067" s="187">
        <v>53.999929999999999</v>
      </c>
      <c r="J4067" s="187" t="s">
        <v>1026</v>
      </c>
      <c r="K4067" s="187" t="s">
        <v>116</v>
      </c>
      <c r="L4067" s="195">
        <v>6.2384870000000001</v>
      </c>
      <c r="M4067" s="195" t="s">
        <v>1026</v>
      </c>
      <c r="N4067" s="195" t="s">
        <v>1034</v>
      </c>
      <c r="O4067" s="199"/>
      <c r="P4067" s="188"/>
    </row>
    <row r="4068" spans="1:16" s="183" customFormat="1" x14ac:dyDescent="0.2">
      <c r="A4068" s="213">
        <v>379</v>
      </c>
      <c r="B4068" s="232" t="str">
        <f>IF(AND(A4068&lt;&gt;"",ISNUMBER(A4068)),VLOOKUP(A4068,Studies!A:BR,2,FALSE),"")</f>
        <v>Olkkola 1996</v>
      </c>
      <c r="C4068" s="232" t="str">
        <f>IF(AND(A4068&lt;&gt;"",ISNUMBER(A4068)),VLOOKUP(A4068,Studies!A:BR,3,FALSE),"")</f>
        <v>https://www.ncbi.nlm.nih.gov/pubmed/8623953</v>
      </c>
      <c r="D4068" s="232" t="str">
        <f>IF(AND(A4068&lt;&gt;"",ISNUMBER(A4068)),VLOOKUP(A4068,Studies!A:BR,4,FALSE),"")</f>
        <v>day 6 (po) with Perpetrator (Itraconazole)</v>
      </c>
      <c r="E4068" s="206" t="str">
        <f>IF(AND(A4068&lt;&gt;"",ISNUMBER(A4068)),VLOOKUP(A4068,Studies!A:BR,5,FALSE),"")</f>
        <v>Midazolam</v>
      </c>
      <c r="F4068" s="207" t="str">
        <f>IF(AND(A4068&lt;&gt;"",ISNUMBER(A4068)),VLOOKUP(A4068,Studies!A:BR,6,FALSE),"")</f>
        <v>Plasma</v>
      </c>
      <c r="G4068" s="194">
        <f>122+5</f>
        <v>127</v>
      </c>
      <c r="H4068" s="194" t="s">
        <v>60</v>
      </c>
      <c r="I4068" s="187">
        <v>41.306260000000002</v>
      </c>
      <c r="J4068" s="187" t="s">
        <v>1026</v>
      </c>
      <c r="K4068" s="187" t="s">
        <v>116</v>
      </c>
      <c r="L4068" s="195">
        <v>4.5871279999999999</v>
      </c>
      <c r="M4068" s="195" t="s">
        <v>1026</v>
      </c>
      <c r="N4068" s="195" t="s">
        <v>1034</v>
      </c>
      <c r="O4068" s="199"/>
      <c r="P4068" s="188"/>
    </row>
    <row r="4069" spans="1:16" s="183" customFormat="1" x14ac:dyDescent="0.2">
      <c r="A4069" s="213">
        <v>379</v>
      </c>
      <c r="B4069" s="232" t="str">
        <f>IF(AND(A4069&lt;&gt;"",ISNUMBER(A4069)),VLOOKUP(A4069,Studies!A:BR,2,FALSE),"")</f>
        <v>Olkkola 1996</v>
      </c>
      <c r="C4069" s="232" t="str">
        <f>IF(AND(A4069&lt;&gt;"",ISNUMBER(A4069)),VLOOKUP(A4069,Studies!A:BR,3,FALSE),"")</f>
        <v>https://www.ncbi.nlm.nih.gov/pubmed/8623953</v>
      </c>
      <c r="D4069" s="232" t="str">
        <f>IF(AND(A4069&lt;&gt;"",ISNUMBER(A4069)),VLOOKUP(A4069,Studies!A:BR,4,FALSE),"")</f>
        <v>day 6 (po) with Perpetrator (Itraconazole)</v>
      </c>
      <c r="E4069" s="206" t="str">
        <f>IF(AND(A4069&lt;&gt;"",ISNUMBER(A4069)),VLOOKUP(A4069,Studies!A:BR,5,FALSE),"")</f>
        <v>Midazolam</v>
      </c>
      <c r="F4069" s="207" t="str">
        <f>IF(AND(A4069&lt;&gt;"",ISNUMBER(A4069)),VLOOKUP(A4069,Studies!A:BR,6,FALSE),"")</f>
        <v>Plasma</v>
      </c>
      <c r="G4069" s="194">
        <f>122+6</f>
        <v>128</v>
      </c>
      <c r="H4069" s="194" t="s">
        <v>60</v>
      </c>
      <c r="I4069" s="187">
        <v>34.851750000000003</v>
      </c>
      <c r="J4069" s="187" t="s">
        <v>1026</v>
      </c>
      <c r="K4069" s="187" t="s">
        <v>116</v>
      </c>
      <c r="L4069" s="195">
        <v>3.3027310000000001</v>
      </c>
      <c r="M4069" s="195" t="s">
        <v>1026</v>
      </c>
      <c r="N4069" s="195" t="s">
        <v>1034</v>
      </c>
      <c r="O4069" s="199"/>
      <c r="P4069" s="188"/>
    </row>
    <row r="4070" spans="1:16" s="183" customFormat="1" x14ac:dyDescent="0.2">
      <c r="A4070" s="213">
        <v>379</v>
      </c>
      <c r="B4070" s="232" t="str">
        <f>IF(AND(A4070&lt;&gt;"",ISNUMBER(A4070)),VLOOKUP(A4070,Studies!A:BR,2,FALSE),"")</f>
        <v>Olkkola 1996</v>
      </c>
      <c r="C4070" s="232" t="str">
        <f>IF(AND(A4070&lt;&gt;"",ISNUMBER(A4070)),VLOOKUP(A4070,Studies!A:BR,3,FALSE),"")</f>
        <v>https://www.ncbi.nlm.nih.gov/pubmed/8623953</v>
      </c>
      <c r="D4070" s="232" t="str">
        <f>IF(AND(A4070&lt;&gt;"",ISNUMBER(A4070)),VLOOKUP(A4070,Studies!A:BR,4,FALSE),"")</f>
        <v>day 6 (po) with Perpetrator (Itraconazole)</v>
      </c>
      <c r="E4070" s="206" t="str">
        <f>IF(AND(A4070&lt;&gt;"",ISNUMBER(A4070)),VLOOKUP(A4070,Studies!A:BR,5,FALSE),"")</f>
        <v>Midazolam</v>
      </c>
      <c r="F4070" s="207" t="str">
        <f>IF(AND(A4070&lt;&gt;"",ISNUMBER(A4070)),VLOOKUP(A4070,Studies!A:BR,6,FALSE),"")</f>
        <v>Plasma</v>
      </c>
      <c r="G4070" s="194">
        <f>122+7</f>
        <v>129</v>
      </c>
      <c r="H4070" s="194" t="s">
        <v>60</v>
      </c>
      <c r="I4070" s="187">
        <v>32.802210000000002</v>
      </c>
      <c r="J4070" s="187" t="s">
        <v>1026</v>
      </c>
      <c r="K4070" s="187" t="s">
        <v>116</v>
      </c>
      <c r="L4070" s="195"/>
      <c r="M4070" s="195"/>
      <c r="N4070" s="195"/>
      <c r="O4070" s="199"/>
      <c r="P4070" s="188"/>
    </row>
    <row r="4071" spans="1:16" s="183" customFormat="1" x14ac:dyDescent="0.2">
      <c r="A4071" s="213">
        <v>379</v>
      </c>
      <c r="B4071" s="232" t="str">
        <f>IF(AND(A4071&lt;&gt;"",ISNUMBER(A4071)),VLOOKUP(A4071,Studies!A:BR,2,FALSE),"")</f>
        <v>Olkkola 1996</v>
      </c>
      <c r="C4071" s="232" t="str">
        <f>IF(AND(A4071&lt;&gt;"",ISNUMBER(A4071)),VLOOKUP(A4071,Studies!A:BR,3,FALSE),"")</f>
        <v>https://www.ncbi.nlm.nih.gov/pubmed/8623953</v>
      </c>
      <c r="D4071" s="232" t="str">
        <f>IF(AND(A4071&lt;&gt;"",ISNUMBER(A4071)),VLOOKUP(A4071,Studies!A:BR,4,FALSE),"")</f>
        <v>day 6 (po) with Perpetrator (Itraconazole)</v>
      </c>
      <c r="E4071" s="206" t="str">
        <f>IF(AND(A4071&lt;&gt;"",ISNUMBER(A4071)),VLOOKUP(A4071,Studies!A:BR,5,FALSE),"")</f>
        <v>Midazolam</v>
      </c>
      <c r="F4071" s="207" t="str">
        <f>IF(AND(A4071&lt;&gt;"",ISNUMBER(A4071)),VLOOKUP(A4071,Studies!A:BR,6,FALSE),"")</f>
        <v>Plasma</v>
      </c>
      <c r="G4071" s="194">
        <f>122+17</f>
        <v>139</v>
      </c>
      <c r="H4071" s="194" t="s">
        <v>60</v>
      </c>
      <c r="I4071" s="187">
        <v>13.94685</v>
      </c>
      <c r="J4071" s="187" t="s">
        <v>1026</v>
      </c>
      <c r="K4071" s="187" t="s">
        <v>116</v>
      </c>
      <c r="L4071" s="195"/>
      <c r="M4071" s="195"/>
      <c r="N4071" s="195"/>
      <c r="O4071" s="199"/>
      <c r="P4071" s="188"/>
    </row>
    <row r="4072" spans="1:16" s="183" customFormat="1" x14ac:dyDescent="0.2">
      <c r="A4072" s="213">
        <v>380</v>
      </c>
      <c r="B4072" s="232" t="str">
        <f>IF(AND(A4072&lt;&gt;"",ISNUMBER(A4072)),VLOOKUP(A4072,Studies!A:BR,2,FALSE),"")</f>
        <v>Olkkola 1996</v>
      </c>
      <c r="C4072" s="232" t="str">
        <f>IF(AND(A4072&lt;&gt;"",ISNUMBER(A4072)),VLOOKUP(A4072,Studies!A:BR,3,FALSE),"")</f>
        <v>https://www.ncbi.nlm.nih.gov/pubmed/8623953</v>
      </c>
      <c r="D4072" s="232" t="str">
        <f>IF(AND(A4072&lt;&gt;"",ISNUMBER(A4072)),VLOOKUP(A4072,Studies!A:BR,4,FALSE),"")</f>
        <v>day 1 (po) with Perpetrator (Fluconazole)</v>
      </c>
      <c r="E4072" s="206" t="str">
        <f>IF(AND(A4072&lt;&gt;"",ISNUMBER(A4072)),VLOOKUP(A4072,Studies!A:BR,5,FALSE),"")</f>
        <v>Midazolam</v>
      </c>
      <c r="F4072" s="207" t="str">
        <f>IF(AND(A4072&lt;&gt;"",ISNUMBER(A4072)),VLOOKUP(A4072,Studies!A:BR,6,FALSE),"")</f>
        <v>Plasma</v>
      </c>
      <c r="G4072" s="194">
        <f>2+0</f>
        <v>2</v>
      </c>
      <c r="H4072" s="194" t="s">
        <v>60</v>
      </c>
      <c r="I4072" s="187">
        <v>0</v>
      </c>
      <c r="J4072" s="187" t="s">
        <v>1026</v>
      </c>
      <c r="K4072" s="187" t="s">
        <v>116</v>
      </c>
      <c r="L4072" s="195"/>
      <c r="M4072" s="195"/>
      <c r="N4072" s="195"/>
      <c r="O4072" s="199"/>
      <c r="P4072" s="188"/>
    </row>
    <row r="4073" spans="1:16" s="183" customFormat="1" x14ac:dyDescent="0.2">
      <c r="A4073" s="213">
        <v>380</v>
      </c>
      <c r="B4073" s="232" t="str">
        <f>IF(AND(A4073&lt;&gt;"",ISNUMBER(A4073)),VLOOKUP(A4073,Studies!A:BR,2,FALSE),"")</f>
        <v>Olkkola 1996</v>
      </c>
      <c r="C4073" s="232" t="str">
        <f>IF(AND(A4073&lt;&gt;"",ISNUMBER(A4073)),VLOOKUP(A4073,Studies!A:BR,3,FALSE),"")</f>
        <v>https://www.ncbi.nlm.nih.gov/pubmed/8623953</v>
      </c>
      <c r="D4073" s="232" t="str">
        <f>IF(AND(A4073&lt;&gt;"",ISNUMBER(A4073)),VLOOKUP(A4073,Studies!A:BR,4,FALSE),"")</f>
        <v>day 1 (po) with Perpetrator (Fluconazole)</v>
      </c>
      <c r="E4073" s="206" t="str">
        <f>IF(AND(A4073&lt;&gt;"",ISNUMBER(A4073)),VLOOKUP(A4073,Studies!A:BR,5,FALSE),"")</f>
        <v>Midazolam</v>
      </c>
      <c r="F4073" s="207" t="str">
        <f>IF(AND(A4073&lt;&gt;"",ISNUMBER(A4073)),VLOOKUP(A4073,Studies!A:BR,6,FALSE),"")</f>
        <v>Plasma</v>
      </c>
      <c r="G4073" s="194">
        <f>2+0.5</f>
        <v>2.5</v>
      </c>
      <c r="H4073" s="194" t="s">
        <v>60</v>
      </c>
      <c r="I4073" s="187">
        <v>37.940480000000001</v>
      </c>
      <c r="J4073" s="187" t="s">
        <v>1026</v>
      </c>
      <c r="K4073" s="187" t="s">
        <v>116</v>
      </c>
      <c r="L4073" s="195">
        <v>14.44495</v>
      </c>
      <c r="M4073" s="195" t="s">
        <v>1026</v>
      </c>
      <c r="N4073" s="195" t="s">
        <v>1034</v>
      </c>
      <c r="O4073" s="199"/>
      <c r="P4073" s="188"/>
    </row>
    <row r="4074" spans="1:16" s="183" customFormat="1" x14ac:dyDescent="0.2">
      <c r="A4074" s="213">
        <v>380</v>
      </c>
      <c r="B4074" s="232" t="str">
        <f>IF(AND(A4074&lt;&gt;"",ISNUMBER(A4074)),VLOOKUP(A4074,Studies!A:BR,2,FALSE),"")</f>
        <v>Olkkola 1996</v>
      </c>
      <c r="C4074" s="232" t="str">
        <f>IF(AND(A4074&lt;&gt;"",ISNUMBER(A4074)),VLOOKUP(A4074,Studies!A:BR,3,FALSE),"")</f>
        <v>https://www.ncbi.nlm.nih.gov/pubmed/8623953</v>
      </c>
      <c r="D4074" s="232" t="str">
        <f>IF(AND(A4074&lt;&gt;"",ISNUMBER(A4074)),VLOOKUP(A4074,Studies!A:BR,4,FALSE),"")</f>
        <v>day 1 (po) with Perpetrator (Fluconazole)</v>
      </c>
      <c r="E4074" s="206" t="str">
        <f>IF(AND(A4074&lt;&gt;"",ISNUMBER(A4074)),VLOOKUP(A4074,Studies!A:BR,5,FALSE),"")</f>
        <v>Midazolam</v>
      </c>
      <c r="F4074" s="207" t="str">
        <f>IF(AND(A4074&lt;&gt;"",ISNUMBER(A4074)),VLOOKUP(A4074,Studies!A:BR,6,FALSE),"")</f>
        <v>Plasma</v>
      </c>
      <c r="G4074" s="194">
        <f>2+1</f>
        <v>3</v>
      </c>
      <c r="H4074" s="194" t="s">
        <v>60</v>
      </c>
      <c r="I4074" s="187">
        <v>56.43703</v>
      </c>
      <c r="J4074" s="187" t="s">
        <v>1026</v>
      </c>
      <c r="K4074" s="187" t="s">
        <v>116</v>
      </c>
      <c r="L4074" s="195">
        <v>9.4450800000000008</v>
      </c>
      <c r="M4074" s="195" t="s">
        <v>1026</v>
      </c>
      <c r="N4074" s="195" t="s">
        <v>1034</v>
      </c>
      <c r="O4074" s="199"/>
      <c r="P4074" s="188"/>
    </row>
    <row r="4075" spans="1:16" s="183" customFormat="1" x14ac:dyDescent="0.2">
      <c r="A4075" s="213">
        <v>380</v>
      </c>
      <c r="B4075" s="232" t="str">
        <f>IF(AND(A4075&lt;&gt;"",ISNUMBER(A4075)),VLOOKUP(A4075,Studies!A:BR,2,FALSE),"")</f>
        <v>Olkkola 1996</v>
      </c>
      <c r="C4075" s="232" t="str">
        <f>IF(AND(A4075&lt;&gt;"",ISNUMBER(A4075)),VLOOKUP(A4075,Studies!A:BR,3,FALSE),"")</f>
        <v>https://www.ncbi.nlm.nih.gov/pubmed/8623953</v>
      </c>
      <c r="D4075" s="232" t="str">
        <f>IF(AND(A4075&lt;&gt;"",ISNUMBER(A4075)),VLOOKUP(A4075,Studies!A:BR,4,FALSE),"")</f>
        <v>day 1 (po) with Perpetrator (Fluconazole)</v>
      </c>
      <c r="E4075" s="206" t="str">
        <f>IF(AND(A4075&lt;&gt;"",ISNUMBER(A4075)),VLOOKUP(A4075,Studies!A:BR,5,FALSE),"")</f>
        <v>Midazolam</v>
      </c>
      <c r="F4075" s="207" t="str">
        <f>IF(AND(A4075&lt;&gt;"",ISNUMBER(A4075)),VLOOKUP(A4075,Studies!A:BR,6,FALSE),"")</f>
        <v>Plasma</v>
      </c>
      <c r="G4075" s="194">
        <f>2+1.5</f>
        <v>3.5</v>
      </c>
      <c r="H4075" s="194" t="s">
        <v>60</v>
      </c>
      <c r="I4075" s="187">
        <v>53.452669999999998</v>
      </c>
      <c r="J4075" s="187" t="s">
        <v>1026</v>
      </c>
      <c r="K4075" s="187" t="s">
        <v>116</v>
      </c>
      <c r="L4075" s="195">
        <v>4.4434319999999996</v>
      </c>
      <c r="M4075" s="195" t="s">
        <v>1026</v>
      </c>
      <c r="N4075" s="195" t="s">
        <v>1034</v>
      </c>
      <c r="O4075" s="199"/>
      <c r="P4075" s="188"/>
    </row>
    <row r="4076" spans="1:16" s="183" customFormat="1" x14ac:dyDescent="0.2">
      <c r="A4076" s="213">
        <v>380</v>
      </c>
      <c r="B4076" s="232" t="str">
        <f>IF(AND(A4076&lt;&gt;"",ISNUMBER(A4076)),VLOOKUP(A4076,Studies!A:BR,2,FALSE),"")</f>
        <v>Olkkola 1996</v>
      </c>
      <c r="C4076" s="232" t="str">
        <f>IF(AND(A4076&lt;&gt;"",ISNUMBER(A4076)),VLOOKUP(A4076,Studies!A:BR,3,FALSE),"")</f>
        <v>https://www.ncbi.nlm.nih.gov/pubmed/8623953</v>
      </c>
      <c r="D4076" s="232" t="str">
        <f>IF(AND(A4076&lt;&gt;"",ISNUMBER(A4076)),VLOOKUP(A4076,Studies!A:BR,4,FALSE),"")</f>
        <v>day 1 (po) with Perpetrator (Fluconazole)</v>
      </c>
      <c r="E4076" s="206" t="str">
        <f>IF(AND(A4076&lt;&gt;"",ISNUMBER(A4076)),VLOOKUP(A4076,Studies!A:BR,5,FALSE),"")</f>
        <v>Midazolam</v>
      </c>
      <c r="F4076" s="207" t="str">
        <f>IF(AND(A4076&lt;&gt;"",ISNUMBER(A4076)),VLOOKUP(A4076,Studies!A:BR,6,FALSE),"")</f>
        <v>Plasma</v>
      </c>
      <c r="G4076" s="194">
        <f>2+2</f>
        <v>4</v>
      </c>
      <c r="H4076" s="194" t="s">
        <v>60</v>
      </c>
      <c r="I4076" s="187">
        <v>44.726840000000003</v>
      </c>
      <c r="J4076" s="187" t="s">
        <v>1026</v>
      </c>
      <c r="K4076" s="187" t="s">
        <v>116</v>
      </c>
      <c r="L4076" s="195"/>
      <c r="M4076" s="195"/>
      <c r="N4076" s="195"/>
      <c r="O4076" s="199"/>
      <c r="P4076" s="188"/>
    </row>
    <row r="4077" spans="1:16" s="183" customFormat="1" x14ac:dyDescent="0.2">
      <c r="A4077" s="213">
        <v>380</v>
      </c>
      <c r="B4077" s="232" t="str">
        <f>IF(AND(A4077&lt;&gt;"",ISNUMBER(A4077)),VLOOKUP(A4077,Studies!A:BR,2,FALSE),"")</f>
        <v>Olkkola 1996</v>
      </c>
      <c r="C4077" s="232" t="str">
        <f>IF(AND(A4077&lt;&gt;"",ISNUMBER(A4077)),VLOOKUP(A4077,Studies!A:BR,3,FALSE),"")</f>
        <v>https://www.ncbi.nlm.nih.gov/pubmed/8623953</v>
      </c>
      <c r="D4077" s="232" t="str">
        <f>IF(AND(A4077&lt;&gt;"",ISNUMBER(A4077)),VLOOKUP(A4077,Studies!A:BR,4,FALSE),"")</f>
        <v>day 1 (po) with Perpetrator (Fluconazole)</v>
      </c>
      <c r="E4077" s="206" t="str">
        <f>IF(AND(A4077&lt;&gt;"",ISNUMBER(A4077)),VLOOKUP(A4077,Studies!A:BR,5,FALSE),"")</f>
        <v>Midazolam</v>
      </c>
      <c r="F4077" s="207" t="str">
        <f>IF(AND(A4077&lt;&gt;"",ISNUMBER(A4077)),VLOOKUP(A4077,Studies!A:BR,6,FALSE),"")</f>
        <v>Plasma</v>
      </c>
      <c r="G4077" s="194">
        <f>2+3</f>
        <v>5</v>
      </c>
      <c r="H4077" s="194" t="s">
        <v>60</v>
      </c>
      <c r="I4077" s="187">
        <v>33.387909999999998</v>
      </c>
      <c r="J4077" s="187" t="s">
        <v>1026</v>
      </c>
      <c r="K4077" s="187" t="s">
        <v>116</v>
      </c>
      <c r="L4077" s="195"/>
      <c r="M4077" s="195"/>
      <c r="N4077" s="195"/>
      <c r="O4077" s="199"/>
      <c r="P4077" s="188"/>
    </row>
    <row r="4078" spans="1:16" s="183" customFormat="1" x14ac:dyDescent="0.2">
      <c r="A4078" s="213">
        <v>380</v>
      </c>
      <c r="B4078" s="232" t="str">
        <f>IF(AND(A4078&lt;&gt;"",ISNUMBER(A4078)),VLOOKUP(A4078,Studies!A:BR,2,FALSE),"")</f>
        <v>Olkkola 1996</v>
      </c>
      <c r="C4078" s="232" t="str">
        <f>IF(AND(A4078&lt;&gt;"",ISNUMBER(A4078)),VLOOKUP(A4078,Studies!A:BR,3,FALSE),"")</f>
        <v>https://www.ncbi.nlm.nih.gov/pubmed/8623953</v>
      </c>
      <c r="D4078" s="232" t="str">
        <f>IF(AND(A4078&lt;&gt;"",ISNUMBER(A4078)),VLOOKUP(A4078,Studies!A:BR,4,FALSE),"")</f>
        <v>day 1 (po) with Perpetrator (Fluconazole)</v>
      </c>
      <c r="E4078" s="206" t="str">
        <f>IF(AND(A4078&lt;&gt;"",ISNUMBER(A4078)),VLOOKUP(A4078,Studies!A:BR,5,FALSE),"")</f>
        <v>Midazolam</v>
      </c>
      <c r="F4078" s="207" t="str">
        <f>IF(AND(A4078&lt;&gt;"",ISNUMBER(A4078)),VLOOKUP(A4078,Studies!A:BR,6,FALSE),"")</f>
        <v>Plasma</v>
      </c>
      <c r="G4078" s="194">
        <f>2+4</f>
        <v>6</v>
      </c>
      <c r="H4078" s="194" t="s">
        <v>60</v>
      </c>
      <c r="I4078" s="187">
        <v>24.639700000000001</v>
      </c>
      <c r="J4078" s="187" t="s">
        <v>1026</v>
      </c>
      <c r="K4078" s="187" t="s">
        <v>116</v>
      </c>
      <c r="L4078" s="195"/>
      <c r="M4078" s="195"/>
      <c r="N4078" s="195"/>
      <c r="O4078" s="199"/>
      <c r="P4078" s="188"/>
    </row>
    <row r="4079" spans="1:16" s="183" customFormat="1" x14ac:dyDescent="0.2">
      <c r="A4079" s="213">
        <v>380</v>
      </c>
      <c r="B4079" s="232" t="str">
        <f>IF(AND(A4079&lt;&gt;"",ISNUMBER(A4079)),VLOOKUP(A4079,Studies!A:BR,2,FALSE),"")</f>
        <v>Olkkola 1996</v>
      </c>
      <c r="C4079" s="232" t="str">
        <f>IF(AND(A4079&lt;&gt;"",ISNUMBER(A4079)),VLOOKUP(A4079,Studies!A:BR,3,FALSE),"")</f>
        <v>https://www.ncbi.nlm.nih.gov/pubmed/8623953</v>
      </c>
      <c r="D4079" s="232" t="str">
        <f>IF(AND(A4079&lt;&gt;"",ISNUMBER(A4079)),VLOOKUP(A4079,Studies!A:BR,4,FALSE),"")</f>
        <v>day 1 (po) with Perpetrator (Fluconazole)</v>
      </c>
      <c r="E4079" s="206" t="str">
        <f>IF(AND(A4079&lt;&gt;"",ISNUMBER(A4079)),VLOOKUP(A4079,Studies!A:BR,5,FALSE),"")</f>
        <v>Midazolam</v>
      </c>
      <c r="F4079" s="207" t="str">
        <f>IF(AND(A4079&lt;&gt;"",ISNUMBER(A4079)),VLOOKUP(A4079,Studies!A:BR,6,FALSE),"")</f>
        <v>Plasma</v>
      </c>
      <c r="G4079" s="194">
        <f>2+5</f>
        <v>7</v>
      </c>
      <c r="H4079" s="194" t="s">
        <v>60</v>
      </c>
      <c r="I4079" s="187">
        <v>17.745100000000001</v>
      </c>
      <c r="J4079" s="187" t="s">
        <v>1026</v>
      </c>
      <c r="K4079" s="187" t="s">
        <v>116</v>
      </c>
      <c r="L4079" s="195"/>
      <c r="M4079" s="195"/>
      <c r="N4079" s="195"/>
      <c r="O4079" s="199"/>
      <c r="P4079" s="188"/>
    </row>
    <row r="4080" spans="1:16" s="183" customFormat="1" x14ac:dyDescent="0.2">
      <c r="A4080" s="213">
        <v>380</v>
      </c>
      <c r="B4080" s="232" t="str">
        <f>IF(AND(A4080&lt;&gt;"",ISNUMBER(A4080)),VLOOKUP(A4080,Studies!A:BR,2,FALSE),"")</f>
        <v>Olkkola 1996</v>
      </c>
      <c r="C4080" s="232" t="str">
        <f>IF(AND(A4080&lt;&gt;"",ISNUMBER(A4080)),VLOOKUP(A4080,Studies!A:BR,3,FALSE),"")</f>
        <v>https://www.ncbi.nlm.nih.gov/pubmed/8623953</v>
      </c>
      <c r="D4080" s="232" t="str">
        <f>IF(AND(A4080&lt;&gt;"",ISNUMBER(A4080)),VLOOKUP(A4080,Studies!A:BR,4,FALSE),"")</f>
        <v>day 1 (po) with Perpetrator (Fluconazole)</v>
      </c>
      <c r="E4080" s="206" t="str">
        <f>IF(AND(A4080&lt;&gt;"",ISNUMBER(A4080)),VLOOKUP(A4080,Studies!A:BR,5,FALSE),"")</f>
        <v>Midazolam</v>
      </c>
      <c r="F4080" s="207" t="str">
        <f>IF(AND(A4080&lt;&gt;"",ISNUMBER(A4080)),VLOOKUP(A4080,Studies!A:BR,6,FALSE),"")</f>
        <v>Plasma</v>
      </c>
      <c r="G4080" s="194">
        <v>6</v>
      </c>
      <c r="H4080" s="194" t="s">
        <v>60</v>
      </c>
      <c r="I4080" s="187">
        <v>13.812480000000001</v>
      </c>
      <c r="J4080" s="187" t="s">
        <v>1026</v>
      </c>
      <c r="K4080" s="187" t="s">
        <v>116</v>
      </c>
      <c r="L4080" s="195"/>
      <c r="M4080" s="195"/>
      <c r="N4080" s="195"/>
      <c r="O4080" s="199"/>
      <c r="P4080" s="188"/>
    </row>
    <row r="4081" spans="1:16" s="183" customFormat="1" x14ac:dyDescent="0.2">
      <c r="A4081" s="213">
        <v>380</v>
      </c>
      <c r="B4081" s="232" t="str">
        <f>IF(AND(A4081&lt;&gt;"",ISNUMBER(A4081)),VLOOKUP(A4081,Studies!A:BR,2,FALSE),"")</f>
        <v>Olkkola 1996</v>
      </c>
      <c r="C4081" s="232" t="str">
        <f>IF(AND(A4081&lt;&gt;"",ISNUMBER(A4081)),VLOOKUP(A4081,Studies!A:BR,3,FALSE),"")</f>
        <v>https://www.ncbi.nlm.nih.gov/pubmed/8623953</v>
      </c>
      <c r="D4081" s="232" t="str">
        <f>IF(AND(A4081&lt;&gt;"",ISNUMBER(A4081)),VLOOKUP(A4081,Studies!A:BR,4,FALSE),"")</f>
        <v>day 1 (po) with Perpetrator (Fluconazole)</v>
      </c>
      <c r="E4081" s="206" t="str">
        <f>IF(AND(A4081&lt;&gt;"",ISNUMBER(A4081)),VLOOKUP(A4081,Studies!A:BR,5,FALSE),"")</f>
        <v>Midazolam</v>
      </c>
      <c r="F4081" s="207" t="str">
        <f>IF(AND(A4081&lt;&gt;"",ISNUMBER(A4081)),VLOOKUP(A4081,Studies!A:BR,6,FALSE),"")</f>
        <v>Plasma</v>
      </c>
      <c r="G4081" s="194">
        <f>2+7</f>
        <v>9</v>
      </c>
      <c r="H4081" s="194" t="s">
        <v>60</v>
      </c>
      <c r="I4081" s="187">
        <v>12.103809999999999</v>
      </c>
      <c r="J4081" s="187" t="s">
        <v>1026</v>
      </c>
      <c r="K4081" s="187" t="s">
        <v>116</v>
      </c>
      <c r="L4081" s="195"/>
      <c r="M4081" s="195"/>
      <c r="N4081" s="195"/>
      <c r="O4081" s="199"/>
      <c r="P4081" s="188"/>
    </row>
    <row r="4082" spans="1:16" s="183" customFormat="1" x14ac:dyDescent="0.2">
      <c r="A4082" s="213">
        <v>380</v>
      </c>
      <c r="B4082" s="232" t="str">
        <f>IF(AND(A4082&lt;&gt;"",ISNUMBER(A4082)),VLOOKUP(A4082,Studies!A:BR,2,FALSE),"")</f>
        <v>Olkkola 1996</v>
      </c>
      <c r="C4082" s="232" t="str">
        <f>IF(AND(A4082&lt;&gt;"",ISNUMBER(A4082)),VLOOKUP(A4082,Studies!A:BR,3,FALSE),"")</f>
        <v>https://www.ncbi.nlm.nih.gov/pubmed/8623953</v>
      </c>
      <c r="D4082" s="232" t="str">
        <f>IF(AND(A4082&lt;&gt;"",ISNUMBER(A4082)),VLOOKUP(A4082,Studies!A:BR,4,FALSE),"")</f>
        <v>day 1 (po) with Perpetrator (Fluconazole)</v>
      </c>
      <c r="E4082" s="206" t="str">
        <f>IF(AND(A4082&lt;&gt;"",ISNUMBER(A4082)),VLOOKUP(A4082,Studies!A:BR,5,FALSE),"")</f>
        <v>Midazolam</v>
      </c>
      <c r="F4082" s="207" t="str">
        <f>IF(AND(A4082&lt;&gt;"",ISNUMBER(A4082)),VLOOKUP(A4082,Studies!A:BR,6,FALSE),"")</f>
        <v>Plasma</v>
      </c>
      <c r="G4082" s="194">
        <f>2+17</f>
        <v>19</v>
      </c>
      <c r="H4082" s="194" t="s">
        <v>60</v>
      </c>
      <c r="I4082" s="187">
        <v>2.4091320000000001</v>
      </c>
      <c r="J4082" s="187" t="s">
        <v>1026</v>
      </c>
      <c r="K4082" s="187" t="s">
        <v>116</v>
      </c>
      <c r="L4082" s="195"/>
      <c r="M4082" s="195"/>
      <c r="N4082" s="195"/>
      <c r="O4082" s="199"/>
      <c r="P4082" s="188"/>
    </row>
    <row r="4083" spans="1:16" s="183" customFormat="1" x14ac:dyDescent="0.2">
      <c r="A4083" s="213">
        <v>381</v>
      </c>
      <c r="B4083" s="232" t="str">
        <f>IF(AND(A4083&lt;&gt;"",ISNUMBER(A4083)),VLOOKUP(A4083,Studies!A:BR,2,FALSE),"")</f>
        <v>Olkkola 1996</v>
      </c>
      <c r="C4083" s="232" t="str">
        <f>IF(AND(A4083&lt;&gt;"",ISNUMBER(A4083)),VLOOKUP(A4083,Studies!A:BR,3,FALSE),"")</f>
        <v>https://www.ncbi.nlm.nih.gov/pubmed/8623953</v>
      </c>
      <c r="D4083" s="232" t="str">
        <f>IF(AND(A4083&lt;&gt;"",ISNUMBER(A4083)),VLOOKUP(A4083,Studies!A:BR,4,FALSE),"")</f>
        <v>day 4 (iv) with Perpetrator (Fluconazole)</v>
      </c>
      <c r="E4083" s="206" t="str">
        <f>IF(AND(A4083&lt;&gt;"",ISNUMBER(A4083)),VLOOKUP(A4083,Studies!A:BR,5,FALSE),"")</f>
        <v>Midazolam</v>
      </c>
      <c r="F4083" s="207" t="str">
        <f>IF(AND(A4083&lt;&gt;"",ISNUMBER(A4083)),VLOOKUP(A4083,Studies!A:BR,6,FALSE),"")</f>
        <v>Plasma</v>
      </c>
      <c r="G4083" s="194">
        <f>74+0</f>
        <v>74</v>
      </c>
      <c r="H4083" s="194" t="s">
        <v>60</v>
      </c>
      <c r="I4083" s="187">
        <v>0</v>
      </c>
      <c r="J4083" s="187" t="s">
        <v>1026</v>
      </c>
      <c r="K4083" s="187" t="s">
        <v>116</v>
      </c>
      <c r="L4083" s="195"/>
      <c r="M4083" s="195"/>
      <c r="N4083" s="195"/>
      <c r="O4083" s="199"/>
      <c r="P4083" s="188"/>
    </row>
    <row r="4084" spans="1:16" s="183" customFormat="1" x14ac:dyDescent="0.2">
      <c r="A4084" s="213">
        <v>381</v>
      </c>
      <c r="B4084" s="232" t="str">
        <f>IF(AND(A4084&lt;&gt;"",ISNUMBER(A4084)),VLOOKUP(A4084,Studies!A:BR,2,FALSE),"")</f>
        <v>Olkkola 1996</v>
      </c>
      <c r="C4084" s="232" t="str">
        <f>IF(AND(A4084&lt;&gt;"",ISNUMBER(A4084)),VLOOKUP(A4084,Studies!A:BR,3,FALSE),"")</f>
        <v>https://www.ncbi.nlm.nih.gov/pubmed/8623953</v>
      </c>
      <c r="D4084" s="232" t="str">
        <f>IF(AND(A4084&lt;&gt;"",ISNUMBER(A4084)),VLOOKUP(A4084,Studies!A:BR,4,FALSE),"")</f>
        <v>day 4 (iv) with Perpetrator (Fluconazole)</v>
      </c>
      <c r="E4084" s="206" t="str">
        <f>IF(AND(A4084&lt;&gt;"",ISNUMBER(A4084)),VLOOKUP(A4084,Studies!A:BR,5,FALSE),"")</f>
        <v>Midazolam</v>
      </c>
      <c r="F4084" s="207" t="str">
        <f>IF(AND(A4084&lt;&gt;"",ISNUMBER(A4084)),VLOOKUP(A4084,Studies!A:BR,6,FALSE),"")</f>
        <v>Plasma</v>
      </c>
      <c r="G4084" s="194">
        <f>74+0.25</f>
        <v>74.25</v>
      </c>
      <c r="H4084" s="194" t="s">
        <v>60</v>
      </c>
      <c r="I4084" s="187">
        <v>77.524019999999993</v>
      </c>
      <c r="J4084" s="187" t="s">
        <v>1026</v>
      </c>
      <c r="K4084" s="187" t="s">
        <v>116</v>
      </c>
      <c r="L4084" s="195">
        <v>10.497019999999999</v>
      </c>
      <c r="M4084" s="195" t="s">
        <v>1026</v>
      </c>
      <c r="N4084" s="195" t="s">
        <v>1034</v>
      </c>
      <c r="O4084" s="199"/>
      <c r="P4084" s="188"/>
    </row>
    <row r="4085" spans="1:16" s="183" customFormat="1" x14ac:dyDescent="0.2">
      <c r="A4085" s="213">
        <v>381</v>
      </c>
      <c r="B4085" s="232" t="str">
        <f>IF(AND(A4085&lt;&gt;"",ISNUMBER(A4085)),VLOOKUP(A4085,Studies!A:BR,2,FALSE),"")</f>
        <v>Olkkola 1996</v>
      </c>
      <c r="C4085" s="232" t="str">
        <f>IF(AND(A4085&lt;&gt;"",ISNUMBER(A4085)),VLOOKUP(A4085,Studies!A:BR,3,FALSE),"")</f>
        <v>https://www.ncbi.nlm.nih.gov/pubmed/8623953</v>
      </c>
      <c r="D4085" s="232" t="str">
        <f>IF(AND(A4085&lt;&gt;"",ISNUMBER(A4085)),VLOOKUP(A4085,Studies!A:BR,4,FALSE),"")</f>
        <v>day 4 (iv) with Perpetrator (Fluconazole)</v>
      </c>
      <c r="E4085" s="206" t="str">
        <f>IF(AND(A4085&lt;&gt;"",ISNUMBER(A4085)),VLOOKUP(A4085,Studies!A:BR,5,FALSE),"")</f>
        <v>Midazolam</v>
      </c>
      <c r="F4085" s="207" t="str">
        <f>IF(AND(A4085&lt;&gt;"",ISNUMBER(A4085)),VLOOKUP(A4085,Studies!A:BR,6,FALSE),"")</f>
        <v>Plasma</v>
      </c>
      <c r="G4085" s="194">
        <f>74+0.5</f>
        <v>74.5</v>
      </c>
      <c r="H4085" s="194" t="s">
        <v>60</v>
      </c>
      <c r="I4085" s="187">
        <v>60.75694</v>
      </c>
      <c r="J4085" s="187" t="s">
        <v>1026</v>
      </c>
      <c r="K4085" s="187" t="s">
        <v>116</v>
      </c>
      <c r="L4085" s="195">
        <v>5.1564370000000004</v>
      </c>
      <c r="M4085" s="195" t="s">
        <v>1026</v>
      </c>
      <c r="N4085" s="195" t="s">
        <v>1034</v>
      </c>
      <c r="O4085" s="199"/>
      <c r="P4085" s="188"/>
    </row>
    <row r="4086" spans="1:16" s="183" customFormat="1" x14ac:dyDescent="0.2">
      <c r="A4086" s="213">
        <v>381</v>
      </c>
      <c r="B4086" s="232" t="str">
        <f>IF(AND(A4086&lt;&gt;"",ISNUMBER(A4086)),VLOOKUP(A4086,Studies!A:BR,2,FALSE),"")</f>
        <v>Olkkola 1996</v>
      </c>
      <c r="C4086" s="232" t="str">
        <f>IF(AND(A4086&lt;&gt;"",ISNUMBER(A4086)),VLOOKUP(A4086,Studies!A:BR,3,FALSE),"")</f>
        <v>https://www.ncbi.nlm.nih.gov/pubmed/8623953</v>
      </c>
      <c r="D4086" s="232" t="str">
        <f>IF(AND(A4086&lt;&gt;"",ISNUMBER(A4086)),VLOOKUP(A4086,Studies!A:BR,4,FALSE),"")</f>
        <v>day 4 (iv) with Perpetrator (Fluconazole)</v>
      </c>
      <c r="E4086" s="206" t="str">
        <f>IF(AND(A4086&lt;&gt;"",ISNUMBER(A4086)),VLOOKUP(A4086,Studies!A:BR,5,FALSE),"")</f>
        <v>Midazolam</v>
      </c>
      <c r="F4086" s="207" t="str">
        <f>IF(AND(A4086&lt;&gt;"",ISNUMBER(A4086)),VLOOKUP(A4086,Studies!A:BR,6,FALSE),"")</f>
        <v>Plasma</v>
      </c>
      <c r="G4086" s="194">
        <f>74+1</f>
        <v>75</v>
      </c>
      <c r="H4086" s="194" t="s">
        <v>60</v>
      </c>
      <c r="I4086" s="187">
        <v>42.140279999999997</v>
      </c>
      <c r="J4086" s="187" t="s">
        <v>1026</v>
      </c>
      <c r="K4086" s="187" t="s">
        <v>116</v>
      </c>
      <c r="L4086" s="195"/>
      <c r="M4086" s="195"/>
      <c r="N4086" s="195"/>
      <c r="O4086" s="199"/>
      <c r="P4086" s="188"/>
    </row>
    <row r="4087" spans="1:16" s="183" customFormat="1" x14ac:dyDescent="0.2">
      <c r="A4087" s="213">
        <v>381</v>
      </c>
      <c r="B4087" s="232" t="str">
        <f>IF(AND(A4087&lt;&gt;"",ISNUMBER(A4087)),VLOOKUP(A4087,Studies!A:BR,2,FALSE),"")</f>
        <v>Olkkola 1996</v>
      </c>
      <c r="C4087" s="232" t="str">
        <f>IF(AND(A4087&lt;&gt;"",ISNUMBER(A4087)),VLOOKUP(A4087,Studies!A:BR,3,FALSE),"")</f>
        <v>https://www.ncbi.nlm.nih.gov/pubmed/8623953</v>
      </c>
      <c r="D4087" s="232" t="str">
        <f>IF(AND(A4087&lt;&gt;"",ISNUMBER(A4087)),VLOOKUP(A4087,Studies!A:BR,4,FALSE),"")</f>
        <v>day 4 (iv) with Perpetrator (Fluconazole)</v>
      </c>
      <c r="E4087" s="206" t="str">
        <f>IF(AND(A4087&lt;&gt;"",ISNUMBER(A4087)),VLOOKUP(A4087,Studies!A:BR,5,FALSE),"")</f>
        <v>Midazolam</v>
      </c>
      <c r="F4087" s="207" t="str">
        <f>IF(AND(A4087&lt;&gt;"",ISNUMBER(A4087)),VLOOKUP(A4087,Studies!A:BR,6,FALSE),"")</f>
        <v>Plasma</v>
      </c>
      <c r="G4087" s="194">
        <f>74+1.5</f>
        <v>75.5</v>
      </c>
      <c r="H4087" s="194" t="s">
        <v>60</v>
      </c>
      <c r="I4087" s="187">
        <v>34.389629999999997</v>
      </c>
      <c r="J4087" s="187" t="s">
        <v>1026</v>
      </c>
      <c r="K4087" s="187" t="s">
        <v>116</v>
      </c>
      <c r="L4087" s="195"/>
      <c r="M4087" s="195"/>
      <c r="N4087" s="195"/>
      <c r="O4087" s="199"/>
      <c r="P4087" s="188"/>
    </row>
    <row r="4088" spans="1:16" s="183" customFormat="1" x14ac:dyDescent="0.2">
      <c r="A4088" s="213">
        <v>381</v>
      </c>
      <c r="B4088" s="232" t="str">
        <f>IF(AND(A4088&lt;&gt;"",ISNUMBER(A4088)),VLOOKUP(A4088,Studies!A:BR,2,FALSE),"")</f>
        <v>Olkkola 1996</v>
      </c>
      <c r="C4088" s="232" t="str">
        <f>IF(AND(A4088&lt;&gt;"",ISNUMBER(A4088)),VLOOKUP(A4088,Studies!A:BR,3,FALSE),"")</f>
        <v>https://www.ncbi.nlm.nih.gov/pubmed/8623953</v>
      </c>
      <c r="D4088" s="232" t="str">
        <f>IF(AND(A4088&lt;&gt;"",ISNUMBER(A4088)),VLOOKUP(A4088,Studies!A:BR,4,FALSE),"")</f>
        <v>day 4 (iv) with Perpetrator (Fluconazole)</v>
      </c>
      <c r="E4088" s="206" t="str">
        <f>IF(AND(A4088&lt;&gt;"",ISNUMBER(A4088)),VLOOKUP(A4088,Studies!A:BR,5,FALSE),"")</f>
        <v>Midazolam</v>
      </c>
      <c r="F4088" s="207" t="str">
        <f>IF(AND(A4088&lt;&gt;"",ISNUMBER(A4088)),VLOOKUP(A4088,Studies!A:BR,6,FALSE),"")</f>
        <v>Plasma</v>
      </c>
      <c r="G4088" s="194">
        <f>74+2</f>
        <v>76</v>
      </c>
      <c r="H4088" s="194" t="s">
        <v>60</v>
      </c>
      <c r="I4088" s="187">
        <v>28.664059999999999</v>
      </c>
      <c r="J4088" s="187" t="s">
        <v>1026</v>
      </c>
      <c r="K4088" s="187" t="s">
        <v>116</v>
      </c>
      <c r="L4088" s="195"/>
      <c r="M4088" s="195"/>
      <c r="N4088" s="195"/>
      <c r="O4088" s="199"/>
      <c r="P4088" s="188"/>
    </row>
    <row r="4089" spans="1:16" s="183" customFormat="1" x14ac:dyDescent="0.2">
      <c r="A4089" s="213">
        <v>381</v>
      </c>
      <c r="B4089" s="232" t="str">
        <f>IF(AND(A4089&lt;&gt;"",ISNUMBER(A4089)),VLOOKUP(A4089,Studies!A:BR,2,FALSE),"")</f>
        <v>Olkkola 1996</v>
      </c>
      <c r="C4089" s="232" t="str">
        <f>IF(AND(A4089&lt;&gt;"",ISNUMBER(A4089)),VLOOKUP(A4089,Studies!A:BR,3,FALSE),"")</f>
        <v>https://www.ncbi.nlm.nih.gov/pubmed/8623953</v>
      </c>
      <c r="D4089" s="232" t="str">
        <f>IF(AND(A4089&lt;&gt;"",ISNUMBER(A4089)),VLOOKUP(A4089,Studies!A:BR,4,FALSE),"")</f>
        <v>day 4 (iv) with Perpetrator (Fluconazole)</v>
      </c>
      <c r="E4089" s="206" t="str">
        <f>IF(AND(A4089&lt;&gt;"",ISNUMBER(A4089)),VLOOKUP(A4089,Studies!A:BR,5,FALSE),"")</f>
        <v>Midazolam</v>
      </c>
      <c r="F4089" s="207" t="str">
        <f>IF(AND(A4089&lt;&gt;"",ISNUMBER(A4089)),VLOOKUP(A4089,Studies!A:BR,6,FALSE),"")</f>
        <v>Plasma</v>
      </c>
      <c r="G4089" s="194">
        <f>74+3</f>
        <v>77</v>
      </c>
      <c r="H4089" s="194" t="s">
        <v>60</v>
      </c>
      <c r="I4089" s="187">
        <v>19.97663</v>
      </c>
      <c r="J4089" s="187" t="s">
        <v>1026</v>
      </c>
      <c r="K4089" s="187" t="s">
        <v>116</v>
      </c>
      <c r="L4089" s="195"/>
      <c r="M4089" s="195"/>
      <c r="N4089" s="195"/>
      <c r="O4089" s="199"/>
      <c r="P4089" s="188"/>
    </row>
    <row r="4090" spans="1:16" s="183" customFormat="1" x14ac:dyDescent="0.2">
      <c r="A4090" s="213">
        <v>381</v>
      </c>
      <c r="B4090" s="232" t="str">
        <f>IF(AND(A4090&lt;&gt;"",ISNUMBER(A4090)),VLOOKUP(A4090,Studies!A:BR,2,FALSE),"")</f>
        <v>Olkkola 1996</v>
      </c>
      <c r="C4090" s="232" t="str">
        <f>IF(AND(A4090&lt;&gt;"",ISNUMBER(A4090)),VLOOKUP(A4090,Studies!A:BR,3,FALSE),"")</f>
        <v>https://www.ncbi.nlm.nih.gov/pubmed/8623953</v>
      </c>
      <c r="D4090" s="232" t="str">
        <f>IF(AND(A4090&lt;&gt;"",ISNUMBER(A4090)),VLOOKUP(A4090,Studies!A:BR,4,FALSE),"")</f>
        <v>day 4 (iv) with Perpetrator (Fluconazole)</v>
      </c>
      <c r="E4090" s="206" t="str">
        <f>IF(AND(A4090&lt;&gt;"",ISNUMBER(A4090)),VLOOKUP(A4090,Studies!A:BR,5,FALSE),"")</f>
        <v>Midazolam</v>
      </c>
      <c r="F4090" s="207" t="str">
        <f>IF(AND(A4090&lt;&gt;"",ISNUMBER(A4090)),VLOOKUP(A4090,Studies!A:BR,6,FALSE),"")</f>
        <v>Plasma</v>
      </c>
      <c r="G4090" s="194">
        <f>74+4</f>
        <v>78</v>
      </c>
      <c r="H4090" s="194" t="s">
        <v>60</v>
      </c>
      <c r="I4090" s="187">
        <v>16.076650000000001</v>
      </c>
      <c r="J4090" s="187" t="s">
        <v>1026</v>
      </c>
      <c r="K4090" s="187" t="s">
        <v>116</v>
      </c>
      <c r="L4090" s="195"/>
      <c r="M4090" s="195"/>
      <c r="N4090" s="195"/>
      <c r="O4090" s="199"/>
      <c r="P4090" s="188"/>
    </row>
    <row r="4091" spans="1:16" s="183" customFormat="1" x14ac:dyDescent="0.2">
      <c r="A4091" s="213">
        <v>381</v>
      </c>
      <c r="B4091" s="232" t="str">
        <f>IF(AND(A4091&lt;&gt;"",ISNUMBER(A4091)),VLOOKUP(A4091,Studies!A:BR,2,FALSE),"")</f>
        <v>Olkkola 1996</v>
      </c>
      <c r="C4091" s="232" t="str">
        <f>IF(AND(A4091&lt;&gt;"",ISNUMBER(A4091)),VLOOKUP(A4091,Studies!A:BR,3,FALSE),"")</f>
        <v>https://www.ncbi.nlm.nih.gov/pubmed/8623953</v>
      </c>
      <c r="D4091" s="232" t="str">
        <f>IF(AND(A4091&lt;&gt;"",ISNUMBER(A4091)),VLOOKUP(A4091,Studies!A:BR,4,FALSE),"")</f>
        <v>day 4 (iv) with Perpetrator (Fluconazole)</v>
      </c>
      <c r="E4091" s="206" t="str">
        <f>IF(AND(A4091&lt;&gt;"",ISNUMBER(A4091)),VLOOKUP(A4091,Studies!A:BR,5,FALSE),"")</f>
        <v>Midazolam</v>
      </c>
      <c r="F4091" s="207" t="str">
        <f>IF(AND(A4091&lt;&gt;"",ISNUMBER(A4091)),VLOOKUP(A4091,Studies!A:BR,6,FALSE),"")</f>
        <v>Plasma</v>
      </c>
      <c r="G4091" s="194">
        <f>74+5</f>
        <v>79</v>
      </c>
      <c r="H4091" s="194" t="s">
        <v>60</v>
      </c>
      <c r="I4091" s="187">
        <v>11.808350000000001</v>
      </c>
      <c r="J4091" s="187" t="s">
        <v>1026</v>
      </c>
      <c r="K4091" s="187" t="s">
        <v>116</v>
      </c>
      <c r="L4091" s="195"/>
      <c r="M4091" s="195"/>
      <c r="N4091" s="195"/>
      <c r="O4091" s="199"/>
      <c r="P4091" s="188"/>
    </row>
    <row r="4092" spans="1:16" s="183" customFormat="1" x14ac:dyDescent="0.2">
      <c r="A4092" s="213">
        <v>381</v>
      </c>
      <c r="B4092" s="232" t="str">
        <f>IF(AND(A4092&lt;&gt;"",ISNUMBER(A4092)),VLOOKUP(A4092,Studies!A:BR,2,FALSE),"")</f>
        <v>Olkkola 1996</v>
      </c>
      <c r="C4092" s="232" t="str">
        <f>IF(AND(A4092&lt;&gt;"",ISNUMBER(A4092)),VLOOKUP(A4092,Studies!A:BR,3,FALSE),"")</f>
        <v>https://www.ncbi.nlm.nih.gov/pubmed/8623953</v>
      </c>
      <c r="D4092" s="232" t="str">
        <f>IF(AND(A4092&lt;&gt;"",ISNUMBER(A4092)),VLOOKUP(A4092,Studies!A:BR,4,FALSE),"")</f>
        <v>day 4 (iv) with Perpetrator (Fluconazole)</v>
      </c>
      <c r="E4092" s="206" t="str">
        <f>IF(AND(A4092&lt;&gt;"",ISNUMBER(A4092)),VLOOKUP(A4092,Studies!A:BR,5,FALSE),"")</f>
        <v>Midazolam</v>
      </c>
      <c r="F4092" s="207" t="str">
        <f>IF(AND(A4092&lt;&gt;"",ISNUMBER(A4092)),VLOOKUP(A4092,Studies!A:BR,6,FALSE),"")</f>
        <v>Plasma</v>
      </c>
      <c r="G4092" s="194">
        <f>74+6</f>
        <v>80</v>
      </c>
      <c r="H4092" s="194" t="s">
        <v>60</v>
      </c>
      <c r="I4092" s="187">
        <v>9.3816369999999996</v>
      </c>
      <c r="J4092" s="187" t="s">
        <v>1026</v>
      </c>
      <c r="K4092" s="187" t="s">
        <v>116</v>
      </c>
      <c r="L4092" s="195"/>
      <c r="M4092" s="195"/>
      <c r="N4092" s="195"/>
      <c r="O4092" s="199"/>
      <c r="P4092" s="188"/>
    </row>
    <row r="4093" spans="1:16" s="183" customFormat="1" x14ac:dyDescent="0.2">
      <c r="A4093" s="213">
        <v>381</v>
      </c>
      <c r="B4093" s="232" t="str">
        <f>IF(AND(A4093&lt;&gt;"",ISNUMBER(A4093)),VLOOKUP(A4093,Studies!A:BR,2,FALSE),"")</f>
        <v>Olkkola 1996</v>
      </c>
      <c r="C4093" s="232" t="str">
        <f>IF(AND(A4093&lt;&gt;"",ISNUMBER(A4093)),VLOOKUP(A4093,Studies!A:BR,3,FALSE),"")</f>
        <v>https://www.ncbi.nlm.nih.gov/pubmed/8623953</v>
      </c>
      <c r="D4093" s="232" t="str">
        <f>IF(AND(A4093&lt;&gt;"",ISNUMBER(A4093)),VLOOKUP(A4093,Studies!A:BR,4,FALSE),"")</f>
        <v>day 4 (iv) with Perpetrator (Fluconazole)</v>
      </c>
      <c r="E4093" s="206" t="str">
        <f>IF(AND(A4093&lt;&gt;"",ISNUMBER(A4093)),VLOOKUP(A4093,Studies!A:BR,5,FALSE),"")</f>
        <v>Midazolam</v>
      </c>
      <c r="F4093" s="207" t="str">
        <f>IF(AND(A4093&lt;&gt;"",ISNUMBER(A4093)),VLOOKUP(A4093,Studies!A:BR,6,FALSE),"")</f>
        <v>Plasma</v>
      </c>
      <c r="G4093" s="194">
        <f>74+7</f>
        <v>81</v>
      </c>
      <c r="H4093" s="194" t="s">
        <v>60</v>
      </c>
      <c r="I4093" s="187">
        <v>8.0612060000000003</v>
      </c>
      <c r="J4093" s="187" t="s">
        <v>1026</v>
      </c>
      <c r="K4093" s="187" t="s">
        <v>116</v>
      </c>
      <c r="L4093" s="195"/>
      <c r="M4093" s="195"/>
      <c r="N4093" s="195"/>
      <c r="O4093" s="199"/>
      <c r="P4093" s="188"/>
    </row>
    <row r="4094" spans="1:16" s="183" customFormat="1" x14ac:dyDescent="0.2">
      <c r="A4094" s="213">
        <v>381</v>
      </c>
      <c r="B4094" s="232" t="str">
        <f>IF(AND(A4094&lt;&gt;"",ISNUMBER(A4094)),VLOOKUP(A4094,Studies!A:BR,2,FALSE),"")</f>
        <v>Olkkola 1996</v>
      </c>
      <c r="C4094" s="232" t="str">
        <f>IF(AND(A4094&lt;&gt;"",ISNUMBER(A4094)),VLOOKUP(A4094,Studies!A:BR,3,FALSE),"")</f>
        <v>https://www.ncbi.nlm.nih.gov/pubmed/8623953</v>
      </c>
      <c r="D4094" s="232" t="str">
        <f>IF(AND(A4094&lt;&gt;"",ISNUMBER(A4094)),VLOOKUP(A4094,Studies!A:BR,4,FALSE),"")</f>
        <v>day 4 (iv) with Perpetrator (Fluconazole)</v>
      </c>
      <c r="E4094" s="206" t="str">
        <f>IF(AND(A4094&lt;&gt;"",ISNUMBER(A4094)),VLOOKUP(A4094,Studies!A:BR,5,FALSE),"")</f>
        <v>Midazolam</v>
      </c>
      <c r="F4094" s="207" t="str">
        <f>IF(AND(A4094&lt;&gt;"",ISNUMBER(A4094)),VLOOKUP(A4094,Studies!A:BR,6,FALSE),"")</f>
        <v>Plasma</v>
      </c>
      <c r="G4094" s="194">
        <f>74+17</f>
        <v>91</v>
      </c>
      <c r="H4094" s="194" t="s">
        <v>60</v>
      </c>
      <c r="I4094" s="187">
        <v>1.8429169999999999</v>
      </c>
      <c r="J4094" s="187" t="s">
        <v>1026</v>
      </c>
      <c r="K4094" s="187" t="s">
        <v>116</v>
      </c>
      <c r="L4094" s="195"/>
      <c r="M4094" s="195"/>
      <c r="N4094" s="195"/>
      <c r="O4094" s="199"/>
      <c r="P4094" s="188"/>
    </row>
    <row r="4095" spans="1:16" s="183" customFormat="1" x14ac:dyDescent="0.2">
      <c r="A4095" s="213">
        <v>382</v>
      </c>
      <c r="B4095" s="232" t="str">
        <f>IF(AND(A4095&lt;&gt;"",ISNUMBER(A4095)),VLOOKUP(A4095,Studies!A:BR,2,FALSE),"")</f>
        <v>Olkkola 1996</v>
      </c>
      <c r="C4095" s="232" t="str">
        <f>IF(AND(A4095&lt;&gt;"",ISNUMBER(A4095)),VLOOKUP(A4095,Studies!A:BR,3,FALSE),"")</f>
        <v>https://www.ncbi.nlm.nih.gov/pubmed/8623953</v>
      </c>
      <c r="D4095" s="232" t="str">
        <f>IF(AND(A4095&lt;&gt;"",ISNUMBER(A4095)),VLOOKUP(A4095,Studies!A:BR,4,FALSE),"")</f>
        <v>day 6 (po) with Perpetrator (Fluconazole)</v>
      </c>
      <c r="E4095" s="206" t="str">
        <f>IF(AND(A4095&lt;&gt;"",ISNUMBER(A4095)),VLOOKUP(A4095,Studies!A:BR,5,FALSE),"")</f>
        <v>Midazolam</v>
      </c>
      <c r="F4095" s="207" t="str">
        <f>IF(AND(A4095&lt;&gt;"",ISNUMBER(A4095)),VLOOKUP(A4095,Studies!A:BR,6,FALSE),"")</f>
        <v>Plasma</v>
      </c>
      <c r="G4095" s="194">
        <f>122+0</f>
        <v>122</v>
      </c>
      <c r="H4095" s="194" t="s">
        <v>60</v>
      </c>
      <c r="I4095" s="187">
        <v>0</v>
      </c>
      <c r="J4095" s="187" t="s">
        <v>1026</v>
      </c>
      <c r="K4095" s="187" t="s">
        <v>116</v>
      </c>
      <c r="L4095" s="195"/>
      <c r="M4095" s="195"/>
      <c r="N4095" s="195"/>
      <c r="O4095" s="199"/>
      <c r="P4095" s="188"/>
    </row>
    <row r="4096" spans="1:16" s="183" customFormat="1" x14ac:dyDescent="0.2">
      <c r="A4096" s="213">
        <v>382</v>
      </c>
      <c r="B4096" s="232" t="str">
        <f>IF(AND(A4096&lt;&gt;"",ISNUMBER(A4096)),VLOOKUP(A4096,Studies!A:BR,2,FALSE),"")</f>
        <v>Olkkola 1996</v>
      </c>
      <c r="C4096" s="232" t="str">
        <f>IF(AND(A4096&lt;&gt;"",ISNUMBER(A4096)),VLOOKUP(A4096,Studies!A:BR,3,FALSE),"")</f>
        <v>https://www.ncbi.nlm.nih.gov/pubmed/8623953</v>
      </c>
      <c r="D4096" s="232" t="str">
        <f>IF(AND(A4096&lt;&gt;"",ISNUMBER(A4096)),VLOOKUP(A4096,Studies!A:BR,4,FALSE),"")</f>
        <v>day 6 (po) with Perpetrator (Fluconazole)</v>
      </c>
      <c r="E4096" s="206" t="str">
        <f>IF(AND(A4096&lt;&gt;"",ISNUMBER(A4096)),VLOOKUP(A4096,Studies!A:BR,5,FALSE),"")</f>
        <v>Midazolam</v>
      </c>
      <c r="F4096" s="207" t="str">
        <f>IF(AND(A4096&lt;&gt;"",ISNUMBER(A4096)),VLOOKUP(A4096,Studies!A:BR,6,FALSE),"")</f>
        <v>Plasma</v>
      </c>
      <c r="G4096" s="194">
        <f>122+0.5</f>
        <v>122.5</v>
      </c>
      <c r="H4096" s="194" t="s">
        <v>60</v>
      </c>
      <c r="I4096" s="187">
        <v>24.755210000000002</v>
      </c>
      <c r="J4096" s="187" t="s">
        <v>1026</v>
      </c>
      <c r="K4096" s="187" t="s">
        <v>116</v>
      </c>
      <c r="L4096" s="195">
        <v>7.8898510000000002</v>
      </c>
      <c r="M4096" s="195" t="s">
        <v>1026</v>
      </c>
      <c r="N4096" s="195" t="s">
        <v>1034</v>
      </c>
      <c r="O4096" s="199"/>
      <c r="P4096" s="188"/>
    </row>
    <row r="4097" spans="1:16" s="183" customFormat="1" x14ac:dyDescent="0.2">
      <c r="A4097" s="213">
        <v>382</v>
      </c>
      <c r="B4097" s="232" t="str">
        <f>IF(AND(A4097&lt;&gt;"",ISNUMBER(A4097)),VLOOKUP(A4097,Studies!A:BR,2,FALSE),"")</f>
        <v>Olkkola 1996</v>
      </c>
      <c r="C4097" s="232" t="str">
        <f>IF(AND(A4097&lt;&gt;"",ISNUMBER(A4097)),VLOOKUP(A4097,Studies!A:BR,3,FALSE),"")</f>
        <v>https://www.ncbi.nlm.nih.gov/pubmed/8623953</v>
      </c>
      <c r="D4097" s="232" t="str">
        <f>IF(AND(A4097&lt;&gt;"",ISNUMBER(A4097)),VLOOKUP(A4097,Studies!A:BR,4,FALSE),"")</f>
        <v>day 6 (po) with Perpetrator (Fluconazole)</v>
      </c>
      <c r="E4097" s="206" t="str">
        <f>IF(AND(A4097&lt;&gt;"",ISNUMBER(A4097)),VLOOKUP(A4097,Studies!A:BR,5,FALSE),"")</f>
        <v>Midazolam</v>
      </c>
      <c r="F4097" s="207" t="str">
        <f>IF(AND(A4097&lt;&gt;"",ISNUMBER(A4097)),VLOOKUP(A4097,Studies!A:BR,6,FALSE),"")</f>
        <v>Plasma</v>
      </c>
      <c r="G4097" s="194">
        <f>122+1</f>
        <v>123</v>
      </c>
      <c r="H4097" s="194" t="s">
        <v>60</v>
      </c>
      <c r="I4097" s="187">
        <v>45.472410000000004</v>
      </c>
      <c r="J4097" s="187" t="s">
        <v>1026</v>
      </c>
      <c r="K4097" s="187" t="s">
        <v>116</v>
      </c>
      <c r="L4097" s="195">
        <v>7.8898619999999999</v>
      </c>
      <c r="M4097" s="195" t="s">
        <v>1026</v>
      </c>
      <c r="N4097" s="195" t="s">
        <v>1034</v>
      </c>
      <c r="O4097" s="199"/>
      <c r="P4097" s="188"/>
    </row>
    <row r="4098" spans="1:16" s="183" customFormat="1" x14ac:dyDescent="0.2">
      <c r="A4098" s="213">
        <v>382</v>
      </c>
      <c r="B4098" s="232" t="str">
        <f>IF(AND(A4098&lt;&gt;"",ISNUMBER(A4098)),VLOOKUP(A4098,Studies!A:BR,2,FALSE),"")</f>
        <v>Olkkola 1996</v>
      </c>
      <c r="C4098" s="232" t="str">
        <f>IF(AND(A4098&lt;&gt;"",ISNUMBER(A4098)),VLOOKUP(A4098,Studies!A:BR,3,FALSE),"")</f>
        <v>https://www.ncbi.nlm.nih.gov/pubmed/8623953</v>
      </c>
      <c r="D4098" s="232" t="str">
        <f>IF(AND(A4098&lt;&gt;"",ISNUMBER(A4098)),VLOOKUP(A4098,Studies!A:BR,4,FALSE),"")</f>
        <v>day 6 (po) with Perpetrator (Fluconazole)</v>
      </c>
      <c r="E4098" s="206" t="str">
        <f>IF(AND(A4098&lt;&gt;"",ISNUMBER(A4098)),VLOOKUP(A4098,Studies!A:BR,5,FALSE),"")</f>
        <v>Midazolam</v>
      </c>
      <c r="F4098" s="207" t="str">
        <f>IF(AND(A4098&lt;&gt;"",ISNUMBER(A4098)),VLOOKUP(A4098,Studies!A:BR,6,FALSE),"")</f>
        <v>Plasma</v>
      </c>
      <c r="G4098" s="194">
        <f>122+1.5</f>
        <v>123.5</v>
      </c>
      <c r="H4098" s="194" t="s">
        <v>60</v>
      </c>
      <c r="I4098" s="187">
        <v>50.594059999999999</v>
      </c>
      <c r="J4098" s="187" t="s">
        <v>1026</v>
      </c>
      <c r="K4098" s="187" t="s">
        <v>116</v>
      </c>
      <c r="L4098" s="195">
        <v>5.8715210000000004</v>
      </c>
      <c r="M4098" s="195" t="s">
        <v>1026</v>
      </c>
      <c r="N4098" s="195" t="s">
        <v>1034</v>
      </c>
      <c r="O4098" s="199"/>
      <c r="P4098" s="188"/>
    </row>
    <row r="4099" spans="1:16" s="183" customFormat="1" x14ac:dyDescent="0.2">
      <c r="A4099" s="213">
        <v>382</v>
      </c>
      <c r="B4099" s="232" t="str">
        <f>IF(AND(A4099&lt;&gt;"",ISNUMBER(A4099)),VLOOKUP(A4099,Studies!A:BR,2,FALSE),"")</f>
        <v>Olkkola 1996</v>
      </c>
      <c r="C4099" s="232" t="str">
        <f>IF(AND(A4099&lt;&gt;"",ISNUMBER(A4099)),VLOOKUP(A4099,Studies!A:BR,3,FALSE),"")</f>
        <v>https://www.ncbi.nlm.nih.gov/pubmed/8623953</v>
      </c>
      <c r="D4099" s="232" t="str">
        <f>IF(AND(A4099&lt;&gt;"",ISNUMBER(A4099)),VLOOKUP(A4099,Studies!A:BR,4,FALSE),"")</f>
        <v>day 6 (po) with Perpetrator (Fluconazole)</v>
      </c>
      <c r="E4099" s="206" t="str">
        <f>IF(AND(A4099&lt;&gt;"",ISNUMBER(A4099)),VLOOKUP(A4099,Studies!A:BR,5,FALSE),"")</f>
        <v>Midazolam</v>
      </c>
      <c r="F4099" s="207" t="str">
        <f>IF(AND(A4099&lt;&gt;"",ISNUMBER(A4099)),VLOOKUP(A4099,Studies!A:BR,6,FALSE),"")</f>
        <v>Plasma</v>
      </c>
      <c r="G4099" s="194">
        <f>122+2</f>
        <v>124</v>
      </c>
      <c r="H4099" s="194" t="s">
        <v>60</v>
      </c>
      <c r="I4099" s="187">
        <v>43.42154</v>
      </c>
      <c r="J4099" s="187" t="s">
        <v>1026</v>
      </c>
      <c r="K4099" s="187" t="s">
        <v>116</v>
      </c>
      <c r="L4099" s="195">
        <v>3.8525239999999998</v>
      </c>
      <c r="M4099" s="195" t="s">
        <v>1026</v>
      </c>
      <c r="N4099" s="195" t="s">
        <v>1034</v>
      </c>
      <c r="O4099" s="199"/>
      <c r="P4099" s="188"/>
    </row>
    <row r="4100" spans="1:16" s="183" customFormat="1" x14ac:dyDescent="0.2">
      <c r="A4100" s="213">
        <v>382</v>
      </c>
      <c r="B4100" s="232" t="str">
        <f>IF(AND(A4100&lt;&gt;"",ISNUMBER(A4100)),VLOOKUP(A4100,Studies!A:BR,2,FALSE),"")</f>
        <v>Olkkola 1996</v>
      </c>
      <c r="C4100" s="232" t="str">
        <f>IF(AND(A4100&lt;&gt;"",ISNUMBER(A4100)),VLOOKUP(A4100,Studies!A:BR,3,FALSE),"")</f>
        <v>https://www.ncbi.nlm.nih.gov/pubmed/8623953</v>
      </c>
      <c r="D4100" s="232" t="str">
        <f>IF(AND(A4100&lt;&gt;"",ISNUMBER(A4100)),VLOOKUP(A4100,Studies!A:BR,4,FALSE),"")</f>
        <v>day 6 (po) with Perpetrator (Fluconazole)</v>
      </c>
      <c r="E4100" s="206" t="str">
        <f>IF(AND(A4100&lt;&gt;"",ISNUMBER(A4100)),VLOOKUP(A4100,Studies!A:BR,5,FALSE),"")</f>
        <v>Midazolam</v>
      </c>
      <c r="F4100" s="207" t="str">
        <f>IF(AND(A4100&lt;&gt;"",ISNUMBER(A4100)),VLOOKUP(A4100,Studies!A:BR,6,FALSE),"")</f>
        <v>Plasma</v>
      </c>
      <c r="G4100" s="194">
        <f>122+3</f>
        <v>125</v>
      </c>
      <c r="H4100" s="194" t="s">
        <v>60</v>
      </c>
      <c r="I4100" s="187">
        <v>38.619059999999998</v>
      </c>
      <c r="J4100" s="187" t="s">
        <v>1026</v>
      </c>
      <c r="K4100" s="187" t="s">
        <v>116</v>
      </c>
      <c r="L4100" s="195"/>
      <c r="M4100" s="195"/>
      <c r="N4100" s="195"/>
      <c r="O4100" s="199"/>
      <c r="P4100" s="188"/>
    </row>
    <row r="4101" spans="1:16" s="183" customFormat="1" x14ac:dyDescent="0.2">
      <c r="A4101" s="213">
        <v>382</v>
      </c>
      <c r="B4101" s="232" t="str">
        <f>IF(AND(A4101&lt;&gt;"",ISNUMBER(A4101)),VLOOKUP(A4101,Studies!A:BR,2,FALSE),"")</f>
        <v>Olkkola 1996</v>
      </c>
      <c r="C4101" s="232" t="str">
        <f>IF(AND(A4101&lt;&gt;"",ISNUMBER(A4101)),VLOOKUP(A4101,Studies!A:BR,3,FALSE),"")</f>
        <v>https://www.ncbi.nlm.nih.gov/pubmed/8623953</v>
      </c>
      <c r="D4101" s="232" t="str">
        <f>IF(AND(A4101&lt;&gt;"",ISNUMBER(A4101)),VLOOKUP(A4101,Studies!A:BR,4,FALSE),"")</f>
        <v>day 6 (po) with Perpetrator (Fluconazole)</v>
      </c>
      <c r="E4101" s="206" t="str">
        <f>IF(AND(A4101&lt;&gt;"",ISNUMBER(A4101)),VLOOKUP(A4101,Studies!A:BR,5,FALSE),"")</f>
        <v>Midazolam</v>
      </c>
      <c r="F4101" s="207" t="str">
        <f>IF(AND(A4101&lt;&gt;"",ISNUMBER(A4101)),VLOOKUP(A4101,Studies!A:BR,6,FALSE),"")</f>
        <v>Plasma</v>
      </c>
      <c r="G4101" s="194">
        <f>122+4</f>
        <v>126</v>
      </c>
      <c r="H4101" s="194" t="s">
        <v>60</v>
      </c>
      <c r="I4101" s="187">
        <v>30.14621</v>
      </c>
      <c r="J4101" s="187" t="s">
        <v>1026</v>
      </c>
      <c r="K4101" s="187" t="s">
        <v>116</v>
      </c>
      <c r="L4101" s="195"/>
      <c r="M4101" s="195"/>
      <c r="N4101" s="195"/>
      <c r="O4101" s="199"/>
      <c r="P4101" s="188"/>
    </row>
    <row r="4102" spans="1:16" s="183" customFormat="1" x14ac:dyDescent="0.2">
      <c r="A4102" s="213">
        <v>382</v>
      </c>
      <c r="B4102" s="232" t="str">
        <f>IF(AND(A4102&lt;&gt;"",ISNUMBER(A4102)),VLOOKUP(A4102,Studies!A:BR,2,FALSE),"")</f>
        <v>Olkkola 1996</v>
      </c>
      <c r="C4102" s="232" t="str">
        <f>IF(AND(A4102&lt;&gt;"",ISNUMBER(A4102)),VLOOKUP(A4102,Studies!A:BR,3,FALSE),"")</f>
        <v>https://www.ncbi.nlm.nih.gov/pubmed/8623953</v>
      </c>
      <c r="D4102" s="232" t="str">
        <f>IF(AND(A4102&lt;&gt;"",ISNUMBER(A4102)),VLOOKUP(A4102,Studies!A:BR,4,FALSE),"")</f>
        <v>day 6 (po) with Perpetrator (Fluconazole)</v>
      </c>
      <c r="E4102" s="206" t="str">
        <f>IF(AND(A4102&lt;&gt;"",ISNUMBER(A4102)),VLOOKUP(A4102,Studies!A:BR,5,FALSE),"")</f>
        <v>Midazolam</v>
      </c>
      <c r="F4102" s="207" t="str">
        <f>IF(AND(A4102&lt;&gt;"",ISNUMBER(A4102)),VLOOKUP(A4102,Studies!A:BR,6,FALSE),"")</f>
        <v>Plasma</v>
      </c>
      <c r="G4102" s="194">
        <f>122+5</f>
        <v>127</v>
      </c>
      <c r="H4102" s="194" t="s">
        <v>60</v>
      </c>
      <c r="I4102" s="187">
        <v>21.3064</v>
      </c>
      <c r="J4102" s="187" t="s">
        <v>1026</v>
      </c>
      <c r="K4102" s="187" t="s">
        <v>116</v>
      </c>
      <c r="L4102" s="195"/>
      <c r="M4102" s="195"/>
      <c r="N4102" s="195"/>
      <c r="O4102" s="199"/>
      <c r="P4102" s="188"/>
    </row>
    <row r="4103" spans="1:16" s="183" customFormat="1" x14ac:dyDescent="0.2">
      <c r="A4103" s="213">
        <v>382</v>
      </c>
      <c r="B4103" s="232" t="str">
        <f>IF(AND(A4103&lt;&gt;"",ISNUMBER(A4103)),VLOOKUP(A4103,Studies!A:BR,2,FALSE),"")</f>
        <v>Olkkola 1996</v>
      </c>
      <c r="C4103" s="232" t="str">
        <f>IF(AND(A4103&lt;&gt;"",ISNUMBER(A4103)),VLOOKUP(A4103,Studies!A:BR,3,FALSE),"")</f>
        <v>https://www.ncbi.nlm.nih.gov/pubmed/8623953</v>
      </c>
      <c r="D4103" s="232" t="str">
        <f>IF(AND(A4103&lt;&gt;"",ISNUMBER(A4103)),VLOOKUP(A4103,Studies!A:BR,4,FALSE),"")</f>
        <v>day 6 (po) with Perpetrator (Fluconazole)</v>
      </c>
      <c r="E4103" s="206" t="str">
        <f>IF(AND(A4103&lt;&gt;"",ISNUMBER(A4103)),VLOOKUP(A4103,Studies!A:BR,5,FALSE),"")</f>
        <v>Midazolam</v>
      </c>
      <c r="F4103" s="207" t="str">
        <f>IF(AND(A4103&lt;&gt;"",ISNUMBER(A4103)),VLOOKUP(A4103,Studies!A:BR,6,FALSE),"")</f>
        <v>Plasma</v>
      </c>
      <c r="G4103" s="194">
        <f>122+6</f>
        <v>128</v>
      </c>
      <c r="H4103" s="194" t="s">
        <v>60</v>
      </c>
      <c r="I4103" s="187">
        <v>16.319099999999999</v>
      </c>
      <c r="J4103" s="187" t="s">
        <v>1026</v>
      </c>
      <c r="K4103" s="187" t="s">
        <v>116</v>
      </c>
      <c r="L4103" s="195"/>
      <c r="M4103" s="195"/>
      <c r="N4103" s="195"/>
      <c r="O4103" s="199"/>
      <c r="P4103" s="188"/>
    </row>
    <row r="4104" spans="1:16" s="183" customFormat="1" x14ac:dyDescent="0.2">
      <c r="A4104" s="213">
        <v>382</v>
      </c>
      <c r="B4104" s="232" t="str">
        <f>IF(AND(A4104&lt;&gt;"",ISNUMBER(A4104)),VLOOKUP(A4104,Studies!A:BR,2,FALSE),"")</f>
        <v>Olkkola 1996</v>
      </c>
      <c r="C4104" s="232" t="str">
        <f>IF(AND(A4104&lt;&gt;"",ISNUMBER(A4104)),VLOOKUP(A4104,Studies!A:BR,3,FALSE),"")</f>
        <v>https://www.ncbi.nlm.nih.gov/pubmed/8623953</v>
      </c>
      <c r="D4104" s="232" t="str">
        <f>IF(AND(A4104&lt;&gt;"",ISNUMBER(A4104)),VLOOKUP(A4104,Studies!A:BR,4,FALSE),"")</f>
        <v>day 6 (po) with Perpetrator (Fluconazole)</v>
      </c>
      <c r="E4104" s="206" t="str">
        <f>IF(AND(A4104&lt;&gt;"",ISNUMBER(A4104)),VLOOKUP(A4104,Studies!A:BR,5,FALSE),"")</f>
        <v>Midazolam</v>
      </c>
      <c r="F4104" s="207" t="str">
        <f>IF(AND(A4104&lt;&gt;"",ISNUMBER(A4104)),VLOOKUP(A4104,Studies!A:BR,6,FALSE),"")</f>
        <v>Plasma</v>
      </c>
      <c r="G4104" s="194">
        <f>122+7</f>
        <v>129</v>
      </c>
      <c r="H4104" s="194" t="s">
        <v>60</v>
      </c>
      <c r="I4104" s="187">
        <v>13.3528</v>
      </c>
      <c r="J4104" s="187" t="s">
        <v>1026</v>
      </c>
      <c r="K4104" s="187" t="s">
        <v>116</v>
      </c>
      <c r="L4104" s="195"/>
      <c r="M4104" s="195"/>
      <c r="N4104" s="195"/>
      <c r="O4104" s="199"/>
      <c r="P4104" s="188"/>
    </row>
    <row r="4105" spans="1:16" s="183" customFormat="1" x14ac:dyDescent="0.2">
      <c r="A4105" s="213">
        <v>382</v>
      </c>
      <c r="B4105" s="232" t="str">
        <f>IF(AND(A4105&lt;&gt;"",ISNUMBER(A4105)),VLOOKUP(A4105,Studies!A:BR,2,FALSE),"")</f>
        <v>Olkkola 1996</v>
      </c>
      <c r="C4105" s="232" t="str">
        <f>IF(AND(A4105&lt;&gt;"",ISNUMBER(A4105)),VLOOKUP(A4105,Studies!A:BR,3,FALSE),"")</f>
        <v>https://www.ncbi.nlm.nih.gov/pubmed/8623953</v>
      </c>
      <c r="D4105" s="232" t="str">
        <f>IF(AND(A4105&lt;&gt;"",ISNUMBER(A4105)),VLOOKUP(A4105,Studies!A:BR,4,FALSE),"")</f>
        <v>day 6 (po) with Perpetrator (Fluconazole)</v>
      </c>
      <c r="E4105" s="206" t="str">
        <f>IF(AND(A4105&lt;&gt;"",ISNUMBER(A4105)),VLOOKUP(A4105,Studies!A:BR,5,FALSE),"")</f>
        <v>Midazolam</v>
      </c>
      <c r="F4105" s="207" t="str">
        <f>IF(AND(A4105&lt;&gt;"",ISNUMBER(A4105)),VLOOKUP(A4105,Studies!A:BR,6,FALSE),"")</f>
        <v>Plasma</v>
      </c>
      <c r="G4105" s="194">
        <f>122+17</f>
        <v>139</v>
      </c>
      <c r="H4105" s="194" t="s">
        <v>60</v>
      </c>
      <c r="I4105" s="187">
        <v>3.3047219999999999</v>
      </c>
      <c r="J4105" s="187" t="s">
        <v>1026</v>
      </c>
      <c r="K4105" s="187" t="s">
        <v>116</v>
      </c>
      <c r="L4105" s="195"/>
      <c r="M4105" s="195"/>
      <c r="N4105" s="195"/>
      <c r="O4105" s="199"/>
      <c r="P4105" s="188"/>
    </row>
    <row r="4106" spans="1:16" s="183" customFormat="1" x14ac:dyDescent="0.2">
      <c r="A4106" s="213">
        <v>369</v>
      </c>
      <c r="B4106" s="232" t="str">
        <f>IF(AND(A4106&lt;&gt;"",ISNUMBER(A4106)),VLOOKUP(A4106,Studies!A:BR,2,FALSE),"")</f>
        <v>Olkkola 1994</v>
      </c>
      <c r="C4106" s="232" t="str">
        <f>IF(AND(A4106&lt;&gt;"",ISNUMBER(A4106)),VLOOKUP(A4106,Studies!A:BR,3,FALSE),"")</f>
        <v>https://www.ncbi.nlm.nih.gov/pubmed/8181191</v>
      </c>
      <c r="D4106" s="232" t="str">
        <f>IF(AND(A4106&lt;&gt;"",ISNUMBER(A4106)),VLOOKUP(A4106,Studies!A:BR,4,FALSE),"")</f>
        <v>po Control (Perpetrator Placebo)</v>
      </c>
      <c r="E4106" s="206" t="str">
        <f>IF(AND(A4106&lt;&gt;"",ISNUMBER(A4106)),VLOOKUP(A4106,Studies!A:BR,5,FALSE),"")</f>
        <v>Midazolam</v>
      </c>
      <c r="F4106" s="207" t="str">
        <f>IF(AND(A4106&lt;&gt;"",ISNUMBER(A4106)),VLOOKUP(A4106,Studies!A:BR,6,FALSE),"")</f>
        <v>Plasma</v>
      </c>
      <c r="G4106" s="194">
        <v>0</v>
      </c>
      <c r="H4106" s="194" t="s">
        <v>60</v>
      </c>
      <c r="I4106" s="187">
        <v>0</v>
      </c>
      <c r="J4106" s="187" t="s">
        <v>1026</v>
      </c>
      <c r="K4106" s="187" t="s">
        <v>116</v>
      </c>
      <c r="L4106" s="195"/>
      <c r="M4106" s="195"/>
      <c r="N4106" s="195"/>
      <c r="O4106" s="199"/>
      <c r="P4106" s="188"/>
    </row>
    <row r="4107" spans="1:16" s="183" customFormat="1" x14ac:dyDescent="0.2">
      <c r="A4107" s="213">
        <v>369</v>
      </c>
      <c r="B4107" s="232" t="str">
        <f>IF(AND(A4107&lt;&gt;"",ISNUMBER(A4107)),VLOOKUP(A4107,Studies!A:BR,2,FALSE),"")</f>
        <v>Olkkola 1994</v>
      </c>
      <c r="C4107" s="232" t="str">
        <f>IF(AND(A4107&lt;&gt;"",ISNUMBER(A4107)),VLOOKUP(A4107,Studies!A:BR,3,FALSE),"")</f>
        <v>https://www.ncbi.nlm.nih.gov/pubmed/8181191</v>
      </c>
      <c r="D4107" s="232" t="str">
        <f>IF(AND(A4107&lt;&gt;"",ISNUMBER(A4107)),VLOOKUP(A4107,Studies!A:BR,4,FALSE),"")</f>
        <v>po Control (Perpetrator Placebo)</v>
      </c>
      <c r="E4107" s="206" t="str">
        <f>IF(AND(A4107&lt;&gt;"",ISNUMBER(A4107)),VLOOKUP(A4107,Studies!A:BR,5,FALSE),"")</f>
        <v>Midazolam</v>
      </c>
      <c r="F4107" s="207" t="str">
        <f>IF(AND(A4107&lt;&gt;"",ISNUMBER(A4107)),VLOOKUP(A4107,Studies!A:BR,6,FALSE),"")</f>
        <v>Plasma</v>
      </c>
      <c r="G4107" s="194">
        <v>0.5</v>
      </c>
      <c r="H4107" s="194" t="s">
        <v>60</v>
      </c>
      <c r="I4107" s="187">
        <v>4.0939040000000002</v>
      </c>
      <c r="J4107" s="187" t="s">
        <v>1026</v>
      </c>
      <c r="K4107" s="187" t="s">
        <v>116</v>
      </c>
      <c r="L4107" s="195"/>
      <c r="M4107" s="195"/>
      <c r="N4107" s="195"/>
      <c r="O4107" s="199"/>
      <c r="P4107" s="188"/>
    </row>
    <row r="4108" spans="1:16" s="183" customFormat="1" x14ac:dyDescent="0.2">
      <c r="A4108" s="213">
        <v>369</v>
      </c>
      <c r="B4108" s="232" t="str">
        <f>IF(AND(A4108&lt;&gt;"",ISNUMBER(A4108)),VLOOKUP(A4108,Studies!A:BR,2,FALSE),"")</f>
        <v>Olkkola 1994</v>
      </c>
      <c r="C4108" s="232" t="str">
        <f>IF(AND(A4108&lt;&gt;"",ISNUMBER(A4108)),VLOOKUP(A4108,Studies!A:BR,3,FALSE),"")</f>
        <v>https://www.ncbi.nlm.nih.gov/pubmed/8181191</v>
      </c>
      <c r="D4108" s="232" t="str">
        <f>IF(AND(A4108&lt;&gt;"",ISNUMBER(A4108)),VLOOKUP(A4108,Studies!A:BR,4,FALSE),"")</f>
        <v>po Control (Perpetrator Placebo)</v>
      </c>
      <c r="E4108" s="206" t="str">
        <f>IF(AND(A4108&lt;&gt;"",ISNUMBER(A4108)),VLOOKUP(A4108,Studies!A:BR,5,FALSE),"")</f>
        <v>Midazolam</v>
      </c>
      <c r="F4108" s="207" t="str">
        <f>IF(AND(A4108&lt;&gt;"",ISNUMBER(A4108)),VLOOKUP(A4108,Studies!A:BR,6,FALSE),"")</f>
        <v>Plasma</v>
      </c>
      <c r="G4108" s="194">
        <v>1</v>
      </c>
      <c r="H4108" s="194" t="s">
        <v>60</v>
      </c>
      <c r="I4108" s="187">
        <v>18.320260000000001</v>
      </c>
      <c r="J4108" s="187" t="s">
        <v>1026</v>
      </c>
      <c r="K4108" s="187" t="s">
        <v>116</v>
      </c>
      <c r="L4108" s="195">
        <v>3.1894</v>
      </c>
      <c r="M4108" s="195" t="s">
        <v>1026</v>
      </c>
      <c r="N4108" s="195" t="s">
        <v>1034</v>
      </c>
      <c r="O4108" s="199"/>
      <c r="P4108" s="188"/>
    </row>
    <row r="4109" spans="1:16" s="183" customFormat="1" x14ac:dyDescent="0.2">
      <c r="A4109" s="213">
        <v>369</v>
      </c>
      <c r="B4109" s="232" t="str">
        <f>IF(AND(A4109&lt;&gt;"",ISNUMBER(A4109)),VLOOKUP(A4109,Studies!A:BR,2,FALSE),"")</f>
        <v>Olkkola 1994</v>
      </c>
      <c r="C4109" s="232" t="str">
        <f>IF(AND(A4109&lt;&gt;"",ISNUMBER(A4109)),VLOOKUP(A4109,Studies!A:BR,3,FALSE),"")</f>
        <v>https://www.ncbi.nlm.nih.gov/pubmed/8181191</v>
      </c>
      <c r="D4109" s="232" t="str">
        <f>IF(AND(A4109&lt;&gt;"",ISNUMBER(A4109)),VLOOKUP(A4109,Studies!A:BR,4,FALSE),"")</f>
        <v>po Control (Perpetrator Placebo)</v>
      </c>
      <c r="E4109" s="206" t="str">
        <f>IF(AND(A4109&lt;&gt;"",ISNUMBER(A4109)),VLOOKUP(A4109,Studies!A:BR,5,FALSE),"")</f>
        <v>Midazolam</v>
      </c>
      <c r="F4109" s="207" t="str">
        <f>IF(AND(A4109&lt;&gt;"",ISNUMBER(A4109)),VLOOKUP(A4109,Studies!A:BR,6,FALSE),"")</f>
        <v>Plasma</v>
      </c>
      <c r="G4109" s="194">
        <v>1.5</v>
      </c>
      <c r="H4109" s="194" t="s">
        <v>60</v>
      </c>
      <c r="I4109" s="187">
        <v>19.038540000000001</v>
      </c>
      <c r="J4109" s="187" t="s">
        <v>1026</v>
      </c>
      <c r="K4109" s="187" t="s">
        <v>116</v>
      </c>
      <c r="L4109" s="195"/>
      <c r="M4109" s="195"/>
      <c r="N4109" s="195"/>
      <c r="O4109" s="199"/>
      <c r="P4109" s="188"/>
    </row>
    <row r="4110" spans="1:16" s="183" customFormat="1" x14ac:dyDescent="0.2">
      <c r="A4110" s="213">
        <v>369</v>
      </c>
      <c r="B4110" s="232" t="str">
        <f>IF(AND(A4110&lt;&gt;"",ISNUMBER(A4110)),VLOOKUP(A4110,Studies!A:BR,2,FALSE),"")</f>
        <v>Olkkola 1994</v>
      </c>
      <c r="C4110" s="232" t="str">
        <f>IF(AND(A4110&lt;&gt;"",ISNUMBER(A4110)),VLOOKUP(A4110,Studies!A:BR,3,FALSE),"")</f>
        <v>https://www.ncbi.nlm.nih.gov/pubmed/8181191</v>
      </c>
      <c r="D4110" s="232" t="str">
        <f>IF(AND(A4110&lt;&gt;"",ISNUMBER(A4110)),VLOOKUP(A4110,Studies!A:BR,4,FALSE),"")</f>
        <v>po Control (Perpetrator Placebo)</v>
      </c>
      <c r="E4110" s="206" t="str">
        <f>IF(AND(A4110&lt;&gt;"",ISNUMBER(A4110)),VLOOKUP(A4110,Studies!A:BR,5,FALSE),"")</f>
        <v>Midazolam</v>
      </c>
      <c r="F4110" s="207" t="str">
        <f>IF(AND(A4110&lt;&gt;"",ISNUMBER(A4110)),VLOOKUP(A4110,Studies!A:BR,6,FALSE),"")</f>
        <v>Plasma</v>
      </c>
      <c r="G4110" s="194">
        <v>2</v>
      </c>
      <c r="H4110" s="194" t="s">
        <v>60</v>
      </c>
      <c r="I4110" s="187">
        <v>17.12886</v>
      </c>
      <c r="J4110" s="187" t="s">
        <v>1026</v>
      </c>
      <c r="K4110" s="187" t="s">
        <v>116</v>
      </c>
      <c r="L4110" s="195"/>
      <c r="M4110" s="195"/>
      <c r="N4110" s="195"/>
      <c r="O4110" s="199"/>
      <c r="P4110" s="188"/>
    </row>
    <row r="4111" spans="1:16" s="183" customFormat="1" x14ac:dyDescent="0.2">
      <c r="A4111" s="213">
        <v>369</v>
      </c>
      <c r="B4111" s="232" t="str">
        <f>IF(AND(A4111&lt;&gt;"",ISNUMBER(A4111)),VLOOKUP(A4111,Studies!A:BR,2,FALSE),"")</f>
        <v>Olkkola 1994</v>
      </c>
      <c r="C4111" s="232" t="str">
        <f>IF(AND(A4111&lt;&gt;"",ISNUMBER(A4111)),VLOOKUP(A4111,Studies!A:BR,3,FALSE),"")</f>
        <v>https://www.ncbi.nlm.nih.gov/pubmed/8181191</v>
      </c>
      <c r="D4111" s="232" t="str">
        <f>IF(AND(A4111&lt;&gt;"",ISNUMBER(A4111)),VLOOKUP(A4111,Studies!A:BR,4,FALSE),"")</f>
        <v>po Control (Perpetrator Placebo)</v>
      </c>
      <c r="E4111" s="206" t="str">
        <f>IF(AND(A4111&lt;&gt;"",ISNUMBER(A4111)),VLOOKUP(A4111,Studies!A:BR,5,FALSE),"")</f>
        <v>Midazolam</v>
      </c>
      <c r="F4111" s="207" t="str">
        <f>IF(AND(A4111&lt;&gt;"",ISNUMBER(A4111)),VLOOKUP(A4111,Studies!A:BR,6,FALSE),"")</f>
        <v>Plasma</v>
      </c>
      <c r="G4111" s="194">
        <v>3</v>
      </c>
      <c r="H4111" s="194" t="s">
        <v>60</v>
      </c>
      <c r="I4111" s="187">
        <v>10.309100000000001</v>
      </c>
      <c r="J4111" s="187" t="s">
        <v>1026</v>
      </c>
      <c r="K4111" s="187" t="s">
        <v>116</v>
      </c>
      <c r="L4111" s="195"/>
      <c r="M4111" s="195"/>
      <c r="N4111" s="195"/>
      <c r="O4111" s="199"/>
      <c r="P4111" s="188"/>
    </row>
    <row r="4112" spans="1:16" s="183" customFormat="1" x14ac:dyDescent="0.2">
      <c r="A4112" s="213">
        <v>369</v>
      </c>
      <c r="B4112" s="232" t="str">
        <f>IF(AND(A4112&lt;&gt;"",ISNUMBER(A4112)),VLOOKUP(A4112,Studies!A:BR,2,FALSE),"")</f>
        <v>Olkkola 1994</v>
      </c>
      <c r="C4112" s="232" t="str">
        <f>IF(AND(A4112&lt;&gt;"",ISNUMBER(A4112)),VLOOKUP(A4112,Studies!A:BR,3,FALSE),"")</f>
        <v>https://www.ncbi.nlm.nih.gov/pubmed/8181191</v>
      </c>
      <c r="D4112" s="232" t="str">
        <f>IF(AND(A4112&lt;&gt;"",ISNUMBER(A4112)),VLOOKUP(A4112,Studies!A:BR,4,FALSE),"")</f>
        <v>po Control (Perpetrator Placebo)</v>
      </c>
      <c r="E4112" s="206" t="str">
        <f>IF(AND(A4112&lt;&gt;"",ISNUMBER(A4112)),VLOOKUP(A4112,Studies!A:BR,5,FALSE),"")</f>
        <v>Midazolam</v>
      </c>
      <c r="F4112" s="207" t="str">
        <f>IF(AND(A4112&lt;&gt;"",ISNUMBER(A4112)),VLOOKUP(A4112,Studies!A:BR,6,FALSE),"")</f>
        <v>Plasma</v>
      </c>
      <c r="G4112" s="194">
        <v>4</v>
      </c>
      <c r="H4112" s="194" t="s">
        <v>60</v>
      </c>
      <c r="I4112" s="187">
        <v>6.6759579999999996</v>
      </c>
      <c r="J4112" s="187" t="s">
        <v>1026</v>
      </c>
      <c r="K4112" s="187" t="s">
        <v>116</v>
      </c>
      <c r="L4112" s="195"/>
      <c r="M4112" s="195"/>
      <c r="N4112" s="195"/>
      <c r="O4112" s="199"/>
      <c r="P4112" s="188"/>
    </row>
    <row r="4113" spans="1:16" s="183" customFormat="1" x14ac:dyDescent="0.2">
      <c r="A4113" s="213">
        <v>369</v>
      </c>
      <c r="B4113" s="232" t="str">
        <f>IF(AND(A4113&lt;&gt;"",ISNUMBER(A4113)),VLOOKUP(A4113,Studies!A:BR,2,FALSE),"")</f>
        <v>Olkkola 1994</v>
      </c>
      <c r="C4113" s="232" t="str">
        <f>IF(AND(A4113&lt;&gt;"",ISNUMBER(A4113)),VLOOKUP(A4113,Studies!A:BR,3,FALSE),"")</f>
        <v>https://www.ncbi.nlm.nih.gov/pubmed/8181191</v>
      </c>
      <c r="D4113" s="232" t="str">
        <f>IF(AND(A4113&lt;&gt;"",ISNUMBER(A4113)),VLOOKUP(A4113,Studies!A:BR,4,FALSE),"")</f>
        <v>po Control (Perpetrator Placebo)</v>
      </c>
      <c r="E4113" s="206" t="str">
        <f>IF(AND(A4113&lt;&gt;"",ISNUMBER(A4113)),VLOOKUP(A4113,Studies!A:BR,5,FALSE),"")</f>
        <v>Midazolam</v>
      </c>
      <c r="F4113" s="207" t="str">
        <f>IF(AND(A4113&lt;&gt;"",ISNUMBER(A4113)),VLOOKUP(A4113,Studies!A:BR,6,FALSE),"")</f>
        <v>Plasma</v>
      </c>
      <c r="G4113" s="194">
        <v>5</v>
      </c>
      <c r="H4113" s="194" t="s">
        <v>60</v>
      </c>
      <c r="I4113" s="187">
        <v>3.6084429999999998</v>
      </c>
      <c r="J4113" s="187" t="s">
        <v>1026</v>
      </c>
      <c r="K4113" s="187" t="s">
        <v>116</v>
      </c>
      <c r="L4113" s="195"/>
      <c r="M4113" s="195"/>
      <c r="N4113" s="195"/>
      <c r="O4113" s="199"/>
      <c r="P4113" s="188"/>
    </row>
    <row r="4114" spans="1:16" s="183" customFormat="1" x14ac:dyDescent="0.2">
      <c r="A4114" s="213">
        <v>369</v>
      </c>
      <c r="B4114" s="232" t="str">
        <f>IF(AND(A4114&lt;&gt;"",ISNUMBER(A4114)),VLOOKUP(A4114,Studies!A:BR,2,FALSE),"")</f>
        <v>Olkkola 1994</v>
      </c>
      <c r="C4114" s="232" t="str">
        <f>IF(AND(A4114&lt;&gt;"",ISNUMBER(A4114)),VLOOKUP(A4114,Studies!A:BR,3,FALSE),"")</f>
        <v>https://www.ncbi.nlm.nih.gov/pubmed/8181191</v>
      </c>
      <c r="D4114" s="232" t="str">
        <f>IF(AND(A4114&lt;&gt;"",ISNUMBER(A4114)),VLOOKUP(A4114,Studies!A:BR,4,FALSE),"")</f>
        <v>po Control (Perpetrator Placebo)</v>
      </c>
      <c r="E4114" s="206" t="str">
        <f>IF(AND(A4114&lt;&gt;"",ISNUMBER(A4114)),VLOOKUP(A4114,Studies!A:BR,5,FALSE),"")</f>
        <v>Midazolam</v>
      </c>
      <c r="F4114" s="207" t="str">
        <f>IF(AND(A4114&lt;&gt;"",ISNUMBER(A4114)),VLOOKUP(A4114,Studies!A:BR,6,FALSE),"")</f>
        <v>Plasma</v>
      </c>
      <c r="G4114" s="194">
        <v>6</v>
      </c>
      <c r="H4114" s="194" t="s">
        <v>60</v>
      </c>
      <c r="I4114" s="187">
        <v>2.6046610000000001</v>
      </c>
      <c r="J4114" s="187" t="s">
        <v>1026</v>
      </c>
      <c r="K4114" s="187" t="s">
        <v>116</v>
      </c>
      <c r="L4114" s="195"/>
      <c r="M4114" s="195"/>
      <c r="N4114" s="195"/>
      <c r="O4114" s="199"/>
      <c r="P4114" s="188"/>
    </row>
    <row r="4115" spans="1:16" s="183" customFormat="1" x14ac:dyDescent="0.2">
      <c r="A4115" s="213">
        <v>369</v>
      </c>
      <c r="B4115" s="232" t="str">
        <f>IF(AND(A4115&lt;&gt;"",ISNUMBER(A4115)),VLOOKUP(A4115,Studies!A:BR,2,FALSE),"")</f>
        <v>Olkkola 1994</v>
      </c>
      <c r="C4115" s="232" t="str">
        <f>IF(AND(A4115&lt;&gt;"",ISNUMBER(A4115)),VLOOKUP(A4115,Studies!A:BR,3,FALSE),"")</f>
        <v>https://www.ncbi.nlm.nih.gov/pubmed/8181191</v>
      </c>
      <c r="D4115" s="232" t="str">
        <f>IF(AND(A4115&lt;&gt;"",ISNUMBER(A4115)),VLOOKUP(A4115,Studies!A:BR,4,FALSE),"")</f>
        <v>po Control (Perpetrator Placebo)</v>
      </c>
      <c r="E4115" s="206" t="str">
        <f>IF(AND(A4115&lt;&gt;"",ISNUMBER(A4115)),VLOOKUP(A4115,Studies!A:BR,5,FALSE),"")</f>
        <v>Midazolam</v>
      </c>
      <c r="F4115" s="207" t="str">
        <f>IF(AND(A4115&lt;&gt;"",ISNUMBER(A4115)),VLOOKUP(A4115,Studies!A:BR,6,FALSE),"")</f>
        <v>Plasma</v>
      </c>
      <c r="G4115" s="194">
        <v>7</v>
      </c>
      <c r="H4115" s="194" t="s">
        <v>60</v>
      </c>
      <c r="I4115" s="187">
        <v>1.976102</v>
      </c>
      <c r="J4115" s="187" t="s">
        <v>1026</v>
      </c>
      <c r="K4115" s="187" t="s">
        <v>116</v>
      </c>
      <c r="L4115" s="195"/>
      <c r="M4115" s="195"/>
      <c r="N4115" s="195"/>
      <c r="O4115" s="199"/>
      <c r="P4115" s="188"/>
    </row>
    <row r="4116" spans="1:16" s="183" customFormat="1" x14ac:dyDescent="0.2">
      <c r="A4116" s="213">
        <v>369</v>
      </c>
      <c r="B4116" s="232" t="str">
        <f>IF(AND(A4116&lt;&gt;"",ISNUMBER(A4116)),VLOOKUP(A4116,Studies!A:BR,2,FALSE),"")</f>
        <v>Olkkola 1994</v>
      </c>
      <c r="C4116" s="232" t="str">
        <f>IF(AND(A4116&lt;&gt;"",ISNUMBER(A4116)),VLOOKUP(A4116,Studies!A:BR,3,FALSE),"")</f>
        <v>https://www.ncbi.nlm.nih.gov/pubmed/8181191</v>
      </c>
      <c r="D4116" s="232" t="str">
        <f>IF(AND(A4116&lt;&gt;"",ISNUMBER(A4116)),VLOOKUP(A4116,Studies!A:BR,4,FALSE),"")</f>
        <v>po Control (Perpetrator Placebo)</v>
      </c>
      <c r="E4116" s="206" t="str">
        <f>IF(AND(A4116&lt;&gt;"",ISNUMBER(A4116)),VLOOKUP(A4116,Studies!A:BR,5,FALSE),"")</f>
        <v>Midazolam</v>
      </c>
      <c r="F4116" s="207" t="str">
        <f>IF(AND(A4116&lt;&gt;"",ISNUMBER(A4116)),VLOOKUP(A4116,Studies!A:BR,6,FALSE),"")</f>
        <v>Plasma</v>
      </c>
      <c r="G4116" s="194">
        <v>17</v>
      </c>
      <c r="H4116" s="194" t="s">
        <v>60</v>
      </c>
      <c r="I4116" s="187">
        <v>0.183417</v>
      </c>
      <c r="J4116" s="187" t="s">
        <v>1026</v>
      </c>
      <c r="K4116" s="187" t="s">
        <v>116</v>
      </c>
      <c r="L4116" s="195"/>
      <c r="M4116" s="195"/>
      <c r="N4116" s="195"/>
      <c r="O4116" s="199"/>
      <c r="P4116" s="188"/>
    </row>
    <row r="4117" spans="1:16" s="183" customFormat="1" x14ac:dyDescent="0.2">
      <c r="A4117" s="213">
        <v>370</v>
      </c>
      <c r="B4117" s="232" t="str">
        <f>IF(AND(A4117&lt;&gt;"",ISNUMBER(A4117)),VLOOKUP(A4117,Studies!A:BR,2,FALSE),"")</f>
        <v>Olkkola 1994</v>
      </c>
      <c r="C4117" s="232" t="str">
        <f>IF(AND(A4117&lt;&gt;"",ISNUMBER(A4117)),VLOOKUP(A4117,Studies!A:BR,3,FALSE),"")</f>
        <v>https://www.ncbi.nlm.nih.gov/pubmed/8181191</v>
      </c>
      <c r="D4117" s="232" t="str">
        <f>IF(AND(A4117&lt;&gt;"",ISNUMBER(A4117)),VLOOKUP(A4117,Studies!A:BR,4,FALSE),"")</f>
        <v>po with Perpetrator (Itraconazole)</v>
      </c>
      <c r="E4117" s="206" t="str">
        <f>IF(AND(A4117&lt;&gt;"",ISNUMBER(A4117)),VLOOKUP(A4117,Studies!A:BR,5,FALSE),"")</f>
        <v>Midazolam</v>
      </c>
      <c r="F4117" s="207" t="str">
        <f>IF(AND(A4117&lt;&gt;"",ISNUMBER(A4117)),VLOOKUP(A4117,Studies!A:BR,6,FALSE),"")</f>
        <v>Plasma</v>
      </c>
      <c r="G4117" s="194">
        <f>73+0</f>
        <v>73</v>
      </c>
      <c r="H4117" s="194" t="s">
        <v>60</v>
      </c>
      <c r="I4117" s="187">
        <v>0</v>
      </c>
      <c r="J4117" s="187" t="s">
        <v>1026</v>
      </c>
      <c r="K4117" s="187" t="s">
        <v>116</v>
      </c>
      <c r="L4117" s="195"/>
      <c r="M4117" s="195"/>
      <c r="N4117" s="195"/>
      <c r="O4117" s="199"/>
      <c r="P4117" s="188"/>
    </row>
    <row r="4118" spans="1:16" s="183" customFormat="1" x14ac:dyDescent="0.2">
      <c r="A4118" s="213">
        <v>370</v>
      </c>
      <c r="B4118" s="232" t="str">
        <f>IF(AND(A4118&lt;&gt;"",ISNUMBER(A4118)),VLOOKUP(A4118,Studies!A:BR,2,FALSE),"")</f>
        <v>Olkkola 1994</v>
      </c>
      <c r="C4118" s="232" t="str">
        <f>IF(AND(A4118&lt;&gt;"",ISNUMBER(A4118)),VLOOKUP(A4118,Studies!A:BR,3,FALSE),"")</f>
        <v>https://www.ncbi.nlm.nih.gov/pubmed/8181191</v>
      </c>
      <c r="D4118" s="232" t="str">
        <f>IF(AND(A4118&lt;&gt;"",ISNUMBER(A4118)),VLOOKUP(A4118,Studies!A:BR,4,FALSE),"")</f>
        <v>po with Perpetrator (Itraconazole)</v>
      </c>
      <c r="E4118" s="206" t="str">
        <f>IF(AND(A4118&lt;&gt;"",ISNUMBER(A4118)),VLOOKUP(A4118,Studies!A:BR,5,FALSE),"")</f>
        <v>Midazolam</v>
      </c>
      <c r="F4118" s="207" t="str">
        <f>IF(AND(A4118&lt;&gt;"",ISNUMBER(A4118)),VLOOKUP(A4118,Studies!A:BR,6,FALSE),"")</f>
        <v>Plasma</v>
      </c>
      <c r="G4118" s="194">
        <f>73+0.5</f>
        <v>73.5</v>
      </c>
      <c r="H4118" s="194" t="s">
        <v>60</v>
      </c>
      <c r="I4118" s="187">
        <v>21.91844</v>
      </c>
      <c r="J4118" s="187" t="s">
        <v>1026</v>
      </c>
      <c r="K4118" s="187" t="s">
        <v>116</v>
      </c>
      <c r="L4118" s="195">
        <v>7.5044769999999996</v>
      </c>
      <c r="M4118" s="195" t="s">
        <v>1026</v>
      </c>
      <c r="N4118" s="195" t="s">
        <v>1034</v>
      </c>
      <c r="O4118" s="199"/>
      <c r="P4118" s="188"/>
    </row>
    <row r="4119" spans="1:16" s="183" customFormat="1" x14ac:dyDescent="0.2">
      <c r="A4119" s="213">
        <v>370</v>
      </c>
      <c r="B4119" s="232" t="str">
        <f>IF(AND(A4119&lt;&gt;"",ISNUMBER(A4119)),VLOOKUP(A4119,Studies!A:BR,2,FALSE),"")</f>
        <v>Olkkola 1994</v>
      </c>
      <c r="C4119" s="232" t="str">
        <f>IF(AND(A4119&lt;&gt;"",ISNUMBER(A4119)),VLOOKUP(A4119,Studies!A:BR,3,FALSE),"")</f>
        <v>https://www.ncbi.nlm.nih.gov/pubmed/8181191</v>
      </c>
      <c r="D4119" s="232" t="str">
        <f>IF(AND(A4119&lt;&gt;"",ISNUMBER(A4119)),VLOOKUP(A4119,Studies!A:BR,4,FALSE),"")</f>
        <v>po with Perpetrator (Itraconazole)</v>
      </c>
      <c r="E4119" s="206" t="str">
        <f>IF(AND(A4119&lt;&gt;"",ISNUMBER(A4119)),VLOOKUP(A4119,Studies!A:BR,5,FALSE),"")</f>
        <v>Midazolam</v>
      </c>
      <c r="F4119" s="207" t="str">
        <f>IF(AND(A4119&lt;&gt;"",ISNUMBER(A4119)),VLOOKUP(A4119,Studies!A:BR,6,FALSE),"")</f>
        <v>Plasma</v>
      </c>
      <c r="G4119" s="194">
        <f>73+1</f>
        <v>74</v>
      </c>
      <c r="H4119" s="194" t="s">
        <v>60</v>
      </c>
      <c r="I4119" s="187">
        <v>47.590530000000001</v>
      </c>
      <c r="J4119" s="187" t="s">
        <v>1026</v>
      </c>
      <c r="K4119" s="187" t="s">
        <v>116</v>
      </c>
      <c r="L4119" s="195">
        <v>9.9434430000000003</v>
      </c>
      <c r="M4119" s="195" t="s">
        <v>1026</v>
      </c>
      <c r="N4119" s="195" t="s">
        <v>1034</v>
      </c>
      <c r="O4119" s="199"/>
      <c r="P4119" s="188"/>
    </row>
    <row r="4120" spans="1:16" s="183" customFormat="1" x14ac:dyDescent="0.2">
      <c r="A4120" s="213">
        <v>370</v>
      </c>
      <c r="B4120" s="232" t="str">
        <f>IF(AND(A4120&lt;&gt;"",ISNUMBER(A4120)),VLOOKUP(A4120,Studies!A:BR,2,FALSE),"")</f>
        <v>Olkkola 1994</v>
      </c>
      <c r="C4120" s="232" t="str">
        <f>IF(AND(A4120&lt;&gt;"",ISNUMBER(A4120)),VLOOKUP(A4120,Studies!A:BR,3,FALSE),"")</f>
        <v>https://www.ncbi.nlm.nih.gov/pubmed/8181191</v>
      </c>
      <c r="D4120" s="232" t="str">
        <f>IF(AND(A4120&lt;&gt;"",ISNUMBER(A4120)),VLOOKUP(A4120,Studies!A:BR,4,FALSE),"")</f>
        <v>po with Perpetrator (Itraconazole)</v>
      </c>
      <c r="E4120" s="206" t="str">
        <f>IF(AND(A4120&lt;&gt;"",ISNUMBER(A4120)),VLOOKUP(A4120,Studies!A:BR,5,FALSE),"")</f>
        <v>Midazolam</v>
      </c>
      <c r="F4120" s="207" t="str">
        <f>IF(AND(A4120&lt;&gt;"",ISNUMBER(A4120)),VLOOKUP(A4120,Studies!A:BR,6,FALSE),"")</f>
        <v>Plasma</v>
      </c>
      <c r="G4120" s="194">
        <f>73+1.5</f>
        <v>74.5</v>
      </c>
      <c r="H4120" s="194" t="s">
        <v>60</v>
      </c>
      <c r="I4120" s="187">
        <v>59.940759999999997</v>
      </c>
      <c r="J4120" s="187" t="s">
        <v>1026</v>
      </c>
      <c r="K4120" s="187" t="s">
        <v>116</v>
      </c>
      <c r="L4120" s="195">
        <v>8.0673220000000008</v>
      </c>
      <c r="M4120" s="195" t="s">
        <v>1026</v>
      </c>
      <c r="N4120" s="195" t="s">
        <v>1034</v>
      </c>
      <c r="O4120" s="199"/>
      <c r="P4120" s="188"/>
    </row>
    <row r="4121" spans="1:16" s="183" customFormat="1" x14ac:dyDescent="0.2">
      <c r="A4121" s="213">
        <v>370</v>
      </c>
      <c r="B4121" s="232" t="str">
        <f>IF(AND(A4121&lt;&gt;"",ISNUMBER(A4121)),VLOOKUP(A4121,Studies!A:BR,2,FALSE),"")</f>
        <v>Olkkola 1994</v>
      </c>
      <c r="C4121" s="232" t="str">
        <f>IF(AND(A4121&lt;&gt;"",ISNUMBER(A4121)),VLOOKUP(A4121,Studies!A:BR,3,FALSE),"")</f>
        <v>https://www.ncbi.nlm.nih.gov/pubmed/8181191</v>
      </c>
      <c r="D4121" s="232" t="str">
        <f>IF(AND(A4121&lt;&gt;"",ISNUMBER(A4121)),VLOOKUP(A4121,Studies!A:BR,4,FALSE),"")</f>
        <v>po with Perpetrator (Itraconazole)</v>
      </c>
      <c r="E4121" s="206" t="str">
        <f>IF(AND(A4121&lt;&gt;"",ISNUMBER(A4121)),VLOOKUP(A4121,Studies!A:BR,5,FALSE),"")</f>
        <v>Midazolam</v>
      </c>
      <c r="F4121" s="207" t="str">
        <f>IF(AND(A4121&lt;&gt;"",ISNUMBER(A4121)),VLOOKUP(A4121,Studies!A:BR,6,FALSE),"")</f>
        <v>Plasma</v>
      </c>
      <c r="G4121" s="194">
        <f>73+2</f>
        <v>75</v>
      </c>
      <c r="H4121" s="194" t="s">
        <v>60</v>
      </c>
      <c r="I4121" s="187">
        <v>63.847050000000003</v>
      </c>
      <c r="J4121" s="187" t="s">
        <v>1026</v>
      </c>
      <c r="K4121" s="187" t="s">
        <v>116</v>
      </c>
      <c r="L4121" s="195">
        <v>6.1911959999999997</v>
      </c>
      <c r="M4121" s="195" t="s">
        <v>1026</v>
      </c>
      <c r="N4121" s="195" t="s">
        <v>1034</v>
      </c>
      <c r="O4121" s="199"/>
      <c r="P4121" s="188"/>
    </row>
    <row r="4122" spans="1:16" s="183" customFormat="1" x14ac:dyDescent="0.2">
      <c r="A4122" s="213">
        <v>370</v>
      </c>
      <c r="B4122" s="232" t="str">
        <f>IF(AND(A4122&lt;&gt;"",ISNUMBER(A4122)),VLOOKUP(A4122,Studies!A:BR,2,FALSE),"")</f>
        <v>Olkkola 1994</v>
      </c>
      <c r="C4122" s="232" t="str">
        <f>IF(AND(A4122&lt;&gt;"",ISNUMBER(A4122)),VLOOKUP(A4122,Studies!A:BR,3,FALSE),"")</f>
        <v>https://www.ncbi.nlm.nih.gov/pubmed/8181191</v>
      </c>
      <c r="D4122" s="232" t="str">
        <f>IF(AND(A4122&lt;&gt;"",ISNUMBER(A4122)),VLOOKUP(A4122,Studies!A:BR,4,FALSE),"")</f>
        <v>po with Perpetrator (Itraconazole)</v>
      </c>
      <c r="E4122" s="206" t="str">
        <f>IF(AND(A4122&lt;&gt;"",ISNUMBER(A4122)),VLOOKUP(A4122,Studies!A:BR,5,FALSE),"")</f>
        <v>Midazolam</v>
      </c>
      <c r="F4122" s="207" t="str">
        <f>IF(AND(A4122&lt;&gt;"",ISNUMBER(A4122)),VLOOKUP(A4122,Studies!A:BR,6,FALSE),"")</f>
        <v>Plasma</v>
      </c>
      <c r="G4122" s="194">
        <f>73+3</f>
        <v>76</v>
      </c>
      <c r="H4122" s="194" t="s">
        <v>60</v>
      </c>
      <c r="I4122" s="187">
        <v>65.845050000000001</v>
      </c>
      <c r="J4122" s="187" t="s">
        <v>1026</v>
      </c>
      <c r="K4122" s="187" t="s">
        <v>116</v>
      </c>
      <c r="L4122" s="195">
        <v>7.1306419999999999</v>
      </c>
      <c r="M4122" s="195" t="s">
        <v>1026</v>
      </c>
      <c r="N4122" s="195" t="s">
        <v>1034</v>
      </c>
      <c r="O4122" s="199"/>
      <c r="P4122" s="188"/>
    </row>
    <row r="4123" spans="1:16" s="183" customFormat="1" x14ac:dyDescent="0.2">
      <c r="A4123" s="213">
        <v>370</v>
      </c>
      <c r="B4123" s="232" t="str">
        <f>IF(AND(A4123&lt;&gt;"",ISNUMBER(A4123)),VLOOKUP(A4123,Studies!A:BR,2,FALSE),"")</f>
        <v>Olkkola 1994</v>
      </c>
      <c r="C4123" s="232" t="str">
        <f>IF(AND(A4123&lt;&gt;"",ISNUMBER(A4123)),VLOOKUP(A4123,Studies!A:BR,3,FALSE),"")</f>
        <v>https://www.ncbi.nlm.nih.gov/pubmed/8181191</v>
      </c>
      <c r="D4123" s="232" t="str">
        <f>IF(AND(A4123&lt;&gt;"",ISNUMBER(A4123)),VLOOKUP(A4123,Studies!A:BR,4,FALSE),"")</f>
        <v>po with Perpetrator (Itraconazole)</v>
      </c>
      <c r="E4123" s="206" t="str">
        <f>IF(AND(A4123&lt;&gt;"",ISNUMBER(A4123)),VLOOKUP(A4123,Studies!A:BR,5,FALSE),"")</f>
        <v>Midazolam</v>
      </c>
      <c r="F4123" s="207" t="str">
        <f>IF(AND(A4123&lt;&gt;"",ISNUMBER(A4123)),VLOOKUP(A4123,Studies!A:BR,6,FALSE),"")</f>
        <v>Plasma</v>
      </c>
      <c r="G4123" s="194">
        <f>73+4</f>
        <v>77</v>
      </c>
      <c r="H4123" s="194" t="s">
        <v>60</v>
      </c>
      <c r="I4123" s="187">
        <v>55.082650000000001</v>
      </c>
      <c r="J4123" s="187" t="s">
        <v>1026</v>
      </c>
      <c r="K4123" s="187" t="s">
        <v>116</v>
      </c>
      <c r="L4123" s="195">
        <v>6.1897929999999999</v>
      </c>
      <c r="M4123" s="195" t="s">
        <v>1026</v>
      </c>
      <c r="N4123" s="195" t="s">
        <v>1034</v>
      </c>
      <c r="O4123" s="199"/>
      <c r="P4123" s="188"/>
    </row>
    <row r="4124" spans="1:16" s="183" customFormat="1" x14ac:dyDescent="0.2">
      <c r="A4124" s="213">
        <v>370</v>
      </c>
      <c r="B4124" s="232" t="str">
        <f>IF(AND(A4124&lt;&gt;"",ISNUMBER(A4124)),VLOOKUP(A4124,Studies!A:BR,2,FALSE),"")</f>
        <v>Olkkola 1994</v>
      </c>
      <c r="C4124" s="232" t="str">
        <f>IF(AND(A4124&lt;&gt;"",ISNUMBER(A4124)),VLOOKUP(A4124,Studies!A:BR,3,FALSE),"")</f>
        <v>https://www.ncbi.nlm.nih.gov/pubmed/8181191</v>
      </c>
      <c r="D4124" s="232" t="str">
        <f>IF(AND(A4124&lt;&gt;"",ISNUMBER(A4124)),VLOOKUP(A4124,Studies!A:BR,4,FALSE),"")</f>
        <v>po with Perpetrator (Itraconazole)</v>
      </c>
      <c r="E4124" s="206" t="str">
        <f>IF(AND(A4124&lt;&gt;"",ISNUMBER(A4124)),VLOOKUP(A4124,Studies!A:BR,5,FALSE),"")</f>
        <v>Midazolam</v>
      </c>
      <c r="F4124" s="207" t="str">
        <f>IF(AND(A4124&lt;&gt;"",ISNUMBER(A4124)),VLOOKUP(A4124,Studies!A:BR,6,FALSE),"")</f>
        <v>Plasma</v>
      </c>
      <c r="G4124" s="194">
        <f>73+5</f>
        <v>78</v>
      </c>
      <c r="H4124" s="194" t="s">
        <v>60</v>
      </c>
      <c r="I4124" s="187">
        <v>40.944629999999997</v>
      </c>
      <c r="J4124" s="187" t="s">
        <v>1026</v>
      </c>
      <c r="K4124" s="187" t="s">
        <v>116</v>
      </c>
      <c r="L4124" s="195">
        <v>4.5012860000000003</v>
      </c>
      <c r="M4124" s="195" t="s">
        <v>1026</v>
      </c>
      <c r="N4124" s="195" t="s">
        <v>1034</v>
      </c>
      <c r="O4124" s="199"/>
      <c r="P4124" s="188"/>
    </row>
    <row r="4125" spans="1:16" s="183" customFormat="1" x14ac:dyDescent="0.2">
      <c r="A4125" s="213">
        <v>370</v>
      </c>
      <c r="B4125" s="232" t="str">
        <f>IF(AND(A4125&lt;&gt;"",ISNUMBER(A4125)),VLOOKUP(A4125,Studies!A:BR,2,FALSE),"")</f>
        <v>Olkkola 1994</v>
      </c>
      <c r="C4125" s="232" t="str">
        <f>IF(AND(A4125&lt;&gt;"",ISNUMBER(A4125)),VLOOKUP(A4125,Studies!A:BR,3,FALSE),"")</f>
        <v>https://www.ncbi.nlm.nih.gov/pubmed/8181191</v>
      </c>
      <c r="D4125" s="232" t="str">
        <f>IF(AND(A4125&lt;&gt;"",ISNUMBER(A4125)),VLOOKUP(A4125,Studies!A:BR,4,FALSE),"")</f>
        <v>po with Perpetrator (Itraconazole)</v>
      </c>
      <c r="E4125" s="206" t="str">
        <f>IF(AND(A4125&lt;&gt;"",ISNUMBER(A4125)),VLOOKUP(A4125,Studies!A:BR,5,FALSE),"")</f>
        <v>Midazolam</v>
      </c>
      <c r="F4125" s="207" t="str">
        <f>IF(AND(A4125&lt;&gt;"",ISNUMBER(A4125)),VLOOKUP(A4125,Studies!A:BR,6,FALSE),"")</f>
        <v>Plasma</v>
      </c>
      <c r="G4125" s="194">
        <f>73+6</f>
        <v>79</v>
      </c>
      <c r="H4125" s="194" t="s">
        <v>60</v>
      </c>
      <c r="I4125" s="187">
        <v>34.500100000000003</v>
      </c>
      <c r="J4125" s="187" t="s">
        <v>1026</v>
      </c>
      <c r="K4125" s="187" t="s">
        <v>116</v>
      </c>
      <c r="L4125" s="195">
        <v>3.9398499999999999</v>
      </c>
      <c r="M4125" s="195" t="s">
        <v>1026</v>
      </c>
      <c r="N4125" s="195" t="s">
        <v>1034</v>
      </c>
      <c r="O4125" s="199"/>
      <c r="P4125" s="188"/>
    </row>
    <row r="4126" spans="1:16" s="183" customFormat="1" x14ac:dyDescent="0.2">
      <c r="A4126" s="213">
        <v>370</v>
      </c>
      <c r="B4126" s="232" t="str">
        <f>IF(AND(A4126&lt;&gt;"",ISNUMBER(A4126)),VLOOKUP(A4126,Studies!A:BR,2,FALSE),"")</f>
        <v>Olkkola 1994</v>
      </c>
      <c r="C4126" s="232" t="str">
        <f>IF(AND(A4126&lt;&gt;"",ISNUMBER(A4126)),VLOOKUP(A4126,Studies!A:BR,3,FALSE),"")</f>
        <v>https://www.ncbi.nlm.nih.gov/pubmed/8181191</v>
      </c>
      <c r="D4126" s="232" t="str">
        <f>IF(AND(A4126&lt;&gt;"",ISNUMBER(A4126)),VLOOKUP(A4126,Studies!A:BR,4,FALSE),"")</f>
        <v>po with Perpetrator (Itraconazole)</v>
      </c>
      <c r="E4126" s="206" t="str">
        <f>IF(AND(A4126&lt;&gt;"",ISNUMBER(A4126)),VLOOKUP(A4126,Studies!A:BR,5,FALSE),"")</f>
        <v>Midazolam</v>
      </c>
      <c r="F4126" s="207" t="str">
        <f>IF(AND(A4126&lt;&gt;"",ISNUMBER(A4126)),VLOOKUP(A4126,Studies!A:BR,6,FALSE),"")</f>
        <v>Plasma</v>
      </c>
      <c r="G4126" s="194">
        <f>73+7</f>
        <v>80</v>
      </c>
      <c r="H4126" s="194" t="s">
        <v>60</v>
      </c>
      <c r="I4126" s="187">
        <v>31.6188</v>
      </c>
      <c r="J4126" s="187" t="s">
        <v>1026</v>
      </c>
      <c r="K4126" s="187" t="s">
        <v>116</v>
      </c>
      <c r="L4126" s="195">
        <v>3.5632290000000002</v>
      </c>
      <c r="M4126" s="195" t="s">
        <v>1026</v>
      </c>
      <c r="N4126" s="195" t="s">
        <v>1034</v>
      </c>
      <c r="O4126" s="199"/>
      <c r="P4126" s="188"/>
    </row>
    <row r="4127" spans="1:16" s="183" customFormat="1" x14ac:dyDescent="0.2">
      <c r="A4127" s="213">
        <v>370</v>
      </c>
      <c r="B4127" s="232" t="str">
        <f>IF(AND(A4127&lt;&gt;"",ISNUMBER(A4127)),VLOOKUP(A4127,Studies!A:BR,2,FALSE),"")</f>
        <v>Olkkola 1994</v>
      </c>
      <c r="C4127" s="232" t="str">
        <f>IF(AND(A4127&lt;&gt;"",ISNUMBER(A4127)),VLOOKUP(A4127,Studies!A:BR,3,FALSE),"")</f>
        <v>https://www.ncbi.nlm.nih.gov/pubmed/8181191</v>
      </c>
      <c r="D4127" s="232" t="str">
        <f>IF(AND(A4127&lt;&gt;"",ISNUMBER(A4127)),VLOOKUP(A4127,Studies!A:BR,4,FALSE),"")</f>
        <v>po with Perpetrator (Itraconazole)</v>
      </c>
      <c r="E4127" s="206" t="str">
        <f>IF(AND(A4127&lt;&gt;"",ISNUMBER(A4127)),VLOOKUP(A4127,Studies!A:BR,5,FALSE),"")</f>
        <v>Midazolam</v>
      </c>
      <c r="F4127" s="207" t="str">
        <f>IF(AND(A4127&lt;&gt;"",ISNUMBER(A4127)),VLOOKUP(A4127,Studies!A:BR,6,FALSE),"")</f>
        <v>Plasma</v>
      </c>
      <c r="G4127" s="194">
        <f>73+17</f>
        <v>90</v>
      </c>
      <c r="H4127" s="194" t="s">
        <v>60</v>
      </c>
      <c r="I4127" s="187">
        <v>12.75342</v>
      </c>
      <c r="J4127" s="187" t="s">
        <v>1026</v>
      </c>
      <c r="K4127" s="187" t="s">
        <v>116</v>
      </c>
      <c r="L4127" s="195"/>
      <c r="M4127" s="195"/>
      <c r="N4127" s="195"/>
      <c r="O4127" s="199"/>
      <c r="P4127" s="188"/>
    </row>
    <row r="4128" spans="1:16" s="183" customFormat="1" x14ac:dyDescent="0.2">
      <c r="A4128" s="213">
        <v>371</v>
      </c>
      <c r="B4128" s="232" t="str">
        <f>IF(AND(A4128&lt;&gt;"",ISNUMBER(A4128)),VLOOKUP(A4128,Studies!A:BR,2,FALSE),"")</f>
        <v>Olkkola 1994</v>
      </c>
      <c r="C4128" s="232" t="str">
        <f>IF(AND(A4128&lt;&gt;"",ISNUMBER(A4128)),VLOOKUP(A4128,Studies!A:BR,3,FALSE),"")</f>
        <v>https://www.ncbi.nlm.nih.gov/pubmed/8181191</v>
      </c>
      <c r="D4128" s="232" t="str">
        <f>IF(AND(A4128&lt;&gt;"",ISNUMBER(A4128)),VLOOKUP(A4128,Studies!A:BR,4,FALSE),"")</f>
        <v>po with Perpetrator (Ketoconazole</v>
      </c>
      <c r="E4128" s="206" t="str">
        <f>IF(AND(A4128&lt;&gt;"",ISNUMBER(A4128)),VLOOKUP(A4128,Studies!A:BR,5,FALSE),"")</f>
        <v>Midazolam</v>
      </c>
      <c r="F4128" s="207" t="str">
        <f>IF(AND(A4128&lt;&gt;"",ISNUMBER(A4128)),VLOOKUP(A4128,Studies!A:BR,6,FALSE),"")</f>
        <v>Plasma</v>
      </c>
      <c r="G4128" s="194">
        <f>73+0</f>
        <v>73</v>
      </c>
      <c r="H4128" s="194" t="s">
        <v>60</v>
      </c>
      <c r="I4128" s="187">
        <v>0</v>
      </c>
      <c r="J4128" s="187" t="s">
        <v>1026</v>
      </c>
      <c r="K4128" s="187" t="s">
        <v>116</v>
      </c>
      <c r="L4128" s="195"/>
      <c r="M4128" s="195"/>
      <c r="N4128" s="195"/>
      <c r="O4128" s="199"/>
      <c r="P4128" s="188"/>
    </row>
    <row r="4129" spans="1:16" s="183" customFormat="1" x14ac:dyDescent="0.2">
      <c r="A4129" s="213">
        <v>371</v>
      </c>
      <c r="B4129" s="232" t="str">
        <f>IF(AND(A4129&lt;&gt;"",ISNUMBER(A4129)),VLOOKUP(A4129,Studies!A:BR,2,FALSE),"")</f>
        <v>Olkkola 1994</v>
      </c>
      <c r="C4129" s="232" t="str">
        <f>IF(AND(A4129&lt;&gt;"",ISNUMBER(A4129)),VLOOKUP(A4129,Studies!A:BR,3,FALSE),"")</f>
        <v>https://www.ncbi.nlm.nih.gov/pubmed/8181191</v>
      </c>
      <c r="D4129" s="232" t="str">
        <f>IF(AND(A4129&lt;&gt;"",ISNUMBER(A4129)),VLOOKUP(A4129,Studies!A:BR,4,FALSE),"")</f>
        <v>po with Perpetrator (Ketoconazole</v>
      </c>
      <c r="E4129" s="206" t="str">
        <f>IF(AND(A4129&lt;&gt;"",ISNUMBER(A4129)),VLOOKUP(A4129,Studies!A:BR,5,FALSE),"")</f>
        <v>Midazolam</v>
      </c>
      <c r="F4129" s="207" t="str">
        <f>IF(AND(A4129&lt;&gt;"",ISNUMBER(A4129)),VLOOKUP(A4129,Studies!A:BR,6,FALSE),"")</f>
        <v>Plasma</v>
      </c>
      <c r="G4129" s="194">
        <f>73+0.5</f>
        <v>73.5</v>
      </c>
      <c r="H4129" s="194" t="s">
        <v>60</v>
      </c>
      <c r="I4129" s="187">
        <v>23.795960000000001</v>
      </c>
      <c r="J4129" s="187" t="s">
        <v>1026</v>
      </c>
      <c r="K4129" s="187" t="s">
        <v>116</v>
      </c>
      <c r="L4129" s="195">
        <v>8.4425430000000006</v>
      </c>
      <c r="M4129" s="195" t="s">
        <v>1026</v>
      </c>
      <c r="N4129" s="195" t="s">
        <v>1034</v>
      </c>
      <c r="O4129" s="199"/>
      <c r="P4129" s="188"/>
    </row>
    <row r="4130" spans="1:16" s="183" customFormat="1" x14ac:dyDescent="0.2">
      <c r="A4130" s="213">
        <v>371</v>
      </c>
      <c r="B4130" s="232" t="str">
        <f>IF(AND(A4130&lt;&gt;"",ISNUMBER(A4130)),VLOOKUP(A4130,Studies!A:BR,2,FALSE),"")</f>
        <v>Olkkola 1994</v>
      </c>
      <c r="C4130" s="232" t="str">
        <f>IF(AND(A4130&lt;&gt;"",ISNUMBER(A4130)),VLOOKUP(A4130,Studies!A:BR,3,FALSE),"")</f>
        <v>https://www.ncbi.nlm.nih.gov/pubmed/8181191</v>
      </c>
      <c r="D4130" s="232" t="str">
        <f>IF(AND(A4130&lt;&gt;"",ISNUMBER(A4130)),VLOOKUP(A4130,Studies!A:BR,4,FALSE),"")</f>
        <v>po with Perpetrator (Ketoconazole</v>
      </c>
      <c r="E4130" s="206" t="str">
        <f>IF(AND(A4130&lt;&gt;"",ISNUMBER(A4130)),VLOOKUP(A4130,Studies!A:BR,5,FALSE),"")</f>
        <v>Midazolam</v>
      </c>
      <c r="F4130" s="207" t="str">
        <f>IF(AND(A4130&lt;&gt;"",ISNUMBER(A4130)),VLOOKUP(A4130,Studies!A:BR,6,FALSE),"")</f>
        <v>Plasma</v>
      </c>
      <c r="G4130" s="194">
        <f>73+1</f>
        <v>74</v>
      </c>
      <c r="H4130" s="194" t="s">
        <v>60</v>
      </c>
      <c r="I4130" s="187">
        <v>62.787100000000002</v>
      </c>
      <c r="J4130" s="187" t="s">
        <v>1026</v>
      </c>
      <c r="K4130" s="187" t="s">
        <v>116</v>
      </c>
      <c r="L4130" s="195">
        <v>10.506270000000001</v>
      </c>
      <c r="M4130" s="195" t="s">
        <v>1026</v>
      </c>
      <c r="N4130" s="195" t="s">
        <v>1034</v>
      </c>
      <c r="O4130" s="199"/>
      <c r="P4130" s="188"/>
    </row>
    <row r="4131" spans="1:16" s="183" customFormat="1" x14ac:dyDescent="0.2">
      <c r="A4131" s="213">
        <v>371</v>
      </c>
      <c r="B4131" s="232" t="str">
        <f>IF(AND(A4131&lt;&gt;"",ISNUMBER(A4131)),VLOOKUP(A4131,Studies!A:BR,2,FALSE),"")</f>
        <v>Olkkola 1994</v>
      </c>
      <c r="C4131" s="232" t="str">
        <f>IF(AND(A4131&lt;&gt;"",ISNUMBER(A4131)),VLOOKUP(A4131,Studies!A:BR,3,FALSE),"")</f>
        <v>https://www.ncbi.nlm.nih.gov/pubmed/8181191</v>
      </c>
      <c r="D4131" s="232" t="str">
        <f>IF(AND(A4131&lt;&gt;"",ISNUMBER(A4131)),VLOOKUP(A4131,Studies!A:BR,4,FALSE),"")</f>
        <v>po with Perpetrator (Ketoconazole</v>
      </c>
      <c r="E4131" s="206" t="str">
        <f>IF(AND(A4131&lt;&gt;"",ISNUMBER(A4131)),VLOOKUP(A4131,Studies!A:BR,5,FALSE),"")</f>
        <v>Midazolam</v>
      </c>
      <c r="F4131" s="207" t="str">
        <f>IF(AND(A4131&lt;&gt;"",ISNUMBER(A4131)),VLOOKUP(A4131,Studies!A:BR,6,FALSE),"")</f>
        <v>Plasma</v>
      </c>
      <c r="G4131" s="194">
        <f>73+1.5</f>
        <v>74.5</v>
      </c>
      <c r="H4131" s="194" t="s">
        <v>60</v>
      </c>
      <c r="I4131" s="187">
        <v>71.572699999999998</v>
      </c>
      <c r="J4131" s="187" t="s">
        <v>1026</v>
      </c>
      <c r="K4131" s="187" t="s">
        <v>116</v>
      </c>
      <c r="L4131" s="195">
        <v>7.6920929999999998</v>
      </c>
      <c r="M4131" s="195" t="s">
        <v>1026</v>
      </c>
      <c r="N4131" s="195" t="s">
        <v>1034</v>
      </c>
      <c r="O4131" s="199"/>
      <c r="P4131" s="188"/>
    </row>
    <row r="4132" spans="1:16" s="183" customFormat="1" x14ac:dyDescent="0.2">
      <c r="A4132" s="213">
        <v>371</v>
      </c>
      <c r="B4132" s="232" t="str">
        <f>IF(AND(A4132&lt;&gt;"",ISNUMBER(A4132)),VLOOKUP(A4132,Studies!A:BR,2,FALSE),"")</f>
        <v>Olkkola 1994</v>
      </c>
      <c r="C4132" s="232" t="str">
        <f>IF(AND(A4132&lt;&gt;"",ISNUMBER(A4132)),VLOOKUP(A4132,Studies!A:BR,3,FALSE),"")</f>
        <v>https://www.ncbi.nlm.nih.gov/pubmed/8181191</v>
      </c>
      <c r="D4132" s="232" t="str">
        <f>IF(AND(A4132&lt;&gt;"",ISNUMBER(A4132)),VLOOKUP(A4132,Studies!A:BR,4,FALSE),"")</f>
        <v>po with Perpetrator (Ketoconazole</v>
      </c>
      <c r="E4132" s="206" t="str">
        <f>IF(AND(A4132&lt;&gt;"",ISNUMBER(A4132)),VLOOKUP(A4132,Studies!A:BR,5,FALSE),"")</f>
        <v>Midazolam</v>
      </c>
      <c r="F4132" s="207" t="str">
        <f>IF(AND(A4132&lt;&gt;"",ISNUMBER(A4132)),VLOOKUP(A4132,Studies!A:BR,6,FALSE),"")</f>
        <v>Plasma</v>
      </c>
      <c r="G4132" s="194">
        <f>73+2</f>
        <v>75</v>
      </c>
      <c r="H4132" s="194" t="s">
        <v>60</v>
      </c>
      <c r="I4132" s="187">
        <v>74.728549999999998</v>
      </c>
      <c r="J4132" s="187" t="s">
        <v>1026</v>
      </c>
      <c r="K4132" s="187" t="s">
        <v>116</v>
      </c>
      <c r="L4132" s="195">
        <v>8.6315460000000002</v>
      </c>
      <c r="M4132" s="195" t="s">
        <v>1026</v>
      </c>
      <c r="N4132" s="195" t="s">
        <v>1034</v>
      </c>
      <c r="O4132" s="199"/>
      <c r="P4132" s="188"/>
    </row>
    <row r="4133" spans="1:16" s="183" customFormat="1" x14ac:dyDescent="0.2">
      <c r="A4133" s="213">
        <v>371</v>
      </c>
      <c r="B4133" s="232" t="str">
        <f>IF(AND(A4133&lt;&gt;"",ISNUMBER(A4133)),VLOOKUP(A4133,Studies!A:BR,2,FALSE),"")</f>
        <v>Olkkola 1994</v>
      </c>
      <c r="C4133" s="232" t="str">
        <f>IF(AND(A4133&lt;&gt;"",ISNUMBER(A4133)),VLOOKUP(A4133,Studies!A:BR,3,FALSE),"")</f>
        <v>https://www.ncbi.nlm.nih.gov/pubmed/8181191</v>
      </c>
      <c r="D4133" s="232" t="str">
        <f>IF(AND(A4133&lt;&gt;"",ISNUMBER(A4133)),VLOOKUP(A4133,Studies!A:BR,4,FALSE),"")</f>
        <v>po with Perpetrator (Ketoconazole</v>
      </c>
      <c r="E4133" s="206" t="str">
        <f>IF(AND(A4133&lt;&gt;"",ISNUMBER(A4133)),VLOOKUP(A4133,Studies!A:BR,5,FALSE),"")</f>
        <v>Midazolam</v>
      </c>
      <c r="F4133" s="207" t="str">
        <f>IF(AND(A4133&lt;&gt;"",ISNUMBER(A4133)),VLOOKUP(A4133,Studies!A:BR,6,FALSE),"")</f>
        <v>Plasma</v>
      </c>
      <c r="G4133" s="194">
        <f>73+3</f>
        <v>76</v>
      </c>
      <c r="H4133" s="194" t="s">
        <v>60</v>
      </c>
      <c r="I4133" s="187">
        <v>80.478800000000007</v>
      </c>
      <c r="J4133" s="187" t="s">
        <v>1026</v>
      </c>
      <c r="K4133" s="187" t="s">
        <v>116</v>
      </c>
      <c r="L4133" s="195">
        <v>6.3802029999999998</v>
      </c>
      <c r="M4133" s="195" t="s">
        <v>1026</v>
      </c>
      <c r="N4133" s="195" t="s">
        <v>1034</v>
      </c>
      <c r="O4133" s="199"/>
      <c r="P4133" s="188"/>
    </row>
    <row r="4134" spans="1:16" s="183" customFormat="1" x14ac:dyDescent="0.2">
      <c r="A4134" s="213">
        <v>371</v>
      </c>
      <c r="B4134" s="232" t="str">
        <f>IF(AND(A4134&lt;&gt;"",ISNUMBER(A4134)),VLOOKUP(A4134,Studies!A:BR,2,FALSE),"")</f>
        <v>Olkkola 1994</v>
      </c>
      <c r="C4134" s="232" t="str">
        <f>IF(AND(A4134&lt;&gt;"",ISNUMBER(A4134)),VLOOKUP(A4134,Studies!A:BR,3,FALSE),"")</f>
        <v>https://www.ncbi.nlm.nih.gov/pubmed/8181191</v>
      </c>
      <c r="D4134" s="232" t="str">
        <f>IF(AND(A4134&lt;&gt;"",ISNUMBER(A4134)),VLOOKUP(A4134,Studies!A:BR,4,FALSE),"")</f>
        <v>po with Perpetrator (Ketoconazole</v>
      </c>
      <c r="E4134" s="206" t="str">
        <f>IF(AND(A4134&lt;&gt;"",ISNUMBER(A4134)),VLOOKUP(A4134,Studies!A:BR,5,FALSE),"")</f>
        <v>Midazolam</v>
      </c>
      <c r="F4134" s="207" t="str">
        <f>IF(AND(A4134&lt;&gt;"",ISNUMBER(A4134)),VLOOKUP(A4134,Studies!A:BR,6,FALSE),"")</f>
        <v>Plasma</v>
      </c>
      <c r="G4134" s="194">
        <f>73+4</f>
        <v>77</v>
      </c>
      <c r="H4134" s="194" t="s">
        <v>60</v>
      </c>
      <c r="I4134" s="187">
        <v>73.283810000000003</v>
      </c>
      <c r="J4134" s="187" t="s">
        <v>1026</v>
      </c>
      <c r="K4134" s="187" t="s">
        <v>116</v>
      </c>
      <c r="L4134" s="195">
        <v>6.3774110000000004</v>
      </c>
      <c r="M4134" s="195" t="s">
        <v>1026</v>
      </c>
      <c r="N4134" s="195" t="s">
        <v>1034</v>
      </c>
      <c r="O4134" s="199"/>
      <c r="P4134" s="188"/>
    </row>
    <row r="4135" spans="1:16" s="183" customFormat="1" x14ac:dyDescent="0.2">
      <c r="A4135" s="213">
        <v>371</v>
      </c>
      <c r="B4135" s="232" t="str">
        <f>IF(AND(A4135&lt;&gt;"",ISNUMBER(A4135)),VLOOKUP(A4135,Studies!A:BR,2,FALSE),"")</f>
        <v>Olkkola 1994</v>
      </c>
      <c r="C4135" s="232" t="str">
        <f>IF(AND(A4135&lt;&gt;"",ISNUMBER(A4135)),VLOOKUP(A4135,Studies!A:BR,3,FALSE),"")</f>
        <v>https://www.ncbi.nlm.nih.gov/pubmed/8181191</v>
      </c>
      <c r="D4135" s="232" t="str">
        <f>IF(AND(A4135&lt;&gt;"",ISNUMBER(A4135)),VLOOKUP(A4135,Studies!A:BR,4,FALSE),"")</f>
        <v>po with Perpetrator (Ketoconazole</v>
      </c>
      <c r="E4135" s="206" t="str">
        <f>IF(AND(A4135&lt;&gt;"",ISNUMBER(A4135)),VLOOKUP(A4135,Studies!A:BR,5,FALSE),"")</f>
        <v>Midazolam</v>
      </c>
      <c r="F4135" s="207" t="str">
        <f>IF(AND(A4135&lt;&gt;"",ISNUMBER(A4135)),VLOOKUP(A4135,Studies!A:BR,6,FALSE),"")</f>
        <v>Plasma</v>
      </c>
      <c r="G4135" s="194">
        <f>73+5</f>
        <v>78</v>
      </c>
      <c r="H4135" s="194" t="s">
        <v>60</v>
      </c>
      <c r="I4135" s="187">
        <v>60.645290000000003</v>
      </c>
      <c r="J4135" s="187" t="s">
        <v>1026</v>
      </c>
      <c r="K4135" s="187" t="s">
        <v>116</v>
      </c>
      <c r="L4135" s="195">
        <v>5.2545359999999999</v>
      </c>
      <c r="M4135" s="195" t="s">
        <v>1026</v>
      </c>
      <c r="N4135" s="195" t="s">
        <v>1034</v>
      </c>
      <c r="O4135" s="199"/>
      <c r="P4135" s="188"/>
    </row>
    <row r="4136" spans="1:16" s="183" customFormat="1" x14ac:dyDescent="0.2">
      <c r="A4136" s="213">
        <v>371</v>
      </c>
      <c r="B4136" s="232" t="str">
        <f>IF(AND(A4136&lt;&gt;"",ISNUMBER(A4136)),VLOOKUP(A4136,Studies!A:BR,2,FALSE),"")</f>
        <v>Olkkola 1994</v>
      </c>
      <c r="C4136" s="232" t="str">
        <f>IF(AND(A4136&lt;&gt;"",ISNUMBER(A4136)),VLOOKUP(A4136,Studies!A:BR,3,FALSE),"")</f>
        <v>https://www.ncbi.nlm.nih.gov/pubmed/8181191</v>
      </c>
      <c r="D4136" s="232" t="str">
        <f>IF(AND(A4136&lt;&gt;"",ISNUMBER(A4136)),VLOOKUP(A4136,Studies!A:BR,4,FALSE),"")</f>
        <v>po with Perpetrator (Ketoconazole</v>
      </c>
      <c r="E4136" s="206" t="str">
        <f>IF(AND(A4136&lt;&gt;"",ISNUMBER(A4136)),VLOOKUP(A4136,Studies!A:BR,5,FALSE),"")</f>
        <v>Midazolam</v>
      </c>
      <c r="F4136" s="207" t="str">
        <f>IF(AND(A4136&lt;&gt;"",ISNUMBER(A4136)),VLOOKUP(A4136,Studies!A:BR,6,FALSE),"")</f>
        <v>Plasma</v>
      </c>
      <c r="G4136" s="194">
        <f>73+6</f>
        <v>79</v>
      </c>
      <c r="H4136" s="194" t="s">
        <v>60</v>
      </c>
      <c r="I4136" s="187">
        <v>49.885680000000001</v>
      </c>
      <c r="J4136" s="187" t="s">
        <v>1026</v>
      </c>
      <c r="K4136" s="187" t="s">
        <v>116</v>
      </c>
      <c r="L4136" s="195">
        <v>3.3756219999999999</v>
      </c>
      <c r="M4136" s="195" t="s">
        <v>1026</v>
      </c>
      <c r="N4136" s="195" t="s">
        <v>1034</v>
      </c>
      <c r="O4136" s="199"/>
      <c r="P4136" s="188"/>
    </row>
    <row r="4137" spans="1:16" s="183" customFormat="1" x14ac:dyDescent="0.2">
      <c r="A4137" s="213">
        <v>371</v>
      </c>
      <c r="B4137" s="232" t="str">
        <f>IF(AND(A4137&lt;&gt;"",ISNUMBER(A4137)),VLOOKUP(A4137,Studies!A:BR,2,FALSE),"")</f>
        <v>Olkkola 1994</v>
      </c>
      <c r="C4137" s="232" t="str">
        <f>IF(AND(A4137&lt;&gt;"",ISNUMBER(A4137)),VLOOKUP(A4137,Studies!A:BR,3,FALSE),"")</f>
        <v>https://www.ncbi.nlm.nih.gov/pubmed/8181191</v>
      </c>
      <c r="D4137" s="232" t="str">
        <f>IF(AND(A4137&lt;&gt;"",ISNUMBER(A4137)),VLOOKUP(A4137,Studies!A:BR,4,FALSE),"")</f>
        <v>po with Perpetrator (Ketoconazole</v>
      </c>
      <c r="E4137" s="206" t="str">
        <f>IF(AND(A4137&lt;&gt;"",ISNUMBER(A4137)),VLOOKUP(A4137,Studies!A:BR,5,FALSE),"")</f>
        <v>Midazolam</v>
      </c>
      <c r="F4137" s="207" t="str">
        <f>IF(AND(A4137&lt;&gt;"",ISNUMBER(A4137)),VLOOKUP(A4137,Studies!A:BR,6,FALSE),"")</f>
        <v>Plasma</v>
      </c>
      <c r="G4137" s="194">
        <f>73+7</f>
        <v>80</v>
      </c>
      <c r="H4137" s="194" t="s">
        <v>60</v>
      </c>
      <c r="I4137" s="187">
        <v>47.192</v>
      </c>
      <c r="J4137" s="187" t="s">
        <v>1026</v>
      </c>
      <c r="K4137" s="187" t="s">
        <v>116</v>
      </c>
      <c r="L4137" s="195">
        <v>3.3784100000000001</v>
      </c>
      <c r="M4137" s="195" t="s">
        <v>1026</v>
      </c>
      <c r="N4137" s="195" t="s">
        <v>1034</v>
      </c>
      <c r="O4137" s="199"/>
      <c r="P4137" s="188"/>
    </row>
    <row r="4138" spans="1:16" s="183" customFormat="1" x14ac:dyDescent="0.2">
      <c r="A4138" s="213">
        <v>371</v>
      </c>
      <c r="B4138" s="232" t="str">
        <f>IF(AND(A4138&lt;&gt;"",ISNUMBER(A4138)),VLOOKUP(A4138,Studies!A:BR,2,FALSE),"")</f>
        <v>Olkkola 1994</v>
      </c>
      <c r="C4138" s="232" t="str">
        <f>IF(AND(A4138&lt;&gt;"",ISNUMBER(A4138)),VLOOKUP(A4138,Studies!A:BR,3,FALSE),"")</f>
        <v>https://www.ncbi.nlm.nih.gov/pubmed/8181191</v>
      </c>
      <c r="D4138" s="232" t="str">
        <f>IF(AND(A4138&lt;&gt;"",ISNUMBER(A4138)),VLOOKUP(A4138,Studies!A:BR,4,FALSE),"")</f>
        <v>po with Perpetrator (Ketoconazole</v>
      </c>
      <c r="E4138" s="206" t="str">
        <f>IF(AND(A4138&lt;&gt;"",ISNUMBER(A4138)),VLOOKUP(A4138,Studies!A:BR,5,FALSE),"")</f>
        <v>Midazolam</v>
      </c>
      <c r="F4138" s="207" t="str">
        <f>IF(AND(A4138&lt;&gt;"",ISNUMBER(A4138)),VLOOKUP(A4138,Studies!A:BR,6,FALSE),"")</f>
        <v>Plasma</v>
      </c>
      <c r="G4138" s="194">
        <f>73+17</f>
        <v>90</v>
      </c>
      <c r="H4138" s="194" t="s">
        <v>60</v>
      </c>
      <c r="I4138" s="187">
        <v>20.257899999999999</v>
      </c>
      <c r="J4138" s="187" t="s">
        <v>1026</v>
      </c>
      <c r="K4138" s="187" t="s">
        <v>116</v>
      </c>
      <c r="L4138" s="195"/>
      <c r="M4138" s="195"/>
      <c r="N4138" s="195"/>
      <c r="O4138" s="199"/>
      <c r="P4138" s="188"/>
    </row>
    <row r="4139" spans="1:16" s="183" customFormat="1" x14ac:dyDescent="0.2">
      <c r="A4139" s="205">
        <v>365</v>
      </c>
      <c r="B4139" s="232" t="str">
        <f>IF(AND(A4139&lt;&gt;"",ISNUMBER(A4139)),VLOOKUP(A4139,Studies!A:BR,2,FALSE),"")</f>
        <v>Olkkola 1993</v>
      </c>
      <c r="C4139" s="232" t="str">
        <f>IF(AND(A4139&lt;&gt;"",ISNUMBER(A4139)),VLOOKUP(A4139,Studies!A:BR,3,FALSE),"")</f>
        <v>https://www.ncbi.nlm.nih.gov/pubmed/8453848</v>
      </c>
      <c r="D4139" s="232" t="str">
        <f>IF(AND(A4139&lt;&gt;"",ISNUMBER(A4139)),VLOOKUP(A4139,Studies!A:BR,4,FALSE),"")</f>
        <v>po Control (Perpetrator Placebo)</v>
      </c>
      <c r="E4139" s="206" t="str">
        <f>IF(AND(A4139&lt;&gt;"",ISNUMBER(A4139)),VLOOKUP(A4139,Studies!A:BR,5,FALSE),"")</f>
        <v>Midazolam</v>
      </c>
      <c r="F4139" s="207" t="str">
        <f>IF(AND(A4139&lt;&gt;"",ISNUMBER(A4139)),VLOOKUP(A4139,Studies!A:BR,6,FALSE),"")</f>
        <v>Plasma</v>
      </c>
      <c r="G4139" s="194">
        <v>0</v>
      </c>
      <c r="H4139" s="194" t="s">
        <v>60</v>
      </c>
      <c r="I4139" s="187">
        <v>0</v>
      </c>
      <c r="J4139" s="187" t="s">
        <v>1026</v>
      </c>
      <c r="K4139" s="187" t="s">
        <v>116</v>
      </c>
      <c r="L4139" s="195"/>
      <c r="M4139" s="195"/>
      <c r="N4139" s="195"/>
      <c r="O4139" s="199"/>
      <c r="P4139" s="188"/>
    </row>
    <row r="4140" spans="1:16" s="183" customFormat="1" x14ac:dyDescent="0.2">
      <c r="A4140" s="205">
        <v>365</v>
      </c>
      <c r="B4140" s="232" t="str">
        <f>IF(AND(A4140&lt;&gt;"",ISNUMBER(A4140)),VLOOKUP(A4140,Studies!A:BR,2,FALSE),"")</f>
        <v>Olkkola 1993</v>
      </c>
      <c r="C4140" s="232" t="str">
        <f>IF(AND(A4140&lt;&gt;"",ISNUMBER(A4140)),VLOOKUP(A4140,Studies!A:BR,3,FALSE),"")</f>
        <v>https://www.ncbi.nlm.nih.gov/pubmed/8453848</v>
      </c>
      <c r="D4140" s="232" t="str">
        <f>IF(AND(A4140&lt;&gt;"",ISNUMBER(A4140)),VLOOKUP(A4140,Studies!A:BR,4,FALSE),"")</f>
        <v>po Control (Perpetrator Placebo)</v>
      </c>
      <c r="E4140" s="206" t="str">
        <f>IF(AND(A4140&lt;&gt;"",ISNUMBER(A4140)),VLOOKUP(A4140,Studies!A:BR,5,FALSE),"")</f>
        <v>Midazolam</v>
      </c>
      <c r="F4140" s="207" t="str">
        <f>IF(AND(A4140&lt;&gt;"",ISNUMBER(A4140)),VLOOKUP(A4140,Studies!A:BR,6,FALSE),"")</f>
        <v>Plasma</v>
      </c>
      <c r="G4140" s="194">
        <v>0.25</v>
      </c>
      <c r="H4140" s="194" t="s">
        <v>60</v>
      </c>
      <c r="I4140" s="187">
        <v>0.36563069999999998</v>
      </c>
      <c r="J4140" s="187" t="s">
        <v>1026</v>
      </c>
      <c r="K4140" s="187" t="s">
        <v>116</v>
      </c>
      <c r="L4140" s="195">
        <v>0.36563069999999998</v>
      </c>
      <c r="M4140" s="195" t="s">
        <v>1026</v>
      </c>
      <c r="N4140" s="195" t="s">
        <v>1034</v>
      </c>
      <c r="O4140" s="199"/>
      <c r="P4140" s="188"/>
    </row>
    <row r="4141" spans="1:16" s="183" customFormat="1" x14ac:dyDescent="0.2">
      <c r="A4141" s="205">
        <v>365</v>
      </c>
      <c r="B4141" s="232" t="str">
        <f>IF(AND(A4141&lt;&gt;"",ISNUMBER(A4141)),VLOOKUP(A4141,Studies!A:BR,2,FALSE),"")</f>
        <v>Olkkola 1993</v>
      </c>
      <c r="C4141" s="232" t="str">
        <f>IF(AND(A4141&lt;&gt;"",ISNUMBER(A4141)),VLOOKUP(A4141,Studies!A:BR,3,FALSE),"")</f>
        <v>https://www.ncbi.nlm.nih.gov/pubmed/8453848</v>
      </c>
      <c r="D4141" s="232" t="str">
        <f>IF(AND(A4141&lt;&gt;"",ISNUMBER(A4141)),VLOOKUP(A4141,Studies!A:BR,4,FALSE),"")</f>
        <v>po Control (Perpetrator Placebo)</v>
      </c>
      <c r="E4141" s="206" t="str">
        <f>IF(AND(A4141&lt;&gt;"",ISNUMBER(A4141)),VLOOKUP(A4141,Studies!A:BR,5,FALSE),"")</f>
        <v>Midazolam</v>
      </c>
      <c r="F4141" s="207" t="str">
        <f>IF(AND(A4141&lt;&gt;"",ISNUMBER(A4141)),VLOOKUP(A4141,Studies!A:BR,6,FALSE),"")</f>
        <v>Plasma</v>
      </c>
      <c r="G4141" s="194">
        <v>0.5</v>
      </c>
      <c r="H4141" s="194" t="s">
        <v>60</v>
      </c>
      <c r="I4141" s="187">
        <v>27.4223</v>
      </c>
      <c r="J4141" s="187" t="s">
        <v>1026</v>
      </c>
      <c r="K4141" s="187" t="s">
        <v>116</v>
      </c>
      <c r="L4141" s="195">
        <v>10.603289999999999</v>
      </c>
      <c r="M4141" s="195" t="s">
        <v>1026</v>
      </c>
      <c r="N4141" s="195" t="s">
        <v>1034</v>
      </c>
      <c r="O4141" s="199"/>
      <c r="P4141" s="188"/>
    </row>
    <row r="4142" spans="1:16" s="183" customFormat="1" x14ac:dyDescent="0.2">
      <c r="A4142" s="205">
        <v>365</v>
      </c>
      <c r="B4142" s="232" t="str">
        <f>IF(AND(A4142&lt;&gt;"",ISNUMBER(A4142)),VLOOKUP(A4142,Studies!A:BR,2,FALSE),"")</f>
        <v>Olkkola 1993</v>
      </c>
      <c r="C4142" s="232" t="str">
        <f>IF(AND(A4142&lt;&gt;"",ISNUMBER(A4142)),VLOOKUP(A4142,Studies!A:BR,3,FALSE),"")</f>
        <v>https://www.ncbi.nlm.nih.gov/pubmed/8453848</v>
      </c>
      <c r="D4142" s="232" t="str">
        <f>IF(AND(A4142&lt;&gt;"",ISNUMBER(A4142)),VLOOKUP(A4142,Studies!A:BR,4,FALSE),"")</f>
        <v>po Control (Perpetrator Placebo)</v>
      </c>
      <c r="E4142" s="206" t="str">
        <f>IF(AND(A4142&lt;&gt;"",ISNUMBER(A4142)),VLOOKUP(A4142,Studies!A:BR,5,FALSE),"")</f>
        <v>Midazolam</v>
      </c>
      <c r="F4142" s="207" t="str">
        <f>IF(AND(A4142&lt;&gt;"",ISNUMBER(A4142)),VLOOKUP(A4142,Studies!A:BR,6,FALSE),"")</f>
        <v>Plasma</v>
      </c>
      <c r="G4142" s="194">
        <v>0.75</v>
      </c>
      <c r="H4142" s="194" t="s">
        <v>60</v>
      </c>
      <c r="I4142" s="187">
        <v>44.241320000000002</v>
      </c>
      <c r="J4142" s="187" t="s">
        <v>1026</v>
      </c>
      <c r="K4142" s="187" t="s">
        <v>116</v>
      </c>
      <c r="L4142" s="195">
        <v>10.23766</v>
      </c>
      <c r="M4142" s="195" t="s">
        <v>1026</v>
      </c>
      <c r="N4142" s="195" t="s">
        <v>1034</v>
      </c>
      <c r="O4142" s="199"/>
      <c r="P4142" s="188"/>
    </row>
    <row r="4143" spans="1:16" s="183" customFormat="1" x14ac:dyDescent="0.2">
      <c r="A4143" s="205">
        <v>365</v>
      </c>
      <c r="B4143" s="232" t="str">
        <f>IF(AND(A4143&lt;&gt;"",ISNUMBER(A4143)),VLOOKUP(A4143,Studies!A:BR,2,FALSE),"")</f>
        <v>Olkkola 1993</v>
      </c>
      <c r="C4143" s="232" t="str">
        <f>IF(AND(A4143&lt;&gt;"",ISNUMBER(A4143)),VLOOKUP(A4143,Studies!A:BR,3,FALSE),"")</f>
        <v>https://www.ncbi.nlm.nih.gov/pubmed/8453848</v>
      </c>
      <c r="D4143" s="232" t="str">
        <f>IF(AND(A4143&lt;&gt;"",ISNUMBER(A4143)),VLOOKUP(A4143,Studies!A:BR,4,FALSE),"")</f>
        <v>po Control (Perpetrator Placebo)</v>
      </c>
      <c r="E4143" s="206" t="str">
        <f>IF(AND(A4143&lt;&gt;"",ISNUMBER(A4143)),VLOOKUP(A4143,Studies!A:BR,5,FALSE),"")</f>
        <v>Midazolam</v>
      </c>
      <c r="F4143" s="207" t="str">
        <f>IF(AND(A4143&lt;&gt;"",ISNUMBER(A4143)),VLOOKUP(A4143,Studies!A:BR,6,FALSE),"")</f>
        <v>Plasma</v>
      </c>
      <c r="G4143" s="194">
        <v>1</v>
      </c>
      <c r="H4143" s="194" t="s">
        <v>60</v>
      </c>
      <c r="I4143" s="187">
        <v>47.53199</v>
      </c>
      <c r="J4143" s="187" t="s">
        <v>1026</v>
      </c>
      <c r="K4143" s="187" t="s">
        <v>116</v>
      </c>
      <c r="L4143" s="195">
        <v>8.0438770000000002</v>
      </c>
      <c r="M4143" s="195" t="s">
        <v>1026</v>
      </c>
      <c r="N4143" s="195" t="s">
        <v>1034</v>
      </c>
      <c r="O4143" s="199"/>
      <c r="P4143" s="188"/>
    </row>
    <row r="4144" spans="1:16" s="183" customFormat="1" x14ac:dyDescent="0.2">
      <c r="A4144" s="205">
        <v>365</v>
      </c>
      <c r="B4144" s="232" t="str">
        <f>IF(AND(A4144&lt;&gt;"",ISNUMBER(A4144)),VLOOKUP(A4144,Studies!A:BR,2,FALSE),"")</f>
        <v>Olkkola 1993</v>
      </c>
      <c r="C4144" s="232" t="str">
        <f>IF(AND(A4144&lt;&gt;"",ISNUMBER(A4144)),VLOOKUP(A4144,Studies!A:BR,3,FALSE),"")</f>
        <v>https://www.ncbi.nlm.nih.gov/pubmed/8453848</v>
      </c>
      <c r="D4144" s="232" t="str">
        <f>IF(AND(A4144&lt;&gt;"",ISNUMBER(A4144)),VLOOKUP(A4144,Studies!A:BR,4,FALSE),"")</f>
        <v>po Control (Perpetrator Placebo)</v>
      </c>
      <c r="E4144" s="206" t="str">
        <f>IF(AND(A4144&lt;&gt;"",ISNUMBER(A4144)),VLOOKUP(A4144,Studies!A:BR,5,FALSE),"")</f>
        <v>Midazolam</v>
      </c>
      <c r="F4144" s="207" t="str">
        <f>IF(AND(A4144&lt;&gt;"",ISNUMBER(A4144)),VLOOKUP(A4144,Studies!A:BR,6,FALSE),"")</f>
        <v>Plasma</v>
      </c>
      <c r="G4144" s="194">
        <v>1.5</v>
      </c>
      <c r="H4144" s="194" t="s">
        <v>60</v>
      </c>
      <c r="I4144" s="187">
        <v>48.263249999999999</v>
      </c>
      <c r="J4144" s="187" t="s">
        <v>1026</v>
      </c>
      <c r="K4144" s="187" t="s">
        <v>116</v>
      </c>
      <c r="L4144" s="195">
        <v>6.5813600000000001</v>
      </c>
      <c r="M4144" s="195" t="s">
        <v>1026</v>
      </c>
      <c r="N4144" s="195" t="s">
        <v>1034</v>
      </c>
      <c r="O4144" s="199"/>
      <c r="P4144" s="189" t="s">
        <v>1173</v>
      </c>
    </row>
    <row r="4145" spans="1:16" s="183" customFormat="1" x14ac:dyDescent="0.2">
      <c r="A4145" s="205">
        <v>365</v>
      </c>
      <c r="B4145" s="232" t="str">
        <f>IF(AND(A4145&lt;&gt;"",ISNUMBER(A4145)),VLOOKUP(A4145,Studies!A:BR,2,FALSE),"")</f>
        <v>Olkkola 1993</v>
      </c>
      <c r="C4145" s="232" t="str">
        <f>IF(AND(A4145&lt;&gt;"",ISNUMBER(A4145)),VLOOKUP(A4145,Studies!A:BR,3,FALSE),"")</f>
        <v>https://www.ncbi.nlm.nih.gov/pubmed/8453848</v>
      </c>
      <c r="D4145" s="232" t="str">
        <f>IF(AND(A4145&lt;&gt;"",ISNUMBER(A4145)),VLOOKUP(A4145,Studies!A:BR,4,FALSE),"")</f>
        <v>po Control (Perpetrator Placebo)</v>
      </c>
      <c r="E4145" s="206" t="str">
        <f>IF(AND(A4145&lt;&gt;"",ISNUMBER(A4145)),VLOOKUP(A4145,Studies!A:BR,5,FALSE),"")</f>
        <v>Midazolam</v>
      </c>
      <c r="F4145" s="207" t="str">
        <f>IF(AND(A4145&lt;&gt;"",ISNUMBER(A4145)),VLOOKUP(A4145,Studies!A:BR,6,FALSE),"")</f>
        <v>Plasma</v>
      </c>
      <c r="G4145" s="194">
        <v>2</v>
      </c>
      <c r="H4145" s="194" t="s">
        <v>60</v>
      </c>
      <c r="I4145" s="187">
        <v>46.800730000000001</v>
      </c>
      <c r="J4145" s="187" t="s">
        <v>1026</v>
      </c>
      <c r="K4145" s="187" t="s">
        <v>116</v>
      </c>
      <c r="L4145" s="195">
        <v>4.3875690000000001</v>
      </c>
      <c r="M4145" s="195" t="s">
        <v>1026</v>
      </c>
      <c r="N4145" s="195" t="s">
        <v>1034</v>
      </c>
      <c r="O4145" s="199"/>
      <c r="P4145" s="188"/>
    </row>
    <row r="4146" spans="1:16" s="183" customFormat="1" x14ac:dyDescent="0.2">
      <c r="A4146" s="205">
        <v>365</v>
      </c>
      <c r="B4146" s="232" t="str">
        <f>IF(AND(A4146&lt;&gt;"",ISNUMBER(A4146)),VLOOKUP(A4146,Studies!A:BR,2,FALSE),"")</f>
        <v>Olkkola 1993</v>
      </c>
      <c r="C4146" s="232" t="str">
        <f>IF(AND(A4146&lt;&gt;"",ISNUMBER(A4146)),VLOOKUP(A4146,Studies!A:BR,3,FALSE),"")</f>
        <v>https://www.ncbi.nlm.nih.gov/pubmed/8453848</v>
      </c>
      <c r="D4146" s="232" t="str">
        <f>IF(AND(A4146&lt;&gt;"",ISNUMBER(A4146)),VLOOKUP(A4146,Studies!A:BR,4,FALSE),"")</f>
        <v>po Control (Perpetrator Placebo)</v>
      </c>
      <c r="E4146" s="206" t="str">
        <f>IF(AND(A4146&lt;&gt;"",ISNUMBER(A4146)),VLOOKUP(A4146,Studies!A:BR,5,FALSE),"")</f>
        <v>Midazolam</v>
      </c>
      <c r="F4146" s="207" t="str">
        <f>IF(AND(A4146&lt;&gt;"",ISNUMBER(A4146)),VLOOKUP(A4146,Studies!A:BR,6,FALSE),"")</f>
        <v>Plasma</v>
      </c>
      <c r="G4146" s="194">
        <v>3</v>
      </c>
      <c r="H4146" s="194" t="s">
        <v>60</v>
      </c>
      <c r="I4146" s="187">
        <v>36.19744</v>
      </c>
      <c r="J4146" s="187" t="s">
        <v>1026</v>
      </c>
      <c r="K4146" s="187" t="s">
        <v>116</v>
      </c>
      <c r="L4146" s="195">
        <v>3.2906759999999999</v>
      </c>
      <c r="M4146" s="195" t="s">
        <v>1026</v>
      </c>
      <c r="N4146" s="195" t="s">
        <v>1034</v>
      </c>
      <c r="O4146" s="199"/>
      <c r="P4146" s="188"/>
    </row>
    <row r="4147" spans="1:16" s="183" customFormat="1" x14ac:dyDescent="0.2">
      <c r="A4147" s="205">
        <v>365</v>
      </c>
      <c r="B4147" s="232" t="str">
        <f>IF(AND(A4147&lt;&gt;"",ISNUMBER(A4147)),VLOOKUP(A4147,Studies!A:BR,2,FALSE),"")</f>
        <v>Olkkola 1993</v>
      </c>
      <c r="C4147" s="232" t="str">
        <f>IF(AND(A4147&lt;&gt;"",ISNUMBER(A4147)),VLOOKUP(A4147,Studies!A:BR,3,FALSE),"")</f>
        <v>https://www.ncbi.nlm.nih.gov/pubmed/8453848</v>
      </c>
      <c r="D4147" s="232" t="str">
        <f>IF(AND(A4147&lt;&gt;"",ISNUMBER(A4147)),VLOOKUP(A4147,Studies!A:BR,4,FALSE),"")</f>
        <v>po Control (Perpetrator Placebo)</v>
      </c>
      <c r="E4147" s="206" t="str">
        <f>IF(AND(A4147&lt;&gt;"",ISNUMBER(A4147)),VLOOKUP(A4147,Studies!A:BR,5,FALSE),"")</f>
        <v>Midazolam</v>
      </c>
      <c r="F4147" s="207" t="str">
        <f>IF(AND(A4147&lt;&gt;"",ISNUMBER(A4147)),VLOOKUP(A4147,Studies!A:BR,6,FALSE),"")</f>
        <v>Plasma</v>
      </c>
      <c r="G4147" s="194">
        <v>4</v>
      </c>
      <c r="H4147" s="194" t="s">
        <v>60</v>
      </c>
      <c r="I4147" s="187">
        <v>21.937840000000001</v>
      </c>
      <c r="J4147" s="187" t="s">
        <v>1026</v>
      </c>
      <c r="K4147" s="187" t="s">
        <v>116</v>
      </c>
      <c r="L4147" s="195">
        <v>1.828157</v>
      </c>
      <c r="M4147" s="195" t="s">
        <v>1026</v>
      </c>
      <c r="N4147" s="195" t="s">
        <v>1034</v>
      </c>
      <c r="O4147" s="199"/>
      <c r="P4147" s="188"/>
    </row>
    <row r="4148" spans="1:16" s="183" customFormat="1" x14ac:dyDescent="0.2">
      <c r="A4148" s="205">
        <v>365</v>
      </c>
      <c r="B4148" s="232" t="str">
        <f>IF(AND(A4148&lt;&gt;"",ISNUMBER(A4148)),VLOOKUP(A4148,Studies!A:BR,2,FALSE),"")</f>
        <v>Olkkola 1993</v>
      </c>
      <c r="C4148" s="232" t="str">
        <f>IF(AND(A4148&lt;&gt;"",ISNUMBER(A4148)),VLOOKUP(A4148,Studies!A:BR,3,FALSE),"")</f>
        <v>https://www.ncbi.nlm.nih.gov/pubmed/8453848</v>
      </c>
      <c r="D4148" s="232" t="str">
        <f>IF(AND(A4148&lt;&gt;"",ISNUMBER(A4148)),VLOOKUP(A4148,Studies!A:BR,4,FALSE),"")</f>
        <v>po Control (Perpetrator Placebo)</v>
      </c>
      <c r="E4148" s="206" t="str">
        <f>IF(AND(A4148&lt;&gt;"",ISNUMBER(A4148)),VLOOKUP(A4148,Studies!A:BR,5,FALSE),"")</f>
        <v>Midazolam</v>
      </c>
      <c r="F4148" s="207" t="str">
        <f>IF(AND(A4148&lt;&gt;"",ISNUMBER(A4148)),VLOOKUP(A4148,Studies!A:BR,6,FALSE),"")</f>
        <v>Plasma</v>
      </c>
      <c r="G4148" s="194">
        <v>5</v>
      </c>
      <c r="H4148" s="194" t="s">
        <v>60</v>
      </c>
      <c r="I4148" s="187">
        <v>14.259600000000001</v>
      </c>
      <c r="J4148" s="187" t="s">
        <v>1026</v>
      </c>
      <c r="K4148" s="187" t="s">
        <v>116</v>
      </c>
      <c r="L4148" s="195">
        <v>1.462521</v>
      </c>
      <c r="M4148" s="195" t="s">
        <v>1026</v>
      </c>
      <c r="N4148" s="195" t="s">
        <v>1034</v>
      </c>
      <c r="O4148" s="199"/>
      <c r="P4148" s="188"/>
    </row>
    <row r="4149" spans="1:16" s="183" customFormat="1" x14ac:dyDescent="0.2">
      <c r="A4149" s="205">
        <v>365</v>
      </c>
      <c r="B4149" s="232" t="str">
        <f>IF(AND(A4149&lt;&gt;"",ISNUMBER(A4149)),VLOOKUP(A4149,Studies!A:BR,2,FALSE),"")</f>
        <v>Olkkola 1993</v>
      </c>
      <c r="C4149" s="232" t="str">
        <f>IF(AND(A4149&lt;&gt;"",ISNUMBER(A4149)),VLOOKUP(A4149,Studies!A:BR,3,FALSE),"")</f>
        <v>https://www.ncbi.nlm.nih.gov/pubmed/8453848</v>
      </c>
      <c r="D4149" s="232" t="str">
        <f>IF(AND(A4149&lt;&gt;"",ISNUMBER(A4149)),VLOOKUP(A4149,Studies!A:BR,4,FALSE),"")</f>
        <v>po Control (Perpetrator Placebo)</v>
      </c>
      <c r="E4149" s="206" t="str">
        <f>IF(AND(A4149&lt;&gt;"",ISNUMBER(A4149)),VLOOKUP(A4149,Studies!A:BR,5,FALSE),"")</f>
        <v>Midazolam</v>
      </c>
      <c r="F4149" s="207" t="str">
        <f>IF(AND(A4149&lt;&gt;"",ISNUMBER(A4149)),VLOOKUP(A4149,Studies!A:BR,6,FALSE),"")</f>
        <v>Plasma</v>
      </c>
      <c r="G4149" s="194">
        <v>6</v>
      </c>
      <c r="H4149" s="194" t="s">
        <v>60</v>
      </c>
      <c r="I4149" s="187">
        <v>8.7751370000000009</v>
      </c>
      <c r="J4149" s="187" t="s">
        <v>1026</v>
      </c>
      <c r="K4149" s="187" t="s">
        <v>116</v>
      </c>
      <c r="L4149" s="195">
        <v>1.096892</v>
      </c>
      <c r="M4149" s="195" t="s">
        <v>1026</v>
      </c>
      <c r="N4149" s="195" t="s">
        <v>1034</v>
      </c>
      <c r="O4149" s="199"/>
      <c r="P4149" s="188"/>
    </row>
    <row r="4150" spans="1:16" s="183" customFormat="1" x14ac:dyDescent="0.2">
      <c r="A4150" s="205">
        <v>365</v>
      </c>
      <c r="B4150" s="232" t="str">
        <f>IF(AND(A4150&lt;&gt;"",ISNUMBER(A4150)),VLOOKUP(A4150,Studies!A:BR,2,FALSE),"")</f>
        <v>Olkkola 1993</v>
      </c>
      <c r="C4150" s="232" t="str">
        <f>IF(AND(A4150&lt;&gt;"",ISNUMBER(A4150)),VLOOKUP(A4150,Studies!A:BR,3,FALSE),"")</f>
        <v>https://www.ncbi.nlm.nih.gov/pubmed/8453848</v>
      </c>
      <c r="D4150" s="232" t="str">
        <f>IF(AND(A4150&lt;&gt;"",ISNUMBER(A4150)),VLOOKUP(A4150,Studies!A:BR,4,FALSE),"")</f>
        <v>po Control (Perpetrator Placebo)</v>
      </c>
      <c r="E4150" s="206" t="str">
        <f>IF(AND(A4150&lt;&gt;"",ISNUMBER(A4150)),VLOOKUP(A4150,Studies!A:BR,5,FALSE),"")</f>
        <v>Midazolam</v>
      </c>
      <c r="F4150" s="207" t="str">
        <f>IF(AND(A4150&lt;&gt;"",ISNUMBER(A4150)),VLOOKUP(A4150,Studies!A:BR,6,FALSE),"")</f>
        <v>Plasma</v>
      </c>
      <c r="G4150" s="194">
        <v>18</v>
      </c>
      <c r="H4150" s="194" t="s">
        <v>60</v>
      </c>
      <c r="I4150" s="187">
        <v>0.73126139999999995</v>
      </c>
      <c r="J4150" s="187" t="s">
        <v>1026</v>
      </c>
      <c r="K4150" s="187" t="s">
        <v>116</v>
      </c>
      <c r="L4150" s="195">
        <v>5.9604600000000002E-8</v>
      </c>
      <c r="M4150" s="195" t="s">
        <v>1026</v>
      </c>
      <c r="N4150" s="195" t="s">
        <v>1034</v>
      </c>
      <c r="O4150" s="199"/>
      <c r="P4150" s="188"/>
    </row>
    <row r="4151" spans="1:16" s="183" customFormat="1" x14ac:dyDescent="0.2">
      <c r="A4151" s="205">
        <v>366</v>
      </c>
      <c r="B4151" s="232" t="str">
        <f>IF(AND(A4151&lt;&gt;"",ISNUMBER(A4151)),VLOOKUP(A4151,Studies!A:BR,2,FALSE),"")</f>
        <v>Olkkola 1993</v>
      </c>
      <c r="C4151" s="232" t="str">
        <f>IF(AND(A4151&lt;&gt;"",ISNUMBER(A4151)),VLOOKUP(A4151,Studies!A:BR,3,FALSE),"")</f>
        <v>https://www.ncbi.nlm.nih.gov/pubmed/8453848</v>
      </c>
      <c r="D4151" s="232" t="str">
        <f>IF(AND(A4151&lt;&gt;"",ISNUMBER(A4151)),VLOOKUP(A4151,Studies!A:BR,4,FALSE),"")</f>
        <v>po with Perpetrator (Erythromycin)</v>
      </c>
      <c r="E4151" s="206" t="str">
        <f>IF(AND(A4151&lt;&gt;"",ISNUMBER(A4151)),VLOOKUP(A4151,Studies!A:BR,5,FALSE),"")</f>
        <v>Midazolam</v>
      </c>
      <c r="F4151" s="207" t="str">
        <f>IF(AND(A4151&lt;&gt;"",ISNUMBER(A4151)),VLOOKUP(A4151,Studies!A:BR,6,FALSE),"")</f>
        <v>Plasma</v>
      </c>
      <c r="G4151" s="194">
        <f>128+0</f>
        <v>128</v>
      </c>
      <c r="H4151" s="194" t="s">
        <v>60</v>
      </c>
      <c r="I4151" s="187">
        <v>0</v>
      </c>
      <c r="J4151" s="187" t="s">
        <v>1026</v>
      </c>
      <c r="K4151" s="187" t="s">
        <v>116</v>
      </c>
      <c r="L4151" s="195"/>
      <c r="M4151" s="195"/>
      <c r="N4151" s="195"/>
      <c r="O4151" s="199"/>
      <c r="P4151" s="188"/>
    </row>
    <row r="4152" spans="1:16" s="183" customFormat="1" x14ac:dyDescent="0.2">
      <c r="A4152" s="205">
        <v>366</v>
      </c>
      <c r="B4152" s="232" t="str">
        <f>IF(AND(A4152&lt;&gt;"",ISNUMBER(A4152)),VLOOKUP(A4152,Studies!A:BR,2,FALSE),"")</f>
        <v>Olkkola 1993</v>
      </c>
      <c r="C4152" s="232" t="str">
        <f>IF(AND(A4152&lt;&gt;"",ISNUMBER(A4152)),VLOOKUP(A4152,Studies!A:BR,3,FALSE),"")</f>
        <v>https://www.ncbi.nlm.nih.gov/pubmed/8453848</v>
      </c>
      <c r="D4152" s="232" t="str">
        <f>IF(AND(A4152&lt;&gt;"",ISNUMBER(A4152)),VLOOKUP(A4152,Studies!A:BR,4,FALSE),"")</f>
        <v>po with Perpetrator (Erythromycin)</v>
      </c>
      <c r="E4152" s="206" t="str">
        <f>IF(AND(A4152&lt;&gt;"",ISNUMBER(A4152)),VLOOKUP(A4152,Studies!A:BR,5,FALSE),"")</f>
        <v>Midazolam</v>
      </c>
      <c r="F4152" s="207" t="str">
        <f>IF(AND(A4152&lt;&gt;"",ISNUMBER(A4152)),VLOOKUP(A4152,Studies!A:BR,6,FALSE),"")</f>
        <v>Plasma</v>
      </c>
      <c r="G4152" s="194">
        <f>128+0.25</f>
        <v>128.25</v>
      </c>
      <c r="H4152" s="194" t="s">
        <v>60</v>
      </c>
      <c r="I4152" s="187">
        <v>12.065810000000001</v>
      </c>
      <c r="J4152" s="187" t="s">
        <v>1026</v>
      </c>
      <c r="K4152" s="187" t="s">
        <v>116</v>
      </c>
      <c r="L4152" s="195">
        <v>5.1188330000000004</v>
      </c>
      <c r="M4152" s="195" t="s">
        <v>1026</v>
      </c>
      <c r="N4152" s="195" t="s">
        <v>1034</v>
      </c>
      <c r="O4152" s="199"/>
      <c r="P4152" s="188"/>
    </row>
    <row r="4153" spans="1:16" s="183" customFormat="1" x14ac:dyDescent="0.2">
      <c r="A4153" s="205">
        <v>366</v>
      </c>
      <c r="B4153" s="232" t="str">
        <f>IF(AND(A4153&lt;&gt;"",ISNUMBER(A4153)),VLOOKUP(A4153,Studies!A:BR,2,FALSE),"")</f>
        <v>Olkkola 1993</v>
      </c>
      <c r="C4153" s="232" t="str">
        <f>IF(AND(A4153&lt;&gt;"",ISNUMBER(A4153)),VLOOKUP(A4153,Studies!A:BR,3,FALSE),"")</f>
        <v>https://www.ncbi.nlm.nih.gov/pubmed/8453848</v>
      </c>
      <c r="D4153" s="232" t="str">
        <f>IF(AND(A4153&lt;&gt;"",ISNUMBER(A4153)),VLOOKUP(A4153,Studies!A:BR,4,FALSE),"")</f>
        <v>po with Perpetrator (Erythromycin)</v>
      </c>
      <c r="E4153" s="206" t="str">
        <f>IF(AND(A4153&lt;&gt;"",ISNUMBER(A4153)),VLOOKUP(A4153,Studies!A:BR,5,FALSE),"")</f>
        <v>Midazolam</v>
      </c>
      <c r="F4153" s="207" t="str">
        <f>IF(AND(A4153&lt;&gt;"",ISNUMBER(A4153)),VLOOKUP(A4153,Studies!A:BR,6,FALSE),"")</f>
        <v>Plasma</v>
      </c>
      <c r="G4153" s="194">
        <f>128+0.5</f>
        <v>128.5</v>
      </c>
      <c r="H4153" s="194" t="s">
        <v>60</v>
      </c>
      <c r="I4153" s="187">
        <v>142.2303</v>
      </c>
      <c r="J4153" s="187" t="s">
        <v>1026</v>
      </c>
      <c r="K4153" s="187" t="s">
        <v>116</v>
      </c>
      <c r="L4153" s="195">
        <v>22.669139999999999</v>
      </c>
      <c r="M4153" s="195" t="s">
        <v>1026</v>
      </c>
      <c r="N4153" s="195" t="s">
        <v>1034</v>
      </c>
      <c r="O4153" s="199"/>
      <c r="P4153" s="188"/>
    </row>
    <row r="4154" spans="1:16" s="183" customFormat="1" x14ac:dyDescent="0.2">
      <c r="A4154" s="205">
        <v>366</v>
      </c>
      <c r="B4154" s="232" t="str">
        <f>IF(AND(A4154&lt;&gt;"",ISNUMBER(A4154)),VLOOKUP(A4154,Studies!A:BR,2,FALSE),"")</f>
        <v>Olkkola 1993</v>
      </c>
      <c r="C4154" s="232" t="str">
        <f>IF(AND(A4154&lt;&gt;"",ISNUMBER(A4154)),VLOOKUP(A4154,Studies!A:BR,3,FALSE),"")</f>
        <v>https://www.ncbi.nlm.nih.gov/pubmed/8453848</v>
      </c>
      <c r="D4154" s="232" t="str">
        <f>IF(AND(A4154&lt;&gt;"",ISNUMBER(A4154)),VLOOKUP(A4154,Studies!A:BR,4,FALSE),"")</f>
        <v>po with Perpetrator (Erythromycin)</v>
      </c>
      <c r="E4154" s="206" t="str">
        <f>IF(AND(A4154&lt;&gt;"",ISNUMBER(A4154)),VLOOKUP(A4154,Studies!A:BR,5,FALSE),"")</f>
        <v>Midazolam</v>
      </c>
      <c r="F4154" s="207" t="str">
        <f>IF(AND(A4154&lt;&gt;"",ISNUMBER(A4154)),VLOOKUP(A4154,Studies!A:BR,6,FALSE),"")</f>
        <v>Plasma</v>
      </c>
      <c r="G4154" s="194">
        <f>128+0.75</f>
        <v>128.75</v>
      </c>
      <c r="H4154" s="194" t="s">
        <v>60</v>
      </c>
      <c r="I4154" s="187">
        <v>162.70570000000001</v>
      </c>
      <c r="J4154" s="187" t="s">
        <v>1026</v>
      </c>
      <c r="K4154" s="187" t="s">
        <v>116</v>
      </c>
      <c r="L4154" s="195">
        <v>16.81897</v>
      </c>
      <c r="M4154" s="195" t="s">
        <v>1026</v>
      </c>
      <c r="N4154" s="195" t="s">
        <v>1034</v>
      </c>
      <c r="O4154" s="199"/>
      <c r="P4154" s="188"/>
    </row>
    <row r="4155" spans="1:16" s="183" customFormat="1" x14ac:dyDescent="0.2">
      <c r="A4155" s="205">
        <v>366</v>
      </c>
      <c r="B4155" s="232" t="str">
        <f>IF(AND(A4155&lt;&gt;"",ISNUMBER(A4155)),VLOOKUP(A4155,Studies!A:BR,2,FALSE),"")</f>
        <v>Olkkola 1993</v>
      </c>
      <c r="C4155" s="232" t="str">
        <f>IF(AND(A4155&lt;&gt;"",ISNUMBER(A4155)),VLOOKUP(A4155,Studies!A:BR,3,FALSE),"")</f>
        <v>https://www.ncbi.nlm.nih.gov/pubmed/8453848</v>
      </c>
      <c r="D4155" s="232" t="str">
        <f>IF(AND(A4155&lt;&gt;"",ISNUMBER(A4155)),VLOOKUP(A4155,Studies!A:BR,4,FALSE),"")</f>
        <v>po with Perpetrator (Erythromycin)</v>
      </c>
      <c r="E4155" s="206" t="str">
        <f>IF(AND(A4155&lt;&gt;"",ISNUMBER(A4155)),VLOOKUP(A4155,Studies!A:BR,5,FALSE),"")</f>
        <v>Midazolam</v>
      </c>
      <c r="F4155" s="207" t="str">
        <f>IF(AND(A4155&lt;&gt;"",ISNUMBER(A4155)),VLOOKUP(A4155,Studies!A:BR,6,FALSE),"")</f>
        <v>Plasma</v>
      </c>
      <c r="G4155" s="194">
        <f>128+1</f>
        <v>129</v>
      </c>
      <c r="H4155" s="194" t="s">
        <v>60</v>
      </c>
      <c r="I4155" s="187">
        <v>163.43690000000001</v>
      </c>
      <c r="J4155" s="187" t="s">
        <v>1026</v>
      </c>
      <c r="K4155" s="187" t="s">
        <v>116</v>
      </c>
      <c r="L4155" s="195">
        <v>14.99089</v>
      </c>
      <c r="M4155" s="195" t="s">
        <v>1026</v>
      </c>
      <c r="N4155" s="195" t="s">
        <v>1034</v>
      </c>
      <c r="O4155" s="199"/>
      <c r="P4155" s="188"/>
    </row>
    <row r="4156" spans="1:16" s="183" customFormat="1" x14ac:dyDescent="0.2">
      <c r="A4156" s="205">
        <v>366</v>
      </c>
      <c r="B4156" s="232" t="str">
        <f>IF(AND(A4156&lt;&gt;"",ISNUMBER(A4156)),VLOOKUP(A4156,Studies!A:BR,2,FALSE),"")</f>
        <v>Olkkola 1993</v>
      </c>
      <c r="C4156" s="232" t="str">
        <f>IF(AND(A4156&lt;&gt;"",ISNUMBER(A4156)),VLOOKUP(A4156,Studies!A:BR,3,FALSE),"")</f>
        <v>https://www.ncbi.nlm.nih.gov/pubmed/8453848</v>
      </c>
      <c r="D4156" s="232" t="str">
        <f>IF(AND(A4156&lt;&gt;"",ISNUMBER(A4156)),VLOOKUP(A4156,Studies!A:BR,4,FALSE),"")</f>
        <v>po with Perpetrator (Erythromycin)</v>
      </c>
      <c r="E4156" s="206" t="str">
        <f>IF(AND(A4156&lt;&gt;"",ISNUMBER(A4156)),VLOOKUP(A4156,Studies!A:BR,5,FALSE),"")</f>
        <v>Midazolam</v>
      </c>
      <c r="F4156" s="207" t="str">
        <f>IF(AND(A4156&lt;&gt;"",ISNUMBER(A4156)),VLOOKUP(A4156,Studies!A:BR,6,FALSE),"")</f>
        <v>Plasma</v>
      </c>
      <c r="G4156" s="194">
        <f>128+1.5</f>
        <v>129.5</v>
      </c>
      <c r="H4156" s="194" t="s">
        <v>60</v>
      </c>
      <c r="I4156" s="187">
        <v>150.27420000000001</v>
      </c>
      <c r="J4156" s="187" t="s">
        <v>1026</v>
      </c>
      <c r="K4156" s="187" t="s">
        <v>116</v>
      </c>
      <c r="L4156" s="195">
        <v>15.35651</v>
      </c>
      <c r="M4156" s="195" t="s">
        <v>1026</v>
      </c>
      <c r="N4156" s="195" t="s">
        <v>1034</v>
      </c>
      <c r="O4156" s="199"/>
      <c r="P4156" s="189" t="s">
        <v>1173</v>
      </c>
    </row>
    <row r="4157" spans="1:16" s="183" customFormat="1" x14ac:dyDescent="0.2">
      <c r="A4157" s="205">
        <v>366</v>
      </c>
      <c r="B4157" s="232" t="str">
        <f>IF(AND(A4157&lt;&gt;"",ISNUMBER(A4157)),VLOOKUP(A4157,Studies!A:BR,2,FALSE),"")</f>
        <v>Olkkola 1993</v>
      </c>
      <c r="C4157" s="232" t="str">
        <f>IF(AND(A4157&lt;&gt;"",ISNUMBER(A4157)),VLOOKUP(A4157,Studies!A:BR,3,FALSE),"")</f>
        <v>https://www.ncbi.nlm.nih.gov/pubmed/8453848</v>
      </c>
      <c r="D4157" s="232" t="str">
        <f>IF(AND(A4157&lt;&gt;"",ISNUMBER(A4157)),VLOOKUP(A4157,Studies!A:BR,4,FALSE),"")</f>
        <v>po with Perpetrator (Erythromycin)</v>
      </c>
      <c r="E4157" s="206" t="str">
        <f>IF(AND(A4157&lt;&gt;"",ISNUMBER(A4157)),VLOOKUP(A4157,Studies!A:BR,5,FALSE),"")</f>
        <v>Midazolam</v>
      </c>
      <c r="F4157" s="207" t="str">
        <f>IF(AND(A4157&lt;&gt;"",ISNUMBER(A4157)),VLOOKUP(A4157,Studies!A:BR,6,FALSE),"")</f>
        <v>Plasma</v>
      </c>
      <c r="G4157" s="194">
        <f>128+2</f>
        <v>130</v>
      </c>
      <c r="H4157" s="194" t="s">
        <v>60</v>
      </c>
      <c r="I4157" s="187">
        <v>122.4863</v>
      </c>
      <c r="J4157" s="187" t="s">
        <v>1026</v>
      </c>
      <c r="K4157" s="187" t="s">
        <v>116</v>
      </c>
      <c r="L4157" s="195">
        <v>13.89395</v>
      </c>
      <c r="M4157" s="195" t="s">
        <v>1026</v>
      </c>
      <c r="N4157" s="195" t="s">
        <v>1034</v>
      </c>
      <c r="O4157" s="199"/>
      <c r="P4157" s="188"/>
    </row>
    <row r="4158" spans="1:16" s="183" customFormat="1" x14ac:dyDescent="0.2">
      <c r="A4158" s="205">
        <v>366</v>
      </c>
      <c r="B4158" s="232" t="str">
        <f>IF(AND(A4158&lt;&gt;"",ISNUMBER(A4158)),VLOOKUP(A4158,Studies!A:BR,2,FALSE),"")</f>
        <v>Olkkola 1993</v>
      </c>
      <c r="C4158" s="232" t="str">
        <f>IF(AND(A4158&lt;&gt;"",ISNUMBER(A4158)),VLOOKUP(A4158,Studies!A:BR,3,FALSE),"")</f>
        <v>https://www.ncbi.nlm.nih.gov/pubmed/8453848</v>
      </c>
      <c r="D4158" s="232" t="str">
        <f>IF(AND(A4158&lt;&gt;"",ISNUMBER(A4158)),VLOOKUP(A4158,Studies!A:BR,4,FALSE),"")</f>
        <v>po with Perpetrator (Erythromycin)</v>
      </c>
      <c r="E4158" s="206" t="str">
        <f>IF(AND(A4158&lt;&gt;"",ISNUMBER(A4158)),VLOOKUP(A4158,Studies!A:BR,5,FALSE),"")</f>
        <v>Midazolam</v>
      </c>
      <c r="F4158" s="207" t="str">
        <f>IF(AND(A4158&lt;&gt;"",ISNUMBER(A4158)),VLOOKUP(A4158,Studies!A:BR,6,FALSE),"")</f>
        <v>Plasma</v>
      </c>
      <c r="G4158" s="194">
        <f>128+3</f>
        <v>131</v>
      </c>
      <c r="H4158" s="194" t="s">
        <v>60</v>
      </c>
      <c r="I4158" s="187">
        <v>93.601460000000003</v>
      </c>
      <c r="J4158" s="187" t="s">
        <v>1026</v>
      </c>
      <c r="K4158" s="187" t="s">
        <v>116</v>
      </c>
      <c r="L4158" s="195">
        <v>9.5064010000000003</v>
      </c>
      <c r="M4158" s="195" t="s">
        <v>1026</v>
      </c>
      <c r="N4158" s="195" t="s">
        <v>1034</v>
      </c>
      <c r="O4158" s="199"/>
      <c r="P4158" s="188"/>
    </row>
    <row r="4159" spans="1:16" s="183" customFormat="1" x14ac:dyDescent="0.2">
      <c r="A4159" s="205">
        <v>366</v>
      </c>
      <c r="B4159" s="232" t="str">
        <f>IF(AND(A4159&lt;&gt;"",ISNUMBER(A4159)),VLOOKUP(A4159,Studies!A:BR,2,FALSE),"")</f>
        <v>Olkkola 1993</v>
      </c>
      <c r="C4159" s="232" t="str">
        <f>IF(AND(A4159&lt;&gt;"",ISNUMBER(A4159)),VLOOKUP(A4159,Studies!A:BR,3,FALSE),"")</f>
        <v>https://www.ncbi.nlm.nih.gov/pubmed/8453848</v>
      </c>
      <c r="D4159" s="232" t="str">
        <f>IF(AND(A4159&lt;&gt;"",ISNUMBER(A4159)),VLOOKUP(A4159,Studies!A:BR,4,FALSE),"")</f>
        <v>po with Perpetrator (Erythromycin)</v>
      </c>
      <c r="E4159" s="206" t="str">
        <f>IF(AND(A4159&lt;&gt;"",ISNUMBER(A4159)),VLOOKUP(A4159,Studies!A:BR,5,FALSE),"")</f>
        <v>Midazolam</v>
      </c>
      <c r="F4159" s="207" t="str">
        <f>IF(AND(A4159&lt;&gt;"",ISNUMBER(A4159)),VLOOKUP(A4159,Studies!A:BR,6,FALSE),"")</f>
        <v>Plasma</v>
      </c>
      <c r="G4159" s="194">
        <f>128+4</f>
        <v>132</v>
      </c>
      <c r="H4159" s="194" t="s">
        <v>60</v>
      </c>
      <c r="I4159" s="187">
        <v>70.932360000000003</v>
      </c>
      <c r="J4159" s="187" t="s">
        <v>1026</v>
      </c>
      <c r="K4159" s="187" t="s">
        <v>116</v>
      </c>
      <c r="L4159" s="195">
        <v>8.4095080000000006</v>
      </c>
      <c r="M4159" s="195" t="s">
        <v>1026</v>
      </c>
      <c r="N4159" s="195" t="s">
        <v>1034</v>
      </c>
      <c r="O4159" s="199"/>
      <c r="P4159" s="188"/>
    </row>
    <row r="4160" spans="1:16" s="183" customFormat="1" x14ac:dyDescent="0.2">
      <c r="A4160" s="205">
        <v>366</v>
      </c>
      <c r="B4160" s="232" t="str">
        <f>IF(AND(A4160&lt;&gt;"",ISNUMBER(A4160)),VLOOKUP(A4160,Studies!A:BR,2,FALSE),"")</f>
        <v>Olkkola 1993</v>
      </c>
      <c r="C4160" s="232" t="str">
        <f>IF(AND(A4160&lt;&gt;"",ISNUMBER(A4160)),VLOOKUP(A4160,Studies!A:BR,3,FALSE),"")</f>
        <v>https://www.ncbi.nlm.nih.gov/pubmed/8453848</v>
      </c>
      <c r="D4160" s="232" t="str">
        <f>IF(AND(A4160&lt;&gt;"",ISNUMBER(A4160)),VLOOKUP(A4160,Studies!A:BR,4,FALSE),"")</f>
        <v>po with Perpetrator (Erythromycin)</v>
      </c>
      <c r="E4160" s="206" t="str">
        <f>IF(AND(A4160&lt;&gt;"",ISNUMBER(A4160)),VLOOKUP(A4160,Studies!A:BR,5,FALSE),"")</f>
        <v>Midazolam</v>
      </c>
      <c r="F4160" s="207" t="str">
        <f>IF(AND(A4160&lt;&gt;"",ISNUMBER(A4160)),VLOOKUP(A4160,Studies!A:BR,6,FALSE),"")</f>
        <v>Plasma</v>
      </c>
      <c r="G4160" s="194">
        <f>128+5</f>
        <v>133</v>
      </c>
      <c r="H4160" s="194" t="s">
        <v>60</v>
      </c>
      <c r="I4160" s="187">
        <v>53.747709999999998</v>
      </c>
      <c r="J4160" s="187" t="s">
        <v>1026</v>
      </c>
      <c r="K4160" s="187" t="s">
        <v>116</v>
      </c>
      <c r="L4160" s="195">
        <v>7.3126179999999996</v>
      </c>
      <c r="M4160" s="195" t="s">
        <v>1026</v>
      </c>
      <c r="N4160" s="195" t="s">
        <v>1034</v>
      </c>
      <c r="O4160" s="199"/>
      <c r="P4160" s="188"/>
    </row>
    <row r="4161" spans="1:16" s="183" customFormat="1" x14ac:dyDescent="0.2">
      <c r="A4161" s="205">
        <v>366</v>
      </c>
      <c r="B4161" s="232" t="str">
        <f>IF(AND(A4161&lt;&gt;"",ISNUMBER(A4161)),VLOOKUP(A4161,Studies!A:BR,2,FALSE),"")</f>
        <v>Olkkola 1993</v>
      </c>
      <c r="C4161" s="232" t="str">
        <f>IF(AND(A4161&lt;&gt;"",ISNUMBER(A4161)),VLOOKUP(A4161,Studies!A:BR,3,FALSE),"")</f>
        <v>https://www.ncbi.nlm.nih.gov/pubmed/8453848</v>
      </c>
      <c r="D4161" s="232" t="str">
        <f>IF(AND(A4161&lt;&gt;"",ISNUMBER(A4161)),VLOOKUP(A4161,Studies!A:BR,4,FALSE),"")</f>
        <v>po with Perpetrator (Erythromycin)</v>
      </c>
      <c r="E4161" s="206" t="str">
        <f>IF(AND(A4161&lt;&gt;"",ISNUMBER(A4161)),VLOOKUP(A4161,Studies!A:BR,5,FALSE),"")</f>
        <v>Midazolam</v>
      </c>
      <c r="F4161" s="207" t="str">
        <f>IF(AND(A4161&lt;&gt;"",ISNUMBER(A4161)),VLOOKUP(A4161,Studies!A:BR,6,FALSE),"")</f>
        <v>Plasma</v>
      </c>
      <c r="G4161" s="194">
        <f>128+6</f>
        <v>134</v>
      </c>
      <c r="H4161" s="194" t="s">
        <v>60</v>
      </c>
      <c r="I4161" s="187">
        <v>42.413159999999998</v>
      </c>
      <c r="J4161" s="187" t="s">
        <v>1026</v>
      </c>
      <c r="K4161" s="187" t="s">
        <v>116</v>
      </c>
      <c r="L4161" s="195">
        <v>6.5813560000000004</v>
      </c>
      <c r="M4161" s="195" t="s">
        <v>1026</v>
      </c>
      <c r="N4161" s="195" t="s">
        <v>1034</v>
      </c>
      <c r="O4161" s="199"/>
      <c r="P4161" s="188"/>
    </row>
    <row r="4162" spans="1:16" s="183" customFormat="1" x14ac:dyDescent="0.2">
      <c r="A4162" s="205">
        <v>366</v>
      </c>
      <c r="B4162" s="232" t="str">
        <f>IF(AND(A4162&lt;&gt;"",ISNUMBER(A4162)),VLOOKUP(A4162,Studies!A:BR,2,FALSE),"")</f>
        <v>Olkkola 1993</v>
      </c>
      <c r="C4162" s="232" t="str">
        <f>IF(AND(A4162&lt;&gt;"",ISNUMBER(A4162)),VLOOKUP(A4162,Studies!A:BR,3,FALSE),"")</f>
        <v>https://www.ncbi.nlm.nih.gov/pubmed/8453848</v>
      </c>
      <c r="D4162" s="232" t="str">
        <f>IF(AND(A4162&lt;&gt;"",ISNUMBER(A4162)),VLOOKUP(A4162,Studies!A:BR,4,FALSE),"")</f>
        <v>po with Perpetrator (Erythromycin)</v>
      </c>
      <c r="E4162" s="206" t="str">
        <f>IF(AND(A4162&lt;&gt;"",ISNUMBER(A4162)),VLOOKUP(A4162,Studies!A:BR,5,FALSE),"")</f>
        <v>Midazolam</v>
      </c>
      <c r="F4162" s="207" t="str">
        <f>IF(AND(A4162&lt;&gt;"",ISNUMBER(A4162)),VLOOKUP(A4162,Studies!A:BR,6,FALSE),"")</f>
        <v>Plasma</v>
      </c>
      <c r="G4162" s="194">
        <f>128+18</f>
        <v>146</v>
      </c>
      <c r="H4162" s="194" t="s">
        <v>60</v>
      </c>
      <c r="I4162" s="187">
        <v>14.259600000000001</v>
      </c>
      <c r="J4162" s="187" t="s">
        <v>1026</v>
      </c>
      <c r="K4162" s="187" t="s">
        <v>116</v>
      </c>
      <c r="L4162" s="195">
        <v>2.9250430000000001</v>
      </c>
      <c r="M4162" s="195" t="s">
        <v>1026</v>
      </c>
      <c r="N4162" s="195" t="s">
        <v>1034</v>
      </c>
      <c r="O4162" s="199"/>
      <c r="P4162" s="188"/>
    </row>
    <row r="4163" spans="1:16" s="183" customFormat="1" x14ac:dyDescent="0.2">
      <c r="A4163" s="205">
        <v>367</v>
      </c>
      <c r="B4163" s="232" t="str">
        <f>IF(AND(A4163&lt;&gt;"",ISNUMBER(A4163)),VLOOKUP(A4163,Studies!A:BR,2,FALSE),"")</f>
        <v>Olkkola 1993</v>
      </c>
      <c r="C4163" s="232" t="str">
        <f>IF(AND(A4163&lt;&gt;"",ISNUMBER(A4163)),VLOOKUP(A4163,Studies!A:BR,3,FALSE),"")</f>
        <v>https://www.ncbi.nlm.nih.gov/pubmed/8453848</v>
      </c>
      <c r="D4163" s="232" t="str">
        <f>IF(AND(A4163&lt;&gt;"",ISNUMBER(A4163)),VLOOKUP(A4163,Studies!A:BR,4,FALSE),"")</f>
        <v>iv Control (Perpetrator Placebo)</v>
      </c>
      <c r="E4163" s="206" t="str">
        <f>IF(AND(A4163&lt;&gt;"",ISNUMBER(A4163)),VLOOKUP(A4163,Studies!A:BR,5,FALSE),"")</f>
        <v>Midazolam</v>
      </c>
      <c r="F4163" s="207" t="str">
        <f>IF(AND(A4163&lt;&gt;"",ISNUMBER(A4163)),VLOOKUP(A4163,Studies!A:BR,6,FALSE),"")</f>
        <v>Plasma</v>
      </c>
      <c r="G4163" s="194">
        <v>0.25</v>
      </c>
      <c r="H4163" s="194" t="s">
        <v>60</v>
      </c>
      <c r="I4163" s="187">
        <v>63.830959999999997</v>
      </c>
      <c r="J4163" s="187" t="s">
        <v>1026</v>
      </c>
      <c r="K4163" s="187" t="s">
        <v>116</v>
      </c>
      <c r="L4163" s="195">
        <v>7.0105969999999997</v>
      </c>
      <c r="M4163" s="195" t="s">
        <v>1026</v>
      </c>
      <c r="N4163" s="195" t="s">
        <v>1034</v>
      </c>
      <c r="O4163" s="199"/>
      <c r="P4163" s="188"/>
    </row>
    <row r="4164" spans="1:16" s="183" customFormat="1" x14ac:dyDescent="0.2">
      <c r="A4164" s="205">
        <v>367</v>
      </c>
      <c r="B4164" s="232" t="str">
        <f>IF(AND(A4164&lt;&gt;"",ISNUMBER(A4164)),VLOOKUP(A4164,Studies!A:BR,2,FALSE),"")</f>
        <v>Olkkola 1993</v>
      </c>
      <c r="C4164" s="232" t="str">
        <f>IF(AND(A4164&lt;&gt;"",ISNUMBER(A4164)),VLOOKUP(A4164,Studies!A:BR,3,FALSE),"")</f>
        <v>https://www.ncbi.nlm.nih.gov/pubmed/8453848</v>
      </c>
      <c r="D4164" s="232" t="str">
        <f>IF(AND(A4164&lt;&gt;"",ISNUMBER(A4164)),VLOOKUP(A4164,Studies!A:BR,4,FALSE),"")</f>
        <v>iv Control (Perpetrator Placebo)</v>
      </c>
      <c r="E4164" s="206" t="str">
        <f>IF(AND(A4164&lt;&gt;"",ISNUMBER(A4164)),VLOOKUP(A4164,Studies!A:BR,5,FALSE),"")</f>
        <v>Midazolam</v>
      </c>
      <c r="F4164" s="207" t="str">
        <f>IF(AND(A4164&lt;&gt;"",ISNUMBER(A4164)),VLOOKUP(A4164,Studies!A:BR,6,FALSE),"")</f>
        <v>Plasma</v>
      </c>
      <c r="G4164" s="194">
        <v>0.5</v>
      </c>
      <c r="H4164" s="194" t="s">
        <v>60</v>
      </c>
      <c r="I4164" s="187">
        <v>52.017440000000001</v>
      </c>
      <c r="J4164" s="187" t="s">
        <v>1026</v>
      </c>
      <c r="K4164" s="187" t="s">
        <v>116</v>
      </c>
      <c r="L4164" s="195">
        <v>4.7970540000000002</v>
      </c>
      <c r="M4164" s="195" t="s">
        <v>1026</v>
      </c>
      <c r="N4164" s="195" t="s">
        <v>1034</v>
      </c>
      <c r="O4164" s="199"/>
      <c r="P4164" s="188"/>
    </row>
    <row r="4165" spans="1:16" s="183" customFormat="1" x14ac:dyDescent="0.2">
      <c r="A4165" s="205">
        <v>367</v>
      </c>
      <c r="B4165" s="232" t="str">
        <f>IF(AND(A4165&lt;&gt;"",ISNUMBER(A4165)),VLOOKUP(A4165,Studies!A:BR,2,FALSE),"")</f>
        <v>Olkkola 1993</v>
      </c>
      <c r="C4165" s="232" t="str">
        <f>IF(AND(A4165&lt;&gt;"",ISNUMBER(A4165)),VLOOKUP(A4165,Studies!A:BR,3,FALSE),"")</f>
        <v>https://www.ncbi.nlm.nih.gov/pubmed/8453848</v>
      </c>
      <c r="D4165" s="232" t="str">
        <f>IF(AND(A4165&lt;&gt;"",ISNUMBER(A4165)),VLOOKUP(A4165,Studies!A:BR,4,FALSE),"")</f>
        <v>iv Control (Perpetrator Placebo)</v>
      </c>
      <c r="E4165" s="206" t="str">
        <f>IF(AND(A4165&lt;&gt;"",ISNUMBER(A4165)),VLOOKUP(A4165,Studies!A:BR,5,FALSE),"")</f>
        <v>Midazolam</v>
      </c>
      <c r="F4165" s="207" t="str">
        <f>IF(AND(A4165&lt;&gt;"",ISNUMBER(A4165)),VLOOKUP(A4165,Studies!A:BR,6,FALSE),"")</f>
        <v>Plasma</v>
      </c>
      <c r="G4165" s="194">
        <v>0.75</v>
      </c>
      <c r="H4165" s="194" t="s">
        <v>60</v>
      </c>
      <c r="I4165" s="187">
        <v>37.621380000000002</v>
      </c>
      <c r="J4165" s="187" t="s">
        <v>1026</v>
      </c>
      <c r="K4165" s="187" t="s">
        <v>116</v>
      </c>
      <c r="L4165" s="195">
        <v>3.6900409999999999</v>
      </c>
      <c r="M4165" s="195" t="s">
        <v>1026</v>
      </c>
      <c r="N4165" s="195" t="s">
        <v>1034</v>
      </c>
      <c r="O4165" s="199"/>
      <c r="P4165" s="188"/>
    </row>
    <row r="4166" spans="1:16" s="183" customFormat="1" x14ac:dyDescent="0.2">
      <c r="A4166" s="205">
        <v>367</v>
      </c>
      <c r="B4166" s="232" t="str">
        <f>IF(AND(A4166&lt;&gt;"",ISNUMBER(A4166)),VLOOKUP(A4166,Studies!A:BR,2,FALSE),"")</f>
        <v>Olkkola 1993</v>
      </c>
      <c r="C4166" s="232" t="str">
        <f>IF(AND(A4166&lt;&gt;"",ISNUMBER(A4166)),VLOOKUP(A4166,Studies!A:BR,3,FALSE),"")</f>
        <v>https://www.ncbi.nlm.nih.gov/pubmed/8453848</v>
      </c>
      <c r="D4166" s="232" t="str">
        <f>IF(AND(A4166&lt;&gt;"",ISNUMBER(A4166)),VLOOKUP(A4166,Studies!A:BR,4,FALSE),"")</f>
        <v>iv Control (Perpetrator Placebo)</v>
      </c>
      <c r="E4166" s="206" t="str">
        <f>IF(AND(A4166&lt;&gt;"",ISNUMBER(A4166)),VLOOKUP(A4166,Studies!A:BR,5,FALSE),"")</f>
        <v>Midazolam</v>
      </c>
      <c r="F4166" s="207" t="str">
        <f>IF(AND(A4166&lt;&gt;"",ISNUMBER(A4166)),VLOOKUP(A4166,Studies!A:BR,6,FALSE),"")</f>
        <v>Plasma</v>
      </c>
      <c r="G4166" s="194">
        <v>1</v>
      </c>
      <c r="H4166" s="194" t="s">
        <v>60</v>
      </c>
      <c r="I4166" s="187">
        <v>32.449950000000001</v>
      </c>
      <c r="J4166" s="187" t="s">
        <v>1026</v>
      </c>
      <c r="K4166" s="187" t="s">
        <v>116</v>
      </c>
      <c r="L4166" s="195">
        <v>3.3205529999999999</v>
      </c>
      <c r="M4166" s="195" t="s">
        <v>1026</v>
      </c>
      <c r="N4166" s="195" t="s">
        <v>1034</v>
      </c>
      <c r="O4166" s="199"/>
      <c r="P4166" s="188"/>
    </row>
    <row r="4167" spans="1:16" s="183" customFormat="1" x14ac:dyDescent="0.2">
      <c r="A4167" s="205">
        <v>367</v>
      </c>
      <c r="B4167" s="232" t="str">
        <f>IF(AND(A4167&lt;&gt;"",ISNUMBER(A4167)),VLOOKUP(A4167,Studies!A:BR,2,FALSE),"")</f>
        <v>Olkkola 1993</v>
      </c>
      <c r="C4167" s="232" t="str">
        <f>IF(AND(A4167&lt;&gt;"",ISNUMBER(A4167)),VLOOKUP(A4167,Studies!A:BR,3,FALSE),"")</f>
        <v>https://www.ncbi.nlm.nih.gov/pubmed/8453848</v>
      </c>
      <c r="D4167" s="232" t="str">
        <f>IF(AND(A4167&lt;&gt;"",ISNUMBER(A4167)),VLOOKUP(A4167,Studies!A:BR,4,FALSE),"")</f>
        <v>iv Control (Perpetrator Placebo)</v>
      </c>
      <c r="E4167" s="206" t="str">
        <f>IF(AND(A4167&lt;&gt;"",ISNUMBER(A4167)),VLOOKUP(A4167,Studies!A:BR,5,FALSE),"")</f>
        <v>Midazolam</v>
      </c>
      <c r="F4167" s="207" t="str">
        <f>IF(AND(A4167&lt;&gt;"",ISNUMBER(A4167)),VLOOKUP(A4167,Studies!A:BR,6,FALSE),"")</f>
        <v>Plasma</v>
      </c>
      <c r="G4167" s="194">
        <v>1.5</v>
      </c>
      <c r="H4167" s="194" t="s">
        <v>60</v>
      </c>
      <c r="I4167" s="187">
        <v>24.322089999999999</v>
      </c>
      <c r="J4167" s="187" t="s">
        <v>1026</v>
      </c>
      <c r="K4167" s="187" t="s">
        <v>116</v>
      </c>
      <c r="L4167" s="195">
        <v>3.321043</v>
      </c>
      <c r="M4167" s="195" t="s">
        <v>1026</v>
      </c>
      <c r="N4167" s="195" t="s">
        <v>1034</v>
      </c>
      <c r="O4167" s="199"/>
      <c r="P4167" s="188"/>
    </row>
    <row r="4168" spans="1:16" s="183" customFormat="1" x14ac:dyDescent="0.2">
      <c r="A4168" s="205">
        <v>367</v>
      </c>
      <c r="B4168" s="232" t="str">
        <f>IF(AND(A4168&lt;&gt;"",ISNUMBER(A4168)),VLOOKUP(A4168,Studies!A:BR,2,FALSE),"")</f>
        <v>Olkkola 1993</v>
      </c>
      <c r="C4168" s="232" t="str">
        <f>IF(AND(A4168&lt;&gt;"",ISNUMBER(A4168)),VLOOKUP(A4168,Studies!A:BR,3,FALSE),"")</f>
        <v>https://www.ncbi.nlm.nih.gov/pubmed/8453848</v>
      </c>
      <c r="D4168" s="232" t="str">
        <f>IF(AND(A4168&lt;&gt;"",ISNUMBER(A4168)),VLOOKUP(A4168,Studies!A:BR,4,FALSE),"")</f>
        <v>iv Control (Perpetrator Placebo)</v>
      </c>
      <c r="E4168" s="206" t="str">
        <f>IF(AND(A4168&lt;&gt;"",ISNUMBER(A4168)),VLOOKUP(A4168,Studies!A:BR,5,FALSE),"")</f>
        <v>Midazolam</v>
      </c>
      <c r="F4168" s="207" t="str">
        <f>IF(AND(A4168&lt;&gt;"",ISNUMBER(A4168)),VLOOKUP(A4168,Studies!A:BR,6,FALSE),"")</f>
        <v>Plasma</v>
      </c>
      <c r="G4168" s="194">
        <v>2</v>
      </c>
      <c r="H4168" s="194" t="s">
        <v>60</v>
      </c>
      <c r="I4168" s="187">
        <v>17.30124</v>
      </c>
      <c r="J4168" s="187" t="s">
        <v>1026</v>
      </c>
      <c r="K4168" s="187" t="s">
        <v>116</v>
      </c>
      <c r="L4168" s="195">
        <v>1.4760200000000001</v>
      </c>
      <c r="M4168" s="195" t="s">
        <v>1026</v>
      </c>
      <c r="N4168" s="195" t="s">
        <v>1034</v>
      </c>
      <c r="O4168" s="199"/>
      <c r="P4168" s="188"/>
    </row>
    <row r="4169" spans="1:16" s="183" customFormat="1" x14ac:dyDescent="0.2">
      <c r="A4169" s="205">
        <v>367</v>
      </c>
      <c r="B4169" s="232" t="str">
        <f>IF(AND(A4169&lt;&gt;"",ISNUMBER(A4169)),VLOOKUP(A4169,Studies!A:BR,2,FALSE),"")</f>
        <v>Olkkola 1993</v>
      </c>
      <c r="C4169" s="232" t="str">
        <f>IF(AND(A4169&lt;&gt;"",ISNUMBER(A4169)),VLOOKUP(A4169,Studies!A:BR,3,FALSE),"")</f>
        <v>https://www.ncbi.nlm.nih.gov/pubmed/8453848</v>
      </c>
      <c r="D4169" s="232" t="str">
        <f>IF(AND(A4169&lt;&gt;"",ISNUMBER(A4169)),VLOOKUP(A4169,Studies!A:BR,4,FALSE),"")</f>
        <v>iv Control (Perpetrator Placebo)</v>
      </c>
      <c r="E4169" s="206" t="str">
        <f>IF(AND(A4169&lt;&gt;"",ISNUMBER(A4169)),VLOOKUP(A4169,Studies!A:BR,5,FALSE),"")</f>
        <v>Midazolam</v>
      </c>
      <c r="F4169" s="207" t="str">
        <f>IF(AND(A4169&lt;&gt;"",ISNUMBER(A4169)),VLOOKUP(A4169,Studies!A:BR,6,FALSE),"")</f>
        <v>Plasma</v>
      </c>
      <c r="G4169" s="194">
        <v>3</v>
      </c>
      <c r="H4169" s="194" t="s">
        <v>60</v>
      </c>
      <c r="I4169" s="187">
        <v>11.74518</v>
      </c>
      <c r="J4169" s="187" t="s">
        <v>1026</v>
      </c>
      <c r="K4169" s="187" t="s">
        <v>116</v>
      </c>
      <c r="L4169" s="195">
        <v>0.73751929999999999</v>
      </c>
      <c r="M4169" s="195" t="s">
        <v>1026</v>
      </c>
      <c r="N4169" s="195" t="s">
        <v>1034</v>
      </c>
      <c r="O4169" s="199"/>
      <c r="P4169" s="188"/>
    </row>
    <row r="4170" spans="1:16" s="183" customFormat="1" x14ac:dyDescent="0.2">
      <c r="A4170" s="205">
        <v>367</v>
      </c>
      <c r="B4170" s="232" t="str">
        <f>IF(AND(A4170&lt;&gt;"",ISNUMBER(A4170)),VLOOKUP(A4170,Studies!A:BR,2,FALSE),"")</f>
        <v>Olkkola 1993</v>
      </c>
      <c r="C4170" s="232" t="str">
        <f>IF(AND(A4170&lt;&gt;"",ISNUMBER(A4170)),VLOOKUP(A4170,Studies!A:BR,3,FALSE),"")</f>
        <v>https://www.ncbi.nlm.nih.gov/pubmed/8453848</v>
      </c>
      <c r="D4170" s="232" t="str">
        <f>IF(AND(A4170&lt;&gt;"",ISNUMBER(A4170)),VLOOKUP(A4170,Studies!A:BR,4,FALSE),"")</f>
        <v>iv Control (Perpetrator Placebo)</v>
      </c>
      <c r="E4170" s="206" t="str">
        <f>IF(AND(A4170&lt;&gt;"",ISNUMBER(A4170)),VLOOKUP(A4170,Studies!A:BR,5,FALSE),"")</f>
        <v>Midazolam</v>
      </c>
      <c r="F4170" s="207" t="str">
        <f>IF(AND(A4170&lt;&gt;"",ISNUMBER(A4170)),VLOOKUP(A4170,Studies!A:BR,6,FALSE),"")</f>
        <v>Plasma</v>
      </c>
      <c r="G4170" s="194">
        <v>4</v>
      </c>
      <c r="H4170" s="194" t="s">
        <v>60</v>
      </c>
      <c r="I4170" s="187">
        <v>7.2971139999999997</v>
      </c>
      <c r="J4170" s="187" t="s">
        <v>1026</v>
      </c>
      <c r="K4170" s="187" t="s">
        <v>116</v>
      </c>
      <c r="L4170" s="195">
        <v>0.73849679999999995</v>
      </c>
      <c r="M4170" s="195" t="s">
        <v>1026</v>
      </c>
      <c r="N4170" s="195" t="s">
        <v>1034</v>
      </c>
      <c r="O4170" s="199"/>
      <c r="P4170" s="189" t="s">
        <v>1174</v>
      </c>
    </row>
    <row r="4171" spans="1:16" s="183" customFormat="1" x14ac:dyDescent="0.2">
      <c r="A4171" s="205">
        <v>367</v>
      </c>
      <c r="B4171" s="232" t="str">
        <f>IF(AND(A4171&lt;&gt;"",ISNUMBER(A4171)),VLOOKUP(A4171,Studies!A:BR,2,FALSE),"")</f>
        <v>Olkkola 1993</v>
      </c>
      <c r="C4171" s="232" t="str">
        <f>IF(AND(A4171&lt;&gt;"",ISNUMBER(A4171)),VLOOKUP(A4171,Studies!A:BR,3,FALSE),"")</f>
        <v>https://www.ncbi.nlm.nih.gov/pubmed/8453848</v>
      </c>
      <c r="D4171" s="232" t="str">
        <f>IF(AND(A4171&lt;&gt;"",ISNUMBER(A4171)),VLOOKUP(A4171,Studies!A:BR,4,FALSE),"")</f>
        <v>iv Control (Perpetrator Placebo)</v>
      </c>
      <c r="E4171" s="206" t="str">
        <f>IF(AND(A4171&lt;&gt;"",ISNUMBER(A4171)),VLOOKUP(A4171,Studies!A:BR,5,FALSE),"")</f>
        <v>Midazolam</v>
      </c>
      <c r="F4171" s="207" t="str">
        <f>IF(AND(A4171&lt;&gt;"",ISNUMBER(A4171)),VLOOKUP(A4171,Studies!A:BR,6,FALSE),"")</f>
        <v>Plasma</v>
      </c>
      <c r="G4171" s="194">
        <v>6</v>
      </c>
      <c r="H4171" s="194" t="s">
        <v>60</v>
      </c>
      <c r="I4171" s="187">
        <v>5.0415979999999996</v>
      </c>
      <c r="J4171" s="187" t="s">
        <v>1026</v>
      </c>
      <c r="K4171" s="187" t="s">
        <v>116</v>
      </c>
      <c r="L4171" s="195">
        <v>0.36851600000000001</v>
      </c>
      <c r="M4171" s="195" t="s">
        <v>1026</v>
      </c>
      <c r="N4171" s="195" t="s">
        <v>1034</v>
      </c>
      <c r="O4171" s="199"/>
      <c r="P4171" s="188"/>
    </row>
    <row r="4172" spans="1:16" s="183" customFormat="1" x14ac:dyDescent="0.2">
      <c r="A4172" s="205">
        <v>367</v>
      </c>
      <c r="B4172" s="232" t="str">
        <f>IF(AND(A4172&lt;&gt;"",ISNUMBER(A4172)),VLOOKUP(A4172,Studies!A:BR,2,FALSE),"")</f>
        <v>Olkkola 1993</v>
      </c>
      <c r="C4172" s="232" t="str">
        <f>IF(AND(A4172&lt;&gt;"",ISNUMBER(A4172)),VLOOKUP(A4172,Studies!A:BR,3,FALSE),"")</f>
        <v>https://www.ncbi.nlm.nih.gov/pubmed/8453848</v>
      </c>
      <c r="D4172" s="232" t="str">
        <f>IF(AND(A4172&lt;&gt;"",ISNUMBER(A4172)),VLOOKUP(A4172,Studies!A:BR,4,FALSE),"")</f>
        <v>iv Control (Perpetrator Placebo)</v>
      </c>
      <c r="E4172" s="206" t="str">
        <f>IF(AND(A4172&lt;&gt;"",ISNUMBER(A4172)),VLOOKUP(A4172,Studies!A:BR,5,FALSE),"")</f>
        <v>Midazolam</v>
      </c>
      <c r="F4172" s="207" t="str">
        <f>IF(AND(A4172&lt;&gt;"",ISNUMBER(A4172)),VLOOKUP(A4172,Studies!A:BR,6,FALSE),"")</f>
        <v>Plasma</v>
      </c>
      <c r="G4172" s="194">
        <v>7</v>
      </c>
      <c r="H4172" s="194" t="s">
        <v>60</v>
      </c>
      <c r="I4172" s="187">
        <v>3.176075</v>
      </c>
      <c r="J4172" s="187" t="s">
        <v>1026</v>
      </c>
      <c r="K4172" s="187" t="s">
        <v>116</v>
      </c>
      <c r="L4172" s="195">
        <v>0.73752090000000003</v>
      </c>
      <c r="M4172" s="195" t="s">
        <v>1026</v>
      </c>
      <c r="N4172" s="195" t="s">
        <v>1034</v>
      </c>
      <c r="O4172" s="199"/>
      <c r="P4172" s="188"/>
    </row>
    <row r="4173" spans="1:16" s="183" customFormat="1" x14ac:dyDescent="0.2">
      <c r="A4173" s="205">
        <v>367</v>
      </c>
      <c r="B4173" s="232" t="str">
        <f>IF(AND(A4173&lt;&gt;"",ISNUMBER(A4173)),VLOOKUP(A4173,Studies!A:BR,2,FALSE),"")</f>
        <v>Olkkola 1993</v>
      </c>
      <c r="C4173" s="232" t="str">
        <f>IF(AND(A4173&lt;&gt;"",ISNUMBER(A4173)),VLOOKUP(A4173,Studies!A:BR,3,FALSE),"")</f>
        <v>https://www.ncbi.nlm.nih.gov/pubmed/8453848</v>
      </c>
      <c r="D4173" s="232" t="str">
        <f>IF(AND(A4173&lt;&gt;"",ISNUMBER(A4173)),VLOOKUP(A4173,Studies!A:BR,4,FALSE),"")</f>
        <v>iv Control (Perpetrator Placebo)</v>
      </c>
      <c r="E4173" s="206" t="str">
        <f>IF(AND(A4173&lt;&gt;"",ISNUMBER(A4173)),VLOOKUP(A4173,Studies!A:BR,5,FALSE),"")</f>
        <v>Midazolam</v>
      </c>
      <c r="F4173" s="207" t="str">
        <f>IF(AND(A4173&lt;&gt;"",ISNUMBER(A4173)),VLOOKUP(A4173,Studies!A:BR,6,FALSE),"")</f>
        <v>Plasma</v>
      </c>
      <c r="G4173" s="194">
        <v>8</v>
      </c>
      <c r="H4173" s="194" t="s">
        <v>60</v>
      </c>
      <c r="I4173" s="187">
        <v>2.7865700000000002</v>
      </c>
      <c r="J4173" s="187" t="s">
        <v>1026</v>
      </c>
      <c r="K4173" s="187" t="s">
        <v>116</v>
      </c>
      <c r="L4173" s="195">
        <v>0.3690042</v>
      </c>
      <c r="M4173" s="195" t="s">
        <v>1026</v>
      </c>
      <c r="N4173" s="195" t="s">
        <v>1034</v>
      </c>
      <c r="O4173" s="199"/>
      <c r="P4173" s="188"/>
    </row>
    <row r="4174" spans="1:16" s="183" customFormat="1" x14ac:dyDescent="0.2">
      <c r="A4174" s="205">
        <v>367</v>
      </c>
      <c r="B4174" s="232" t="str">
        <f>IF(AND(A4174&lt;&gt;"",ISNUMBER(A4174)),VLOOKUP(A4174,Studies!A:BR,2,FALSE),"")</f>
        <v>Olkkola 1993</v>
      </c>
      <c r="C4174" s="232" t="str">
        <f>IF(AND(A4174&lt;&gt;"",ISNUMBER(A4174)),VLOOKUP(A4174,Studies!A:BR,3,FALSE),"")</f>
        <v>https://www.ncbi.nlm.nih.gov/pubmed/8453848</v>
      </c>
      <c r="D4174" s="232" t="str">
        <f>IF(AND(A4174&lt;&gt;"",ISNUMBER(A4174)),VLOOKUP(A4174,Studies!A:BR,4,FALSE),"")</f>
        <v>iv Control (Perpetrator Placebo)</v>
      </c>
      <c r="E4174" s="206" t="str">
        <f>IF(AND(A4174&lt;&gt;"",ISNUMBER(A4174)),VLOOKUP(A4174,Studies!A:BR,5,FALSE),"")</f>
        <v>Midazolam</v>
      </c>
      <c r="F4174" s="207" t="str">
        <f>IF(AND(A4174&lt;&gt;"",ISNUMBER(A4174)),VLOOKUP(A4174,Studies!A:BR,6,FALSE),"")</f>
        <v>Plasma</v>
      </c>
      <c r="G4174" s="194">
        <v>18</v>
      </c>
      <c r="H4174" s="194" t="s">
        <v>60</v>
      </c>
      <c r="I4174" s="187">
        <v>-1.107502</v>
      </c>
      <c r="J4174" s="187" t="s">
        <v>1026</v>
      </c>
      <c r="K4174" s="187" t="s">
        <v>116</v>
      </c>
      <c r="L4174" s="195">
        <v>4.8804300000000002E-4</v>
      </c>
      <c r="M4174" s="195" t="s">
        <v>1026</v>
      </c>
      <c r="N4174" s="195" t="s">
        <v>1034</v>
      </c>
      <c r="O4174" s="199"/>
      <c r="P4174" s="188"/>
    </row>
    <row r="4175" spans="1:16" s="183" customFormat="1" x14ac:dyDescent="0.2">
      <c r="A4175" s="205">
        <v>368</v>
      </c>
      <c r="B4175" s="232" t="str">
        <f>IF(AND(A4175&lt;&gt;"",ISNUMBER(A4175)),VLOOKUP(A4175,Studies!A:BR,2,FALSE),"")</f>
        <v>Olkkola 1993</v>
      </c>
      <c r="C4175" s="232" t="str">
        <f>IF(AND(A4175&lt;&gt;"",ISNUMBER(A4175)),VLOOKUP(A4175,Studies!A:BR,3,FALSE),"")</f>
        <v>https://www.ncbi.nlm.nih.gov/pubmed/8453848</v>
      </c>
      <c r="D4175" s="232" t="str">
        <f>IF(AND(A4175&lt;&gt;"",ISNUMBER(A4175)),VLOOKUP(A4175,Studies!A:BR,4,FALSE),"")</f>
        <v>iv with Perpetrator (Erythromycin)</v>
      </c>
      <c r="E4175" s="206" t="str">
        <f>IF(AND(A4175&lt;&gt;"",ISNUMBER(A4175)),VLOOKUP(A4175,Studies!A:BR,5,FALSE),"")</f>
        <v>Midazolam</v>
      </c>
      <c r="F4175" s="207" t="str">
        <f>IF(AND(A4175&lt;&gt;"",ISNUMBER(A4175)),VLOOKUP(A4175,Studies!A:BR,6,FALSE),"")</f>
        <v>Plasma</v>
      </c>
      <c r="G4175" s="194">
        <f>128+0.25</f>
        <v>128.25</v>
      </c>
      <c r="H4175" s="194" t="s">
        <v>60</v>
      </c>
      <c r="I4175" s="187">
        <v>77.114639999999994</v>
      </c>
      <c r="J4175" s="187" t="s">
        <v>1026</v>
      </c>
      <c r="K4175" s="187" t="s">
        <v>116</v>
      </c>
      <c r="L4175" s="195">
        <v>10.33262</v>
      </c>
      <c r="M4175" s="195" t="s">
        <v>1026</v>
      </c>
      <c r="N4175" s="195" t="s">
        <v>1034</v>
      </c>
      <c r="O4175" s="199"/>
      <c r="P4175" s="188"/>
    </row>
    <row r="4176" spans="1:16" s="183" customFormat="1" x14ac:dyDescent="0.2">
      <c r="A4176" s="205">
        <v>368</v>
      </c>
      <c r="B4176" s="232" t="str">
        <f>IF(AND(A4176&lt;&gt;"",ISNUMBER(A4176)),VLOOKUP(A4176,Studies!A:BR,2,FALSE),"")</f>
        <v>Olkkola 1993</v>
      </c>
      <c r="C4176" s="232" t="str">
        <f>IF(AND(A4176&lt;&gt;"",ISNUMBER(A4176)),VLOOKUP(A4176,Studies!A:BR,3,FALSE),"")</f>
        <v>https://www.ncbi.nlm.nih.gov/pubmed/8453848</v>
      </c>
      <c r="D4176" s="232" t="str">
        <f>IF(AND(A4176&lt;&gt;"",ISNUMBER(A4176)),VLOOKUP(A4176,Studies!A:BR,4,FALSE),"")</f>
        <v>iv with Perpetrator (Erythromycin)</v>
      </c>
      <c r="E4176" s="206" t="str">
        <f>IF(AND(A4176&lt;&gt;"",ISNUMBER(A4176)),VLOOKUP(A4176,Studies!A:BR,5,FALSE),"")</f>
        <v>Midazolam</v>
      </c>
      <c r="F4176" s="207" t="str">
        <f>IF(AND(A4176&lt;&gt;"",ISNUMBER(A4176)),VLOOKUP(A4176,Studies!A:BR,6,FALSE),"")</f>
        <v>Plasma</v>
      </c>
      <c r="G4176" s="194">
        <f>128+0.5</f>
        <v>128.5</v>
      </c>
      <c r="H4176" s="194" t="s">
        <v>60</v>
      </c>
      <c r="I4176" s="187">
        <v>59.028530000000003</v>
      </c>
      <c r="J4176" s="187" t="s">
        <v>1026</v>
      </c>
      <c r="K4176" s="187" t="s">
        <v>116</v>
      </c>
      <c r="L4176" s="195">
        <v>4.0590520000000003</v>
      </c>
      <c r="M4176" s="195" t="s">
        <v>1026</v>
      </c>
      <c r="N4176" s="195" t="s">
        <v>1034</v>
      </c>
      <c r="O4176" s="199"/>
      <c r="P4176" s="188"/>
    </row>
    <row r="4177" spans="1:16" s="183" customFormat="1" x14ac:dyDescent="0.2">
      <c r="A4177" s="205">
        <v>368</v>
      </c>
      <c r="B4177" s="232" t="str">
        <f>IF(AND(A4177&lt;&gt;"",ISNUMBER(A4177)),VLOOKUP(A4177,Studies!A:BR,2,FALSE),"")</f>
        <v>Olkkola 1993</v>
      </c>
      <c r="C4177" s="232" t="str">
        <f>IF(AND(A4177&lt;&gt;"",ISNUMBER(A4177)),VLOOKUP(A4177,Studies!A:BR,3,FALSE),"")</f>
        <v>https://www.ncbi.nlm.nih.gov/pubmed/8453848</v>
      </c>
      <c r="D4177" s="232" t="str">
        <f>IF(AND(A4177&lt;&gt;"",ISNUMBER(A4177)),VLOOKUP(A4177,Studies!A:BR,4,FALSE),"")</f>
        <v>iv with Perpetrator (Erythromycin)</v>
      </c>
      <c r="E4177" s="206" t="str">
        <f>IF(AND(A4177&lt;&gt;"",ISNUMBER(A4177)),VLOOKUP(A4177,Studies!A:BR,5,FALSE),"")</f>
        <v>Midazolam</v>
      </c>
      <c r="F4177" s="207" t="str">
        <f>IF(AND(A4177&lt;&gt;"",ISNUMBER(A4177)),VLOOKUP(A4177,Studies!A:BR,6,FALSE),"")</f>
        <v>Plasma</v>
      </c>
      <c r="G4177" s="194">
        <f>128+0.75</f>
        <v>128.75</v>
      </c>
      <c r="H4177" s="194" t="s">
        <v>60</v>
      </c>
      <c r="I4177" s="187">
        <v>50.167540000000002</v>
      </c>
      <c r="J4177" s="187" t="s">
        <v>1026</v>
      </c>
      <c r="K4177" s="187" t="s">
        <v>116</v>
      </c>
      <c r="L4177" s="195">
        <v>4.4280549999999996</v>
      </c>
      <c r="M4177" s="195" t="s">
        <v>1026</v>
      </c>
      <c r="N4177" s="195" t="s">
        <v>1034</v>
      </c>
      <c r="O4177" s="199"/>
      <c r="P4177" s="188"/>
    </row>
    <row r="4178" spans="1:16" s="183" customFormat="1" x14ac:dyDescent="0.2">
      <c r="A4178" s="205">
        <v>368</v>
      </c>
      <c r="B4178" s="232" t="str">
        <f>IF(AND(A4178&lt;&gt;"",ISNUMBER(A4178)),VLOOKUP(A4178,Studies!A:BR,2,FALSE),"")</f>
        <v>Olkkola 1993</v>
      </c>
      <c r="C4178" s="232" t="str">
        <f>IF(AND(A4178&lt;&gt;"",ISNUMBER(A4178)),VLOOKUP(A4178,Studies!A:BR,3,FALSE),"")</f>
        <v>https://www.ncbi.nlm.nih.gov/pubmed/8453848</v>
      </c>
      <c r="D4178" s="232" t="str">
        <f>IF(AND(A4178&lt;&gt;"",ISNUMBER(A4178)),VLOOKUP(A4178,Studies!A:BR,4,FALSE),"")</f>
        <v>iv with Perpetrator (Erythromycin)</v>
      </c>
      <c r="E4178" s="206" t="str">
        <f>IF(AND(A4178&lt;&gt;"",ISNUMBER(A4178)),VLOOKUP(A4178,Studies!A:BR,5,FALSE),"")</f>
        <v>Midazolam</v>
      </c>
      <c r="F4178" s="207" t="str">
        <f>IF(AND(A4178&lt;&gt;"",ISNUMBER(A4178)),VLOOKUP(A4178,Studies!A:BR,6,FALSE),"")</f>
        <v>Plasma</v>
      </c>
      <c r="G4178" s="194">
        <f>128+1</f>
        <v>129</v>
      </c>
      <c r="H4178" s="194" t="s">
        <v>60</v>
      </c>
      <c r="I4178" s="187">
        <v>43.15108</v>
      </c>
      <c r="J4178" s="187" t="s">
        <v>1026</v>
      </c>
      <c r="K4178" s="187" t="s">
        <v>116</v>
      </c>
      <c r="L4178" s="195">
        <v>4.0595439999999998</v>
      </c>
      <c r="M4178" s="195" t="s">
        <v>1026</v>
      </c>
      <c r="N4178" s="195" t="s">
        <v>1034</v>
      </c>
      <c r="O4178" s="199"/>
      <c r="P4178" s="188"/>
    </row>
    <row r="4179" spans="1:16" s="183" customFormat="1" x14ac:dyDescent="0.2">
      <c r="A4179" s="205">
        <v>368</v>
      </c>
      <c r="B4179" s="232" t="str">
        <f>IF(AND(A4179&lt;&gt;"",ISNUMBER(A4179)),VLOOKUP(A4179,Studies!A:BR,2,FALSE),"")</f>
        <v>Olkkola 1993</v>
      </c>
      <c r="C4179" s="232" t="str">
        <f>IF(AND(A4179&lt;&gt;"",ISNUMBER(A4179)),VLOOKUP(A4179,Studies!A:BR,3,FALSE),"")</f>
        <v>https://www.ncbi.nlm.nih.gov/pubmed/8453848</v>
      </c>
      <c r="D4179" s="232" t="str">
        <f>IF(AND(A4179&lt;&gt;"",ISNUMBER(A4179)),VLOOKUP(A4179,Studies!A:BR,4,FALSE),"")</f>
        <v>iv with Perpetrator (Erythromycin)</v>
      </c>
      <c r="E4179" s="206" t="str">
        <f>IF(AND(A4179&lt;&gt;"",ISNUMBER(A4179)),VLOOKUP(A4179,Studies!A:BR,5,FALSE),"")</f>
        <v>Midazolam</v>
      </c>
      <c r="F4179" s="207" t="str">
        <f>IF(AND(A4179&lt;&gt;"",ISNUMBER(A4179)),VLOOKUP(A4179,Studies!A:BR,6,FALSE),"")</f>
        <v>Plasma</v>
      </c>
      <c r="G4179" s="194">
        <f>128+1.5</f>
        <v>129.5</v>
      </c>
      <c r="H4179" s="194" t="s">
        <v>60</v>
      </c>
      <c r="I4179" s="187">
        <v>36.130229999999997</v>
      </c>
      <c r="J4179" s="187" t="s">
        <v>1026</v>
      </c>
      <c r="K4179" s="187" t="s">
        <v>116</v>
      </c>
      <c r="L4179" s="195">
        <v>4.0590549999999999</v>
      </c>
      <c r="M4179" s="195" t="s">
        <v>1026</v>
      </c>
      <c r="N4179" s="195" t="s">
        <v>1034</v>
      </c>
      <c r="O4179" s="199"/>
      <c r="P4179" s="188"/>
    </row>
    <row r="4180" spans="1:16" s="183" customFormat="1" x14ac:dyDescent="0.2">
      <c r="A4180" s="205">
        <v>368</v>
      </c>
      <c r="B4180" s="232" t="str">
        <f>IF(AND(A4180&lt;&gt;"",ISNUMBER(A4180)),VLOOKUP(A4180,Studies!A:BR,2,FALSE),"")</f>
        <v>Olkkola 1993</v>
      </c>
      <c r="C4180" s="232" t="str">
        <f>IF(AND(A4180&lt;&gt;"",ISNUMBER(A4180)),VLOOKUP(A4180,Studies!A:BR,3,FALSE),"")</f>
        <v>https://www.ncbi.nlm.nih.gov/pubmed/8453848</v>
      </c>
      <c r="D4180" s="232" t="str">
        <f>IF(AND(A4180&lt;&gt;"",ISNUMBER(A4180)),VLOOKUP(A4180,Studies!A:BR,4,FALSE),"")</f>
        <v>iv with Perpetrator (Erythromycin)</v>
      </c>
      <c r="E4180" s="206" t="str">
        <f>IF(AND(A4180&lt;&gt;"",ISNUMBER(A4180)),VLOOKUP(A4180,Studies!A:BR,5,FALSE),"")</f>
        <v>Midazolam</v>
      </c>
      <c r="F4180" s="207" t="str">
        <f>IF(AND(A4180&lt;&gt;"",ISNUMBER(A4180)),VLOOKUP(A4180,Studies!A:BR,6,FALSE),"")</f>
        <v>Plasma</v>
      </c>
      <c r="G4180" s="194">
        <f>128+2</f>
        <v>130</v>
      </c>
      <c r="H4180" s="194" t="s">
        <v>60</v>
      </c>
      <c r="I4180" s="187">
        <v>30.215910000000001</v>
      </c>
      <c r="J4180" s="187" t="s">
        <v>1026</v>
      </c>
      <c r="K4180" s="187" t="s">
        <v>116</v>
      </c>
      <c r="L4180" s="195">
        <v>2.952528</v>
      </c>
      <c r="M4180" s="195" t="s">
        <v>1026</v>
      </c>
      <c r="N4180" s="195" t="s">
        <v>1034</v>
      </c>
      <c r="O4180" s="199"/>
      <c r="P4180" s="188"/>
    </row>
    <row r="4181" spans="1:16" s="183" customFormat="1" x14ac:dyDescent="0.2">
      <c r="A4181" s="205">
        <v>368</v>
      </c>
      <c r="B4181" s="232" t="str">
        <f>IF(AND(A4181&lt;&gt;"",ISNUMBER(A4181)),VLOOKUP(A4181,Studies!A:BR,2,FALSE),"")</f>
        <v>Olkkola 1993</v>
      </c>
      <c r="C4181" s="232" t="str">
        <f>IF(AND(A4181&lt;&gt;"",ISNUMBER(A4181)),VLOOKUP(A4181,Studies!A:BR,3,FALSE),"")</f>
        <v>https://www.ncbi.nlm.nih.gov/pubmed/8453848</v>
      </c>
      <c r="D4181" s="232" t="str">
        <f>IF(AND(A4181&lt;&gt;"",ISNUMBER(A4181)),VLOOKUP(A4181,Studies!A:BR,4,FALSE),"")</f>
        <v>iv with Perpetrator (Erythromycin)</v>
      </c>
      <c r="E4181" s="206" t="str">
        <f>IF(AND(A4181&lt;&gt;"",ISNUMBER(A4181)),VLOOKUP(A4181,Studies!A:BR,5,FALSE),"")</f>
        <v>Midazolam</v>
      </c>
      <c r="F4181" s="207" t="str">
        <f>IF(AND(A4181&lt;&gt;"",ISNUMBER(A4181)),VLOOKUP(A4181,Studies!A:BR,6,FALSE),"")</f>
        <v>Plasma</v>
      </c>
      <c r="G4181" s="194">
        <f>128+3</f>
        <v>131</v>
      </c>
      <c r="H4181" s="194" t="s">
        <v>60</v>
      </c>
      <c r="I4181" s="187">
        <v>21.339300000000001</v>
      </c>
      <c r="J4181" s="187" t="s">
        <v>1026</v>
      </c>
      <c r="K4181" s="187" t="s">
        <v>116</v>
      </c>
      <c r="L4181" s="195">
        <v>2.214518</v>
      </c>
      <c r="M4181" s="195" t="s">
        <v>1026</v>
      </c>
      <c r="N4181" s="195" t="s">
        <v>1034</v>
      </c>
      <c r="O4181" s="199"/>
      <c r="P4181" s="188"/>
    </row>
    <row r="4182" spans="1:16" s="183" customFormat="1" x14ac:dyDescent="0.2">
      <c r="A4182" s="205">
        <v>368</v>
      </c>
      <c r="B4182" s="232" t="str">
        <f>IF(AND(A4182&lt;&gt;"",ISNUMBER(A4182)),VLOOKUP(A4182,Studies!A:BR,2,FALSE),"")</f>
        <v>Olkkola 1993</v>
      </c>
      <c r="C4182" s="232" t="str">
        <f>IF(AND(A4182&lt;&gt;"",ISNUMBER(A4182)),VLOOKUP(A4182,Studies!A:BR,3,FALSE),"")</f>
        <v>https://www.ncbi.nlm.nih.gov/pubmed/8453848</v>
      </c>
      <c r="D4182" s="232" t="str">
        <f>IF(AND(A4182&lt;&gt;"",ISNUMBER(A4182)),VLOOKUP(A4182,Studies!A:BR,4,FALSE),"")</f>
        <v>iv with Perpetrator (Erythromycin)</v>
      </c>
      <c r="E4182" s="206" t="str">
        <f>IF(AND(A4182&lt;&gt;"",ISNUMBER(A4182)),VLOOKUP(A4182,Studies!A:BR,5,FALSE),"")</f>
        <v>Midazolam</v>
      </c>
      <c r="F4182" s="207" t="str">
        <f>IF(AND(A4182&lt;&gt;"",ISNUMBER(A4182)),VLOOKUP(A4182,Studies!A:BR,6,FALSE),"")</f>
        <v>Plasma</v>
      </c>
      <c r="G4182" s="194">
        <f>128+4</f>
        <v>132</v>
      </c>
      <c r="H4182" s="194" t="s">
        <v>60</v>
      </c>
      <c r="I4182" s="187">
        <v>17.25975</v>
      </c>
      <c r="J4182" s="187" t="s">
        <v>1026</v>
      </c>
      <c r="K4182" s="187" t="s">
        <v>116</v>
      </c>
      <c r="L4182" s="195">
        <v>2.2140270000000002</v>
      </c>
      <c r="M4182" s="195" t="s">
        <v>1026</v>
      </c>
      <c r="N4182" s="195" t="s">
        <v>1034</v>
      </c>
      <c r="O4182" s="199"/>
      <c r="P4182" s="189" t="s">
        <v>1174</v>
      </c>
    </row>
    <row r="4183" spans="1:16" s="183" customFormat="1" x14ac:dyDescent="0.2">
      <c r="A4183" s="205">
        <v>368</v>
      </c>
      <c r="B4183" s="232" t="str">
        <f>IF(AND(A4183&lt;&gt;"",ISNUMBER(A4183)),VLOOKUP(A4183,Studies!A:BR,2,FALSE),"")</f>
        <v>Olkkola 1993</v>
      </c>
      <c r="C4183" s="232" t="str">
        <f>IF(AND(A4183&lt;&gt;"",ISNUMBER(A4183)),VLOOKUP(A4183,Studies!A:BR,3,FALSE),"")</f>
        <v>https://www.ncbi.nlm.nih.gov/pubmed/8453848</v>
      </c>
      <c r="D4183" s="232" t="str">
        <f>IF(AND(A4183&lt;&gt;"",ISNUMBER(A4183)),VLOOKUP(A4183,Studies!A:BR,4,FALSE),"")</f>
        <v>iv with Perpetrator (Erythromycin)</v>
      </c>
      <c r="E4183" s="206" t="str">
        <f>IF(AND(A4183&lt;&gt;"",ISNUMBER(A4183)),VLOOKUP(A4183,Studies!A:BR,5,FALSE),"")</f>
        <v>Midazolam</v>
      </c>
      <c r="F4183" s="207" t="str">
        <f>IF(AND(A4183&lt;&gt;"",ISNUMBER(A4183)),VLOOKUP(A4183,Studies!A:BR,6,FALSE),"")</f>
        <v>Plasma</v>
      </c>
      <c r="G4183" s="194">
        <f>128+6</f>
        <v>134</v>
      </c>
      <c r="H4183" s="194" t="s">
        <v>60</v>
      </c>
      <c r="I4183" s="187">
        <v>9.8386580000000006</v>
      </c>
      <c r="J4183" s="187" t="s">
        <v>1026</v>
      </c>
      <c r="K4183" s="187" t="s">
        <v>116</v>
      </c>
      <c r="L4183" s="195">
        <v>1.4765060000000001</v>
      </c>
      <c r="M4183" s="195" t="s">
        <v>1026</v>
      </c>
      <c r="N4183" s="195" t="s">
        <v>1034</v>
      </c>
      <c r="O4183" s="199"/>
      <c r="P4183" s="188"/>
    </row>
    <row r="4184" spans="1:16" s="183" customFormat="1" x14ac:dyDescent="0.2">
      <c r="A4184" s="205">
        <v>368</v>
      </c>
      <c r="B4184" s="232" t="str">
        <f>IF(AND(A4184&lt;&gt;"",ISNUMBER(A4184)),VLOOKUP(A4184,Studies!A:BR,2,FALSE),"")</f>
        <v>Olkkola 1993</v>
      </c>
      <c r="C4184" s="232" t="str">
        <f>IF(AND(A4184&lt;&gt;"",ISNUMBER(A4184)),VLOOKUP(A4184,Studies!A:BR,3,FALSE),"")</f>
        <v>https://www.ncbi.nlm.nih.gov/pubmed/8453848</v>
      </c>
      <c r="D4184" s="232" t="str">
        <f>IF(AND(A4184&lt;&gt;"",ISNUMBER(A4184)),VLOOKUP(A4184,Studies!A:BR,4,FALSE),"")</f>
        <v>iv with Perpetrator (Erythromycin)</v>
      </c>
      <c r="E4184" s="206" t="str">
        <f>IF(AND(A4184&lt;&gt;"",ISNUMBER(A4184)),VLOOKUP(A4184,Studies!A:BR,5,FALSE),"")</f>
        <v>Midazolam</v>
      </c>
      <c r="F4184" s="207" t="str">
        <f>IF(AND(A4184&lt;&gt;"",ISNUMBER(A4184)),VLOOKUP(A4184,Studies!A:BR,6,FALSE),"")</f>
        <v>Plasma</v>
      </c>
      <c r="G4184" s="194">
        <f>128+7</f>
        <v>135</v>
      </c>
      <c r="H4184" s="194" t="s">
        <v>60</v>
      </c>
      <c r="I4184" s="187">
        <v>8.7116319999999998</v>
      </c>
      <c r="J4184" s="187" t="s">
        <v>1026</v>
      </c>
      <c r="K4184" s="187" t="s">
        <v>116</v>
      </c>
      <c r="L4184" s="195">
        <v>1.476019</v>
      </c>
      <c r="M4184" s="195" t="s">
        <v>1026</v>
      </c>
      <c r="N4184" s="195" t="s">
        <v>1034</v>
      </c>
      <c r="O4184" s="199"/>
      <c r="P4184" s="188"/>
    </row>
    <row r="4185" spans="1:16" s="183" customFormat="1" x14ac:dyDescent="0.2">
      <c r="A4185" s="205">
        <v>368</v>
      </c>
      <c r="B4185" s="232" t="str">
        <f>IF(AND(A4185&lt;&gt;"",ISNUMBER(A4185)),VLOOKUP(A4185,Studies!A:BR,2,FALSE),"")</f>
        <v>Olkkola 1993</v>
      </c>
      <c r="C4185" s="232" t="str">
        <f>IF(AND(A4185&lt;&gt;"",ISNUMBER(A4185)),VLOOKUP(A4185,Studies!A:BR,3,FALSE),"")</f>
        <v>https://www.ncbi.nlm.nih.gov/pubmed/8453848</v>
      </c>
      <c r="D4185" s="232" t="str">
        <f>IF(AND(A4185&lt;&gt;"",ISNUMBER(A4185)),VLOOKUP(A4185,Studies!A:BR,4,FALSE),"")</f>
        <v>iv with Perpetrator (Erythromycin)</v>
      </c>
      <c r="E4185" s="206" t="str">
        <f>IF(AND(A4185&lt;&gt;"",ISNUMBER(A4185)),VLOOKUP(A4185,Studies!A:BR,5,FALSE),"")</f>
        <v>Midazolam</v>
      </c>
      <c r="F4185" s="207" t="str">
        <f>IF(AND(A4185&lt;&gt;"",ISNUMBER(A4185)),VLOOKUP(A4185,Studies!A:BR,6,FALSE),"")</f>
        <v>Plasma</v>
      </c>
      <c r="G4185" s="194">
        <f>128+8</f>
        <v>136</v>
      </c>
      <c r="H4185" s="194" t="s">
        <v>60</v>
      </c>
      <c r="I4185" s="187">
        <v>7.5836300000000003</v>
      </c>
      <c r="J4185" s="187" t="s">
        <v>1026</v>
      </c>
      <c r="K4185" s="187" t="s">
        <v>116</v>
      </c>
      <c r="L4185" s="195">
        <v>0.73800900000000003</v>
      </c>
      <c r="M4185" s="195" t="s">
        <v>1026</v>
      </c>
      <c r="N4185" s="195" t="s">
        <v>1034</v>
      </c>
      <c r="O4185" s="199"/>
      <c r="P4185" s="188"/>
    </row>
    <row r="4186" spans="1:16" s="183" customFormat="1" x14ac:dyDescent="0.2">
      <c r="A4186" s="205">
        <v>368</v>
      </c>
      <c r="B4186" s="232" t="str">
        <f>IF(AND(A4186&lt;&gt;"",ISNUMBER(A4186)),VLOOKUP(A4186,Studies!A:BR,2,FALSE),"")</f>
        <v>Olkkola 1993</v>
      </c>
      <c r="C4186" s="232" t="str">
        <f>IF(AND(A4186&lt;&gt;"",ISNUMBER(A4186)),VLOOKUP(A4186,Studies!A:BR,3,FALSE),"")</f>
        <v>https://www.ncbi.nlm.nih.gov/pubmed/8453848</v>
      </c>
      <c r="D4186" s="232" t="str">
        <f>IF(AND(A4186&lt;&gt;"",ISNUMBER(A4186)),VLOOKUP(A4186,Studies!A:BR,4,FALSE),"")</f>
        <v>iv with Perpetrator (Erythromycin)</v>
      </c>
      <c r="E4186" s="206" t="str">
        <f>IF(AND(A4186&lt;&gt;"",ISNUMBER(A4186)),VLOOKUP(A4186,Studies!A:BR,5,FALSE),"")</f>
        <v>Midazolam</v>
      </c>
      <c r="F4186" s="207" t="str">
        <f>IF(AND(A4186&lt;&gt;"",ISNUMBER(A4186)),VLOOKUP(A4186,Studies!A:BR,6,FALSE),"")</f>
        <v>Plasma</v>
      </c>
      <c r="G4186" s="194">
        <f>128+18</f>
        <v>146</v>
      </c>
      <c r="H4186" s="194" t="s">
        <v>60</v>
      </c>
      <c r="I4186" s="187">
        <v>1.1060380000000001</v>
      </c>
      <c r="J4186" s="187" t="s">
        <v>1026</v>
      </c>
      <c r="K4186" s="187" t="s">
        <v>116</v>
      </c>
      <c r="L4186" s="195">
        <v>0.73800869999999996</v>
      </c>
      <c r="M4186" s="195" t="s">
        <v>1026</v>
      </c>
      <c r="N4186" s="195" t="s">
        <v>1034</v>
      </c>
      <c r="O4186" s="199"/>
      <c r="P4186" s="188"/>
    </row>
    <row r="4187" spans="1:16" s="183" customFormat="1" x14ac:dyDescent="0.2">
      <c r="A4187" s="205">
        <v>361</v>
      </c>
      <c r="B4187" s="232" t="str">
        <f>IF(AND(A4187&lt;&gt;"",ISNUMBER(A4187)),VLOOKUP(A4187,Studies!A:BR,2,FALSE),"")</f>
        <v>Okudaira 2007</v>
      </c>
      <c r="C4187" s="232" t="str">
        <f>IF(AND(A4187&lt;&gt;"",ISNUMBER(A4187)),VLOOKUP(A4187,Studies!A:BR,3,FALSE),"")</f>
        <v>https://www.ncbi.nlm.nih.gov/pubmed/17585116</v>
      </c>
      <c r="D4187" s="232" t="str">
        <f>IF(AND(A4187&lt;&gt;"",ISNUMBER(A4187)),VLOOKUP(A4187,Studies!A:BR,4,FALSE),"")</f>
        <v>EM 0 Control (Perpetrator Placebo)</v>
      </c>
      <c r="E4187" s="206" t="str">
        <f>IF(AND(A4187&lt;&gt;"",ISNUMBER(A4187)),VLOOKUP(A4187,Studies!A:BR,5,FALSE),"")</f>
        <v>Midazolam</v>
      </c>
      <c r="F4187" s="207" t="str">
        <f>IF(AND(A4187&lt;&gt;"",ISNUMBER(A4187)),VLOOKUP(A4187,Studies!A:BR,6,FALSE),"")</f>
        <v>Plasma</v>
      </c>
      <c r="G4187" s="194">
        <v>0</v>
      </c>
      <c r="H4187" s="194" t="s">
        <v>60</v>
      </c>
      <c r="I4187" s="187">
        <v>0</v>
      </c>
      <c r="J4187" s="187" t="s">
        <v>1026</v>
      </c>
      <c r="K4187" s="187" t="s">
        <v>116</v>
      </c>
      <c r="L4187" s="195"/>
      <c r="M4187" s="195"/>
      <c r="N4187" s="195"/>
      <c r="O4187" s="199"/>
      <c r="P4187" s="188"/>
    </row>
    <row r="4188" spans="1:16" s="183" customFormat="1" x14ac:dyDescent="0.2">
      <c r="A4188" s="205">
        <v>361</v>
      </c>
      <c r="B4188" s="232" t="str">
        <f>IF(AND(A4188&lt;&gt;"",ISNUMBER(A4188)),VLOOKUP(A4188,Studies!A:BR,2,FALSE),"")</f>
        <v>Okudaira 2007</v>
      </c>
      <c r="C4188" s="232" t="str">
        <f>IF(AND(A4188&lt;&gt;"",ISNUMBER(A4188)),VLOOKUP(A4188,Studies!A:BR,3,FALSE),"")</f>
        <v>https://www.ncbi.nlm.nih.gov/pubmed/17585116</v>
      </c>
      <c r="D4188" s="232" t="str">
        <f>IF(AND(A4188&lt;&gt;"",ISNUMBER(A4188)),VLOOKUP(A4188,Studies!A:BR,4,FALSE),"")</f>
        <v>EM 0 Control (Perpetrator Placebo)</v>
      </c>
      <c r="E4188" s="206" t="str">
        <f>IF(AND(A4188&lt;&gt;"",ISNUMBER(A4188)),VLOOKUP(A4188,Studies!A:BR,5,FALSE),"")</f>
        <v>Midazolam</v>
      </c>
      <c r="F4188" s="207" t="str">
        <f>IF(AND(A4188&lt;&gt;"",ISNUMBER(A4188)),VLOOKUP(A4188,Studies!A:BR,6,FALSE),"")</f>
        <v>Plasma</v>
      </c>
      <c r="G4188" s="194">
        <v>0.33</v>
      </c>
      <c r="H4188" s="194" t="s">
        <v>60</v>
      </c>
      <c r="I4188" s="187">
        <v>4.1237110000000001</v>
      </c>
      <c r="J4188" s="187" t="s">
        <v>1026</v>
      </c>
      <c r="K4188" s="187" t="s">
        <v>116</v>
      </c>
      <c r="L4188" s="195">
        <v>1.0309280000000001</v>
      </c>
      <c r="M4188" s="195" t="s">
        <v>1026</v>
      </c>
      <c r="N4188" s="195" t="s">
        <v>117</v>
      </c>
      <c r="O4188" s="199"/>
      <c r="P4188" s="188"/>
    </row>
    <row r="4189" spans="1:16" s="183" customFormat="1" x14ac:dyDescent="0.2">
      <c r="A4189" s="205">
        <v>361</v>
      </c>
      <c r="B4189" s="232" t="str">
        <f>IF(AND(A4189&lt;&gt;"",ISNUMBER(A4189)),VLOOKUP(A4189,Studies!A:BR,2,FALSE),"")</f>
        <v>Okudaira 2007</v>
      </c>
      <c r="C4189" s="232" t="str">
        <f>IF(AND(A4189&lt;&gt;"",ISNUMBER(A4189)),VLOOKUP(A4189,Studies!A:BR,3,FALSE),"")</f>
        <v>https://www.ncbi.nlm.nih.gov/pubmed/17585116</v>
      </c>
      <c r="D4189" s="232" t="str">
        <f>IF(AND(A4189&lt;&gt;"",ISNUMBER(A4189)),VLOOKUP(A4189,Studies!A:BR,4,FALSE),"")</f>
        <v>EM 0 Control (Perpetrator Placebo)</v>
      </c>
      <c r="E4189" s="206" t="str">
        <f>IF(AND(A4189&lt;&gt;"",ISNUMBER(A4189)),VLOOKUP(A4189,Studies!A:BR,5,FALSE),"")</f>
        <v>Midazolam</v>
      </c>
      <c r="F4189" s="207" t="str">
        <f>IF(AND(A4189&lt;&gt;"",ISNUMBER(A4189)),VLOOKUP(A4189,Studies!A:BR,6,FALSE),"")</f>
        <v>Plasma</v>
      </c>
      <c r="G4189" s="194">
        <v>0.66</v>
      </c>
      <c r="H4189" s="194" t="s">
        <v>60</v>
      </c>
      <c r="I4189" s="187">
        <v>8.0412370000000006</v>
      </c>
      <c r="J4189" s="187" t="s">
        <v>1026</v>
      </c>
      <c r="K4189" s="187" t="s">
        <v>116</v>
      </c>
      <c r="L4189" s="195">
        <v>1.0824750000000001</v>
      </c>
      <c r="M4189" s="195" t="s">
        <v>1026</v>
      </c>
      <c r="N4189" s="195" t="s">
        <v>117</v>
      </c>
      <c r="O4189" s="199"/>
      <c r="P4189" s="188"/>
    </row>
    <row r="4190" spans="1:16" s="183" customFormat="1" x14ac:dyDescent="0.2">
      <c r="A4190" s="205">
        <v>361</v>
      </c>
      <c r="B4190" s="232" t="str">
        <f>IF(AND(A4190&lt;&gt;"",ISNUMBER(A4190)),VLOOKUP(A4190,Studies!A:BR,2,FALSE),"")</f>
        <v>Okudaira 2007</v>
      </c>
      <c r="C4190" s="232" t="str">
        <f>IF(AND(A4190&lt;&gt;"",ISNUMBER(A4190)),VLOOKUP(A4190,Studies!A:BR,3,FALSE),"")</f>
        <v>https://www.ncbi.nlm.nih.gov/pubmed/17585116</v>
      </c>
      <c r="D4190" s="232" t="str">
        <f>IF(AND(A4190&lt;&gt;"",ISNUMBER(A4190)),VLOOKUP(A4190,Studies!A:BR,4,FALSE),"")</f>
        <v>EM 0 Control (Perpetrator Placebo)</v>
      </c>
      <c r="E4190" s="206" t="str">
        <f>IF(AND(A4190&lt;&gt;"",ISNUMBER(A4190)),VLOOKUP(A4190,Studies!A:BR,5,FALSE),"")</f>
        <v>Midazolam</v>
      </c>
      <c r="F4190" s="207" t="str">
        <f>IF(AND(A4190&lt;&gt;"",ISNUMBER(A4190)),VLOOKUP(A4190,Studies!A:BR,6,FALSE),"")</f>
        <v>Plasma</v>
      </c>
      <c r="G4190" s="194">
        <v>1</v>
      </c>
      <c r="H4190" s="194" t="s">
        <v>60</v>
      </c>
      <c r="I4190" s="187">
        <v>8.7113399999999999</v>
      </c>
      <c r="J4190" s="187" t="s">
        <v>1026</v>
      </c>
      <c r="K4190" s="187" t="s">
        <v>116</v>
      </c>
      <c r="L4190" s="195">
        <v>1.0824750000000001</v>
      </c>
      <c r="M4190" s="195" t="s">
        <v>1026</v>
      </c>
      <c r="N4190" s="195" t="s">
        <v>117</v>
      </c>
      <c r="O4190" s="199"/>
      <c r="P4190" s="188"/>
    </row>
    <row r="4191" spans="1:16" s="183" customFormat="1" x14ac:dyDescent="0.2">
      <c r="A4191" s="205">
        <v>361</v>
      </c>
      <c r="B4191" s="232" t="str">
        <f>IF(AND(A4191&lt;&gt;"",ISNUMBER(A4191)),VLOOKUP(A4191,Studies!A:BR,2,FALSE),"")</f>
        <v>Okudaira 2007</v>
      </c>
      <c r="C4191" s="232" t="str">
        <f>IF(AND(A4191&lt;&gt;"",ISNUMBER(A4191)),VLOOKUP(A4191,Studies!A:BR,3,FALSE),"")</f>
        <v>https://www.ncbi.nlm.nih.gov/pubmed/17585116</v>
      </c>
      <c r="D4191" s="232" t="str">
        <f>IF(AND(A4191&lt;&gt;"",ISNUMBER(A4191)),VLOOKUP(A4191,Studies!A:BR,4,FALSE),"")</f>
        <v>EM 0 Control (Perpetrator Placebo)</v>
      </c>
      <c r="E4191" s="206" t="str">
        <f>IF(AND(A4191&lt;&gt;"",ISNUMBER(A4191)),VLOOKUP(A4191,Studies!A:BR,5,FALSE),"")</f>
        <v>Midazolam</v>
      </c>
      <c r="F4191" s="207" t="str">
        <f>IF(AND(A4191&lt;&gt;"",ISNUMBER(A4191)),VLOOKUP(A4191,Studies!A:BR,6,FALSE),"")</f>
        <v>Plasma</v>
      </c>
      <c r="G4191" s="194">
        <v>1.5</v>
      </c>
      <c r="H4191" s="194" t="s">
        <v>60</v>
      </c>
      <c r="I4191" s="187">
        <v>8.7113399999999999</v>
      </c>
      <c r="J4191" s="187" t="s">
        <v>1026</v>
      </c>
      <c r="K4191" s="187" t="s">
        <v>116</v>
      </c>
      <c r="L4191" s="195">
        <v>1.0824750000000001</v>
      </c>
      <c r="M4191" s="195" t="s">
        <v>1026</v>
      </c>
      <c r="N4191" s="195" t="s">
        <v>117</v>
      </c>
      <c r="O4191" s="199"/>
      <c r="P4191" s="188"/>
    </row>
    <row r="4192" spans="1:16" s="183" customFormat="1" x14ac:dyDescent="0.2">
      <c r="A4192" s="205">
        <v>361</v>
      </c>
      <c r="B4192" s="232" t="str">
        <f>IF(AND(A4192&lt;&gt;"",ISNUMBER(A4192)),VLOOKUP(A4192,Studies!A:BR,2,FALSE),"")</f>
        <v>Okudaira 2007</v>
      </c>
      <c r="C4192" s="232" t="str">
        <f>IF(AND(A4192&lt;&gt;"",ISNUMBER(A4192)),VLOOKUP(A4192,Studies!A:BR,3,FALSE),"")</f>
        <v>https://www.ncbi.nlm.nih.gov/pubmed/17585116</v>
      </c>
      <c r="D4192" s="232" t="str">
        <f>IF(AND(A4192&lt;&gt;"",ISNUMBER(A4192)),VLOOKUP(A4192,Studies!A:BR,4,FALSE),"")</f>
        <v>EM 0 Control (Perpetrator Placebo)</v>
      </c>
      <c r="E4192" s="206" t="str">
        <f>IF(AND(A4192&lt;&gt;"",ISNUMBER(A4192)),VLOOKUP(A4192,Studies!A:BR,5,FALSE),"")</f>
        <v>Midazolam</v>
      </c>
      <c r="F4192" s="207" t="str">
        <f>IF(AND(A4192&lt;&gt;"",ISNUMBER(A4192)),VLOOKUP(A4192,Studies!A:BR,6,FALSE),"")</f>
        <v>Plasma</v>
      </c>
      <c r="G4192" s="194">
        <v>2</v>
      </c>
      <c r="H4192" s="194" t="s">
        <v>60</v>
      </c>
      <c r="I4192" s="187">
        <v>8.0412370000000006</v>
      </c>
      <c r="J4192" s="187" t="s">
        <v>1026</v>
      </c>
      <c r="K4192" s="187" t="s">
        <v>116</v>
      </c>
      <c r="L4192" s="195">
        <v>1.0824750000000001</v>
      </c>
      <c r="M4192" s="195" t="s">
        <v>1026</v>
      </c>
      <c r="N4192" s="195" t="s">
        <v>117</v>
      </c>
      <c r="O4192" s="199"/>
      <c r="P4192" s="188"/>
    </row>
    <row r="4193" spans="1:16" s="183" customFormat="1" x14ac:dyDescent="0.2">
      <c r="A4193" s="205">
        <v>361</v>
      </c>
      <c r="B4193" s="232" t="str">
        <f>IF(AND(A4193&lt;&gt;"",ISNUMBER(A4193)),VLOOKUP(A4193,Studies!A:BR,2,FALSE),"")</f>
        <v>Okudaira 2007</v>
      </c>
      <c r="C4193" s="232" t="str">
        <f>IF(AND(A4193&lt;&gt;"",ISNUMBER(A4193)),VLOOKUP(A4193,Studies!A:BR,3,FALSE),"")</f>
        <v>https://www.ncbi.nlm.nih.gov/pubmed/17585116</v>
      </c>
      <c r="D4193" s="232" t="str">
        <f>IF(AND(A4193&lt;&gt;"",ISNUMBER(A4193)),VLOOKUP(A4193,Studies!A:BR,4,FALSE),"")</f>
        <v>EM 0 Control (Perpetrator Placebo)</v>
      </c>
      <c r="E4193" s="206" t="str">
        <f>IF(AND(A4193&lt;&gt;"",ISNUMBER(A4193)),VLOOKUP(A4193,Studies!A:BR,5,FALSE),"")</f>
        <v>Midazolam</v>
      </c>
      <c r="F4193" s="207" t="str">
        <f>IF(AND(A4193&lt;&gt;"",ISNUMBER(A4193)),VLOOKUP(A4193,Studies!A:BR,6,FALSE),"")</f>
        <v>Plasma</v>
      </c>
      <c r="G4193" s="194">
        <v>3</v>
      </c>
      <c r="H4193" s="194" t="s">
        <v>60</v>
      </c>
      <c r="I4193" s="187">
        <v>5.3608250000000002</v>
      </c>
      <c r="J4193" s="187" t="s">
        <v>1026</v>
      </c>
      <c r="K4193" s="187" t="s">
        <v>116</v>
      </c>
      <c r="L4193" s="195">
        <v>1.0824739999999999</v>
      </c>
      <c r="M4193" s="195" t="s">
        <v>1026</v>
      </c>
      <c r="N4193" s="195" t="s">
        <v>117</v>
      </c>
      <c r="O4193" s="199"/>
      <c r="P4193" s="188"/>
    </row>
    <row r="4194" spans="1:16" s="183" customFormat="1" x14ac:dyDescent="0.2">
      <c r="A4194" s="205">
        <v>361</v>
      </c>
      <c r="B4194" s="232" t="str">
        <f>IF(AND(A4194&lt;&gt;"",ISNUMBER(A4194)),VLOOKUP(A4194,Studies!A:BR,2,FALSE),"")</f>
        <v>Okudaira 2007</v>
      </c>
      <c r="C4194" s="232" t="str">
        <f>IF(AND(A4194&lt;&gt;"",ISNUMBER(A4194)),VLOOKUP(A4194,Studies!A:BR,3,FALSE),"")</f>
        <v>https://www.ncbi.nlm.nih.gov/pubmed/17585116</v>
      </c>
      <c r="D4194" s="232" t="str">
        <f>IF(AND(A4194&lt;&gt;"",ISNUMBER(A4194)),VLOOKUP(A4194,Studies!A:BR,4,FALSE),"")</f>
        <v>EM 0 Control (Perpetrator Placebo)</v>
      </c>
      <c r="E4194" s="206" t="str">
        <f>IF(AND(A4194&lt;&gt;"",ISNUMBER(A4194)),VLOOKUP(A4194,Studies!A:BR,5,FALSE),"")</f>
        <v>Midazolam</v>
      </c>
      <c r="F4194" s="207" t="str">
        <f>IF(AND(A4194&lt;&gt;"",ISNUMBER(A4194)),VLOOKUP(A4194,Studies!A:BR,6,FALSE),"")</f>
        <v>Plasma</v>
      </c>
      <c r="G4194" s="194">
        <v>5</v>
      </c>
      <c r="H4194" s="194" t="s">
        <v>60</v>
      </c>
      <c r="I4194" s="187">
        <v>2.2680410000000002</v>
      </c>
      <c r="J4194" s="187" t="s">
        <v>1026</v>
      </c>
      <c r="K4194" s="187" t="s">
        <v>116</v>
      </c>
      <c r="L4194" s="195">
        <v>1.0309280000000001</v>
      </c>
      <c r="M4194" s="195" t="s">
        <v>1026</v>
      </c>
      <c r="N4194" s="195" t="s">
        <v>117</v>
      </c>
      <c r="O4194" s="199"/>
      <c r="P4194" s="188"/>
    </row>
    <row r="4195" spans="1:16" s="183" customFormat="1" x14ac:dyDescent="0.2">
      <c r="A4195" s="205">
        <v>361</v>
      </c>
      <c r="B4195" s="232" t="str">
        <f>IF(AND(A4195&lt;&gt;"",ISNUMBER(A4195)),VLOOKUP(A4195,Studies!A:BR,2,FALSE),"")</f>
        <v>Okudaira 2007</v>
      </c>
      <c r="C4195" s="232" t="str">
        <f>IF(AND(A4195&lt;&gt;"",ISNUMBER(A4195)),VLOOKUP(A4195,Studies!A:BR,3,FALSE),"")</f>
        <v>https://www.ncbi.nlm.nih.gov/pubmed/17585116</v>
      </c>
      <c r="D4195" s="232" t="str">
        <f>IF(AND(A4195&lt;&gt;"",ISNUMBER(A4195)),VLOOKUP(A4195,Studies!A:BR,4,FALSE),"")</f>
        <v>EM 0 Control (Perpetrator Placebo)</v>
      </c>
      <c r="E4195" s="206" t="str">
        <f>IF(AND(A4195&lt;&gt;"",ISNUMBER(A4195)),VLOOKUP(A4195,Studies!A:BR,5,FALSE),"")</f>
        <v>Midazolam</v>
      </c>
      <c r="F4195" s="207" t="str">
        <f>IF(AND(A4195&lt;&gt;"",ISNUMBER(A4195)),VLOOKUP(A4195,Studies!A:BR,6,FALSE),"")</f>
        <v>Plasma</v>
      </c>
      <c r="G4195" s="194">
        <v>8</v>
      </c>
      <c r="H4195" s="194" t="s">
        <v>60</v>
      </c>
      <c r="I4195" s="187">
        <v>1.2886599999999999</v>
      </c>
      <c r="J4195" s="187" t="s">
        <v>1026</v>
      </c>
      <c r="K4195" s="187" t="s">
        <v>116</v>
      </c>
      <c r="L4195" s="195">
        <v>0.9793811</v>
      </c>
      <c r="M4195" s="195" t="s">
        <v>1026</v>
      </c>
      <c r="N4195" s="195" t="s">
        <v>117</v>
      </c>
      <c r="O4195" s="199"/>
      <c r="P4195" s="188"/>
    </row>
    <row r="4196" spans="1:16" s="183" customFormat="1" x14ac:dyDescent="0.2">
      <c r="A4196" s="205">
        <v>361</v>
      </c>
      <c r="B4196" s="232" t="str">
        <f>IF(AND(A4196&lt;&gt;"",ISNUMBER(A4196)),VLOOKUP(A4196,Studies!A:BR,2,FALSE),"")</f>
        <v>Okudaira 2007</v>
      </c>
      <c r="C4196" s="232" t="str">
        <f>IF(AND(A4196&lt;&gt;"",ISNUMBER(A4196)),VLOOKUP(A4196,Studies!A:BR,3,FALSE),"")</f>
        <v>https://www.ncbi.nlm.nih.gov/pubmed/17585116</v>
      </c>
      <c r="D4196" s="232" t="str">
        <f>IF(AND(A4196&lt;&gt;"",ISNUMBER(A4196)),VLOOKUP(A4196,Studies!A:BR,4,FALSE),"")</f>
        <v>EM 0 Control (Perpetrator Placebo)</v>
      </c>
      <c r="E4196" s="206" t="str">
        <f>IF(AND(A4196&lt;&gt;"",ISNUMBER(A4196)),VLOOKUP(A4196,Studies!A:BR,5,FALSE),"")</f>
        <v>Midazolam</v>
      </c>
      <c r="F4196" s="207" t="str">
        <f>IF(AND(A4196&lt;&gt;"",ISNUMBER(A4196)),VLOOKUP(A4196,Studies!A:BR,6,FALSE),"")</f>
        <v>Plasma</v>
      </c>
      <c r="G4196" s="194">
        <v>14</v>
      </c>
      <c r="H4196" s="194" t="s">
        <v>60</v>
      </c>
      <c r="I4196" s="187">
        <v>0.61855669999999996</v>
      </c>
      <c r="J4196" s="187" t="s">
        <v>1026</v>
      </c>
      <c r="K4196" s="187" t="s">
        <v>116</v>
      </c>
      <c r="L4196" s="195">
        <v>1.0824739999999999</v>
      </c>
      <c r="M4196" s="195" t="s">
        <v>1026</v>
      </c>
      <c r="N4196" s="195" t="s">
        <v>117</v>
      </c>
      <c r="O4196" s="199"/>
      <c r="P4196" s="189" t="s">
        <v>1175</v>
      </c>
    </row>
    <row r="4197" spans="1:16" s="183" customFormat="1" x14ac:dyDescent="0.2">
      <c r="A4197" s="205">
        <v>362</v>
      </c>
      <c r="B4197" s="232" t="str">
        <f>IF(AND(A4197&lt;&gt;"",ISNUMBER(A4197)),VLOOKUP(A4197,Studies!A:BR,2,FALSE),"")</f>
        <v>Okudaira 2007</v>
      </c>
      <c r="C4197" s="232" t="str">
        <f>IF(AND(A4197&lt;&gt;"",ISNUMBER(A4197)),VLOOKUP(A4197,Studies!A:BR,3,FALSE),"")</f>
        <v>https://www.ncbi.nlm.nih.gov/pubmed/17585116</v>
      </c>
      <c r="D4197" s="232" t="str">
        <f>IF(AND(A4197&lt;&gt;"",ISNUMBER(A4197)),VLOOKUP(A4197,Studies!A:BR,4,FALSE),"")</f>
        <v>EM 2 with Perpetrator (Erythromycin)</v>
      </c>
      <c r="E4197" s="206" t="str">
        <f>IF(AND(A4197&lt;&gt;"",ISNUMBER(A4197)),VLOOKUP(A4197,Studies!A:BR,5,FALSE),"")</f>
        <v>Midazolam</v>
      </c>
      <c r="F4197" s="207" t="str">
        <f>IF(AND(A4197&lt;&gt;"",ISNUMBER(A4197)),VLOOKUP(A4197,Studies!A:BR,6,FALSE),"")</f>
        <v>Plasma</v>
      </c>
      <c r="G4197" s="194">
        <f>25+0</f>
        <v>25</v>
      </c>
      <c r="H4197" s="194" t="s">
        <v>60</v>
      </c>
      <c r="I4197" s="187">
        <v>0</v>
      </c>
      <c r="J4197" s="187" t="s">
        <v>1026</v>
      </c>
      <c r="K4197" s="187" t="s">
        <v>116</v>
      </c>
      <c r="L4197" s="195"/>
      <c r="M4197" s="195"/>
      <c r="N4197" s="195"/>
      <c r="O4197" s="199"/>
      <c r="P4197" s="188"/>
    </row>
    <row r="4198" spans="1:16" s="183" customFormat="1" x14ac:dyDescent="0.2">
      <c r="A4198" s="205">
        <v>362</v>
      </c>
      <c r="B4198" s="232" t="str">
        <f>IF(AND(A4198&lt;&gt;"",ISNUMBER(A4198)),VLOOKUP(A4198,Studies!A:BR,2,FALSE),"")</f>
        <v>Okudaira 2007</v>
      </c>
      <c r="C4198" s="232" t="str">
        <f>IF(AND(A4198&lt;&gt;"",ISNUMBER(A4198)),VLOOKUP(A4198,Studies!A:BR,3,FALSE),"")</f>
        <v>https://www.ncbi.nlm.nih.gov/pubmed/17585116</v>
      </c>
      <c r="D4198" s="232" t="str">
        <f>IF(AND(A4198&lt;&gt;"",ISNUMBER(A4198)),VLOOKUP(A4198,Studies!A:BR,4,FALSE),"")</f>
        <v>EM 2 with Perpetrator (Erythromycin)</v>
      </c>
      <c r="E4198" s="206" t="str">
        <f>IF(AND(A4198&lt;&gt;"",ISNUMBER(A4198)),VLOOKUP(A4198,Studies!A:BR,5,FALSE),"")</f>
        <v>Midazolam</v>
      </c>
      <c r="F4198" s="207" t="str">
        <f>IF(AND(A4198&lt;&gt;"",ISNUMBER(A4198)),VLOOKUP(A4198,Studies!A:BR,6,FALSE),"")</f>
        <v>Plasma</v>
      </c>
      <c r="G4198" s="194">
        <f>25+0.33</f>
        <v>25.33</v>
      </c>
      <c r="H4198" s="194" t="s">
        <v>60</v>
      </c>
      <c r="I4198" s="187">
        <v>10</v>
      </c>
      <c r="J4198" s="187" t="s">
        <v>1026</v>
      </c>
      <c r="K4198" s="187" t="s">
        <v>116</v>
      </c>
      <c r="L4198" s="195">
        <v>1.701031</v>
      </c>
      <c r="M4198" s="195" t="s">
        <v>1026</v>
      </c>
      <c r="N4198" s="195" t="s">
        <v>117</v>
      </c>
      <c r="O4198" s="199"/>
      <c r="P4198" s="188"/>
    </row>
    <row r="4199" spans="1:16" s="183" customFormat="1" x14ac:dyDescent="0.2">
      <c r="A4199" s="205">
        <v>362</v>
      </c>
      <c r="B4199" s="232" t="str">
        <f>IF(AND(A4199&lt;&gt;"",ISNUMBER(A4199)),VLOOKUP(A4199,Studies!A:BR,2,FALSE),"")</f>
        <v>Okudaira 2007</v>
      </c>
      <c r="C4199" s="232" t="str">
        <f>IF(AND(A4199&lt;&gt;"",ISNUMBER(A4199)),VLOOKUP(A4199,Studies!A:BR,3,FALSE),"")</f>
        <v>https://www.ncbi.nlm.nih.gov/pubmed/17585116</v>
      </c>
      <c r="D4199" s="232" t="str">
        <f>IF(AND(A4199&lt;&gt;"",ISNUMBER(A4199)),VLOOKUP(A4199,Studies!A:BR,4,FALSE),"")</f>
        <v>EM 2 with Perpetrator (Erythromycin)</v>
      </c>
      <c r="E4199" s="206" t="str">
        <f>IF(AND(A4199&lt;&gt;"",ISNUMBER(A4199)),VLOOKUP(A4199,Studies!A:BR,5,FALSE),"")</f>
        <v>Midazolam</v>
      </c>
      <c r="F4199" s="207" t="str">
        <f>IF(AND(A4199&lt;&gt;"",ISNUMBER(A4199)),VLOOKUP(A4199,Studies!A:BR,6,FALSE),"")</f>
        <v>Plasma</v>
      </c>
      <c r="G4199" s="194">
        <f>25+0.66</f>
        <v>25.66</v>
      </c>
      <c r="H4199" s="194" t="s">
        <v>60</v>
      </c>
      <c r="I4199" s="187">
        <v>14.27835</v>
      </c>
      <c r="J4199" s="187" t="s">
        <v>1026</v>
      </c>
      <c r="K4199" s="187" t="s">
        <v>116</v>
      </c>
      <c r="L4199" s="195">
        <v>1.9587639999999999</v>
      </c>
      <c r="M4199" s="195" t="s">
        <v>1026</v>
      </c>
      <c r="N4199" s="195" t="s">
        <v>117</v>
      </c>
      <c r="O4199" s="199"/>
      <c r="P4199" s="188"/>
    </row>
    <row r="4200" spans="1:16" s="183" customFormat="1" x14ac:dyDescent="0.2">
      <c r="A4200" s="205">
        <v>362</v>
      </c>
      <c r="B4200" s="232" t="str">
        <f>IF(AND(A4200&lt;&gt;"",ISNUMBER(A4200)),VLOOKUP(A4200,Studies!A:BR,2,FALSE),"")</f>
        <v>Okudaira 2007</v>
      </c>
      <c r="C4200" s="232" t="str">
        <f>IF(AND(A4200&lt;&gt;"",ISNUMBER(A4200)),VLOOKUP(A4200,Studies!A:BR,3,FALSE),"")</f>
        <v>https://www.ncbi.nlm.nih.gov/pubmed/17585116</v>
      </c>
      <c r="D4200" s="232" t="str">
        <f>IF(AND(A4200&lt;&gt;"",ISNUMBER(A4200)),VLOOKUP(A4200,Studies!A:BR,4,FALSE),"")</f>
        <v>EM 2 with Perpetrator (Erythromycin)</v>
      </c>
      <c r="E4200" s="206" t="str">
        <f>IF(AND(A4200&lt;&gt;"",ISNUMBER(A4200)),VLOOKUP(A4200,Studies!A:BR,5,FALSE),"")</f>
        <v>Midazolam</v>
      </c>
      <c r="F4200" s="207" t="str">
        <f>IF(AND(A4200&lt;&gt;"",ISNUMBER(A4200)),VLOOKUP(A4200,Studies!A:BR,6,FALSE),"")</f>
        <v>Plasma</v>
      </c>
      <c r="G4200" s="194">
        <f>25+1</f>
        <v>26</v>
      </c>
      <c r="H4200" s="194" t="s">
        <v>60</v>
      </c>
      <c r="I4200" s="187">
        <v>17.164950000000001</v>
      </c>
      <c r="J4200" s="187" t="s">
        <v>1026</v>
      </c>
      <c r="K4200" s="187" t="s">
        <v>116</v>
      </c>
      <c r="L4200" s="195">
        <v>1.9072150000000001</v>
      </c>
      <c r="M4200" s="195" t="s">
        <v>1026</v>
      </c>
      <c r="N4200" s="195" t="s">
        <v>117</v>
      </c>
      <c r="O4200" s="199"/>
      <c r="P4200" s="188"/>
    </row>
    <row r="4201" spans="1:16" s="183" customFormat="1" x14ac:dyDescent="0.2">
      <c r="A4201" s="205">
        <v>362</v>
      </c>
      <c r="B4201" s="232" t="str">
        <f>IF(AND(A4201&lt;&gt;"",ISNUMBER(A4201)),VLOOKUP(A4201,Studies!A:BR,2,FALSE),"")</f>
        <v>Okudaira 2007</v>
      </c>
      <c r="C4201" s="232" t="str">
        <f>IF(AND(A4201&lt;&gt;"",ISNUMBER(A4201)),VLOOKUP(A4201,Studies!A:BR,3,FALSE),"")</f>
        <v>https://www.ncbi.nlm.nih.gov/pubmed/17585116</v>
      </c>
      <c r="D4201" s="232" t="str">
        <f>IF(AND(A4201&lt;&gt;"",ISNUMBER(A4201)),VLOOKUP(A4201,Studies!A:BR,4,FALSE),"")</f>
        <v>EM 2 with Perpetrator (Erythromycin)</v>
      </c>
      <c r="E4201" s="206" t="str">
        <f>IF(AND(A4201&lt;&gt;"",ISNUMBER(A4201)),VLOOKUP(A4201,Studies!A:BR,5,FALSE),"")</f>
        <v>Midazolam</v>
      </c>
      <c r="F4201" s="207" t="str">
        <f>IF(AND(A4201&lt;&gt;"",ISNUMBER(A4201)),VLOOKUP(A4201,Studies!A:BR,6,FALSE),"")</f>
        <v>Plasma</v>
      </c>
      <c r="G4201" s="194">
        <f>25+1.5</f>
        <v>26.5</v>
      </c>
      <c r="H4201" s="194" t="s">
        <v>60</v>
      </c>
      <c r="I4201" s="187">
        <v>15.773199999999999</v>
      </c>
      <c r="J4201" s="187" t="s">
        <v>1026</v>
      </c>
      <c r="K4201" s="187" t="s">
        <v>116</v>
      </c>
      <c r="L4201" s="195">
        <v>1.9072119999999999</v>
      </c>
      <c r="M4201" s="195" t="s">
        <v>1026</v>
      </c>
      <c r="N4201" s="195" t="s">
        <v>117</v>
      </c>
      <c r="O4201" s="199"/>
      <c r="P4201" s="188"/>
    </row>
    <row r="4202" spans="1:16" s="183" customFormat="1" x14ac:dyDescent="0.2">
      <c r="A4202" s="205">
        <v>362</v>
      </c>
      <c r="B4202" s="232" t="str">
        <f>IF(AND(A4202&lt;&gt;"",ISNUMBER(A4202)),VLOOKUP(A4202,Studies!A:BR,2,FALSE),"")</f>
        <v>Okudaira 2007</v>
      </c>
      <c r="C4202" s="232" t="str">
        <f>IF(AND(A4202&lt;&gt;"",ISNUMBER(A4202)),VLOOKUP(A4202,Studies!A:BR,3,FALSE),"")</f>
        <v>https://www.ncbi.nlm.nih.gov/pubmed/17585116</v>
      </c>
      <c r="D4202" s="232" t="str">
        <f>IF(AND(A4202&lt;&gt;"",ISNUMBER(A4202)),VLOOKUP(A4202,Studies!A:BR,4,FALSE),"")</f>
        <v>EM 2 with Perpetrator (Erythromycin)</v>
      </c>
      <c r="E4202" s="206" t="str">
        <f>IF(AND(A4202&lt;&gt;"",ISNUMBER(A4202)),VLOOKUP(A4202,Studies!A:BR,5,FALSE),"")</f>
        <v>Midazolam</v>
      </c>
      <c r="F4202" s="207" t="str">
        <f>IF(AND(A4202&lt;&gt;"",ISNUMBER(A4202)),VLOOKUP(A4202,Studies!A:BR,6,FALSE),"")</f>
        <v>Plasma</v>
      </c>
      <c r="G4202" s="194">
        <f>25+2</f>
        <v>27</v>
      </c>
      <c r="H4202" s="194" t="s">
        <v>60</v>
      </c>
      <c r="I4202" s="187">
        <v>13.298970000000001</v>
      </c>
      <c r="J4202" s="187" t="s">
        <v>1026</v>
      </c>
      <c r="K4202" s="187" t="s">
        <v>116</v>
      </c>
      <c r="L4202" s="195">
        <v>2.0103080000000002</v>
      </c>
      <c r="M4202" s="195" t="s">
        <v>1026</v>
      </c>
      <c r="N4202" s="195" t="s">
        <v>117</v>
      </c>
      <c r="O4202" s="199"/>
      <c r="P4202" s="188"/>
    </row>
    <row r="4203" spans="1:16" s="183" customFormat="1" x14ac:dyDescent="0.2">
      <c r="A4203" s="205">
        <v>362</v>
      </c>
      <c r="B4203" s="232" t="str">
        <f>IF(AND(A4203&lt;&gt;"",ISNUMBER(A4203)),VLOOKUP(A4203,Studies!A:BR,2,FALSE),"")</f>
        <v>Okudaira 2007</v>
      </c>
      <c r="C4203" s="232" t="str">
        <f>IF(AND(A4203&lt;&gt;"",ISNUMBER(A4203)),VLOOKUP(A4203,Studies!A:BR,3,FALSE),"")</f>
        <v>https://www.ncbi.nlm.nih.gov/pubmed/17585116</v>
      </c>
      <c r="D4203" s="232" t="str">
        <f>IF(AND(A4203&lt;&gt;"",ISNUMBER(A4203)),VLOOKUP(A4203,Studies!A:BR,4,FALSE),"")</f>
        <v>EM 2 with Perpetrator (Erythromycin)</v>
      </c>
      <c r="E4203" s="206" t="str">
        <f>IF(AND(A4203&lt;&gt;"",ISNUMBER(A4203)),VLOOKUP(A4203,Studies!A:BR,5,FALSE),"")</f>
        <v>Midazolam</v>
      </c>
      <c r="F4203" s="207" t="str">
        <f>IF(AND(A4203&lt;&gt;"",ISNUMBER(A4203)),VLOOKUP(A4203,Studies!A:BR,6,FALSE),"")</f>
        <v>Plasma</v>
      </c>
      <c r="G4203" s="194">
        <f>25+3</f>
        <v>28</v>
      </c>
      <c r="H4203" s="194" t="s">
        <v>60</v>
      </c>
      <c r="I4203" s="187">
        <v>9.5876289999999997</v>
      </c>
      <c r="J4203" s="187" t="s">
        <v>1026</v>
      </c>
      <c r="K4203" s="187" t="s">
        <v>116</v>
      </c>
      <c r="L4203" s="195">
        <v>1.907216</v>
      </c>
      <c r="M4203" s="195" t="s">
        <v>1026</v>
      </c>
      <c r="N4203" s="195" t="s">
        <v>117</v>
      </c>
      <c r="O4203" s="199"/>
      <c r="P4203" s="188"/>
    </row>
    <row r="4204" spans="1:16" s="183" customFormat="1" x14ac:dyDescent="0.2">
      <c r="A4204" s="205">
        <v>362</v>
      </c>
      <c r="B4204" s="232" t="str">
        <f>IF(AND(A4204&lt;&gt;"",ISNUMBER(A4204)),VLOOKUP(A4204,Studies!A:BR,2,FALSE),"")</f>
        <v>Okudaira 2007</v>
      </c>
      <c r="C4204" s="232" t="str">
        <f>IF(AND(A4204&lt;&gt;"",ISNUMBER(A4204)),VLOOKUP(A4204,Studies!A:BR,3,FALSE),"")</f>
        <v>https://www.ncbi.nlm.nih.gov/pubmed/17585116</v>
      </c>
      <c r="D4204" s="232" t="str">
        <f>IF(AND(A4204&lt;&gt;"",ISNUMBER(A4204)),VLOOKUP(A4204,Studies!A:BR,4,FALSE),"")</f>
        <v>EM 2 with Perpetrator (Erythromycin)</v>
      </c>
      <c r="E4204" s="206" t="str">
        <f>IF(AND(A4204&lt;&gt;"",ISNUMBER(A4204)),VLOOKUP(A4204,Studies!A:BR,5,FALSE),"")</f>
        <v>Midazolam</v>
      </c>
      <c r="F4204" s="207" t="str">
        <f>IF(AND(A4204&lt;&gt;"",ISNUMBER(A4204)),VLOOKUP(A4204,Studies!A:BR,6,FALSE),"")</f>
        <v>Plasma</v>
      </c>
      <c r="G4204" s="194">
        <f>25+5</f>
        <v>30</v>
      </c>
      <c r="H4204" s="194" t="s">
        <v>60</v>
      </c>
      <c r="I4204" s="187">
        <v>5.5154639999999997</v>
      </c>
      <c r="J4204" s="187" t="s">
        <v>1026</v>
      </c>
      <c r="K4204" s="187" t="s">
        <v>116</v>
      </c>
      <c r="L4204" s="195">
        <v>1.9072169999999999</v>
      </c>
      <c r="M4204" s="195" t="s">
        <v>1026</v>
      </c>
      <c r="N4204" s="195" t="s">
        <v>117</v>
      </c>
      <c r="O4204" s="199"/>
      <c r="P4204" s="188"/>
    </row>
    <row r="4205" spans="1:16" s="183" customFormat="1" x14ac:dyDescent="0.2">
      <c r="A4205" s="205">
        <v>362</v>
      </c>
      <c r="B4205" s="232" t="str">
        <f>IF(AND(A4205&lt;&gt;"",ISNUMBER(A4205)),VLOOKUP(A4205,Studies!A:BR,2,FALSE),"")</f>
        <v>Okudaira 2007</v>
      </c>
      <c r="C4205" s="232" t="str">
        <f>IF(AND(A4205&lt;&gt;"",ISNUMBER(A4205)),VLOOKUP(A4205,Studies!A:BR,3,FALSE),"")</f>
        <v>https://www.ncbi.nlm.nih.gov/pubmed/17585116</v>
      </c>
      <c r="D4205" s="232" t="str">
        <f>IF(AND(A4205&lt;&gt;"",ISNUMBER(A4205)),VLOOKUP(A4205,Studies!A:BR,4,FALSE),"")</f>
        <v>EM 2 with Perpetrator (Erythromycin)</v>
      </c>
      <c r="E4205" s="206" t="str">
        <f>IF(AND(A4205&lt;&gt;"",ISNUMBER(A4205)),VLOOKUP(A4205,Studies!A:BR,5,FALSE),"")</f>
        <v>Midazolam</v>
      </c>
      <c r="F4205" s="207" t="str">
        <f>IF(AND(A4205&lt;&gt;"",ISNUMBER(A4205)),VLOOKUP(A4205,Studies!A:BR,6,FALSE),"")</f>
        <v>Plasma</v>
      </c>
      <c r="G4205" s="194">
        <f>25+8</f>
        <v>33</v>
      </c>
      <c r="H4205" s="194" t="s">
        <v>60</v>
      </c>
      <c r="I4205" s="187">
        <v>3.0412370000000002</v>
      </c>
      <c r="J4205" s="187" t="s">
        <v>1026</v>
      </c>
      <c r="K4205" s="187" t="s">
        <v>116</v>
      </c>
      <c r="L4205" s="195">
        <v>1.907216</v>
      </c>
      <c r="M4205" s="195" t="s">
        <v>1026</v>
      </c>
      <c r="N4205" s="195" t="s">
        <v>117</v>
      </c>
      <c r="O4205" s="199"/>
      <c r="P4205" s="188"/>
    </row>
    <row r="4206" spans="1:16" s="183" customFormat="1" x14ac:dyDescent="0.2">
      <c r="A4206" s="205">
        <v>362</v>
      </c>
      <c r="B4206" s="232" t="str">
        <f>IF(AND(A4206&lt;&gt;"",ISNUMBER(A4206)),VLOOKUP(A4206,Studies!A:BR,2,FALSE),"")</f>
        <v>Okudaira 2007</v>
      </c>
      <c r="C4206" s="232" t="str">
        <f>IF(AND(A4206&lt;&gt;"",ISNUMBER(A4206)),VLOOKUP(A4206,Studies!A:BR,3,FALSE),"")</f>
        <v>https://www.ncbi.nlm.nih.gov/pubmed/17585116</v>
      </c>
      <c r="D4206" s="232" t="str">
        <f>IF(AND(A4206&lt;&gt;"",ISNUMBER(A4206)),VLOOKUP(A4206,Studies!A:BR,4,FALSE),"")</f>
        <v>EM 2 with Perpetrator (Erythromycin)</v>
      </c>
      <c r="E4206" s="206" t="str">
        <f>IF(AND(A4206&lt;&gt;"",ISNUMBER(A4206)),VLOOKUP(A4206,Studies!A:BR,5,FALSE),"")</f>
        <v>Midazolam</v>
      </c>
      <c r="F4206" s="207" t="str">
        <f>IF(AND(A4206&lt;&gt;"",ISNUMBER(A4206)),VLOOKUP(A4206,Studies!A:BR,6,FALSE),"")</f>
        <v>Plasma</v>
      </c>
      <c r="G4206" s="194">
        <f>25+14</f>
        <v>39</v>
      </c>
      <c r="H4206" s="194" t="s">
        <v>60</v>
      </c>
      <c r="I4206" s="187">
        <v>2.3711340000000001</v>
      </c>
      <c r="J4206" s="187" t="s">
        <v>1026</v>
      </c>
      <c r="K4206" s="187" t="s">
        <v>116</v>
      </c>
      <c r="L4206" s="195">
        <v>1.958763</v>
      </c>
      <c r="M4206" s="195" t="s">
        <v>1026</v>
      </c>
      <c r="N4206" s="195" t="s">
        <v>117</v>
      </c>
      <c r="O4206" s="199"/>
      <c r="P4206" s="188"/>
    </row>
    <row r="4207" spans="1:16" s="183" customFormat="1" x14ac:dyDescent="0.2">
      <c r="A4207" s="205">
        <v>362</v>
      </c>
      <c r="B4207" s="232" t="str">
        <f>IF(AND(A4207&lt;&gt;"",ISNUMBER(A4207)),VLOOKUP(A4207,Studies!A:BR,2,FALSE),"")</f>
        <v>Okudaira 2007</v>
      </c>
      <c r="C4207" s="232" t="str">
        <f>IF(AND(A4207&lt;&gt;"",ISNUMBER(A4207)),VLOOKUP(A4207,Studies!A:BR,3,FALSE),"")</f>
        <v>https://www.ncbi.nlm.nih.gov/pubmed/17585116</v>
      </c>
      <c r="D4207" s="232" t="str">
        <f>IF(AND(A4207&lt;&gt;"",ISNUMBER(A4207)),VLOOKUP(A4207,Studies!A:BR,4,FALSE),"")</f>
        <v>EM 2 with Perpetrator (Erythromycin)</v>
      </c>
      <c r="E4207" s="206" t="str">
        <f>IF(AND(A4207&lt;&gt;"",ISNUMBER(A4207)),VLOOKUP(A4207,Studies!A:BR,5,FALSE),"")</f>
        <v>Midazolam</v>
      </c>
      <c r="F4207" s="207" t="str">
        <f>IF(AND(A4207&lt;&gt;"",ISNUMBER(A4207)),VLOOKUP(A4207,Studies!A:BR,6,FALSE),"")</f>
        <v>Plasma</v>
      </c>
      <c r="G4207" s="194">
        <f>25+22</f>
        <v>47</v>
      </c>
      <c r="H4207" s="194" t="s">
        <v>60</v>
      </c>
      <c r="I4207" s="187">
        <v>1.546392</v>
      </c>
      <c r="J4207" s="187" t="s">
        <v>1026</v>
      </c>
      <c r="K4207" s="187" t="s">
        <v>116</v>
      </c>
      <c r="L4207" s="195">
        <v>1.958763</v>
      </c>
      <c r="M4207" s="195" t="s">
        <v>1026</v>
      </c>
      <c r="N4207" s="195" t="s">
        <v>117</v>
      </c>
      <c r="O4207" s="199"/>
      <c r="P4207" s="188"/>
    </row>
    <row r="4208" spans="1:16" s="183" customFormat="1" x14ac:dyDescent="0.2">
      <c r="A4208" s="205">
        <v>363</v>
      </c>
      <c r="B4208" s="232" t="str">
        <f>IF(AND(A4208&lt;&gt;"",ISNUMBER(A4208)),VLOOKUP(A4208,Studies!A:BR,2,FALSE),"")</f>
        <v>Okudaira 2007</v>
      </c>
      <c r="C4208" s="232" t="str">
        <f>IF(AND(A4208&lt;&gt;"",ISNUMBER(A4208)),VLOOKUP(A4208,Studies!A:BR,3,FALSE),"")</f>
        <v>https://www.ncbi.nlm.nih.gov/pubmed/17585116</v>
      </c>
      <c r="D4208" s="232" t="str">
        <f>IF(AND(A4208&lt;&gt;"",ISNUMBER(A4208)),VLOOKUP(A4208,Studies!A:BR,4,FALSE),"")</f>
        <v>EM 4 with Perpetrator (Erythromycin)</v>
      </c>
      <c r="E4208" s="206" t="str">
        <f>IF(AND(A4208&lt;&gt;"",ISNUMBER(A4208)),VLOOKUP(A4208,Studies!A:BR,5,FALSE),"")</f>
        <v>Midazolam</v>
      </c>
      <c r="F4208" s="207" t="str">
        <f>IF(AND(A4208&lt;&gt;"",ISNUMBER(A4208)),VLOOKUP(A4208,Studies!A:BR,6,FALSE),"")</f>
        <v>Plasma</v>
      </c>
      <c r="G4208" s="194">
        <f>73+0</f>
        <v>73</v>
      </c>
      <c r="H4208" s="194" t="s">
        <v>60</v>
      </c>
      <c r="I4208" s="187">
        <v>0</v>
      </c>
      <c r="J4208" s="187" t="s">
        <v>1026</v>
      </c>
      <c r="K4208" s="187" t="s">
        <v>116</v>
      </c>
      <c r="L4208" s="195"/>
      <c r="M4208" s="195"/>
      <c r="N4208" s="195"/>
      <c r="O4208" s="199"/>
      <c r="P4208" s="188"/>
    </row>
    <row r="4209" spans="1:16" s="183" customFormat="1" x14ac:dyDescent="0.2">
      <c r="A4209" s="205">
        <v>363</v>
      </c>
      <c r="B4209" s="232" t="str">
        <f>IF(AND(A4209&lt;&gt;"",ISNUMBER(A4209)),VLOOKUP(A4209,Studies!A:BR,2,FALSE),"")</f>
        <v>Okudaira 2007</v>
      </c>
      <c r="C4209" s="232" t="str">
        <f>IF(AND(A4209&lt;&gt;"",ISNUMBER(A4209)),VLOOKUP(A4209,Studies!A:BR,3,FALSE),"")</f>
        <v>https://www.ncbi.nlm.nih.gov/pubmed/17585116</v>
      </c>
      <c r="D4209" s="232" t="str">
        <f>IF(AND(A4209&lt;&gt;"",ISNUMBER(A4209)),VLOOKUP(A4209,Studies!A:BR,4,FALSE),"")</f>
        <v>EM 4 with Perpetrator (Erythromycin)</v>
      </c>
      <c r="E4209" s="206" t="str">
        <f>IF(AND(A4209&lt;&gt;"",ISNUMBER(A4209)),VLOOKUP(A4209,Studies!A:BR,5,FALSE),"")</f>
        <v>Midazolam</v>
      </c>
      <c r="F4209" s="207" t="str">
        <f>IF(AND(A4209&lt;&gt;"",ISNUMBER(A4209)),VLOOKUP(A4209,Studies!A:BR,6,FALSE),"")</f>
        <v>Plasma</v>
      </c>
      <c r="G4209" s="194">
        <f>73+0.33</f>
        <v>73.33</v>
      </c>
      <c r="H4209" s="194" t="s">
        <v>60</v>
      </c>
      <c r="I4209" s="187">
        <v>10.6701</v>
      </c>
      <c r="J4209" s="187" t="s">
        <v>1026</v>
      </c>
      <c r="K4209" s="187" t="s">
        <v>116</v>
      </c>
      <c r="L4209" s="195">
        <v>2.525776</v>
      </c>
      <c r="M4209" s="195" t="s">
        <v>1026</v>
      </c>
      <c r="N4209" s="195" t="s">
        <v>117</v>
      </c>
      <c r="O4209" s="199"/>
      <c r="P4209" s="188"/>
    </row>
    <row r="4210" spans="1:16" s="183" customFormat="1" x14ac:dyDescent="0.2">
      <c r="A4210" s="205">
        <v>363</v>
      </c>
      <c r="B4210" s="232" t="str">
        <f>IF(AND(A4210&lt;&gt;"",ISNUMBER(A4210)),VLOOKUP(A4210,Studies!A:BR,2,FALSE),"")</f>
        <v>Okudaira 2007</v>
      </c>
      <c r="C4210" s="232" t="str">
        <f>IF(AND(A4210&lt;&gt;"",ISNUMBER(A4210)),VLOOKUP(A4210,Studies!A:BR,3,FALSE),"")</f>
        <v>https://www.ncbi.nlm.nih.gov/pubmed/17585116</v>
      </c>
      <c r="D4210" s="232" t="str">
        <f>IF(AND(A4210&lt;&gt;"",ISNUMBER(A4210)),VLOOKUP(A4210,Studies!A:BR,4,FALSE),"")</f>
        <v>EM 4 with Perpetrator (Erythromycin)</v>
      </c>
      <c r="E4210" s="206" t="str">
        <f>IF(AND(A4210&lt;&gt;"",ISNUMBER(A4210)),VLOOKUP(A4210,Studies!A:BR,5,FALSE),"")</f>
        <v>Midazolam</v>
      </c>
      <c r="F4210" s="207" t="str">
        <f>IF(AND(A4210&lt;&gt;"",ISNUMBER(A4210)),VLOOKUP(A4210,Studies!A:BR,6,FALSE),"")</f>
        <v>Plasma</v>
      </c>
      <c r="G4210" s="194">
        <f>73+0.66</f>
        <v>73.66</v>
      </c>
      <c r="H4210" s="194" t="s">
        <v>60</v>
      </c>
      <c r="I4210" s="187">
        <v>21.804120000000001</v>
      </c>
      <c r="J4210" s="187" t="s">
        <v>1026</v>
      </c>
      <c r="K4210" s="187" t="s">
        <v>116</v>
      </c>
      <c r="L4210" s="195">
        <v>2.5257779999999999</v>
      </c>
      <c r="M4210" s="195" t="s">
        <v>1026</v>
      </c>
      <c r="N4210" s="195" t="s">
        <v>117</v>
      </c>
      <c r="O4210" s="199"/>
      <c r="P4210" s="188"/>
    </row>
    <row r="4211" spans="1:16" s="183" customFormat="1" x14ac:dyDescent="0.2">
      <c r="A4211" s="205">
        <v>363</v>
      </c>
      <c r="B4211" s="232" t="str">
        <f>IF(AND(A4211&lt;&gt;"",ISNUMBER(A4211)),VLOOKUP(A4211,Studies!A:BR,2,FALSE),"")</f>
        <v>Okudaira 2007</v>
      </c>
      <c r="C4211" s="232" t="str">
        <f>IF(AND(A4211&lt;&gt;"",ISNUMBER(A4211)),VLOOKUP(A4211,Studies!A:BR,3,FALSE),"")</f>
        <v>https://www.ncbi.nlm.nih.gov/pubmed/17585116</v>
      </c>
      <c r="D4211" s="232" t="str">
        <f>IF(AND(A4211&lt;&gt;"",ISNUMBER(A4211)),VLOOKUP(A4211,Studies!A:BR,4,FALSE),"")</f>
        <v>EM 4 with Perpetrator (Erythromycin)</v>
      </c>
      <c r="E4211" s="206" t="str">
        <f>IF(AND(A4211&lt;&gt;"",ISNUMBER(A4211)),VLOOKUP(A4211,Studies!A:BR,5,FALSE),"")</f>
        <v>Midazolam</v>
      </c>
      <c r="F4211" s="207" t="str">
        <f>IF(AND(A4211&lt;&gt;"",ISNUMBER(A4211)),VLOOKUP(A4211,Studies!A:BR,6,FALSE),"")</f>
        <v>Plasma</v>
      </c>
      <c r="G4211" s="194">
        <f>73+1</f>
        <v>74</v>
      </c>
      <c r="H4211" s="194" t="s">
        <v>60</v>
      </c>
      <c r="I4211" s="187">
        <v>22.628869999999999</v>
      </c>
      <c r="J4211" s="187" t="s">
        <v>1026</v>
      </c>
      <c r="K4211" s="187" t="s">
        <v>116</v>
      </c>
      <c r="L4211" s="195">
        <v>2.4226760000000001</v>
      </c>
      <c r="M4211" s="195" t="s">
        <v>1026</v>
      </c>
      <c r="N4211" s="195" t="s">
        <v>117</v>
      </c>
      <c r="O4211" s="199"/>
      <c r="P4211" s="188"/>
    </row>
    <row r="4212" spans="1:16" s="183" customFormat="1" x14ac:dyDescent="0.2">
      <c r="A4212" s="205">
        <v>363</v>
      </c>
      <c r="B4212" s="232" t="str">
        <f>IF(AND(A4212&lt;&gt;"",ISNUMBER(A4212)),VLOOKUP(A4212,Studies!A:BR,2,FALSE),"")</f>
        <v>Okudaira 2007</v>
      </c>
      <c r="C4212" s="232" t="str">
        <f>IF(AND(A4212&lt;&gt;"",ISNUMBER(A4212)),VLOOKUP(A4212,Studies!A:BR,3,FALSE),"")</f>
        <v>https://www.ncbi.nlm.nih.gov/pubmed/17585116</v>
      </c>
      <c r="D4212" s="232" t="str">
        <f>IF(AND(A4212&lt;&gt;"",ISNUMBER(A4212)),VLOOKUP(A4212,Studies!A:BR,4,FALSE),"")</f>
        <v>EM 4 with Perpetrator (Erythromycin)</v>
      </c>
      <c r="E4212" s="206" t="str">
        <f>IF(AND(A4212&lt;&gt;"",ISNUMBER(A4212)),VLOOKUP(A4212,Studies!A:BR,5,FALSE),"")</f>
        <v>Midazolam</v>
      </c>
      <c r="F4212" s="207" t="str">
        <f>IF(AND(A4212&lt;&gt;"",ISNUMBER(A4212)),VLOOKUP(A4212,Studies!A:BR,6,FALSE),"")</f>
        <v>Plasma</v>
      </c>
      <c r="G4212" s="194">
        <f>73+1.5</f>
        <v>74.5</v>
      </c>
      <c r="H4212" s="194" t="s">
        <v>60</v>
      </c>
      <c r="I4212" s="187">
        <v>19.27835</v>
      </c>
      <c r="J4212" s="187" t="s">
        <v>1026</v>
      </c>
      <c r="K4212" s="187" t="s">
        <v>116</v>
      </c>
      <c r="L4212" s="195">
        <v>2.4226800000000002</v>
      </c>
      <c r="M4212" s="195" t="s">
        <v>1026</v>
      </c>
      <c r="N4212" s="195" t="s">
        <v>117</v>
      </c>
      <c r="O4212" s="199"/>
      <c r="P4212" s="188"/>
    </row>
    <row r="4213" spans="1:16" s="183" customFormat="1" x14ac:dyDescent="0.2">
      <c r="A4213" s="205">
        <v>363</v>
      </c>
      <c r="B4213" s="232" t="str">
        <f>IF(AND(A4213&lt;&gt;"",ISNUMBER(A4213)),VLOOKUP(A4213,Studies!A:BR,2,FALSE),"")</f>
        <v>Okudaira 2007</v>
      </c>
      <c r="C4213" s="232" t="str">
        <f>IF(AND(A4213&lt;&gt;"",ISNUMBER(A4213)),VLOOKUP(A4213,Studies!A:BR,3,FALSE),"")</f>
        <v>https://www.ncbi.nlm.nih.gov/pubmed/17585116</v>
      </c>
      <c r="D4213" s="232" t="str">
        <f>IF(AND(A4213&lt;&gt;"",ISNUMBER(A4213)),VLOOKUP(A4213,Studies!A:BR,4,FALSE),"")</f>
        <v>EM 4 with Perpetrator (Erythromycin)</v>
      </c>
      <c r="E4213" s="206" t="str">
        <f>IF(AND(A4213&lt;&gt;"",ISNUMBER(A4213)),VLOOKUP(A4213,Studies!A:BR,5,FALSE),"")</f>
        <v>Midazolam</v>
      </c>
      <c r="F4213" s="207" t="str">
        <f>IF(AND(A4213&lt;&gt;"",ISNUMBER(A4213)),VLOOKUP(A4213,Studies!A:BR,6,FALSE),"")</f>
        <v>Plasma</v>
      </c>
      <c r="G4213" s="194">
        <f>73+2</f>
        <v>75</v>
      </c>
      <c r="H4213" s="194" t="s">
        <v>60</v>
      </c>
      <c r="I4213" s="187">
        <v>16.546389999999999</v>
      </c>
      <c r="J4213" s="187" t="s">
        <v>1026</v>
      </c>
      <c r="K4213" s="187" t="s">
        <v>116</v>
      </c>
      <c r="L4213" s="195">
        <v>2.422682</v>
      </c>
      <c r="M4213" s="195" t="s">
        <v>1026</v>
      </c>
      <c r="N4213" s="195" t="s">
        <v>117</v>
      </c>
      <c r="O4213" s="199"/>
      <c r="P4213" s="188"/>
    </row>
    <row r="4214" spans="1:16" s="183" customFormat="1" x14ac:dyDescent="0.2">
      <c r="A4214" s="205">
        <v>363</v>
      </c>
      <c r="B4214" s="232" t="str">
        <f>IF(AND(A4214&lt;&gt;"",ISNUMBER(A4214)),VLOOKUP(A4214,Studies!A:BR,2,FALSE),"")</f>
        <v>Okudaira 2007</v>
      </c>
      <c r="C4214" s="232" t="str">
        <f>IF(AND(A4214&lt;&gt;"",ISNUMBER(A4214)),VLOOKUP(A4214,Studies!A:BR,3,FALSE),"")</f>
        <v>https://www.ncbi.nlm.nih.gov/pubmed/17585116</v>
      </c>
      <c r="D4214" s="232" t="str">
        <f>IF(AND(A4214&lt;&gt;"",ISNUMBER(A4214)),VLOOKUP(A4214,Studies!A:BR,4,FALSE),"")</f>
        <v>EM 4 with Perpetrator (Erythromycin)</v>
      </c>
      <c r="E4214" s="206" t="str">
        <f>IF(AND(A4214&lt;&gt;"",ISNUMBER(A4214)),VLOOKUP(A4214,Studies!A:BR,5,FALSE),"")</f>
        <v>Midazolam</v>
      </c>
      <c r="F4214" s="207" t="str">
        <f>IF(AND(A4214&lt;&gt;"",ISNUMBER(A4214)),VLOOKUP(A4214,Studies!A:BR,6,FALSE),"")</f>
        <v>Plasma</v>
      </c>
      <c r="G4214" s="194">
        <f>73+3</f>
        <v>76</v>
      </c>
      <c r="H4214" s="194" t="s">
        <v>60</v>
      </c>
      <c r="I4214" s="187">
        <v>11.49485</v>
      </c>
      <c r="J4214" s="187" t="s">
        <v>1026</v>
      </c>
      <c r="K4214" s="187" t="s">
        <v>116</v>
      </c>
      <c r="L4214" s="195">
        <v>2.5257679999999998</v>
      </c>
      <c r="M4214" s="195" t="s">
        <v>1026</v>
      </c>
      <c r="N4214" s="195" t="s">
        <v>117</v>
      </c>
      <c r="O4214" s="199"/>
      <c r="P4214" s="188"/>
    </row>
    <row r="4215" spans="1:16" s="183" customFormat="1" x14ac:dyDescent="0.2">
      <c r="A4215" s="205">
        <v>363</v>
      </c>
      <c r="B4215" s="232" t="str">
        <f>IF(AND(A4215&lt;&gt;"",ISNUMBER(A4215)),VLOOKUP(A4215,Studies!A:BR,2,FALSE),"")</f>
        <v>Okudaira 2007</v>
      </c>
      <c r="C4215" s="232" t="str">
        <f>IF(AND(A4215&lt;&gt;"",ISNUMBER(A4215)),VLOOKUP(A4215,Studies!A:BR,3,FALSE),"")</f>
        <v>https://www.ncbi.nlm.nih.gov/pubmed/17585116</v>
      </c>
      <c r="D4215" s="232" t="str">
        <f>IF(AND(A4215&lt;&gt;"",ISNUMBER(A4215)),VLOOKUP(A4215,Studies!A:BR,4,FALSE),"")</f>
        <v>EM 4 with Perpetrator (Erythromycin)</v>
      </c>
      <c r="E4215" s="206" t="str">
        <f>IF(AND(A4215&lt;&gt;"",ISNUMBER(A4215)),VLOOKUP(A4215,Studies!A:BR,5,FALSE),"")</f>
        <v>Midazolam</v>
      </c>
      <c r="F4215" s="207" t="str">
        <f>IF(AND(A4215&lt;&gt;"",ISNUMBER(A4215)),VLOOKUP(A4215,Studies!A:BR,6,FALSE),"")</f>
        <v>Plasma</v>
      </c>
      <c r="G4215" s="194">
        <f>73+5</f>
        <v>78</v>
      </c>
      <c r="H4215" s="194" t="s">
        <v>60</v>
      </c>
      <c r="I4215" s="187">
        <v>6.8556699999999999</v>
      </c>
      <c r="J4215" s="187" t="s">
        <v>1026</v>
      </c>
      <c r="K4215" s="187" t="s">
        <v>116</v>
      </c>
      <c r="L4215" s="195">
        <v>2.5773199999999998</v>
      </c>
      <c r="M4215" s="195" t="s">
        <v>1026</v>
      </c>
      <c r="N4215" s="195" t="s">
        <v>117</v>
      </c>
      <c r="O4215" s="199"/>
      <c r="P4215" s="188"/>
    </row>
    <row r="4216" spans="1:16" s="183" customFormat="1" x14ac:dyDescent="0.2">
      <c r="A4216" s="205">
        <v>363</v>
      </c>
      <c r="B4216" s="232" t="str">
        <f>IF(AND(A4216&lt;&gt;"",ISNUMBER(A4216)),VLOOKUP(A4216,Studies!A:BR,2,FALSE),"")</f>
        <v>Okudaira 2007</v>
      </c>
      <c r="C4216" s="232" t="str">
        <f>IF(AND(A4216&lt;&gt;"",ISNUMBER(A4216)),VLOOKUP(A4216,Studies!A:BR,3,FALSE),"")</f>
        <v>https://www.ncbi.nlm.nih.gov/pubmed/17585116</v>
      </c>
      <c r="D4216" s="232" t="str">
        <f>IF(AND(A4216&lt;&gt;"",ISNUMBER(A4216)),VLOOKUP(A4216,Studies!A:BR,4,FALSE),"")</f>
        <v>EM 4 with Perpetrator (Erythromycin)</v>
      </c>
      <c r="E4216" s="206" t="str">
        <f>IF(AND(A4216&lt;&gt;"",ISNUMBER(A4216)),VLOOKUP(A4216,Studies!A:BR,5,FALSE),"")</f>
        <v>Midazolam</v>
      </c>
      <c r="F4216" s="207" t="str">
        <f>IF(AND(A4216&lt;&gt;"",ISNUMBER(A4216)),VLOOKUP(A4216,Studies!A:BR,6,FALSE),"")</f>
        <v>Plasma</v>
      </c>
      <c r="G4216" s="194">
        <f>73+8</f>
        <v>81</v>
      </c>
      <c r="H4216" s="194" t="s">
        <v>60</v>
      </c>
      <c r="I4216" s="187">
        <v>4.7422680000000001</v>
      </c>
      <c r="J4216" s="187" t="s">
        <v>1026</v>
      </c>
      <c r="K4216" s="187" t="s">
        <v>116</v>
      </c>
      <c r="L4216" s="195">
        <v>2.4226800000000002</v>
      </c>
      <c r="M4216" s="195" t="s">
        <v>1026</v>
      </c>
      <c r="N4216" s="195" t="s">
        <v>117</v>
      </c>
      <c r="O4216" s="199"/>
      <c r="P4216" s="188"/>
    </row>
    <row r="4217" spans="1:16" s="183" customFormat="1" x14ac:dyDescent="0.2">
      <c r="A4217" s="205">
        <v>363</v>
      </c>
      <c r="B4217" s="232" t="str">
        <f>IF(AND(A4217&lt;&gt;"",ISNUMBER(A4217)),VLOOKUP(A4217,Studies!A:BR,2,FALSE),"")</f>
        <v>Okudaira 2007</v>
      </c>
      <c r="C4217" s="232" t="str">
        <f>IF(AND(A4217&lt;&gt;"",ISNUMBER(A4217)),VLOOKUP(A4217,Studies!A:BR,3,FALSE),"")</f>
        <v>https://www.ncbi.nlm.nih.gov/pubmed/17585116</v>
      </c>
      <c r="D4217" s="232" t="str">
        <f>IF(AND(A4217&lt;&gt;"",ISNUMBER(A4217)),VLOOKUP(A4217,Studies!A:BR,4,FALSE),"")</f>
        <v>EM 4 with Perpetrator (Erythromycin)</v>
      </c>
      <c r="E4217" s="206" t="str">
        <f>IF(AND(A4217&lt;&gt;"",ISNUMBER(A4217)),VLOOKUP(A4217,Studies!A:BR,5,FALSE),"")</f>
        <v>Midazolam</v>
      </c>
      <c r="F4217" s="207" t="str">
        <f>IF(AND(A4217&lt;&gt;"",ISNUMBER(A4217)),VLOOKUP(A4217,Studies!A:BR,6,FALSE),"")</f>
        <v>Plasma</v>
      </c>
      <c r="G4217" s="194">
        <f>73+14</f>
        <v>87</v>
      </c>
      <c r="H4217" s="194" t="s">
        <v>60</v>
      </c>
      <c r="I4217" s="187">
        <v>2.2680410000000002</v>
      </c>
      <c r="J4217" s="187" t="s">
        <v>1026</v>
      </c>
      <c r="K4217" s="187" t="s">
        <v>116</v>
      </c>
      <c r="L4217" s="195">
        <v>2.4226809999999999</v>
      </c>
      <c r="M4217" s="195" t="s">
        <v>1026</v>
      </c>
      <c r="N4217" s="195" t="s">
        <v>117</v>
      </c>
      <c r="O4217" s="199"/>
      <c r="P4217" s="188"/>
    </row>
    <row r="4218" spans="1:16" s="183" customFormat="1" x14ac:dyDescent="0.2">
      <c r="A4218" s="205">
        <v>363</v>
      </c>
      <c r="B4218" s="232" t="str">
        <f>IF(AND(A4218&lt;&gt;"",ISNUMBER(A4218)),VLOOKUP(A4218,Studies!A:BR,2,FALSE),"")</f>
        <v>Okudaira 2007</v>
      </c>
      <c r="C4218" s="232" t="str">
        <f>IF(AND(A4218&lt;&gt;"",ISNUMBER(A4218)),VLOOKUP(A4218,Studies!A:BR,3,FALSE),"")</f>
        <v>https://www.ncbi.nlm.nih.gov/pubmed/17585116</v>
      </c>
      <c r="D4218" s="232" t="str">
        <f>IF(AND(A4218&lt;&gt;"",ISNUMBER(A4218)),VLOOKUP(A4218,Studies!A:BR,4,FALSE),"")</f>
        <v>EM 4 with Perpetrator (Erythromycin)</v>
      </c>
      <c r="E4218" s="206" t="str">
        <f>IF(AND(A4218&lt;&gt;"",ISNUMBER(A4218)),VLOOKUP(A4218,Studies!A:BR,5,FALSE),"")</f>
        <v>Midazolam</v>
      </c>
      <c r="F4218" s="207" t="str">
        <f>IF(AND(A4218&lt;&gt;"",ISNUMBER(A4218)),VLOOKUP(A4218,Studies!A:BR,6,FALSE),"")</f>
        <v>Plasma</v>
      </c>
      <c r="G4218" s="194">
        <f>73+22</f>
        <v>95</v>
      </c>
      <c r="H4218" s="194" t="s">
        <v>60</v>
      </c>
      <c r="I4218" s="187">
        <v>2.4226800000000002</v>
      </c>
      <c r="J4218" s="187" t="s">
        <v>1026</v>
      </c>
      <c r="K4218" s="187" t="s">
        <v>116</v>
      </c>
      <c r="L4218" s="195">
        <v>2.474227</v>
      </c>
      <c r="M4218" s="195" t="s">
        <v>1026</v>
      </c>
      <c r="N4218" s="195" t="s">
        <v>117</v>
      </c>
      <c r="O4218" s="199"/>
      <c r="P4218" s="188"/>
    </row>
    <row r="4219" spans="1:16" s="183" customFormat="1" x14ac:dyDescent="0.2">
      <c r="A4219" s="205">
        <v>364</v>
      </c>
      <c r="B4219" s="232" t="str">
        <f>IF(AND(A4219&lt;&gt;"",ISNUMBER(A4219)),VLOOKUP(A4219,Studies!A:BR,2,FALSE),"")</f>
        <v>Okudaira 2007</v>
      </c>
      <c r="C4219" s="232" t="str">
        <f>IF(AND(A4219&lt;&gt;"",ISNUMBER(A4219)),VLOOKUP(A4219,Studies!A:BR,3,FALSE),"")</f>
        <v>https://www.ncbi.nlm.nih.gov/pubmed/17585116</v>
      </c>
      <c r="D4219" s="232" t="str">
        <f>IF(AND(A4219&lt;&gt;"",ISNUMBER(A4219)),VLOOKUP(A4219,Studies!A:BR,4,FALSE),"")</f>
        <v>EM 7 with Perpetrator (Erythromycin)</v>
      </c>
      <c r="E4219" s="206" t="str">
        <f>IF(AND(A4219&lt;&gt;"",ISNUMBER(A4219)),VLOOKUP(A4219,Studies!A:BR,5,FALSE),"")</f>
        <v>Midazolam</v>
      </c>
      <c r="F4219" s="207" t="str">
        <f>IF(AND(A4219&lt;&gt;"",ISNUMBER(A4219)),VLOOKUP(A4219,Studies!A:BR,6,FALSE),"")</f>
        <v>Plasma</v>
      </c>
      <c r="G4219" s="194">
        <f>145+0</f>
        <v>145</v>
      </c>
      <c r="H4219" s="194" t="s">
        <v>60</v>
      </c>
      <c r="I4219" s="187">
        <v>0</v>
      </c>
      <c r="J4219" s="187" t="s">
        <v>1026</v>
      </c>
      <c r="K4219" s="187" t="s">
        <v>116</v>
      </c>
      <c r="L4219" s="195"/>
      <c r="M4219" s="195"/>
      <c r="N4219" s="195"/>
      <c r="O4219" s="199"/>
      <c r="P4219" s="188"/>
    </row>
    <row r="4220" spans="1:16" s="183" customFormat="1" x14ac:dyDescent="0.2">
      <c r="A4220" s="205">
        <v>364</v>
      </c>
      <c r="B4220" s="232" t="str">
        <f>IF(AND(A4220&lt;&gt;"",ISNUMBER(A4220)),VLOOKUP(A4220,Studies!A:BR,2,FALSE),"")</f>
        <v>Okudaira 2007</v>
      </c>
      <c r="C4220" s="232" t="str">
        <f>IF(AND(A4220&lt;&gt;"",ISNUMBER(A4220)),VLOOKUP(A4220,Studies!A:BR,3,FALSE),"")</f>
        <v>https://www.ncbi.nlm.nih.gov/pubmed/17585116</v>
      </c>
      <c r="D4220" s="232" t="str">
        <f>IF(AND(A4220&lt;&gt;"",ISNUMBER(A4220)),VLOOKUP(A4220,Studies!A:BR,4,FALSE),"")</f>
        <v>EM 7 with Perpetrator (Erythromycin)</v>
      </c>
      <c r="E4220" s="206" t="str">
        <f>IF(AND(A4220&lt;&gt;"",ISNUMBER(A4220)),VLOOKUP(A4220,Studies!A:BR,5,FALSE),"")</f>
        <v>Midazolam</v>
      </c>
      <c r="F4220" s="207" t="str">
        <f>IF(AND(A4220&lt;&gt;"",ISNUMBER(A4220)),VLOOKUP(A4220,Studies!A:BR,6,FALSE),"")</f>
        <v>Plasma</v>
      </c>
      <c r="G4220" s="194">
        <f>145+0.33</f>
        <v>145.33000000000001</v>
      </c>
      <c r="H4220" s="194" t="s">
        <v>60</v>
      </c>
      <c r="I4220" s="187">
        <v>13.24742</v>
      </c>
      <c r="J4220" s="187" t="s">
        <v>1026</v>
      </c>
      <c r="K4220" s="187" t="s">
        <v>116</v>
      </c>
      <c r="L4220" s="195">
        <v>2.3195899999999998</v>
      </c>
      <c r="M4220" s="195" t="s">
        <v>1026</v>
      </c>
      <c r="N4220" s="195" t="s">
        <v>117</v>
      </c>
      <c r="O4220" s="199"/>
      <c r="P4220" s="188"/>
    </row>
    <row r="4221" spans="1:16" s="183" customFormat="1" x14ac:dyDescent="0.2">
      <c r="A4221" s="205">
        <v>364</v>
      </c>
      <c r="B4221" s="232" t="str">
        <f>IF(AND(A4221&lt;&gt;"",ISNUMBER(A4221)),VLOOKUP(A4221,Studies!A:BR,2,FALSE),"")</f>
        <v>Okudaira 2007</v>
      </c>
      <c r="C4221" s="232" t="str">
        <f>IF(AND(A4221&lt;&gt;"",ISNUMBER(A4221)),VLOOKUP(A4221,Studies!A:BR,3,FALSE),"")</f>
        <v>https://www.ncbi.nlm.nih.gov/pubmed/17585116</v>
      </c>
      <c r="D4221" s="232" t="str">
        <f>IF(AND(A4221&lt;&gt;"",ISNUMBER(A4221)),VLOOKUP(A4221,Studies!A:BR,4,FALSE),"")</f>
        <v>EM 7 with Perpetrator (Erythromycin)</v>
      </c>
      <c r="E4221" s="206" t="str">
        <f>IF(AND(A4221&lt;&gt;"",ISNUMBER(A4221)),VLOOKUP(A4221,Studies!A:BR,5,FALSE),"")</f>
        <v>Midazolam</v>
      </c>
      <c r="F4221" s="207" t="str">
        <f>IF(AND(A4221&lt;&gt;"",ISNUMBER(A4221)),VLOOKUP(A4221,Studies!A:BR,6,FALSE),"")</f>
        <v>Plasma</v>
      </c>
      <c r="G4221" s="194">
        <f>145+0.66</f>
        <v>145.66</v>
      </c>
      <c r="H4221" s="194" t="s">
        <v>60</v>
      </c>
      <c r="I4221" s="187">
        <v>20.72165</v>
      </c>
      <c r="J4221" s="187" t="s">
        <v>1026</v>
      </c>
      <c r="K4221" s="187" t="s">
        <v>116</v>
      </c>
      <c r="L4221" s="195">
        <v>2.3711340000000001</v>
      </c>
      <c r="M4221" s="195" t="s">
        <v>1026</v>
      </c>
      <c r="N4221" s="195" t="s">
        <v>117</v>
      </c>
      <c r="O4221" s="199"/>
      <c r="P4221" s="188"/>
    </row>
    <row r="4222" spans="1:16" s="183" customFormat="1" x14ac:dyDescent="0.2">
      <c r="A4222" s="205">
        <v>364</v>
      </c>
      <c r="B4222" s="232" t="str">
        <f>IF(AND(A4222&lt;&gt;"",ISNUMBER(A4222)),VLOOKUP(A4222,Studies!A:BR,2,FALSE),"")</f>
        <v>Okudaira 2007</v>
      </c>
      <c r="C4222" s="232" t="str">
        <f>IF(AND(A4222&lt;&gt;"",ISNUMBER(A4222)),VLOOKUP(A4222,Studies!A:BR,3,FALSE),"")</f>
        <v>https://www.ncbi.nlm.nih.gov/pubmed/17585116</v>
      </c>
      <c r="D4222" s="232" t="str">
        <f>IF(AND(A4222&lt;&gt;"",ISNUMBER(A4222)),VLOOKUP(A4222,Studies!A:BR,4,FALSE),"")</f>
        <v>EM 7 with Perpetrator (Erythromycin)</v>
      </c>
      <c r="E4222" s="206" t="str">
        <f>IF(AND(A4222&lt;&gt;"",ISNUMBER(A4222)),VLOOKUP(A4222,Studies!A:BR,5,FALSE),"")</f>
        <v>Midazolam</v>
      </c>
      <c r="F4222" s="207" t="str">
        <f>IF(AND(A4222&lt;&gt;"",ISNUMBER(A4222)),VLOOKUP(A4222,Studies!A:BR,6,FALSE),"")</f>
        <v>Plasma</v>
      </c>
      <c r="G4222" s="194">
        <f>145+1</f>
        <v>146</v>
      </c>
      <c r="H4222" s="194" t="s">
        <v>60</v>
      </c>
      <c r="I4222" s="187">
        <v>21.391749999999998</v>
      </c>
      <c r="J4222" s="187" t="s">
        <v>1026</v>
      </c>
      <c r="K4222" s="187" t="s">
        <v>116</v>
      </c>
      <c r="L4222" s="195">
        <v>2.3711359999999999</v>
      </c>
      <c r="M4222" s="195" t="s">
        <v>1026</v>
      </c>
      <c r="N4222" s="195" t="s">
        <v>117</v>
      </c>
      <c r="O4222" s="199"/>
      <c r="P4222" s="188"/>
    </row>
    <row r="4223" spans="1:16" s="183" customFormat="1" x14ac:dyDescent="0.2">
      <c r="A4223" s="205">
        <v>364</v>
      </c>
      <c r="B4223" s="232" t="str">
        <f>IF(AND(A4223&lt;&gt;"",ISNUMBER(A4223)),VLOOKUP(A4223,Studies!A:BR,2,FALSE),"")</f>
        <v>Okudaira 2007</v>
      </c>
      <c r="C4223" s="232" t="str">
        <f>IF(AND(A4223&lt;&gt;"",ISNUMBER(A4223)),VLOOKUP(A4223,Studies!A:BR,3,FALSE),"")</f>
        <v>https://www.ncbi.nlm.nih.gov/pubmed/17585116</v>
      </c>
      <c r="D4223" s="232" t="str">
        <f>IF(AND(A4223&lt;&gt;"",ISNUMBER(A4223)),VLOOKUP(A4223,Studies!A:BR,4,FALSE),"")</f>
        <v>EM 7 with Perpetrator (Erythromycin)</v>
      </c>
      <c r="E4223" s="206" t="str">
        <f>IF(AND(A4223&lt;&gt;"",ISNUMBER(A4223)),VLOOKUP(A4223,Studies!A:BR,5,FALSE),"")</f>
        <v>Midazolam</v>
      </c>
      <c r="F4223" s="207" t="str">
        <f>IF(AND(A4223&lt;&gt;"",ISNUMBER(A4223)),VLOOKUP(A4223,Studies!A:BR,6,FALSE),"")</f>
        <v>Plasma</v>
      </c>
      <c r="G4223" s="194">
        <f>145+1.5</f>
        <v>146.5</v>
      </c>
      <c r="H4223" s="194" t="s">
        <v>60</v>
      </c>
      <c r="I4223" s="187">
        <v>18.556699999999999</v>
      </c>
      <c r="J4223" s="187" t="s">
        <v>1026</v>
      </c>
      <c r="K4223" s="187" t="s">
        <v>116</v>
      </c>
      <c r="L4223" s="195">
        <v>2.3195899999999998</v>
      </c>
      <c r="M4223" s="195" t="s">
        <v>1026</v>
      </c>
      <c r="N4223" s="195" t="s">
        <v>117</v>
      </c>
      <c r="O4223" s="199"/>
      <c r="P4223" s="188"/>
    </row>
    <row r="4224" spans="1:16" s="183" customFormat="1" x14ac:dyDescent="0.2">
      <c r="A4224" s="205">
        <v>364</v>
      </c>
      <c r="B4224" s="232" t="str">
        <f>IF(AND(A4224&lt;&gt;"",ISNUMBER(A4224)),VLOOKUP(A4224,Studies!A:BR,2,FALSE),"")</f>
        <v>Okudaira 2007</v>
      </c>
      <c r="C4224" s="232" t="str">
        <f>IF(AND(A4224&lt;&gt;"",ISNUMBER(A4224)),VLOOKUP(A4224,Studies!A:BR,3,FALSE),"")</f>
        <v>https://www.ncbi.nlm.nih.gov/pubmed/17585116</v>
      </c>
      <c r="D4224" s="232" t="str">
        <f>IF(AND(A4224&lt;&gt;"",ISNUMBER(A4224)),VLOOKUP(A4224,Studies!A:BR,4,FALSE),"")</f>
        <v>EM 7 with Perpetrator (Erythromycin)</v>
      </c>
      <c r="E4224" s="206" t="str">
        <f>IF(AND(A4224&lt;&gt;"",ISNUMBER(A4224)),VLOOKUP(A4224,Studies!A:BR,5,FALSE),"")</f>
        <v>Midazolam</v>
      </c>
      <c r="F4224" s="207" t="str">
        <f>IF(AND(A4224&lt;&gt;"",ISNUMBER(A4224)),VLOOKUP(A4224,Studies!A:BR,6,FALSE),"")</f>
        <v>Plasma</v>
      </c>
      <c r="G4224" s="194">
        <f>145+2</f>
        <v>147</v>
      </c>
      <c r="H4224" s="194" t="s">
        <v>60</v>
      </c>
      <c r="I4224" s="187">
        <v>17.57732</v>
      </c>
      <c r="J4224" s="187" t="s">
        <v>1026</v>
      </c>
      <c r="K4224" s="187" t="s">
        <v>116</v>
      </c>
      <c r="L4224" s="195">
        <v>2.319588</v>
      </c>
      <c r="M4224" s="195" t="s">
        <v>1026</v>
      </c>
      <c r="N4224" s="195" t="s">
        <v>117</v>
      </c>
      <c r="O4224" s="199"/>
      <c r="P4224" s="188"/>
    </row>
    <row r="4225" spans="1:16" s="183" customFormat="1" x14ac:dyDescent="0.2">
      <c r="A4225" s="205">
        <v>364</v>
      </c>
      <c r="B4225" s="232" t="str">
        <f>IF(AND(A4225&lt;&gt;"",ISNUMBER(A4225)),VLOOKUP(A4225,Studies!A:BR,2,FALSE),"")</f>
        <v>Okudaira 2007</v>
      </c>
      <c r="C4225" s="232" t="str">
        <f>IF(AND(A4225&lt;&gt;"",ISNUMBER(A4225)),VLOOKUP(A4225,Studies!A:BR,3,FALSE),"")</f>
        <v>https://www.ncbi.nlm.nih.gov/pubmed/17585116</v>
      </c>
      <c r="D4225" s="232" t="str">
        <f>IF(AND(A4225&lt;&gt;"",ISNUMBER(A4225)),VLOOKUP(A4225,Studies!A:BR,4,FALSE),"")</f>
        <v>EM 7 with Perpetrator (Erythromycin)</v>
      </c>
      <c r="E4225" s="206" t="str">
        <f>IF(AND(A4225&lt;&gt;"",ISNUMBER(A4225)),VLOOKUP(A4225,Studies!A:BR,5,FALSE),"")</f>
        <v>Midazolam</v>
      </c>
      <c r="F4225" s="207" t="str">
        <f>IF(AND(A4225&lt;&gt;"",ISNUMBER(A4225)),VLOOKUP(A4225,Studies!A:BR,6,FALSE),"")</f>
        <v>Plasma</v>
      </c>
      <c r="G4225" s="194">
        <f>145+3</f>
        <v>148</v>
      </c>
      <c r="H4225" s="194" t="s">
        <v>60</v>
      </c>
      <c r="I4225" s="187">
        <v>12.78351</v>
      </c>
      <c r="J4225" s="187" t="s">
        <v>1026</v>
      </c>
      <c r="K4225" s="187" t="s">
        <v>116</v>
      </c>
      <c r="L4225" s="195">
        <v>2.3711289999999998</v>
      </c>
      <c r="M4225" s="195" t="s">
        <v>1026</v>
      </c>
      <c r="N4225" s="195" t="s">
        <v>117</v>
      </c>
      <c r="O4225" s="199"/>
      <c r="P4225" s="188"/>
    </row>
    <row r="4226" spans="1:16" s="183" customFormat="1" x14ac:dyDescent="0.2">
      <c r="A4226" s="205">
        <v>364</v>
      </c>
      <c r="B4226" s="232" t="str">
        <f>IF(AND(A4226&lt;&gt;"",ISNUMBER(A4226)),VLOOKUP(A4226,Studies!A:BR,2,FALSE),"")</f>
        <v>Okudaira 2007</v>
      </c>
      <c r="C4226" s="232" t="str">
        <f>IF(AND(A4226&lt;&gt;"",ISNUMBER(A4226)),VLOOKUP(A4226,Studies!A:BR,3,FALSE),"")</f>
        <v>https://www.ncbi.nlm.nih.gov/pubmed/17585116</v>
      </c>
      <c r="D4226" s="232" t="str">
        <f>IF(AND(A4226&lt;&gt;"",ISNUMBER(A4226)),VLOOKUP(A4226,Studies!A:BR,4,FALSE),"")</f>
        <v>EM 7 with Perpetrator (Erythromycin)</v>
      </c>
      <c r="E4226" s="206" t="str">
        <f>IF(AND(A4226&lt;&gt;"",ISNUMBER(A4226)),VLOOKUP(A4226,Studies!A:BR,5,FALSE),"")</f>
        <v>Midazolam</v>
      </c>
      <c r="F4226" s="207" t="str">
        <f>IF(AND(A4226&lt;&gt;"",ISNUMBER(A4226)),VLOOKUP(A4226,Studies!A:BR,6,FALSE),"")</f>
        <v>Plasma</v>
      </c>
      <c r="G4226" s="194">
        <f>145+5</f>
        <v>150</v>
      </c>
      <c r="H4226" s="194" t="s">
        <v>60</v>
      </c>
      <c r="I4226" s="187">
        <v>6.8041239999999998</v>
      </c>
      <c r="J4226" s="187" t="s">
        <v>1026</v>
      </c>
      <c r="K4226" s="187" t="s">
        <v>116</v>
      </c>
      <c r="L4226" s="195">
        <v>2.319588</v>
      </c>
      <c r="M4226" s="195" t="s">
        <v>1026</v>
      </c>
      <c r="N4226" s="195" t="s">
        <v>117</v>
      </c>
      <c r="O4226" s="199"/>
      <c r="P4226" s="188"/>
    </row>
    <row r="4227" spans="1:16" s="183" customFormat="1" x14ac:dyDescent="0.2">
      <c r="A4227" s="205">
        <v>364</v>
      </c>
      <c r="B4227" s="232" t="str">
        <f>IF(AND(A4227&lt;&gt;"",ISNUMBER(A4227)),VLOOKUP(A4227,Studies!A:BR,2,FALSE),"")</f>
        <v>Okudaira 2007</v>
      </c>
      <c r="C4227" s="232" t="str">
        <f>IF(AND(A4227&lt;&gt;"",ISNUMBER(A4227)),VLOOKUP(A4227,Studies!A:BR,3,FALSE),"")</f>
        <v>https://www.ncbi.nlm.nih.gov/pubmed/17585116</v>
      </c>
      <c r="D4227" s="232" t="str">
        <f>IF(AND(A4227&lt;&gt;"",ISNUMBER(A4227)),VLOOKUP(A4227,Studies!A:BR,4,FALSE),"")</f>
        <v>EM 7 with Perpetrator (Erythromycin)</v>
      </c>
      <c r="E4227" s="206" t="str">
        <f>IF(AND(A4227&lt;&gt;"",ISNUMBER(A4227)),VLOOKUP(A4227,Studies!A:BR,5,FALSE),"")</f>
        <v>Midazolam</v>
      </c>
      <c r="F4227" s="207" t="str">
        <f>IF(AND(A4227&lt;&gt;"",ISNUMBER(A4227)),VLOOKUP(A4227,Studies!A:BR,6,FALSE),"")</f>
        <v>Plasma</v>
      </c>
      <c r="G4227" s="194">
        <f>145+8</f>
        <v>153</v>
      </c>
      <c r="H4227" s="194" t="s">
        <v>60</v>
      </c>
      <c r="I4227" s="187">
        <v>3.9690720000000002</v>
      </c>
      <c r="J4227" s="187" t="s">
        <v>1026</v>
      </c>
      <c r="K4227" s="187" t="s">
        <v>116</v>
      </c>
      <c r="L4227" s="195">
        <v>2.3711340000000001</v>
      </c>
      <c r="M4227" s="195" t="s">
        <v>1026</v>
      </c>
      <c r="N4227" s="195" t="s">
        <v>117</v>
      </c>
      <c r="O4227" s="199"/>
      <c r="P4227" s="188"/>
    </row>
    <row r="4228" spans="1:16" s="183" customFormat="1" x14ac:dyDescent="0.2">
      <c r="A4228" s="205">
        <v>364</v>
      </c>
      <c r="B4228" s="232" t="str">
        <f>IF(AND(A4228&lt;&gt;"",ISNUMBER(A4228)),VLOOKUP(A4228,Studies!A:BR,2,FALSE),"")</f>
        <v>Okudaira 2007</v>
      </c>
      <c r="C4228" s="232" t="str">
        <f>IF(AND(A4228&lt;&gt;"",ISNUMBER(A4228)),VLOOKUP(A4228,Studies!A:BR,3,FALSE),"")</f>
        <v>https://www.ncbi.nlm.nih.gov/pubmed/17585116</v>
      </c>
      <c r="D4228" s="232" t="str">
        <f>IF(AND(A4228&lt;&gt;"",ISNUMBER(A4228)),VLOOKUP(A4228,Studies!A:BR,4,FALSE),"")</f>
        <v>EM 7 with Perpetrator (Erythromycin)</v>
      </c>
      <c r="E4228" s="206" t="str">
        <f>IF(AND(A4228&lt;&gt;"",ISNUMBER(A4228)),VLOOKUP(A4228,Studies!A:BR,5,FALSE),"")</f>
        <v>Midazolam</v>
      </c>
      <c r="F4228" s="207" t="str">
        <f>IF(AND(A4228&lt;&gt;"",ISNUMBER(A4228)),VLOOKUP(A4228,Studies!A:BR,6,FALSE),"")</f>
        <v>Plasma</v>
      </c>
      <c r="G4228" s="194">
        <f>145+14</f>
        <v>159</v>
      </c>
      <c r="H4228" s="194" t="s">
        <v>60</v>
      </c>
      <c r="I4228" s="187">
        <v>2.1649479999999999</v>
      </c>
      <c r="J4228" s="187" t="s">
        <v>1026</v>
      </c>
      <c r="K4228" s="187" t="s">
        <v>116</v>
      </c>
      <c r="L4228" s="195">
        <v>2.3711340000000001</v>
      </c>
      <c r="M4228" s="195" t="s">
        <v>1026</v>
      </c>
      <c r="N4228" s="195" t="s">
        <v>117</v>
      </c>
      <c r="O4228" s="199"/>
      <c r="P4228" s="188"/>
    </row>
    <row r="4229" spans="1:16" s="183" customFormat="1" x14ac:dyDescent="0.2">
      <c r="A4229" s="205">
        <v>364</v>
      </c>
      <c r="B4229" s="232" t="str">
        <f>IF(AND(A4229&lt;&gt;"",ISNUMBER(A4229)),VLOOKUP(A4229,Studies!A:BR,2,FALSE),"")</f>
        <v>Okudaira 2007</v>
      </c>
      <c r="C4229" s="232" t="str">
        <f>IF(AND(A4229&lt;&gt;"",ISNUMBER(A4229)),VLOOKUP(A4229,Studies!A:BR,3,FALSE),"")</f>
        <v>https://www.ncbi.nlm.nih.gov/pubmed/17585116</v>
      </c>
      <c r="D4229" s="232" t="str">
        <f>IF(AND(A4229&lt;&gt;"",ISNUMBER(A4229)),VLOOKUP(A4229,Studies!A:BR,4,FALSE),"")</f>
        <v>EM 7 with Perpetrator (Erythromycin)</v>
      </c>
      <c r="E4229" s="206" t="str">
        <f>IF(AND(A4229&lt;&gt;"",ISNUMBER(A4229)),VLOOKUP(A4229,Studies!A:BR,5,FALSE),"")</f>
        <v>Midazolam</v>
      </c>
      <c r="F4229" s="207" t="str">
        <f>IF(AND(A4229&lt;&gt;"",ISNUMBER(A4229)),VLOOKUP(A4229,Studies!A:BR,6,FALSE),"")</f>
        <v>Plasma</v>
      </c>
      <c r="G4229" s="194">
        <f>145+22</f>
        <v>167</v>
      </c>
      <c r="H4229" s="194" t="s">
        <v>60</v>
      </c>
      <c r="I4229" s="187">
        <v>1.958763</v>
      </c>
      <c r="J4229" s="187" t="s">
        <v>1026</v>
      </c>
      <c r="K4229" s="187" t="s">
        <v>116</v>
      </c>
      <c r="L4229" s="195">
        <v>2.3195869999999998</v>
      </c>
      <c r="M4229" s="195" t="s">
        <v>1026</v>
      </c>
      <c r="N4229" s="195" t="s">
        <v>117</v>
      </c>
      <c r="O4229" s="199"/>
      <c r="P4229" s="188"/>
    </row>
    <row r="4230" spans="1:16" s="183" customFormat="1" x14ac:dyDescent="0.2">
      <c r="A4230" s="205">
        <v>351</v>
      </c>
      <c r="B4230" s="232" t="str">
        <f>IF(AND(A4230&lt;&gt;"",ISNUMBER(A4230)),VLOOKUP(A4230,Studies!A:BR,2,FALSE),"")</f>
        <v>Majumdar 2007</v>
      </c>
      <c r="C4230" s="232" t="str">
        <f>IF(AND(A4230&lt;&gt;"",ISNUMBER(A4230)),VLOOKUP(A4230,Studies!A:BR,3,FALSE),"")</f>
        <v>https://www.ncbi.nlm.nih.gov/pubmed/17463213</v>
      </c>
      <c r="D4230" s="232" t="str">
        <f>IF(AND(A4230&lt;&gt;"",ISNUMBER(A4230)),VLOOKUP(A4230,Studies!A:BR,4,FALSE),"")</f>
        <v>po Control (Perpetrator Placebo)</v>
      </c>
      <c r="E4230" s="206" t="str">
        <f>IF(AND(A4230&lt;&gt;"",ISNUMBER(A4230)),VLOOKUP(A4230,Studies!A:BR,5,FALSE),"")</f>
        <v>Midazolam</v>
      </c>
      <c r="F4230" s="207" t="str">
        <f>IF(AND(A4230&lt;&gt;"",ISNUMBER(A4230)),VLOOKUP(A4230,Studies!A:BR,6,FALSE),"")</f>
        <v>Plasma</v>
      </c>
      <c r="G4230" s="194">
        <v>0.03</v>
      </c>
      <c r="H4230" s="194" t="s">
        <v>60</v>
      </c>
      <c r="I4230" s="187">
        <v>59.856099999999998</v>
      </c>
      <c r="J4230" s="187" t="s">
        <v>1026</v>
      </c>
      <c r="K4230" s="187" t="s">
        <v>116</v>
      </c>
      <c r="L4230" s="195">
        <v>18.04907</v>
      </c>
      <c r="M4230" s="195" t="s">
        <v>1026</v>
      </c>
      <c r="N4230" s="195" t="s">
        <v>1034</v>
      </c>
      <c r="O4230" s="199">
        <v>0.1</v>
      </c>
      <c r="P4230" s="188"/>
    </row>
    <row r="4231" spans="1:16" s="183" customFormat="1" x14ac:dyDescent="0.2">
      <c r="A4231" s="205">
        <v>351</v>
      </c>
      <c r="B4231" s="232" t="str">
        <f>IF(AND(A4231&lt;&gt;"",ISNUMBER(A4231)),VLOOKUP(A4231,Studies!A:BR,2,FALSE),"")</f>
        <v>Majumdar 2007</v>
      </c>
      <c r="C4231" s="232" t="str">
        <f>IF(AND(A4231&lt;&gt;"",ISNUMBER(A4231)),VLOOKUP(A4231,Studies!A:BR,3,FALSE),"")</f>
        <v>https://www.ncbi.nlm.nih.gov/pubmed/17463213</v>
      </c>
      <c r="D4231" s="232" t="str">
        <f>IF(AND(A4231&lt;&gt;"",ISNUMBER(A4231)),VLOOKUP(A4231,Studies!A:BR,4,FALSE),"")</f>
        <v>po Control (Perpetrator Placebo)</v>
      </c>
      <c r="E4231" s="206" t="str">
        <f>IF(AND(A4231&lt;&gt;"",ISNUMBER(A4231)),VLOOKUP(A4231,Studies!A:BR,5,FALSE),"")</f>
        <v>Midazolam</v>
      </c>
      <c r="F4231" s="207" t="str">
        <f>IF(AND(A4231&lt;&gt;"",ISNUMBER(A4231)),VLOOKUP(A4231,Studies!A:BR,6,FALSE),"")</f>
        <v>Plasma</v>
      </c>
      <c r="G4231" s="194">
        <v>0.25</v>
      </c>
      <c r="H4231" s="194" t="s">
        <v>60</v>
      </c>
      <c r="I4231" s="187">
        <v>35.334000000000003</v>
      </c>
      <c r="J4231" s="187" t="s">
        <v>1026</v>
      </c>
      <c r="K4231" s="187" t="s">
        <v>116</v>
      </c>
      <c r="L4231" s="195">
        <v>1.9070780000000001</v>
      </c>
      <c r="M4231" s="195" t="s">
        <v>1026</v>
      </c>
      <c r="N4231" s="195" t="s">
        <v>1034</v>
      </c>
      <c r="O4231" s="199">
        <v>0.1</v>
      </c>
      <c r="P4231" s="188"/>
    </row>
    <row r="4232" spans="1:16" s="183" customFormat="1" x14ac:dyDescent="0.2">
      <c r="A4232" s="205">
        <v>351</v>
      </c>
      <c r="B4232" s="232" t="str">
        <f>IF(AND(A4232&lt;&gt;"",ISNUMBER(A4232)),VLOOKUP(A4232,Studies!A:BR,2,FALSE),"")</f>
        <v>Majumdar 2007</v>
      </c>
      <c r="C4232" s="232" t="str">
        <f>IF(AND(A4232&lt;&gt;"",ISNUMBER(A4232)),VLOOKUP(A4232,Studies!A:BR,3,FALSE),"")</f>
        <v>https://www.ncbi.nlm.nih.gov/pubmed/17463213</v>
      </c>
      <c r="D4232" s="232" t="str">
        <f>IF(AND(A4232&lt;&gt;"",ISNUMBER(A4232)),VLOOKUP(A4232,Studies!A:BR,4,FALSE),"")</f>
        <v>po Control (Perpetrator Placebo)</v>
      </c>
      <c r="E4232" s="206" t="str">
        <f>IF(AND(A4232&lt;&gt;"",ISNUMBER(A4232)),VLOOKUP(A4232,Studies!A:BR,5,FALSE),"")</f>
        <v>Midazolam</v>
      </c>
      <c r="F4232" s="207" t="str">
        <f>IF(AND(A4232&lt;&gt;"",ISNUMBER(A4232)),VLOOKUP(A4232,Studies!A:BR,6,FALSE),"")</f>
        <v>Plasma</v>
      </c>
      <c r="G4232" s="194">
        <v>0.5</v>
      </c>
      <c r="H4232" s="194" t="s">
        <v>60</v>
      </c>
      <c r="I4232" s="187">
        <v>26.0413</v>
      </c>
      <c r="J4232" s="187" t="s">
        <v>1026</v>
      </c>
      <c r="K4232" s="187" t="s">
        <v>116</v>
      </c>
      <c r="L4232" s="195">
        <v>1.4055230000000001</v>
      </c>
      <c r="M4232" s="195" t="s">
        <v>1026</v>
      </c>
      <c r="N4232" s="195" t="s">
        <v>1034</v>
      </c>
      <c r="O4232" s="199">
        <v>0.1</v>
      </c>
      <c r="P4232" s="188"/>
    </row>
    <row r="4233" spans="1:16" s="183" customFormat="1" x14ac:dyDescent="0.2">
      <c r="A4233" s="205">
        <v>351</v>
      </c>
      <c r="B4233" s="232" t="str">
        <f>IF(AND(A4233&lt;&gt;"",ISNUMBER(A4233)),VLOOKUP(A4233,Studies!A:BR,2,FALSE),"")</f>
        <v>Majumdar 2007</v>
      </c>
      <c r="C4233" s="232" t="str">
        <f>IF(AND(A4233&lt;&gt;"",ISNUMBER(A4233)),VLOOKUP(A4233,Studies!A:BR,3,FALSE),"")</f>
        <v>https://www.ncbi.nlm.nih.gov/pubmed/17463213</v>
      </c>
      <c r="D4233" s="232" t="str">
        <f>IF(AND(A4233&lt;&gt;"",ISNUMBER(A4233)),VLOOKUP(A4233,Studies!A:BR,4,FALSE),"")</f>
        <v>po Control (Perpetrator Placebo)</v>
      </c>
      <c r="E4233" s="206" t="str">
        <f>IF(AND(A4233&lt;&gt;"",ISNUMBER(A4233)),VLOOKUP(A4233,Studies!A:BR,5,FALSE),"")</f>
        <v>Midazolam</v>
      </c>
      <c r="F4233" s="207" t="str">
        <f>IF(AND(A4233&lt;&gt;"",ISNUMBER(A4233)),VLOOKUP(A4233,Studies!A:BR,6,FALSE),"")</f>
        <v>Plasma</v>
      </c>
      <c r="G4233" s="194">
        <v>0.75</v>
      </c>
      <c r="H4233" s="194" t="s">
        <v>60</v>
      </c>
      <c r="I4233" s="187">
        <v>20.85821</v>
      </c>
      <c r="J4233" s="187" t="s">
        <v>1026</v>
      </c>
      <c r="K4233" s="187" t="s">
        <v>116</v>
      </c>
      <c r="L4233" s="195">
        <v>0.85015680000000005</v>
      </c>
      <c r="M4233" s="195" t="s">
        <v>1026</v>
      </c>
      <c r="N4233" s="195" t="s">
        <v>1034</v>
      </c>
      <c r="O4233" s="199">
        <v>0.1</v>
      </c>
      <c r="P4233" s="188"/>
    </row>
    <row r="4234" spans="1:16" s="183" customFormat="1" x14ac:dyDescent="0.2">
      <c r="A4234" s="205">
        <v>351</v>
      </c>
      <c r="B4234" s="232" t="str">
        <f>IF(AND(A4234&lt;&gt;"",ISNUMBER(A4234)),VLOOKUP(A4234,Studies!A:BR,2,FALSE),"")</f>
        <v>Majumdar 2007</v>
      </c>
      <c r="C4234" s="232" t="str">
        <f>IF(AND(A4234&lt;&gt;"",ISNUMBER(A4234)),VLOOKUP(A4234,Studies!A:BR,3,FALSE),"")</f>
        <v>https://www.ncbi.nlm.nih.gov/pubmed/17463213</v>
      </c>
      <c r="D4234" s="232" t="str">
        <f>IF(AND(A4234&lt;&gt;"",ISNUMBER(A4234)),VLOOKUP(A4234,Studies!A:BR,4,FALSE),"")</f>
        <v>po Control (Perpetrator Placebo)</v>
      </c>
      <c r="E4234" s="206" t="str">
        <f>IF(AND(A4234&lt;&gt;"",ISNUMBER(A4234)),VLOOKUP(A4234,Studies!A:BR,5,FALSE),"")</f>
        <v>Midazolam</v>
      </c>
      <c r="F4234" s="207" t="str">
        <f>IF(AND(A4234&lt;&gt;"",ISNUMBER(A4234)),VLOOKUP(A4234,Studies!A:BR,6,FALSE),"")</f>
        <v>Plasma</v>
      </c>
      <c r="G4234" s="194">
        <v>1</v>
      </c>
      <c r="H4234" s="194" t="s">
        <v>60</v>
      </c>
      <c r="I4234" s="187">
        <v>17.416620000000002</v>
      </c>
      <c r="J4234" s="187" t="s">
        <v>1026</v>
      </c>
      <c r="K4234" s="187" t="s">
        <v>116</v>
      </c>
      <c r="L4234" s="195">
        <v>1.1669940000000001</v>
      </c>
      <c r="M4234" s="195" t="s">
        <v>1026</v>
      </c>
      <c r="N4234" s="195" t="s">
        <v>1034</v>
      </c>
      <c r="O4234" s="199">
        <v>0.1</v>
      </c>
      <c r="P4234" s="188"/>
    </row>
    <row r="4235" spans="1:16" s="183" customFormat="1" x14ac:dyDescent="0.2">
      <c r="A4235" s="205">
        <v>351</v>
      </c>
      <c r="B4235" s="232" t="str">
        <f>IF(AND(A4235&lt;&gt;"",ISNUMBER(A4235)),VLOOKUP(A4235,Studies!A:BR,2,FALSE),"")</f>
        <v>Majumdar 2007</v>
      </c>
      <c r="C4235" s="232" t="str">
        <f>IF(AND(A4235&lt;&gt;"",ISNUMBER(A4235)),VLOOKUP(A4235,Studies!A:BR,3,FALSE),"")</f>
        <v>https://www.ncbi.nlm.nih.gov/pubmed/17463213</v>
      </c>
      <c r="D4235" s="232" t="str">
        <f>IF(AND(A4235&lt;&gt;"",ISNUMBER(A4235)),VLOOKUP(A4235,Studies!A:BR,4,FALSE),"")</f>
        <v>po Control (Perpetrator Placebo)</v>
      </c>
      <c r="E4235" s="206" t="str">
        <f>IF(AND(A4235&lt;&gt;"",ISNUMBER(A4235)),VLOOKUP(A4235,Studies!A:BR,5,FALSE),"")</f>
        <v>Midazolam</v>
      </c>
      <c r="F4235" s="207" t="str">
        <f>IF(AND(A4235&lt;&gt;"",ISNUMBER(A4235)),VLOOKUP(A4235,Studies!A:BR,6,FALSE),"")</f>
        <v>Plasma</v>
      </c>
      <c r="G4235" s="194">
        <v>1.5</v>
      </c>
      <c r="H4235" s="194" t="s">
        <v>60</v>
      </c>
      <c r="I4235" s="187">
        <v>11.64837</v>
      </c>
      <c r="J4235" s="187" t="s">
        <v>1026</v>
      </c>
      <c r="K4235" s="187" t="s">
        <v>116</v>
      </c>
      <c r="L4235" s="195">
        <v>0.47477910000000001</v>
      </c>
      <c r="M4235" s="195" t="s">
        <v>1026</v>
      </c>
      <c r="N4235" s="195" t="s">
        <v>1034</v>
      </c>
      <c r="O4235" s="199">
        <v>0.1</v>
      </c>
      <c r="P4235" s="188"/>
    </row>
    <row r="4236" spans="1:16" s="183" customFormat="1" x14ac:dyDescent="0.2">
      <c r="A4236" s="205">
        <v>351</v>
      </c>
      <c r="B4236" s="232" t="str">
        <f>IF(AND(A4236&lt;&gt;"",ISNUMBER(A4236)),VLOOKUP(A4236,Studies!A:BR,2,FALSE),"")</f>
        <v>Majumdar 2007</v>
      </c>
      <c r="C4236" s="232" t="str">
        <f>IF(AND(A4236&lt;&gt;"",ISNUMBER(A4236)),VLOOKUP(A4236,Studies!A:BR,3,FALSE),"")</f>
        <v>https://www.ncbi.nlm.nih.gov/pubmed/17463213</v>
      </c>
      <c r="D4236" s="232" t="str">
        <f>IF(AND(A4236&lt;&gt;"",ISNUMBER(A4236)),VLOOKUP(A4236,Studies!A:BR,4,FALSE),"")</f>
        <v>po Control (Perpetrator Placebo)</v>
      </c>
      <c r="E4236" s="206" t="str">
        <f>IF(AND(A4236&lt;&gt;"",ISNUMBER(A4236)),VLOOKUP(A4236,Studies!A:BR,5,FALSE),"")</f>
        <v>Midazolam</v>
      </c>
      <c r="F4236" s="207" t="str">
        <f>IF(AND(A4236&lt;&gt;"",ISNUMBER(A4236)),VLOOKUP(A4236,Studies!A:BR,6,FALSE),"")</f>
        <v>Plasma</v>
      </c>
      <c r="G4236" s="194">
        <v>2</v>
      </c>
      <c r="H4236" s="194" t="s">
        <v>60</v>
      </c>
      <c r="I4236" s="187">
        <v>8.7048039999999993</v>
      </c>
      <c r="J4236" s="187" t="s">
        <v>1026</v>
      </c>
      <c r="K4236" s="187" t="s">
        <v>116</v>
      </c>
      <c r="L4236" s="195">
        <v>0.46982289999999999</v>
      </c>
      <c r="M4236" s="195" t="s">
        <v>1026</v>
      </c>
      <c r="N4236" s="195" t="s">
        <v>1034</v>
      </c>
      <c r="O4236" s="199">
        <v>0.1</v>
      </c>
      <c r="P4236" s="188"/>
    </row>
    <row r="4237" spans="1:16" s="183" customFormat="1" x14ac:dyDescent="0.2">
      <c r="A4237" s="205">
        <v>351</v>
      </c>
      <c r="B4237" s="232" t="str">
        <f>IF(AND(A4237&lt;&gt;"",ISNUMBER(A4237)),VLOOKUP(A4237,Studies!A:BR,2,FALSE),"")</f>
        <v>Majumdar 2007</v>
      </c>
      <c r="C4237" s="232" t="str">
        <f>IF(AND(A4237&lt;&gt;"",ISNUMBER(A4237)),VLOOKUP(A4237,Studies!A:BR,3,FALSE),"")</f>
        <v>https://www.ncbi.nlm.nih.gov/pubmed/17463213</v>
      </c>
      <c r="D4237" s="232" t="str">
        <f>IF(AND(A4237&lt;&gt;"",ISNUMBER(A4237)),VLOOKUP(A4237,Studies!A:BR,4,FALSE),"")</f>
        <v>po Control (Perpetrator Placebo)</v>
      </c>
      <c r="E4237" s="206" t="str">
        <f>IF(AND(A4237&lt;&gt;"",ISNUMBER(A4237)),VLOOKUP(A4237,Studies!A:BR,5,FALSE),"")</f>
        <v>Midazolam</v>
      </c>
      <c r="F4237" s="207" t="str">
        <f>IF(AND(A4237&lt;&gt;"",ISNUMBER(A4237)),VLOOKUP(A4237,Studies!A:BR,6,FALSE),"")</f>
        <v>Plasma</v>
      </c>
      <c r="G4237" s="194">
        <v>3</v>
      </c>
      <c r="H4237" s="194" t="s">
        <v>60</v>
      </c>
      <c r="I4237" s="187">
        <v>5.9031570000000002</v>
      </c>
      <c r="J4237" s="187" t="s">
        <v>1026</v>
      </c>
      <c r="K4237" s="187" t="s">
        <v>116</v>
      </c>
      <c r="L4237" s="195">
        <v>0.39553880000000002</v>
      </c>
      <c r="M4237" s="195" t="s">
        <v>1026</v>
      </c>
      <c r="N4237" s="195" t="s">
        <v>1034</v>
      </c>
      <c r="O4237" s="199">
        <v>0.1</v>
      </c>
      <c r="P4237" s="188"/>
    </row>
    <row r="4238" spans="1:16" s="183" customFormat="1" x14ac:dyDescent="0.2">
      <c r="A4238" s="205">
        <v>351</v>
      </c>
      <c r="B4238" s="232" t="str">
        <f>IF(AND(A4238&lt;&gt;"",ISNUMBER(A4238)),VLOOKUP(A4238,Studies!A:BR,2,FALSE),"")</f>
        <v>Majumdar 2007</v>
      </c>
      <c r="C4238" s="232" t="str">
        <f>IF(AND(A4238&lt;&gt;"",ISNUMBER(A4238)),VLOOKUP(A4238,Studies!A:BR,3,FALSE),"")</f>
        <v>https://www.ncbi.nlm.nih.gov/pubmed/17463213</v>
      </c>
      <c r="D4238" s="232" t="str">
        <f>IF(AND(A4238&lt;&gt;"",ISNUMBER(A4238)),VLOOKUP(A4238,Studies!A:BR,4,FALSE),"")</f>
        <v>po Control (Perpetrator Placebo)</v>
      </c>
      <c r="E4238" s="206" t="str">
        <f>IF(AND(A4238&lt;&gt;"",ISNUMBER(A4238)),VLOOKUP(A4238,Studies!A:BR,5,FALSE),"")</f>
        <v>Midazolam</v>
      </c>
      <c r="F4238" s="207" t="str">
        <f>IF(AND(A4238&lt;&gt;"",ISNUMBER(A4238)),VLOOKUP(A4238,Studies!A:BR,6,FALSE),"")</f>
        <v>Plasma</v>
      </c>
      <c r="G4238" s="194">
        <v>4</v>
      </c>
      <c r="H4238" s="194" t="s">
        <v>60</v>
      </c>
      <c r="I4238" s="187">
        <v>4.2907200000000003</v>
      </c>
      <c r="J4238" s="187" t="s">
        <v>1026</v>
      </c>
      <c r="K4238" s="187" t="s">
        <v>116</v>
      </c>
      <c r="L4238" s="195">
        <v>0.1206989</v>
      </c>
      <c r="M4238" s="195" t="s">
        <v>1026</v>
      </c>
      <c r="N4238" s="195" t="s">
        <v>1034</v>
      </c>
      <c r="O4238" s="199">
        <v>0.1</v>
      </c>
      <c r="P4238" s="188"/>
    </row>
    <row r="4239" spans="1:16" s="183" customFormat="1" x14ac:dyDescent="0.2">
      <c r="A4239" s="205">
        <v>351</v>
      </c>
      <c r="B4239" s="232" t="str">
        <f>IF(AND(A4239&lt;&gt;"",ISNUMBER(A4239)),VLOOKUP(A4239,Studies!A:BR,2,FALSE),"")</f>
        <v>Majumdar 2007</v>
      </c>
      <c r="C4239" s="232" t="str">
        <f>IF(AND(A4239&lt;&gt;"",ISNUMBER(A4239)),VLOOKUP(A4239,Studies!A:BR,3,FALSE),"")</f>
        <v>https://www.ncbi.nlm.nih.gov/pubmed/17463213</v>
      </c>
      <c r="D4239" s="232" t="str">
        <f>IF(AND(A4239&lt;&gt;"",ISNUMBER(A4239)),VLOOKUP(A4239,Studies!A:BR,4,FALSE),"")</f>
        <v>po Control (Perpetrator Placebo)</v>
      </c>
      <c r="E4239" s="206" t="str">
        <f>IF(AND(A4239&lt;&gt;"",ISNUMBER(A4239)),VLOOKUP(A4239,Studies!A:BR,5,FALSE),"")</f>
        <v>Midazolam</v>
      </c>
      <c r="F4239" s="207" t="str">
        <f>IF(AND(A4239&lt;&gt;"",ISNUMBER(A4239)),VLOOKUP(A4239,Studies!A:BR,6,FALSE),"")</f>
        <v>Plasma</v>
      </c>
      <c r="G4239" s="194">
        <v>6</v>
      </c>
      <c r="H4239" s="194" t="s">
        <v>60</v>
      </c>
      <c r="I4239" s="187">
        <v>2.463578</v>
      </c>
      <c r="J4239" s="187" t="s">
        <v>1026</v>
      </c>
      <c r="K4239" s="187" t="s">
        <v>116</v>
      </c>
      <c r="L4239" s="195">
        <v>0.1650712</v>
      </c>
      <c r="M4239" s="195" t="s">
        <v>1026</v>
      </c>
      <c r="N4239" s="195" t="s">
        <v>1034</v>
      </c>
      <c r="O4239" s="199">
        <v>0.1</v>
      </c>
      <c r="P4239" s="188"/>
    </row>
    <row r="4240" spans="1:16" s="183" customFormat="1" x14ac:dyDescent="0.2">
      <c r="A4240" s="205">
        <v>351</v>
      </c>
      <c r="B4240" s="232" t="str">
        <f>IF(AND(A4240&lt;&gt;"",ISNUMBER(A4240)),VLOOKUP(A4240,Studies!A:BR,2,FALSE),"")</f>
        <v>Majumdar 2007</v>
      </c>
      <c r="C4240" s="232" t="str">
        <f>IF(AND(A4240&lt;&gt;"",ISNUMBER(A4240)),VLOOKUP(A4240,Studies!A:BR,3,FALSE),"")</f>
        <v>https://www.ncbi.nlm.nih.gov/pubmed/17463213</v>
      </c>
      <c r="D4240" s="232" t="str">
        <f>IF(AND(A4240&lt;&gt;"",ISNUMBER(A4240)),VLOOKUP(A4240,Studies!A:BR,4,FALSE),"")</f>
        <v>po Control (Perpetrator Placebo)</v>
      </c>
      <c r="E4240" s="206" t="str">
        <f>IF(AND(A4240&lt;&gt;"",ISNUMBER(A4240)),VLOOKUP(A4240,Studies!A:BR,5,FALSE),"")</f>
        <v>Midazolam</v>
      </c>
      <c r="F4240" s="207" t="str">
        <f>IF(AND(A4240&lt;&gt;"",ISNUMBER(A4240)),VLOOKUP(A4240,Studies!A:BR,6,FALSE),"")</f>
        <v>Plasma</v>
      </c>
      <c r="G4240" s="194">
        <v>8</v>
      </c>
      <c r="H4240" s="194" t="s">
        <v>60</v>
      </c>
      <c r="I4240" s="187">
        <v>1.6940090000000001</v>
      </c>
      <c r="J4240" s="187" t="s">
        <v>1026</v>
      </c>
      <c r="K4240" s="187" t="s">
        <v>116</v>
      </c>
      <c r="L4240" s="195">
        <v>0.1988106</v>
      </c>
      <c r="M4240" s="195" t="s">
        <v>1026</v>
      </c>
      <c r="N4240" s="195" t="s">
        <v>1034</v>
      </c>
      <c r="O4240" s="199">
        <v>0.1</v>
      </c>
      <c r="P4240" s="188"/>
    </row>
    <row r="4241" spans="1:16" s="183" customFormat="1" x14ac:dyDescent="0.2">
      <c r="A4241" s="205">
        <v>351</v>
      </c>
      <c r="B4241" s="232" t="str">
        <f>IF(AND(A4241&lt;&gt;"",ISNUMBER(A4241)),VLOOKUP(A4241,Studies!A:BR,2,FALSE),"")</f>
        <v>Majumdar 2007</v>
      </c>
      <c r="C4241" s="232" t="str">
        <f>IF(AND(A4241&lt;&gt;"",ISNUMBER(A4241)),VLOOKUP(A4241,Studies!A:BR,3,FALSE),"")</f>
        <v>https://www.ncbi.nlm.nih.gov/pubmed/17463213</v>
      </c>
      <c r="D4241" s="232" t="str">
        <f>IF(AND(A4241&lt;&gt;"",ISNUMBER(A4241)),VLOOKUP(A4241,Studies!A:BR,4,FALSE),"")</f>
        <v>po Control (Perpetrator Placebo)</v>
      </c>
      <c r="E4241" s="206" t="str">
        <f>IF(AND(A4241&lt;&gt;"",ISNUMBER(A4241)),VLOOKUP(A4241,Studies!A:BR,5,FALSE),"")</f>
        <v>Midazolam</v>
      </c>
      <c r="F4241" s="207" t="str">
        <f>IF(AND(A4241&lt;&gt;"",ISNUMBER(A4241)),VLOOKUP(A4241,Studies!A:BR,6,FALSE),"")</f>
        <v>Plasma</v>
      </c>
      <c r="G4241" s="194">
        <v>12</v>
      </c>
      <c r="H4241" s="194" t="s">
        <v>60</v>
      </c>
      <c r="I4241" s="187">
        <v>0.88263910000000001</v>
      </c>
      <c r="J4241" s="187" t="s">
        <v>1026</v>
      </c>
      <c r="K4241" s="187" t="s">
        <v>116</v>
      </c>
      <c r="L4241" s="195">
        <v>0.14563509999999999</v>
      </c>
      <c r="M4241" s="195" t="s">
        <v>1026</v>
      </c>
      <c r="N4241" s="195" t="s">
        <v>1034</v>
      </c>
      <c r="O4241" s="199">
        <v>0.1</v>
      </c>
      <c r="P4241" s="188"/>
    </row>
    <row r="4242" spans="1:16" s="183" customFormat="1" x14ac:dyDescent="0.2">
      <c r="A4242" s="205">
        <v>351</v>
      </c>
      <c r="B4242" s="232" t="str">
        <f>IF(AND(A4242&lt;&gt;"",ISNUMBER(A4242)),VLOOKUP(A4242,Studies!A:BR,2,FALSE),"")</f>
        <v>Majumdar 2007</v>
      </c>
      <c r="C4242" s="232" t="str">
        <f>IF(AND(A4242&lt;&gt;"",ISNUMBER(A4242)),VLOOKUP(A4242,Studies!A:BR,3,FALSE),"")</f>
        <v>https://www.ncbi.nlm.nih.gov/pubmed/17463213</v>
      </c>
      <c r="D4242" s="232" t="str">
        <f>IF(AND(A4242&lt;&gt;"",ISNUMBER(A4242)),VLOOKUP(A4242,Studies!A:BR,4,FALSE),"")</f>
        <v>po Control (Perpetrator Placebo)</v>
      </c>
      <c r="E4242" s="206" t="str">
        <f>IF(AND(A4242&lt;&gt;"",ISNUMBER(A4242)),VLOOKUP(A4242,Studies!A:BR,5,FALSE),"")</f>
        <v>Midazolam</v>
      </c>
      <c r="F4242" s="207" t="str">
        <f>IF(AND(A4242&lt;&gt;"",ISNUMBER(A4242)),VLOOKUP(A4242,Studies!A:BR,6,FALSE),"")</f>
        <v>Plasma</v>
      </c>
      <c r="G4242" s="194">
        <v>16</v>
      </c>
      <c r="H4242" s="194" t="s">
        <v>60</v>
      </c>
      <c r="I4242" s="187">
        <v>0.43506509999999998</v>
      </c>
      <c r="J4242" s="187" t="s">
        <v>1026</v>
      </c>
      <c r="K4242" s="187" t="s">
        <v>116</v>
      </c>
      <c r="L4242" s="195">
        <v>9.1392760000000003E-2</v>
      </c>
      <c r="M4242" s="195" t="s">
        <v>1026</v>
      </c>
      <c r="N4242" s="195" t="s">
        <v>1034</v>
      </c>
      <c r="O4242" s="199">
        <v>0.1</v>
      </c>
      <c r="P4242" s="188"/>
    </row>
    <row r="4243" spans="1:16" s="183" customFormat="1" x14ac:dyDescent="0.2">
      <c r="A4243" s="205">
        <v>351</v>
      </c>
      <c r="B4243" s="232" t="str">
        <f>IF(AND(A4243&lt;&gt;"",ISNUMBER(A4243)),VLOOKUP(A4243,Studies!A:BR,2,FALSE),"")</f>
        <v>Majumdar 2007</v>
      </c>
      <c r="C4243" s="232" t="str">
        <f>IF(AND(A4243&lt;&gt;"",ISNUMBER(A4243)),VLOOKUP(A4243,Studies!A:BR,3,FALSE),"")</f>
        <v>https://www.ncbi.nlm.nih.gov/pubmed/17463213</v>
      </c>
      <c r="D4243" s="232" t="str">
        <f>IF(AND(A4243&lt;&gt;"",ISNUMBER(A4243)),VLOOKUP(A4243,Studies!A:BR,4,FALSE),"")</f>
        <v>po Control (Perpetrator Placebo)</v>
      </c>
      <c r="E4243" s="206" t="str">
        <f>IF(AND(A4243&lt;&gt;"",ISNUMBER(A4243)),VLOOKUP(A4243,Studies!A:BR,5,FALSE),"")</f>
        <v>Midazolam</v>
      </c>
      <c r="F4243" s="207" t="str">
        <f>IF(AND(A4243&lt;&gt;"",ISNUMBER(A4243)),VLOOKUP(A4243,Studies!A:BR,6,FALSE),"")</f>
        <v>Plasma</v>
      </c>
      <c r="G4243" s="194">
        <v>24</v>
      </c>
      <c r="H4243" s="194" t="s">
        <v>60</v>
      </c>
      <c r="I4243" s="187">
        <v>0.1197604</v>
      </c>
      <c r="J4243" s="187" t="s">
        <v>1026</v>
      </c>
      <c r="K4243" s="187" t="s">
        <v>116</v>
      </c>
      <c r="L4243" s="195">
        <v>4.5005549999999998E-2</v>
      </c>
      <c r="M4243" s="195" t="s">
        <v>1026</v>
      </c>
      <c r="N4243" s="195" t="s">
        <v>1034</v>
      </c>
      <c r="O4243" s="199">
        <v>0.1</v>
      </c>
      <c r="P4243" s="188"/>
    </row>
    <row r="4244" spans="1:16" s="183" customFormat="1" x14ac:dyDescent="0.2">
      <c r="A4244" s="205">
        <v>352</v>
      </c>
      <c r="B4244" s="232" t="str">
        <f>IF(AND(A4244&lt;&gt;"",ISNUMBER(A4244)),VLOOKUP(A4244,Studies!A:BR,2,FALSE),"")</f>
        <v>Majumdar 2007</v>
      </c>
      <c r="C4244" s="232" t="str">
        <f>IF(AND(A4244&lt;&gt;"",ISNUMBER(A4244)),VLOOKUP(A4244,Studies!A:BR,3,FALSE),"")</f>
        <v>https://www.ncbi.nlm.nih.gov/pubmed/17463213</v>
      </c>
      <c r="D4244" s="232" t="str">
        <f>IF(AND(A4244&lt;&gt;"",ISNUMBER(A4244)),VLOOKUP(A4244,Studies!A:BR,4,FALSE),"")</f>
        <v>po with Perpetrator (Aprepitant)</v>
      </c>
      <c r="E4244" s="206" t="str">
        <f>IF(AND(A4244&lt;&gt;"",ISNUMBER(A4244)),VLOOKUP(A4244,Studies!A:BR,5,FALSE),"")</f>
        <v>Midazolam</v>
      </c>
      <c r="F4244" s="207" t="str">
        <f>IF(AND(A4244&lt;&gt;"",ISNUMBER(A4244)),VLOOKUP(A4244,Studies!A:BR,6,FALSE),"")</f>
        <v>Plasma</v>
      </c>
      <c r="G4244" s="194">
        <f>1+0.03</f>
        <v>1.03</v>
      </c>
      <c r="H4244" s="194" t="s">
        <v>60</v>
      </c>
      <c r="I4244" s="187">
        <v>95.924099999999996</v>
      </c>
      <c r="J4244" s="187" t="s">
        <v>1026</v>
      </c>
      <c r="K4244" s="187" t="s">
        <v>116</v>
      </c>
      <c r="L4244" s="195">
        <v>37.705710000000003</v>
      </c>
      <c r="M4244" s="195" t="s">
        <v>1026</v>
      </c>
      <c r="N4244" s="195" t="s">
        <v>1034</v>
      </c>
      <c r="O4244" s="199">
        <v>0.1</v>
      </c>
      <c r="P4244" s="188"/>
    </row>
    <row r="4245" spans="1:16" s="183" customFormat="1" x14ac:dyDescent="0.2">
      <c r="A4245" s="205">
        <v>352</v>
      </c>
      <c r="B4245" s="232" t="str">
        <f>IF(AND(A4245&lt;&gt;"",ISNUMBER(A4245)),VLOOKUP(A4245,Studies!A:BR,2,FALSE),"")</f>
        <v>Majumdar 2007</v>
      </c>
      <c r="C4245" s="232" t="str">
        <f>IF(AND(A4245&lt;&gt;"",ISNUMBER(A4245)),VLOOKUP(A4245,Studies!A:BR,3,FALSE),"")</f>
        <v>https://www.ncbi.nlm.nih.gov/pubmed/17463213</v>
      </c>
      <c r="D4245" s="232" t="str">
        <f>IF(AND(A4245&lt;&gt;"",ISNUMBER(A4245)),VLOOKUP(A4245,Studies!A:BR,4,FALSE),"")</f>
        <v>po with Perpetrator (Aprepitant)</v>
      </c>
      <c r="E4245" s="206" t="str">
        <f>IF(AND(A4245&lt;&gt;"",ISNUMBER(A4245)),VLOOKUP(A4245,Studies!A:BR,5,FALSE),"")</f>
        <v>Midazolam</v>
      </c>
      <c r="F4245" s="207" t="str">
        <f>IF(AND(A4245&lt;&gt;"",ISNUMBER(A4245)),VLOOKUP(A4245,Studies!A:BR,6,FALSE),"")</f>
        <v>Plasma</v>
      </c>
      <c r="G4245" s="194">
        <f>1+0.25</f>
        <v>1.25</v>
      </c>
      <c r="H4245" s="194" t="s">
        <v>60</v>
      </c>
      <c r="I4245" s="187">
        <v>36.835369999999998</v>
      </c>
      <c r="J4245" s="187" t="s">
        <v>1026</v>
      </c>
      <c r="K4245" s="187" t="s">
        <v>116</v>
      </c>
      <c r="L4245" s="195">
        <v>2.1015359999999998</v>
      </c>
      <c r="M4245" s="195" t="s">
        <v>1026</v>
      </c>
      <c r="N4245" s="195" t="s">
        <v>1034</v>
      </c>
      <c r="O4245" s="199">
        <v>0.1</v>
      </c>
      <c r="P4245" s="188"/>
    </row>
    <row r="4246" spans="1:16" s="183" customFormat="1" x14ac:dyDescent="0.2">
      <c r="A4246" s="205">
        <v>352</v>
      </c>
      <c r="B4246" s="232" t="str">
        <f>IF(AND(A4246&lt;&gt;"",ISNUMBER(A4246)),VLOOKUP(A4246,Studies!A:BR,2,FALSE),"")</f>
        <v>Majumdar 2007</v>
      </c>
      <c r="C4246" s="232" t="str">
        <f>IF(AND(A4246&lt;&gt;"",ISNUMBER(A4246)),VLOOKUP(A4246,Studies!A:BR,3,FALSE),"")</f>
        <v>https://www.ncbi.nlm.nih.gov/pubmed/17463213</v>
      </c>
      <c r="D4246" s="232" t="str">
        <f>IF(AND(A4246&lt;&gt;"",ISNUMBER(A4246)),VLOOKUP(A4246,Studies!A:BR,4,FALSE),"")</f>
        <v>po with Perpetrator (Aprepitant)</v>
      </c>
      <c r="E4246" s="206" t="str">
        <f>IF(AND(A4246&lt;&gt;"",ISNUMBER(A4246)),VLOOKUP(A4246,Studies!A:BR,5,FALSE),"")</f>
        <v>Midazolam</v>
      </c>
      <c r="F4246" s="207" t="str">
        <f>IF(AND(A4246&lt;&gt;"",ISNUMBER(A4246)),VLOOKUP(A4246,Studies!A:BR,6,FALSE),"")</f>
        <v>Plasma</v>
      </c>
      <c r="G4246" s="194">
        <f>1+0.5</f>
        <v>1.5</v>
      </c>
      <c r="H4246" s="194" t="s">
        <v>60</v>
      </c>
      <c r="I4246" s="187">
        <v>27.527010000000001</v>
      </c>
      <c r="J4246" s="187" t="s">
        <v>1026</v>
      </c>
      <c r="K4246" s="187" t="s">
        <v>116</v>
      </c>
      <c r="L4246" s="195">
        <v>1.976896</v>
      </c>
      <c r="M4246" s="195" t="s">
        <v>1026</v>
      </c>
      <c r="N4246" s="195" t="s">
        <v>1034</v>
      </c>
      <c r="O4246" s="199">
        <v>0.1</v>
      </c>
      <c r="P4246" s="188"/>
    </row>
    <row r="4247" spans="1:16" s="183" customFormat="1" x14ac:dyDescent="0.2">
      <c r="A4247" s="205">
        <v>352</v>
      </c>
      <c r="B4247" s="232" t="str">
        <f>IF(AND(A4247&lt;&gt;"",ISNUMBER(A4247)),VLOOKUP(A4247,Studies!A:BR,2,FALSE),"")</f>
        <v>Majumdar 2007</v>
      </c>
      <c r="C4247" s="232" t="str">
        <f>IF(AND(A4247&lt;&gt;"",ISNUMBER(A4247)),VLOOKUP(A4247,Studies!A:BR,3,FALSE),"")</f>
        <v>https://www.ncbi.nlm.nih.gov/pubmed/17463213</v>
      </c>
      <c r="D4247" s="232" t="str">
        <f>IF(AND(A4247&lt;&gt;"",ISNUMBER(A4247)),VLOOKUP(A4247,Studies!A:BR,4,FALSE),"")</f>
        <v>po with Perpetrator (Aprepitant)</v>
      </c>
      <c r="E4247" s="206" t="str">
        <f>IF(AND(A4247&lt;&gt;"",ISNUMBER(A4247)),VLOOKUP(A4247,Studies!A:BR,5,FALSE),"")</f>
        <v>Midazolam</v>
      </c>
      <c r="F4247" s="207" t="str">
        <f>IF(AND(A4247&lt;&gt;"",ISNUMBER(A4247)),VLOOKUP(A4247,Studies!A:BR,6,FALSE),"")</f>
        <v>Plasma</v>
      </c>
      <c r="G4247" s="194">
        <f>1+0.75</f>
        <v>1.75</v>
      </c>
      <c r="H4247" s="194" t="s">
        <v>60</v>
      </c>
      <c r="I4247" s="187">
        <v>22.048220000000001</v>
      </c>
      <c r="J4247" s="187" t="s">
        <v>1026</v>
      </c>
      <c r="K4247" s="187" t="s">
        <v>116</v>
      </c>
      <c r="L4247" s="195">
        <v>1.9135059999999999</v>
      </c>
      <c r="M4247" s="195" t="s">
        <v>1026</v>
      </c>
      <c r="N4247" s="195" t="s">
        <v>1034</v>
      </c>
      <c r="O4247" s="199">
        <v>0.1</v>
      </c>
      <c r="P4247" s="188"/>
    </row>
    <row r="4248" spans="1:16" s="183" customFormat="1" x14ac:dyDescent="0.2">
      <c r="A4248" s="205">
        <v>352</v>
      </c>
      <c r="B4248" s="232" t="str">
        <f>IF(AND(A4248&lt;&gt;"",ISNUMBER(A4248)),VLOOKUP(A4248,Studies!A:BR,2,FALSE),"")</f>
        <v>Majumdar 2007</v>
      </c>
      <c r="C4248" s="232" t="str">
        <f>IF(AND(A4248&lt;&gt;"",ISNUMBER(A4248)),VLOOKUP(A4248,Studies!A:BR,3,FALSE),"")</f>
        <v>https://www.ncbi.nlm.nih.gov/pubmed/17463213</v>
      </c>
      <c r="D4248" s="232" t="str">
        <f>IF(AND(A4248&lt;&gt;"",ISNUMBER(A4248)),VLOOKUP(A4248,Studies!A:BR,4,FALSE),"")</f>
        <v>po with Perpetrator (Aprepitant)</v>
      </c>
      <c r="E4248" s="206" t="str">
        <f>IF(AND(A4248&lt;&gt;"",ISNUMBER(A4248)),VLOOKUP(A4248,Studies!A:BR,5,FALSE),"")</f>
        <v>Midazolam</v>
      </c>
      <c r="F4248" s="207" t="str">
        <f>IF(AND(A4248&lt;&gt;"",ISNUMBER(A4248)),VLOOKUP(A4248,Studies!A:BR,6,FALSE),"")</f>
        <v>Plasma</v>
      </c>
      <c r="G4248" s="194">
        <f>1+1</f>
        <v>2</v>
      </c>
      <c r="H4248" s="194" t="s">
        <v>60</v>
      </c>
      <c r="I4248" s="187">
        <v>18.156669999999998</v>
      </c>
      <c r="J4248" s="187" t="s">
        <v>1026</v>
      </c>
      <c r="K4248" s="187" t="s">
        <v>116</v>
      </c>
      <c r="L4248" s="195">
        <v>1.5757680000000001</v>
      </c>
      <c r="M4248" s="195" t="s">
        <v>1026</v>
      </c>
      <c r="N4248" s="195" t="s">
        <v>1034</v>
      </c>
      <c r="O4248" s="199">
        <v>0.1</v>
      </c>
      <c r="P4248" s="188"/>
    </row>
    <row r="4249" spans="1:16" s="183" customFormat="1" x14ac:dyDescent="0.2">
      <c r="A4249" s="205">
        <v>352</v>
      </c>
      <c r="B4249" s="232" t="str">
        <f>IF(AND(A4249&lt;&gt;"",ISNUMBER(A4249)),VLOOKUP(A4249,Studies!A:BR,2,FALSE),"")</f>
        <v>Majumdar 2007</v>
      </c>
      <c r="C4249" s="232" t="str">
        <f>IF(AND(A4249&lt;&gt;"",ISNUMBER(A4249)),VLOOKUP(A4249,Studies!A:BR,3,FALSE),"")</f>
        <v>https://www.ncbi.nlm.nih.gov/pubmed/17463213</v>
      </c>
      <c r="D4249" s="232" t="str">
        <f>IF(AND(A4249&lt;&gt;"",ISNUMBER(A4249)),VLOOKUP(A4249,Studies!A:BR,4,FALSE),"")</f>
        <v>po with Perpetrator (Aprepitant)</v>
      </c>
      <c r="E4249" s="206" t="str">
        <f>IF(AND(A4249&lt;&gt;"",ISNUMBER(A4249)),VLOOKUP(A4249,Studies!A:BR,5,FALSE),"")</f>
        <v>Midazolam</v>
      </c>
      <c r="F4249" s="207" t="str">
        <f>IF(AND(A4249&lt;&gt;"",ISNUMBER(A4249)),VLOOKUP(A4249,Studies!A:BR,6,FALSE),"")</f>
        <v>Plasma</v>
      </c>
      <c r="G4249" s="194">
        <f>1+1.5</f>
        <v>2.5</v>
      </c>
      <c r="H4249" s="194" t="s">
        <v>60</v>
      </c>
      <c r="I4249" s="187">
        <v>14.951980000000001</v>
      </c>
      <c r="J4249" s="187" t="s">
        <v>1026</v>
      </c>
      <c r="K4249" s="187" t="s">
        <v>116</v>
      </c>
      <c r="L4249" s="195">
        <v>0.60942549999999995</v>
      </c>
      <c r="M4249" s="195" t="s">
        <v>1026</v>
      </c>
      <c r="N4249" s="195" t="s">
        <v>1034</v>
      </c>
      <c r="O4249" s="199">
        <v>0.1</v>
      </c>
      <c r="P4249" s="188"/>
    </row>
    <row r="4250" spans="1:16" s="183" customFormat="1" x14ac:dyDescent="0.2">
      <c r="A4250" s="205">
        <v>352</v>
      </c>
      <c r="B4250" s="232" t="str">
        <f>IF(AND(A4250&lt;&gt;"",ISNUMBER(A4250)),VLOOKUP(A4250,Studies!A:BR,2,FALSE),"")</f>
        <v>Majumdar 2007</v>
      </c>
      <c r="C4250" s="232" t="str">
        <f>IF(AND(A4250&lt;&gt;"",ISNUMBER(A4250)),VLOOKUP(A4250,Studies!A:BR,3,FALSE),"")</f>
        <v>https://www.ncbi.nlm.nih.gov/pubmed/17463213</v>
      </c>
      <c r="D4250" s="232" t="str">
        <f>IF(AND(A4250&lt;&gt;"",ISNUMBER(A4250)),VLOOKUP(A4250,Studies!A:BR,4,FALSE),"")</f>
        <v>po with Perpetrator (Aprepitant)</v>
      </c>
      <c r="E4250" s="206" t="str">
        <f>IF(AND(A4250&lt;&gt;"",ISNUMBER(A4250)),VLOOKUP(A4250,Studies!A:BR,5,FALSE),"")</f>
        <v>Midazolam</v>
      </c>
      <c r="F4250" s="207" t="str">
        <f>IF(AND(A4250&lt;&gt;"",ISNUMBER(A4250)),VLOOKUP(A4250,Studies!A:BR,6,FALSE),"")</f>
        <v>Plasma</v>
      </c>
      <c r="G4250" s="194">
        <f>1+2</f>
        <v>3</v>
      </c>
      <c r="H4250" s="194" t="s">
        <v>60</v>
      </c>
      <c r="I4250" s="187">
        <v>11.329660000000001</v>
      </c>
      <c r="J4250" s="187" t="s">
        <v>1026</v>
      </c>
      <c r="K4250" s="187" t="s">
        <v>116</v>
      </c>
      <c r="L4250" s="195">
        <v>0.48140719999999998</v>
      </c>
      <c r="M4250" s="195" t="s">
        <v>1026</v>
      </c>
      <c r="N4250" s="195" t="s">
        <v>1034</v>
      </c>
      <c r="O4250" s="199">
        <v>0.1</v>
      </c>
      <c r="P4250" s="188"/>
    </row>
    <row r="4251" spans="1:16" s="183" customFormat="1" x14ac:dyDescent="0.2">
      <c r="A4251" s="205">
        <v>352</v>
      </c>
      <c r="B4251" s="232" t="str">
        <f>IF(AND(A4251&lt;&gt;"",ISNUMBER(A4251)),VLOOKUP(A4251,Studies!A:BR,2,FALSE),"")</f>
        <v>Majumdar 2007</v>
      </c>
      <c r="C4251" s="232" t="str">
        <f>IF(AND(A4251&lt;&gt;"",ISNUMBER(A4251)),VLOOKUP(A4251,Studies!A:BR,3,FALSE),"")</f>
        <v>https://www.ncbi.nlm.nih.gov/pubmed/17463213</v>
      </c>
      <c r="D4251" s="232" t="str">
        <f>IF(AND(A4251&lt;&gt;"",ISNUMBER(A4251)),VLOOKUP(A4251,Studies!A:BR,4,FALSE),"")</f>
        <v>po with Perpetrator (Aprepitant)</v>
      </c>
      <c r="E4251" s="206" t="str">
        <f>IF(AND(A4251&lt;&gt;"",ISNUMBER(A4251)),VLOOKUP(A4251,Studies!A:BR,5,FALSE),"")</f>
        <v>Midazolam</v>
      </c>
      <c r="F4251" s="207" t="str">
        <f>IF(AND(A4251&lt;&gt;"",ISNUMBER(A4251)),VLOOKUP(A4251,Studies!A:BR,6,FALSE),"")</f>
        <v>Plasma</v>
      </c>
      <c r="G4251" s="194">
        <f>1+3</f>
        <v>4</v>
      </c>
      <c r="H4251" s="194" t="s">
        <v>60</v>
      </c>
      <c r="I4251" s="187">
        <v>8.4666350000000001</v>
      </c>
      <c r="J4251" s="187" t="s">
        <v>1026</v>
      </c>
      <c r="K4251" s="187" t="s">
        <v>116</v>
      </c>
      <c r="L4251" s="195">
        <v>0.48303990000000002</v>
      </c>
      <c r="M4251" s="195" t="s">
        <v>1026</v>
      </c>
      <c r="N4251" s="195" t="s">
        <v>1034</v>
      </c>
      <c r="O4251" s="199">
        <v>0.1</v>
      </c>
      <c r="P4251" s="188"/>
    </row>
    <row r="4252" spans="1:16" s="183" customFormat="1" x14ac:dyDescent="0.2">
      <c r="A4252" s="205">
        <v>352</v>
      </c>
      <c r="B4252" s="232" t="str">
        <f>IF(AND(A4252&lt;&gt;"",ISNUMBER(A4252)),VLOOKUP(A4252,Studies!A:BR,2,FALSE),"")</f>
        <v>Majumdar 2007</v>
      </c>
      <c r="C4252" s="232" t="str">
        <f>IF(AND(A4252&lt;&gt;"",ISNUMBER(A4252)),VLOOKUP(A4252,Studies!A:BR,3,FALSE),"")</f>
        <v>https://www.ncbi.nlm.nih.gov/pubmed/17463213</v>
      </c>
      <c r="D4252" s="232" t="str">
        <f>IF(AND(A4252&lt;&gt;"",ISNUMBER(A4252)),VLOOKUP(A4252,Studies!A:BR,4,FALSE),"")</f>
        <v>po with Perpetrator (Aprepitant)</v>
      </c>
      <c r="E4252" s="206" t="str">
        <f>IF(AND(A4252&lt;&gt;"",ISNUMBER(A4252)),VLOOKUP(A4252,Studies!A:BR,5,FALSE),"")</f>
        <v>Midazolam</v>
      </c>
      <c r="F4252" s="207" t="str">
        <f>IF(AND(A4252&lt;&gt;"",ISNUMBER(A4252)),VLOOKUP(A4252,Studies!A:BR,6,FALSE),"")</f>
        <v>Plasma</v>
      </c>
      <c r="G4252" s="194">
        <f>1+4</f>
        <v>5</v>
      </c>
      <c r="H4252" s="194" t="s">
        <v>60</v>
      </c>
      <c r="I4252" s="187">
        <v>6.5959459999999996</v>
      </c>
      <c r="J4252" s="187" t="s">
        <v>1026</v>
      </c>
      <c r="K4252" s="187" t="s">
        <v>116</v>
      </c>
      <c r="L4252" s="195">
        <v>0.3763127</v>
      </c>
      <c r="M4252" s="195" t="s">
        <v>1026</v>
      </c>
      <c r="N4252" s="195" t="s">
        <v>1034</v>
      </c>
      <c r="O4252" s="199">
        <v>0.1</v>
      </c>
      <c r="P4252" s="188"/>
    </row>
    <row r="4253" spans="1:16" s="183" customFormat="1" x14ac:dyDescent="0.2">
      <c r="A4253" s="205">
        <v>352</v>
      </c>
      <c r="B4253" s="232" t="str">
        <f>IF(AND(A4253&lt;&gt;"",ISNUMBER(A4253)),VLOOKUP(A4253,Studies!A:BR,2,FALSE),"")</f>
        <v>Majumdar 2007</v>
      </c>
      <c r="C4253" s="232" t="str">
        <f>IF(AND(A4253&lt;&gt;"",ISNUMBER(A4253)),VLOOKUP(A4253,Studies!A:BR,3,FALSE),"")</f>
        <v>https://www.ncbi.nlm.nih.gov/pubmed/17463213</v>
      </c>
      <c r="D4253" s="232" t="str">
        <f>IF(AND(A4253&lt;&gt;"",ISNUMBER(A4253)),VLOOKUP(A4253,Studies!A:BR,4,FALSE),"")</f>
        <v>po with Perpetrator (Aprepitant)</v>
      </c>
      <c r="E4253" s="206" t="str">
        <f>IF(AND(A4253&lt;&gt;"",ISNUMBER(A4253)),VLOOKUP(A4253,Studies!A:BR,5,FALSE),"")</f>
        <v>Midazolam</v>
      </c>
      <c r="F4253" s="207" t="str">
        <f>IF(AND(A4253&lt;&gt;"",ISNUMBER(A4253)),VLOOKUP(A4253,Studies!A:BR,6,FALSE),"")</f>
        <v>Plasma</v>
      </c>
      <c r="G4253" s="194">
        <f>1+6</f>
        <v>7</v>
      </c>
      <c r="H4253" s="194" t="s">
        <v>60</v>
      </c>
      <c r="I4253" s="187">
        <v>4.4730359999999996</v>
      </c>
      <c r="J4253" s="187" t="s">
        <v>1026</v>
      </c>
      <c r="K4253" s="187" t="s">
        <v>116</v>
      </c>
      <c r="L4253" s="195">
        <v>0.4138985</v>
      </c>
      <c r="M4253" s="195" t="s">
        <v>1026</v>
      </c>
      <c r="N4253" s="195" t="s">
        <v>1034</v>
      </c>
      <c r="O4253" s="199">
        <v>0.1</v>
      </c>
      <c r="P4253" s="188"/>
    </row>
    <row r="4254" spans="1:16" s="183" customFormat="1" x14ac:dyDescent="0.2">
      <c r="A4254" s="205">
        <v>352</v>
      </c>
      <c r="B4254" s="232" t="str">
        <f>IF(AND(A4254&lt;&gt;"",ISNUMBER(A4254)),VLOOKUP(A4254,Studies!A:BR,2,FALSE),"")</f>
        <v>Majumdar 2007</v>
      </c>
      <c r="C4254" s="232" t="str">
        <f>IF(AND(A4254&lt;&gt;"",ISNUMBER(A4254)),VLOOKUP(A4254,Studies!A:BR,3,FALSE),"")</f>
        <v>https://www.ncbi.nlm.nih.gov/pubmed/17463213</v>
      </c>
      <c r="D4254" s="232" t="str">
        <f>IF(AND(A4254&lt;&gt;"",ISNUMBER(A4254)),VLOOKUP(A4254,Studies!A:BR,4,FALSE),"")</f>
        <v>po with Perpetrator (Aprepitant)</v>
      </c>
      <c r="E4254" s="206" t="str">
        <f>IF(AND(A4254&lt;&gt;"",ISNUMBER(A4254)),VLOOKUP(A4254,Studies!A:BR,5,FALSE),"")</f>
        <v>Midazolam</v>
      </c>
      <c r="F4254" s="207" t="str">
        <f>IF(AND(A4254&lt;&gt;"",ISNUMBER(A4254)),VLOOKUP(A4254,Studies!A:BR,6,FALSE),"")</f>
        <v>Plasma</v>
      </c>
      <c r="G4254" s="194">
        <f>1+8</f>
        <v>9</v>
      </c>
      <c r="H4254" s="194" t="s">
        <v>60</v>
      </c>
      <c r="I4254" s="187">
        <v>3.4367230000000002</v>
      </c>
      <c r="J4254" s="187" t="s">
        <v>1026</v>
      </c>
      <c r="K4254" s="187" t="s">
        <v>116</v>
      </c>
      <c r="L4254" s="195">
        <v>0.36096739999999999</v>
      </c>
      <c r="M4254" s="195" t="s">
        <v>1026</v>
      </c>
      <c r="N4254" s="195" t="s">
        <v>1034</v>
      </c>
      <c r="O4254" s="199">
        <v>0.1</v>
      </c>
      <c r="P4254" s="188"/>
    </row>
    <row r="4255" spans="1:16" s="183" customFormat="1" x14ac:dyDescent="0.2">
      <c r="A4255" s="205">
        <v>352</v>
      </c>
      <c r="B4255" s="232" t="str">
        <f>IF(AND(A4255&lt;&gt;"",ISNUMBER(A4255)),VLOOKUP(A4255,Studies!A:BR,2,FALSE),"")</f>
        <v>Majumdar 2007</v>
      </c>
      <c r="C4255" s="232" t="str">
        <f>IF(AND(A4255&lt;&gt;"",ISNUMBER(A4255)),VLOOKUP(A4255,Studies!A:BR,3,FALSE),"")</f>
        <v>https://www.ncbi.nlm.nih.gov/pubmed/17463213</v>
      </c>
      <c r="D4255" s="232" t="str">
        <f>IF(AND(A4255&lt;&gt;"",ISNUMBER(A4255)),VLOOKUP(A4255,Studies!A:BR,4,FALSE),"")</f>
        <v>po with Perpetrator (Aprepitant)</v>
      </c>
      <c r="E4255" s="206" t="str">
        <f>IF(AND(A4255&lt;&gt;"",ISNUMBER(A4255)),VLOOKUP(A4255,Studies!A:BR,5,FALSE),"")</f>
        <v>Midazolam</v>
      </c>
      <c r="F4255" s="207" t="str">
        <f>IF(AND(A4255&lt;&gt;"",ISNUMBER(A4255)),VLOOKUP(A4255,Studies!A:BR,6,FALSE),"")</f>
        <v>Plasma</v>
      </c>
      <c r="G4255" s="194">
        <f>1+12</f>
        <v>13</v>
      </c>
      <c r="H4255" s="194" t="s">
        <v>60</v>
      </c>
      <c r="I4255" s="187">
        <v>2.0008050000000002</v>
      </c>
      <c r="J4255" s="187" t="s">
        <v>1026</v>
      </c>
      <c r="K4255" s="187" t="s">
        <v>116</v>
      </c>
      <c r="L4255" s="195">
        <v>0.28313480000000002</v>
      </c>
      <c r="M4255" s="195" t="s">
        <v>1026</v>
      </c>
      <c r="N4255" s="195" t="s">
        <v>1034</v>
      </c>
      <c r="O4255" s="199">
        <v>0.1</v>
      </c>
      <c r="P4255" s="188"/>
    </row>
    <row r="4256" spans="1:16" s="183" customFormat="1" x14ac:dyDescent="0.2">
      <c r="A4256" s="205">
        <v>352</v>
      </c>
      <c r="B4256" s="232" t="str">
        <f>IF(AND(A4256&lt;&gt;"",ISNUMBER(A4256)),VLOOKUP(A4256,Studies!A:BR,2,FALSE),"")</f>
        <v>Majumdar 2007</v>
      </c>
      <c r="C4256" s="232" t="str">
        <f>IF(AND(A4256&lt;&gt;"",ISNUMBER(A4256)),VLOOKUP(A4256,Studies!A:BR,3,FALSE),"")</f>
        <v>https://www.ncbi.nlm.nih.gov/pubmed/17463213</v>
      </c>
      <c r="D4256" s="232" t="str">
        <f>IF(AND(A4256&lt;&gt;"",ISNUMBER(A4256)),VLOOKUP(A4256,Studies!A:BR,4,FALSE),"")</f>
        <v>po with Perpetrator (Aprepitant)</v>
      </c>
      <c r="E4256" s="206" t="str">
        <f>IF(AND(A4256&lt;&gt;"",ISNUMBER(A4256)),VLOOKUP(A4256,Studies!A:BR,5,FALSE),"")</f>
        <v>Midazolam</v>
      </c>
      <c r="F4256" s="207" t="str">
        <f>IF(AND(A4256&lt;&gt;"",ISNUMBER(A4256)),VLOOKUP(A4256,Studies!A:BR,6,FALSE),"")</f>
        <v>Plasma</v>
      </c>
      <c r="G4256" s="194">
        <f>1+16</f>
        <v>17</v>
      </c>
      <c r="H4256" s="194" t="s">
        <v>60</v>
      </c>
      <c r="I4256" s="187">
        <v>1.214332</v>
      </c>
      <c r="J4256" s="187" t="s">
        <v>1026</v>
      </c>
      <c r="K4256" s="187" t="s">
        <v>116</v>
      </c>
      <c r="L4256" s="195">
        <v>0.21433199999999999</v>
      </c>
      <c r="M4256" s="195" t="s">
        <v>1026</v>
      </c>
      <c r="N4256" s="195" t="s">
        <v>1034</v>
      </c>
      <c r="O4256" s="199">
        <v>0.1</v>
      </c>
      <c r="P4256" s="188"/>
    </row>
    <row r="4257" spans="1:16" s="183" customFormat="1" x14ac:dyDescent="0.2">
      <c r="A4257" s="205">
        <v>352</v>
      </c>
      <c r="B4257" s="232" t="str">
        <f>IF(AND(A4257&lt;&gt;"",ISNUMBER(A4257)),VLOOKUP(A4257,Studies!A:BR,2,FALSE),"")</f>
        <v>Majumdar 2007</v>
      </c>
      <c r="C4257" s="232" t="str">
        <f>IF(AND(A4257&lt;&gt;"",ISNUMBER(A4257)),VLOOKUP(A4257,Studies!A:BR,3,FALSE),"")</f>
        <v>https://www.ncbi.nlm.nih.gov/pubmed/17463213</v>
      </c>
      <c r="D4257" s="232" t="str">
        <f>IF(AND(A4257&lt;&gt;"",ISNUMBER(A4257)),VLOOKUP(A4257,Studies!A:BR,4,FALSE),"")</f>
        <v>po with Perpetrator (Aprepitant)</v>
      </c>
      <c r="E4257" s="206" t="str">
        <f>IF(AND(A4257&lt;&gt;"",ISNUMBER(A4257)),VLOOKUP(A4257,Studies!A:BR,5,FALSE),"")</f>
        <v>Midazolam</v>
      </c>
      <c r="F4257" s="207" t="str">
        <f>IF(AND(A4257&lt;&gt;"",ISNUMBER(A4257)),VLOOKUP(A4257,Studies!A:BR,6,FALSE),"")</f>
        <v>Plasma</v>
      </c>
      <c r="G4257" s="194">
        <f>1+24</f>
        <v>25</v>
      </c>
      <c r="H4257" s="194" t="s">
        <v>60</v>
      </c>
      <c r="I4257" s="187">
        <v>0.49979879999999999</v>
      </c>
      <c r="J4257" s="187" t="s">
        <v>1026</v>
      </c>
      <c r="K4257" s="187" t="s">
        <v>116</v>
      </c>
      <c r="L4257" s="195">
        <v>0.1263</v>
      </c>
      <c r="M4257" s="195" t="s">
        <v>1026</v>
      </c>
      <c r="N4257" s="195" t="s">
        <v>1034</v>
      </c>
      <c r="O4257" s="199">
        <v>0.1</v>
      </c>
      <c r="P4257" s="188"/>
    </row>
    <row r="4258" spans="1:16" s="183" customFormat="1" x14ac:dyDescent="0.2">
      <c r="A4258" s="189">
        <v>30</v>
      </c>
      <c r="B4258" s="232" t="str">
        <f>IF(AND(A4258&lt;&gt;"",ISNUMBER(A4258)),VLOOKUP(A4258,Studies!A:BR,2,FALSE),"")</f>
        <v>Acocella 1984</v>
      </c>
      <c r="C4258" s="232" t="str">
        <f>IF(AND(A4258&lt;&gt;"",ISNUMBER(A4258)),VLOOKUP(A4258,Studies!A:BR,3,FALSE),"")</f>
        <v>https://www.ncbi.nlm.nih.gov/pubmed/6473487</v>
      </c>
      <c r="D4258" s="232" t="str">
        <f>IF(AND(A4258&lt;&gt;"",ISNUMBER(A4258)),VLOOKUP(A4258,Studies!A:BR,4,FALSE),"")</f>
        <v>Individual 1 (600 mg, 3 h infusion)</v>
      </c>
      <c r="E4258" s="206" t="str">
        <f>IF(AND(A4258&lt;&gt;"",ISNUMBER(A4258)),VLOOKUP(A4258,Studies!A:BR,5,FALSE),"")</f>
        <v>Rifampicin</v>
      </c>
      <c r="F4258" s="207" t="str">
        <f>IF(AND(A4258&lt;&gt;"",ISNUMBER(A4258)),VLOOKUP(A4258,Studies!A:BR,6,FALSE),"")</f>
        <v>Serum</v>
      </c>
      <c r="G4258" s="194">
        <v>0.17</v>
      </c>
      <c r="H4258" s="194" t="s">
        <v>60</v>
      </c>
      <c r="I4258" s="187">
        <v>0.8</v>
      </c>
      <c r="J4258" s="187" t="s">
        <v>1054</v>
      </c>
      <c r="K4258" s="187" t="s">
        <v>264</v>
      </c>
      <c r="L4258" s="195"/>
      <c r="M4258" s="195"/>
      <c r="N4258" s="195"/>
      <c r="O4258" s="199"/>
      <c r="P4258" s="188"/>
    </row>
    <row r="4259" spans="1:16" s="183" customFormat="1" x14ac:dyDescent="0.2">
      <c r="A4259" s="189">
        <v>30</v>
      </c>
      <c r="B4259" s="232" t="str">
        <f>IF(AND(A4259&lt;&gt;"",ISNUMBER(A4259)),VLOOKUP(A4259,Studies!A:BR,2,FALSE),"")</f>
        <v>Acocella 1984</v>
      </c>
      <c r="C4259" s="232" t="str">
        <f>IF(AND(A4259&lt;&gt;"",ISNUMBER(A4259)),VLOOKUP(A4259,Studies!A:BR,3,FALSE),"")</f>
        <v>https://www.ncbi.nlm.nih.gov/pubmed/6473487</v>
      </c>
      <c r="D4259" s="232" t="str">
        <f>IF(AND(A4259&lt;&gt;"",ISNUMBER(A4259)),VLOOKUP(A4259,Studies!A:BR,4,FALSE),"")</f>
        <v>Individual 1 (600 mg, 3 h infusion)</v>
      </c>
      <c r="E4259" s="206" t="str">
        <f>IF(AND(A4259&lt;&gt;"",ISNUMBER(A4259)),VLOOKUP(A4259,Studies!A:BR,5,FALSE),"")</f>
        <v>Rifampicin</v>
      </c>
      <c r="F4259" s="207" t="str">
        <f>IF(AND(A4259&lt;&gt;"",ISNUMBER(A4259)),VLOOKUP(A4259,Studies!A:BR,6,FALSE),"")</f>
        <v>Serum</v>
      </c>
      <c r="G4259" s="194">
        <v>0.5</v>
      </c>
      <c r="H4259" s="194" t="s">
        <v>60</v>
      </c>
      <c r="I4259" s="187">
        <v>2.1</v>
      </c>
      <c r="J4259" s="187" t="s">
        <v>1054</v>
      </c>
      <c r="K4259" s="187" t="s">
        <v>264</v>
      </c>
      <c r="L4259" s="195"/>
      <c r="M4259" s="195"/>
      <c r="N4259" s="195"/>
      <c r="O4259" s="199"/>
      <c r="P4259" s="188"/>
    </row>
    <row r="4260" spans="1:16" s="183" customFormat="1" x14ac:dyDescent="0.2">
      <c r="A4260" s="189">
        <v>30</v>
      </c>
      <c r="B4260" s="232" t="str">
        <f>IF(AND(A4260&lt;&gt;"",ISNUMBER(A4260)),VLOOKUP(A4260,Studies!A:BR,2,FALSE),"")</f>
        <v>Acocella 1984</v>
      </c>
      <c r="C4260" s="232" t="str">
        <f>IF(AND(A4260&lt;&gt;"",ISNUMBER(A4260)),VLOOKUP(A4260,Studies!A:BR,3,FALSE),"")</f>
        <v>https://www.ncbi.nlm.nih.gov/pubmed/6473487</v>
      </c>
      <c r="D4260" s="232" t="str">
        <f>IF(AND(A4260&lt;&gt;"",ISNUMBER(A4260)),VLOOKUP(A4260,Studies!A:BR,4,FALSE),"")</f>
        <v>Individual 1 (600 mg, 3 h infusion)</v>
      </c>
      <c r="E4260" s="206" t="str">
        <f>IF(AND(A4260&lt;&gt;"",ISNUMBER(A4260)),VLOOKUP(A4260,Studies!A:BR,5,FALSE),"")</f>
        <v>Rifampicin</v>
      </c>
      <c r="F4260" s="207" t="str">
        <f>IF(AND(A4260&lt;&gt;"",ISNUMBER(A4260)),VLOOKUP(A4260,Studies!A:BR,6,FALSE),"")</f>
        <v>Serum</v>
      </c>
      <c r="G4260" s="194">
        <v>1</v>
      </c>
      <c r="H4260" s="194" t="s">
        <v>60</v>
      </c>
      <c r="I4260" s="187">
        <v>3.89</v>
      </c>
      <c r="J4260" s="187" t="s">
        <v>1054</v>
      </c>
      <c r="K4260" s="187" t="s">
        <v>264</v>
      </c>
      <c r="L4260" s="195"/>
      <c r="M4260" s="195"/>
      <c r="N4260" s="195"/>
      <c r="O4260" s="199"/>
      <c r="P4260" s="188"/>
    </row>
    <row r="4261" spans="1:16" s="183" customFormat="1" x14ac:dyDescent="0.2">
      <c r="A4261" s="189">
        <v>30</v>
      </c>
      <c r="B4261" s="232" t="str">
        <f>IF(AND(A4261&lt;&gt;"",ISNUMBER(A4261)),VLOOKUP(A4261,Studies!A:BR,2,FALSE),"")</f>
        <v>Acocella 1984</v>
      </c>
      <c r="C4261" s="232" t="str">
        <f>IF(AND(A4261&lt;&gt;"",ISNUMBER(A4261)),VLOOKUP(A4261,Studies!A:BR,3,FALSE),"")</f>
        <v>https://www.ncbi.nlm.nih.gov/pubmed/6473487</v>
      </c>
      <c r="D4261" s="232" t="str">
        <f>IF(AND(A4261&lt;&gt;"",ISNUMBER(A4261)),VLOOKUP(A4261,Studies!A:BR,4,FALSE),"")</f>
        <v>Individual 1 (600 mg, 3 h infusion)</v>
      </c>
      <c r="E4261" s="206" t="str">
        <f>IF(AND(A4261&lt;&gt;"",ISNUMBER(A4261)),VLOOKUP(A4261,Studies!A:BR,5,FALSE),"")</f>
        <v>Rifampicin</v>
      </c>
      <c r="F4261" s="207" t="str">
        <f>IF(AND(A4261&lt;&gt;"",ISNUMBER(A4261)),VLOOKUP(A4261,Studies!A:BR,6,FALSE),"")</f>
        <v>Serum</v>
      </c>
      <c r="G4261" s="194">
        <v>1.5</v>
      </c>
      <c r="H4261" s="194" t="s">
        <v>60</v>
      </c>
      <c r="I4261" s="187">
        <v>5.95</v>
      </c>
      <c r="J4261" s="187" t="s">
        <v>1054</v>
      </c>
      <c r="K4261" s="187" t="s">
        <v>264</v>
      </c>
      <c r="L4261" s="195"/>
      <c r="M4261" s="195"/>
      <c r="N4261" s="195"/>
      <c r="O4261" s="199"/>
      <c r="P4261" s="188"/>
    </row>
    <row r="4262" spans="1:16" s="183" customFormat="1" x14ac:dyDescent="0.2">
      <c r="A4262" s="189">
        <v>30</v>
      </c>
      <c r="B4262" s="232" t="str">
        <f>IF(AND(A4262&lt;&gt;"",ISNUMBER(A4262)),VLOOKUP(A4262,Studies!A:BR,2,FALSE),"")</f>
        <v>Acocella 1984</v>
      </c>
      <c r="C4262" s="232" t="str">
        <f>IF(AND(A4262&lt;&gt;"",ISNUMBER(A4262)),VLOOKUP(A4262,Studies!A:BR,3,FALSE),"")</f>
        <v>https://www.ncbi.nlm.nih.gov/pubmed/6473487</v>
      </c>
      <c r="D4262" s="232" t="str">
        <f>IF(AND(A4262&lt;&gt;"",ISNUMBER(A4262)),VLOOKUP(A4262,Studies!A:BR,4,FALSE),"")</f>
        <v>Individual 1 (600 mg, 3 h infusion)</v>
      </c>
      <c r="E4262" s="206" t="str">
        <f>IF(AND(A4262&lt;&gt;"",ISNUMBER(A4262)),VLOOKUP(A4262,Studies!A:BR,5,FALSE),"")</f>
        <v>Rifampicin</v>
      </c>
      <c r="F4262" s="207" t="str">
        <f>IF(AND(A4262&lt;&gt;"",ISNUMBER(A4262)),VLOOKUP(A4262,Studies!A:BR,6,FALSE),"")</f>
        <v>Serum</v>
      </c>
      <c r="G4262" s="194">
        <v>2</v>
      </c>
      <c r="H4262" s="194" t="s">
        <v>60</v>
      </c>
      <c r="I4262" s="187">
        <v>7.06</v>
      </c>
      <c r="J4262" s="187" t="s">
        <v>1054</v>
      </c>
      <c r="K4262" s="187" t="s">
        <v>264</v>
      </c>
      <c r="L4262" s="195"/>
      <c r="M4262" s="195"/>
      <c r="N4262" s="195"/>
      <c r="O4262" s="199"/>
      <c r="P4262" s="188"/>
    </row>
    <row r="4263" spans="1:16" s="183" customFormat="1" x14ac:dyDescent="0.2">
      <c r="A4263" s="189">
        <v>30</v>
      </c>
      <c r="B4263" s="232" t="str">
        <f>IF(AND(A4263&lt;&gt;"",ISNUMBER(A4263)),VLOOKUP(A4263,Studies!A:BR,2,FALSE),"")</f>
        <v>Acocella 1984</v>
      </c>
      <c r="C4263" s="232" t="str">
        <f>IF(AND(A4263&lt;&gt;"",ISNUMBER(A4263)),VLOOKUP(A4263,Studies!A:BR,3,FALSE),"")</f>
        <v>https://www.ncbi.nlm.nih.gov/pubmed/6473487</v>
      </c>
      <c r="D4263" s="232" t="str">
        <f>IF(AND(A4263&lt;&gt;"",ISNUMBER(A4263)),VLOOKUP(A4263,Studies!A:BR,4,FALSE),"")</f>
        <v>Individual 1 (600 mg, 3 h infusion)</v>
      </c>
      <c r="E4263" s="206" t="str">
        <f>IF(AND(A4263&lt;&gt;"",ISNUMBER(A4263)),VLOOKUP(A4263,Studies!A:BR,5,FALSE),"")</f>
        <v>Rifampicin</v>
      </c>
      <c r="F4263" s="207" t="str">
        <f>IF(AND(A4263&lt;&gt;"",ISNUMBER(A4263)),VLOOKUP(A4263,Studies!A:BR,6,FALSE),"")</f>
        <v>Serum</v>
      </c>
      <c r="G4263" s="194">
        <v>4</v>
      </c>
      <c r="H4263" s="194" t="s">
        <v>60</v>
      </c>
      <c r="I4263" s="187">
        <v>6.29</v>
      </c>
      <c r="J4263" s="187" t="s">
        <v>1054</v>
      </c>
      <c r="K4263" s="187" t="s">
        <v>264</v>
      </c>
      <c r="L4263" s="195"/>
      <c r="M4263" s="195"/>
      <c r="N4263" s="195"/>
      <c r="O4263" s="199"/>
      <c r="P4263" s="188"/>
    </row>
    <row r="4264" spans="1:16" s="183" customFormat="1" x14ac:dyDescent="0.2">
      <c r="A4264" s="189">
        <v>30</v>
      </c>
      <c r="B4264" s="232" t="str">
        <f>IF(AND(A4264&lt;&gt;"",ISNUMBER(A4264)),VLOOKUP(A4264,Studies!A:BR,2,FALSE),"")</f>
        <v>Acocella 1984</v>
      </c>
      <c r="C4264" s="232" t="str">
        <f>IF(AND(A4264&lt;&gt;"",ISNUMBER(A4264)),VLOOKUP(A4264,Studies!A:BR,3,FALSE),"")</f>
        <v>https://www.ncbi.nlm.nih.gov/pubmed/6473487</v>
      </c>
      <c r="D4264" s="232" t="str">
        <f>IF(AND(A4264&lt;&gt;"",ISNUMBER(A4264)),VLOOKUP(A4264,Studies!A:BR,4,FALSE),"")</f>
        <v>Individual 1 (600 mg, 3 h infusion)</v>
      </c>
      <c r="E4264" s="206" t="str">
        <f>IF(AND(A4264&lt;&gt;"",ISNUMBER(A4264)),VLOOKUP(A4264,Studies!A:BR,5,FALSE),"")</f>
        <v>Rifampicin</v>
      </c>
      <c r="F4264" s="207" t="str">
        <f>IF(AND(A4264&lt;&gt;"",ISNUMBER(A4264)),VLOOKUP(A4264,Studies!A:BR,6,FALSE),"")</f>
        <v>Serum</v>
      </c>
      <c r="G4264" s="194">
        <v>8</v>
      </c>
      <c r="H4264" s="194" t="s">
        <v>60</v>
      </c>
      <c r="I4264" s="187">
        <v>2.81</v>
      </c>
      <c r="J4264" s="187" t="s">
        <v>1054</v>
      </c>
      <c r="K4264" s="187" t="s">
        <v>264</v>
      </c>
      <c r="L4264" s="195"/>
      <c r="M4264" s="195"/>
      <c r="N4264" s="195"/>
      <c r="O4264" s="199"/>
      <c r="P4264" s="188"/>
    </row>
    <row r="4265" spans="1:16" s="183" customFormat="1" x14ac:dyDescent="0.2">
      <c r="A4265" s="189">
        <v>31</v>
      </c>
      <c r="B4265" s="232" t="str">
        <f>IF(AND(A4265&lt;&gt;"",ISNUMBER(A4265)),VLOOKUP(A4265,Studies!A:BR,2,FALSE),"")</f>
        <v>Acocella 1984</v>
      </c>
      <c r="C4265" s="232" t="str">
        <f>IF(AND(A4265&lt;&gt;"",ISNUMBER(A4265)),VLOOKUP(A4265,Studies!A:BR,3,FALSE),"")</f>
        <v>https://www.ncbi.nlm.nih.gov/pubmed/6473487</v>
      </c>
      <c r="D4265" s="232" t="str">
        <f>IF(AND(A4265&lt;&gt;"",ISNUMBER(A4265)),VLOOKUP(A4265,Studies!A:BR,4,FALSE),"")</f>
        <v>Individual 2 (600 mg, 3 h infusion)</v>
      </c>
      <c r="E4265" s="206" t="str">
        <f>IF(AND(A4265&lt;&gt;"",ISNUMBER(A4265)),VLOOKUP(A4265,Studies!A:BR,5,FALSE),"")</f>
        <v>Rifampicin</v>
      </c>
      <c r="F4265" s="207" t="str">
        <f>IF(AND(A4265&lt;&gt;"",ISNUMBER(A4265)),VLOOKUP(A4265,Studies!A:BR,6,FALSE),"")</f>
        <v>Serum</v>
      </c>
      <c r="G4265" s="194">
        <v>0.17</v>
      </c>
      <c r="H4265" s="194" t="s">
        <v>60</v>
      </c>
      <c r="I4265" s="187">
        <v>0.92</v>
      </c>
      <c r="J4265" s="187" t="s">
        <v>1054</v>
      </c>
      <c r="K4265" s="187" t="s">
        <v>264</v>
      </c>
      <c r="L4265" s="195"/>
      <c r="M4265" s="195"/>
      <c r="N4265" s="195"/>
      <c r="O4265" s="199"/>
      <c r="P4265" s="188"/>
    </row>
    <row r="4266" spans="1:16" s="183" customFormat="1" x14ac:dyDescent="0.2">
      <c r="A4266" s="189">
        <v>31</v>
      </c>
      <c r="B4266" s="232" t="str">
        <f>IF(AND(A4266&lt;&gt;"",ISNUMBER(A4266)),VLOOKUP(A4266,Studies!A:BR,2,FALSE),"")</f>
        <v>Acocella 1984</v>
      </c>
      <c r="C4266" s="232" t="str">
        <f>IF(AND(A4266&lt;&gt;"",ISNUMBER(A4266)),VLOOKUP(A4266,Studies!A:BR,3,FALSE),"")</f>
        <v>https://www.ncbi.nlm.nih.gov/pubmed/6473487</v>
      </c>
      <c r="D4266" s="232" t="str">
        <f>IF(AND(A4266&lt;&gt;"",ISNUMBER(A4266)),VLOOKUP(A4266,Studies!A:BR,4,FALSE),"")</f>
        <v>Individual 2 (600 mg, 3 h infusion)</v>
      </c>
      <c r="E4266" s="206" t="str">
        <f>IF(AND(A4266&lt;&gt;"",ISNUMBER(A4266)),VLOOKUP(A4266,Studies!A:BR,5,FALSE),"")</f>
        <v>Rifampicin</v>
      </c>
      <c r="F4266" s="207" t="str">
        <f>IF(AND(A4266&lt;&gt;"",ISNUMBER(A4266)),VLOOKUP(A4266,Studies!A:BR,6,FALSE),"")</f>
        <v>Serum</v>
      </c>
      <c r="G4266" s="194">
        <v>0.5</v>
      </c>
      <c r="H4266" s="194" t="s">
        <v>60</v>
      </c>
      <c r="I4266" s="187">
        <v>1.0900000000000001</v>
      </c>
      <c r="J4266" s="187" t="s">
        <v>1054</v>
      </c>
      <c r="K4266" s="187" t="s">
        <v>264</v>
      </c>
      <c r="L4266" s="195"/>
      <c r="M4266" s="195"/>
      <c r="N4266" s="195"/>
      <c r="O4266" s="199"/>
      <c r="P4266" s="188"/>
    </row>
    <row r="4267" spans="1:16" s="183" customFormat="1" x14ac:dyDescent="0.2">
      <c r="A4267" s="189">
        <v>31</v>
      </c>
      <c r="B4267" s="232" t="str">
        <f>IF(AND(A4267&lt;&gt;"",ISNUMBER(A4267)),VLOOKUP(A4267,Studies!A:BR,2,FALSE),"")</f>
        <v>Acocella 1984</v>
      </c>
      <c r="C4267" s="232" t="str">
        <f>IF(AND(A4267&lt;&gt;"",ISNUMBER(A4267)),VLOOKUP(A4267,Studies!A:BR,3,FALSE),"")</f>
        <v>https://www.ncbi.nlm.nih.gov/pubmed/6473487</v>
      </c>
      <c r="D4267" s="232" t="str">
        <f>IF(AND(A4267&lt;&gt;"",ISNUMBER(A4267)),VLOOKUP(A4267,Studies!A:BR,4,FALSE),"")</f>
        <v>Individual 2 (600 mg, 3 h infusion)</v>
      </c>
      <c r="E4267" s="206" t="str">
        <f>IF(AND(A4267&lt;&gt;"",ISNUMBER(A4267)),VLOOKUP(A4267,Studies!A:BR,5,FALSE),"")</f>
        <v>Rifampicin</v>
      </c>
      <c r="F4267" s="207" t="str">
        <f>IF(AND(A4267&lt;&gt;"",ISNUMBER(A4267)),VLOOKUP(A4267,Studies!A:BR,6,FALSE),"")</f>
        <v>Serum</v>
      </c>
      <c r="G4267" s="194">
        <v>1</v>
      </c>
      <c r="H4267" s="194" t="s">
        <v>60</v>
      </c>
      <c r="I4267" s="187">
        <v>2.33</v>
      </c>
      <c r="J4267" s="187" t="s">
        <v>1054</v>
      </c>
      <c r="K4267" s="187" t="s">
        <v>264</v>
      </c>
      <c r="L4267" s="195"/>
      <c r="M4267" s="195"/>
      <c r="N4267" s="195"/>
      <c r="O4267" s="199"/>
      <c r="P4267" s="188"/>
    </row>
    <row r="4268" spans="1:16" s="183" customFormat="1" x14ac:dyDescent="0.2">
      <c r="A4268" s="189">
        <v>31</v>
      </c>
      <c r="B4268" s="232" t="str">
        <f>IF(AND(A4268&lt;&gt;"",ISNUMBER(A4268)),VLOOKUP(A4268,Studies!A:BR,2,FALSE),"")</f>
        <v>Acocella 1984</v>
      </c>
      <c r="C4268" s="232" t="str">
        <f>IF(AND(A4268&lt;&gt;"",ISNUMBER(A4268)),VLOOKUP(A4268,Studies!A:BR,3,FALSE),"")</f>
        <v>https://www.ncbi.nlm.nih.gov/pubmed/6473487</v>
      </c>
      <c r="D4268" s="232" t="str">
        <f>IF(AND(A4268&lt;&gt;"",ISNUMBER(A4268)),VLOOKUP(A4268,Studies!A:BR,4,FALSE),"")</f>
        <v>Individual 2 (600 mg, 3 h infusion)</v>
      </c>
      <c r="E4268" s="206" t="str">
        <f>IF(AND(A4268&lt;&gt;"",ISNUMBER(A4268)),VLOOKUP(A4268,Studies!A:BR,5,FALSE),"")</f>
        <v>Rifampicin</v>
      </c>
      <c r="F4268" s="207" t="str">
        <f>IF(AND(A4268&lt;&gt;"",ISNUMBER(A4268)),VLOOKUP(A4268,Studies!A:BR,6,FALSE),"")</f>
        <v>Serum</v>
      </c>
      <c r="G4268" s="194">
        <v>1.5</v>
      </c>
      <c r="H4268" s="194" t="s">
        <v>60</v>
      </c>
      <c r="I4268" s="187">
        <v>3.98</v>
      </c>
      <c r="J4268" s="187" t="s">
        <v>1054</v>
      </c>
      <c r="K4268" s="187" t="s">
        <v>264</v>
      </c>
      <c r="L4268" s="195"/>
      <c r="M4268" s="195"/>
      <c r="N4268" s="195"/>
      <c r="O4268" s="199"/>
      <c r="P4268" s="188"/>
    </row>
    <row r="4269" spans="1:16" s="183" customFormat="1" x14ac:dyDescent="0.2">
      <c r="A4269" s="189">
        <v>31</v>
      </c>
      <c r="B4269" s="232" t="str">
        <f>IF(AND(A4269&lt;&gt;"",ISNUMBER(A4269)),VLOOKUP(A4269,Studies!A:BR,2,FALSE),"")</f>
        <v>Acocella 1984</v>
      </c>
      <c r="C4269" s="232" t="str">
        <f>IF(AND(A4269&lt;&gt;"",ISNUMBER(A4269)),VLOOKUP(A4269,Studies!A:BR,3,FALSE),"")</f>
        <v>https://www.ncbi.nlm.nih.gov/pubmed/6473487</v>
      </c>
      <c r="D4269" s="232" t="str">
        <f>IF(AND(A4269&lt;&gt;"",ISNUMBER(A4269)),VLOOKUP(A4269,Studies!A:BR,4,FALSE),"")</f>
        <v>Individual 2 (600 mg, 3 h infusion)</v>
      </c>
      <c r="E4269" s="206" t="str">
        <f>IF(AND(A4269&lt;&gt;"",ISNUMBER(A4269)),VLOOKUP(A4269,Studies!A:BR,5,FALSE),"")</f>
        <v>Rifampicin</v>
      </c>
      <c r="F4269" s="207" t="str">
        <f>IF(AND(A4269&lt;&gt;"",ISNUMBER(A4269)),VLOOKUP(A4269,Studies!A:BR,6,FALSE),"")</f>
        <v>Serum</v>
      </c>
      <c r="G4269" s="194">
        <v>2</v>
      </c>
      <c r="H4269" s="194" t="s">
        <v>60</v>
      </c>
      <c r="I4269" s="187">
        <v>3.64</v>
      </c>
      <c r="J4269" s="187" t="s">
        <v>1054</v>
      </c>
      <c r="K4269" s="187" t="s">
        <v>264</v>
      </c>
      <c r="L4269" s="195"/>
      <c r="M4269" s="195"/>
      <c r="N4269" s="195"/>
      <c r="O4269" s="199"/>
      <c r="P4269" s="188"/>
    </row>
    <row r="4270" spans="1:16" s="183" customFormat="1" x14ac:dyDescent="0.2">
      <c r="A4270" s="189">
        <v>31</v>
      </c>
      <c r="B4270" s="232" t="str">
        <f>IF(AND(A4270&lt;&gt;"",ISNUMBER(A4270)),VLOOKUP(A4270,Studies!A:BR,2,FALSE),"")</f>
        <v>Acocella 1984</v>
      </c>
      <c r="C4270" s="232" t="str">
        <f>IF(AND(A4270&lt;&gt;"",ISNUMBER(A4270)),VLOOKUP(A4270,Studies!A:BR,3,FALSE),"")</f>
        <v>https://www.ncbi.nlm.nih.gov/pubmed/6473487</v>
      </c>
      <c r="D4270" s="232" t="str">
        <f>IF(AND(A4270&lt;&gt;"",ISNUMBER(A4270)),VLOOKUP(A4270,Studies!A:BR,4,FALSE),"")</f>
        <v>Individual 2 (600 mg, 3 h infusion)</v>
      </c>
      <c r="E4270" s="206" t="str">
        <f>IF(AND(A4270&lt;&gt;"",ISNUMBER(A4270)),VLOOKUP(A4270,Studies!A:BR,5,FALSE),"")</f>
        <v>Rifampicin</v>
      </c>
      <c r="F4270" s="207" t="str">
        <f>IF(AND(A4270&lt;&gt;"",ISNUMBER(A4270)),VLOOKUP(A4270,Studies!A:BR,6,FALSE),"")</f>
        <v>Serum</v>
      </c>
      <c r="G4270" s="194">
        <v>4</v>
      </c>
      <c r="H4270" s="194" t="s">
        <v>60</v>
      </c>
      <c r="I4270" s="187">
        <v>6.04</v>
      </c>
      <c r="J4270" s="187" t="s">
        <v>1054</v>
      </c>
      <c r="K4270" s="187" t="s">
        <v>264</v>
      </c>
      <c r="L4270" s="195"/>
      <c r="M4270" s="195"/>
      <c r="N4270" s="195"/>
      <c r="O4270" s="199"/>
      <c r="P4270" s="188"/>
    </row>
    <row r="4271" spans="1:16" s="183" customFormat="1" x14ac:dyDescent="0.2">
      <c r="A4271" s="189">
        <v>31</v>
      </c>
      <c r="B4271" s="232" t="str">
        <f>IF(AND(A4271&lt;&gt;"",ISNUMBER(A4271)),VLOOKUP(A4271,Studies!A:BR,2,FALSE),"")</f>
        <v>Acocella 1984</v>
      </c>
      <c r="C4271" s="232" t="str">
        <f>IF(AND(A4271&lt;&gt;"",ISNUMBER(A4271)),VLOOKUP(A4271,Studies!A:BR,3,FALSE),"")</f>
        <v>https://www.ncbi.nlm.nih.gov/pubmed/6473487</v>
      </c>
      <c r="D4271" s="232" t="str">
        <f>IF(AND(A4271&lt;&gt;"",ISNUMBER(A4271)),VLOOKUP(A4271,Studies!A:BR,4,FALSE),"")</f>
        <v>Individual 2 (600 mg, 3 h infusion)</v>
      </c>
      <c r="E4271" s="206" t="str">
        <f>IF(AND(A4271&lt;&gt;"",ISNUMBER(A4271)),VLOOKUP(A4271,Studies!A:BR,5,FALSE),"")</f>
        <v>Rifampicin</v>
      </c>
      <c r="F4271" s="207" t="str">
        <f>IF(AND(A4271&lt;&gt;"",ISNUMBER(A4271)),VLOOKUP(A4271,Studies!A:BR,6,FALSE),"")</f>
        <v>Serum</v>
      </c>
      <c r="G4271" s="194">
        <v>8</v>
      </c>
      <c r="H4271" s="194" t="s">
        <v>60</v>
      </c>
      <c r="I4271" s="187">
        <v>3.56</v>
      </c>
      <c r="J4271" s="187" t="s">
        <v>1054</v>
      </c>
      <c r="K4271" s="187" t="s">
        <v>264</v>
      </c>
      <c r="L4271" s="195"/>
      <c r="M4271" s="195"/>
      <c r="N4271" s="195"/>
      <c r="O4271" s="199"/>
      <c r="P4271" s="188"/>
    </row>
    <row r="4272" spans="1:16" s="183" customFormat="1" x14ac:dyDescent="0.2">
      <c r="A4272" s="189">
        <v>32</v>
      </c>
      <c r="B4272" s="232" t="str">
        <f>IF(AND(A4272&lt;&gt;"",ISNUMBER(A4272)),VLOOKUP(A4272,Studies!A:BR,2,FALSE),"")</f>
        <v>Acocella 1984</v>
      </c>
      <c r="C4272" s="232" t="str">
        <f>IF(AND(A4272&lt;&gt;"",ISNUMBER(A4272)),VLOOKUP(A4272,Studies!A:BR,3,FALSE),"")</f>
        <v>https://www.ncbi.nlm.nih.gov/pubmed/6473487</v>
      </c>
      <c r="D4272" s="232" t="str">
        <f>IF(AND(A4272&lt;&gt;"",ISNUMBER(A4272)),VLOOKUP(A4272,Studies!A:BR,4,FALSE),"")</f>
        <v>Individual 3 (600 mg, 2 h infusion)</v>
      </c>
      <c r="E4272" s="206" t="str">
        <f>IF(AND(A4272&lt;&gt;"",ISNUMBER(A4272)),VLOOKUP(A4272,Studies!A:BR,5,FALSE),"")</f>
        <v>Rifampicin</v>
      </c>
      <c r="F4272" s="207" t="str">
        <f>IF(AND(A4272&lt;&gt;"",ISNUMBER(A4272)),VLOOKUP(A4272,Studies!A:BR,6,FALSE),"")</f>
        <v>Serum</v>
      </c>
      <c r="G4272" s="194">
        <v>0.17</v>
      </c>
      <c r="H4272" s="194" t="s">
        <v>60</v>
      </c>
      <c r="I4272" s="187">
        <v>1.1200000000000001</v>
      </c>
      <c r="J4272" s="187" t="s">
        <v>1054</v>
      </c>
      <c r="K4272" s="187" t="s">
        <v>264</v>
      </c>
      <c r="L4272" s="195"/>
      <c r="M4272" s="195"/>
      <c r="N4272" s="195"/>
      <c r="O4272" s="199"/>
      <c r="P4272" s="188"/>
    </row>
    <row r="4273" spans="1:16" s="183" customFormat="1" x14ac:dyDescent="0.2">
      <c r="A4273" s="189">
        <v>32</v>
      </c>
      <c r="B4273" s="232" t="str">
        <f>IF(AND(A4273&lt;&gt;"",ISNUMBER(A4273)),VLOOKUP(A4273,Studies!A:BR,2,FALSE),"")</f>
        <v>Acocella 1984</v>
      </c>
      <c r="C4273" s="232" t="str">
        <f>IF(AND(A4273&lt;&gt;"",ISNUMBER(A4273)),VLOOKUP(A4273,Studies!A:BR,3,FALSE),"")</f>
        <v>https://www.ncbi.nlm.nih.gov/pubmed/6473487</v>
      </c>
      <c r="D4273" s="232" t="str">
        <f>IF(AND(A4273&lt;&gt;"",ISNUMBER(A4273)),VLOOKUP(A4273,Studies!A:BR,4,FALSE),"")</f>
        <v>Individual 3 (600 mg, 2 h infusion)</v>
      </c>
      <c r="E4273" s="206" t="str">
        <f>IF(AND(A4273&lt;&gt;"",ISNUMBER(A4273)),VLOOKUP(A4273,Studies!A:BR,5,FALSE),"")</f>
        <v>Rifampicin</v>
      </c>
      <c r="F4273" s="207" t="str">
        <f>IF(AND(A4273&lt;&gt;"",ISNUMBER(A4273)),VLOOKUP(A4273,Studies!A:BR,6,FALSE),"")</f>
        <v>Serum</v>
      </c>
      <c r="G4273" s="194">
        <v>0.5</v>
      </c>
      <c r="H4273" s="194" t="s">
        <v>60</v>
      </c>
      <c r="I4273" s="187">
        <v>1.87</v>
      </c>
      <c r="J4273" s="187" t="s">
        <v>1054</v>
      </c>
      <c r="K4273" s="187" t="s">
        <v>264</v>
      </c>
      <c r="L4273" s="195"/>
      <c r="M4273" s="195"/>
      <c r="N4273" s="195"/>
      <c r="O4273" s="199"/>
      <c r="P4273" s="188"/>
    </row>
    <row r="4274" spans="1:16" s="183" customFormat="1" x14ac:dyDescent="0.2">
      <c r="A4274" s="189">
        <v>32</v>
      </c>
      <c r="B4274" s="232" t="str">
        <f>IF(AND(A4274&lt;&gt;"",ISNUMBER(A4274)),VLOOKUP(A4274,Studies!A:BR,2,FALSE),"")</f>
        <v>Acocella 1984</v>
      </c>
      <c r="C4274" s="232" t="str">
        <f>IF(AND(A4274&lt;&gt;"",ISNUMBER(A4274)),VLOOKUP(A4274,Studies!A:BR,3,FALSE),"")</f>
        <v>https://www.ncbi.nlm.nih.gov/pubmed/6473487</v>
      </c>
      <c r="D4274" s="232" t="str">
        <f>IF(AND(A4274&lt;&gt;"",ISNUMBER(A4274)),VLOOKUP(A4274,Studies!A:BR,4,FALSE),"")</f>
        <v>Individual 3 (600 mg, 2 h infusion)</v>
      </c>
      <c r="E4274" s="206" t="str">
        <f>IF(AND(A4274&lt;&gt;"",ISNUMBER(A4274)),VLOOKUP(A4274,Studies!A:BR,5,FALSE),"")</f>
        <v>Rifampicin</v>
      </c>
      <c r="F4274" s="207" t="str">
        <f>IF(AND(A4274&lt;&gt;"",ISNUMBER(A4274)),VLOOKUP(A4274,Studies!A:BR,6,FALSE),"")</f>
        <v>Serum</v>
      </c>
      <c r="G4274" s="194">
        <v>1</v>
      </c>
      <c r="H4274" s="194" t="s">
        <v>60</v>
      </c>
      <c r="I4274" s="187">
        <v>3.39</v>
      </c>
      <c r="J4274" s="187" t="s">
        <v>1054</v>
      </c>
      <c r="K4274" s="187" t="s">
        <v>264</v>
      </c>
      <c r="L4274" s="195"/>
      <c r="M4274" s="195"/>
      <c r="N4274" s="195"/>
      <c r="O4274" s="199"/>
      <c r="P4274" s="188"/>
    </row>
    <row r="4275" spans="1:16" s="183" customFormat="1" x14ac:dyDescent="0.2">
      <c r="A4275" s="189">
        <v>32</v>
      </c>
      <c r="B4275" s="232" t="str">
        <f>IF(AND(A4275&lt;&gt;"",ISNUMBER(A4275)),VLOOKUP(A4275,Studies!A:BR,2,FALSE),"")</f>
        <v>Acocella 1984</v>
      </c>
      <c r="C4275" s="232" t="str">
        <f>IF(AND(A4275&lt;&gt;"",ISNUMBER(A4275)),VLOOKUP(A4275,Studies!A:BR,3,FALSE),"")</f>
        <v>https://www.ncbi.nlm.nih.gov/pubmed/6473487</v>
      </c>
      <c r="D4275" s="232" t="str">
        <f>IF(AND(A4275&lt;&gt;"",ISNUMBER(A4275)),VLOOKUP(A4275,Studies!A:BR,4,FALSE),"")</f>
        <v>Individual 3 (600 mg, 2 h infusion)</v>
      </c>
      <c r="E4275" s="206" t="str">
        <f>IF(AND(A4275&lt;&gt;"",ISNUMBER(A4275)),VLOOKUP(A4275,Studies!A:BR,5,FALSE),"")</f>
        <v>Rifampicin</v>
      </c>
      <c r="F4275" s="207" t="str">
        <f>IF(AND(A4275&lt;&gt;"",ISNUMBER(A4275)),VLOOKUP(A4275,Studies!A:BR,6,FALSE),"")</f>
        <v>Serum</v>
      </c>
      <c r="G4275" s="194">
        <v>1.5</v>
      </c>
      <c r="H4275" s="194" t="s">
        <v>60</v>
      </c>
      <c r="I4275" s="187">
        <v>5.96</v>
      </c>
      <c r="J4275" s="187" t="s">
        <v>1054</v>
      </c>
      <c r="K4275" s="187" t="s">
        <v>264</v>
      </c>
      <c r="L4275" s="195"/>
      <c r="M4275" s="195"/>
      <c r="N4275" s="195"/>
      <c r="O4275" s="199"/>
      <c r="P4275" s="188"/>
    </row>
    <row r="4276" spans="1:16" s="183" customFormat="1" x14ac:dyDescent="0.2">
      <c r="A4276" s="189">
        <v>32</v>
      </c>
      <c r="B4276" s="232" t="str">
        <f>IF(AND(A4276&lt;&gt;"",ISNUMBER(A4276)),VLOOKUP(A4276,Studies!A:BR,2,FALSE),"")</f>
        <v>Acocella 1984</v>
      </c>
      <c r="C4276" s="232" t="str">
        <f>IF(AND(A4276&lt;&gt;"",ISNUMBER(A4276)),VLOOKUP(A4276,Studies!A:BR,3,FALSE),"")</f>
        <v>https://www.ncbi.nlm.nih.gov/pubmed/6473487</v>
      </c>
      <c r="D4276" s="232" t="str">
        <f>IF(AND(A4276&lt;&gt;"",ISNUMBER(A4276)),VLOOKUP(A4276,Studies!A:BR,4,FALSE),"")</f>
        <v>Individual 3 (600 mg, 2 h infusion)</v>
      </c>
      <c r="E4276" s="206" t="str">
        <f>IF(AND(A4276&lt;&gt;"",ISNUMBER(A4276)),VLOOKUP(A4276,Studies!A:BR,5,FALSE),"")</f>
        <v>Rifampicin</v>
      </c>
      <c r="F4276" s="207" t="str">
        <f>IF(AND(A4276&lt;&gt;"",ISNUMBER(A4276)),VLOOKUP(A4276,Studies!A:BR,6,FALSE),"")</f>
        <v>Serum</v>
      </c>
      <c r="G4276" s="194">
        <v>2</v>
      </c>
      <c r="H4276" s="194" t="s">
        <v>60</v>
      </c>
      <c r="I4276" s="187">
        <v>9.39</v>
      </c>
      <c r="J4276" s="187" t="s">
        <v>1054</v>
      </c>
      <c r="K4276" s="187" t="s">
        <v>264</v>
      </c>
      <c r="L4276" s="195"/>
      <c r="M4276" s="195"/>
      <c r="N4276" s="195"/>
      <c r="O4276" s="199"/>
      <c r="P4276" s="188"/>
    </row>
    <row r="4277" spans="1:16" s="183" customFormat="1" x14ac:dyDescent="0.2">
      <c r="A4277" s="189">
        <v>32</v>
      </c>
      <c r="B4277" s="232" t="str">
        <f>IF(AND(A4277&lt;&gt;"",ISNUMBER(A4277)),VLOOKUP(A4277,Studies!A:BR,2,FALSE),"")</f>
        <v>Acocella 1984</v>
      </c>
      <c r="C4277" s="232" t="str">
        <f>IF(AND(A4277&lt;&gt;"",ISNUMBER(A4277)),VLOOKUP(A4277,Studies!A:BR,3,FALSE),"")</f>
        <v>https://www.ncbi.nlm.nih.gov/pubmed/6473487</v>
      </c>
      <c r="D4277" s="232" t="str">
        <f>IF(AND(A4277&lt;&gt;"",ISNUMBER(A4277)),VLOOKUP(A4277,Studies!A:BR,4,FALSE),"")</f>
        <v>Individual 3 (600 mg, 2 h infusion)</v>
      </c>
      <c r="E4277" s="206" t="str">
        <f>IF(AND(A4277&lt;&gt;"",ISNUMBER(A4277)),VLOOKUP(A4277,Studies!A:BR,5,FALSE),"")</f>
        <v>Rifampicin</v>
      </c>
      <c r="F4277" s="207" t="str">
        <f>IF(AND(A4277&lt;&gt;"",ISNUMBER(A4277)),VLOOKUP(A4277,Studies!A:BR,6,FALSE),"")</f>
        <v>Serum</v>
      </c>
      <c r="G4277" s="194">
        <v>4</v>
      </c>
      <c r="H4277" s="194" t="s">
        <v>60</v>
      </c>
      <c r="I4277" s="187">
        <v>5.73</v>
      </c>
      <c r="J4277" s="187" t="s">
        <v>1054</v>
      </c>
      <c r="K4277" s="187" t="s">
        <v>264</v>
      </c>
      <c r="L4277" s="195"/>
      <c r="M4277" s="195"/>
      <c r="N4277" s="195"/>
      <c r="O4277" s="199"/>
      <c r="P4277" s="188"/>
    </row>
    <row r="4278" spans="1:16" s="183" customFormat="1" x14ac:dyDescent="0.2">
      <c r="A4278" s="189">
        <v>32</v>
      </c>
      <c r="B4278" s="232" t="str">
        <f>IF(AND(A4278&lt;&gt;"",ISNUMBER(A4278)),VLOOKUP(A4278,Studies!A:BR,2,FALSE),"")</f>
        <v>Acocella 1984</v>
      </c>
      <c r="C4278" s="232" t="str">
        <f>IF(AND(A4278&lt;&gt;"",ISNUMBER(A4278)),VLOOKUP(A4278,Studies!A:BR,3,FALSE),"")</f>
        <v>https://www.ncbi.nlm.nih.gov/pubmed/6473487</v>
      </c>
      <c r="D4278" s="232" t="str">
        <f>IF(AND(A4278&lt;&gt;"",ISNUMBER(A4278)),VLOOKUP(A4278,Studies!A:BR,4,FALSE),"")</f>
        <v>Individual 3 (600 mg, 2 h infusion)</v>
      </c>
      <c r="E4278" s="206" t="str">
        <f>IF(AND(A4278&lt;&gt;"",ISNUMBER(A4278)),VLOOKUP(A4278,Studies!A:BR,5,FALSE),"")</f>
        <v>Rifampicin</v>
      </c>
      <c r="F4278" s="207" t="str">
        <f>IF(AND(A4278&lt;&gt;"",ISNUMBER(A4278)),VLOOKUP(A4278,Studies!A:BR,6,FALSE),"")</f>
        <v>Serum</v>
      </c>
      <c r="G4278" s="194">
        <v>8</v>
      </c>
      <c r="H4278" s="194" t="s">
        <v>60</v>
      </c>
      <c r="I4278" s="187">
        <v>2.2400000000000002</v>
      </c>
      <c r="J4278" s="187" t="s">
        <v>1054</v>
      </c>
      <c r="K4278" s="187" t="s">
        <v>264</v>
      </c>
      <c r="L4278" s="195"/>
      <c r="M4278" s="195"/>
      <c r="N4278" s="195"/>
      <c r="O4278" s="199"/>
      <c r="P4278" s="188"/>
    </row>
    <row r="4279" spans="1:16" s="183" customFormat="1" x14ac:dyDescent="0.2">
      <c r="A4279" s="189">
        <v>33</v>
      </c>
      <c r="B4279" s="232" t="str">
        <f>IF(AND(A4279&lt;&gt;"",ISNUMBER(A4279)),VLOOKUP(A4279,Studies!A:BR,2,FALSE),"")</f>
        <v>Acocella 1984</v>
      </c>
      <c r="C4279" s="232" t="str">
        <f>IF(AND(A4279&lt;&gt;"",ISNUMBER(A4279)),VLOOKUP(A4279,Studies!A:BR,3,FALSE),"")</f>
        <v>https://www.ncbi.nlm.nih.gov/pubmed/6473487</v>
      </c>
      <c r="D4279" s="232" t="str">
        <f>IF(AND(A4279&lt;&gt;"",ISNUMBER(A4279)),VLOOKUP(A4279,Studies!A:BR,4,FALSE),"")</f>
        <v>Individual 4 (600 mg, 2 h infusion)</v>
      </c>
      <c r="E4279" s="206" t="str">
        <f>IF(AND(A4279&lt;&gt;"",ISNUMBER(A4279)),VLOOKUP(A4279,Studies!A:BR,5,FALSE),"")</f>
        <v>Rifampicin</v>
      </c>
      <c r="F4279" s="207" t="str">
        <f>IF(AND(A4279&lt;&gt;"",ISNUMBER(A4279)),VLOOKUP(A4279,Studies!A:BR,6,FALSE),"")</f>
        <v>Serum</v>
      </c>
      <c r="G4279" s="194">
        <v>0.17</v>
      </c>
      <c r="H4279" s="194" t="s">
        <v>60</v>
      </c>
      <c r="I4279" s="187">
        <v>1.1100000000000001</v>
      </c>
      <c r="J4279" s="187" t="s">
        <v>1054</v>
      </c>
      <c r="K4279" s="187" t="s">
        <v>264</v>
      </c>
      <c r="L4279" s="195"/>
      <c r="M4279" s="195"/>
      <c r="N4279" s="195"/>
      <c r="O4279" s="199"/>
      <c r="P4279" s="188"/>
    </row>
    <row r="4280" spans="1:16" s="183" customFormat="1" x14ac:dyDescent="0.2">
      <c r="A4280" s="189">
        <v>33</v>
      </c>
      <c r="B4280" s="232" t="str">
        <f>IF(AND(A4280&lt;&gt;"",ISNUMBER(A4280)),VLOOKUP(A4280,Studies!A:BR,2,FALSE),"")</f>
        <v>Acocella 1984</v>
      </c>
      <c r="C4280" s="232" t="str">
        <f>IF(AND(A4280&lt;&gt;"",ISNUMBER(A4280)),VLOOKUP(A4280,Studies!A:BR,3,FALSE),"")</f>
        <v>https://www.ncbi.nlm.nih.gov/pubmed/6473487</v>
      </c>
      <c r="D4280" s="232" t="str">
        <f>IF(AND(A4280&lt;&gt;"",ISNUMBER(A4280)),VLOOKUP(A4280,Studies!A:BR,4,FALSE),"")</f>
        <v>Individual 4 (600 mg, 2 h infusion)</v>
      </c>
      <c r="E4280" s="206" t="str">
        <f>IF(AND(A4280&lt;&gt;"",ISNUMBER(A4280)),VLOOKUP(A4280,Studies!A:BR,5,FALSE),"")</f>
        <v>Rifampicin</v>
      </c>
      <c r="F4280" s="207" t="str">
        <f>IF(AND(A4280&lt;&gt;"",ISNUMBER(A4280)),VLOOKUP(A4280,Studies!A:BR,6,FALSE),"")</f>
        <v>Serum</v>
      </c>
      <c r="G4280" s="194">
        <v>0.5</v>
      </c>
      <c r="H4280" s="194" t="s">
        <v>60</v>
      </c>
      <c r="I4280" s="187">
        <v>1.68</v>
      </c>
      <c r="J4280" s="187" t="s">
        <v>1054</v>
      </c>
      <c r="K4280" s="187" t="s">
        <v>264</v>
      </c>
      <c r="L4280" s="195"/>
      <c r="M4280" s="195"/>
      <c r="N4280" s="195"/>
      <c r="O4280" s="199"/>
      <c r="P4280" s="188"/>
    </row>
    <row r="4281" spans="1:16" s="183" customFormat="1" x14ac:dyDescent="0.2">
      <c r="A4281" s="189">
        <v>33</v>
      </c>
      <c r="B4281" s="232" t="str">
        <f>IF(AND(A4281&lt;&gt;"",ISNUMBER(A4281)),VLOOKUP(A4281,Studies!A:BR,2,FALSE),"")</f>
        <v>Acocella 1984</v>
      </c>
      <c r="C4281" s="232" t="str">
        <f>IF(AND(A4281&lt;&gt;"",ISNUMBER(A4281)),VLOOKUP(A4281,Studies!A:BR,3,FALSE),"")</f>
        <v>https://www.ncbi.nlm.nih.gov/pubmed/6473487</v>
      </c>
      <c r="D4281" s="232" t="str">
        <f>IF(AND(A4281&lt;&gt;"",ISNUMBER(A4281)),VLOOKUP(A4281,Studies!A:BR,4,FALSE),"")</f>
        <v>Individual 4 (600 mg, 2 h infusion)</v>
      </c>
      <c r="E4281" s="206" t="str">
        <f>IF(AND(A4281&lt;&gt;"",ISNUMBER(A4281)),VLOOKUP(A4281,Studies!A:BR,5,FALSE),"")</f>
        <v>Rifampicin</v>
      </c>
      <c r="F4281" s="207" t="str">
        <f>IF(AND(A4281&lt;&gt;"",ISNUMBER(A4281)),VLOOKUP(A4281,Studies!A:BR,6,FALSE),"")</f>
        <v>Serum</v>
      </c>
      <c r="G4281" s="194">
        <v>1</v>
      </c>
      <c r="H4281" s="194" t="s">
        <v>60</v>
      </c>
      <c r="I4281" s="187">
        <v>1.97</v>
      </c>
      <c r="J4281" s="187" t="s">
        <v>1054</v>
      </c>
      <c r="K4281" s="187" t="s">
        <v>264</v>
      </c>
      <c r="L4281" s="195"/>
      <c r="M4281" s="195"/>
      <c r="N4281" s="195"/>
      <c r="O4281" s="199"/>
      <c r="P4281" s="188"/>
    </row>
    <row r="4282" spans="1:16" s="183" customFormat="1" x14ac:dyDescent="0.2">
      <c r="A4282" s="189">
        <v>33</v>
      </c>
      <c r="B4282" s="232" t="str">
        <f>IF(AND(A4282&lt;&gt;"",ISNUMBER(A4282)),VLOOKUP(A4282,Studies!A:BR,2,FALSE),"")</f>
        <v>Acocella 1984</v>
      </c>
      <c r="C4282" s="232" t="str">
        <f>IF(AND(A4282&lt;&gt;"",ISNUMBER(A4282)),VLOOKUP(A4282,Studies!A:BR,3,FALSE),"")</f>
        <v>https://www.ncbi.nlm.nih.gov/pubmed/6473487</v>
      </c>
      <c r="D4282" s="232" t="str">
        <f>IF(AND(A4282&lt;&gt;"",ISNUMBER(A4282)),VLOOKUP(A4282,Studies!A:BR,4,FALSE),"")</f>
        <v>Individual 4 (600 mg, 2 h infusion)</v>
      </c>
      <c r="E4282" s="206" t="str">
        <f>IF(AND(A4282&lt;&gt;"",ISNUMBER(A4282)),VLOOKUP(A4282,Studies!A:BR,5,FALSE),"")</f>
        <v>Rifampicin</v>
      </c>
      <c r="F4282" s="207" t="str">
        <f>IF(AND(A4282&lt;&gt;"",ISNUMBER(A4282)),VLOOKUP(A4282,Studies!A:BR,6,FALSE),"")</f>
        <v>Serum</v>
      </c>
      <c r="G4282" s="194">
        <v>1.5</v>
      </c>
      <c r="H4282" s="194" t="s">
        <v>60</v>
      </c>
      <c r="I4282" s="187">
        <v>3.49</v>
      </c>
      <c r="J4282" s="187" t="s">
        <v>1054</v>
      </c>
      <c r="K4282" s="187" t="s">
        <v>264</v>
      </c>
      <c r="L4282" s="195"/>
      <c r="M4282" s="195"/>
      <c r="N4282" s="195"/>
      <c r="O4282" s="199"/>
      <c r="P4282" s="188"/>
    </row>
    <row r="4283" spans="1:16" s="183" customFormat="1" x14ac:dyDescent="0.2">
      <c r="A4283" s="189">
        <v>33</v>
      </c>
      <c r="B4283" s="232" t="str">
        <f>IF(AND(A4283&lt;&gt;"",ISNUMBER(A4283)),VLOOKUP(A4283,Studies!A:BR,2,FALSE),"")</f>
        <v>Acocella 1984</v>
      </c>
      <c r="C4283" s="232" t="str">
        <f>IF(AND(A4283&lt;&gt;"",ISNUMBER(A4283)),VLOOKUP(A4283,Studies!A:BR,3,FALSE),"")</f>
        <v>https://www.ncbi.nlm.nih.gov/pubmed/6473487</v>
      </c>
      <c r="D4283" s="232" t="str">
        <f>IF(AND(A4283&lt;&gt;"",ISNUMBER(A4283)),VLOOKUP(A4283,Studies!A:BR,4,FALSE),"")</f>
        <v>Individual 4 (600 mg, 2 h infusion)</v>
      </c>
      <c r="E4283" s="206" t="str">
        <f>IF(AND(A4283&lt;&gt;"",ISNUMBER(A4283)),VLOOKUP(A4283,Studies!A:BR,5,FALSE),"")</f>
        <v>Rifampicin</v>
      </c>
      <c r="F4283" s="207" t="str">
        <f>IF(AND(A4283&lt;&gt;"",ISNUMBER(A4283)),VLOOKUP(A4283,Studies!A:BR,6,FALSE),"")</f>
        <v>Serum</v>
      </c>
      <c r="G4283" s="194">
        <v>2</v>
      </c>
      <c r="H4283" s="194" t="s">
        <v>60</v>
      </c>
      <c r="I4283" s="187">
        <v>6.41</v>
      </c>
      <c r="J4283" s="187" t="s">
        <v>1054</v>
      </c>
      <c r="K4283" s="187" t="s">
        <v>264</v>
      </c>
      <c r="L4283" s="195"/>
      <c r="M4283" s="195"/>
      <c r="N4283" s="195"/>
      <c r="O4283" s="199"/>
      <c r="P4283" s="188"/>
    </row>
    <row r="4284" spans="1:16" s="183" customFormat="1" x14ac:dyDescent="0.2">
      <c r="A4284" s="189">
        <v>33</v>
      </c>
      <c r="B4284" s="232" t="str">
        <f>IF(AND(A4284&lt;&gt;"",ISNUMBER(A4284)),VLOOKUP(A4284,Studies!A:BR,2,FALSE),"")</f>
        <v>Acocella 1984</v>
      </c>
      <c r="C4284" s="232" t="str">
        <f>IF(AND(A4284&lt;&gt;"",ISNUMBER(A4284)),VLOOKUP(A4284,Studies!A:BR,3,FALSE),"")</f>
        <v>https://www.ncbi.nlm.nih.gov/pubmed/6473487</v>
      </c>
      <c r="D4284" s="232" t="str">
        <f>IF(AND(A4284&lt;&gt;"",ISNUMBER(A4284)),VLOOKUP(A4284,Studies!A:BR,4,FALSE),"")</f>
        <v>Individual 4 (600 mg, 2 h infusion)</v>
      </c>
      <c r="E4284" s="206" t="str">
        <f>IF(AND(A4284&lt;&gt;"",ISNUMBER(A4284)),VLOOKUP(A4284,Studies!A:BR,5,FALSE),"")</f>
        <v>Rifampicin</v>
      </c>
      <c r="F4284" s="207" t="str">
        <f>IF(AND(A4284&lt;&gt;"",ISNUMBER(A4284)),VLOOKUP(A4284,Studies!A:BR,6,FALSE),"")</f>
        <v>Serum</v>
      </c>
      <c r="G4284" s="194">
        <v>4</v>
      </c>
      <c r="H4284" s="194" t="s">
        <v>60</v>
      </c>
      <c r="I4284" s="187">
        <v>1.7</v>
      </c>
      <c r="J4284" s="187" t="s">
        <v>1054</v>
      </c>
      <c r="K4284" s="187" t="s">
        <v>264</v>
      </c>
      <c r="L4284" s="195"/>
      <c r="M4284" s="195"/>
      <c r="N4284" s="195"/>
      <c r="O4284" s="199"/>
      <c r="P4284" s="188"/>
    </row>
    <row r="4285" spans="1:16" s="183" customFormat="1" x14ac:dyDescent="0.2">
      <c r="A4285" s="189">
        <v>33</v>
      </c>
      <c r="B4285" s="232" t="str">
        <f>IF(AND(A4285&lt;&gt;"",ISNUMBER(A4285)),VLOOKUP(A4285,Studies!A:BR,2,FALSE),"")</f>
        <v>Acocella 1984</v>
      </c>
      <c r="C4285" s="232" t="str">
        <f>IF(AND(A4285&lt;&gt;"",ISNUMBER(A4285)),VLOOKUP(A4285,Studies!A:BR,3,FALSE),"")</f>
        <v>https://www.ncbi.nlm.nih.gov/pubmed/6473487</v>
      </c>
      <c r="D4285" s="232" t="str">
        <f>IF(AND(A4285&lt;&gt;"",ISNUMBER(A4285)),VLOOKUP(A4285,Studies!A:BR,4,FALSE),"")</f>
        <v>Individual 4 (600 mg, 2 h infusion)</v>
      </c>
      <c r="E4285" s="206" t="str">
        <f>IF(AND(A4285&lt;&gt;"",ISNUMBER(A4285)),VLOOKUP(A4285,Studies!A:BR,5,FALSE),"")</f>
        <v>Rifampicin</v>
      </c>
      <c r="F4285" s="207" t="str">
        <f>IF(AND(A4285&lt;&gt;"",ISNUMBER(A4285)),VLOOKUP(A4285,Studies!A:BR,6,FALSE),"")</f>
        <v>Serum</v>
      </c>
      <c r="G4285" s="194">
        <v>8</v>
      </c>
      <c r="H4285" s="194" t="s">
        <v>60</v>
      </c>
      <c r="I4285" s="187">
        <v>0.27</v>
      </c>
      <c r="J4285" s="187" t="s">
        <v>1054</v>
      </c>
      <c r="K4285" s="187" t="s">
        <v>264</v>
      </c>
      <c r="L4285" s="195"/>
      <c r="M4285" s="195"/>
      <c r="N4285" s="195"/>
      <c r="O4285" s="199"/>
      <c r="P4285" s="188"/>
    </row>
    <row r="4286" spans="1:16" s="183" customFormat="1" x14ac:dyDescent="0.2">
      <c r="A4286" s="189">
        <v>34</v>
      </c>
      <c r="B4286" s="232" t="str">
        <f>IF(AND(A4286&lt;&gt;"",ISNUMBER(A4286)),VLOOKUP(A4286,Studies!A:BR,2,FALSE),"")</f>
        <v>Acocella 1984</v>
      </c>
      <c r="C4286" s="232" t="str">
        <f>IF(AND(A4286&lt;&gt;"",ISNUMBER(A4286)),VLOOKUP(A4286,Studies!A:BR,3,FALSE),"")</f>
        <v>https://www.ncbi.nlm.nih.gov/pubmed/6473487</v>
      </c>
      <c r="D4286" s="232" t="str">
        <f>IF(AND(A4286&lt;&gt;"",ISNUMBER(A4286)),VLOOKUP(A4286,Studies!A:BR,4,FALSE),"")</f>
        <v>Individual 5 (600 mg, 1 h infusion)</v>
      </c>
      <c r="E4286" s="206" t="str">
        <f>IF(AND(A4286&lt;&gt;"",ISNUMBER(A4286)),VLOOKUP(A4286,Studies!A:BR,5,FALSE),"")</f>
        <v>Rifampicin</v>
      </c>
      <c r="F4286" s="207" t="str">
        <f>IF(AND(A4286&lt;&gt;"",ISNUMBER(A4286)),VLOOKUP(A4286,Studies!A:BR,6,FALSE),"")</f>
        <v>Serum</v>
      </c>
      <c r="G4286" s="194">
        <v>0.17</v>
      </c>
      <c r="H4286" s="194" t="s">
        <v>60</v>
      </c>
      <c r="I4286" s="187">
        <v>5.19</v>
      </c>
      <c r="J4286" s="187" t="s">
        <v>1054</v>
      </c>
      <c r="K4286" s="187" t="s">
        <v>264</v>
      </c>
      <c r="L4286" s="195"/>
      <c r="M4286" s="195"/>
      <c r="N4286" s="195"/>
      <c r="O4286" s="199"/>
      <c r="P4286" s="188"/>
    </row>
    <row r="4287" spans="1:16" s="183" customFormat="1" x14ac:dyDescent="0.2">
      <c r="A4287" s="189">
        <v>34</v>
      </c>
      <c r="B4287" s="232" t="str">
        <f>IF(AND(A4287&lt;&gt;"",ISNUMBER(A4287)),VLOOKUP(A4287,Studies!A:BR,2,FALSE),"")</f>
        <v>Acocella 1984</v>
      </c>
      <c r="C4287" s="232" t="str">
        <f>IF(AND(A4287&lt;&gt;"",ISNUMBER(A4287)),VLOOKUP(A4287,Studies!A:BR,3,FALSE),"")</f>
        <v>https://www.ncbi.nlm.nih.gov/pubmed/6473487</v>
      </c>
      <c r="D4287" s="232" t="str">
        <f>IF(AND(A4287&lt;&gt;"",ISNUMBER(A4287)),VLOOKUP(A4287,Studies!A:BR,4,FALSE),"")</f>
        <v>Individual 5 (600 mg, 1 h infusion)</v>
      </c>
      <c r="E4287" s="206" t="str">
        <f>IF(AND(A4287&lt;&gt;"",ISNUMBER(A4287)),VLOOKUP(A4287,Studies!A:BR,5,FALSE),"")</f>
        <v>Rifampicin</v>
      </c>
      <c r="F4287" s="207" t="str">
        <f>IF(AND(A4287&lt;&gt;"",ISNUMBER(A4287)),VLOOKUP(A4287,Studies!A:BR,6,FALSE),"")</f>
        <v>Serum</v>
      </c>
      <c r="G4287" s="194">
        <v>0.5</v>
      </c>
      <c r="H4287" s="194" t="s">
        <v>60</v>
      </c>
      <c r="I4287" s="187">
        <v>10.48</v>
      </c>
      <c r="J4287" s="187" t="s">
        <v>1054</v>
      </c>
      <c r="K4287" s="187" t="s">
        <v>264</v>
      </c>
      <c r="L4287" s="195"/>
      <c r="M4287" s="195"/>
      <c r="N4287" s="195"/>
      <c r="O4287" s="199"/>
      <c r="P4287" s="188"/>
    </row>
    <row r="4288" spans="1:16" s="183" customFormat="1" x14ac:dyDescent="0.2">
      <c r="A4288" s="189">
        <v>34</v>
      </c>
      <c r="B4288" s="232" t="str">
        <f>IF(AND(A4288&lt;&gt;"",ISNUMBER(A4288)),VLOOKUP(A4288,Studies!A:BR,2,FALSE),"")</f>
        <v>Acocella 1984</v>
      </c>
      <c r="C4288" s="232" t="str">
        <f>IF(AND(A4288&lt;&gt;"",ISNUMBER(A4288)),VLOOKUP(A4288,Studies!A:BR,3,FALSE),"")</f>
        <v>https://www.ncbi.nlm.nih.gov/pubmed/6473487</v>
      </c>
      <c r="D4288" s="232" t="str">
        <f>IF(AND(A4288&lt;&gt;"",ISNUMBER(A4288)),VLOOKUP(A4288,Studies!A:BR,4,FALSE),"")</f>
        <v>Individual 5 (600 mg, 1 h infusion)</v>
      </c>
      <c r="E4288" s="206" t="str">
        <f>IF(AND(A4288&lt;&gt;"",ISNUMBER(A4288)),VLOOKUP(A4288,Studies!A:BR,5,FALSE),"")</f>
        <v>Rifampicin</v>
      </c>
      <c r="F4288" s="207" t="str">
        <f>IF(AND(A4288&lt;&gt;"",ISNUMBER(A4288)),VLOOKUP(A4288,Studies!A:BR,6,FALSE),"")</f>
        <v>Serum</v>
      </c>
      <c r="G4288" s="194">
        <v>1</v>
      </c>
      <c r="H4288" s="194" t="s">
        <v>60</v>
      </c>
      <c r="I4288" s="187">
        <v>13.81</v>
      </c>
      <c r="J4288" s="187" t="s">
        <v>1054</v>
      </c>
      <c r="K4288" s="187" t="s">
        <v>264</v>
      </c>
      <c r="L4288" s="195"/>
      <c r="M4288" s="195"/>
      <c r="N4288" s="195"/>
      <c r="O4288" s="199"/>
      <c r="P4288" s="188"/>
    </row>
    <row r="4289" spans="1:16" s="183" customFormat="1" x14ac:dyDescent="0.2">
      <c r="A4289" s="189">
        <v>34</v>
      </c>
      <c r="B4289" s="232" t="str">
        <f>IF(AND(A4289&lt;&gt;"",ISNUMBER(A4289)),VLOOKUP(A4289,Studies!A:BR,2,FALSE),"")</f>
        <v>Acocella 1984</v>
      </c>
      <c r="C4289" s="232" t="str">
        <f>IF(AND(A4289&lt;&gt;"",ISNUMBER(A4289)),VLOOKUP(A4289,Studies!A:BR,3,FALSE),"")</f>
        <v>https://www.ncbi.nlm.nih.gov/pubmed/6473487</v>
      </c>
      <c r="D4289" s="232" t="str">
        <f>IF(AND(A4289&lt;&gt;"",ISNUMBER(A4289)),VLOOKUP(A4289,Studies!A:BR,4,FALSE),"")</f>
        <v>Individual 5 (600 mg, 1 h infusion)</v>
      </c>
      <c r="E4289" s="206" t="str">
        <f>IF(AND(A4289&lt;&gt;"",ISNUMBER(A4289)),VLOOKUP(A4289,Studies!A:BR,5,FALSE),"")</f>
        <v>Rifampicin</v>
      </c>
      <c r="F4289" s="207" t="str">
        <f>IF(AND(A4289&lt;&gt;"",ISNUMBER(A4289)),VLOOKUP(A4289,Studies!A:BR,6,FALSE),"")</f>
        <v>Serum</v>
      </c>
      <c r="G4289" s="194">
        <v>1.5</v>
      </c>
      <c r="H4289" s="194" t="s">
        <v>60</v>
      </c>
      <c r="I4289" s="187">
        <v>12.2</v>
      </c>
      <c r="J4289" s="187" t="s">
        <v>1054</v>
      </c>
      <c r="K4289" s="187" t="s">
        <v>264</v>
      </c>
      <c r="L4289" s="195"/>
      <c r="M4289" s="195"/>
      <c r="N4289" s="195"/>
      <c r="O4289" s="199"/>
      <c r="P4289" s="188"/>
    </row>
    <row r="4290" spans="1:16" s="183" customFormat="1" x14ac:dyDescent="0.2">
      <c r="A4290" s="189">
        <v>34</v>
      </c>
      <c r="B4290" s="232" t="str">
        <f>IF(AND(A4290&lt;&gt;"",ISNUMBER(A4290)),VLOOKUP(A4290,Studies!A:BR,2,FALSE),"")</f>
        <v>Acocella 1984</v>
      </c>
      <c r="C4290" s="232" t="str">
        <f>IF(AND(A4290&lt;&gt;"",ISNUMBER(A4290)),VLOOKUP(A4290,Studies!A:BR,3,FALSE),"")</f>
        <v>https://www.ncbi.nlm.nih.gov/pubmed/6473487</v>
      </c>
      <c r="D4290" s="232" t="str">
        <f>IF(AND(A4290&lt;&gt;"",ISNUMBER(A4290)),VLOOKUP(A4290,Studies!A:BR,4,FALSE),"")</f>
        <v>Individual 5 (600 mg, 1 h infusion)</v>
      </c>
      <c r="E4290" s="206" t="str">
        <f>IF(AND(A4290&lt;&gt;"",ISNUMBER(A4290)),VLOOKUP(A4290,Studies!A:BR,5,FALSE),"")</f>
        <v>Rifampicin</v>
      </c>
      <c r="F4290" s="207" t="str">
        <f>IF(AND(A4290&lt;&gt;"",ISNUMBER(A4290)),VLOOKUP(A4290,Studies!A:BR,6,FALSE),"")</f>
        <v>Serum</v>
      </c>
      <c r="G4290" s="194">
        <v>2</v>
      </c>
      <c r="H4290" s="194" t="s">
        <v>60</v>
      </c>
      <c r="I4290" s="187">
        <v>10.48</v>
      </c>
      <c r="J4290" s="187" t="s">
        <v>1054</v>
      </c>
      <c r="K4290" s="187" t="s">
        <v>264</v>
      </c>
      <c r="L4290" s="195"/>
      <c r="M4290" s="195"/>
      <c r="N4290" s="195"/>
      <c r="O4290" s="199"/>
      <c r="P4290" s="188"/>
    </row>
    <row r="4291" spans="1:16" s="183" customFormat="1" x14ac:dyDescent="0.2">
      <c r="A4291" s="189">
        <v>34</v>
      </c>
      <c r="B4291" s="232" t="str">
        <f>IF(AND(A4291&lt;&gt;"",ISNUMBER(A4291)),VLOOKUP(A4291,Studies!A:BR,2,FALSE),"")</f>
        <v>Acocella 1984</v>
      </c>
      <c r="C4291" s="232" t="str">
        <f>IF(AND(A4291&lt;&gt;"",ISNUMBER(A4291)),VLOOKUP(A4291,Studies!A:BR,3,FALSE),"")</f>
        <v>https://www.ncbi.nlm.nih.gov/pubmed/6473487</v>
      </c>
      <c r="D4291" s="232" t="str">
        <f>IF(AND(A4291&lt;&gt;"",ISNUMBER(A4291)),VLOOKUP(A4291,Studies!A:BR,4,FALSE),"")</f>
        <v>Individual 5 (600 mg, 1 h infusion)</v>
      </c>
      <c r="E4291" s="206" t="str">
        <f>IF(AND(A4291&lt;&gt;"",ISNUMBER(A4291)),VLOOKUP(A4291,Studies!A:BR,5,FALSE),"")</f>
        <v>Rifampicin</v>
      </c>
      <c r="F4291" s="207" t="str">
        <f>IF(AND(A4291&lt;&gt;"",ISNUMBER(A4291)),VLOOKUP(A4291,Studies!A:BR,6,FALSE),"")</f>
        <v>Serum</v>
      </c>
      <c r="G4291" s="194">
        <v>4</v>
      </c>
      <c r="H4291" s="194" t="s">
        <v>60</v>
      </c>
      <c r="I4291" s="187">
        <v>8.85</v>
      </c>
      <c r="J4291" s="187" t="s">
        <v>1054</v>
      </c>
      <c r="K4291" s="187" t="s">
        <v>264</v>
      </c>
      <c r="L4291" s="195"/>
      <c r="M4291" s="195"/>
      <c r="N4291" s="195"/>
      <c r="O4291" s="199"/>
      <c r="P4291" s="188"/>
    </row>
    <row r="4292" spans="1:16" s="183" customFormat="1" x14ac:dyDescent="0.2">
      <c r="A4292" s="189">
        <v>34</v>
      </c>
      <c r="B4292" s="232" t="str">
        <f>IF(AND(A4292&lt;&gt;"",ISNUMBER(A4292)),VLOOKUP(A4292,Studies!A:BR,2,FALSE),"")</f>
        <v>Acocella 1984</v>
      </c>
      <c r="C4292" s="232" t="str">
        <f>IF(AND(A4292&lt;&gt;"",ISNUMBER(A4292)),VLOOKUP(A4292,Studies!A:BR,3,FALSE),"")</f>
        <v>https://www.ncbi.nlm.nih.gov/pubmed/6473487</v>
      </c>
      <c r="D4292" s="232" t="str">
        <f>IF(AND(A4292&lt;&gt;"",ISNUMBER(A4292)),VLOOKUP(A4292,Studies!A:BR,4,FALSE),"")</f>
        <v>Individual 5 (600 mg, 1 h infusion)</v>
      </c>
      <c r="E4292" s="206" t="str">
        <f>IF(AND(A4292&lt;&gt;"",ISNUMBER(A4292)),VLOOKUP(A4292,Studies!A:BR,5,FALSE),"")</f>
        <v>Rifampicin</v>
      </c>
      <c r="F4292" s="207" t="str">
        <f>IF(AND(A4292&lt;&gt;"",ISNUMBER(A4292)),VLOOKUP(A4292,Studies!A:BR,6,FALSE),"")</f>
        <v>Serum</v>
      </c>
      <c r="G4292" s="194">
        <v>8</v>
      </c>
      <c r="H4292" s="194" t="s">
        <v>60</v>
      </c>
      <c r="I4292" s="187">
        <v>3.59</v>
      </c>
      <c r="J4292" s="187" t="s">
        <v>1054</v>
      </c>
      <c r="K4292" s="187" t="s">
        <v>264</v>
      </c>
      <c r="L4292" s="195"/>
      <c r="M4292" s="195"/>
      <c r="N4292" s="195"/>
      <c r="O4292" s="199"/>
      <c r="P4292" s="188"/>
    </row>
    <row r="4293" spans="1:16" s="183" customFormat="1" x14ac:dyDescent="0.2">
      <c r="A4293" s="189">
        <v>35</v>
      </c>
      <c r="B4293" s="232" t="str">
        <f>IF(AND(A4293&lt;&gt;"",ISNUMBER(A4293)),VLOOKUP(A4293,Studies!A:BR,2,FALSE),"")</f>
        <v>Acocella 1984</v>
      </c>
      <c r="C4293" s="232" t="str">
        <f>IF(AND(A4293&lt;&gt;"",ISNUMBER(A4293)),VLOOKUP(A4293,Studies!A:BR,3,FALSE),"")</f>
        <v>https://www.ncbi.nlm.nih.gov/pubmed/6473487</v>
      </c>
      <c r="D4293" s="232" t="str">
        <f>IF(AND(A4293&lt;&gt;"",ISNUMBER(A4293)),VLOOKUP(A4293,Studies!A:BR,4,FALSE),"")</f>
        <v>Individual 6 (600 mg, 1 h infusion)</v>
      </c>
      <c r="E4293" s="206" t="str">
        <f>IF(AND(A4293&lt;&gt;"",ISNUMBER(A4293)),VLOOKUP(A4293,Studies!A:BR,5,FALSE),"")</f>
        <v>Rifampicin</v>
      </c>
      <c r="F4293" s="207" t="str">
        <f>IF(AND(A4293&lt;&gt;"",ISNUMBER(A4293)),VLOOKUP(A4293,Studies!A:BR,6,FALSE),"")</f>
        <v>Serum</v>
      </c>
      <c r="G4293" s="194">
        <v>0.17</v>
      </c>
      <c r="H4293" s="194" t="s">
        <v>60</v>
      </c>
      <c r="I4293" s="187">
        <v>5.71</v>
      </c>
      <c r="J4293" s="187" t="s">
        <v>1054</v>
      </c>
      <c r="K4293" s="187" t="s">
        <v>264</v>
      </c>
      <c r="L4293" s="195"/>
      <c r="M4293" s="195"/>
      <c r="N4293" s="195"/>
      <c r="O4293" s="199"/>
      <c r="P4293" s="188"/>
    </row>
    <row r="4294" spans="1:16" s="183" customFormat="1" x14ac:dyDescent="0.2">
      <c r="A4294" s="189">
        <v>35</v>
      </c>
      <c r="B4294" s="232" t="str">
        <f>IF(AND(A4294&lt;&gt;"",ISNUMBER(A4294)),VLOOKUP(A4294,Studies!A:BR,2,FALSE),"")</f>
        <v>Acocella 1984</v>
      </c>
      <c r="C4294" s="232" t="str">
        <f>IF(AND(A4294&lt;&gt;"",ISNUMBER(A4294)),VLOOKUP(A4294,Studies!A:BR,3,FALSE),"")</f>
        <v>https://www.ncbi.nlm.nih.gov/pubmed/6473487</v>
      </c>
      <c r="D4294" s="232" t="str">
        <f>IF(AND(A4294&lt;&gt;"",ISNUMBER(A4294)),VLOOKUP(A4294,Studies!A:BR,4,FALSE),"")</f>
        <v>Individual 6 (600 mg, 1 h infusion)</v>
      </c>
      <c r="E4294" s="206" t="str">
        <f>IF(AND(A4294&lt;&gt;"",ISNUMBER(A4294)),VLOOKUP(A4294,Studies!A:BR,5,FALSE),"")</f>
        <v>Rifampicin</v>
      </c>
      <c r="F4294" s="207" t="str">
        <f>IF(AND(A4294&lt;&gt;"",ISNUMBER(A4294)),VLOOKUP(A4294,Studies!A:BR,6,FALSE),"")</f>
        <v>Serum</v>
      </c>
      <c r="G4294" s="194">
        <v>0.5</v>
      </c>
      <c r="H4294" s="194" t="s">
        <v>60</v>
      </c>
      <c r="I4294" s="187">
        <v>11.99</v>
      </c>
      <c r="J4294" s="187" t="s">
        <v>1054</v>
      </c>
      <c r="K4294" s="187" t="s">
        <v>264</v>
      </c>
      <c r="L4294" s="195"/>
      <c r="M4294" s="195"/>
      <c r="N4294" s="195"/>
      <c r="O4294" s="199"/>
      <c r="P4294" s="188"/>
    </row>
    <row r="4295" spans="1:16" s="183" customFormat="1" x14ac:dyDescent="0.2">
      <c r="A4295" s="189">
        <v>35</v>
      </c>
      <c r="B4295" s="232" t="str">
        <f>IF(AND(A4295&lt;&gt;"",ISNUMBER(A4295)),VLOOKUP(A4295,Studies!A:BR,2,FALSE),"")</f>
        <v>Acocella 1984</v>
      </c>
      <c r="C4295" s="232" t="str">
        <f>IF(AND(A4295&lt;&gt;"",ISNUMBER(A4295)),VLOOKUP(A4295,Studies!A:BR,3,FALSE),"")</f>
        <v>https://www.ncbi.nlm.nih.gov/pubmed/6473487</v>
      </c>
      <c r="D4295" s="232" t="str">
        <f>IF(AND(A4295&lt;&gt;"",ISNUMBER(A4295)),VLOOKUP(A4295,Studies!A:BR,4,FALSE),"")</f>
        <v>Individual 6 (600 mg, 1 h infusion)</v>
      </c>
      <c r="E4295" s="206" t="str">
        <f>IF(AND(A4295&lt;&gt;"",ISNUMBER(A4295)),VLOOKUP(A4295,Studies!A:BR,5,FALSE),"")</f>
        <v>Rifampicin</v>
      </c>
      <c r="F4295" s="207" t="str">
        <f>IF(AND(A4295&lt;&gt;"",ISNUMBER(A4295)),VLOOKUP(A4295,Studies!A:BR,6,FALSE),"")</f>
        <v>Serum</v>
      </c>
      <c r="G4295" s="194">
        <v>1</v>
      </c>
      <c r="H4295" s="194" t="s">
        <v>60</v>
      </c>
      <c r="I4295" s="187">
        <v>14.92</v>
      </c>
      <c r="J4295" s="187" t="s">
        <v>1054</v>
      </c>
      <c r="K4295" s="187" t="s">
        <v>264</v>
      </c>
      <c r="L4295" s="195"/>
      <c r="M4295" s="195"/>
      <c r="N4295" s="195"/>
      <c r="O4295" s="199"/>
      <c r="P4295" s="188"/>
    </row>
    <row r="4296" spans="1:16" s="183" customFormat="1" x14ac:dyDescent="0.2">
      <c r="A4296" s="189">
        <v>35</v>
      </c>
      <c r="B4296" s="232" t="str">
        <f>IF(AND(A4296&lt;&gt;"",ISNUMBER(A4296)),VLOOKUP(A4296,Studies!A:BR,2,FALSE),"")</f>
        <v>Acocella 1984</v>
      </c>
      <c r="C4296" s="232" t="str">
        <f>IF(AND(A4296&lt;&gt;"",ISNUMBER(A4296)),VLOOKUP(A4296,Studies!A:BR,3,FALSE),"")</f>
        <v>https://www.ncbi.nlm.nih.gov/pubmed/6473487</v>
      </c>
      <c r="D4296" s="232" t="str">
        <f>IF(AND(A4296&lt;&gt;"",ISNUMBER(A4296)),VLOOKUP(A4296,Studies!A:BR,4,FALSE),"")</f>
        <v>Individual 6 (600 mg, 1 h infusion)</v>
      </c>
      <c r="E4296" s="206" t="str">
        <f>IF(AND(A4296&lt;&gt;"",ISNUMBER(A4296)),VLOOKUP(A4296,Studies!A:BR,5,FALSE),"")</f>
        <v>Rifampicin</v>
      </c>
      <c r="F4296" s="207" t="str">
        <f>IF(AND(A4296&lt;&gt;"",ISNUMBER(A4296)),VLOOKUP(A4296,Studies!A:BR,6,FALSE),"")</f>
        <v>Serum</v>
      </c>
      <c r="G4296" s="194">
        <v>1.5</v>
      </c>
      <c r="H4296" s="194" t="s">
        <v>60</v>
      </c>
      <c r="I4296" s="187">
        <v>12.05</v>
      </c>
      <c r="J4296" s="187" t="s">
        <v>1054</v>
      </c>
      <c r="K4296" s="187" t="s">
        <v>264</v>
      </c>
      <c r="L4296" s="195"/>
      <c r="M4296" s="195"/>
      <c r="N4296" s="195"/>
      <c r="O4296" s="199"/>
      <c r="P4296" s="188"/>
    </row>
    <row r="4297" spans="1:16" s="183" customFormat="1" x14ac:dyDescent="0.2">
      <c r="A4297" s="189">
        <v>35</v>
      </c>
      <c r="B4297" s="232" t="str">
        <f>IF(AND(A4297&lt;&gt;"",ISNUMBER(A4297)),VLOOKUP(A4297,Studies!A:BR,2,FALSE),"")</f>
        <v>Acocella 1984</v>
      </c>
      <c r="C4297" s="232" t="str">
        <f>IF(AND(A4297&lt;&gt;"",ISNUMBER(A4297)),VLOOKUP(A4297,Studies!A:BR,3,FALSE),"")</f>
        <v>https://www.ncbi.nlm.nih.gov/pubmed/6473487</v>
      </c>
      <c r="D4297" s="232" t="str">
        <f>IF(AND(A4297&lt;&gt;"",ISNUMBER(A4297)),VLOOKUP(A4297,Studies!A:BR,4,FALSE),"")</f>
        <v>Individual 6 (600 mg, 1 h infusion)</v>
      </c>
      <c r="E4297" s="206" t="str">
        <f>IF(AND(A4297&lt;&gt;"",ISNUMBER(A4297)),VLOOKUP(A4297,Studies!A:BR,5,FALSE),"")</f>
        <v>Rifampicin</v>
      </c>
      <c r="F4297" s="207" t="str">
        <f>IF(AND(A4297&lt;&gt;"",ISNUMBER(A4297)),VLOOKUP(A4297,Studies!A:BR,6,FALSE),"")</f>
        <v>Serum</v>
      </c>
      <c r="G4297" s="194">
        <v>2</v>
      </c>
      <c r="H4297" s="194" t="s">
        <v>60</v>
      </c>
      <c r="I4297" s="187">
        <v>11.48</v>
      </c>
      <c r="J4297" s="187" t="s">
        <v>1054</v>
      </c>
      <c r="K4297" s="187" t="s">
        <v>264</v>
      </c>
      <c r="L4297" s="195"/>
      <c r="M4297" s="195"/>
      <c r="N4297" s="195"/>
      <c r="O4297" s="199"/>
      <c r="P4297" s="188"/>
    </row>
    <row r="4298" spans="1:16" s="183" customFormat="1" x14ac:dyDescent="0.2">
      <c r="A4298" s="189">
        <v>35</v>
      </c>
      <c r="B4298" s="232" t="str">
        <f>IF(AND(A4298&lt;&gt;"",ISNUMBER(A4298)),VLOOKUP(A4298,Studies!A:BR,2,FALSE),"")</f>
        <v>Acocella 1984</v>
      </c>
      <c r="C4298" s="232" t="str">
        <f>IF(AND(A4298&lt;&gt;"",ISNUMBER(A4298)),VLOOKUP(A4298,Studies!A:BR,3,FALSE),"")</f>
        <v>https://www.ncbi.nlm.nih.gov/pubmed/6473487</v>
      </c>
      <c r="D4298" s="232" t="str">
        <f>IF(AND(A4298&lt;&gt;"",ISNUMBER(A4298)),VLOOKUP(A4298,Studies!A:BR,4,FALSE),"")</f>
        <v>Individual 6 (600 mg, 1 h infusion)</v>
      </c>
      <c r="E4298" s="206" t="str">
        <f>IF(AND(A4298&lt;&gt;"",ISNUMBER(A4298)),VLOOKUP(A4298,Studies!A:BR,5,FALSE),"")</f>
        <v>Rifampicin</v>
      </c>
      <c r="F4298" s="207" t="str">
        <f>IF(AND(A4298&lt;&gt;"",ISNUMBER(A4298)),VLOOKUP(A4298,Studies!A:BR,6,FALSE),"")</f>
        <v>Serum</v>
      </c>
      <c r="G4298" s="194">
        <v>4</v>
      </c>
      <c r="H4298" s="194" t="s">
        <v>60</v>
      </c>
      <c r="I4298" s="187">
        <v>7.48</v>
      </c>
      <c r="J4298" s="187" t="s">
        <v>1054</v>
      </c>
      <c r="K4298" s="187" t="s">
        <v>264</v>
      </c>
      <c r="L4298" s="195"/>
      <c r="M4298" s="195"/>
      <c r="N4298" s="195"/>
      <c r="O4298" s="199"/>
      <c r="P4298" s="188"/>
    </row>
    <row r="4299" spans="1:16" s="183" customFormat="1" x14ac:dyDescent="0.2">
      <c r="A4299" s="189">
        <v>35</v>
      </c>
      <c r="B4299" s="232" t="str">
        <f>IF(AND(A4299&lt;&gt;"",ISNUMBER(A4299)),VLOOKUP(A4299,Studies!A:BR,2,FALSE),"")</f>
        <v>Acocella 1984</v>
      </c>
      <c r="C4299" s="232" t="str">
        <f>IF(AND(A4299&lt;&gt;"",ISNUMBER(A4299)),VLOOKUP(A4299,Studies!A:BR,3,FALSE),"")</f>
        <v>https://www.ncbi.nlm.nih.gov/pubmed/6473487</v>
      </c>
      <c r="D4299" s="232" t="str">
        <f>IF(AND(A4299&lt;&gt;"",ISNUMBER(A4299)),VLOOKUP(A4299,Studies!A:BR,4,FALSE),"")</f>
        <v>Individual 6 (600 mg, 1 h infusion)</v>
      </c>
      <c r="E4299" s="206" t="str">
        <f>IF(AND(A4299&lt;&gt;"",ISNUMBER(A4299)),VLOOKUP(A4299,Studies!A:BR,5,FALSE),"")</f>
        <v>Rifampicin</v>
      </c>
      <c r="F4299" s="207" t="str">
        <f>IF(AND(A4299&lt;&gt;"",ISNUMBER(A4299)),VLOOKUP(A4299,Studies!A:BR,6,FALSE),"")</f>
        <v>Serum</v>
      </c>
      <c r="G4299" s="194">
        <v>8</v>
      </c>
      <c r="H4299" s="194" t="s">
        <v>60</v>
      </c>
      <c r="I4299" s="187">
        <v>1.54</v>
      </c>
      <c r="J4299" s="187" t="s">
        <v>1054</v>
      </c>
      <c r="K4299" s="187" t="s">
        <v>264</v>
      </c>
      <c r="L4299" s="195"/>
      <c r="M4299" s="195"/>
      <c r="N4299" s="195"/>
      <c r="O4299" s="199"/>
      <c r="P4299" s="188"/>
    </row>
    <row r="4300" spans="1:16" s="183" customFormat="1" x14ac:dyDescent="0.2">
      <c r="A4300" s="189">
        <v>36</v>
      </c>
      <c r="B4300" s="232" t="str">
        <f>IF(AND(A4300&lt;&gt;"",ISNUMBER(A4300)),VLOOKUP(A4300,Studies!A:BR,2,FALSE),"")</f>
        <v>Acocella 1984</v>
      </c>
      <c r="C4300" s="232" t="str">
        <f>IF(AND(A4300&lt;&gt;"",ISNUMBER(A4300)),VLOOKUP(A4300,Studies!A:BR,3,FALSE),"")</f>
        <v>https://www.ncbi.nlm.nih.gov/pubmed/6473487</v>
      </c>
      <c r="D4300" s="232" t="str">
        <f>IF(AND(A4300&lt;&gt;"",ISNUMBER(A4300)),VLOOKUP(A4300,Studies!A:BR,4,FALSE),"")</f>
        <v>Individual 7 (900 mg, 3 h infusion)</v>
      </c>
      <c r="E4300" s="206" t="str">
        <f>IF(AND(A4300&lt;&gt;"",ISNUMBER(A4300)),VLOOKUP(A4300,Studies!A:BR,5,FALSE),"")</f>
        <v>Rifampicin</v>
      </c>
      <c r="F4300" s="207" t="str">
        <f>IF(AND(A4300&lt;&gt;"",ISNUMBER(A4300)),VLOOKUP(A4300,Studies!A:BR,6,FALSE),"")</f>
        <v>Serum</v>
      </c>
      <c r="G4300" s="194">
        <v>0.17</v>
      </c>
      <c r="H4300" s="194" t="s">
        <v>60</v>
      </c>
      <c r="I4300" s="187">
        <v>1.1200000000000001</v>
      </c>
      <c r="J4300" s="187" t="s">
        <v>1054</v>
      </c>
      <c r="K4300" s="187" t="s">
        <v>264</v>
      </c>
      <c r="L4300" s="195"/>
      <c r="M4300" s="195"/>
      <c r="N4300" s="195"/>
      <c r="O4300" s="199"/>
      <c r="P4300" s="188"/>
    </row>
    <row r="4301" spans="1:16" s="183" customFormat="1" x14ac:dyDescent="0.2">
      <c r="A4301" s="189">
        <v>36</v>
      </c>
      <c r="B4301" s="232" t="str">
        <f>IF(AND(A4301&lt;&gt;"",ISNUMBER(A4301)),VLOOKUP(A4301,Studies!A:BR,2,FALSE),"")</f>
        <v>Acocella 1984</v>
      </c>
      <c r="C4301" s="232" t="str">
        <f>IF(AND(A4301&lt;&gt;"",ISNUMBER(A4301)),VLOOKUP(A4301,Studies!A:BR,3,FALSE),"")</f>
        <v>https://www.ncbi.nlm.nih.gov/pubmed/6473487</v>
      </c>
      <c r="D4301" s="232" t="str">
        <f>IF(AND(A4301&lt;&gt;"",ISNUMBER(A4301)),VLOOKUP(A4301,Studies!A:BR,4,FALSE),"")</f>
        <v>Individual 7 (900 mg, 3 h infusion)</v>
      </c>
      <c r="E4301" s="206" t="str">
        <f>IF(AND(A4301&lt;&gt;"",ISNUMBER(A4301)),VLOOKUP(A4301,Studies!A:BR,5,FALSE),"")</f>
        <v>Rifampicin</v>
      </c>
      <c r="F4301" s="207" t="str">
        <f>IF(AND(A4301&lt;&gt;"",ISNUMBER(A4301)),VLOOKUP(A4301,Studies!A:BR,6,FALSE),"")</f>
        <v>Serum</v>
      </c>
      <c r="G4301" s="194">
        <v>0.5</v>
      </c>
      <c r="H4301" s="194" t="s">
        <v>60</v>
      </c>
      <c r="I4301" s="187">
        <v>2.58</v>
      </c>
      <c r="J4301" s="187" t="s">
        <v>1054</v>
      </c>
      <c r="K4301" s="187" t="s">
        <v>264</v>
      </c>
      <c r="L4301" s="195"/>
      <c r="M4301" s="195"/>
      <c r="N4301" s="195"/>
      <c r="O4301" s="199"/>
      <c r="P4301" s="188"/>
    </row>
    <row r="4302" spans="1:16" s="183" customFormat="1" x14ac:dyDescent="0.2">
      <c r="A4302" s="189">
        <v>36</v>
      </c>
      <c r="B4302" s="232" t="str">
        <f>IF(AND(A4302&lt;&gt;"",ISNUMBER(A4302)),VLOOKUP(A4302,Studies!A:BR,2,FALSE),"")</f>
        <v>Acocella 1984</v>
      </c>
      <c r="C4302" s="232" t="str">
        <f>IF(AND(A4302&lt;&gt;"",ISNUMBER(A4302)),VLOOKUP(A4302,Studies!A:BR,3,FALSE),"")</f>
        <v>https://www.ncbi.nlm.nih.gov/pubmed/6473487</v>
      </c>
      <c r="D4302" s="232" t="str">
        <f>IF(AND(A4302&lt;&gt;"",ISNUMBER(A4302)),VLOOKUP(A4302,Studies!A:BR,4,FALSE),"")</f>
        <v>Individual 7 (900 mg, 3 h infusion)</v>
      </c>
      <c r="E4302" s="206" t="str">
        <f>IF(AND(A4302&lt;&gt;"",ISNUMBER(A4302)),VLOOKUP(A4302,Studies!A:BR,5,FALSE),"")</f>
        <v>Rifampicin</v>
      </c>
      <c r="F4302" s="207" t="str">
        <f>IF(AND(A4302&lt;&gt;"",ISNUMBER(A4302)),VLOOKUP(A4302,Studies!A:BR,6,FALSE),"")</f>
        <v>Serum</v>
      </c>
      <c r="G4302" s="194">
        <v>1</v>
      </c>
      <c r="H4302" s="194" t="s">
        <v>60</v>
      </c>
      <c r="I4302" s="187">
        <v>4.33</v>
      </c>
      <c r="J4302" s="187" t="s">
        <v>1054</v>
      </c>
      <c r="K4302" s="187" t="s">
        <v>264</v>
      </c>
      <c r="L4302" s="195"/>
      <c r="M4302" s="195"/>
      <c r="N4302" s="195"/>
      <c r="O4302" s="199"/>
      <c r="P4302" s="188"/>
    </row>
    <row r="4303" spans="1:16" s="183" customFormat="1" x14ac:dyDescent="0.2">
      <c r="A4303" s="189">
        <v>36</v>
      </c>
      <c r="B4303" s="232" t="str">
        <f>IF(AND(A4303&lt;&gt;"",ISNUMBER(A4303)),VLOOKUP(A4303,Studies!A:BR,2,FALSE),"")</f>
        <v>Acocella 1984</v>
      </c>
      <c r="C4303" s="232" t="str">
        <f>IF(AND(A4303&lt;&gt;"",ISNUMBER(A4303)),VLOOKUP(A4303,Studies!A:BR,3,FALSE),"")</f>
        <v>https://www.ncbi.nlm.nih.gov/pubmed/6473487</v>
      </c>
      <c r="D4303" s="232" t="str">
        <f>IF(AND(A4303&lt;&gt;"",ISNUMBER(A4303)),VLOOKUP(A4303,Studies!A:BR,4,FALSE),"")</f>
        <v>Individual 7 (900 mg, 3 h infusion)</v>
      </c>
      <c r="E4303" s="206" t="str">
        <f>IF(AND(A4303&lt;&gt;"",ISNUMBER(A4303)),VLOOKUP(A4303,Studies!A:BR,5,FALSE),"")</f>
        <v>Rifampicin</v>
      </c>
      <c r="F4303" s="207" t="str">
        <f>IF(AND(A4303&lt;&gt;"",ISNUMBER(A4303)),VLOOKUP(A4303,Studies!A:BR,6,FALSE),"")</f>
        <v>Serum</v>
      </c>
      <c r="G4303" s="194">
        <v>1.5</v>
      </c>
      <c r="H4303" s="194" t="s">
        <v>60</v>
      </c>
      <c r="I4303" s="187">
        <v>6.01</v>
      </c>
      <c r="J4303" s="187" t="s">
        <v>1054</v>
      </c>
      <c r="K4303" s="187" t="s">
        <v>264</v>
      </c>
      <c r="L4303" s="195"/>
      <c r="M4303" s="195"/>
      <c r="N4303" s="195"/>
      <c r="O4303" s="199"/>
      <c r="P4303" s="188"/>
    </row>
    <row r="4304" spans="1:16" s="183" customFormat="1" x14ac:dyDescent="0.2">
      <c r="A4304" s="189">
        <v>36</v>
      </c>
      <c r="B4304" s="232" t="str">
        <f>IF(AND(A4304&lt;&gt;"",ISNUMBER(A4304)),VLOOKUP(A4304,Studies!A:BR,2,FALSE),"")</f>
        <v>Acocella 1984</v>
      </c>
      <c r="C4304" s="232" t="str">
        <f>IF(AND(A4304&lt;&gt;"",ISNUMBER(A4304)),VLOOKUP(A4304,Studies!A:BR,3,FALSE),"")</f>
        <v>https://www.ncbi.nlm.nih.gov/pubmed/6473487</v>
      </c>
      <c r="D4304" s="232" t="str">
        <f>IF(AND(A4304&lt;&gt;"",ISNUMBER(A4304)),VLOOKUP(A4304,Studies!A:BR,4,FALSE),"")</f>
        <v>Individual 7 (900 mg, 3 h infusion)</v>
      </c>
      <c r="E4304" s="206" t="str">
        <f>IF(AND(A4304&lt;&gt;"",ISNUMBER(A4304)),VLOOKUP(A4304,Studies!A:BR,5,FALSE),"")</f>
        <v>Rifampicin</v>
      </c>
      <c r="F4304" s="207" t="str">
        <f>IF(AND(A4304&lt;&gt;"",ISNUMBER(A4304)),VLOOKUP(A4304,Studies!A:BR,6,FALSE),"")</f>
        <v>Serum</v>
      </c>
      <c r="G4304" s="194">
        <v>2</v>
      </c>
      <c r="H4304" s="194" t="s">
        <v>60</v>
      </c>
      <c r="I4304" s="187">
        <v>6.76</v>
      </c>
      <c r="J4304" s="187" t="s">
        <v>1054</v>
      </c>
      <c r="K4304" s="187" t="s">
        <v>264</v>
      </c>
      <c r="L4304" s="195"/>
      <c r="M4304" s="195"/>
      <c r="N4304" s="195"/>
      <c r="O4304" s="199"/>
      <c r="P4304" s="188"/>
    </row>
    <row r="4305" spans="1:16" s="183" customFormat="1" x14ac:dyDescent="0.2">
      <c r="A4305" s="189">
        <v>36</v>
      </c>
      <c r="B4305" s="232" t="str">
        <f>IF(AND(A4305&lt;&gt;"",ISNUMBER(A4305)),VLOOKUP(A4305,Studies!A:BR,2,FALSE),"")</f>
        <v>Acocella 1984</v>
      </c>
      <c r="C4305" s="232" t="str">
        <f>IF(AND(A4305&lt;&gt;"",ISNUMBER(A4305)),VLOOKUP(A4305,Studies!A:BR,3,FALSE),"")</f>
        <v>https://www.ncbi.nlm.nih.gov/pubmed/6473487</v>
      </c>
      <c r="D4305" s="232" t="str">
        <f>IF(AND(A4305&lt;&gt;"",ISNUMBER(A4305)),VLOOKUP(A4305,Studies!A:BR,4,FALSE),"")</f>
        <v>Individual 7 (900 mg, 3 h infusion)</v>
      </c>
      <c r="E4305" s="206" t="str">
        <f>IF(AND(A4305&lt;&gt;"",ISNUMBER(A4305)),VLOOKUP(A4305,Studies!A:BR,5,FALSE),"")</f>
        <v>Rifampicin</v>
      </c>
      <c r="F4305" s="207" t="str">
        <f>IF(AND(A4305&lt;&gt;"",ISNUMBER(A4305)),VLOOKUP(A4305,Studies!A:BR,6,FALSE),"")</f>
        <v>Serum</v>
      </c>
      <c r="G4305" s="194">
        <v>4</v>
      </c>
      <c r="H4305" s="194" t="s">
        <v>60</v>
      </c>
      <c r="I4305" s="187">
        <v>6.72</v>
      </c>
      <c r="J4305" s="187" t="s">
        <v>1054</v>
      </c>
      <c r="K4305" s="187" t="s">
        <v>264</v>
      </c>
      <c r="L4305" s="195"/>
      <c r="M4305" s="195"/>
      <c r="N4305" s="195"/>
      <c r="O4305" s="199"/>
      <c r="P4305" s="188"/>
    </row>
    <row r="4306" spans="1:16" s="183" customFormat="1" x14ac:dyDescent="0.2">
      <c r="A4306" s="189">
        <v>36</v>
      </c>
      <c r="B4306" s="232" t="str">
        <f>IF(AND(A4306&lt;&gt;"",ISNUMBER(A4306)),VLOOKUP(A4306,Studies!A:BR,2,FALSE),"")</f>
        <v>Acocella 1984</v>
      </c>
      <c r="C4306" s="232" t="str">
        <f>IF(AND(A4306&lt;&gt;"",ISNUMBER(A4306)),VLOOKUP(A4306,Studies!A:BR,3,FALSE),"")</f>
        <v>https://www.ncbi.nlm.nih.gov/pubmed/6473487</v>
      </c>
      <c r="D4306" s="232" t="str">
        <f>IF(AND(A4306&lt;&gt;"",ISNUMBER(A4306)),VLOOKUP(A4306,Studies!A:BR,4,FALSE),"")</f>
        <v>Individual 7 (900 mg, 3 h infusion)</v>
      </c>
      <c r="E4306" s="206" t="str">
        <f>IF(AND(A4306&lt;&gt;"",ISNUMBER(A4306)),VLOOKUP(A4306,Studies!A:BR,5,FALSE),"")</f>
        <v>Rifampicin</v>
      </c>
      <c r="F4306" s="207" t="str">
        <f>IF(AND(A4306&lt;&gt;"",ISNUMBER(A4306)),VLOOKUP(A4306,Studies!A:BR,6,FALSE),"")</f>
        <v>Serum</v>
      </c>
      <c r="G4306" s="194">
        <v>8</v>
      </c>
      <c r="H4306" s="194" t="s">
        <v>60</v>
      </c>
      <c r="I4306" s="187">
        <v>3.59</v>
      </c>
      <c r="J4306" s="187" t="s">
        <v>1054</v>
      </c>
      <c r="K4306" s="187" t="s">
        <v>264</v>
      </c>
      <c r="L4306" s="195"/>
      <c r="M4306" s="195"/>
      <c r="N4306" s="195"/>
      <c r="O4306" s="199"/>
      <c r="P4306" s="188"/>
    </row>
    <row r="4307" spans="1:16" s="183" customFormat="1" x14ac:dyDescent="0.2">
      <c r="A4307" s="189">
        <v>37</v>
      </c>
      <c r="B4307" s="232" t="str">
        <f>IF(AND(A4307&lt;&gt;"",ISNUMBER(A4307)),VLOOKUP(A4307,Studies!A:BR,2,FALSE),"")</f>
        <v>Acocella 1984</v>
      </c>
      <c r="C4307" s="232" t="str">
        <f>IF(AND(A4307&lt;&gt;"",ISNUMBER(A4307)),VLOOKUP(A4307,Studies!A:BR,3,FALSE),"")</f>
        <v>https://www.ncbi.nlm.nih.gov/pubmed/6473487</v>
      </c>
      <c r="D4307" s="232" t="str">
        <f>IF(AND(A4307&lt;&gt;"",ISNUMBER(A4307)),VLOOKUP(A4307,Studies!A:BR,4,FALSE),"")</f>
        <v>Individual 8 (900 mg, 3 h infusion)</v>
      </c>
      <c r="E4307" s="206" t="str">
        <f>IF(AND(A4307&lt;&gt;"",ISNUMBER(A4307)),VLOOKUP(A4307,Studies!A:BR,5,FALSE),"")</f>
        <v>Rifampicin</v>
      </c>
      <c r="F4307" s="207" t="str">
        <f>IF(AND(A4307&lt;&gt;"",ISNUMBER(A4307)),VLOOKUP(A4307,Studies!A:BR,6,FALSE),"")</f>
        <v>Serum</v>
      </c>
      <c r="G4307" s="194">
        <v>0.17</v>
      </c>
      <c r="H4307" s="194" t="s">
        <v>60</v>
      </c>
      <c r="I4307" s="187">
        <v>1.4</v>
      </c>
      <c r="J4307" s="187" t="s">
        <v>1054</v>
      </c>
      <c r="K4307" s="187" t="s">
        <v>264</v>
      </c>
      <c r="L4307" s="195"/>
      <c r="M4307" s="195"/>
      <c r="N4307" s="195"/>
      <c r="O4307" s="199"/>
      <c r="P4307" s="188"/>
    </row>
    <row r="4308" spans="1:16" s="183" customFormat="1" x14ac:dyDescent="0.2">
      <c r="A4308" s="189">
        <v>37</v>
      </c>
      <c r="B4308" s="232" t="str">
        <f>IF(AND(A4308&lt;&gt;"",ISNUMBER(A4308)),VLOOKUP(A4308,Studies!A:BR,2,FALSE),"")</f>
        <v>Acocella 1984</v>
      </c>
      <c r="C4308" s="232" t="str">
        <f>IF(AND(A4308&lt;&gt;"",ISNUMBER(A4308)),VLOOKUP(A4308,Studies!A:BR,3,FALSE),"")</f>
        <v>https://www.ncbi.nlm.nih.gov/pubmed/6473487</v>
      </c>
      <c r="D4308" s="232" t="str">
        <f>IF(AND(A4308&lt;&gt;"",ISNUMBER(A4308)),VLOOKUP(A4308,Studies!A:BR,4,FALSE),"")</f>
        <v>Individual 8 (900 mg, 3 h infusion)</v>
      </c>
      <c r="E4308" s="206" t="str">
        <f>IF(AND(A4308&lt;&gt;"",ISNUMBER(A4308)),VLOOKUP(A4308,Studies!A:BR,5,FALSE),"")</f>
        <v>Rifampicin</v>
      </c>
      <c r="F4308" s="207" t="str">
        <f>IF(AND(A4308&lt;&gt;"",ISNUMBER(A4308)),VLOOKUP(A4308,Studies!A:BR,6,FALSE),"")</f>
        <v>Serum</v>
      </c>
      <c r="G4308" s="194">
        <v>0.5</v>
      </c>
      <c r="H4308" s="194" t="s">
        <v>60</v>
      </c>
      <c r="I4308" s="187">
        <v>2.12</v>
      </c>
      <c r="J4308" s="187" t="s">
        <v>1054</v>
      </c>
      <c r="K4308" s="187" t="s">
        <v>264</v>
      </c>
      <c r="L4308" s="195"/>
      <c r="M4308" s="195"/>
      <c r="N4308" s="195"/>
      <c r="O4308" s="199"/>
      <c r="P4308" s="188"/>
    </row>
    <row r="4309" spans="1:16" s="183" customFormat="1" x14ac:dyDescent="0.2">
      <c r="A4309" s="189">
        <v>37</v>
      </c>
      <c r="B4309" s="232" t="str">
        <f>IF(AND(A4309&lt;&gt;"",ISNUMBER(A4309)),VLOOKUP(A4309,Studies!A:BR,2,FALSE),"")</f>
        <v>Acocella 1984</v>
      </c>
      <c r="C4309" s="232" t="str">
        <f>IF(AND(A4309&lt;&gt;"",ISNUMBER(A4309)),VLOOKUP(A4309,Studies!A:BR,3,FALSE),"")</f>
        <v>https://www.ncbi.nlm.nih.gov/pubmed/6473487</v>
      </c>
      <c r="D4309" s="232" t="str">
        <f>IF(AND(A4309&lt;&gt;"",ISNUMBER(A4309)),VLOOKUP(A4309,Studies!A:BR,4,FALSE),"")</f>
        <v>Individual 8 (900 mg, 3 h infusion)</v>
      </c>
      <c r="E4309" s="206" t="str">
        <f>IF(AND(A4309&lt;&gt;"",ISNUMBER(A4309)),VLOOKUP(A4309,Studies!A:BR,5,FALSE),"")</f>
        <v>Rifampicin</v>
      </c>
      <c r="F4309" s="207" t="str">
        <f>IF(AND(A4309&lt;&gt;"",ISNUMBER(A4309)),VLOOKUP(A4309,Studies!A:BR,6,FALSE),"")</f>
        <v>Serum</v>
      </c>
      <c r="G4309" s="194">
        <v>1</v>
      </c>
      <c r="H4309" s="194" t="s">
        <v>60</v>
      </c>
      <c r="I4309" s="187">
        <v>4.5199999999999996</v>
      </c>
      <c r="J4309" s="187" t="s">
        <v>1054</v>
      </c>
      <c r="K4309" s="187" t="s">
        <v>264</v>
      </c>
      <c r="L4309" s="195"/>
      <c r="M4309" s="195"/>
      <c r="N4309" s="195"/>
      <c r="O4309" s="199"/>
      <c r="P4309" s="188"/>
    </row>
    <row r="4310" spans="1:16" s="183" customFormat="1" x14ac:dyDescent="0.2">
      <c r="A4310" s="189">
        <v>37</v>
      </c>
      <c r="B4310" s="232" t="str">
        <f>IF(AND(A4310&lt;&gt;"",ISNUMBER(A4310)),VLOOKUP(A4310,Studies!A:BR,2,FALSE),"")</f>
        <v>Acocella 1984</v>
      </c>
      <c r="C4310" s="232" t="str">
        <f>IF(AND(A4310&lt;&gt;"",ISNUMBER(A4310)),VLOOKUP(A4310,Studies!A:BR,3,FALSE),"")</f>
        <v>https://www.ncbi.nlm.nih.gov/pubmed/6473487</v>
      </c>
      <c r="D4310" s="232" t="str">
        <f>IF(AND(A4310&lt;&gt;"",ISNUMBER(A4310)),VLOOKUP(A4310,Studies!A:BR,4,FALSE),"")</f>
        <v>Individual 8 (900 mg, 3 h infusion)</v>
      </c>
      <c r="E4310" s="206" t="str">
        <f>IF(AND(A4310&lt;&gt;"",ISNUMBER(A4310)),VLOOKUP(A4310,Studies!A:BR,5,FALSE),"")</f>
        <v>Rifampicin</v>
      </c>
      <c r="F4310" s="207" t="str">
        <f>IF(AND(A4310&lt;&gt;"",ISNUMBER(A4310)),VLOOKUP(A4310,Studies!A:BR,6,FALSE),"")</f>
        <v>Serum</v>
      </c>
      <c r="G4310" s="194">
        <v>1.5</v>
      </c>
      <c r="H4310" s="194" t="s">
        <v>60</v>
      </c>
      <c r="I4310" s="187">
        <v>6.44</v>
      </c>
      <c r="J4310" s="187" t="s">
        <v>1054</v>
      </c>
      <c r="K4310" s="187" t="s">
        <v>264</v>
      </c>
      <c r="L4310" s="195"/>
      <c r="M4310" s="195"/>
      <c r="N4310" s="195"/>
      <c r="O4310" s="199"/>
      <c r="P4310" s="188"/>
    </row>
    <row r="4311" spans="1:16" s="183" customFormat="1" x14ac:dyDescent="0.2">
      <c r="A4311" s="189">
        <v>37</v>
      </c>
      <c r="B4311" s="232" t="str">
        <f>IF(AND(A4311&lt;&gt;"",ISNUMBER(A4311)),VLOOKUP(A4311,Studies!A:BR,2,FALSE),"")</f>
        <v>Acocella 1984</v>
      </c>
      <c r="C4311" s="232" t="str">
        <f>IF(AND(A4311&lt;&gt;"",ISNUMBER(A4311)),VLOOKUP(A4311,Studies!A:BR,3,FALSE),"")</f>
        <v>https://www.ncbi.nlm.nih.gov/pubmed/6473487</v>
      </c>
      <c r="D4311" s="232" t="str">
        <f>IF(AND(A4311&lt;&gt;"",ISNUMBER(A4311)),VLOOKUP(A4311,Studies!A:BR,4,FALSE),"")</f>
        <v>Individual 8 (900 mg, 3 h infusion)</v>
      </c>
      <c r="E4311" s="206" t="str">
        <f>IF(AND(A4311&lt;&gt;"",ISNUMBER(A4311)),VLOOKUP(A4311,Studies!A:BR,5,FALSE),"")</f>
        <v>Rifampicin</v>
      </c>
      <c r="F4311" s="207" t="str">
        <f>IF(AND(A4311&lt;&gt;"",ISNUMBER(A4311)),VLOOKUP(A4311,Studies!A:BR,6,FALSE),"")</f>
        <v>Serum</v>
      </c>
      <c r="G4311" s="194">
        <v>2</v>
      </c>
      <c r="H4311" s="194" t="s">
        <v>60</v>
      </c>
      <c r="I4311" s="187">
        <v>9.1999999999999993</v>
      </c>
      <c r="J4311" s="187" t="s">
        <v>1054</v>
      </c>
      <c r="K4311" s="187" t="s">
        <v>264</v>
      </c>
      <c r="L4311" s="195"/>
      <c r="M4311" s="195"/>
      <c r="N4311" s="195"/>
      <c r="O4311" s="199"/>
      <c r="P4311" s="188"/>
    </row>
    <row r="4312" spans="1:16" s="183" customFormat="1" x14ac:dyDescent="0.2">
      <c r="A4312" s="189">
        <v>37</v>
      </c>
      <c r="B4312" s="232" t="str">
        <f>IF(AND(A4312&lt;&gt;"",ISNUMBER(A4312)),VLOOKUP(A4312,Studies!A:BR,2,FALSE),"")</f>
        <v>Acocella 1984</v>
      </c>
      <c r="C4312" s="232" t="str">
        <f>IF(AND(A4312&lt;&gt;"",ISNUMBER(A4312)),VLOOKUP(A4312,Studies!A:BR,3,FALSE),"")</f>
        <v>https://www.ncbi.nlm.nih.gov/pubmed/6473487</v>
      </c>
      <c r="D4312" s="232" t="str">
        <f>IF(AND(A4312&lt;&gt;"",ISNUMBER(A4312)),VLOOKUP(A4312,Studies!A:BR,4,FALSE),"")</f>
        <v>Individual 8 (900 mg, 3 h infusion)</v>
      </c>
      <c r="E4312" s="206" t="str">
        <f>IF(AND(A4312&lt;&gt;"",ISNUMBER(A4312)),VLOOKUP(A4312,Studies!A:BR,5,FALSE),"")</f>
        <v>Rifampicin</v>
      </c>
      <c r="F4312" s="207" t="str">
        <f>IF(AND(A4312&lt;&gt;"",ISNUMBER(A4312)),VLOOKUP(A4312,Studies!A:BR,6,FALSE),"")</f>
        <v>Serum</v>
      </c>
      <c r="G4312" s="194">
        <v>4</v>
      </c>
      <c r="H4312" s="194" t="s">
        <v>60</v>
      </c>
      <c r="I4312" s="187">
        <v>8.01</v>
      </c>
      <c r="J4312" s="187" t="s">
        <v>1054</v>
      </c>
      <c r="K4312" s="187" t="s">
        <v>264</v>
      </c>
      <c r="L4312" s="195"/>
      <c r="M4312" s="195"/>
      <c r="N4312" s="195"/>
      <c r="O4312" s="199"/>
      <c r="P4312" s="188"/>
    </row>
    <row r="4313" spans="1:16" s="183" customFormat="1" x14ac:dyDescent="0.2">
      <c r="A4313" s="189">
        <v>37</v>
      </c>
      <c r="B4313" s="232" t="str">
        <f>IF(AND(A4313&lt;&gt;"",ISNUMBER(A4313)),VLOOKUP(A4313,Studies!A:BR,2,FALSE),"")</f>
        <v>Acocella 1984</v>
      </c>
      <c r="C4313" s="232" t="str">
        <f>IF(AND(A4313&lt;&gt;"",ISNUMBER(A4313)),VLOOKUP(A4313,Studies!A:BR,3,FALSE),"")</f>
        <v>https://www.ncbi.nlm.nih.gov/pubmed/6473487</v>
      </c>
      <c r="D4313" s="232" t="str">
        <f>IF(AND(A4313&lt;&gt;"",ISNUMBER(A4313)),VLOOKUP(A4313,Studies!A:BR,4,FALSE),"")</f>
        <v>Individual 8 (900 mg, 3 h infusion)</v>
      </c>
      <c r="E4313" s="206" t="str">
        <f>IF(AND(A4313&lt;&gt;"",ISNUMBER(A4313)),VLOOKUP(A4313,Studies!A:BR,5,FALSE),"")</f>
        <v>Rifampicin</v>
      </c>
      <c r="F4313" s="207" t="str">
        <f>IF(AND(A4313&lt;&gt;"",ISNUMBER(A4313)),VLOOKUP(A4313,Studies!A:BR,6,FALSE),"")</f>
        <v>Serum</v>
      </c>
      <c r="G4313" s="194">
        <v>8</v>
      </c>
      <c r="H4313" s="194" t="s">
        <v>60</v>
      </c>
      <c r="I4313" s="187">
        <v>4.2699999999999996</v>
      </c>
      <c r="J4313" s="187" t="s">
        <v>1054</v>
      </c>
      <c r="K4313" s="187" t="s">
        <v>264</v>
      </c>
      <c r="L4313" s="195"/>
      <c r="M4313" s="195"/>
      <c r="N4313" s="195"/>
      <c r="O4313" s="199"/>
      <c r="P4313" s="188"/>
    </row>
    <row r="4314" spans="1:16" s="183" customFormat="1" x14ac:dyDescent="0.2">
      <c r="A4314" s="189">
        <v>38</v>
      </c>
      <c r="B4314" s="232" t="str">
        <f>IF(AND(A4314&lt;&gt;"",ISNUMBER(A4314)),VLOOKUP(A4314,Studies!A:BR,2,FALSE),"")</f>
        <v>Acocella 1984</v>
      </c>
      <c r="C4314" s="232" t="str">
        <f>IF(AND(A4314&lt;&gt;"",ISNUMBER(A4314)),VLOOKUP(A4314,Studies!A:BR,3,FALSE),"")</f>
        <v>https://www.ncbi.nlm.nih.gov/pubmed/6473487</v>
      </c>
      <c r="D4314" s="232" t="str">
        <f>IF(AND(A4314&lt;&gt;"",ISNUMBER(A4314)),VLOOKUP(A4314,Studies!A:BR,4,FALSE),"")</f>
        <v>Individual 9 (900 mg, 2 h infusion)</v>
      </c>
      <c r="E4314" s="206" t="str">
        <f>IF(AND(A4314&lt;&gt;"",ISNUMBER(A4314)),VLOOKUP(A4314,Studies!A:BR,5,FALSE),"")</f>
        <v>Rifampicin</v>
      </c>
      <c r="F4314" s="207" t="str">
        <f>IF(AND(A4314&lt;&gt;"",ISNUMBER(A4314)),VLOOKUP(A4314,Studies!A:BR,6,FALSE),"")</f>
        <v>Serum</v>
      </c>
      <c r="G4314" s="194">
        <v>0.17</v>
      </c>
      <c r="H4314" s="194" t="s">
        <v>60</v>
      </c>
      <c r="I4314" s="187">
        <v>1.31</v>
      </c>
      <c r="J4314" s="187" t="s">
        <v>1054</v>
      </c>
      <c r="K4314" s="187" t="s">
        <v>264</v>
      </c>
      <c r="L4314" s="195"/>
      <c r="M4314" s="195"/>
      <c r="N4314" s="195"/>
      <c r="O4314" s="199"/>
      <c r="P4314" s="188"/>
    </row>
    <row r="4315" spans="1:16" s="183" customFormat="1" x14ac:dyDescent="0.2">
      <c r="A4315" s="189">
        <v>38</v>
      </c>
      <c r="B4315" s="232" t="str">
        <f>IF(AND(A4315&lt;&gt;"",ISNUMBER(A4315)),VLOOKUP(A4315,Studies!A:BR,2,FALSE),"")</f>
        <v>Acocella 1984</v>
      </c>
      <c r="C4315" s="232" t="str">
        <f>IF(AND(A4315&lt;&gt;"",ISNUMBER(A4315)),VLOOKUP(A4315,Studies!A:BR,3,FALSE),"")</f>
        <v>https://www.ncbi.nlm.nih.gov/pubmed/6473487</v>
      </c>
      <c r="D4315" s="232" t="str">
        <f>IF(AND(A4315&lt;&gt;"",ISNUMBER(A4315)),VLOOKUP(A4315,Studies!A:BR,4,FALSE),"")</f>
        <v>Individual 9 (900 mg, 2 h infusion)</v>
      </c>
      <c r="E4315" s="206" t="str">
        <f>IF(AND(A4315&lt;&gt;"",ISNUMBER(A4315)),VLOOKUP(A4315,Studies!A:BR,5,FALSE),"")</f>
        <v>Rifampicin</v>
      </c>
      <c r="F4315" s="207" t="str">
        <f>IF(AND(A4315&lt;&gt;"",ISNUMBER(A4315)),VLOOKUP(A4315,Studies!A:BR,6,FALSE),"")</f>
        <v>Serum</v>
      </c>
      <c r="G4315" s="194">
        <v>0.5</v>
      </c>
      <c r="H4315" s="194" t="s">
        <v>60</v>
      </c>
      <c r="I4315" s="187">
        <v>2.4700000000000002</v>
      </c>
      <c r="J4315" s="187" t="s">
        <v>1054</v>
      </c>
      <c r="K4315" s="187" t="s">
        <v>264</v>
      </c>
      <c r="L4315" s="195"/>
      <c r="M4315" s="195"/>
      <c r="N4315" s="195"/>
      <c r="O4315" s="199"/>
      <c r="P4315" s="188"/>
    </row>
    <row r="4316" spans="1:16" s="183" customFormat="1" x14ac:dyDescent="0.2">
      <c r="A4316" s="189">
        <v>38</v>
      </c>
      <c r="B4316" s="232" t="str">
        <f>IF(AND(A4316&lt;&gt;"",ISNUMBER(A4316)),VLOOKUP(A4316,Studies!A:BR,2,FALSE),"")</f>
        <v>Acocella 1984</v>
      </c>
      <c r="C4316" s="232" t="str">
        <f>IF(AND(A4316&lt;&gt;"",ISNUMBER(A4316)),VLOOKUP(A4316,Studies!A:BR,3,FALSE),"")</f>
        <v>https://www.ncbi.nlm.nih.gov/pubmed/6473487</v>
      </c>
      <c r="D4316" s="232" t="str">
        <f>IF(AND(A4316&lt;&gt;"",ISNUMBER(A4316)),VLOOKUP(A4316,Studies!A:BR,4,FALSE),"")</f>
        <v>Individual 9 (900 mg, 2 h infusion)</v>
      </c>
      <c r="E4316" s="206" t="str">
        <f>IF(AND(A4316&lt;&gt;"",ISNUMBER(A4316)),VLOOKUP(A4316,Studies!A:BR,5,FALSE),"")</f>
        <v>Rifampicin</v>
      </c>
      <c r="F4316" s="207" t="str">
        <f>IF(AND(A4316&lt;&gt;"",ISNUMBER(A4316)),VLOOKUP(A4316,Studies!A:BR,6,FALSE),"")</f>
        <v>Serum</v>
      </c>
      <c r="G4316" s="194">
        <v>1</v>
      </c>
      <c r="H4316" s="194" t="s">
        <v>60</v>
      </c>
      <c r="I4316" s="187">
        <v>6.19</v>
      </c>
      <c r="J4316" s="187" t="s">
        <v>1054</v>
      </c>
      <c r="K4316" s="187" t="s">
        <v>264</v>
      </c>
      <c r="L4316" s="195"/>
      <c r="M4316" s="195"/>
      <c r="N4316" s="195"/>
      <c r="O4316" s="199"/>
      <c r="P4316" s="188"/>
    </row>
    <row r="4317" spans="1:16" s="183" customFormat="1" x14ac:dyDescent="0.2">
      <c r="A4317" s="189">
        <v>38</v>
      </c>
      <c r="B4317" s="232" t="str">
        <f>IF(AND(A4317&lt;&gt;"",ISNUMBER(A4317)),VLOOKUP(A4317,Studies!A:BR,2,FALSE),"")</f>
        <v>Acocella 1984</v>
      </c>
      <c r="C4317" s="232" t="str">
        <f>IF(AND(A4317&lt;&gt;"",ISNUMBER(A4317)),VLOOKUP(A4317,Studies!A:BR,3,FALSE),"")</f>
        <v>https://www.ncbi.nlm.nih.gov/pubmed/6473487</v>
      </c>
      <c r="D4317" s="232" t="str">
        <f>IF(AND(A4317&lt;&gt;"",ISNUMBER(A4317)),VLOOKUP(A4317,Studies!A:BR,4,FALSE),"")</f>
        <v>Individual 9 (900 mg, 2 h infusion)</v>
      </c>
      <c r="E4317" s="206" t="str">
        <f>IF(AND(A4317&lt;&gt;"",ISNUMBER(A4317)),VLOOKUP(A4317,Studies!A:BR,5,FALSE),"")</f>
        <v>Rifampicin</v>
      </c>
      <c r="F4317" s="207" t="str">
        <f>IF(AND(A4317&lt;&gt;"",ISNUMBER(A4317)),VLOOKUP(A4317,Studies!A:BR,6,FALSE),"")</f>
        <v>Serum</v>
      </c>
      <c r="G4317" s="194">
        <v>1.5</v>
      </c>
      <c r="H4317" s="194" t="s">
        <v>60</v>
      </c>
      <c r="I4317" s="187">
        <v>9.5500000000000007</v>
      </c>
      <c r="J4317" s="187" t="s">
        <v>1054</v>
      </c>
      <c r="K4317" s="187" t="s">
        <v>264</v>
      </c>
      <c r="L4317" s="195"/>
      <c r="M4317" s="195"/>
      <c r="N4317" s="195"/>
      <c r="O4317" s="199"/>
      <c r="P4317" s="188"/>
    </row>
    <row r="4318" spans="1:16" s="183" customFormat="1" x14ac:dyDescent="0.2">
      <c r="A4318" s="189">
        <v>38</v>
      </c>
      <c r="B4318" s="232" t="str">
        <f>IF(AND(A4318&lt;&gt;"",ISNUMBER(A4318)),VLOOKUP(A4318,Studies!A:BR,2,FALSE),"")</f>
        <v>Acocella 1984</v>
      </c>
      <c r="C4318" s="232" t="str">
        <f>IF(AND(A4318&lt;&gt;"",ISNUMBER(A4318)),VLOOKUP(A4318,Studies!A:BR,3,FALSE),"")</f>
        <v>https://www.ncbi.nlm.nih.gov/pubmed/6473487</v>
      </c>
      <c r="D4318" s="232" t="str">
        <f>IF(AND(A4318&lt;&gt;"",ISNUMBER(A4318)),VLOOKUP(A4318,Studies!A:BR,4,FALSE),"")</f>
        <v>Individual 9 (900 mg, 2 h infusion)</v>
      </c>
      <c r="E4318" s="206" t="str">
        <f>IF(AND(A4318&lt;&gt;"",ISNUMBER(A4318)),VLOOKUP(A4318,Studies!A:BR,5,FALSE),"")</f>
        <v>Rifampicin</v>
      </c>
      <c r="F4318" s="207" t="str">
        <f>IF(AND(A4318&lt;&gt;"",ISNUMBER(A4318)),VLOOKUP(A4318,Studies!A:BR,6,FALSE),"")</f>
        <v>Serum</v>
      </c>
      <c r="G4318" s="194">
        <v>2</v>
      </c>
      <c r="H4318" s="194" t="s">
        <v>60</v>
      </c>
      <c r="I4318" s="187">
        <v>12.84</v>
      </c>
      <c r="J4318" s="187" t="s">
        <v>1054</v>
      </c>
      <c r="K4318" s="187" t="s">
        <v>264</v>
      </c>
      <c r="L4318" s="195"/>
      <c r="M4318" s="195"/>
      <c r="N4318" s="195"/>
      <c r="O4318" s="199"/>
      <c r="P4318" s="188"/>
    </row>
    <row r="4319" spans="1:16" s="183" customFormat="1" x14ac:dyDescent="0.2">
      <c r="A4319" s="189">
        <v>38</v>
      </c>
      <c r="B4319" s="232" t="str">
        <f>IF(AND(A4319&lt;&gt;"",ISNUMBER(A4319)),VLOOKUP(A4319,Studies!A:BR,2,FALSE),"")</f>
        <v>Acocella 1984</v>
      </c>
      <c r="C4319" s="232" t="str">
        <f>IF(AND(A4319&lt;&gt;"",ISNUMBER(A4319)),VLOOKUP(A4319,Studies!A:BR,3,FALSE),"")</f>
        <v>https://www.ncbi.nlm.nih.gov/pubmed/6473487</v>
      </c>
      <c r="D4319" s="232" t="str">
        <f>IF(AND(A4319&lt;&gt;"",ISNUMBER(A4319)),VLOOKUP(A4319,Studies!A:BR,4,FALSE),"")</f>
        <v>Individual 9 (900 mg, 2 h infusion)</v>
      </c>
      <c r="E4319" s="206" t="str">
        <f>IF(AND(A4319&lt;&gt;"",ISNUMBER(A4319)),VLOOKUP(A4319,Studies!A:BR,5,FALSE),"")</f>
        <v>Rifampicin</v>
      </c>
      <c r="F4319" s="207" t="str">
        <f>IF(AND(A4319&lt;&gt;"",ISNUMBER(A4319)),VLOOKUP(A4319,Studies!A:BR,6,FALSE),"")</f>
        <v>Serum</v>
      </c>
      <c r="G4319" s="194">
        <v>4</v>
      </c>
      <c r="H4319" s="194" t="s">
        <v>60</v>
      </c>
      <c r="I4319" s="187">
        <v>9.82</v>
      </c>
      <c r="J4319" s="187" t="s">
        <v>1054</v>
      </c>
      <c r="K4319" s="187" t="s">
        <v>264</v>
      </c>
      <c r="L4319" s="195"/>
      <c r="M4319" s="195"/>
      <c r="N4319" s="195"/>
      <c r="O4319" s="199"/>
      <c r="P4319" s="188"/>
    </row>
    <row r="4320" spans="1:16" s="183" customFormat="1" x14ac:dyDescent="0.2">
      <c r="A4320" s="189">
        <v>38</v>
      </c>
      <c r="B4320" s="232" t="str">
        <f>IF(AND(A4320&lt;&gt;"",ISNUMBER(A4320)),VLOOKUP(A4320,Studies!A:BR,2,FALSE),"")</f>
        <v>Acocella 1984</v>
      </c>
      <c r="C4320" s="232" t="str">
        <f>IF(AND(A4320&lt;&gt;"",ISNUMBER(A4320)),VLOOKUP(A4320,Studies!A:BR,3,FALSE),"")</f>
        <v>https://www.ncbi.nlm.nih.gov/pubmed/6473487</v>
      </c>
      <c r="D4320" s="232" t="str">
        <f>IF(AND(A4320&lt;&gt;"",ISNUMBER(A4320)),VLOOKUP(A4320,Studies!A:BR,4,FALSE),"")</f>
        <v>Individual 9 (900 mg, 2 h infusion)</v>
      </c>
      <c r="E4320" s="206" t="str">
        <f>IF(AND(A4320&lt;&gt;"",ISNUMBER(A4320)),VLOOKUP(A4320,Studies!A:BR,5,FALSE),"")</f>
        <v>Rifampicin</v>
      </c>
      <c r="F4320" s="207" t="str">
        <f>IF(AND(A4320&lt;&gt;"",ISNUMBER(A4320)),VLOOKUP(A4320,Studies!A:BR,6,FALSE),"")</f>
        <v>Serum</v>
      </c>
      <c r="G4320" s="194">
        <v>8</v>
      </c>
      <c r="H4320" s="194" t="s">
        <v>60</v>
      </c>
      <c r="I4320" s="187">
        <v>5.14</v>
      </c>
      <c r="J4320" s="187" t="s">
        <v>1054</v>
      </c>
      <c r="K4320" s="187" t="s">
        <v>264</v>
      </c>
      <c r="L4320" s="195"/>
      <c r="M4320" s="195"/>
      <c r="N4320" s="195"/>
      <c r="O4320" s="199"/>
      <c r="P4320" s="188"/>
    </row>
    <row r="4321" spans="1:16" s="183" customFormat="1" x14ac:dyDescent="0.2">
      <c r="A4321" s="189">
        <v>39</v>
      </c>
      <c r="B4321" s="232" t="str">
        <f>IF(AND(A4321&lt;&gt;"",ISNUMBER(A4321)),VLOOKUP(A4321,Studies!A:BR,2,FALSE),"")</f>
        <v>Acocella 1984</v>
      </c>
      <c r="C4321" s="232" t="str">
        <f>IF(AND(A4321&lt;&gt;"",ISNUMBER(A4321)),VLOOKUP(A4321,Studies!A:BR,3,FALSE),"")</f>
        <v>https://www.ncbi.nlm.nih.gov/pubmed/6473487</v>
      </c>
      <c r="D4321" s="232" t="str">
        <f>IF(AND(A4321&lt;&gt;"",ISNUMBER(A4321)),VLOOKUP(A4321,Studies!A:BR,4,FALSE),"")</f>
        <v>Individual 10 (900 mg, 2 h infusion)</v>
      </c>
      <c r="E4321" s="206" t="str">
        <f>IF(AND(A4321&lt;&gt;"",ISNUMBER(A4321)),VLOOKUP(A4321,Studies!A:BR,5,FALSE),"")</f>
        <v>Rifampicin</v>
      </c>
      <c r="F4321" s="207" t="str">
        <f>IF(AND(A4321&lt;&gt;"",ISNUMBER(A4321)),VLOOKUP(A4321,Studies!A:BR,6,FALSE),"")</f>
        <v>Serum</v>
      </c>
      <c r="G4321" s="194">
        <v>0.17</v>
      </c>
      <c r="H4321" s="194" t="s">
        <v>60</v>
      </c>
      <c r="I4321" s="187">
        <v>4.58</v>
      </c>
      <c r="J4321" s="187" t="s">
        <v>1054</v>
      </c>
      <c r="K4321" s="187" t="s">
        <v>264</v>
      </c>
      <c r="L4321" s="195"/>
      <c r="M4321" s="195"/>
      <c r="N4321" s="195"/>
      <c r="O4321" s="199"/>
      <c r="P4321" s="188"/>
    </row>
    <row r="4322" spans="1:16" s="183" customFormat="1" x14ac:dyDescent="0.2">
      <c r="A4322" s="189">
        <v>39</v>
      </c>
      <c r="B4322" s="232" t="str">
        <f>IF(AND(A4322&lt;&gt;"",ISNUMBER(A4322)),VLOOKUP(A4322,Studies!A:BR,2,FALSE),"")</f>
        <v>Acocella 1984</v>
      </c>
      <c r="C4322" s="232" t="str">
        <f>IF(AND(A4322&lt;&gt;"",ISNUMBER(A4322)),VLOOKUP(A4322,Studies!A:BR,3,FALSE),"")</f>
        <v>https://www.ncbi.nlm.nih.gov/pubmed/6473487</v>
      </c>
      <c r="D4322" s="232" t="str">
        <f>IF(AND(A4322&lt;&gt;"",ISNUMBER(A4322)),VLOOKUP(A4322,Studies!A:BR,4,FALSE),"")</f>
        <v>Individual 10 (900 mg, 2 h infusion)</v>
      </c>
      <c r="E4322" s="206" t="str">
        <f>IF(AND(A4322&lt;&gt;"",ISNUMBER(A4322)),VLOOKUP(A4322,Studies!A:BR,5,FALSE),"")</f>
        <v>Rifampicin</v>
      </c>
      <c r="F4322" s="207" t="str">
        <f>IF(AND(A4322&lt;&gt;"",ISNUMBER(A4322)),VLOOKUP(A4322,Studies!A:BR,6,FALSE),"")</f>
        <v>Serum</v>
      </c>
      <c r="G4322" s="194">
        <v>0.5</v>
      </c>
      <c r="H4322" s="194" t="s">
        <v>60</v>
      </c>
      <c r="I4322" s="187">
        <v>8.5399999999999991</v>
      </c>
      <c r="J4322" s="187" t="s">
        <v>1054</v>
      </c>
      <c r="K4322" s="187" t="s">
        <v>264</v>
      </c>
      <c r="L4322" s="195"/>
      <c r="M4322" s="195"/>
      <c r="N4322" s="195"/>
      <c r="O4322" s="199"/>
      <c r="P4322" s="188"/>
    </row>
    <row r="4323" spans="1:16" s="183" customFormat="1" x14ac:dyDescent="0.2">
      <c r="A4323" s="189">
        <v>39</v>
      </c>
      <c r="B4323" s="232" t="str">
        <f>IF(AND(A4323&lt;&gt;"",ISNUMBER(A4323)),VLOOKUP(A4323,Studies!A:BR,2,FALSE),"")</f>
        <v>Acocella 1984</v>
      </c>
      <c r="C4323" s="232" t="str">
        <f>IF(AND(A4323&lt;&gt;"",ISNUMBER(A4323)),VLOOKUP(A4323,Studies!A:BR,3,FALSE),"")</f>
        <v>https://www.ncbi.nlm.nih.gov/pubmed/6473487</v>
      </c>
      <c r="D4323" s="232" t="str">
        <f>IF(AND(A4323&lt;&gt;"",ISNUMBER(A4323)),VLOOKUP(A4323,Studies!A:BR,4,FALSE),"")</f>
        <v>Individual 10 (900 mg, 2 h infusion)</v>
      </c>
      <c r="E4323" s="206" t="str">
        <f>IF(AND(A4323&lt;&gt;"",ISNUMBER(A4323)),VLOOKUP(A4323,Studies!A:BR,5,FALSE),"")</f>
        <v>Rifampicin</v>
      </c>
      <c r="F4323" s="207" t="str">
        <f>IF(AND(A4323&lt;&gt;"",ISNUMBER(A4323)),VLOOKUP(A4323,Studies!A:BR,6,FALSE),"")</f>
        <v>Serum</v>
      </c>
      <c r="G4323" s="194">
        <v>1</v>
      </c>
      <c r="H4323" s="194" t="s">
        <v>60</v>
      </c>
      <c r="I4323" s="187">
        <v>11.63</v>
      </c>
      <c r="J4323" s="187" t="s">
        <v>1054</v>
      </c>
      <c r="K4323" s="187" t="s">
        <v>264</v>
      </c>
      <c r="L4323" s="195"/>
      <c r="M4323" s="195"/>
      <c r="N4323" s="195"/>
      <c r="O4323" s="199"/>
      <c r="P4323" s="188"/>
    </row>
    <row r="4324" spans="1:16" s="183" customFormat="1" x14ac:dyDescent="0.2">
      <c r="A4324" s="189">
        <v>39</v>
      </c>
      <c r="B4324" s="232" t="str">
        <f>IF(AND(A4324&lt;&gt;"",ISNUMBER(A4324)),VLOOKUP(A4324,Studies!A:BR,2,FALSE),"")</f>
        <v>Acocella 1984</v>
      </c>
      <c r="C4324" s="232" t="str">
        <f>IF(AND(A4324&lt;&gt;"",ISNUMBER(A4324)),VLOOKUP(A4324,Studies!A:BR,3,FALSE),"")</f>
        <v>https://www.ncbi.nlm.nih.gov/pubmed/6473487</v>
      </c>
      <c r="D4324" s="232" t="str">
        <f>IF(AND(A4324&lt;&gt;"",ISNUMBER(A4324)),VLOOKUP(A4324,Studies!A:BR,4,FALSE),"")</f>
        <v>Individual 10 (900 mg, 2 h infusion)</v>
      </c>
      <c r="E4324" s="206" t="str">
        <f>IF(AND(A4324&lt;&gt;"",ISNUMBER(A4324)),VLOOKUP(A4324,Studies!A:BR,5,FALSE),"")</f>
        <v>Rifampicin</v>
      </c>
      <c r="F4324" s="207" t="str">
        <f>IF(AND(A4324&lt;&gt;"",ISNUMBER(A4324)),VLOOKUP(A4324,Studies!A:BR,6,FALSE),"")</f>
        <v>Serum</v>
      </c>
      <c r="G4324" s="194">
        <v>1.5</v>
      </c>
      <c r="H4324" s="194" t="s">
        <v>60</v>
      </c>
      <c r="I4324" s="187">
        <v>16.72</v>
      </c>
      <c r="J4324" s="187" t="s">
        <v>1054</v>
      </c>
      <c r="K4324" s="187" t="s">
        <v>264</v>
      </c>
      <c r="L4324" s="195"/>
      <c r="M4324" s="195"/>
      <c r="N4324" s="195"/>
      <c r="O4324" s="199"/>
      <c r="P4324" s="188"/>
    </row>
    <row r="4325" spans="1:16" s="183" customFormat="1" x14ac:dyDescent="0.2">
      <c r="A4325" s="189">
        <v>39</v>
      </c>
      <c r="B4325" s="232" t="str">
        <f>IF(AND(A4325&lt;&gt;"",ISNUMBER(A4325)),VLOOKUP(A4325,Studies!A:BR,2,FALSE),"")</f>
        <v>Acocella 1984</v>
      </c>
      <c r="C4325" s="232" t="str">
        <f>IF(AND(A4325&lt;&gt;"",ISNUMBER(A4325)),VLOOKUP(A4325,Studies!A:BR,3,FALSE),"")</f>
        <v>https://www.ncbi.nlm.nih.gov/pubmed/6473487</v>
      </c>
      <c r="D4325" s="232" t="str">
        <f>IF(AND(A4325&lt;&gt;"",ISNUMBER(A4325)),VLOOKUP(A4325,Studies!A:BR,4,FALSE),"")</f>
        <v>Individual 10 (900 mg, 2 h infusion)</v>
      </c>
      <c r="E4325" s="206" t="str">
        <f>IF(AND(A4325&lt;&gt;"",ISNUMBER(A4325)),VLOOKUP(A4325,Studies!A:BR,5,FALSE),"")</f>
        <v>Rifampicin</v>
      </c>
      <c r="F4325" s="207" t="str">
        <f>IF(AND(A4325&lt;&gt;"",ISNUMBER(A4325)),VLOOKUP(A4325,Studies!A:BR,6,FALSE),"")</f>
        <v>Serum</v>
      </c>
      <c r="G4325" s="194">
        <v>2</v>
      </c>
      <c r="H4325" s="194" t="s">
        <v>60</v>
      </c>
      <c r="I4325" s="187">
        <v>16.77</v>
      </c>
      <c r="J4325" s="187" t="s">
        <v>1054</v>
      </c>
      <c r="K4325" s="187" t="s">
        <v>264</v>
      </c>
      <c r="L4325" s="195"/>
      <c r="M4325" s="195"/>
      <c r="N4325" s="195"/>
      <c r="O4325" s="199"/>
      <c r="P4325" s="188"/>
    </row>
    <row r="4326" spans="1:16" s="183" customFormat="1" x14ac:dyDescent="0.2">
      <c r="A4326" s="189">
        <v>39</v>
      </c>
      <c r="B4326" s="232" t="str">
        <f>IF(AND(A4326&lt;&gt;"",ISNUMBER(A4326)),VLOOKUP(A4326,Studies!A:BR,2,FALSE),"")</f>
        <v>Acocella 1984</v>
      </c>
      <c r="C4326" s="232" t="str">
        <f>IF(AND(A4326&lt;&gt;"",ISNUMBER(A4326)),VLOOKUP(A4326,Studies!A:BR,3,FALSE),"")</f>
        <v>https://www.ncbi.nlm.nih.gov/pubmed/6473487</v>
      </c>
      <c r="D4326" s="232" t="str">
        <f>IF(AND(A4326&lt;&gt;"",ISNUMBER(A4326)),VLOOKUP(A4326,Studies!A:BR,4,FALSE),"")</f>
        <v>Individual 10 (900 mg, 2 h infusion)</v>
      </c>
      <c r="E4326" s="206" t="str">
        <f>IF(AND(A4326&lt;&gt;"",ISNUMBER(A4326)),VLOOKUP(A4326,Studies!A:BR,5,FALSE),"")</f>
        <v>Rifampicin</v>
      </c>
      <c r="F4326" s="207" t="str">
        <f>IF(AND(A4326&lt;&gt;"",ISNUMBER(A4326)),VLOOKUP(A4326,Studies!A:BR,6,FALSE),"")</f>
        <v>Serum</v>
      </c>
      <c r="G4326" s="194">
        <v>4</v>
      </c>
      <c r="H4326" s="194" t="s">
        <v>60</v>
      </c>
      <c r="I4326" s="187">
        <v>8.7100000000000009</v>
      </c>
      <c r="J4326" s="187" t="s">
        <v>1054</v>
      </c>
      <c r="K4326" s="187" t="s">
        <v>264</v>
      </c>
      <c r="L4326" s="195"/>
      <c r="M4326" s="195"/>
      <c r="N4326" s="195"/>
      <c r="O4326" s="199"/>
      <c r="P4326" s="188"/>
    </row>
    <row r="4327" spans="1:16" s="183" customFormat="1" x14ac:dyDescent="0.2">
      <c r="A4327" s="189">
        <v>39</v>
      </c>
      <c r="B4327" s="232" t="str">
        <f>IF(AND(A4327&lt;&gt;"",ISNUMBER(A4327)),VLOOKUP(A4327,Studies!A:BR,2,FALSE),"")</f>
        <v>Acocella 1984</v>
      </c>
      <c r="C4327" s="232" t="str">
        <f>IF(AND(A4327&lt;&gt;"",ISNUMBER(A4327)),VLOOKUP(A4327,Studies!A:BR,3,FALSE),"")</f>
        <v>https://www.ncbi.nlm.nih.gov/pubmed/6473487</v>
      </c>
      <c r="D4327" s="232" t="str">
        <f>IF(AND(A4327&lt;&gt;"",ISNUMBER(A4327)),VLOOKUP(A4327,Studies!A:BR,4,FALSE),"")</f>
        <v>Individual 10 (900 mg, 2 h infusion)</v>
      </c>
      <c r="E4327" s="206" t="str">
        <f>IF(AND(A4327&lt;&gt;"",ISNUMBER(A4327)),VLOOKUP(A4327,Studies!A:BR,5,FALSE),"")</f>
        <v>Rifampicin</v>
      </c>
      <c r="F4327" s="207" t="str">
        <f>IF(AND(A4327&lt;&gt;"",ISNUMBER(A4327)),VLOOKUP(A4327,Studies!A:BR,6,FALSE),"")</f>
        <v>Serum</v>
      </c>
      <c r="G4327" s="194">
        <v>8</v>
      </c>
      <c r="H4327" s="194" t="s">
        <v>60</v>
      </c>
      <c r="I4327" s="187">
        <v>3.25</v>
      </c>
      <c r="J4327" s="187" t="s">
        <v>1054</v>
      </c>
      <c r="K4327" s="187" t="s">
        <v>264</v>
      </c>
      <c r="L4327" s="195"/>
      <c r="M4327" s="195"/>
      <c r="N4327" s="195"/>
      <c r="O4327" s="199"/>
      <c r="P4327" s="188"/>
    </row>
    <row r="4328" spans="1:16" s="183" customFormat="1" x14ac:dyDescent="0.2">
      <c r="A4328" s="189">
        <v>40</v>
      </c>
      <c r="B4328" s="232" t="str">
        <f>IF(AND(A4328&lt;&gt;"",ISNUMBER(A4328)),VLOOKUP(A4328,Studies!A:BR,2,FALSE),"")</f>
        <v>Acocella 1984</v>
      </c>
      <c r="C4328" s="232" t="str">
        <f>IF(AND(A4328&lt;&gt;"",ISNUMBER(A4328)),VLOOKUP(A4328,Studies!A:BR,3,FALSE),"")</f>
        <v>https://www.ncbi.nlm.nih.gov/pubmed/6473487</v>
      </c>
      <c r="D4328" s="232" t="str">
        <f>IF(AND(A4328&lt;&gt;"",ISNUMBER(A4328)),VLOOKUP(A4328,Studies!A:BR,4,FALSE),"")</f>
        <v>Individual 11 (900 mg, 1 h infusion)</v>
      </c>
      <c r="E4328" s="206" t="str">
        <f>IF(AND(A4328&lt;&gt;"",ISNUMBER(A4328)),VLOOKUP(A4328,Studies!A:BR,5,FALSE),"")</f>
        <v>Rifampicin</v>
      </c>
      <c r="F4328" s="207" t="str">
        <f>IF(AND(A4328&lt;&gt;"",ISNUMBER(A4328)),VLOOKUP(A4328,Studies!A:BR,6,FALSE),"")</f>
        <v>Serum</v>
      </c>
      <c r="G4328" s="194">
        <v>0.17</v>
      </c>
      <c r="H4328" s="194" t="s">
        <v>60</v>
      </c>
      <c r="I4328" s="187">
        <v>8.8699999999999992</v>
      </c>
      <c r="J4328" s="187" t="s">
        <v>1054</v>
      </c>
      <c r="K4328" s="187" t="s">
        <v>264</v>
      </c>
      <c r="L4328" s="195"/>
      <c r="M4328" s="195"/>
      <c r="N4328" s="195"/>
      <c r="O4328" s="199"/>
      <c r="P4328" s="188"/>
    </row>
    <row r="4329" spans="1:16" s="183" customFormat="1" x14ac:dyDescent="0.2">
      <c r="A4329" s="189">
        <v>40</v>
      </c>
      <c r="B4329" s="232" t="str">
        <f>IF(AND(A4329&lt;&gt;"",ISNUMBER(A4329)),VLOOKUP(A4329,Studies!A:BR,2,FALSE),"")</f>
        <v>Acocella 1984</v>
      </c>
      <c r="C4329" s="232" t="str">
        <f>IF(AND(A4329&lt;&gt;"",ISNUMBER(A4329)),VLOOKUP(A4329,Studies!A:BR,3,FALSE),"")</f>
        <v>https://www.ncbi.nlm.nih.gov/pubmed/6473487</v>
      </c>
      <c r="D4329" s="232" t="str">
        <f>IF(AND(A4329&lt;&gt;"",ISNUMBER(A4329)),VLOOKUP(A4329,Studies!A:BR,4,FALSE),"")</f>
        <v>Individual 11 (900 mg, 1 h infusion)</v>
      </c>
      <c r="E4329" s="206" t="str">
        <f>IF(AND(A4329&lt;&gt;"",ISNUMBER(A4329)),VLOOKUP(A4329,Studies!A:BR,5,FALSE),"")</f>
        <v>Rifampicin</v>
      </c>
      <c r="F4329" s="207" t="str">
        <f>IF(AND(A4329&lt;&gt;"",ISNUMBER(A4329)),VLOOKUP(A4329,Studies!A:BR,6,FALSE),"")</f>
        <v>Serum</v>
      </c>
      <c r="G4329" s="194">
        <v>0.5</v>
      </c>
      <c r="H4329" s="194" t="s">
        <v>60</v>
      </c>
      <c r="I4329" s="187">
        <v>19.79</v>
      </c>
      <c r="J4329" s="187" t="s">
        <v>1054</v>
      </c>
      <c r="K4329" s="187" t="s">
        <v>264</v>
      </c>
      <c r="L4329" s="195"/>
      <c r="M4329" s="195"/>
      <c r="N4329" s="195"/>
      <c r="O4329" s="199"/>
      <c r="P4329" s="188"/>
    </row>
    <row r="4330" spans="1:16" s="183" customFormat="1" x14ac:dyDescent="0.2">
      <c r="A4330" s="189">
        <v>40</v>
      </c>
      <c r="B4330" s="232" t="str">
        <f>IF(AND(A4330&lt;&gt;"",ISNUMBER(A4330)),VLOOKUP(A4330,Studies!A:BR,2,FALSE),"")</f>
        <v>Acocella 1984</v>
      </c>
      <c r="C4330" s="232" t="str">
        <f>IF(AND(A4330&lt;&gt;"",ISNUMBER(A4330)),VLOOKUP(A4330,Studies!A:BR,3,FALSE),"")</f>
        <v>https://www.ncbi.nlm.nih.gov/pubmed/6473487</v>
      </c>
      <c r="D4330" s="232" t="str">
        <f>IF(AND(A4330&lt;&gt;"",ISNUMBER(A4330)),VLOOKUP(A4330,Studies!A:BR,4,FALSE),"")</f>
        <v>Individual 11 (900 mg, 1 h infusion)</v>
      </c>
      <c r="E4330" s="206" t="str">
        <f>IF(AND(A4330&lt;&gt;"",ISNUMBER(A4330)),VLOOKUP(A4330,Studies!A:BR,5,FALSE),"")</f>
        <v>Rifampicin</v>
      </c>
      <c r="F4330" s="207" t="str">
        <f>IF(AND(A4330&lt;&gt;"",ISNUMBER(A4330)),VLOOKUP(A4330,Studies!A:BR,6,FALSE),"")</f>
        <v>Serum</v>
      </c>
      <c r="G4330" s="194">
        <v>1</v>
      </c>
      <c r="H4330" s="194" t="s">
        <v>60</v>
      </c>
      <c r="I4330" s="187">
        <v>20.94</v>
      </c>
      <c r="J4330" s="187" t="s">
        <v>1054</v>
      </c>
      <c r="K4330" s="187" t="s">
        <v>264</v>
      </c>
      <c r="L4330" s="195"/>
      <c r="M4330" s="195"/>
      <c r="N4330" s="195"/>
      <c r="O4330" s="199"/>
      <c r="P4330" s="188"/>
    </row>
    <row r="4331" spans="1:16" s="183" customFormat="1" x14ac:dyDescent="0.2">
      <c r="A4331" s="189">
        <v>40</v>
      </c>
      <c r="B4331" s="232" t="str">
        <f>IF(AND(A4331&lt;&gt;"",ISNUMBER(A4331)),VLOOKUP(A4331,Studies!A:BR,2,FALSE),"")</f>
        <v>Acocella 1984</v>
      </c>
      <c r="C4331" s="232" t="str">
        <f>IF(AND(A4331&lt;&gt;"",ISNUMBER(A4331)),VLOOKUP(A4331,Studies!A:BR,3,FALSE),"")</f>
        <v>https://www.ncbi.nlm.nih.gov/pubmed/6473487</v>
      </c>
      <c r="D4331" s="232" t="str">
        <f>IF(AND(A4331&lt;&gt;"",ISNUMBER(A4331)),VLOOKUP(A4331,Studies!A:BR,4,FALSE),"")</f>
        <v>Individual 11 (900 mg, 1 h infusion)</v>
      </c>
      <c r="E4331" s="206" t="str">
        <f>IF(AND(A4331&lt;&gt;"",ISNUMBER(A4331)),VLOOKUP(A4331,Studies!A:BR,5,FALSE),"")</f>
        <v>Rifampicin</v>
      </c>
      <c r="F4331" s="207" t="str">
        <f>IF(AND(A4331&lt;&gt;"",ISNUMBER(A4331)),VLOOKUP(A4331,Studies!A:BR,6,FALSE),"")</f>
        <v>Serum</v>
      </c>
      <c r="G4331" s="194">
        <v>1.5</v>
      </c>
      <c r="H4331" s="194" t="s">
        <v>60</v>
      </c>
      <c r="I4331" s="187">
        <v>16.649999999999999</v>
      </c>
      <c r="J4331" s="187" t="s">
        <v>1054</v>
      </c>
      <c r="K4331" s="187" t="s">
        <v>264</v>
      </c>
      <c r="L4331" s="195"/>
      <c r="M4331" s="195"/>
      <c r="N4331" s="195"/>
      <c r="O4331" s="199"/>
      <c r="P4331" s="188"/>
    </row>
    <row r="4332" spans="1:16" s="183" customFormat="1" x14ac:dyDescent="0.2">
      <c r="A4332" s="189">
        <v>40</v>
      </c>
      <c r="B4332" s="232" t="str">
        <f>IF(AND(A4332&lt;&gt;"",ISNUMBER(A4332)),VLOOKUP(A4332,Studies!A:BR,2,FALSE),"")</f>
        <v>Acocella 1984</v>
      </c>
      <c r="C4332" s="232" t="str">
        <f>IF(AND(A4332&lt;&gt;"",ISNUMBER(A4332)),VLOOKUP(A4332,Studies!A:BR,3,FALSE),"")</f>
        <v>https://www.ncbi.nlm.nih.gov/pubmed/6473487</v>
      </c>
      <c r="D4332" s="232" t="str">
        <f>IF(AND(A4332&lt;&gt;"",ISNUMBER(A4332)),VLOOKUP(A4332,Studies!A:BR,4,FALSE),"")</f>
        <v>Individual 11 (900 mg, 1 h infusion)</v>
      </c>
      <c r="E4332" s="206" t="str">
        <f>IF(AND(A4332&lt;&gt;"",ISNUMBER(A4332)),VLOOKUP(A4332,Studies!A:BR,5,FALSE),"")</f>
        <v>Rifampicin</v>
      </c>
      <c r="F4332" s="207" t="str">
        <f>IF(AND(A4332&lt;&gt;"",ISNUMBER(A4332)),VLOOKUP(A4332,Studies!A:BR,6,FALSE),"")</f>
        <v>Serum</v>
      </c>
      <c r="G4332" s="194">
        <v>2</v>
      </c>
      <c r="H4332" s="194" t="s">
        <v>60</v>
      </c>
      <c r="I4332" s="187">
        <v>14.89</v>
      </c>
      <c r="J4332" s="187" t="s">
        <v>1054</v>
      </c>
      <c r="K4332" s="187" t="s">
        <v>264</v>
      </c>
      <c r="L4332" s="195"/>
      <c r="M4332" s="195"/>
      <c r="N4332" s="195"/>
      <c r="O4332" s="199"/>
      <c r="P4332" s="188"/>
    </row>
    <row r="4333" spans="1:16" s="183" customFormat="1" x14ac:dyDescent="0.2">
      <c r="A4333" s="189">
        <v>40</v>
      </c>
      <c r="B4333" s="232" t="str">
        <f>IF(AND(A4333&lt;&gt;"",ISNUMBER(A4333)),VLOOKUP(A4333,Studies!A:BR,2,FALSE),"")</f>
        <v>Acocella 1984</v>
      </c>
      <c r="C4333" s="232" t="str">
        <f>IF(AND(A4333&lt;&gt;"",ISNUMBER(A4333)),VLOOKUP(A4333,Studies!A:BR,3,FALSE),"")</f>
        <v>https://www.ncbi.nlm.nih.gov/pubmed/6473487</v>
      </c>
      <c r="D4333" s="232" t="str">
        <f>IF(AND(A4333&lt;&gt;"",ISNUMBER(A4333)),VLOOKUP(A4333,Studies!A:BR,4,FALSE),"")</f>
        <v>Individual 11 (900 mg, 1 h infusion)</v>
      </c>
      <c r="E4333" s="206" t="str">
        <f>IF(AND(A4333&lt;&gt;"",ISNUMBER(A4333)),VLOOKUP(A4333,Studies!A:BR,5,FALSE),"")</f>
        <v>Rifampicin</v>
      </c>
      <c r="F4333" s="207" t="str">
        <f>IF(AND(A4333&lt;&gt;"",ISNUMBER(A4333)),VLOOKUP(A4333,Studies!A:BR,6,FALSE),"")</f>
        <v>Serum</v>
      </c>
      <c r="G4333" s="194">
        <v>4</v>
      </c>
      <c r="H4333" s="194" t="s">
        <v>60</v>
      </c>
      <c r="I4333" s="187">
        <v>9.67</v>
      </c>
      <c r="J4333" s="187" t="s">
        <v>1054</v>
      </c>
      <c r="K4333" s="187" t="s">
        <v>264</v>
      </c>
      <c r="L4333" s="195"/>
      <c r="M4333" s="195"/>
      <c r="N4333" s="195"/>
      <c r="O4333" s="199"/>
      <c r="P4333" s="188"/>
    </row>
    <row r="4334" spans="1:16" s="183" customFormat="1" x14ac:dyDescent="0.2">
      <c r="A4334" s="189">
        <v>40</v>
      </c>
      <c r="B4334" s="232" t="str">
        <f>IF(AND(A4334&lt;&gt;"",ISNUMBER(A4334)),VLOOKUP(A4334,Studies!A:BR,2,FALSE),"")</f>
        <v>Acocella 1984</v>
      </c>
      <c r="C4334" s="232" t="str">
        <f>IF(AND(A4334&lt;&gt;"",ISNUMBER(A4334)),VLOOKUP(A4334,Studies!A:BR,3,FALSE),"")</f>
        <v>https://www.ncbi.nlm.nih.gov/pubmed/6473487</v>
      </c>
      <c r="D4334" s="232" t="str">
        <f>IF(AND(A4334&lt;&gt;"",ISNUMBER(A4334)),VLOOKUP(A4334,Studies!A:BR,4,FALSE),"")</f>
        <v>Individual 11 (900 mg, 1 h infusion)</v>
      </c>
      <c r="E4334" s="206" t="str">
        <f>IF(AND(A4334&lt;&gt;"",ISNUMBER(A4334)),VLOOKUP(A4334,Studies!A:BR,5,FALSE),"")</f>
        <v>Rifampicin</v>
      </c>
      <c r="F4334" s="207" t="str">
        <f>IF(AND(A4334&lt;&gt;"",ISNUMBER(A4334)),VLOOKUP(A4334,Studies!A:BR,6,FALSE),"")</f>
        <v>Serum</v>
      </c>
      <c r="G4334" s="194">
        <v>8</v>
      </c>
      <c r="H4334" s="194" t="s">
        <v>60</v>
      </c>
      <c r="I4334" s="187">
        <v>3.7</v>
      </c>
      <c r="J4334" s="187" t="s">
        <v>1054</v>
      </c>
      <c r="K4334" s="187" t="s">
        <v>264</v>
      </c>
      <c r="L4334" s="195"/>
      <c r="M4334" s="195"/>
      <c r="N4334" s="195"/>
      <c r="O4334" s="199"/>
      <c r="P4334" s="188"/>
    </row>
    <row r="4335" spans="1:16" s="183" customFormat="1" x14ac:dyDescent="0.2">
      <c r="A4335" s="189">
        <v>41</v>
      </c>
      <c r="B4335" s="232" t="str">
        <f>IF(AND(A4335&lt;&gt;"",ISNUMBER(A4335)),VLOOKUP(A4335,Studies!A:BR,2,FALSE),"")</f>
        <v>Acocella 1984</v>
      </c>
      <c r="C4335" s="232" t="str">
        <f>IF(AND(A4335&lt;&gt;"",ISNUMBER(A4335)),VLOOKUP(A4335,Studies!A:BR,3,FALSE),"")</f>
        <v>https://www.ncbi.nlm.nih.gov/pubmed/6473487</v>
      </c>
      <c r="D4335" s="232" t="str">
        <f>IF(AND(A4335&lt;&gt;"",ISNUMBER(A4335)),VLOOKUP(A4335,Studies!A:BR,4,FALSE),"")</f>
        <v>Individual 12 (900 mg, 1 h infusion)</v>
      </c>
      <c r="E4335" s="206" t="str">
        <f>IF(AND(A4335&lt;&gt;"",ISNUMBER(A4335)),VLOOKUP(A4335,Studies!A:BR,5,FALSE),"")</f>
        <v>Rifampicin</v>
      </c>
      <c r="F4335" s="207" t="str">
        <f>IF(AND(A4335&lt;&gt;"",ISNUMBER(A4335)),VLOOKUP(A4335,Studies!A:BR,6,FALSE),"")</f>
        <v>Serum</v>
      </c>
      <c r="G4335" s="194">
        <v>0.17</v>
      </c>
      <c r="H4335" s="194" t="s">
        <v>60</v>
      </c>
      <c r="I4335" s="187">
        <v>7.28</v>
      </c>
      <c r="J4335" s="187" t="s">
        <v>1054</v>
      </c>
      <c r="K4335" s="187" t="s">
        <v>264</v>
      </c>
      <c r="L4335" s="195"/>
      <c r="M4335" s="195"/>
      <c r="N4335" s="195"/>
      <c r="O4335" s="199"/>
      <c r="P4335" s="188"/>
    </row>
    <row r="4336" spans="1:16" s="183" customFormat="1" x14ac:dyDescent="0.2">
      <c r="A4336" s="189">
        <v>41</v>
      </c>
      <c r="B4336" s="232" t="str">
        <f>IF(AND(A4336&lt;&gt;"",ISNUMBER(A4336)),VLOOKUP(A4336,Studies!A:BR,2,FALSE),"")</f>
        <v>Acocella 1984</v>
      </c>
      <c r="C4336" s="232" t="str">
        <f>IF(AND(A4336&lt;&gt;"",ISNUMBER(A4336)),VLOOKUP(A4336,Studies!A:BR,3,FALSE),"")</f>
        <v>https://www.ncbi.nlm.nih.gov/pubmed/6473487</v>
      </c>
      <c r="D4336" s="232" t="str">
        <f>IF(AND(A4336&lt;&gt;"",ISNUMBER(A4336)),VLOOKUP(A4336,Studies!A:BR,4,FALSE),"")</f>
        <v>Individual 12 (900 mg, 1 h infusion)</v>
      </c>
      <c r="E4336" s="206" t="str">
        <f>IF(AND(A4336&lt;&gt;"",ISNUMBER(A4336)),VLOOKUP(A4336,Studies!A:BR,5,FALSE),"")</f>
        <v>Rifampicin</v>
      </c>
      <c r="F4336" s="207" t="str">
        <f>IF(AND(A4336&lt;&gt;"",ISNUMBER(A4336)),VLOOKUP(A4336,Studies!A:BR,6,FALSE),"")</f>
        <v>Serum</v>
      </c>
      <c r="G4336" s="194">
        <v>0.5</v>
      </c>
      <c r="H4336" s="194" t="s">
        <v>60</v>
      </c>
      <c r="I4336" s="187">
        <v>12.93</v>
      </c>
      <c r="J4336" s="187" t="s">
        <v>1054</v>
      </c>
      <c r="K4336" s="187" t="s">
        <v>264</v>
      </c>
      <c r="L4336" s="195"/>
      <c r="M4336" s="195"/>
      <c r="N4336" s="195"/>
      <c r="O4336" s="199"/>
      <c r="P4336" s="188"/>
    </row>
    <row r="4337" spans="1:16" s="183" customFormat="1" x14ac:dyDescent="0.2">
      <c r="A4337" s="189">
        <v>41</v>
      </c>
      <c r="B4337" s="232" t="str">
        <f>IF(AND(A4337&lt;&gt;"",ISNUMBER(A4337)),VLOOKUP(A4337,Studies!A:BR,2,FALSE),"")</f>
        <v>Acocella 1984</v>
      </c>
      <c r="C4337" s="232" t="str">
        <f>IF(AND(A4337&lt;&gt;"",ISNUMBER(A4337)),VLOOKUP(A4337,Studies!A:BR,3,FALSE),"")</f>
        <v>https://www.ncbi.nlm.nih.gov/pubmed/6473487</v>
      </c>
      <c r="D4337" s="232" t="str">
        <f>IF(AND(A4337&lt;&gt;"",ISNUMBER(A4337)),VLOOKUP(A4337,Studies!A:BR,4,FALSE),"")</f>
        <v>Individual 12 (900 mg, 1 h infusion)</v>
      </c>
      <c r="E4337" s="206" t="str">
        <f>IF(AND(A4337&lt;&gt;"",ISNUMBER(A4337)),VLOOKUP(A4337,Studies!A:BR,5,FALSE),"")</f>
        <v>Rifampicin</v>
      </c>
      <c r="F4337" s="207" t="str">
        <f>IF(AND(A4337&lt;&gt;"",ISNUMBER(A4337)),VLOOKUP(A4337,Studies!A:BR,6,FALSE),"")</f>
        <v>Serum</v>
      </c>
      <c r="G4337" s="194">
        <v>1</v>
      </c>
      <c r="H4337" s="194" t="s">
        <v>60</v>
      </c>
      <c r="I4337" s="187">
        <v>13.87</v>
      </c>
      <c r="J4337" s="187" t="s">
        <v>1054</v>
      </c>
      <c r="K4337" s="187" t="s">
        <v>264</v>
      </c>
      <c r="L4337" s="195"/>
      <c r="M4337" s="195"/>
      <c r="N4337" s="195"/>
      <c r="O4337" s="199"/>
      <c r="P4337" s="188"/>
    </row>
    <row r="4338" spans="1:16" s="183" customFormat="1" x14ac:dyDescent="0.2">
      <c r="A4338" s="189">
        <v>41</v>
      </c>
      <c r="B4338" s="232" t="str">
        <f>IF(AND(A4338&lt;&gt;"",ISNUMBER(A4338)),VLOOKUP(A4338,Studies!A:BR,2,FALSE),"")</f>
        <v>Acocella 1984</v>
      </c>
      <c r="C4338" s="232" t="str">
        <f>IF(AND(A4338&lt;&gt;"",ISNUMBER(A4338)),VLOOKUP(A4338,Studies!A:BR,3,FALSE),"")</f>
        <v>https://www.ncbi.nlm.nih.gov/pubmed/6473487</v>
      </c>
      <c r="D4338" s="232" t="str">
        <f>IF(AND(A4338&lt;&gt;"",ISNUMBER(A4338)),VLOOKUP(A4338,Studies!A:BR,4,FALSE),"")</f>
        <v>Individual 12 (900 mg, 1 h infusion)</v>
      </c>
      <c r="E4338" s="206" t="str">
        <f>IF(AND(A4338&lt;&gt;"",ISNUMBER(A4338)),VLOOKUP(A4338,Studies!A:BR,5,FALSE),"")</f>
        <v>Rifampicin</v>
      </c>
      <c r="F4338" s="207" t="str">
        <f>IF(AND(A4338&lt;&gt;"",ISNUMBER(A4338)),VLOOKUP(A4338,Studies!A:BR,6,FALSE),"")</f>
        <v>Serum</v>
      </c>
      <c r="G4338" s="194">
        <v>1.5</v>
      </c>
      <c r="H4338" s="194" t="s">
        <v>60</v>
      </c>
      <c r="I4338" s="187">
        <v>12.99</v>
      </c>
      <c r="J4338" s="187" t="s">
        <v>1054</v>
      </c>
      <c r="K4338" s="187" t="s">
        <v>264</v>
      </c>
      <c r="L4338" s="195"/>
      <c r="M4338" s="195"/>
      <c r="N4338" s="195"/>
      <c r="O4338" s="199"/>
      <c r="P4338" s="188"/>
    </row>
    <row r="4339" spans="1:16" s="183" customFormat="1" x14ac:dyDescent="0.2">
      <c r="A4339" s="189">
        <v>41</v>
      </c>
      <c r="B4339" s="232" t="str">
        <f>IF(AND(A4339&lt;&gt;"",ISNUMBER(A4339)),VLOOKUP(A4339,Studies!A:BR,2,FALSE),"")</f>
        <v>Acocella 1984</v>
      </c>
      <c r="C4339" s="232" t="str">
        <f>IF(AND(A4339&lt;&gt;"",ISNUMBER(A4339)),VLOOKUP(A4339,Studies!A:BR,3,FALSE),"")</f>
        <v>https://www.ncbi.nlm.nih.gov/pubmed/6473487</v>
      </c>
      <c r="D4339" s="232" t="str">
        <f>IF(AND(A4339&lt;&gt;"",ISNUMBER(A4339)),VLOOKUP(A4339,Studies!A:BR,4,FALSE),"")</f>
        <v>Individual 12 (900 mg, 1 h infusion)</v>
      </c>
      <c r="E4339" s="206" t="str">
        <f>IF(AND(A4339&lt;&gt;"",ISNUMBER(A4339)),VLOOKUP(A4339,Studies!A:BR,5,FALSE),"")</f>
        <v>Rifampicin</v>
      </c>
      <c r="F4339" s="207" t="str">
        <f>IF(AND(A4339&lt;&gt;"",ISNUMBER(A4339)),VLOOKUP(A4339,Studies!A:BR,6,FALSE),"")</f>
        <v>Serum</v>
      </c>
      <c r="G4339" s="194">
        <v>2</v>
      </c>
      <c r="H4339" s="194" t="s">
        <v>60</v>
      </c>
      <c r="I4339" s="187">
        <v>20.09</v>
      </c>
      <c r="J4339" s="187" t="s">
        <v>1054</v>
      </c>
      <c r="K4339" s="187" t="s">
        <v>264</v>
      </c>
      <c r="L4339" s="195"/>
      <c r="M4339" s="195"/>
      <c r="N4339" s="195"/>
      <c r="O4339" s="199"/>
      <c r="P4339" s="188"/>
    </row>
    <row r="4340" spans="1:16" s="183" customFormat="1" x14ac:dyDescent="0.2">
      <c r="A4340" s="189">
        <v>41</v>
      </c>
      <c r="B4340" s="232" t="str">
        <f>IF(AND(A4340&lt;&gt;"",ISNUMBER(A4340)),VLOOKUP(A4340,Studies!A:BR,2,FALSE),"")</f>
        <v>Acocella 1984</v>
      </c>
      <c r="C4340" s="232" t="str">
        <f>IF(AND(A4340&lt;&gt;"",ISNUMBER(A4340)),VLOOKUP(A4340,Studies!A:BR,3,FALSE),"")</f>
        <v>https://www.ncbi.nlm.nih.gov/pubmed/6473487</v>
      </c>
      <c r="D4340" s="232" t="str">
        <f>IF(AND(A4340&lt;&gt;"",ISNUMBER(A4340)),VLOOKUP(A4340,Studies!A:BR,4,FALSE),"")</f>
        <v>Individual 12 (900 mg, 1 h infusion)</v>
      </c>
      <c r="E4340" s="206" t="str">
        <f>IF(AND(A4340&lt;&gt;"",ISNUMBER(A4340)),VLOOKUP(A4340,Studies!A:BR,5,FALSE),"")</f>
        <v>Rifampicin</v>
      </c>
      <c r="F4340" s="207" t="str">
        <f>IF(AND(A4340&lt;&gt;"",ISNUMBER(A4340)),VLOOKUP(A4340,Studies!A:BR,6,FALSE),"")</f>
        <v>Serum</v>
      </c>
      <c r="G4340" s="194">
        <v>4</v>
      </c>
      <c r="H4340" s="194" t="s">
        <v>60</v>
      </c>
      <c r="I4340" s="187">
        <v>14.58</v>
      </c>
      <c r="J4340" s="187" t="s">
        <v>1054</v>
      </c>
      <c r="K4340" s="187" t="s">
        <v>264</v>
      </c>
      <c r="L4340" s="195"/>
      <c r="M4340" s="195"/>
      <c r="N4340" s="195"/>
      <c r="O4340" s="199"/>
      <c r="P4340" s="188"/>
    </row>
    <row r="4341" spans="1:16" s="183" customFormat="1" x14ac:dyDescent="0.2">
      <c r="A4341" s="189">
        <v>41</v>
      </c>
      <c r="B4341" s="232" t="str">
        <f>IF(AND(A4341&lt;&gt;"",ISNUMBER(A4341)),VLOOKUP(A4341,Studies!A:BR,2,FALSE),"")</f>
        <v>Acocella 1984</v>
      </c>
      <c r="C4341" s="232" t="str">
        <f>IF(AND(A4341&lt;&gt;"",ISNUMBER(A4341)),VLOOKUP(A4341,Studies!A:BR,3,FALSE),"")</f>
        <v>https://www.ncbi.nlm.nih.gov/pubmed/6473487</v>
      </c>
      <c r="D4341" s="232" t="str">
        <f>IF(AND(A4341&lt;&gt;"",ISNUMBER(A4341)),VLOOKUP(A4341,Studies!A:BR,4,FALSE),"")</f>
        <v>Individual 12 (900 mg, 1 h infusion)</v>
      </c>
      <c r="E4341" s="206" t="str">
        <f>IF(AND(A4341&lt;&gt;"",ISNUMBER(A4341)),VLOOKUP(A4341,Studies!A:BR,5,FALSE),"")</f>
        <v>Rifampicin</v>
      </c>
      <c r="F4341" s="207" t="str">
        <f>IF(AND(A4341&lt;&gt;"",ISNUMBER(A4341)),VLOOKUP(A4341,Studies!A:BR,6,FALSE),"")</f>
        <v>Serum</v>
      </c>
      <c r="G4341" s="194">
        <v>8</v>
      </c>
      <c r="H4341" s="194" t="s">
        <v>60</v>
      </c>
      <c r="I4341" s="187">
        <v>8.3699999999999992</v>
      </c>
      <c r="J4341" s="187" t="s">
        <v>1054</v>
      </c>
      <c r="K4341" s="187" t="s">
        <v>264</v>
      </c>
      <c r="L4341" s="195"/>
      <c r="M4341" s="195"/>
      <c r="N4341" s="195"/>
      <c r="O4341" s="199"/>
      <c r="P4341" s="188"/>
    </row>
    <row r="4342" spans="1:16" s="183" customFormat="1" x14ac:dyDescent="0.2">
      <c r="A4342" s="189">
        <v>42</v>
      </c>
      <c r="B4342" s="232" t="str">
        <f>IF(AND(A4342&lt;&gt;"",ISNUMBER(A4342)),VLOOKUP(A4342,Studies!A:BR,2,FALSE),"")</f>
        <v>Acocella 1984</v>
      </c>
      <c r="C4342" s="232" t="str">
        <f>IF(AND(A4342&lt;&gt;"",ISNUMBER(A4342)),VLOOKUP(A4342,Studies!A:BR,3,FALSE),"")</f>
        <v>https://www.ncbi.nlm.nih.gov/pubmed/6473487</v>
      </c>
      <c r="D4342" s="232" t="str">
        <f>IF(AND(A4342&lt;&gt;"",ISNUMBER(A4342)),VLOOKUP(A4342,Studies!A:BR,4,FALSE),"")</f>
        <v>Individual 13 (1200 mg, 3 h infusion)</v>
      </c>
      <c r="E4342" s="206" t="str">
        <f>IF(AND(A4342&lt;&gt;"",ISNUMBER(A4342)),VLOOKUP(A4342,Studies!A:BR,5,FALSE),"")</f>
        <v>Rifampicin</v>
      </c>
      <c r="F4342" s="207" t="str">
        <f>IF(AND(A4342&lt;&gt;"",ISNUMBER(A4342)),VLOOKUP(A4342,Studies!A:BR,6,FALSE),"")</f>
        <v>Serum</v>
      </c>
      <c r="G4342" s="194">
        <v>0.17</v>
      </c>
      <c r="H4342" s="194" t="s">
        <v>60</v>
      </c>
      <c r="I4342" s="187">
        <v>1.6</v>
      </c>
      <c r="J4342" s="187" t="s">
        <v>1054</v>
      </c>
      <c r="K4342" s="187" t="s">
        <v>264</v>
      </c>
      <c r="L4342" s="195"/>
      <c r="M4342" s="195"/>
      <c r="N4342" s="195"/>
      <c r="O4342" s="199"/>
      <c r="P4342" s="188"/>
    </row>
    <row r="4343" spans="1:16" s="183" customFormat="1" x14ac:dyDescent="0.2">
      <c r="A4343" s="189">
        <v>42</v>
      </c>
      <c r="B4343" s="232" t="str">
        <f>IF(AND(A4343&lt;&gt;"",ISNUMBER(A4343)),VLOOKUP(A4343,Studies!A:BR,2,FALSE),"")</f>
        <v>Acocella 1984</v>
      </c>
      <c r="C4343" s="232" t="str">
        <f>IF(AND(A4343&lt;&gt;"",ISNUMBER(A4343)),VLOOKUP(A4343,Studies!A:BR,3,FALSE),"")</f>
        <v>https://www.ncbi.nlm.nih.gov/pubmed/6473487</v>
      </c>
      <c r="D4343" s="232" t="str">
        <f>IF(AND(A4343&lt;&gt;"",ISNUMBER(A4343)),VLOOKUP(A4343,Studies!A:BR,4,FALSE),"")</f>
        <v>Individual 13 (1200 mg, 3 h infusion)</v>
      </c>
      <c r="E4343" s="206" t="str">
        <f>IF(AND(A4343&lt;&gt;"",ISNUMBER(A4343)),VLOOKUP(A4343,Studies!A:BR,5,FALSE),"")</f>
        <v>Rifampicin</v>
      </c>
      <c r="F4343" s="207" t="str">
        <f>IF(AND(A4343&lt;&gt;"",ISNUMBER(A4343)),VLOOKUP(A4343,Studies!A:BR,6,FALSE),"")</f>
        <v>Serum</v>
      </c>
      <c r="G4343" s="194">
        <v>0.5</v>
      </c>
      <c r="H4343" s="194" t="s">
        <v>60</v>
      </c>
      <c r="I4343" s="187">
        <v>2.81</v>
      </c>
      <c r="J4343" s="187" t="s">
        <v>1054</v>
      </c>
      <c r="K4343" s="187" t="s">
        <v>264</v>
      </c>
      <c r="L4343" s="195"/>
      <c r="M4343" s="195"/>
      <c r="N4343" s="195"/>
      <c r="O4343" s="199"/>
      <c r="P4343" s="188"/>
    </row>
    <row r="4344" spans="1:16" s="183" customFormat="1" x14ac:dyDescent="0.2">
      <c r="A4344" s="189">
        <v>42</v>
      </c>
      <c r="B4344" s="232" t="str">
        <f>IF(AND(A4344&lt;&gt;"",ISNUMBER(A4344)),VLOOKUP(A4344,Studies!A:BR,2,FALSE),"")</f>
        <v>Acocella 1984</v>
      </c>
      <c r="C4344" s="232" t="str">
        <f>IF(AND(A4344&lt;&gt;"",ISNUMBER(A4344)),VLOOKUP(A4344,Studies!A:BR,3,FALSE),"")</f>
        <v>https://www.ncbi.nlm.nih.gov/pubmed/6473487</v>
      </c>
      <c r="D4344" s="232" t="str">
        <f>IF(AND(A4344&lt;&gt;"",ISNUMBER(A4344)),VLOOKUP(A4344,Studies!A:BR,4,FALSE),"")</f>
        <v>Individual 13 (1200 mg, 3 h infusion)</v>
      </c>
      <c r="E4344" s="206" t="str">
        <f>IF(AND(A4344&lt;&gt;"",ISNUMBER(A4344)),VLOOKUP(A4344,Studies!A:BR,5,FALSE),"")</f>
        <v>Rifampicin</v>
      </c>
      <c r="F4344" s="207" t="str">
        <f>IF(AND(A4344&lt;&gt;"",ISNUMBER(A4344)),VLOOKUP(A4344,Studies!A:BR,6,FALSE),"")</f>
        <v>Serum</v>
      </c>
      <c r="G4344" s="194">
        <v>1</v>
      </c>
      <c r="H4344" s="194" t="s">
        <v>60</v>
      </c>
      <c r="I4344" s="187">
        <v>6.92</v>
      </c>
      <c r="J4344" s="187" t="s">
        <v>1054</v>
      </c>
      <c r="K4344" s="187" t="s">
        <v>264</v>
      </c>
      <c r="L4344" s="195"/>
      <c r="M4344" s="195"/>
      <c r="N4344" s="195"/>
      <c r="O4344" s="199"/>
      <c r="P4344" s="188"/>
    </row>
    <row r="4345" spans="1:16" s="183" customFormat="1" x14ac:dyDescent="0.2">
      <c r="A4345" s="189">
        <v>42</v>
      </c>
      <c r="B4345" s="232" t="str">
        <f>IF(AND(A4345&lt;&gt;"",ISNUMBER(A4345)),VLOOKUP(A4345,Studies!A:BR,2,FALSE),"")</f>
        <v>Acocella 1984</v>
      </c>
      <c r="C4345" s="232" t="str">
        <f>IF(AND(A4345&lt;&gt;"",ISNUMBER(A4345)),VLOOKUP(A4345,Studies!A:BR,3,FALSE),"")</f>
        <v>https://www.ncbi.nlm.nih.gov/pubmed/6473487</v>
      </c>
      <c r="D4345" s="232" t="str">
        <f>IF(AND(A4345&lt;&gt;"",ISNUMBER(A4345)),VLOOKUP(A4345,Studies!A:BR,4,FALSE),"")</f>
        <v>Individual 13 (1200 mg, 3 h infusion)</v>
      </c>
      <c r="E4345" s="206" t="str">
        <f>IF(AND(A4345&lt;&gt;"",ISNUMBER(A4345)),VLOOKUP(A4345,Studies!A:BR,5,FALSE),"")</f>
        <v>Rifampicin</v>
      </c>
      <c r="F4345" s="207" t="str">
        <f>IF(AND(A4345&lt;&gt;"",ISNUMBER(A4345)),VLOOKUP(A4345,Studies!A:BR,6,FALSE),"")</f>
        <v>Serum</v>
      </c>
      <c r="G4345" s="194">
        <v>1.5</v>
      </c>
      <c r="H4345" s="194" t="s">
        <v>60</v>
      </c>
      <c r="I4345" s="187">
        <v>11.7</v>
      </c>
      <c r="J4345" s="187" t="s">
        <v>1054</v>
      </c>
      <c r="K4345" s="187" t="s">
        <v>264</v>
      </c>
      <c r="L4345" s="195"/>
      <c r="M4345" s="195"/>
      <c r="N4345" s="195"/>
      <c r="O4345" s="199"/>
      <c r="P4345" s="188"/>
    </row>
    <row r="4346" spans="1:16" s="183" customFormat="1" x14ac:dyDescent="0.2">
      <c r="A4346" s="189">
        <v>42</v>
      </c>
      <c r="B4346" s="232" t="str">
        <f>IF(AND(A4346&lt;&gt;"",ISNUMBER(A4346)),VLOOKUP(A4346,Studies!A:BR,2,FALSE),"")</f>
        <v>Acocella 1984</v>
      </c>
      <c r="C4346" s="232" t="str">
        <f>IF(AND(A4346&lt;&gt;"",ISNUMBER(A4346)),VLOOKUP(A4346,Studies!A:BR,3,FALSE),"")</f>
        <v>https://www.ncbi.nlm.nih.gov/pubmed/6473487</v>
      </c>
      <c r="D4346" s="232" t="str">
        <f>IF(AND(A4346&lt;&gt;"",ISNUMBER(A4346)),VLOOKUP(A4346,Studies!A:BR,4,FALSE),"")</f>
        <v>Individual 13 (1200 mg, 3 h infusion)</v>
      </c>
      <c r="E4346" s="206" t="str">
        <f>IF(AND(A4346&lt;&gt;"",ISNUMBER(A4346)),VLOOKUP(A4346,Studies!A:BR,5,FALSE),"")</f>
        <v>Rifampicin</v>
      </c>
      <c r="F4346" s="207" t="str">
        <f>IF(AND(A4346&lt;&gt;"",ISNUMBER(A4346)),VLOOKUP(A4346,Studies!A:BR,6,FALSE),"")</f>
        <v>Serum</v>
      </c>
      <c r="G4346" s="194">
        <v>2</v>
      </c>
      <c r="H4346" s="194" t="s">
        <v>60</v>
      </c>
      <c r="I4346" s="187">
        <v>14.32</v>
      </c>
      <c r="J4346" s="187" t="s">
        <v>1054</v>
      </c>
      <c r="K4346" s="187" t="s">
        <v>264</v>
      </c>
      <c r="L4346" s="195"/>
      <c r="M4346" s="195"/>
      <c r="N4346" s="195"/>
      <c r="O4346" s="199"/>
      <c r="P4346" s="188"/>
    </row>
    <row r="4347" spans="1:16" s="183" customFormat="1" x14ac:dyDescent="0.2">
      <c r="A4347" s="189">
        <v>42</v>
      </c>
      <c r="B4347" s="232" t="str">
        <f>IF(AND(A4347&lt;&gt;"",ISNUMBER(A4347)),VLOOKUP(A4347,Studies!A:BR,2,FALSE),"")</f>
        <v>Acocella 1984</v>
      </c>
      <c r="C4347" s="232" t="str">
        <f>IF(AND(A4347&lt;&gt;"",ISNUMBER(A4347)),VLOOKUP(A4347,Studies!A:BR,3,FALSE),"")</f>
        <v>https://www.ncbi.nlm.nih.gov/pubmed/6473487</v>
      </c>
      <c r="D4347" s="232" t="str">
        <f>IF(AND(A4347&lt;&gt;"",ISNUMBER(A4347)),VLOOKUP(A4347,Studies!A:BR,4,FALSE),"")</f>
        <v>Individual 13 (1200 mg, 3 h infusion)</v>
      </c>
      <c r="E4347" s="206" t="str">
        <f>IF(AND(A4347&lt;&gt;"",ISNUMBER(A4347)),VLOOKUP(A4347,Studies!A:BR,5,FALSE),"")</f>
        <v>Rifampicin</v>
      </c>
      <c r="F4347" s="207" t="str">
        <f>IF(AND(A4347&lt;&gt;"",ISNUMBER(A4347)),VLOOKUP(A4347,Studies!A:BR,6,FALSE),"")</f>
        <v>Serum</v>
      </c>
      <c r="G4347" s="194">
        <v>4</v>
      </c>
      <c r="H4347" s="194" t="s">
        <v>60</v>
      </c>
      <c r="I4347" s="187">
        <v>11.76</v>
      </c>
      <c r="J4347" s="187" t="s">
        <v>1054</v>
      </c>
      <c r="K4347" s="187" t="s">
        <v>264</v>
      </c>
      <c r="L4347" s="195"/>
      <c r="M4347" s="195"/>
      <c r="N4347" s="195"/>
      <c r="O4347" s="199"/>
      <c r="P4347" s="188"/>
    </row>
    <row r="4348" spans="1:16" s="183" customFormat="1" x14ac:dyDescent="0.2">
      <c r="A4348" s="189">
        <v>42</v>
      </c>
      <c r="B4348" s="232" t="str">
        <f>IF(AND(A4348&lt;&gt;"",ISNUMBER(A4348)),VLOOKUP(A4348,Studies!A:BR,2,FALSE),"")</f>
        <v>Acocella 1984</v>
      </c>
      <c r="C4348" s="232" t="str">
        <f>IF(AND(A4348&lt;&gt;"",ISNUMBER(A4348)),VLOOKUP(A4348,Studies!A:BR,3,FALSE),"")</f>
        <v>https://www.ncbi.nlm.nih.gov/pubmed/6473487</v>
      </c>
      <c r="D4348" s="232" t="str">
        <f>IF(AND(A4348&lt;&gt;"",ISNUMBER(A4348)),VLOOKUP(A4348,Studies!A:BR,4,FALSE),"")</f>
        <v>Individual 13 (1200 mg, 3 h infusion)</v>
      </c>
      <c r="E4348" s="206" t="str">
        <f>IF(AND(A4348&lt;&gt;"",ISNUMBER(A4348)),VLOOKUP(A4348,Studies!A:BR,5,FALSE),"")</f>
        <v>Rifampicin</v>
      </c>
      <c r="F4348" s="207" t="str">
        <f>IF(AND(A4348&lt;&gt;"",ISNUMBER(A4348)),VLOOKUP(A4348,Studies!A:BR,6,FALSE),"")</f>
        <v>Serum</v>
      </c>
      <c r="G4348" s="194">
        <v>8</v>
      </c>
      <c r="H4348" s="194" t="s">
        <v>60</v>
      </c>
      <c r="I4348" s="187">
        <v>5.25</v>
      </c>
      <c r="J4348" s="187" t="s">
        <v>1054</v>
      </c>
      <c r="K4348" s="187" t="s">
        <v>264</v>
      </c>
      <c r="L4348" s="195"/>
      <c r="M4348" s="195"/>
      <c r="N4348" s="195"/>
      <c r="O4348" s="199"/>
      <c r="P4348" s="188"/>
    </row>
    <row r="4349" spans="1:16" s="183" customFormat="1" x14ac:dyDescent="0.2">
      <c r="A4349" s="189">
        <v>43</v>
      </c>
      <c r="B4349" s="232" t="str">
        <f>IF(AND(A4349&lt;&gt;"",ISNUMBER(A4349)),VLOOKUP(A4349,Studies!A:BR,2,FALSE),"")</f>
        <v>Acocella 1984</v>
      </c>
      <c r="C4349" s="232" t="str">
        <f>IF(AND(A4349&lt;&gt;"",ISNUMBER(A4349)),VLOOKUP(A4349,Studies!A:BR,3,FALSE),"")</f>
        <v>https://www.ncbi.nlm.nih.gov/pubmed/6473487</v>
      </c>
      <c r="D4349" s="232" t="str">
        <f>IF(AND(A4349&lt;&gt;"",ISNUMBER(A4349)),VLOOKUP(A4349,Studies!A:BR,4,FALSE),"")</f>
        <v>Individual 14 (1200 mg, 3 h infusion)</v>
      </c>
      <c r="E4349" s="206" t="str">
        <f>IF(AND(A4349&lt;&gt;"",ISNUMBER(A4349)),VLOOKUP(A4349,Studies!A:BR,5,FALSE),"")</f>
        <v>Rifampicin</v>
      </c>
      <c r="F4349" s="207" t="str">
        <f>IF(AND(A4349&lt;&gt;"",ISNUMBER(A4349)),VLOOKUP(A4349,Studies!A:BR,6,FALSE),"")</f>
        <v>Serum</v>
      </c>
      <c r="G4349" s="194">
        <v>0.17</v>
      </c>
      <c r="H4349" s="194" t="s">
        <v>60</v>
      </c>
      <c r="I4349" s="187">
        <v>5.47</v>
      </c>
      <c r="J4349" s="187" t="s">
        <v>1054</v>
      </c>
      <c r="K4349" s="187" t="s">
        <v>264</v>
      </c>
      <c r="L4349" s="195"/>
      <c r="M4349" s="195"/>
      <c r="N4349" s="195"/>
      <c r="O4349" s="199"/>
      <c r="P4349" s="188"/>
    </row>
    <row r="4350" spans="1:16" s="183" customFormat="1" x14ac:dyDescent="0.2">
      <c r="A4350" s="189">
        <v>43</v>
      </c>
      <c r="B4350" s="232" t="str">
        <f>IF(AND(A4350&lt;&gt;"",ISNUMBER(A4350)),VLOOKUP(A4350,Studies!A:BR,2,FALSE),"")</f>
        <v>Acocella 1984</v>
      </c>
      <c r="C4350" s="232" t="str">
        <f>IF(AND(A4350&lt;&gt;"",ISNUMBER(A4350)),VLOOKUP(A4350,Studies!A:BR,3,FALSE),"")</f>
        <v>https://www.ncbi.nlm.nih.gov/pubmed/6473487</v>
      </c>
      <c r="D4350" s="232" t="str">
        <f>IF(AND(A4350&lt;&gt;"",ISNUMBER(A4350)),VLOOKUP(A4350,Studies!A:BR,4,FALSE),"")</f>
        <v>Individual 14 (1200 mg, 3 h infusion)</v>
      </c>
      <c r="E4350" s="206" t="str">
        <f>IF(AND(A4350&lt;&gt;"",ISNUMBER(A4350)),VLOOKUP(A4350,Studies!A:BR,5,FALSE),"")</f>
        <v>Rifampicin</v>
      </c>
      <c r="F4350" s="207" t="str">
        <f>IF(AND(A4350&lt;&gt;"",ISNUMBER(A4350)),VLOOKUP(A4350,Studies!A:BR,6,FALSE),"")</f>
        <v>Serum</v>
      </c>
      <c r="G4350" s="194">
        <v>0.5</v>
      </c>
      <c r="H4350" s="194" t="s">
        <v>60</v>
      </c>
      <c r="I4350" s="187">
        <v>7.55</v>
      </c>
      <c r="J4350" s="187" t="s">
        <v>1054</v>
      </c>
      <c r="K4350" s="187" t="s">
        <v>264</v>
      </c>
      <c r="L4350" s="195"/>
      <c r="M4350" s="195"/>
      <c r="N4350" s="195"/>
      <c r="O4350" s="199"/>
      <c r="P4350" s="188"/>
    </row>
    <row r="4351" spans="1:16" s="183" customFormat="1" x14ac:dyDescent="0.2">
      <c r="A4351" s="189">
        <v>43</v>
      </c>
      <c r="B4351" s="232" t="str">
        <f>IF(AND(A4351&lt;&gt;"",ISNUMBER(A4351)),VLOOKUP(A4351,Studies!A:BR,2,FALSE),"")</f>
        <v>Acocella 1984</v>
      </c>
      <c r="C4351" s="232" t="str">
        <f>IF(AND(A4351&lt;&gt;"",ISNUMBER(A4351)),VLOOKUP(A4351,Studies!A:BR,3,FALSE),"")</f>
        <v>https://www.ncbi.nlm.nih.gov/pubmed/6473487</v>
      </c>
      <c r="D4351" s="232" t="str">
        <f>IF(AND(A4351&lt;&gt;"",ISNUMBER(A4351)),VLOOKUP(A4351,Studies!A:BR,4,FALSE),"")</f>
        <v>Individual 14 (1200 mg, 3 h infusion)</v>
      </c>
      <c r="E4351" s="206" t="str">
        <f>IF(AND(A4351&lt;&gt;"",ISNUMBER(A4351)),VLOOKUP(A4351,Studies!A:BR,5,FALSE),"")</f>
        <v>Rifampicin</v>
      </c>
      <c r="F4351" s="207" t="str">
        <f>IF(AND(A4351&lt;&gt;"",ISNUMBER(A4351)),VLOOKUP(A4351,Studies!A:BR,6,FALSE),"")</f>
        <v>Serum</v>
      </c>
      <c r="G4351" s="194">
        <v>1</v>
      </c>
      <c r="H4351" s="194" t="s">
        <v>60</v>
      </c>
      <c r="I4351" s="187">
        <v>14.13</v>
      </c>
      <c r="J4351" s="187" t="s">
        <v>1054</v>
      </c>
      <c r="K4351" s="187" t="s">
        <v>264</v>
      </c>
      <c r="L4351" s="195"/>
      <c r="M4351" s="195"/>
      <c r="N4351" s="195"/>
      <c r="O4351" s="199"/>
      <c r="P4351" s="188"/>
    </row>
    <row r="4352" spans="1:16" s="183" customFormat="1" x14ac:dyDescent="0.2">
      <c r="A4352" s="189">
        <v>43</v>
      </c>
      <c r="B4352" s="232" t="str">
        <f>IF(AND(A4352&lt;&gt;"",ISNUMBER(A4352)),VLOOKUP(A4352,Studies!A:BR,2,FALSE),"")</f>
        <v>Acocella 1984</v>
      </c>
      <c r="C4352" s="232" t="str">
        <f>IF(AND(A4352&lt;&gt;"",ISNUMBER(A4352)),VLOOKUP(A4352,Studies!A:BR,3,FALSE),"")</f>
        <v>https://www.ncbi.nlm.nih.gov/pubmed/6473487</v>
      </c>
      <c r="D4352" s="232" t="str">
        <f>IF(AND(A4352&lt;&gt;"",ISNUMBER(A4352)),VLOOKUP(A4352,Studies!A:BR,4,FALSE),"")</f>
        <v>Individual 14 (1200 mg, 3 h infusion)</v>
      </c>
      <c r="E4352" s="206" t="str">
        <f>IF(AND(A4352&lt;&gt;"",ISNUMBER(A4352)),VLOOKUP(A4352,Studies!A:BR,5,FALSE),"")</f>
        <v>Rifampicin</v>
      </c>
      <c r="F4352" s="207" t="str">
        <f>IF(AND(A4352&lt;&gt;"",ISNUMBER(A4352)),VLOOKUP(A4352,Studies!A:BR,6,FALSE),"")</f>
        <v>Serum</v>
      </c>
      <c r="G4352" s="194">
        <v>1.5</v>
      </c>
      <c r="H4352" s="194" t="s">
        <v>60</v>
      </c>
      <c r="I4352" s="187">
        <v>17.34</v>
      </c>
      <c r="J4352" s="187" t="s">
        <v>1054</v>
      </c>
      <c r="K4352" s="187" t="s">
        <v>264</v>
      </c>
      <c r="L4352" s="195"/>
      <c r="M4352" s="195"/>
      <c r="N4352" s="195"/>
      <c r="O4352" s="199"/>
      <c r="P4352" s="188"/>
    </row>
    <row r="4353" spans="1:16" s="183" customFormat="1" x14ac:dyDescent="0.2">
      <c r="A4353" s="189">
        <v>43</v>
      </c>
      <c r="B4353" s="232" t="str">
        <f>IF(AND(A4353&lt;&gt;"",ISNUMBER(A4353)),VLOOKUP(A4353,Studies!A:BR,2,FALSE),"")</f>
        <v>Acocella 1984</v>
      </c>
      <c r="C4353" s="232" t="str">
        <f>IF(AND(A4353&lt;&gt;"",ISNUMBER(A4353)),VLOOKUP(A4353,Studies!A:BR,3,FALSE),"")</f>
        <v>https://www.ncbi.nlm.nih.gov/pubmed/6473487</v>
      </c>
      <c r="D4353" s="232" t="str">
        <f>IF(AND(A4353&lt;&gt;"",ISNUMBER(A4353)),VLOOKUP(A4353,Studies!A:BR,4,FALSE),"")</f>
        <v>Individual 14 (1200 mg, 3 h infusion)</v>
      </c>
      <c r="E4353" s="206" t="str">
        <f>IF(AND(A4353&lt;&gt;"",ISNUMBER(A4353)),VLOOKUP(A4353,Studies!A:BR,5,FALSE),"")</f>
        <v>Rifampicin</v>
      </c>
      <c r="F4353" s="207" t="str">
        <f>IF(AND(A4353&lt;&gt;"",ISNUMBER(A4353)),VLOOKUP(A4353,Studies!A:BR,6,FALSE),"")</f>
        <v>Serum</v>
      </c>
      <c r="G4353" s="194">
        <v>2</v>
      </c>
      <c r="H4353" s="194" t="s">
        <v>60</v>
      </c>
      <c r="I4353" s="187">
        <v>22.39</v>
      </c>
      <c r="J4353" s="187" t="s">
        <v>1054</v>
      </c>
      <c r="K4353" s="187" t="s">
        <v>264</v>
      </c>
      <c r="L4353" s="195"/>
      <c r="M4353" s="195"/>
      <c r="N4353" s="195"/>
      <c r="O4353" s="199"/>
      <c r="P4353" s="188"/>
    </row>
    <row r="4354" spans="1:16" s="183" customFormat="1" x14ac:dyDescent="0.2">
      <c r="A4354" s="189">
        <v>43</v>
      </c>
      <c r="B4354" s="232" t="str">
        <f>IF(AND(A4354&lt;&gt;"",ISNUMBER(A4354)),VLOOKUP(A4354,Studies!A:BR,2,FALSE),"")</f>
        <v>Acocella 1984</v>
      </c>
      <c r="C4354" s="232" t="str">
        <f>IF(AND(A4354&lt;&gt;"",ISNUMBER(A4354)),VLOOKUP(A4354,Studies!A:BR,3,FALSE),"")</f>
        <v>https://www.ncbi.nlm.nih.gov/pubmed/6473487</v>
      </c>
      <c r="D4354" s="232" t="str">
        <f>IF(AND(A4354&lt;&gt;"",ISNUMBER(A4354)),VLOOKUP(A4354,Studies!A:BR,4,FALSE),"")</f>
        <v>Individual 14 (1200 mg, 3 h infusion)</v>
      </c>
      <c r="E4354" s="206" t="str">
        <f>IF(AND(A4354&lt;&gt;"",ISNUMBER(A4354)),VLOOKUP(A4354,Studies!A:BR,5,FALSE),"")</f>
        <v>Rifampicin</v>
      </c>
      <c r="F4354" s="207" t="str">
        <f>IF(AND(A4354&lt;&gt;"",ISNUMBER(A4354)),VLOOKUP(A4354,Studies!A:BR,6,FALSE),"")</f>
        <v>Serum</v>
      </c>
      <c r="G4354" s="194">
        <v>4</v>
      </c>
      <c r="H4354" s="194" t="s">
        <v>60</v>
      </c>
      <c r="I4354" s="187">
        <v>17.87</v>
      </c>
      <c r="J4354" s="187" t="s">
        <v>1054</v>
      </c>
      <c r="K4354" s="187" t="s">
        <v>264</v>
      </c>
      <c r="L4354" s="195"/>
      <c r="M4354" s="195"/>
      <c r="N4354" s="195"/>
      <c r="O4354" s="199"/>
      <c r="P4354" s="188"/>
    </row>
    <row r="4355" spans="1:16" s="183" customFormat="1" x14ac:dyDescent="0.2">
      <c r="A4355" s="189">
        <v>43</v>
      </c>
      <c r="B4355" s="232" t="str">
        <f>IF(AND(A4355&lt;&gt;"",ISNUMBER(A4355)),VLOOKUP(A4355,Studies!A:BR,2,FALSE),"")</f>
        <v>Acocella 1984</v>
      </c>
      <c r="C4355" s="232" t="str">
        <f>IF(AND(A4355&lt;&gt;"",ISNUMBER(A4355)),VLOOKUP(A4355,Studies!A:BR,3,FALSE),"")</f>
        <v>https://www.ncbi.nlm.nih.gov/pubmed/6473487</v>
      </c>
      <c r="D4355" s="232" t="str">
        <f>IF(AND(A4355&lt;&gt;"",ISNUMBER(A4355)),VLOOKUP(A4355,Studies!A:BR,4,FALSE),"")</f>
        <v>Individual 14 (1200 mg, 3 h infusion)</v>
      </c>
      <c r="E4355" s="206" t="str">
        <f>IF(AND(A4355&lt;&gt;"",ISNUMBER(A4355)),VLOOKUP(A4355,Studies!A:BR,5,FALSE),"")</f>
        <v>Rifampicin</v>
      </c>
      <c r="F4355" s="207" t="str">
        <f>IF(AND(A4355&lt;&gt;"",ISNUMBER(A4355)),VLOOKUP(A4355,Studies!A:BR,6,FALSE),"")</f>
        <v>Serum</v>
      </c>
      <c r="G4355" s="194">
        <v>8</v>
      </c>
      <c r="H4355" s="194" t="s">
        <v>60</v>
      </c>
      <c r="I4355" s="187">
        <v>11.95</v>
      </c>
      <c r="J4355" s="187" t="s">
        <v>1054</v>
      </c>
      <c r="K4355" s="187" t="s">
        <v>264</v>
      </c>
      <c r="L4355" s="195"/>
      <c r="M4355" s="195"/>
      <c r="N4355" s="195"/>
      <c r="O4355" s="199"/>
      <c r="P4355" s="188"/>
    </row>
    <row r="4356" spans="1:16" s="183" customFormat="1" x14ac:dyDescent="0.2">
      <c r="A4356" s="189">
        <v>44</v>
      </c>
      <c r="B4356" s="232" t="str">
        <f>IF(AND(A4356&lt;&gt;"",ISNUMBER(A4356)),VLOOKUP(A4356,Studies!A:BR,2,FALSE),"")</f>
        <v>Acocella 1984</v>
      </c>
      <c r="C4356" s="232" t="str">
        <f>IF(AND(A4356&lt;&gt;"",ISNUMBER(A4356)),VLOOKUP(A4356,Studies!A:BR,3,FALSE),"")</f>
        <v>https://www.ncbi.nlm.nih.gov/pubmed/6473487</v>
      </c>
      <c r="D4356" s="232" t="str">
        <f>IF(AND(A4356&lt;&gt;"",ISNUMBER(A4356)),VLOOKUP(A4356,Studies!A:BR,4,FALSE),"")</f>
        <v>Individual 15 (1200 mg, 2 h infusion)</v>
      </c>
      <c r="E4356" s="206" t="str">
        <f>IF(AND(A4356&lt;&gt;"",ISNUMBER(A4356)),VLOOKUP(A4356,Studies!A:BR,5,FALSE),"")</f>
        <v>Rifampicin</v>
      </c>
      <c r="F4356" s="207" t="str">
        <f>IF(AND(A4356&lt;&gt;"",ISNUMBER(A4356)),VLOOKUP(A4356,Studies!A:BR,6,FALSE),"")</f>
        <v>Serum</v>
      </c>
      <c r="G4356" s="194">
        <v>0.17</v>
      </c>
      <c r="H4356" s="194" t="s">
        <v>60</v>
      </c>
      <c r="I4356" s="187">
        <v>2.46</v>
      </c>
      <c r="J4356" s="187" t="s">
        <v>1054</v>
      </c>
      <c r="K4356" s="187" t="s">
        <v>264</v>
      </c>
      <c r="L4356" s="195"/>
      <c r="M4356" s="195"/>
      <c r="N4356" s="195"/>
      <c r="O4356" s="199"/>
      <c r="P4356" s="188"/>
    </row>
    <row r="4357" spans="1:16" s="183" customFormat="1" x14ac:dyDescent="0.2">
      <c r="A4357" s="189">
        <v>44</v>
      </c>
      <c r="B4357" s="232" t="str">
        <f>IF(AND(A4357&lt;&gt;"",ISNUMBER(A4357)),VLOOKUP(A4357,Studies!A:BR,2,FALSE),"")</f>
        <v>Acocella 1984</v>
      </c>
      <c r="C4357" s="232" t="str">
        <f>IF(AND(A4357&lt;&gt;"",ISNUMBER(A4357)),VLOOKUP(A4357,Studies!A:BR,3,FALSE),"")</f>
        <v>https://www.ncbi.nlm.nih.gov/pubmed/6473487</v>
      </c>
      <c r="D4357" s="232" t="str">
        <f>IF(AND(A4357&lt;&gt;"",ISNUMBER(A4357)),VLOOKUP(A4357,Studies!A:BR,4,FALSE),"")</f>
        <v>Individual 15 (1200 mg, 2 h infusion)</v>
      </c>
      <c r="E4357" s="206" t="str">
        <f>IF(AND(A4357&lt;&gt;"",ISNUMBER(A4357)),VLOOKUP(A4357,Studies!A:BR,5,FALSE),"")</f>
        <v>Rifampicin</v>
      </c>
      <c r="F4357" s="207" t="str">
        <f>IF(AND(A4357&lt;&gt;"",ISNUMBER(A4357)),VLOOKUP(A4357,Studies!A:BR,6,FALSE),"")</f>
        <v>Serum</v>
      </c>
      <c r="G4357" s="194">
        <v>0.5</v>
      </c>
      <c r="H4357" s="194" t="s">
        <v>60</v>
      </c>
      <c r="I4357" s="187">
        <v>4.0599999999999996</v>
      </c>
      <c r="J4357" s="187" t="s">
        <v>1054</v>
      </c>
      <c r="K4357" s="187" t="s">
        <v>264</v>
      </c>
      <c r="L4357" s="195"/>
      <c r="M4357" s="195"/>
      <c r="N4357" s="195"/>
      <c r="O4357" s="199"/>
      <c r="P4357" s="188"/>
    </row>
    <row r="4358" spans="1:16" s="183" customFormat="1" x14ac:dyDescent="0.2">
      <c r="A4358" s="189">
        <v>44</v>
      </c>
      <c r="B4358" s="232" t="str">
        <f>IF(AND(A4358&lt;&gt;"",ISNUMBER(A4358)),VLOOKUP(A4358,Studies!A:BR,2,FALSE),"")</f>
        <v>Acocella 1984</v>
      </c>
      <c r="C4358" s="232" t="str">
        <f>IF(AND(A4358&lt;&gt;"",ISNUMBER(A4358)),VLOOKUP(A4358,Studies!A:BR,3,FALSE),"")</f>
        <v>https://www.ncbi.nlm.nih.gov/pubmed/6473487</v>
      </c>
      <c r="D4358" s="232" t="str">
        <f>IF(AND(A4358&lt;&gt;"",ISNUMBER(A4358)),VLOOKUP(A4358,Studies!A:BR,4,FALSE),"")</f>
        <v>Individual 15 (1200 mg, 2 h infusion)</v>
      </c>
      <c r="E4358" s="206" t="str">
        <f>IF(AND(A4358&lt;&gt;"",ISNUMBER(A4358)),VLOOKUP(A4358,Studies!A:BR,5,FALSE),"")</f>
        <v>Rifampicin</v>
      </c>
      <c r="F4358" s="207" t="str">
        <f>IF(AND(A4358&lt;&gt;"",ISNUMBER(A4358)),VLOOKUP(A4358,Studies!A:BR,6,FALSE),"")</f>
        <v>Serum</v>
      </c>
      <c r="G4358" s="194">
        <v>1</v>
      </c>
      <c r="H4358" s="194" t="s">
        <v>60</v>
      </c>
      <c r="I4358" s="187">
        <v>9.08</v>
      </c>
      <c r="J4358" s="187" t="s">
        <v>1054</v>
      </c>
      <c r="K4358" s="187" t="s">
        <v>264</v>
      </c>
      <c r="L4358" s="195"/>
      <c r="M4358" s="195"/>
      <c r="N4358" s="195"/>
      <c r="O4358" s="199"/>
      <c r="P4358" s="188"/>
    </row>
    <row r="4359" spans="1:16" s="183" customFormat="1" x14ac:dyDescent="0.2">
      <c r="A4359" s="189">
        <v>44</v>
      </c>
      <c r="B4359" s="232" t="str">
        <f>IF(AND(A4359&lt;&gt;"",ISNUMBER(A4359)),VLOOKUP(A4359,Studies!A:BR,2,FALSE),"")</f>
        <v>Acocella 1984</v>
      </c>
      <c r="C4359" s="232" t="str">
        <f>IF(AND(A4359&lt;&gt;"",ISNUMBER(A4359)),VLOOKUP(A4359,Studies!A:BR,3,FALSE),"")</f>
        <v>https://www.ncbi.nlm.nih.gov/pubmed/6473487</v>
      </c>
      <c r="D4359" s="232" t="str">
        <f>IF(AND(A4359&lt;&gt;"",ISNUMBER(A4359)),VLOOKUP(A4359,Studies!A:BR,4,FALSE),"")</f>
        <v>Individual 15 (1200 mg, 2 h infusion)</v>
      </c>
      <c r="E4359" s="206" t="str">
        <f>IF(AND(A4359&lt;&gt;"",ISNUMBER(A4359)),VLOOKUP(A4359,Studies!A:BR,5,FALSE),"")</f>
        <v>Rifampicin</v>
      </c>
      <c r="F4359" s="207" t="str">
        <f>IF(AND(A4359&lt;&gt;"",ISNUMBER(A4359)),VLOOKUP(A4359,Studies!A:BR,6,FALSE),"")</f>
        <v>Serum</v>
      </c>
      <c r="G4359" s="194">
        <v>1.5</v>
      </c>
      <c r="H4359" s="194" t="s">
        <v>60</v>
      </c>
      <c r="I4359" s="187">
        <v>12.57</v>
      </c>
      <c r="J4359" s="187" t="s">
        <v>1054</v>
      </c>
      <c r="K4359" s="187" t="s">
        <v>264</v>
      </c>
      <c r="L4359" s="195"/>
      <c r="M4359" s="195"/>
      <c r="N4359" s="195"/>
      <c r="O4359" s="199"/>
      <c r="P4359" s="188"/>
    </row>
    <row r="4360" spans="1:16" s="183" customFormat="1" x14ac:dyDescent="0.2">
      <c r="A4360" s="189">
        <v>44</v>
      </c>
      <c r="B4360" s="232" t="str">
        <f>IF(AND(A4360&lt;&gt;"",ISNUMBER(A4360)),VLOOKUP(A4360,Studies!A:BR,2,FALSE),"")</f>
        <v>Acocella 1984</v>
      </c>
      <c r="C4360" s="232" t="str">
        <f>IF(AND(A4360&lt;&gt;"",ISNUMBER(A4360)),VLOOKUP(A4360,Studies!A:BR,3,FALSE),"")</f>
        <v>https://www.ncbi.nlm.nih.gov/pubmed/6473487</v>
      </c>
      <c r="D4360" s="232" t="str">
        <f>IF(AND(A4360&lt;&gt;"",ISNUMBER(A4360)),VLOOKUP(A4360,Studies!A:BR,4,FALSE),"")</f>
        <v>Individual 15 (1200 mg, 2 h infusion)</v>
      </c>
      <c r="E4360" s="206" t="str">
        <f>IF(AND(A4360&lt;&gt;"",ISNUMBER(A4360)),VLOOKUP(A4360,Studies!A:BR,5,FALSE),"")</f>
        <v>Rifampicin</v>
      </c>
      <c r="F4360" s="207" t="str">
        <f>IF(AND(A4360&lt;&gt;"",ISNUMBER(A4360)),VLOOKUP(A4360,Studies!A:BR,6,FALSE),"")</f>
        <v>Serum</v>
      </c>
      <c r="G4360" s="194">
        <v>2</v>
      </c>
      <c r="H4360" s="194" t="s">
        <v>60</v>
      </c>
      <c r="I4360" s="187">
        <v>13.62</v>
      </c>
      <c r="J4360" s="187" t="s">
        <v>1054</v>
      </c>
      <c r="K4360" s="187" t="s">
        <v>264</v>
      </c>
      <c r="L4360" s="195"/>
      <c r="M4360" s="195"/>
      <c r="N4360" s="195"/>
      <c r="O4360" s="199"/>
      <c r="P4360" s="188"/>
    </row>
    <row r="4361" spans="1:16" s="183" customFormat="1" x14ac:dyDescent="0.2">
      <c r="A4361" s="189">
        <v>44</v>
      </c>
      <c r="B4361" s="232" t="str">
        <f>IF(AND(A4361&lt;&gt;"",ISNUMBER(A4361)),VLOOKUP(A4361,Studies!A:BR,2,FALSE),"")</f>
        <v>Acocella 1984</v>
      </c>
      <c r="C4361" s="232" t="str">
        <f>IF(AND(A4361&lt;&gt;"",ISNUMBER(A4361)),VLOOKUP(A4361,Studies!A:BR,3,FALSE),"")</f>
        <v>https://www.ncbi.nlm.nih.gov/pubmed/6473487</v>
      </c>
      <c r="D4361" s="232" t="str">
        <f>IF(AND(A4361&lt;&gt;"",ISNUMBER(A4361)),VLOOKUP(A4361,Studies!A:BR,4,FALSE),"")</f>
        <v>Individual 15 (1200 mg, 2 h infusion)</v>
      </c>
      <c r="E4361" s="206" t="str">
        <f>IF(AND(A4361&lt;&gt;"",ISNUMBER(A4361)),VLOOKUP(A4361,Studies!A:BR,5,FALSE),"")</f>
        <v>Rifampicin</v>
      </c>
      <c r="F4361" s="207" t="str">
        <f>IF(AND(A4361&lt;&gt;"",ISNUMBER(A4361)),VLOOKUP(A4361,Studies!A:BR,6,FALSE),"")</f>
        <v>Serum</v>
      </c>
      <c r="G4361" s="194">
        <v>4</v>
      </c>
      <c r="H4361" s="194" t="s">
        <v>60</v>
      </c>
      <c r="I4361" s="187">
        <v>8.65</v>
      </c>
      <c r="J4361" s="187" t="s">
        <v>1054</v>
      </c>
      <c r="K4361" s="187" t="s">
        <v>264</v>
      </c>
      <c r="L4361" s="195"/>
      <c r="M4361" s="195"/>
      <c r="N4361" s="195"/>
      <c r="O4361" s="199"/>
      <c r="P4361" s="188"/>
    </row>
    <row r="4362" spans="1:16" s="183" customFormat="1" x14ac:dyDescent="0.2">
      <c r="A4362" s="189">
        <v>44</v>
      </c>
      <c r="B4362" s="232" t="str">
        <f>IF(AND(A4362&lt;&gt;"",ISNUMBER(A4362)),VLOOKUP(A4362,Studies!A:BR,2,FALSE),"")</f>
        <v>Acocella 1984</v>
      </c>
      <c r="C4362" s="232" t="str">
        <f>IF(AND(A4362&lt;&gt;"",ISNUMBER(A4362)),VLOOKUP(A4362,Studies!A:BR,3,FALSE),"")</f>
        <v>https://www.ncbi.nlm.nih.gov/pubmed/6473487</v>
      </c>
      <c r="D4362" s="232" t="str">
        <f>IF(AND(A4362&lt;&gt;"",ISNUMBER(A4362)),VLOOKUP(A4362,Studies!A:BR,4,FALSE),"")</f>
        <v>Individual 15 (1200 mg, 2 h infusion)</v>
      </c>
      <c r="E4362" s="206" t="str">
        <f>IF(AND(A4362&lt;&gt;"",ISNUMBER(A4362)),VLOOKUP(A4362,Studies!A:BR,5,FALSE),"")</f>
        <v>Rifampicin</v>
      </c>
      <c r="F4362" s="207" t="str">
        <f>IF(AND(A4362&lt;&gt;"",ISNUMBER(A4362)),VLOOKUP(A4362,Studies!A:BR,6,FALSE),"")</f>
        <v>Serum</v>
      </c>
      <c r="G4362" s="194">
        <v>8</v>
      </c>
      <c r="H4362" s="194" t="s">
        <v>60</v>
      </c>
      <c r="I4362" s="187">
        <v>4.7300000000000004</v>
      </c>
      <c r="J4362" s="187" t="s">
        <v>1054</v>
      </c>
      <c r="K4362" s="187" t="s">
        <v>264</v>
      </c>
      <c r="L4362" s="195"/>
      <c r="M4362" s="195"/>
      <c r="N4362" s="195"/>
      <c r="O4362" s="199"/>
      <c r="P4362" s="188"/>
    </row>
    <row r="4363" spans="1:16" s="183" customFormat="1" x14ac:dyDescent="0.2">
      <c r="A4363" s="189">
        <v>45</v>
      </c>
      <c r="B4363" s="232" t="str">
        <f>IF(AND(A4363&lt;&gt;"",ISNUMBER(A4363)),VLOOKUP(A4363,Studies!A:BR,2,FALSE),"")</f>
        <v>Acocella 1984</v>
      </c>
      <c r="C4363" s="232" t="str">
        <f>IF(AND(A4363&lt;&gt;"",ISNUMBER(A4363)),VLOOKUP(A4363,Studies!A:BR,3,FALSE),"")</f>
        <v>https://www.ncbi.nlm.nih.gov/pubmed/6473487</v>
      </c>
      <c r="D4363" s="232" t="str">
        <f>IF(AND(A4363&lt;&gt;"",ISNUMBER(A4363)),VLOOKUP(A4363,Studies!A:BR,4,FALSE),"")</f>
        <v>Individual 16 (1200 mg, 2 h infusion)</v>
      </c>
      <c r="E4363" s="206" t="str">
        <f>IF(AND(A4363&lt;&gt;"",ISNUMBER(A4363)),VLOOKUP(A4363,Studies!A:BR,5,FALSE),"")</f>
        <v>Rifampicin</v>
      </c>
      <c r="F4363" s="207" t="str">
        <f>IF(AND(A4363&lt;&gt;"",ISNUMBER(A4363)),VLOOKUP(A4363,Studies!A:BR,6,FALSE),"")</f>
        <v>Serum</v>
      </c>
      <c r="G4363" s="194">
        <v>0.17</v>
      </c>
      <c r="H4363" s="194" t="s">
        <v>60</v>
      </c>
      <c r="I4363" s="187">
        <v>3.27</v>
      </c>
      <c r="J4363" s="187" t="s">
        <v>1054</v>
      </c>
      <c r="K4363" s="187" t="s">
        <v>264</v>
      </c>
      <c r="L4363" s="195"/>
      <c r="M4363" s="195"/>
      <c r="N4363" s="195"/>
      <c r="O4363" s="199"/>
      <c r="P4363" s="188"/>
    </row>
    <row r="4364" spans="1:16" s="183" customFormat="1" x14ac:dyDescent="0.2">
      <c r="A4364" s="189">
        <v>45</v>
      </c>
      <c r="B4364" s="232" t="str">
        <f>IF(AND(A4364&lt;&gt;"",ISNUMBER(A4364)),VLOOKUP(A4364,Studies!A:BR,2,FALSE),"")</f>
        <v>Acocella 1984</v>
      </c>
      <c r="C4364" s="232" t="str">
        <f>IF(AND(A4364&lt;&gt;"",ISNUMBER(A4364)),VLOOKUP(A4364,Studies!A:BR,3,FALSE),"")</f>
        <v>https://www.ncbi.nlm.nih.gov/pubmed/6473487</v>
      </c>
      <c r="D4364" s="232" t="str">
        <f>IF(AND(A4364&lt;&gt;"",ISNUMBER(A4364)),VLOOKUP(A4364,Studies!A:BR,4,FALSE),"")</f>
        <v>Individual 16 (1200 mg, 2 h infusion)</v>
      </c>
      <c r="E4364" s="206" t="str">
        <f>IF(AND(A4364&lt;&gt;"",ISNUMBER(A4364)),VLOOKUP(A4364,Studies!A:BR,5,FALSE),"")</f>
        <v>Rifampicin</v>
      </c>
      <c r="F4364" s="207" t="str">
        <f>IF(AND(A4364&lt;&gt;"",ISNUMBER(A4364)),VLOOKUP(A4364,Studies!A:BR,6,FALSE),"")</f>
        <v>Serum</v>
      </c>
      <c r="G4364" s="194">
        <v>0.5</v>
      </c>
      <c r="H4364" s="194" t="s">
        <v>60</v>
      </c>
      <c r="I4364" s="187">
        <v>4.8899999999999997</v>
      </c>
      <c r="J4364" s="187" t="s">
        <v>1054</v>
      </c>
      <c r="K4364" s="187" t="s">
        <v>264</v>
      </c>
      <c r="L4364" s="195"/>
      <c r="M4364" s="195"/>
      <c r="N4364" s="195"/>
      <c r="O4364" s="199"/>
      <c r="P4364" s="188"/>
    </row>
    <row r="4365" spans="1:16" s="183" customFormat="1" x14ac:dyDescent="0.2">
      <c r="A4365" s="189">
        <v>45</v>
      </c>
      <c r="B4365" s="232" t="str">
        <f>IF(AND(A4365&lt;&gt;"",ISNUMBER(A4365)),VLOOKUP(A4365,Studies!A:BR,2,FALSE),"")</f>
        <v>Acocella 1984</v>
      </c>
      <c r="C4365" s="232" t="str">
        <f>IF(AND(A4365&lt;&gt;"",ISNUMBER(A4365)),VLOOKUP(A4365,Studies!A:BR,3,FALSE),"")</f>
        <v>https://www.ncbi.nlm.nih.gov/pubmed/6473487</v>
      </c>
      <c r="D4365" s="232" t="str">
        <f>IF(AND(A4365&lt;&gt;"",ISNUMBER(A4365)),VLOOKUP(A4365,Studies!A:BR,4,FALSE),"")</f>
        <v>Individual 16 (1200 mg, 2 h infusion)</v>
      </c>
      <c r="E4365" s="206" t="str">
        <f>IF(AND(A4365&lt;&gt;"",ISNUMBER(A4365)),VLOOKUP(A4365,Studies!A:BR,5,FALSE),"")</f>
        <v>Rifampicin</v>
      </c>
      <c r="F4365" s="207" t="str">
        <f>IF(AND(A4365&lt;&gt;"",ISNUMBER(A4365)),VLOOKUP(A4365,Studies!A:BR,6,FALSE),"")</f>
        <v>Serum</v>
      </c>
      <c r="G4365" s="194">
        <v>1</v>
      </c>
      <c r="H4365" s="194" t="s">
        <v>60</v>
      </c>
      <c r="I4365" s="187">
        <v>11.23</v>
      </c>
      <c r="J4365" s="187" t="s">
        <v>1054</v>
      </c>
      <c r="K4365" s="187" t="s">
        <v>264</v>
      </c>
      <c r="L4365" s="195"/>
      <c r="M4365" s="195"/>
      <c r="N4365" s="195"/>
      <c r="O4365" s="199"/>
      <c r="P4365" s="188"/>
    </row>
    <row r="4366" spans="1:16" s="183" customFormat="1" x14ac:dyDescent="0.2">
      <c r="A4366" s="189">
        <v>45</v>
      </c>
      <c r="B4366" s="232" t="str">
        <f>IF(AND(A4366&lt;&gt;"",ISNUMBER(A4366)),VLOOKUP(A4366,Studies!A:BR,2,FALSE),"")</f>
        <v>Acocella 1984</v>
      </c>
      <c r="C4366" s="232" t="str">
        <f>IF(AND(A4366&lt;&gt;"",ISNUMBER(A4366)),VLOOKUP(A4366,Studies!A:BR,3,FALSE),"")</f>
        <v>https://www.ncbi.nlm.nih.gov/pubmed/6473487</v>
      </c>
      <c r="D4366" s="232" t="str">
        <f>IF(AND(A4366&lt;&gt;"",ISNUMBER(A4366)),VLOOKUP(A4366,Studies!A:BR,4,FALSE),"")</f>
        <v>Individual 16 (1200 mg, 2 h infusion)</v>
      </c>
      <c r="E4366" s="206" t="str">
        <f>IF(AND(A4366&lt;&gt;"",ISNUMBER(A4366)),VLOOKUP(A4366,Studies!A:BR,5,FALSE),"")</f>
        <v>Rifampicin</v>
      </c>
      <c r="F4366" s="207" t="str">
        <f>IF(AND(A4366&lt;&gt;"",ISNUMBER(A4366)),VLOOKUP(A4366,Studies!A:BR,6,FALSE),"")</f>
        <v>Serum</v>
      </c>
      <c r="G4366" s="194">
        <v>1.5</v>
      </c>
      <c r="H4366" s="194" t="s">
        <v>60</v>
      </c>
      <c r="I4366" s="187">
        <v>14.65</v>
      </c>
      <c r="J4366" s="187" t="s">
        <v>1054</v>
      </c>
      <c r="K4366" s="187" t="s">
        <v>264</v>
      </c>
      <c r="L4366" s="195"/>
      <c r="M4366" s="195"/>
      <c r="N4366" s="195"/>
      <c r="O4366" s="199"/>
      <c r="P4366" s="188"/>
    </row>
    <row r="4367" spans="1:16" s="183" customFormat="1" x14ac:dyDescent="0.2">
      <c r="A4367" s="189">
        <v>45</v>
      </c>
      <c r="B4367" s="232" t="str">
        <f>IF(AND(A4367&lt;&gt;"",ISNUMBER(A4367)),VLOOKUP(A4367,Studies!A:BR,2,FALSE),"")</f>
        <v>Acocella 1984</v>
      </c>
      <c r="C4367" s="232" t="str">
        <f>IF(AND(A4367&lt;&gt;"",ISNUMBER(A4367)),VLOOKUP(A4367,Studies!A:BR,3,FALSE),"")</f>
        <v>https://www.ncbi.nlm.nih.gov/pubmed/6473487</v>
      </c>
      <c r="D4367" s="232" t="str">
        <f>IF(AND(A4367&lt;&gt;"",ISNUMBER(A4367)),VLOOKUP(A4367,Studies!A:BR,4,FALSE),"")</f>
        <v>Individual 16 (1200 mg, 2 h infusion)</v>
      </c>
      <c r="E4367" s="206" t="str">
        <f>IF(AND(A4367&lt;&gt;"",ISNUMBER(A4367)),VLOOKUP(A4367,Studies!A:BR,5,FALSE),"")</f>
        <v>Rifampicin</v>
      </c>
      <c r="F4367" s="207" t="str">
        <f>IF(AND(A4367&lt;&gt;"",ISNUMBER(A4367)),VLOOKUP(A4367,Studies!A:BR,6,FALSE),"")</f>
        <v>Serum</v>
      </c>
      <c r="G4367" s="194">
        <v>2</v>
      </c>
      <c r="H4367" s="194" t="s">
        <v>60</v>
      </c>
      <c r="I4367" s="187">
        <v>15.89</v>
      </c>
      <c r="J4367" s="187" t="s">
        <v>1054</v>
      </c>
      <c r="K4367" s="187" t="s">
        <v>264</v>
      </c>
      <c r="L4367" s="195"/>
      <c r="M4367" s="195"/>
      <c r="N4367" s="195"/>
      <c r="O4367" s="199"/>
      <c r="P4367" s="188"/>
    </row>
    <row r="4368" spans="1:16" s="183" customFormat="1" x14ac:dyDescent="0.2">
      <c r="A4368" s="189">
        <v>45</v>
      </c>
      <c r="B4368" s="232" t="str">
        <f>IF(AND(A4368&lt;&gt;"",ISNUMBER(A4368)),VLOOKUP(A4368,Studies!A:BR,2,FALSE),"")</f>
        <v>Acocella 1984</v>
      </c>
      <c r="C4368" s="232" t="str">
        <f>IF(AND(A4368&lt;&gt;"",ISNUMBER(A4368)),VLOOKUP(A4368,Studies!A:BR,3,FALSE),"")</f>
        <v>https://www.ncbi.nlm.nih.gov/pubmed/6473487</v>
      </c>
      <c r="D4368" s="232" t="str">
        <f>IF(AND(A4368&lt;&gt;"",ISNUMBER(A4368)),VLOOKUP(A4368,Studies!A:BR,4,FALSE),"")</f>
        <v>Individual 16 (1200 mg, 2 h infusion)</v>
      </c>
      <c r="E4368" s="206" t="str">
        <f>IF(AND(A4368&lt;&gt;"",ISNUMBER(A4368)),VLOOKUP(A4368,Studies!A:BR,5,FALSE),"")</f>
        <v>Rifampicin</v>
      </c>
      <c r="F4368" s="207" t="str">
        <f>IF(AND(A4368&lt;&gt;"",ISNUMBER(A4368)),VLOOKUP(A4368,Studies!A:BR,6,FALSE),"")</f>
        <v>Serum</v>
      </c>
      <c r="G4368" s="194">
        <v>4</v>
      </c>
      <c r="H4368" s="194" t="s">
        <v>60</v>
      </c>
      <c r="I4368" s="187">
        <v>11.16</v>
      </c>
      <c r="J4368" s="187" t="s">
        <v>1054</v>
      </c>
      <c r="K4368" s="187" t="s">
        <v>264</v>
      </c>
      <c r="L4368" s="195"/>
      <c r="M4368" s="195"/>
      <c r="N4368" s="195"/>
      <c r="O4368" s="199"/>
      <c r="P4368" s="188"/>
    </row>
    <row r="4369" spans="1:16" s="183" customFormat="1" x14ac:dyDescent="0.2">
      <c r="A4369" s="189">
        <v>45</v>
      </c>
      <c r="B4369" s="232" t="str">
        <f>IF(AND(A4369&lt;&gt;"",ISNUMBER(A4369)),VLOOKUP(A4369,Studies!A:BR,2,FALSE),"")</f>
        <v>Acocella 1984</v>
      </c>
      <c r="C4369" s="232" t="str">
        <f>IF(AND(A4369&lt;&gt;"",ISNUMBER(A4369)),VLOOKUP(A4369,Studies!A:BR,3,FALSE),"")</f>
        <v>https://www.ncbi.nlm.nih.gov/pubmed/6473487</v>
      </c>
      <c r="D4369" s="232" t="str">
        <f>IF(AND(A4369&lt;&gt;"",ISNUMBER(A4369)),VLOOKUP(A4369,Studies!A:BR,4,FALSE),"")</f>
        <v>Individual 16 (1200 mg, 2 h infusion)</v>
      </c>
      <c r="E4369" s="206" t="str">
        <f>IF(AND(A4369&lt;&gt;"",ISNUMBER(A4369)),VLOOKUP(A4369,Studies!A:BR,5,FALSE),"")</f>
        <v>Rifampicin</v>
      </c>
      <c r="F4369" s="207" t="str">
        <f>IF(AND(A4369&lt;&gt;"",ISNUMBER(A4369)),VLOOKUP(A4369,Studies!A:BR,6,FALSE),"")</f>
        <v>Serum</v>
      </c>
      <c r="G4369" s="194">
        <v>8</v>
      </c>
      <c r="H4369" s="194" t="s">
        <v>60</v>
      </c>
      <c r="I4369" s="187">
        <v>5.18</v>
      </c>
      <c r="J4369" s="187" t="s">
        <v>1054</v>
      </c>
      <c r="K4369" s="187" t="s">
        <v>264</v>
      </c>
      <c r="L4369" s="195"/>
      <c r="M4369" s="195"/>
      <c r="N4369" s="195"/>
      <c r="O4369" s="199"/>
      <c r="P4369" s="188"/>
    </row>
    <row r="4370" spans="1:16" s="183" customFormat="1" x14ac:dyDescent="0.2">
      <c r="A4370" s="189">
        <v>46</v>
      </c>
      <c r="B4370" s="232" t="str">
        <f>IF(AND(A4370&lt;&gt;"",ISNUMBER(A4370)),VLOOKUP(A4370,Studies!A:BR,2,FALSE),"")</f>
        <v>Acocella 1984</v>
      </c>
      <c r="C4370" s="232" t="str">
        <f>IF(AND(A4370&lt;&gt;"",ISNUMBER(A4370)),VLOOKUP(A4370,Studies!A:BR,3,FALSE),"")</f>
        <v>https://www.ncbi.nlm.nih.gov/pubmed/6473487</v>
      </c>
      <c r="D4370" s="232" t="str">
        <f>IF(AND(A4370&lt;&gt;"",ISNUMBER(A4370)),VLOOKUP(A4370,Studies!A:BR,4,FALSE),"")</f>
        <v>Individual 17 (1200 mg, 1 h infusion)</v>
      </c>
      <c r="E4370" s="206" t="str">
        <f>IF(AND(A4370&lt;&gt;"",ISNUMBER(A4370)),VLOOKUP(A4370,Studies!A:BR,5,FALSE),"")</f>
        <v>Rifampicin</v>
      </c>
      <c r="F4370" s="207" t="str">
        <f>IF(AND(A4370&lt;&gt;"",ISNUMBER(A4370)),VLOOKUP(A4370,Studies!A:BR,6,FALSE),"")</f>
        <v>Serum</v>
      </c>
      <c r="G4370" s="194">
        <v>0.17</v>
      </c>
      <c r="H4370" s="194" t="s">
        <v>60</v>
      </c>
      <c r="I4370" s="187">
        <v>10.42</v>
      </c>
      <c r="J4370" s="187" t="s">
        <v>1054</v>
      </c>
      <c r="K4370" s="187" t="s">
        <v>264</v>
      </c>
      <c r="L4370" s="195"/>
      <c r="M4370" s="195"/>
      <c r="N4370" s="195"/>
      <c r="O4370" s="199"/>
      <c r="P4370" s="188"/>
    </row>
    <row r="4371" spans="1:16" s="183" customFormat="1" x14ac:dyDescent="0.2">
      <c r="A4371" s="189">
        <v>46</v>
      </c>
      <c r="B4371" s="232" t="str">
        <f>IF(AND(A4371&lt;&gt;"",ISNUMBER(A4371)),VLOOKUP(A4371,Studies!A:BR,2,FALSE),"")</f>
        <v>Acocella 1984</v>
      </c>
      <c r="C4371" s="232" t="str">
        <f>IF(AND(A4371&lt;&gt;"",ISNUMBER(A4371)),VLOOKUP(A4371,Studies!A:BR,3,FALSE),"")</f>
        <v>https://www.ncbi.nlm.nih.gov/pubmed/6473487</v>
      </c>
      <c r="D4371" s="232" t="str">
        <f>IF(AND(A4371&lt;&gt;"",ISNUMBER(A4371)),VLOOKUP(A4371,Studies!A:BR,4,FALSE),"")</f>
        <v>Individual 17 (1200 mg, 1 h infusion)</v>
      </c>
      <c r="E4371" s="206" t="str">
        <f>IF(AND(A4371&lt;&gt;"",ISNUMBER(A4371)),VLOOKUP(A4371,Studies!A:BR,5,FALSE),"")</f>
        <v>Rifampicin</v>
      </c>
      <c r="F4371" s="207" t="str">
        <f>IF(AND(A4371&lt;&gt;"",ISNUMBER(A4371)),VLOOKUP(A4371,Studies!A:BR,6,FALSE),"")</f>
        <v>Serum</v>
      </c>
      <c r="G4371" s="194">
        <v>0.5</v>
      </c>
      <c r="H4371" s="194" t="s">
        <v>60</v>
      </c>
      <c r="I4371" s="187">
        <v>24.93</v>
      </c>
      <c r="J4371" s="187" t="s">
        <v>1054</v>
      </c>
      <c r="K4371" s="187" t="s">
        <v>264</v>
      </c>
      <c r="L4371" s="195"/>
      <c r="M4371" s="195"/>
      <c r="N4371" s="195"/>
      <c r="O4371" s="199"/>
      <c r="P4371" s="188"/>
    </row>
    <row r="4372" spans="1:16" s="183" customFormat="1" x14ac:dyDescent="0.2">
      <c r="A4372" s="189">
        <v>46</v>
      </c>
      <c r="B4372" s="232" t="str">
        <f>IF(AND(A4372&lt;&gt;"",ISNUMBER(A4372)),VLOOKUP(A4372,Studies!A:BR,2,FALSE),"")</f>
        <v>Acocella 1984</v>
      </c>
      <c r="C4372" s="232" t="str">
        <f>IF(AND(A4372&lt;&gt;"",ISNUMBER(A4372)),VLOOKUP(A4372,Studies!A:BR,3,FALSE),"")</f>
        <v>https://www.ncbi.nlm.nih.gov/pubmed/6473487</v>
      </c>
      <c r="D4372" s="232" t="str">
        <f>IF(AND(A4372&lt;&gt;"",ISNUMBER(A4372)),VLOOKUP(A4372,Studies!A:BR,4,FALSE),"")</f>
        <v>Individual 17 (1200 mg, 1 h infusion)</v>
      </c>
      <c r="E4372" s="206" t="str">
        <f>IF(AND(A4372&lt;&gt;"",ISNUMBER(A4372)),VLOOKUP(A4372,Studies!A:BR,5,FALSE),"")</f>
        <v>Rifampicin</v>
      </c>
      <c r="F4372" s="207" t="str">
        <f>IF(AND(A4372&lt;&gt;"",ISNUMBER(A4372)),VLOOKUP(A4372,Studies!A:BR,6,FALSE),"")</f>
        <v>Serum</v>
      </c>
      <c r="G4372" s="194">
        <v>1</v>
      </c>
      <c r="H4372" s="194" t="s">
        <v>60</v>
      </c>
      <c r="I4372" s="187">
        <v>31.13</v>
      </c>
      <c r="J4372" s="187" t="s">
        <v>1054</v>
      </c>
      <c r="K4372" s="187" t="s">
        <v>264</v>
      </c>
      <c r="L4372" s="195"/>
      <c r="M4372" s="195"/>
      <c r="N4372" s="195"/>
      <c r="O4372" s="199"/>
      <c r="P4372" s="188"/>
    </row>
    <row r="4373" spans="1:16" s="183" customFormat="1" x14ac:dyDescent="0.2">
      <c r="A4373" s="189">
        <v>46</v>
      </c>
      <c r="B4373" s="232" t="str">
        <f>IF(AND(A4373&lt;&gt;"",ISNUMBER(A4373)),VLOOKUP(A4373,Studies!A:BR,2,FALSE),"")</f>
        <v>Acocella 1984</v>
      </c>
      <c r="C4373" s="232" t="str">
        <f>IF(AND(A4373&lt;&gt;"",ISNUMBER(A4373)),VLOOKUP(A4373,Studies!A:BR,3,FALSE),"")</f>
        <v>https://www.ncbi.nlm.nih.gov/pubmed/6473487</v>
      </c>
      <c r="D4373" s="232" t="str">
        <f>IF(AND(A4373&lt;&gt;"",ISNUMBER(A4373)),VLOOKUP(A4373,Studies!A:BR,4,FALSE),"")</f>
        <v>Individual 17 (1200 mg, 1 h infusion)</v>
      </c>
      <c r="E4373" s="206" t="str">
        <f>IF(AND(A4373&lt;&gt;"",ISNUMBER(A4373)),VLOOKUP(A4373,Studies!A:BR,5,FALSE),"")</f>
        <v>Rifampicin</v>
      </c>
      <c r="F4373" s="207" t="str">
        <f>IF(AND(A4373&lt;&gt;"",ISNUMBER(A4373)),VLOOKUP(A4373,Studies!A:BR,6,FALSE),"")</f>
        <v>Serum</v>
      </c>
      <c r="G4373" s="194">
        <v>1.5</v>
      </c>
      <c r="H4373" s="194" t="s">
        <v>60</v>
      </c>
      <c r="I4373" s="187">
        <v>19.940000000000001</v>
      </c>
      <c r="J4373" s="187" t="s">
        <v>1054</v>
      </c>
      <c r="K4373" s="187" t="s">
        <v>264</v>
      </c>
      <c r="L4373" s="195"/>
      <c r="M4373" s="195"/>
      <c r="N4373" s="195"/>
      <c r="O4373" s="199"/>
      <c r="P4373" s="188"/>
    </row>
    <row r="4374" spans="1:16" s="183" customFormat="1" x14ac:dyDescent="0.2">
      <c r="A4374" s="189">
        <v>46</v>
      </c>
      <c r="B4374" s="232" t="str">
        <f>IF(AND(A4374&lt;&gt;"",ISNUMBER(A4374)),VLOOKUP(A4374,Studies!A:BR,2,FALSE),"")</f>
        <v>Acocella 1984</v>
      </c>
      <c r="C4374" s="232" t="str">
        <f>IF(AND(A4374&lt;&gt;"",ISNUMBER(A4374)),VLOOKUP(A4374,Studies!A:BR,3,FALSE),"")</f>
        <v>https://www.ncbi.nlm.nih.gov/pubmed/6473487</v>
      </c>
      <c r="D4374" s="232" t="str">
        <f>IF(AND(A4374&lt;&gt;"",ISNUMBER(A4374)),VLOOKUP(A4374,Studies!A:BR,4,FALSE),"")</f>
        <v>Individual 17 (1200 mg, 1 h infusion)</v>
      </c>
      <c r="E4374" s="206" t="str">
        <f>IF(AND(A4374&lt;&gt;"",ISNUMBER(A4374)),VLOOKUP(A4374,Studies!A:BR,5,FALSE),"")</f>
        <v>Rifampicin</v>
      </c>
      <c r="F4374" s="207" t="str">
        <f>IF(AND(A4374&lt;&gt;"",ISNUMBER(A4374)),VLOOKUP(A4374,Studies!A:BR,6,FALSE),"")</f>
        <v>Serum</v>
      </c>
      <c r="G4374" s="194">
        <v>2</v>
      </c>
      <c r="H4374" s="194" t="s">
        <v>60</v>
      </c>
      <c r="I4374" s="187">
        <v>18.399999999999999</v>
      </c>
      <c r="J4374" s="187" t="s">
        <v>1054</v>
      </c>
      <c r="K4374" s="187" t="s">
        <v>264</v>
      </c>
      <c r="L4374" s="195"/>
      <c r="M4374" s="195"/>
      <c r="N4374" s="195"/>
      <c r="O4374" s="199"/>
      <c r="P4374" s="188"/>
    </row>
    <row r="4375" spans="1:16" s="183" customFormat="1" x14ac:dyDescent="0.2">
      <c r="A4375" s="189">
        <v>46</v>
      </c>
      <c r="B4375" s="232" t="str">
        <f>IF(AND(A4375&lt;&gt;"",ISNUMBER(A4375)),VLOOKUP(A4375,Studies!A:BR,2,FALSE),"")</f>
        <v>Acocella 1984</v>
      </c>
      <c r="C4375" s="232" t="str">
        <f>IF(AND(A4375&lt;&gt;"",ISNUMBER(A4375)),VLOOKUP(A4375,Studies!A:BR,3,FALSE),"")</f>
        <v>https://www.ncbi.nlm.nih.gov/pubmed/6473487</v>
      </c>
      <c r="D4375" s="232" t="str">
        <f>IF(AND(A4375&lt;&gt;"",ISNUMBER(A4375)),VLOOKUP(A4375,Studies!A:BR,4,FALSE),"")</f>
        <v>Individual 17 (1200 mg, 1 h infusion)</v>
      </c>
      <c r="E4375" s="206" t="str">
        <f>IF(AND(A4375&lt;&gt;"",ISNUMBER(A4375)),VLOOKUP(A4375,Studies!A:BR,5,FALSE),"")</f>
        <v>Rifampicin</v>
      </c>
      <c r="F4375" s="207" t="str">
        <f>IF(AND(A4375&lt;&gt;"",ISNUMBER(A4375)),VLOOKUP(A4375,Studies!A:BR,6,FALSE),"")</f>
        <v>Serum</v>
      </c>
      <c r="G4375" s="194">
        <v>4</v>
      </c>
      <c r="H4375" s="194" t="s">
        <v>60</v>
      </c>
      <c r="I4375" s="187">
        <v>23.45</v>
      </c>
      <c r="J4375" s="187" t="s">
        <v>1054</v>
      </c>
      <c r="K4375" s="187" t="s">
        <v>264</v>
      </c>
      <c r="L4375" s="195"/>
      <c r="M4375" s="195"/>
      <c r="N4375" s="195"/>
      <c r="O4375" s="199"/>
      <c r="P4375" s="188"/>
    </row>
    <row r="4376" spans="1:16" s="183" customFormat="1" x14ac:dyDescent="0.2">
      <c r="A4376" s="189">
        <v>46</v>
      </c>
      <c r="B4376" s="232" t="str">
        <f>IF(AND(A4376&lt;&gt;"",ISNUMBER(A4376)),VLOOKUP(A4376,Studies!A:BR,2,FALSE),"")</f>
        <v>Acocella 1984</v>
      </c>
      <c r="C4376" s="232" t="str">
        <f>IF(AND(A4376&lt;&gt;"",ISNUMBER(A4376)),VLOOKUP(A4376,Studies!A:BR,3,FALSE),"")</f>
        <v>https://www.ncbi.nlm.nih.gov/pubmed/6473487</v>
      </c>
      <c r="D4376" s="232" t="str">
        <f>IF(AND(A4376&lt;&gt;"",ISNUMBER(A4376)),VLOOKUP(A4376,Studies!A:BR,4,FALSE),"")</f>
        <v>Individual 17 (1200 mg, 1 h infusion)</v>
      </c>
      <c r="E4376" s="206" t="str">
        <f>IF(AND(A4376&lt;&gt;"",ISNUMBER(A4376)),VLOOKUP(A4376,Studies!A:BR,5,FALSE),"")</f>
        <v>Rifampicin</v>
      </c>
      <c r="F4376" s="207" t="str">
        <f>IF(AND(A4376&lt;&gt;"",ISNUMBER(A4376)),VLOOKUP(A4376,Studies!A:BR,6,FALSE),"")</f>
        <v>Serum</v>
      </c>
      <c r="G4376" s="194">
        <v>8</v>
      </c>
      <c r="H4376" s="194" t="s">
        <v>60</v>
      </c>
      <c r="I4376" s="187">
        <v>10.85</v>
      </c>
      <c r="J4376" s="187" t="s">
        <v>1054</v>
      </c>
      <c r="K4376" s="187" t="s">
        <v>264</v>
      </c>
      <c r="L4376" s="195"/>
      <c r="M4376" s="195"/>
      <c r="N4376" s="195"/>
      <c r="O4376" s="199"/>
      <c r="P4376" s="188"/>
    </row>
    <row r="4377" spans="1:16" s="183" customFormat="1" x14ac:dyDescent="0.2">
      <c r="A4377" s="189">
        <v>47</v>
      </c>
      <c r="B4377" s="232" t="str">
        <f>IF(AND(A4377&lt;&gt;"",ISNUMBER(A4377)),VLOOKUP(A4377,Studies!A:BR,2,FALSE),"")</f>
        <v>Acocella 1984</v>
      </c>
      <c r="C4377" s="232" t="str">
        <f>IF(AND(A4377&lt;&gt;"",ISNUMBER(A4377)),VLOOKUP(A4377,Studies!A:BR,3,FALSE),"")</f>
        <v>https://www.ncbi.nlm.nih.gov/pubmed/6473487</v>
      </c>
      <c r="D4377" s="232" t="str">
        <f>IF(AND(A4377&lt;&gt;"",ISNUMBER(A4377)),VLOOKUP(A4377,Studies!A:BR,4,FALSE),"")</f>
        <v>Individual 18 (1200 mg, 1 h infusion)</v>
      </c>
      <c r="E4377" s="206" t="str">
        <f>IF(AND(A4377&lt;&gt;"",ISNUMBER(A4377)),VLOOKUP(A4377,Studies!A:BR,5,FALSE),"")</f>
        <v>Rifampicin</v>
      </c>
      <c r="F4377" s="207" t="str">
        <f>IF(AND(A4377&lt;&gt;"",ISNUMBER(A4377)),VLOOKUP(A4377,Studies!A:BR,6,FALSE),"")</f>
        <v>Serum</v>
      </c>
      <c r="G4377" s="194">
        <v>0.17</v>
      </c>
      <c r="H4377" s="194" t="s">
        <v>60</v>
      </c>
      <c r="I4377" s="187">
        <v>9.52</v>
      </c>
      <c r="J4377" s="187" t="s">
        <v>1054</v>
      </c>
      <c r="K4377" s="187" t="s">
        <v>264</v>
      </c>
      <c r="L4377" s="195"/>
      <c r="M4377" s="195"/>
      <c r="N4377" s="195"/>
      <c r="O4377" s="199"/>
      <c r="P4377" s="188"/>
    </row>
    <row r="4378" spans="1:16" s="183" customFormat="1" x14ac:dyDescent="0.2">
      <c r="A4378" s="189">
        <v>47</v>
      </c>
      <c r="B4378" s="232" t="str">
        <f>IF(AND(A4378&lt;&gt;"",ISNUMBER(A4378)),VLOOKUP(A4378,Studies!A:BR,2,FALSE),"")</f>
        <v>Acocella 1984</v>
      </c>
      <c r="C4378" s="232" t="str">
        <f>IF(AND(A4378&lt;&gt;"",ISNUMBER(A4378)),VLOOKUP(A4378,Studies!A:BR,3,FALSE),"")</f>
        <v>https://www.ncbi.nlm.nih.gov/pubmed/6473487</v>
      </c>
      <c r="D4378" s="232" t="str">
        <f>IF(AND(A4378&lt;&gt;"",ISNUMBER(A4378)),VLOOKUP(A4378,Studies!A:BR,4,FALSE),"")</f>
        <v>Individual 18 (1200 mg, 1 h infusion)</v>
      </c>
      <c r="E4378" s="206" t="str">
        <f>IF(AND(A4378&lt;&gt;"",ISNUMBER(A4378)),VLOOKUP(A4378,Studies!A:BR,5,FALSE),"")</f>
        <v>Rifampicin</v>
      </c>
      <c r="F4378" s="207" t="str">
        <f>IF(AND(A4378&lt;&gt;"",ISNUMBER(A4378)),VLOOKUP(A4378,Studies!A:BR,6,FALSE),"")</f>
        <v>Serum</v>
      </c>
      <c r="G4378" s="194">
        <v>0.5</v>
      </c>
      <c r="H4378" s="194" t="s">
        <v>60</v>
      </c>
      <c r="I4378" s="187">
        <v>19.91</v>
      </c>
      <c r="J4378" s="187" t="s">
        <v>1054</v>
      </c>
      <c r="K4378" s="187" t="s">
        <v>264</v>
      </c>
      <c r="L4378" s="195"/>
      <c r="M4378" s="195"/>
      <c r="N4378" s="195"/>
      <c r="O4378" s="199"/>
      <c r="P4378" s="188"/>
    </row>
    <row r="4379" spans="1:16" s="183" customFormat="1" x14ac:dyDescent="0.2">
      <c r="A4379" s="189">
        <v>47</v>
      </c>
      <c r="B4379" s="232" t="str">
        <f>IF(AND(A4379&lt;&gt;"",ISNUMBER(A4379)),VLOOKUP(A4379,Studies!A:BR,2,FALSE),"")</f>
        <v>Acocella 1984</v>
      </c>
      <c r="C4379" s="232" t="str">
        <f>IF(AND(A4379&lt;&gt;"",ISNUMBER(A4379)),VLOOKUP(A4379,Studies!A:BR,3,FALSE),"")</f>
        <v>https://www.ncbi.nlm.nih.gov/pubmed/6473487</v>
      </c>
      <c r="D4379" s="232" t="str">
        <f>IF(AND(A4379&lt;&gt;"",ISNUMBER(A4379)),VLOOKUP(A4379,Studies!A:BR,4,FALSE),"")</f>
        <v>Individual 18 (1200 mg, 1 h infusion)</v>
      </c>
      <c r="E4379" s="206" t="str">
        <f>IF(AND(A4379&lt;&gt;"",ISNUMBER(A4379)),VLOOKUP(A4379,Studies!A:BR,5,FALSE),"")</f>
        <v>Rifampicin</v>
      </c>
      <c r="F4379" s="207" t="str">
        <f>IF(AND(A4379&lt;&gt;"",ISNUMBER(A4379)),VLOOKUP(A4379,Studies!A:BR,6,FALSE),"")</f>
        <v>Serum</v>
      </c>
      <c r="G4379" s="194">
        <v>1</v>
      </c>
      <c r="H4379" s="194" t="s">
        <v>60</v>
      </c>
      <c r="I4379" s="187">
        <v>38.42</v>
      </c>
      <c r="J4379" s="187" t="s">
        <v>1054</v>
      </c>
      <c r="K4379" s="187" t="s">
        <v>264</v>
      </c>
      <c r="L4379" s="195"/>
      <c r="M4379" s="195"/>
      <c r="N4379" s="195"/>
      <c r="O4379" s="199"/>
      <c r="P4379" s="188"/>
    </row>
    <row r="4380" spans="1:16" s="183" customFormat="1" x14ac:dyDescent="0.2">
      <c r="A4380" s="189">
        <v>47</v>
      </c>
      <c r="B4380" s="232" t="str">
        <f>IF(AND(A4380&lt;&gt;"",ISNUMBER(A4380)),VLOOKUP(A4380,Studies!A:BR,2,FALSE),"")</f>
        <v>Acocella 1984</v>
      </c>
      <c r="C4380" s="232" t="str">
        <f>IF(AND(A4380&lt;&gt;"",ISNUMBER(A4380)),VLOOKUP(A4380,Studies!A:BR,3,FALSE),"")</f>
        <v>https://www.ncbi.nlm.nih.gov/pubmed/6473487</v>
      </c>
      <c r="D4380" s="232" t="str">
        <f>IF(AND(A4380&lt;&gt;"",ISNUMBER(A4380)),VLOOKUP(A4380,Studies!A:BR,4,FALSE),"")</f>
        <v>Individual 18 (1200 mg, 1 h infusion)</v>
      </c>
      <c r="E4380" s="206" t="str">
        <f>IF(AND(A4380&lt;&gt;"",ISNUMBER(A4380)),VLOOKUP(A4380,Studies!A:BR,5,FALSE),"")</f>
        <v>Rifampicin</v>
      </c>
      <c r="F4380" s="207" t="str">
        <f>IF(AND(A4380&lt;&gt;"",ISNUMBER(A4380)),VLOOKUP(A4380,Studies!A:BR,6,FALSE),"")</f>
        <v>Serum</v>
      </c>
      <c r="G4380" s="194">
        <v>1.5</v>
      </c>
      <c r="H4380" s="194" t="s">
        <v>60</v>
      </c>
      <c r="I4380" s="187">
        <v>26.63</v>
      </c>
      <c r="J4380" s="187" t="s">
        <v>1054</v>
      </c>
      <c r="K4380" s="187" t="s">
        <v>264</v>
      </c>
      <c r="L4380" s="195"/>
      <c r="M4380" s="195"/>
      <c r="N4380" s="195"/>
      <c r="O4380" s="199"/>
      <c r="P4380" s="188"/>
    </row>
    <row r="4381" spans="1:16" s="183" customFormat="1" x14ac:dyDescent="0.2">
      <c r="A4381" s="189">
        <v>47</v>
      </c>
      <c r="B4381" s="232" t="str">
        <f>IF(AND(A4381&lt;&gt;"",ISNUMBER(A4381)),VLOOKUP(A4381,Studies!A:BR,2,FALSE),"")</f>
        <v>Acocella 1984</v>
      </c>
      <c r="C4381" s="232" t="str">
        <f>IF(AND(A4381&lt;&gt;"",ISNUMBER(A4381)),VLOOKUP(A4381,Studies!A:BR,3,FALSE),"")</f>
        <v>https://www.ncbi.nlm.nih.gov/pubmed/6473487</v>
      </c>
      <c r="D4381" s="232" t="str">
        <f>IF(AND(A4381&lt;&gt;"",ISNUMBER(A4381)),VLOOKUP(A4381,Studies!A:BR,4,FALSE),"")</f>
        <v>Individual 18 (1200 mg, 1 h infusion)</v>
      </c>
      <c r="E4381" s="206" t="str">
        <f>IF(AND(A4381&lt;&gt;"",ISNUMBER(A4381)),VLOOKUP(A4381,Studies!A:BR,5,FALSE),"")</f>
        <v>Rifampicin</v>
      </c>
      <c r="F4381" s="207" t="str">
        <f>IF(AND(A4381&lt;&gt;"",ISNUMBER(A4381)),VLOOKUP(A4381,Studies!A:BR,6,FALSE),"")</f>
        <v>Serum</v>
      </c>
      <c r="G4381" s="194">
        <v>2</v>
      </c>
      <c r="H4381" s="194" t="s">
        <v>60</v>
      </c>
      <c r="I4381" s="187">
        <v>25.02</v>
      </c>
      <c r="J4381" s="187" t="s">
        <v>1054</v>
      </c>
      <c r="K4381" s="187" t="s">
        <v>264</v>
      </c>
      <c r="L4381" s="195"/>
      <c r="M4381" s="195"/>
      <c r="N4381" s="195"/>
      <c r="O4381" s="199"/>
      <c r="P4381" s="188"/>
    </row>
    <row r="4382" spans="1:16" s="183" customFormat="1" x14ac:dyDescent="0.2">
      <c r="A4382" s="189">
        <v>47</v>
      </c>
      <c r="B4382" s="232" t="str">
        <f>IF(AND(A4382&lt;&gt;"",ISNUMBER(A4382)),VLOOKUP(A4382,Studies!A:BR,2,FALSE),"")</f>
        <v>Acocella 1984</v>
      </c>
      <c r="C4382" s="232" t="str">
        <f>IF(AND(A4382&lt;&gt;"",ISNUMBER(A4382)),VLOOKUP(A4382,Studies!A:BR,3,FALSE),"")</f>
        <v>https://www.ncbi.nlm.nih.gov/pubmed/6473487</v>
      </c>
      <c r="D4382" s="232" t="str">
        <f>IF(AND(A4382&lt;&gt;"",ISNUMBER(A4382)),VLOOKUP(A4382,Studies!A:BR,4,FALSE),"")</f>
        <v>Individual 18 (1200 mg, 1 h infusion)</v>
      </c>
      <c r="E4382" s="206" t="str">
        <f>IF(AND(A4382&lt;&gt;"",ISNUMBER(A4382)),VLOOKUP(A4382,Studies!A:BR,5,FALSE),"")</f>
        <v>Rifampicin</v>
      </c>
      <c r="F4382" s="207" t="str">
        <f>IF(AND(A4382&lt;&gt;"",ISNUMBER(A4382)),VLOOKUP(A4382,Studies!A:BR,6,FALSE),"")</f>
        <v>Serum</v>
      </c>
      <c r="G4382" s="194">
        <v>4</v>
      </c>
      <c r="H4382" s="194" t="s">
        <v>60</v>
      </c>
      <c r="I4382" s="187">
        <v>23.57</v>
      </c>
      <c r="J4382" s="187" t="s">
        <v>1054</v>
      </c>
      <c r="K4382" s="187" t="s">
        <v>264</v>
      </c>
      <c r="L4382" s="195"/>
      <c r="M4382" s="195"/>
      <c r="N4382" s="195"/>
      <c r="O4382" s="199"/>
      <c r="P4382" s="188"/>
    </row>
    <row r="4383" spans="1:16" s="183" customFormat="1" x14ac:dyDescent="0.2">
      <c r="A4383" s="189">
        <v>47</v>
      </c>
      <c r="B4383" s="232" t="str">
        <f>IF(AND(A4383&lt;&gt;"",ISNUMBER(A4383)),VLOOKUP(A4383,Studies!A:BR,2,FALSE),"")</f>
        <v>Acocella 1984</v>
      </c>
      <c r="C4383" s="232" t="str">
        <f>IF(AND(A4383&lt;&gt;"",ISNUMBER(A4383)),VLOOKUP(A4383,Studies!A:BR,3,FALSE),"")</f>
        <v>https://www.ncbi.nlm.nih.gov/pubmed/6473487</v>
      </c>
      <c r="D4383" s="232" t="str">
        <f>IF(AND(A4383&lt;&gt;"",ISNUMBER(A4383)),VLOOKUP(A4383,Studies!A:BR,4,FALSE),"")</f>
        <v>Individual 18 (1200 mg, 1 h infusion)</v>
      </c>
      <c r="E4383" s="206" t="str">
        <f>IF(AND(A4383&lt;&gt;"",ISNUMBER(A4383)),VLOOKUP(A4383,Studies!A:BR,5,FALSE),"")</f>
        <v>Rifampicin</v>
      </c>
      <c r="F4383" s="207" t="str">
        <f>IF(AND(A4383&lt;&gt;"",ISNUMBER(A4383)),VLOOKUP(A4383,Studies!A:BR,6,FALSE),"")</f>
        <v>Serum</v>
      </c>
      <c r="G4383" s="194">
        <v>8</v>
      </c>
      <c r="H4383" s="194" t="s">
        <v>60</v>
      </c>
      <c r="I4383" s="187">
        <v>13.27</v>
      </c>
      <c r="J4383" s="187" t="s">
        <v>1054</v>
      </c>
      <c r="K4383" s="187" t="s">
        <v>264</v>
      </c>
      <c r="L4383" s="195"/>
      <c r="M4383" s="195"/>
      <c r="N4383" s="195"/>
      <c r="O4383" s="199"/>
      <c r="P4383" s="188"/>
    </row>
    <row r="4384" spans="1:16" s="183" customFormat="1" x14ac:dyDescent="0.2">
      <c r="A4384" s="213">
        <v>372</v>
      </c>
      <c r="B4384" s="232" t="str">
        <f>IF(AND(A4384&lt;&gt;"",ISNUMBER(A4384)),VLOOKUP(A4384,Studies!A:BR,2,FALSE),"")</f>
        <v>Olkkola 1994</v>
      </c>
      <c r="C4384" s="232" t="str">
        <f>IF(AND(A4384&lt;&gt;"",ISNUMBER(A4384)),VLOOKUP(A4384,Studies!A:BR,3,FALSE),"")</f>
        <v>https://www.ncbi.nlm.nih.gov/pubmed/8181191</v>
      </c>
      <c r="D4384" s="232" t="str">
        <f>IF(AND(A4384&lt;&gt;"",ISNUMBER(A4384)),VLOOKUP(A4384,Studies!A:BR,4,FALSE),"")</f>
        <v>po with Perpetrator (Itraconazole)</v>
      </c>
      <c r="E4384" s="206" t="str">
        <f>IF(AND(A4384&lt;&gt;"",ISNUMBER(A4384)),VLOOKUP(A4384,Studies!A:BR,5,FALSE),"")</f>
        <v>Itraconazole</v>
      </c>
      <c r="F4384" s="207" t="str">
        <f>IF(AND(A4384&lt;&gt;"",ISNUMBER(A4384)),VLOOKUP(A4384,Studies!A:BR,6,FALSE),"")</f>
        <v>Plasma</v>
      </c>
      <c r="G4384" s="194">
        <v>73</v>
      </c>
      <c r="H4384" s="194" t="s">
        <v>60</v>
      </c>
      <c r="I4384" s="187">
        <v>0.1972476</v>
      </c>
      <c r="J4384" s="187" t="s">
        <v>1057</v>
      </c>
      <c r="K4384" s="187" t="s">
        <v>116</v>
      </c>
      <c r="L4384" s="195">
        <v>2.9607979999999999E-2</v>
      </c>
      <c r="M4384" s="195" t="s">
        <v>1057</v>
      </c>
      <c r="N4384" s="195" t="s">
        <v>1034</v>
      </c>
      <c r="O4384" s="199"/>
      <c r="P4384" s="188"/>
    </row>
    <row r="4385" spans="1:16" s="183" customFormat="1" x14ac:dyDescent="0.2">
      <c r="A4385" s="213">
        <v>372</v>
      </c>
      <c r="B4385" s="232" t="str">
        <f>IF(AND(A4385&lt;&gt;"",ISNUMBER(A4385)),VLOOKUP(A4385,Studies!A:BR,2,FALSE),"")</f>
        <v>Olkkola 1994</v>
      </c>
      <c r="C4385" s="232" t="str">
        <f>IF(AND(A4385&lt;&gt;"",ISNUMBER(A4385)),VLOOKUP(A4385,Studies!A:BR,3,FALSE),"")</f>
        <v>https://www.ncbi.nlm.nih.gov/pubmed/8181191</v>
      </c>
      <c r="D4385" s="232" t="str">
        <f>IF(AND(A4385&lt;&gt;"",ISNUMBER(A4385)),VLOOKUP(A4385,Studies!A:BR,4,FALSE),"")</f>
        <v>po with Perpetrator (Itraconazole)</v>
      </c>
      <c r="E4385" s="206" t="str">
        <f>IF(AND(A4385&lt;&gt;"",ISNUMBER(A4385)),VLOOKUP(A4385,Studies!A:BR,5,FALSE),"")</f>
        <v>Itraconazole</v>
      </c>
      <c r="F4385" s="207" t="str">
        <f>IF(AND(A4385&lt;&gt;"",ISNUMBER(A4385)),VLOOKUP(A4385,Studies!A:BR,6,FALSE),"")</f>
        <v>Plasma</v>
      </c>
      <c r="G4385" s="194">
        <v>73.5</v>
      </c>
      <c r="H4385" s="194" t="s">
        <v>60</v>
      </c>
      <c r="I4385" s="187">
        <v>0.28840169999999998</v>
      </c>
      <c r="J4385" s="187" t="s">
        <v>1057</v>
      </c>
      <c r="K4385" s="187" t="s">
        <v>116</v>
      </c>
      <c r="L4385" s="195">
        <v>3.99937E-2</v>
      </c>
      <c r="M4385" s="195" t="s">
        <v>1057</v>
      </c>
      <c r="N4385" s="195" t="s">
        <v>1034</v>
      </c>
      <c r="O4385" s="199"/>
      <c r="P4385" s="188"/>
    </row>
    <row r="4386" spans="1:16" s="183" customFormat="1" x14ac:dyDescent="0.2">
      <c r="A4386" s="213">
        <v>372</v>
      </c>
      <c r="B4386" s="232" t="str">
        <f>IF(AND(A4386&lt;&gt;"",ISNUMBER(A4386)),VLOOKUP(A4386,Studies!A:BR,2,FALSE),"")</f>
        <v>Olkkola 1994</v>
      </c>
      <c r="C4386" s="232" t="str">
        <f>IF(AND(A4386&lt;&gt;"",ISNUMBER(A4386)),VLOOKUP(A4386,Studies!A:BR,3,FALSE),"")</f>
        <v>https://www.ncbi.nlm.nih.gov/pubmed/8181191</v>
      </c>
      <c r="D4386" s="232" t="str">
        <f>IF(AND(A4386&lt;&gt;"",ISNUMBER(A4386)),VLOOKUP(A4386,Studies!A:BR,4,FALSE),"")</f>
        <v>po with Perpetrator (Itraconazole)</v>
      </c>
      <c r="E4386" s="206" t="str">
        <f>IF(AND(A4386&lt;&gt;"",ISNUMBER(A4386)),VLOOKUP(A4386,Studies!A:BR,5,FALSE),"")</f>
        <v>Itraconazole</v>
      </c>
      <c r="F4386" s="207" t="str">
        <f>IF(AND(A4386&lt;&gt;"",ISNUMBER(A4386)),VLOOKUP(A4386,Studies!A:BR,6,FALSE),"")</f>
        <v>Plasma</v>
      </c>
      <c r="G4386" s="194">
        <v>74</v>
      </c>
      <c r="H4386" s="194" t="s">
        <v>60</v>
      </c>
      <c r="I4386" s="187">
        <v>0.32849109999999998</v>
      </c>
      <c r="J4386" s="187" t="s">
        <v>1057</v>
      </c>
      <c r="K4386" s="187" t="s">
        <v>116</v>
      </c>
      <c r="L4386" s="195">
        <v>4.5558269999999998E-2</v>
      </c>
      <c r="M4386" s="195" t="s">
        <v>1057</v>
      </c>
      <c r="N4386" s="195" t="s">
        <v>1034</v>
      </c>
      <c r="O4386" s="199"/>
      <c r="P4386" s="188"/>
    </row>
    <row r="4387" spans="1:16" s="183" customFormat="1" x14ac:dyDescent="0.2">
      <c r="A4387" s="213">
        <v>372</v>
      </c>
      <c r="B4387" s="232" t="str">
        <f>IF(AND(A4387&lt;&gt;"",ISNUMBER(A4387)),VLOOKUP(A4387,Studies!A:BR,2,FALSE),"")</f>
        <v>Olkkola 1994</v>
      </c>
      <c r="C4387" s="232" t="str">
        <f>IF(AND(A4387&lt;&gt;"",ISNUMBER(A4387)),VLOOKUP(A4387,Studies!A:BR,3,FALSE),"")</f>
        <v>https://www.ncbi.nlm.nih.gov/pubmed/8181191</v>
      </c>
      <c r="D4387" s="232" t="str">
        <f>IF(AND(A4387&lt;&gt;"",ISNUMBER(A4387)),VLOOKUP(A4387,Studies!A:BR,4,FALSE),"")</f>
        <v>po with Perpetrator (Itraconazole)</v>
      </c>
      <c r="E4387" s="206" t="str">
        <f>IF(AND(A4387&lt;&gt;"",ISNUMBER(A4387)),VLOOKUP(A4387,Studies!A:BR,5,FALSE),"")</f>
        <v>Itraconazole</v>
      </c>
      <c r="F4387" s="207" t="str">
        <f>IF(AND(A4387&lt;&gt;"",ISNUMBER(A4387)),VLOOKUP(A4387,Studies!A:BR,6,FALSE),"")</f>
        <v>Plasma</v>
      </c>
      <c r="G4387" s="194">
        <v>74.5</v>
      </c>
      <c r="H4387" s="194" t="s">
        <v>60</v>
      </c>
      <c r="I4387" s="187">
        <v>0.3933159</v>
      </c>
      <c r="J4387" s="187" t="s">
        <v>1057</v>
      </c>
      <c r="K4387" s="187" t="s">
        <v>116</v>
      </c>
      <c r="L4387" s="195">
        <v>5.9045170000000001E-2</v>
      </c>
      <c r="M4387" s="195" t="s">
        <v>1057</v>
      </c>
      <c r="N4387" s="195" t="s">
        <v>1034</v>
      </c>
      <c r="O4387" s="199"/>
      <c r="P4387" s="188"/>
    </row>
    <row r="4388" spans="1:16" s="183" customFormat="1" x14ac:dyDescent="0.2">
      <c r="A4388" s="213">
        <v>372</v>
      </c>
      <c r="B4388" s="232" t="str">
        <f>IF(AND(A4388&lt;&gt;"",ISNUMBER(A4388)),VLOOKUP(A4388,Studies!A:BR,2,FALSE),"")</f>
        <v>Olkkola 1994</v>
      </c>
      <c r="C4388" s="232" t="str">
        <f>IF(AND(A4388&lt;&gt;"",ISNUMBER(A4388)),VLOOKUP(A4388,Studies!A:BR,3,FALSE),"")</f>
        <v>https://www.ncbi.nlm.nih.gov/pubmed/8181191</v>
      </c>
      <c r="D4388" s="232" t="str">
        <f>IF(AND(A4388&lt;&gt;"",ISNUMBER(A4388)),VLOOKUP(A4388,Studies!A:BR,4,FALSE),"")</f>
        <v>po with Perpetrator (Itraconazole)</v>
      </c>
      <c r="E4388" s="206" t="str">
        <f>IF(AND(A4388&lt;&gt;"",ISNUMBER(A4388)),VLOOKUP(A4388,Studies!A:BR,5,FALSE),"")</f>
        <v>Itraconazole</v>
      </c>
      <c r="F4388" s="207" t="str">
        <f>IF(AND(A4388&lt;&gt;"",ISNUMBER(A4388)),VLOOKUP(A4388,Studies!A:BR,6,FALSE),"")</f>
        <v>Plasma</v>
      </c>
      <c r="G4388" s="194">
        <v>75</v>
      </c>
      <c r="H4388" s="194" t="s">
        <v>60</v>
      </c>
      <c r="I4388" s="187">
        <v>0.39738040000000002</v>
      </c>
      <c r="J4388" s="187" t="s">
        <v>1057</v>
      </c>
      <c r="K4388" s="187" t="s">
        <v>116</v>
      </c>
      <c r="L4388" s="195">
        <v>4.4896329999999998E-2</v>
      </c>
      <c r="M4388" s="195" t="s">
        <v>1057</v>
      </c>
      <c r="N4388" s="195" t="s">
        <v>1034</v>
      </c>
      <c r="O4388" s="199"/>
      <c r="P4388" s="188"/>
    </row>
    <row r="4389" spans="1:16" s="183" customFormat="1" x14ac:dyDescent="0.2">
      <c r="A4389" s="213">
        <v>372</v>
      </c>
      <c r="B4389" s="232" t="str">
        <f>IF(AND(A4389&lt;&gt;"",ISNUMBER(A4389)),VLOOKUP(A4389,Studies!A:BR,2,FALSE),"")</f>
        <v>Olkkola 1994</v>
      </c>
      <c r="C4389" s="232" t="str">
        <f>IF(AND(A4389&lt;&gt;"",ISNUMBER(A4389)),VLOOKUP(A4389,Studies!A:BR,3,FALSE),"")</f>
        <v>https://www.ncbi.nlm.nih.gov/pubmed/8181191</v>
      </c>
      <c r="D4389" s="232" t="str">
        <f>IF(AND(A4389&lt;&gt;"",ISNUMBER(A4389)),VLOOKUP(A4389,Studies!A:BR,4,FALSE),"")</f>
        <v>po with Perpetrator (Itraconazole)</v>
      </c>
      <c r="E4389" s="206" t="str">
        <f>IF(AND(A4389&lt;&gt;"",ISNUMBER(A4389)),VLOOKUP(A4389,Studies!A:BR,5,FALSE),"")</f>
        <v>Itraconazole</v>
      </c>
      <c r="F4389" s="207" t="str">
        <f>IF(AND(A4389&lt;&gt;"",ISNUMBER(A4389)),VLOOKUP(A4389,Studies!A:BR,6,FALSE),"")</f>
        <v>Plasma</v>
      </c>
      <c r="G4389" s="194">
        <v>76</v>
      </c>
      <c r="H4389" s="194" t="s">
        <v>60</v>
      </c>
      <c r="I4389" s="187">
        <v>0.4482563</v>
      </c>
      <c r="J4389" s="187" t="s">
        <v>1057</v>
      </c>
      <c r="K4389" s="187" t="s">
        <v>116</v>
      </c>
      <c r="L4389" s="195">
        <v>5.063877E-2</v>
      </c>
      <c r="M4389" s="195" t="s">
        <v>1057</v>
      </c>
      <c r="N4389" s="195" t="s">
        <v>1034</v>
      </c>
      <c r="O4389" s="199"/>
      <c r="P4389" s="188"/>
    </row>
    <row r="4390" spans="1:16" s="183" customFormat="1" x14ac:dyDescent="0.2">
      <c r="A4390" s="213">
        <v>372</v>
      </c>
      <c r="B4390" s="232" t="str">
        <f>IF(AND(A4390&lt;&gt;"",ISNUMBER(A4390)),VLOOKUP(A4390,Studies!A:BR,2,FALSE),"")</f>
        <v>Olkkola 1994</v>
      </c>
      <c r="C4390" s="232" t="str">
        <f>IF(AND(A4390&lt;&gt;"",ISNUMBER(A4390)),VLOOKUP(A4390,Studies!A:BR,3,FALSE),"")</f>
        <v>https://www.ncbi.nlm.nih.gov/pubmed/8181191</v>
      </c>
      <c r="D4390" s="232" t="str">
        <f>IF(AND(A4390&lt;&gt;"",ISNUMBER(A4390)),VLOOKUP(A4390,Studies!A:BR,4,FALSE),"")</f>
        <v>po with Perpetrator (Itraconazole)</v>
      </c>
      <c r="E4390" s="206" t="str">
        <f>IF(AND(A4390&lt;&gt;"",ISNUMBER(A4390)),VLOOKUP(A4390,Studies!A:BR,5,FALSE),"")</f>
        <v>Itraconazole</v>
      </c>
      <c r="F4390" s="207" t="str">
        <f>IF(AND(A4390&lt;&gt;"",ISNUMBER(A4390)),VLOOKUP(A4390,Studies!A:BR,6,FALSE),"")</f>
        <v>Plasma</v>
      </c>
      <c r="G4390" s="194">
        <v>77</v>
      </c>
      <c r="H4390" s="194" t="s">
        <v>60</v>
      </c>
      <c r="I4390" s="187">
        <v>0.48583270000000001</v>
      </c>
      <c r="J4390" s="187" t="s">
        <v>1057</v>
      </c>
      <c r="K4390" s="187" t="s">
        <v>116</v>
      </c>
      <c r="L4390" s="195"/>
      <c r="M4390" s="195"/>
      <c r="N4390" s="195"/>
      <c r="O4390" s="199"/>
      <c r="P4390" s="188"/>
    </row>
    <row r="4391" spans="1:16" s="183" customFormat="1" x14ac:dyDescent="0.2">
      <c r="A4391" s="213">
        <v>372</v>
      </c>
      <c r="B4391" s="232" t="str">
        <f>IF(AND(A4391&lt;&gt;"",ISNUMBER(A4391)),VLOOKUP(A4391,Studies!A:BR,2,FALSE),"")</f>
        <v>Olkkola 1994</v>
      </c>
      <c r="C4391" s="232" t="str">
        <f>IF(AND(A4391&lt;&gt;"",ISNUMBER(A4391)),VLOOKUP(A4391,Studies!A:BR,3,FALSE),"")</f>
        <v>https://www.ncbi.nlm.nih.gov/pubmed/8181191</v>
      </c>
      <c r="D4391" s="232" t="str">
        <f>IF(AND(A4391&lt;&gt;"",ISNUMBER(A4391)),VLOOKUP(A4391,Studies!A:BR,4,FALSE),"")</f>
        <v>po with Perpetrator (Itraconazole)</v>
      </c>
      <c r="E4391" s="206" t="str">
        <f>IF(AND(A4391&lt;&gt;"",ISNUMBER(A4391)),VLOOKUP(A4391,Studies!A:BR,5,FALSE),"")</f>
        <v>Itraconazole</v>
      </c>
      <c r="F4391" s="207" t="str">
        <f>IF(AND(A4391&lt;&gt;"",ISNUMBER(A4391)),VLOOKUP(A4391,Studies!A:BR,6,FALSE),"")</f>
        <v>Plasma</v>
      </c>
      <c r="G4391" s="194">
        <v>78</v>
      </c>
      <c r="H4391" s="194" t="s">
        <v>60</v>
      </c>
      <c r="I4391" s="187">
        <v>0.41846939999999999</v>
      </c>
      <c r="J4391" s="187" t="s">
        <v>1057</v>
      </c>
      <c r="K4391" s="187" t="s">
        <v>116</v>
      </c>
      <c r="L4391" s="195">
        <v>5.3287859999999999E-2</v>
      </c>
      <c r="M4391" s="195" t="s">
        <v>1057</v>
      </c>
      <c r="N4391" s="195" t="s">
        <v>1034</v>
      </c>
      <c r="O4391" s="199"/>
      <c r="P4391" s="188"/>
    </row>
    <row r="4392" spans="1:16" s="183" customFormat="1" x14ac:dyDescent="0.2">
      <c r="A4392" s="213">
        <v>372</v>
      </c>
      <c r="B4392" s="232" t="str">
        <f>IF(AND(A4392&lt;&gt;"",ISNUMBER(A4392)),VLOOKUP(A4392,Studies!A:BR,2,FALSE),"")</f>
        <v>Olkkola 1994</v>
      </c>
      <c r="C4392" s="232" t="str">
        <f>IF(AND(A4392&lt;&gt;"",ISNUMBER(A4392)),VLOOKUP(A4392,Studies!A:BR,3,FALSE),"")</f>
        <v>https://www.ncbi.nlm.nih.gov/pubmed/8181191</v>
      </c>
      <c r="D4392" s="232" t="str">
        <f>IF(AND(A4392&lt;&gt;"",ISNUMBER(A4392)),VLOOKUP(A4392,Studies!A:BR,4,FALSE),"")</f>
        <v>po with Perpetrator (Itraconazole)</v>
      </c>
      <c r="E4392" s="206" t="str">
        <f>IF(AND(A4392&lt;&gt;"",ISNUMBER(A4392)),VLOOKUP(A4392,Studies!A:BR,5,FALSE),"")</f>
        <v>Itraconazole</v>
      </c>
      <c r="F4392" s="207" t="str">
        <f>IF(AND(A4392&lt;&gt;"",ISNUMBER(A4392)),VLOOKUP(A4392,Studies!A:BR,6,FALSE),"")</f>
        <v>Plasma</v>
      </c>
      <c r="G4392" s="194">
        <v>79</v>
      </c>
      <c r="H4392" s="194" t="s">
        <v>60</v>
      </c>
      <c r="I4392" s="187">
        <v>0.35331649999999998</v>
      </c>
      <c r="J4392" s="187" t="s">
        <v>1057</v>
      </c>
      <c r="K4392" s="187" t="s">
        <v>116</v>
      </c>
      <c r="L4392" s="195">
        <v>3.9913619999999997E-2</v>
      </c>
      <c r="M4392" s="195" t="s">
        <v>1057</v>
      </c>
      <c r="N4392" s="195" t="s">
        <v>1034</v>
      </c>
      <c r="O4392" s="199"/>
      <c r="P4392" s="188"/>
    </row>
    <row r="4393" spans="1:16" s="183" customFormat="1" x14ac:dyDescent="0.2">
      <c r="A4393" s="213">
        <v>372</v>
      </c>
      <c r="B4393" s="232" t="str">
        <f>IF(AND(A4393&lt;&gt;"",ISNUMBER(A4393)),VLOOKUP(A4393,Studies!A:BR,2,FALSE),"")</f>
        <v>Olkkola 1994</v>
      </c>
      <c r="C4393" s="232" t="str">
        <f>IF(AND(A4393&lt;&gt;"",ISNUMBER(A4393)),VLOOKUP(A4393,Studies!A:BR,3,FALSE),"")</f>
        <v>https://www.ncbi.nlm.nih.gov/pubmed/8181191</v>
      </c>
      <c r="D4393" s="232" t="str">
        <f>IF(AND(A4393&lt;&gt;"",ISNUMBER(A4393)),VLOOKUP(A4393,Studies!A:BR,4,FALSE),"")</f>
        <v>po with Perpetrator (Itraconazole)</v>
      </c>
      <c r="E4393" s="206" t="str">
        <f>IF(AND(A4393&lt;&gt;"",ISNUMBER(A4393)),VLOOKUP(A4393,Studies!A:BR,5,FALSE),"")</f>
        <v>Itraconazole</v>
      </c>
      <c r="F4393" s="207" t="str">
        <f>IF(AND(A4393&lt;&gt;"",ISNUMBER(A4393)),VLOOKUP(A4393,Studies!A:BR,6,FALSE),"")</f>
        <v>Plasma</v>
      </c>
      <c r="G4393" s="194">
        <v>80</v>
      </c>
      <c r="H4393" s="194" t="s">
        <v>60</v>
      </c>
      <c r="I4393" s="187">
        <v>0.32312550000000001</v>
      </c>
      <c r="J4393" s="187" t="s">
        <v>1057</v>
      </c>
      <c r="K4393" s="187" t="s">
        <v>116</v>
      </c>
      <c r="L4393" s="195">
        <v>3.753099E-2</v>
      </c>
      <c r="M4393" s="195" t="s">
        <v>1057</v>
      </c>
      <c r="N4393" s="195" t="s">
        <v>1034</v>
      </c>
      <c r="O4393" s="199"/>
      <c r="P4393" s="188"/>
    </row>
    <row r="4394" spans="1:16" s="183" customFormat="1" x14ac:dyDescent="0.2">
      <c r="A4394" s="213">
        <v>372</v>
      </c>
      <c r="B4394" s="232" t="str">
        <f>IF(AND(A4394&lt;&gt;"",ISNUMBER(A4394)),VLOOKUP(A4394,Studies!A:BR,2,FALSE),"")</f>
        <v>Olkkola 1994</v>
      </c>
      <c r="C4394" s="232" t="str">
        <f>IF(AND(A4394&lt;&gt;"",ISNUMBER(A4394)),VLOOKUP(A4394,Studies!A:BR,3,FALSE),"")</f>
        <v>https://www.ncbi.nlm.nih.gov/pubmed/8181191</v>
      </c>
      <c r="D4394" s="232" t="str">
        <f>IF(AND(A4394&lt;&gt;"",ISNUMBER(A4394)),VLOOKUP(A4394,Studies!A:BR,4,FALSE),"")</f>
        <v>po with Perpetrator (Itraconazole)</v>
      </c>
      <c r="E4394" s="206" t="str">
        <f>IF(AND(A4394&lt;&gt;"",ISNUMBER(A4394)),VLOOKUP(A4394,Studies!A:BR,5,FALSE),"")</f>
        <v>Itraconazole</v>
      </c>
      <c r="F4394" s="207" t="str">
        <f>IF(AND(A4394&lt;&gt;"",ISNUMBER(A4394)),VLOOKUP(A4394,Studies!A:BR,6,FALSE),"")</f>
        <v>Plasma</v>
      </c>
      <c r="G4394" s="194">
        <v>90</v>
      </c>
      <c r="H4394" s="194" t="s">
        <v>60</v>
      </c>
      <c r="I4394" s="187">
        <v>0.22685240000000001</v>
      </c>
      <c r="J4394" s="187" t="s">
        <v>1057</v>
      </c>
      <c r="K4394" s="187" t="s">
        <v>116</v>
      </c>
      <c r="L4394" s="195">
        <v>2.635239E-2</v>
      </c>
      <c r="M4394" s="195" t="s">
        <v>1057</v>
      </c>
      <c r="N4394" s="195" t="s">
        <v>1034</v>
      </c>
      <c r="O4394" s="199"/>
      <c r="P4394" s="188"/>
    </row>
    <row r="4395" spans="1:16" s="183" customFormat="1" x14ac:dyDescent="0.2">
      <c r="A4395" s="213">
        <v>373</v>
      </c>
      <c r="B4395" s="232" t="str">
        <f>IF(AND(A4395&lt;&gt;"",ISNUMBER(A4395)),VLOOKUP(A4395,Studies!A:BR,2,FALSE),"")</f>
        <v>Olkkola 1994</v>
      </c>
      <c r="C4395" s="232" t="str">
        <f>IF(AND(A4395&lt;&gt;"",ISNUMBER(A4395)),VLOOKUP(A4395,Studies!A:BR,3,FALSE),"")</f>
        <v>https://www.ncbi.nlm.nih.gov/pubmed/8181191</v>
      </c>
      <c r="D4395" s="232" t="str">
        <f>IF(AND(A4395&lt;&gt;"",ISNUMBER(A4395)),VLOOKUP(A4395,Studies!A:BR,4,FALSE),"")</f>
        <v>po with Perpetrator (Ketoconazole</v>
      </c>
      <c r="E4395" s="206" t="str">
        <f>IF(AND(A4395&lt;&gt;"",ISNUMBER(A4395)),VLOOKUP(A4395,Studies!A:BR,5,FALSE),"")</f>
        <v>Ketoconazole</v>
      </c>
      <c r="F4395" s="207" t="str">
        <f>IF(AND(A4395&lt;&gt;"",ISNUMBER(A4395)),VLOOKUP(A4395,Studies!A:BR,6,FALSE),"")</f>
        <v>Plasma</v>
      </c>
      <c r="G4395" s="194">
        <v>73</v>
      </c>
      <c r="H4395" s="194" t="s">
        <v>60</v>
      </c>
      <c r="I4395" s="187">
        <v>1.425681</v>
      </c>
      <c r="J4395" s="187" t="s">
        <v>1057</v>
      </c>
      <c r="K4395" s="187" t="s">
        <v>116</v>
      </c>
      <c r="L4395" s="195">
        <v>0.42282609999999998</v>
      </c>
      <c r="M4395" s="195" t="s">
        <v>1057</v>
      </c>
      <c r="N4395" s="195" t="s">
        <v>1034</v>
      </c>
      <c r="O4395" s="199"/>
      <c r="P4395" s="188"/>
    </row>
    <row r="4396" spans="1:16" s="183" customFormat="1" x14ac:dyDescent="0.2">
      <c r="A4396" s="213">
        <v>373</v>
      </c>
      <c r="B4396" s="232" t="str">
        <f>IF(AND(A4396&lt;&gt;"",ISNUMBER(A4396)),VLOOKUP(A4396,Studies!A:BR,2,FALSE),"")</f>
        <v>Olkkola 1994</v>
      </c>
      <c r="C4396" s="232" t="str">
        <f>IF(AND(A4396&lt;&gt;"",ISNUMBER(A4396)),VLOOKUP(A4396,Studies!A:BR,3,FALSE),"")</f>
        <v>https://www.ncbi.nlm.nih.gov/pubmed/8181191</v>
      </c>
      <c r="D4396" s="232" t="str">
        <f>IF(AND(A4396&lt;&gt;"",ISNUMBER(A4396)),VLOOKUP(A4396,Studies!A:BR,4,FALSE),"")</f>
        <v>po with Perpetrator (Ketoconazole</v>
      </c>
      <c r="E4396" s="206" t="str">
        <f>IF(AND(A4396&lt;&gt;"",ISNUMBER(A4396)),VLOOKUP(A4396,Studies!A:BR,5,FALSE),"")</f>
        <v>Ketoconazole</v>
      </c>
      <c r="F4396" s="207" t="str">
        <f>IF(AND(A4396&lt;&gt;"",ISNUMBER(A4396)),VLOOKUP(A4396,Studies!A:BR,6,FALSE),"")</f>
        <v>Plasma</v>
      </c>
      <c r="G4396" s="194">
        <v>73.5</v>
      </c>
      <c r="H4396" s="194" t="s">
        <v>60</v>
      </c>
      <c r="I4396" s="187">
        <v>5.0209099999999998</v>
      </c>
      <c r="J4396" s="187" t="s">
        <v>1057</v>
      </c>
      <c r="K4396" s="187" t="s">
        <v>116</v>
      </c>
      <c r="L4396" s="195">
        <v>0.92934229999999995</v>
      </c>
      <c r="M4396" s="195" t="s">
        <v>1057</v>
      </c>
      <c r="N4396" s="195" t="s">
        <v>1034</v>
      </c>
      <c r="O4396" s="199"/>
      <c r="P4396" s="188"/>
    </row>
    <row r="4397" spans="1:16" s="183" customFormat="1" x14ac:dyDescent="0.2">
      <c r="A4397" s="213">
        <v>373</v>
      </c>
      <c r="B4397" s="232" t="str">
        <f>IF(AND(A4397&lt;&gt;"",ISNUMBER(A4397)),VLOOKUP(A4397,Studies!A:BR,2,FALSE),"")</f>
        <v>Olkkola 1994</v>
      </c>
      <c r="C4397" s="232" t="str">
        <f>IF(AND(A4397&lt;&gt;"",ISNUMBER(A4397)),VLOOKUP(A4397,Studies!A:BR,3,FALSE),"")</f>
        <v>https://www.ncbi.nlm.nih.gov/pubmed/8181191</v>
      </c>
      <c r="D4397" s="232" t="str">
        <f>IF(AND(A4397&lt;&gt;"",ISNUMBER(A4397)),VLOOKUP(A4397,Studies!A:BR,4,FALSE),"")</f>
        <v>po with Perpetrator (Ketoconazole</v>
      </c>
      <c r="E4397" s="206" t="str">
        <f>IF(AND(A4397&lt;&gt;"",ISNUMBER(A4397)),VLOOKUP(A4397,Studies!A:BR,5,FALSE),"")</f>
        <v>Ketoconazole</v>
      </c>
      <c r="F4397" s="207" t="str">
        <f>IF(AND(A4397&lt;&gt;"",ISNUMBER(A4397)),VLOOKUP(A4397,Studies!A:BR,6,FALSE),"")</f>
        <v>Plasma</v>
      </c>
      <c r="G4397" s="194">
        <v>74</v>
      </c>
      <c r="H4397" s="194" t="s">
        <v>60</v>
      </c>
      <c r="I4397" s="187">
        <v>5.9519859999999998</v>
      </c>
      <c r="J4397" s="187" t="s">
        <v>1057</v>
      </c>
      <c r="K4397" s="187" t="s">
        <v>116</v>
      </c>
      <c r="L4397" s="195">
        <v>1.1016790000000001</v>
      </c>
      <c r="M4397" s="195" t="s">
        <v>1057</v>
      </c>
      <c r="N4397" s="195" t="s">
        <v>1034</v>
      </c>
      <c r="O4397" s="199"/>
      <c r="P4397" s="188"/>
    </row>
    <row r="4398" spans="1:16" s="183" customFormat="1" x14ac:dyDescent="0.2">
      <c r="A4398" s="213">
        <v>373</v>
      </c>
      <c r="B4398" s="232" t="str">
        <f>IF(AND(A4398&lt;&gt;"",ISNUMBER(A4398)),VLOOKUP(A4398,Studies!A:BR,2,FALSE),"")</f>
        <v>Olkkola 1994</v>
      </c>
      <c r="C4398" s="232" t="str">
        <f>IF(AND(A4398&lt;&gt;"",ISNUMBER(A4398)),VLOOKUP(A4398,Studies!A:BR,3,FALSE),"")</f>
        <v>https://www.ncbi.nlm.nih.gov/pubmed/8181191</v>
      </c>
      <c r="D4398" s="232" t="str">
        <f>IF(AND(A4398&lt;&gt;"",ISNUMBER(A4398)),VLOOKUP(A4398,Studies!A:BR,4,FALSE),"")</f>
        <v>po with Perpetrator (Ketoconazole</v>
      </c>
      <c r="E4398" s="206" t="str">
        <f>IF(AND(A4398&lt;&gt;"",ISNUMBER(A4398)),VLOOKUP(A4398,Studies!A:BR,5,FALSE),"")</f>
        <v>Ketoconazole</v>
      </c>
      <c r="F4398" s="207" t="str">
        <f>IF(AND(A4398&lt;&gt;"",ISNUMBER(A4398)),VLOOKUP(A4398,Studies!A:BR,6,FALSE),"")</f>
        <v>Plasma</v>
      </c>
      <c r="G4398" s="194">
        <v>74.5</v>
      </c>
      <c r="H4398" s="194" t="s">
        <v>60</v>
      </c>
      <c r="I4398" s="187">
        <v>6.1964370000000004</v>
      </c>
      <c r="J4398" s="187" t="s">
        <v>1057</v>
      </c>
      <c r="K4398" s="187" t="s">
        <v>116</v>
      </c>
      <c r="L4398" s="195">
        <v>0.93021920000000002</v>
      </c>
      <c r="M4398" s="195" t="s">
        <v>1057</v>
      </c>
      <c r="N4398" s="195" t="s">
        <v>1034</v>
      </c>
      <c r="O4398" s="199"/>
      <c r="P4398" s="188"/>
    </row>
    <row r="4399" spans="1:16" s="183" customFormat="1" x14ac:dyDescent="0.2">
      <c r="A4399" s="213">
        <v>373</v>
      </c>
      <c r="B4399" s="232" t="str">
        <f>IF(AND(A4399&lt;&gt;"",ISNUMBER(A4399)),VLOOKUP(A4399,Studies!A:BR,2,FALSE),"")</f>
        <v>Olkkola 1994</v>
      </c>
      <c r="C4399" s="232" t="str">
        <f>IF(AND(A4399&lt;&gt;"",ISNUMBER(A4399)),VLOOKUP(A4399,Studies!A:BR,3,FALSE),"")</f>
        <v>https://www.ncbi.nlm.nih.gov/pubmed/8181191</v>
      </c>
      <c r="D4399" s="232" t="str">
        <f>IF(AND(A4399&lt;&gt;"",ISNUMBER(A4399)),VLOOKUP(A4399,Studies!A:BR,4,FALSE),"")</f>
        <v>po with Perpetrator (Ketoconazole</v>
      </c>
      <c r="E4399" s="206" t="str">
        <f>IF(AND(A4399&lt;&gt;"",ISNUMBER(A4399)),VLOOKUP(A4399,Studies!A:BR,5,FALSE),"")</f>
        <v>Ketoconazole</v>
      </c>
      <c r="F4399" s="207" t="str">
        <f>IF(AND(A4399&lt;&gt;"",ISNUMBER(A4399)),VLOOKUP(A4399,Studies!A:BR,6,FALSE),"")</f>
        <v>Plasma</v>
      </c>
      <c r="G4399" s="194">
        <v>75</v>
      </c>
      <c r="H4399" s="194" t="s">
        <v>60</v>
      </c>
      <c r="I4399" s="187">
        <v>6.6471799999999996</v>
      </c>
      <c r="J4399" s="187" t="s">
        <v>1057</v>
      </c>
      <c r="K4399" s="187" t="s">
        <v>116</v>
      </c>
      <c r="L4399" s="195">
        <v>0.84645130000000002</v>
      </c>
      <c r="M4399" s="195" t="s">
        <v>1057</v>
      </c>
      <c r="N4399" s="195" t="s">
        <v>1034</v>
      </c>
      <c r="O4399" s="199"/>
      <c r="P4399" s="188"/>
    </row>
    <row r="4400" spans="1:16" s="183" customFormat="1" x14ac:dyDescent="0.2">
      <c r="A4400" s="213">
        <v>373</v>
      </c>
      <c r="B4400" s="232" t="str">
        <f>IF(AND(A4400&lt;&gt;"",ISNUMBER(A4400)),VLOOKUP(A4400,Studies!A:BR,2,FALSE),"")</f>
        <v>Olkkola 1994</v>
      </c>
      <c r="C4400" s="232" t="str">
        <f>IF(AND(A4400&lt;&gt;"",ISNUMBER(A4400)),VLOOKUP(A4400,Studies!A:BR,3,FALSE),"")</f>
        <v>https://www.ncbi.nlm.nih.gov/pubmed/8181191</v>
      </c>
      <c r="D4400" s="232" t="str">
        <f>IF(AND(A4400&lt;&gt;"",ISNUMBER(A4400)),VLOOKUP(A4400,Studies!A:BR,4,FALSE),"")</f>
        <v>po with Perpetrator (Ketoconazole</v>
      </c>
      <c r="E4400" s="206" t="str">
        <f>IF(AND(A4400&lt;&gt;"",ISNUMBER(A4400)),VLOOKUP(A4400,Studies!A:BR,5,FALSE),"")</f>
        <v>Ketoconazole</v>
      </c>
      <c r="F4400" s="207" t="str">
        <f>IF(AND(A4400&lt;&gt;"",ISNUMBER(A4400)),VLOOKUP(A4400,Studies!A:BR,6,FALSE),"")</f>
        <v>Plasma</v>
      </c>
      <c r="G4400" s="194">
        <v>76</v>
      </c>
      <c r="H4400" s="194" t="s">
        <v>60</v>
      </c>
      <c r="I4400" s="187">
        <v>6.8533949999999999</v>
      </c>
      <c r="J4400" s="187" t="s">
        <v>1057</v>
      </c>
      <c r="K4400" s="187" t="s">
        <v>116</v>
      </c>
      <c r="L4400" s="195"/>
      <c r="M4400" s="195"/>
      <c r="N4400" s="195"/>
      <c r="O4400" s="199"/>
      <c r="P4400" s="188"/>
    </row>
    <row r="4401" spans="1:16" s="183" customFormat="1" x14ac:dyDescent="0.2">
      <c r="A4401" s="213">
        <v>373</v>
      </c>
      <c r="B4401" s="232" t="str">
        <f>IF(AND(A4401&lt;&gt;"",ISNUMBER(A4401)),VLOOKUP(A4401,Studies!A:BR,2,FALSE),"")</f>
        <v>Olkkola 1994</v>
      </c>
      <c r="C4401" s="232" t="str">
        <f>IF(AND(A4401&lt;&gt;"",ISNUMBER(A4401)),VLOOKUP(A4401,Studies!A:BR,3,FALSE),"")</f>
        <v>https://www.ncbi.nlm.nih.gov/pubmed/8181191</v>
      </c>
      <c r="D4401" s="232" t="str">
        <f>IF(AND(A4401&lt;&gt;"",ISNUMBER(A4401)),VLOOKUP(A4401,Studies!A:BR,4,FALSE),"")</f>
        <v>po with Perpetrator (Ketoconazole</v>
      </c>
      <c r="E4401" s="206" t="str">
        <f>IF(AND(A4401&lt;&gt;"",ISNUMBER(A4401)),VLOOKUP(A4401,Studies!A:BR,5,FALSE),"")</f>
        <v>Ketoconazole</v>
      </c>
      <c r="F4401" s="207" t="str">
        <f>IF(AND(A4401&lt;&gt;"",ISNUMBER(A4401)),VLOOKUP(A4401,Studies!A:BR,6,FALSE),"")</f>
        <v>Plasma</v>
      </c>
      <c r="G4401" s="194">
        <v>77</v>
      </c>
      <c r="H4401" s="194" t="s">
        <v>60</v>
      </c>
      <c r="I4401" s="187">
        <v>7.0660069999999999</v>
      </c>
      <c r="J4401" s="187" t="s">
        <v>1057</v>
      </c>
      <c r="K4401" s="187" t="s">
        <v>116</v>
      </c>
      <c r="L4401" s="195"/>
      <c r="M4401" s="195"/>
      <c r="N4401" s="195"/>
      <c r="O4401" s="199"/>
      <c r="P4401" s="188"/>
    </row>
    <row r="4402" spans="1:16" s="183" customFormat="1" x14ac:dyDescent="0.2">
      <c r="A4402" s="213">
        <v>373</v>
      </c>
      <c r="B4402" s="232" t="str">
        <f>IF(AND(A4402&lt;&gt;"",ISNUMBER(A4402)),VLOOKUP(A4402,Studies!A:BR,2,FALSE),"")</f>
        <v>Olkkola 1994</v>
      </c>
      <c r="C4402" s="232" t="str">
        <f>IF(AND(A4402&lt;&gt;"",ISNUMBER(A4402)),VLOOKUP(A4402,Studies!A:BR,3,FALSE),"")</f>
        <v>https://www.ncbi.nlm.nih.gov/pubmed/8181191</v>
      </c>
      <c r="D4402" s="232" t="str">
        <f>IF(AND(A4402&lt;&gt;"",ISNUMBER(A4402)),VLOOKUP(A4402,Studies!A:BR,4,FALSE),"")</f>
        <v>po with Perpetrator (Ketoconazole</v>
      </c>
      <c r="E4402" s="206" t="str">
        <f>IF(AND(A4402&lt;&gt;"",ISNUMBER(A4402)),VLOOKUP(A4402,Studies!A:BR,5,FALSE),"")</f>
        <v>Ketoconazole</v>
      </c>
      <c r="F4402" s="207" t="str">
        <f>IF(AND(A4402&lt;&gt;"",ISNUMBER(A4402)),VLOOKUP(A4402,Studies!A:BR,6,FALSE),"")</f>
        <v>Plasma</v>
      </c>
      <c r="G4402" s="194">
        <v>78</v>
      </c>
      <c r="H4402" s="194" t="s">
        <v>60</v>
      </c>
      <c r="I4402" s="187">
        <v>5.8479469999999996</v>
      </c>
      <c r="J4402" s="187" t="s">
        <v>1057</v>
      </c>
      <c r="K4402" s="187" t="s">
        <v>116</v>
      </c>
      <c r="L4402" s="195"/>
      <c r="M4402" s="195"/>
      <c r="N4402" s="195"/>
      <c r="O4402" s="199"/>
      <c r="P4402" s="188"/>
    </row>
    <row r="4403" spans="1:16" s="183" customFormat="1" x14ac:dyDescent="0.2">
      <c r="A4403" s="213">
        <v>373</v>
      </c>
      <c r="B4403" s="232" t="str">
        <f>IF(AND(A4403&lt;&gt;"",ISNUMBER(A4403)),VLOOKUP(A4403,Studies!A:BR,2,FALSE),"")</f>
        <v>Olkkola 1994</v>
      </c>
      <c r="C4403" s="232" t="str">
        <f>IF(AND(A4403&lt;&gt;"",ISNUMBER(A4403)),VLOOKUP(A4403,Studies!A:BR,3,FALSE),"")</f>
        <v>https://www.ncbi.nlm.nih.gov/pubmed/8181191</v>
      </c>
      <c r="D4403" s="232" t="str">
        <f>IF(AND(A4403&lt;&gt;"",ISNUMBER(A4403)),VLOOKUP(A4403,Studies!A:BR,4,FALSE),"")</f>
        <v>po with Perpetrator (Ketoconazole</v>
      </c>
      <c r="E4403" s="206" t="str">
        <f>IF(AND(A4403&lt;&gt;"",ISNUMBER(A4403)),VLOOKUP(A4403,Studies!A:BR,5,FALSE),"")</f>
        <v>Ketoconazole</v>
      </c>
      <c r="F4403" s="207" t="str">
        <f>IF(AND(A4403&lt;&gt;"",ISNUMBER(A4403)),VLOOKUP(A4403,Studies!A:BR,6,FALSE),"")</f>
        <v>Plasma</v>
      </c>
      <c r="G4403" s="194">
        <v>79</v>
      </c>
      <c r="H4403" s="194" t="s">
        <v>60</v>
      </c>
      <c r="I4403" s="187">
        <v>4.7916189999999999</v>
      </c>
      <c r="J4403" s="187" t="s">
        <v>1057</v>
      </c>
      <c r="K4403" s="187" t="s">
        <v>116</v>
      </c>
      <c r="L4403" s="195">
        <v>4.7561649999999997E-2</v>
      </c>
      <c r="M4403" s="195" t="s">
        <v>1057</v>
      </c>
      <c r="N4403" s="195" t="s">
        <v>1034</v>
      </c>
      <c r="O4403" s="199"/>
      <c r="P4403" s="188"/>
    </row>
    <row r="4404" spans="1:16" s="183" customFormat="1" x14ac:dyDescent="0.2">
      <c r="A4404" s="213">
        <v>373</v>
      </c>
      <c r="B4404" s="232" t="str">
        <f>IF(AND(A4404&lt;&gt;"",ISNUMBER(A4404)),VLOOKUP(A4404,Studies!A:BR,2,FALSE),"")</f>
        <v>Olkkola 1994</v>
      </c>
      <c r="C4404" s="232" t="str">
        <f>IF(AND(A4404&lt;&gt;"",ISNUMBER(A4404)),VLOOKUP(A4404,Studies!A:BR,3,FALSE),"")</f>
        <v>https://www.ncbi.nlm.nih.gov/pubmed/8181191</v>
      </c>
      <c r="D4404" s="232" t="str">
        <f>IF(AND(A4404&lt;&gt;"",ISNUMBER(A4404)),VLOOKUP(A4404,Studies!A:BR,4,FALSE),"")</f>
        <v>po with Perpetrator (Ketoconazole</v>
      </c>
      <c r="E4404" s="206" t="str">
        <f>IF(AND(A4404&lt;&gt;"",ISNUMBER(A4404)),VLOOKUP(A4404,Studies!A:BR,5,FALSE),"")</f>
        <v>Ketoconazole</v>
      </c>
      <c r="F4404" s="207" t="str">
        <f>IF(AND(A4404&lt;&gt;"",ISNUMBER(A4404)),VLOOKUP(A4404,Studies!A:BR,6,FALSE),"")</f>
        <v>Plasma</v>
      </c>
      <c r="G4404" s="194">
        <v>80</v>
      </c>
      <c r="H4404" s="194" t="s">
        <v>60</v>
      </c>
      <c r="I4404" s="187">
        <v>4.0455949999999996</v>
      </c>
      <c r="J4404" s="187" t="s">
        <v>1057</v>
      </c>
      <c r="K4404" s="187" t="s">
        <v>116</v>
      </c>
      <c r="L4404" s="195">
        <v>0.56101800000000002</v>
      </c>
      <c r="M4404" s="195" t="s">
        <v>1057</v>
      </c>
      <c r="N4404" s="195" t="s">
        <v>1034</v>
      </c>
      <c r="O4404" s="199"/>
      <c r="P4404" s="188"/>
    </row>
    <row r="4405" spans="1:16" s="183" customFormat="1" x14ac:dyDescent="0.2">
      <c r="A4405" s="213">
        <v>373</v>
      </c>
      <c r="B4405" s="232" t="str">
        <f>IF(AND(A4405&lt;&gt;"",ISNUMBER(A4405)),VLOOKUP(A4405,Studies!A:BR,2,FALSE),"")</f>
        <v>Olkkola 1994</v>
      </c>
      <c r="C4405" s="232" t="str">
        <f>IF(AND(A4405&lt;&gt;"",ISNUMBER(A4405)),VLOOKUP(A4405,Studies!A:BR,3,FALSE),"")</f>
        <v>https://www.ncbi.nlm.nih.gov/pubmed/8181191</v>
      </c>
      <c r="D4405" s="232" t="str">
        <f>IF(AND(A4405&lt;&gt;"",ISNUMBER(A4405)),VLOOKUP(A4405,Studies!A:BR,4,FALSE),"")</f>
        <v>po with Perpetrator (Ketoconazole</v>
      </c>
      <c r="E4405" s="206" t="str">
        <f>IF(AND(A4405&lt;&gt;"",ISNUMBER(A4405)),VLOOKUP(A4405,Studies!A:BR,5,FALSE),"")</f>
        <v>Ketoconazole</v>
      </c>
      <c r="F4405" s="207" t="str">
        <f>IF(AND(A4405&lt;&gt;"",ISNUMBER(A4405)),VLOOKUP(A4405,Studies!A:BR,6,FALSE),"")</f>
        <v>Plasma</v>
      </c>
      <c r="G4405" s="194">
        <v>90</v>
      </c>
      <c r="H4405" s="194" t="s">
        <v>60</v>
      </c>
      <c r="I4405" s="187">
        <v>0.73735309999999998</v>
      </c>
      <c r="J4405" s="187" t="s">
        <v>1057</v>
      </c>
      <c r="K4405" s="187" t="s">
        <v>116</v>
      </c>
      <c r="L4405" s="195">
        <v>0.1721038</v>
      </c>
      <c r="M4405" s="195" t="s">
        <v>1057</v>
      </c>
      <c r="N4405" s="195" t="s">
        <v>1034</v>
      </c>
      <c r="O4405" s="199"/>
      <c r="P4405" s="188"/>
    </row>
    <row r="4406" spans="1:16" s="174" customFormat="1" ht="14.25" x14ac:dyDescent="0.2">
      <c r="A4406" s="248">
        <v>5200</v>
      </c>
      <c r="B4406" s="232" t="str">
        <f>IF(AND(A4406&lt;&gt;"",ISNUMBER(A4406)),VLOOKUP(A4406,Studies!A:BR,2,FALSE),"")</f>
        <v>Abdel-Rahman 2007</v>
      </c>
      <c r="C4406" s="232" t="str">
        <f>IF(AND(A4406&lt;&gt;"",ISNUMBER(A4406)),VLOOKUP(A4406,Studies!A:BR,3,FALSE),"")</f>
        <v>https://www.ncbi.nlm.nih.gov/pubmed/17517842</v>
      </c>
      <c r="D4406" s="232" t="str">
        <f>IF(AND(A4406&lt;&gt;"",ISNUMBER(A4406)),VLOOKUP(A4406,Studies!A:BR,4,FALSE),"")</f>
        <v>12-16y</v>
      </c>
      <c r="E4406" s="206" t="str">
        <f>IF(AND(A4406&lt;&gt;"",ISNUMBER(A4406)),VLOOKUP(A4406,Studies!A:BR,5,FALSE),"")</f>
        <v>Itraconazole</v>
      </c>
      <c r="F4406" s="207" t="str">
        <f>IF(AND(A4406&lt;&gt;"",ISNUMBER(A4406)),VLOOKUP(A4406,Studies!A:BR,6,FALSE),"")</f>
        <v>Plasma</v>
      </c>
      <c r="G4406" s="245">
        <v>1</v>
      </c>
      <c r="H4406" s="245" t="s">
        <v>60</v>
      </c>
      <c r="I4406" s="246">
        <v>771.32410000000004</v>
      </c>
      <c r="J4406" s="246" t="s">
        <v>1026</v>
      </c>
      <c r="K4406" s="246" t="s">
        <v>116</v>
      </c>
      <c r="L4406" s="145"/>
      <c r="M4406" s="145"/>
      <c r="N4406" s="145"/>
      <c r="O4406" s="247"/>
      <c r="P4406" s="175"/>
    </row>
    <row r="4407" spans="1:16" s="174" customFormat="1" ht="14.25" x14ac:dyDescent="0.2">
      <c r="A4407" s="248">
        <v>5200</v>
      </c>
      <c r="B4407" s="232" t="str">
        <f>IF(AND(A4407&lt;&gt;"",ISNUMBER(A4407)),VLOOKUP(A4407,Studies!A:BR,2,FALSE),"")</f>
        <v>Abdel-Rahman 2007</v>
      </c>
      <c r="C4407" s="232" t="str">
        <f>IF(AND(A4407&lt;&gt;"",ISNUMBER(A4407)),VLOOKUP(A4407,Studies!A:BR,3,FALSE),"")</f>
        <v>https://www.ncbi.nlm.nih.gov/pubmed/17517842</v>
      </c>
      <c r="D4407" s="232" t="str">
        <f>IF(AND(A4407&lt;&gt;"",ISNUMBER(A4407)),VLOOKUP(A4407,Studies!A:BR,4,FALSE),"")</f>
        <v>12-16y</v>
      </c>
      <c r="E4407" s="206" t="str">
        <f>IF(AND(A4407&lt;&gt;"",ISNUMBER(A4407)),VLOOKUP(A4407,Studies!A:BR,5,FALSE),"")</f>
        <v>Itraconazole</v>
      </c>
      <c r="F4407" s="207" t="str">
        <f>IF(AND(A4407&lt;&gt;"",ISNUMBER(A4407)),VLOOKUP(A4407,Studies!A:BR,6,FALSE),"")</f>
        <v>Plasma</v>
      </c>
      <c r="G4407" s="245">
        <v>2</v>
      </c>
      <c r="H4407" s="245" t="s">
        <v>60</v>
      </c>
      <c r="I4407" s="246">
        <v>337.20209999999997</v>
      </c>
      <c r="J4407" s="246" t="s">
        <v>1026</v>
      </c>
      <c r="K4407" s="246" t="s">
        <v>116</v>
      </c>
      <c r="L4407" s="145"/>
      <c r="M4407" s="145"/>
      <c r="N4407" s="145"/>
      <c r="O4407" s="247"/>
      <c r="P4407" s="175"/>
    </row>
    <row r="4408" spans="1:16" s="174" customFormat="1" ht="14.25" x14ac:dyDescent="0.2">
      <c r="A4408" s="248">
        <v>5200</v>
      </c>
      <c r="B4408" s="232" t="str">
        <f>IF(AND(A4408&lt;&gt;"",ISNUMBER(A4408)),VLOOKUP(A4408,Studies!A:BR,2,FALSE),"")</f>
        <v>Abdel-Rahman 2007</v>
      </c>
      <c r="C4408" s="232" t="str">
        <f>IF(AND(A4408&lt;&gt;"",ISNUMBER(A4408)),VLOOKUP(A4408,Studies!A:BR,3,FALSE),"")</f>
        <v>https://www.ncbi.nlm.nih.gov/pubmed/17517842</v>
      </c>
      <c r="D4408" s="232" t="str">
        <f>IF(AND(A4408&lt;&gt;"",ISNUMBER(A4408)),VLOOKUP(A4408,Studies!A:BR,4,FALSE),"")</f>
        <v>12-16y</v>
      </c>
      <c r="E4408" s="206" t="str">
        <f>IF(AND(A4408&lt;&gt;"",ISNUMBER(A4408)),VLOOKUP(A4408,Studies!A:BR,5,FALSE),"")</f>
        <v>Itraconazole</v>
      </c>
      <c r="F4408" s="207" t="str">
        <f>IF(AND(A4408&lt;&gt;"",ISNUMBER(A4408)),VLOOKUP(A4408,Studies!A:BR,6,FALSE),"")</f>
        <v>Plasma</v>
      </c>
      <c r="G4408" s="245">
        <v>5</v>
      </c>
      <c r="H4408" s="245" t="s">
        <v>60</v>
      </c>
      <c r="I4408" s="246">
        <v>123.6854</v>
      </c>
      <c r="J4408" s="246" t="s">
        <v>1026</v>
      </c>
      <c r="K4408" s="246" t="s">
        <v>116</v>
      </c>
      <c r="L4408" s="145"/>
      <c r="M4408" s="145"/>
      <c r="N4408" s="145"/>
      <c r="O4408" s="247"/>
      <c r="P4408" s="175"/>
    </row>
    <row r="4409" spans="1:16" s="174" customFormat="1" ht="14.25" x14ac:dyDescent="0.2">
      <c r="A4409" s="248">
        <v>5200</v>
      </c>
      <c r="B4409" s="232" t="str">
        <f>IF(AND(A4409&lt;&gt;"",ISNUMBER(A4409)),VLOOKUP(A4409,Studies!A:BR,2,FALSE),"")</f>
        <v>Abdel-Rahman 2007</v>
      </c>
      <c r="C4409" s="232" t="str">
        <f>IF(AND(A4409&lt;&gt;"",ISNUMBER(A4409)),VLOOKUP(A4409,Studies!A:BR,3,FALSE),"")</f>
        <v>https://www.ncbi.nlm.nih.gov/pubmed/17517842</v>
      </c>
      <c r="D4409" s="232" t="str">
        <f>IF(AND(A4409&lt;&gt;"",ISNUMBER(A4409)),VLOOKUP(A4409,Studies!A:BR,4,FALSE),"")</f>
        <v>12-16y</v>
      </c>
      <c r="E4409" s="206" t="str">
        <f>IF(AND(A4409&lt;&gt;"",ISNUMBER(A4409)),VLOOKUP(A4409,Studies!A:BR,5,FALSE),"")</f>
        <v>Itraconazole</v>
      </c>
      <c r="F4409" s="207" t="str">
        <f>IF(AND(A4409&lt;&gt;"",ISNUMBER(A4409)),VLOOKUP(A4409,Studies!A:BR,6,FALSE),"")</f>
        <v>Plasma</v>
      </c>
      <c r="G4409" s="245">
        <v>8</v>
      </c>
      <c r="H4409" s="245" t="s">
        <v>60</v>
      </c>
      <c r="I4409" s="246">
        <v>81.779650000000004</v>
      </c>
      <c r="J4409" s="246" t="s">
        <v>1026</v>
      </c>
      <c r="K4409" s="246" t="s">
        <v>116</v>
      </c>
      <c r="L4409" s="145"/>
      <c r="M4409" s="145"/>
      <c r="N4409" s="145"/>
      <c r="O4409" s="247"/>
      <c r="P4409" s="175"/>
    </row>
    <row r="4410" spans="1:16" s="174" customFormat="1" ht="14.25" x14ac:dyDescent="0.2">
      <c r="A4410" s="248">
        <v>5200</v>
      </c>
      <c r="B4410" s="232" t="str">
        <f>IF(AND(A4410&lt;&gt;"",ISNUMBER(A4410)),VLOOKUP(A4410,Studies!A:BR,2,FALSE),"")</f>
        <v>Abdel-Rahman 2007</v>
      </c>
      <c r="C4410" s="232" t="str">
        <f>IF(AND(A4410&lt;&gt;"",ISNUMBER(A4410)),VLOOKUP(A4410,Studies!A:BR,3,FALSE),"")</f>
        <v>https://www.ncbi.nlm.nih.gov/pubmed/17517842</v>
      </c>
      <c r="D4410" s="232" t="str">
        <f>IF(AND(A4410&lt;&gt;"",ISNUMBER(A4410)),VLOOKUP(A4410,Studies!A:BR,4,FALSE),"")</f>
        <v>12-16y</v>
      </c>
      <c r="E4410" s="206" t="str">
        <f>IF(AND(A4410&lt;&gt;"",ISNUMBER(A4410)),VLOOKUP(A4410,Studies!A:BR,5,FALSE),"")</f>
        <v>Itraconazole</v>
      </c>
      <c r="F4410" s="207" t="str">
        <f>IF(AND(A4410&lt;&gt;"",ISNUMBER(A4410)),VLOOKUP(A4410,Studies!A:BR,6,FALSE),"")</f>
        <v>Plasma</v>
      </c>
      <c r="G4410" s="245">
        <v>12</v>
      </c>
      <c r="H4410" s="245" t="s">
        <v>60</v>
      </c>
      <c r="I4410" s="246">
        <v>59.031579999999998</v>
      </c>
      <c r="J4410" s="246" t="s">
        <v>1026</v>
      </c>
      <c r="K4410" s="246" t="s">
        <v>116</v>
      </c>
      <c r="L4410" s="145"/>
      <c r="M4410" s="145"/>
      <c r="N4410" s="145"/>
      <c r="O4410" s="247"/>
      <c r="P4410" s="175"/>
    </row>
    <row r="4411" spans="1:16" s="174" customFormat="1" ht="14.25" x14ac:dyDescent="0.2">
      <c r="A4411" s="248">
        <v>5200</v>
      </c>
      <c r="B4411" s="232" t="str">
        <f>IF(AND(A4411&lt;&gt;"",ISNUMBER(A4411)),VLOOKUP(A4411,Studies!A:BR,2,FALSE),"")</f>
        <v>Abdel-Rahman 2007</v>
      </c>
      <c r="C4411" s="232" t="str">
        <f>IF(AND(A4411&lt;&gt;"",ISNUMBER(A4411)),VLOOKUP(A4411,Studies!A:BR,3,FALSE),"")</f>
        <v>https://www.ncbi.nlm.nih.gov/pubmed/17517842</v>
      </c>
      <c r="D4411" s="232" t="str">
        <f>IF(AND(A4411&lt;&gt;"",ISNUMBER(A4411)),VLOOKUP(A4411,Studies!A:BR,4,FALSE),"")</f>
        <v>12-16y</v>
      </c>
      <c r="E4411" s="206" t="str">
        <f>IF(AND(A4411&lt;&gt;"",ISNUMBER(A4411)),VLOOKUP(A4411,Studies!A:BR,5,FALSE),"")</f>
        <v>Itraconazole</v>
      </c>
      <c r="F4411" s="207" t="str">
        <f>IF(AND(A4411&lt;&gt;"",ISNUMBER(A4411)),VLOOKUP(A4411,Studies!A:BR,6,FALSE),"")</f>
        <v>Plasma</v>
      </c>
      <c r="G4411" s="245">
        <v>24</v>
      </c>
      <c r="H4411" s="245" t="s">
        <v>60</v>
      </c>
      <c r="I4411" s="246">
        <v>39.031129999999997</v>
      </c>
      <c r="J4411" s="246" t="s">
        <v>1026</v>
      </c>
      <c r="K4411" s="246" t="s">
        <v>116</v>
      </c>
      <c r="L4411" s="145"/>
      <c r="M4411" s="145"/>
      <c r="N4411" s="145"/>
      <c r="O4411" s="247"/>
      <c r="P4411" s="175"/>
    </row>
    <row r="4412" spans="1:16" s="174" customFormat="1" ht="14.25" x14ac:dyDescent="0.2">
      <c r="A4412" s="248">
        <v>5200</v>
      </c>
      <c r="B4412" s="232" t="str">
        <f>IF(AND(A4412&lt;&gt;"",ISNUMBER(A4412)),VLOOKUP(A4412,Studies!A:BR,2,FALSE),"")</f>
        <v>Abdel-Rahman 2007</v>
      </c>
      <c r="C4412" s="232" t="str">
        <f>IF(AND(A4412&lt;&gt;"",ISNUMBER(A4412)),VLOOKUP(A4412,Studies!A:BR,3,FALSE),"")</f>
        <v>https://www.ncbi.nlm.nih.gov/pubmed/17517842</v>
      </c>
      <c r="D4412" s="232" t="str">
        <f>IF(AND(A4412&lt;&gt;"",ISNUMBER(A4412)),VLOOKUP(A4412,Studies!A:BR,4,FALSE),"")</f>
        <v>12-16y</v>
      </c>
      <c r="E4412" s="206" t="str">
        <f>IF(AND(A4412&lt;&gt;"",ISNUMBER(A4412)),VLOOKUP(A4412,Studies!A:BR,5,FALSE),"")</f>
        <v>Itraconazole</v>
      </c>
      <c r="F4412" s="207" t="str">
        <f>IF(AND(A4412&lt;&gt;"",ISNUMBER(A4412)),VLOOKUP(A4412,Studies!A:BR,6,FALSE),"")</f>
        <v>Plasma</v>
      </c>
      <c r="G4412" s="245">
        <v>48</v>
      </c>
      <c r="H4412" s="245" t="s">
        <v>60</v>
      </c>
      <c r="I4412" s="246">
        <v>22.20251</v>
      </c>
      <c r="J4412" s="246" t="s">
        <v>1026</v>
      </c>
      <c r="K4412" s="246" t="s">
        <v>116</v>
      </c>
      <c r="L4412" s="145"/>
      <c r="M4412" s="145"/>
      <c r="N4412" s="145"/>
      <c r="O4412" s="247"/>
      <c r="P4412" s="175"/>
    </row>
    <row r="4413" spans="1:16" s="174" customFormat="1" ht="14.25" x14ac:dyDescent="0.2">
      <c r="A4413" s="248">
        <v>5200</v>
      </c>
      <c r="B4413" s="232" t="str">
        <f>IF(AND(A4413&lt;&gt;"",ISNUMBER(A4413)),VLOOKUP(A4413,Studies!A:BR,2,FALSE),"")</f>
        <v>Abdel-Rahman 2007</v>
      </c>
      <c r="C4413" s="232" t="str">
        <f>IF(AND(A4413&lt;&gt;"",ISNUMBER(A4413)),VLOOKUP(A4413,Studies!A:BR,3,FALSE),"")</f>
        <v>https://www.ncbi.nlm.nih.gov/pubmed/17517842</v>
      </c>
      <c r="D4413" s="232" t="str">
        <f>IF(AND(A4413&lt;&gt;"",ISNUMBER(A4413)),VLOOKUP(A4413,Studies!A:BR,4,FALSE),"")</f>
        <v>12-16y</v>
      </c>
      <c r="E4413" s="206" t="str">
        <f>IF(AND(A4413&lt;&gt;"",ISNUMBER(A4413)),VLOOKUP(A4413,Studies!A:BR,5,FALSE),"")</f>
        <v>Itraconazole</v>
      </c>
      <c r="F4413" s="207" t="str">
        <f>IF(AND(A4413&lt;&gt;"",ISNUMBER(A4413)),VLOOKUP(A4413,Studies!A:BR,6,FALSE),"")</f>
        <v>Plasma</v>
      </c>
      <c r="G4413" s="245">
        <v>72</v>
      </c>
      <c r="H4413" s="245" t="s">
        <v>60</v>
      </c>
      <c r="I4413" s="246">
        <v>13.11375</v>
      </c>
      <c r="J4413" s="246" t="s">
        <v>1026</v>
      </c>
      <c r="K4413" s="246" t="s">
        <v>116</v>
      </c>
      <c r="L4413" s="145"/>
      <c r="M4413" s="145"/>
      <c r="N4413" s="145"/>
      <c r="O4413" s="247"/>
      <c r="P4413" s="175"/>
    </row>
    <row r="4414" spans="1:16" s="174" customFormat="1" ht="14.25" x14ac:dyDescent="0.2">
      <c r="A4414" s="248">
        <v>5200</v>
      </c>
      <c r="B4414" s="232" t="str">
        <f>IF(AND(A4414&lt;&gt;"",ISNUMBER(A4414)),VLOOKUP(A4414,Studies!A:BR,2,FALSE),"")</f>
        <v>Abdel-Rahman 2007</v>
      </c>
      <c r="C4414" s="232" t="str">
        <f>IF(AND(A4414&lt;&gt;"",ISNUMBER(A4414)),VLOOKUP(A4414,Studies!A:BR,3,FALSE),"")</f>
        <v>https://www.ncbi.nlm.nih.gov/pubmed/17517842</v>
      </c>
      <c r="D4414" s="232" t="str">
        <f>IF(AND(A4414&lt;&gt;"",ISNUMBER(A4414)),VLOOKUP(A4414,Studies!A:BR,4,FALSE),"")</f>
        <v>12-16y</v>
      </c>
      <c r="E4414" s="206" t="str">
        <f>IF(AND(A4414&lt;&gt;"",ISNUMBER(A4414)),VLOOKUP(A4414,Studies!A:BR,5,FALSE),"")</f>
        <v>Itraconazole</v>
      </c>
      <c r="F4414" s="207" t="str">
        <f>IF(AND(A4414&lt;&gt;"",ISNUMBER(A4414)),VLOOKUP(A4414,Studies!A:BR,6,FALSE),"")</f>
        <v>Plasma</v>
      </c>
      <c r="G4414" s="245">
        <v>96</v>
      </c>
      <c r="H4414" s="245" t="s">
        <v>60</v>
      </c>
      <c r="I4414" s="246">
        <v>7.0947849999999999</v>
      </c>
      <c r="J4414" s="246" t="s">
        <v>1026</v>
      </c>
      <c r="K4414" s="246" t="s">
        <v>116</v>
      </c>
      <c r="L4414" s="145"/>
      <c r="M4414" s="145"/>
      <c r="N4414" s="145"/>
      <c r="O4414" s="247"/>
      <c r="P4414" s="175"/>
    </row>
    <row r="4415" spans="1:16" s="174" customFormat="1" ht="14.25" x14ac:dyDescent="0.2">
      <c r="A4415" s="248">
        <v>5200</v>
      </c>
      <c r="B4415" s="232" t="str">
        <f>IF(AND(A4415&lt;&gt;"",ISNUMBER(A4415)),VLOOKUP(A4415,Studies!A:BR,2,FALSE),"")</f>
        <v>Abdel-Rahman 2007</v>
      </c>
      <c r="C4415" s="232" t="str">
        <f>IF(AND(A4415&lt;&gt;"",ISNUMBER(A4415)),VLOOKUP(A4415,Studies!A:BR,3,FALSE),"")</f>
        <v>https://www.ncbi.nlm.nih.gov/pubmed/17517842</v>
      </c>
      <c r="D4415" s="232" t="str">
        <f>IF(AND(A4415&lt;&gt;"",ISNUMBER(A4415)),VLOOKUP(A4415,Studies!A:BR,4,FALSE),"")</f>
        <v>12-16y</v>
      </c>
      <c r="E4415" s="206" t="str">
        <f>IF(AND(A4415&lt;&gt;"",ISNUMBER(A4415)),VLOOKUP(A4415,Studies!A:BR,5,FALSE),"")</f>
        <v>Itraconazole</v>
      </c>
      <c r="F4415" s="207" t="str">
        <f>IF(AND(A4415&lt;&gt;"",ISNUMBER(A4415)),VLOOKUP(A4415,Studies!A:BR,6,FALSE),"")</f>
        <v>Plasma</v>
      </c>
      <c r="G4415" s="245">
        <v>120</v>
      </c>
      <c r="H4415" s="245" t="s">
        <v>60</v>
      </c>
      <c r="I4415" s="246">
        <v>3.6051920000000002</v>
      </c>
      <c r="J4415" s="246" t="s">
        <v>1026</v>
      </c>
      <c r="K4415" s="246" t="s">
        <v>116</v>
      </c>
      <c r="L4415" s="145"/>
      <c r="M4415" s="145"/>
      <c r="N4415" s="145"/>
      <c r="O4415" s="247"/>
      <c r="P4415" s="175"/>
    </row>
    <row r="4416" spans="1:16" s="174" customFormat="1" ht="14.25" x14ac:dyDescent="0.2">
      <c r="A4416" s="248">
        <v>5199</v>
      </c>
      <c r="B4416" s="232" t="str">
        <f>IF(AND(A4416&lt;&gt;"",ISNUMBER(A4416)),VLOOKUP(A4416,Studies!A:BR,2,FALSE),"")</f>
        <v>Abdel-Rahman 2007</v>
      </c>
      <c r="C4416" s="232" t="str">
        <f>IF(AND(A4416&lt;&gt;"",ISNUMBER(A4416)),VLOOKUP(A4416,Studies!A:BR,3,FALSE),"")</f>
        <v>https://www.ncbi.nlm.nih.gov/pubmed/17517842</v>
      </c>
      <c r="D4416" s="232" t="str">
        <f>IF(AND(A4416&lt;&gt;"",ISNUMBER(A4416)),VLOOKUP(A4416,Studies!A:BR,4,FALSE),"")</f>
        <v>6-12y</v>
      </c>
      <c r="E4416" s="206" t="str">
        <f>IF(AND(A4416&lt;&gt;"",ISNUMBER(A4416)),VLOOKUP(A4416,Studies!A:BR,5,FALSE),"")</f>
        <v>Itraconazole</v>
      </c>
      <c r="F4416" s="207" t="str">
        <f>IF(AND(A4416&lt;&gt;"",ISNUMBER(A4416)),VLOOKUP(A4416,Studies!A:BR,6,FALSE),"")</f>
        <v>Plasma</v>
      </c>
      <c r="G4416" s="245">
        <v>1</v>
      </c>
      <c r="H4416" s="245" t="s">
        <v>60</v>
      </c>
      <c r="I4416" s="246">
        <v>790.90840000000003</v>
      </c>
      <c r="J4416" s="246" t="s">
        <v>1026</v>
      </c>
      <c r="K4416" s="246" t="s">
        <v>116</v>
      </c>
      <c r="L4416" s="145"/>
      <c r="M4416" s="145"/>
      <c r="N4416" s="145"/>
      <c r="O4416" s="247"/>
      <c r="P4416" s="175"/>
    </row>
    <row r="4417" spans="1:16" s="174" customFormat="1" ht="14.25" x14ac:dyDescent="0.2">
      <c r="A4417" s="248">
        <v>5199</v>
      </c>
      <c r="B4417" s="232" t="str">
        <f>IF(AND(A4417&lt;&gt;"",ISNUMBER(A4417)),VLOOKUP(A4417,Studies!A:BR,2,FALSE),"")</f>
        <v>Abdel-Rahman 2007</v>
      </c>
      <c r="C4417" s="232" t="str">
        <f>IF(AND(A4417&lt;&gt;"",ISNUMBER(A4417)),VLOOKUP(A4417,Studies!A:BR,3,FALSE),"")</f>
        <v>https://www.ncbi.nlm.nih.gov/pubmed/17517842</v>
      </c>
      <c r="D4417" s="232" t="str">
        <f>IF(AND(A4417&lt;&gt;"",ISNUMBER(A4417)),VLOOKUP(A4417,Studies!A:BR,4,FALSE),"")</f>
        <v>6-12y</v>
      </c>
      <c r="E4417" s="206" t="str">
        <f>IF(AND(A4417&lt;&gt;"",ISNUMBER(A4417)),VLOOKUP(A4417,Studies!A:BR,5,FALSE),"")</f>
        <v>Itraconazole</v>
      </c>
      <c r="F4417" s="207" t="str">
        <f>IF(AND(A4417&lt;&gt;"",ISNUMBER(A4417)),VLOOKUP(A4417,Studies!A:BR,6,FALSE),"")</f>
        <v>Plasma</v>
      </c>
      <c r="G4417" s="245">
        <v>2</v>
      </c>
      <c r="H4417" s="245" t="s">
        <v>60</v>
      </c>
      <c r="I4417" s="246">
        <v>422.56529999999998</v>
      </c>
      <c r="J4417" s="246" t="s">
        <v>1026</v>
      </c>
      <c r="K4417" s="246" t="s">
        <v>116</v>
      </c>
      <c r="L4417" s="145"/>
      <c r="M4417" s="145"/>
      <c r="N4417" s="145"/>
      <c r="O4417" s="247"/>
      <c r="P4417" s="175"/>
    </row>
    <row r="4418" spans="1:16" s="174" customFormat="1" ht="14.25" x14ac:dyDescent="0.2">
      <c r="A4418" s="248">
        <v>5199</v>
      </c>
      <c r="B4418" s="232" t="str">
        <f>IF(AND(A4418&lt;&gt;"",ISNUMBER(A4418)),VLOOKUP(A4418,Studies!A:BR,2,FALSE),"")</f>
        <v>Abdel-Rahman 2007</v>
      </c>
      <c r="C4418" s="232" t="str">
        <f>IF(AND(A4418&lt;&gt;"",ISNUMBER(A4418)),VLOOKUP(A4418,Studies!A:BR,3,FALSE),"")</f>
        <v>https://www.ncbi.nlm.nih.gov/pubmed/17517842</v>
      </c>
      <c r="D4418" s="232" t="str">
        <f>IF(AND(A4418&lt;&gt;"",ISNUMBER(A4418)),VLOOKUP(A4418,Studies!A:BR,4,FALSE),"")</f>
        <v>6-12y</v>
      </c>
      <c r="E4418" s="206" t="str">
        <f>IF(AND(A4418&lt;&gt;"",ISNUMBER(A4418)),VLOOKUP(A4418,Studies!A:BR,5,FALSE),"")</f>
        <v>Itraconazole</v>
      </c>
      <c r="F4418" s="207" t="str">
        <f>IF(AND(A4418&lt;&gt;"",ISNUMBER(A4418)),VLOOKUP(A4418,Studies!A:BR,6,FALSE),"")</f>
        <v>Plasma</v>
      </c>
      <c r="G4418" s="245">
        <v>5</v>
      </c>
      <c r="H4418" s="245" t="s">
        <v>60</v>
      </c>
      <c r="I4418" s="246">
        <v>201.67859999999999</v>
      </c>
      <c r="J4418" s="246" t="s">
        <v>1026</v>
      </c>
      <c r="K4418" s="246" t="s">
        <v>116</v>
      </c>
      <c r="L4418" s="145"/>
      <c r="M4418" s="145"/>
      <c r="N4418" s="145"/>
      <c r="O4418" s="247"/>
      <c r="P4418" s="175"/>
    </row>
    <row r="4419" spans="1:16" s="174" customFormat="1" ht="14.25" x14ac:dyDescent="0.2">
      <c r="A4419" s="248">
        <v>5199</v>
      </c>
      <c r="B4419" s="232" t="str">
        <f>IF(AND(A4419&lt;&gt;"",ISNUMBER(A4419)),VLOOKUP(A4419,Studies!A:BR,2,FALSE),"")</f>
        <v>Abdel-Rahman 2007</v>
      </c>
      <c r="C4419" s="232" t="str">
        <f>IF(AND(A4419&lt;&gt;"",ISNUMBER(A4419)),VLOOKUP(A4419,Studies!A:BR,3,FALSE),"")</f>
        <v>https://www.ncbi.nlm.nih.gov/pubmed/17517842</v>
      </c>
      <c r="D4419" s="232" t="str">
        <f>IF(AND(A4419&lt;&gt;"",ISNUMBER(A4419)),VLOOKUP(A4419,Studies!A:BR,4,FALSE),"")</f>
        <v>6-12y</v>
      </c>
      <c r="E4419" s="206" t="str">
        <f>IF(AND(A4419&lt;&gt;"",ISNUMBER(A4419)),VLOOKUP(A4419,Studies!A:BR,5,FALSE),"")</f>
        <v>Itraconazole</v>
      </c>
      <c r="F4419" s="207" t="str">
        <f>IF(AND(A4419&lt;&gt;"",ISNUMBER(A4419)),VLOOKUP(A4419,Studies!A:BR,6,FALSE),"")</f>
        <v>Plasma</v>
      </c>
      <c r="G4419" s="245">
        <v>8</v>
      </c>
      <c r="H4419" s="245" t="s">
        <v>60</v>
      </c>
      <c r="I4419" s="246">
        <v>135.03030000000001</v>
      </c>
      <c r="J4419" s="246" t="s">
        <v>1026</v>
      </c>
      <c r="K4419" s="246" t="s">
        <v>116</v>
      </c>
      <c r="L4419" s="145"/>
      <c r="M4419" s="145"/>
      <c r="N4419" s="145"/>
      <c r="O4419" s="247"/>
      <c r="P4419" s="175"/>
    </row>
    <row r="4420" spans="1:16" s="174" customFormat="1" ht="14.25" x14ac:dyDescent="0.2">
      <c r="A4420" s="248">
        <v>5199</v>
      </c>
      <c r="B4420" s="232" t="str">
        <f>IF(AND(A4420&lt;&gt;"",ISNUMBER(A4420)),VLOOKUP(A4420,Studies!A:BR,2,FALSE),"")</f>
        <v>Abdel-Rahman 2007</v>
      </c>
      <c r="C4420" s="232" t="str">
        <f>IF(AND(A4420&lt;&gt;"",ISNUMBER(A4420)),VLOOKUP(A4420,Studies!A:BR,3,FALSE),"")</f>
        <v>https://www.ncbi.nlm.nih.gov/pubmed/17517842</v>
      </c>
      <c r="D4420" s="232" t="str">
        <f>IF(AND(A4420&lt;&gt;"",ISNUMBER(A4420)),VLOOKUP(A4420,Studies!A:BR,4,FALSE),"")</f>
        <v>6-12y</v>
      </c>
      <c r="E4420" s="206" t="str">
        <f>IF(AND(A4420&lt;&gt;"",ISNUMBER(A4420)),VLOOKUP(A4420,Studies!A:BR,5,FALSE),"")</f>
        <v>Itraconazole</v>
      </c>
      <c r="F4420" s="207" t="str">
        <f>IF(AND(A4420&lt;&gt;"",ISNUMBER(A4420)),VLOOKUP(A4420,Studies!A:BR,6,FALSE),"")</f>
        <v>Plasma</v>
      </c>
      <c r="G4420" s="245">
        <v>12</v>
      </c>
      <c r="H4420" s="245" t="s">
        <v>60</v>
      </c>
      <c r="I4420" s="246">
        <v>103.7752</v>
      </c>
      <c r="J4420" s="246" t="s">
        <v>1026</v>
      </c>
      <c r="K4420" s="246" t="s">
        <v>116</v>
      </c>
      <c r="L4420" s="145"/>
      <c r="M4420" s="145"/>
      <c r="N4420" s="145"/>
      <c r="O4420" s="247"/>
      <c r="P4420" s="175"/>
    </row>
    <row r="4421" spans="1:16" s="174" customFormat="1" ht="14.25" x14ac:dyDescent="0.2">
      <c r="A4421" s="248">
        <v>5199</v>
      </c>
      <c r="B4421" s="232" t="str">
        <f>IF(AND(A4421&lt;&gt;"",ISNUMBER(A4421)),VLOOKUP(A4421,Studies!A:BR,2,FALSE),"")</f>
        <v>Abdel-Rahman 2007</v>
      </c>
      <c r="C4421" s="232" t="str">
        <f>IF(AND(A4421&lt;&gt;"",ISNUMBER(A4421)),VLOOKUP(A4421,Studies!A:BR,3,FALSE),"")</f>
        <v>https://www.ncbi.nlm.nih.gov/pubmed/17517842</v>
      </c>
      <c r="D4421" s="232" t="str">
        <f>IF(AND(A4421&lt;&gt;"",ISNUMBER(A4421)),VLOOKUP(A4421,Studies!A:BR,4,FALSE),"")</f>
        <v>6-12y</v>
      </c>
      <c r="E4421" s="206" t="str">
        <f>IF(AND(A4421&lt;&gt;"",ISNUMBER(A4421)),VLOOKUP(A4421,Studies!A:BR,5,FALSE),"")</f>
        <v>Itraconazole</v>
      </c>
      <c r="F4421" s="207" t="str">
        <f>IF(AND(A4421&lt;&gt;"",ISNUMBER(A4421)),VLOOKUP(A4421,Studies!A:BR,6,FALSE),"")</f>
        <v>Plasma</v>
      </c>
      <c r="G4421" s="245">
        <v>24</v>
      </c>
      <c r="H4421" s="245" t="s">
        <v>60</v>
      </c>
      <c r="I4421" s="246">
        <v>52.076039999999999</v>
      </c>
      <c r="J4421" s="246" t="s">
        <v>1026</v>
      </c>
      <c r="K4421" s="246" t="s">
        <v>116</v>
      </c>
      <c r="L4421" s="145"/>
      <c r="M4421" s="145"/>
      <c r="N4421" s="145"/>
      <c r="O4421" s="247"/>
      <c r="P4421" s="175"/>
    </row>
    <row r="4422" spans="1:16" s="174" customFormat="1" ht="14.25" x14ac:dyDescent="0.2">
      <c r="A4422" s="248">
        <v>5199</v>
      </c>
      <c r="B4422" s="232" t="str">
        <f>IF(AND(A4422&lt;&gt;"",ISNUMBER(A4422)),VLOOKUP(A4422,Studies!A:BR,2,FALSE),"")</f>
        <v>Abdel-Rahman 2007</v>
      </c>
      <c r="C4422" s="232" t="str">
        <f>IF(AND(A4422&lt;&gt;"",ISNUMBER(A4422)),VLOOKUP(A4422,Studies!A:BR,3,FALSE),"")</f>
        <v>https://www.ncbi.nlm.nih.gov/pubmed/17517842</v>
      </c>
      <c r="D4422" s="232" t="str">
        <f>IF(AND(A4422&lt;&gt;"",ISNUMBER(A4422)),VLOOKUP(A4422,Studies!A:BR,4,FALSE),"")</f>
        <v>6-12y</v>
      </c>
      <c r="E4422" s="206" t="str">
        <f>IF(AND(A4422&lt;&gt;"",ISNUMBER(A4422)),VLOOKUP(A4422,Studies!A:BR,5,FALSE),"")</f>
        <v>Itraconazole</v>
      </c>
      <c r="F4422" s="207" t="str">
        <f>IF(AND(A4422&lt;&gt;"",ISNUMBER(A4422)),VLOOKUP(A4422,Studies!A:BR,6,FALSE),"")</f>
        <v>Plasma</v>
      </c>
      <c r="G4422" s="245">
        <v>48</v>
      </c>
      <c r="H4422" s="245" t="s">
        <v>60</v>
      </c>
      <c r="I4422" s="246">
        <v>18.86347</v>
      </c>
      <c r="J4422" s="246" t="s">
        <v>1026</v>
      </c>
      <c r="K4422" s="246" t="s">
        <v>116</v>
      </c>
      <c r="L4422" s="145"/>
      <c r="M4422" s="145"/>
      <c r="N4422" s="145"/>
      <c r="O4422" s="247"/>
      <c r="P4422" s="175"/>
    </row>
    <row r="4423" spans="1:16" s="174" customFormat="1" ht="14.25" x14ac:dyDescent="0.2">
      <c r="A4423" s="248">
        <v>5199</v>
      </c>
      <c r="B4423" s="232" t="str">
        <f>IF(AND(A4423&lt;&gt;"",ISNUMBER(A4423)),VLOOKUP(A4423,Studies!A:BR,2,FALSE),"")</f>
        <v>Abdel-Rahman 2007</v>
      </c>
      <c r="C4423" s="232" t="str">
        <f>IF(AND(A4423&lt;&gt;"",ISNUMBER(A4423)),VLOOKUP(A4423,Studies!A:BR,3,FALSE),"")</f>
        <v>https://www.ncbi.nlm.nih.gov/pubmed/17517842</v>
      </c>
      <c r="D4423" s="232" t="str">
        <f>IF(AND(A4423&lt;&gt;"",ISNUMBER(A4423)),VLOOKUP(A4423,Studies!A:BR,4,FALSE),"")</f>
        <v>6-12y</v>
      </c>
      <c r="E4423" s="206" t="str">
        <f>IF(AND(A4423&lt;&gt;"",ISNUMBER(A4423)),VLOOKUP(A4423,Studies!A:BR,5,FALSE),"")</f>
        <v>Itraconazole</v>
      </c>
      <c r="F4423" s="207" t="str">
        <f>IF(AND(A4423&lt;&gt;"",ISNUMBER(A4423)),VLOOKUP(A4423,Studies!A:BR,6,FALSE),"")</f>
        <v>Plasma</v>
      </c>
      <c r="G4423" s="245">
        <v>72</v>
      </c>
      <c r="H4423" s="245" t="s">
        <v>60</v>
      </c>
      <c r="I4423" s="246">
        <v>8.5626650000000009</v>
      </c>
      <c r="J4423" s="246" t="s">
        <v>1026</v>
      </c>
      <c r="K4423" s="246" t="s">
        <v>116</v>
      </c>
      <c r="L4423" s="145"/>
      <c r="M4423" s="145"/>
      <c r="N4423" s="145"/>
      <c r="O4423" s="247"/>
      <c r="P4423" s="175"/>
    </row>
    <row r="4424" spans="1:16" s="174" customFormat="1" ht="14.25" x14ac:dyDescent="0.2">
      <c r="A4424" s="248">
        <v>5198</v>
      </c>
      <c r="B4424" s="232" t="str">
        <f>IF(AND(A4424&lt;&gt;"",ISNUMBER(A4424)),VLOOKUP(A4424,Studies!A:BR,2,FALSE),"")</f>
        <v>Abdel-Rahman 2007</v>
      </c>
      <c r="C4424" s="232" t="str">
        <f>IF(AND(A4424&lt;&gt;"",ISNUMBER(A4424)),VLOOKUP(A4424,Studies!A:BR,3,FALSE),"")</f>
        <v>https://www.ncbi.nlm.nih.gov/pubmed/17517842</v>
      </c>
      <c r="D4424" s="232" t="str">
        <f>IF(AND(A4424&lt;&gt;"",ISNUMBER(A4424)),VLOOKUP(A4424,Studies!A:BR,4,FALSE),"")</f>
        <v>2-6y</v>
      </c>
      <c r="E4424" s="206" t="str">
        <f>IF(AND(A4424&lt;&gt;"",ISNUMBER(A4424)),VLOOKUP(A4424,Studies!A:BR,5,FALSE),"")</f>
        <v>Itraconazole</v>
      </c>
      <c r="F4424" s="207" t="str">
        <f>IF(AND(A4424&lt;&gt;"",ISNUMBER(A4424)),VLOOKUP(A4424,Studies!A:BR,6,FALSE),"")</f>
        <v>Plasma</v>
      </c>
      <c r="G4424" s="245">
        <v>1</v>
      </c>
      <c r="H4424" s="245" t="s">
        <v>60</v>
      </c>
      <c r="I4424" s="246">
        <v>1257.703</v>
      </c>
      <c r="J4424" s="246" t="s">
        <v>1026</v>
      </c>
      <c r="K4424" s="246" t="s">
        <v>116</v>
      </c>
      <c r="L4424" s="145"/>
      <c r="M4424" s="145"/>
      <c r="N4424" s="145"/>
      <c r="O4424" s="247"/>
      <c r="P4424" s="175"/>
    </row>
    <row r="4425" spans="1:16" s="174" customFormat="1" ht="14.25" x14ac:dyDescent="0.2">
      <c r="A4425" s="248">
        <v>5198</v>
      </c>
      <c r="B4425" s="232" t="str">
        <f>IF(AND(A4425&lt;&gt;"",ISNUMBER(A4425)),VLOOKUP(A4425,Studies!A:BR,2,FALSE),"")</f>
        <v>Abdel-Rahman 2007</v>
      </c>
      <c r="C4425" s="232" t="str">
        <f>IF(AND(A4425&lt;&gt;"",ISNUMBER(A4425)),VLOOKUP(A4425,Studies!A:BR,3,FALSE),"")</f>
        <v>https://www.ncbi.nlm.nih.gov/pubmed/17517842</v>
      </c>
      <c r="D4425" s="232" t="str">
        <f>IF(AND(A4425&lt;&gt;"",ISNUMBER(A4425)),VLOOKUP(A4425,Studies!A:BR,4,FALSE),"")</f>
        <v>2-6y</v>
      </c>
      <c r="E4425" s="206" t="str">
        <f>IF(AND(A4425&lt;&gt;"",ISNUMBER(A4425)),VLOOKUP(A4425,Studies!A:BR,5,FALSE),"")</f>
        <v>Itraconazole</v>
      </c>
      <c r="F4425" s="207" t="str">
        <f>IF(AND(A4425&lt;&gt;"",ISNUMBER(A4425)),VLOOKUP(A4425,Studies!A:BR,6,FALSE),"")</f>
        <v>Plasma</v>
      </c>
      <c r="G4425" s="245">
        <v>2</v>
      </c>
      <c r="H4425" s="245" t="s">
        <v>60</v>
      </c>
      <c r="I4425" s="246">
        <v>485.04829999999998</v>
      </c>
      <c r="J4425" s="246" t="s">
        <v>1026</v>
      </c>
      <c r="K4425" s="246" t="s">
        <v>116</v>
      </c>
      <c r="L4425" s="145"/>
      <c r="M4425" s="145"/>
      <c r="N4425" s="145"/>
      <c r="O4425" s="247"/>
      <c r="P4425" s="175"/>
    </row>
    <row r="4426" spans="1:16" s="174" customFormat="1" ht="14.25" x14ac:dyDescent="0.2">
      <c r="A4426" s="248">
        <v>5198</v>
      </c>
      <c r="B4426" s="232" t="str">
        <f>IF(AND(A4426&lt;&gt;"",ISNUMBER(A4426)),VLOOKUP(A4426,Studies!A:BR,2,FALSE),"")</f>
        <v>Abdel-Rahman 2007</v>
      </c>
      <c r="C4426" s="232" t="str">
        <f>IF(AND(A4426&lt;&gt;"",ISNUMBER(A4426)),VLOOKUP(A4426,Studies!A:BR,3,FALSE),"")</f>
        <v>https://www.ncbi.nlm.nih.gov/pubmed/17517842</v>
      </c>
      <c r="D4426" s="232" t="str">
        <f>IF(AND(A4426&lt;&gt;"",ISNUMBER(A4426)),VLOOKUP(A4426,Studies!A:BR,4,FALSE),"")</f>
        <v>2-6y</v>
      </c>
      <c r="E4426" s="206" t="str">
        <f>IF(AND(A4426&lt;&gt;"",ISNUMBER(A4426)),VLOOKUP(A4426,Studies!A:BR,5,FALSE),"")</f>
        <v>Itraconazole</v>
      </c>
      <c r="F4426" s="207" t="str">
        <f>IF(AND(A4426&lt;&gt;"",ISNUMBER(A4426)),VLOOKUP(A4426,Studies!A:BR,6,FALSE),"")</f>
        <v>Plasma</v>
      </c>
      <c r="G4426" s="245">
        <v>5</v>
      </c>
      <c r="H4426" s="245" t="s">
        <v>60</v>
      </c>
      <c r="I4426" s="246">
        <v>196.68459999999999</v>
      </c>
      <c r="J4426" s="246" t="s">
        <v>1026</v>
      </c>
      <c r="K4426" s="246" t="s">
        <v>116</v>
      </c>
      <c r="L4426" s="145"/>
      <c r="M4426" s="145"/>
      <c r="N4426" s="145"/>
      <c r="O4426" s="247"/>
      <c r="P4426" s="175"/>
    </row>
    <row r="4427" spans="1:16" s="174" customFormat="1" ht="14.25" x14ac:dyDescent="0.2">
      <c r="A4427" s="248">
        <v>5198</v>
      </c>
      <c r="B4427" s="232" t="str">
        <f>IF(AND(A4427&lt;&gt;"",ISNUMBER(A4427)),VLOOKUP(A4427,Studies!A:BR,2,FALSE),"")</f>
        <v>Abdel-Rahman 2007</v>
      </c>
      <c r="C4427" s="232" t="str">
        <f>IF(AND(A4427&lt;&gt;"",ISNUMBER(A4427)),VLOOKUP(A4427,Studies!A:BR,3,FALSE),"")</f>
        <v>https://www.ncbi.nlm.nih.gov/pubmed/17517842</v>
      </c>
      <c r="D4427" s="232" t="str">
        <f>IF(AND(A4427&lt;&gt;"",ISNUMBER(A4427)),VLOOKUP(A4427,Studies!A:BR,4,FALSE),"")</f>
        <v>2-6y</v>
      </c>
      <c r="E4427" s="206" t="str">
        <f>IF(AND(A4427&lt;&gt;"",ISNUMBER(A4427)),VLOOKUP(A4427,Studies!A:BR,5,FALSE),"")</f>
        <v>Itraconazole</v>
      </c>
      <c r="F4427" s="207" t="str">
        <f>IF(AND(A4427&lt;&gt;"",ISNUMBER(A4427)),VLOOKUP(A4427,Studies!A:BR,6,FALSE),"")</f>
        <v>Plasma</v>
      </c>
      <c r="G4427" s="245">
        <v>8</v>
      </c>
      <c r="H4427" s="245" t="s">
        <v>60</v>
      </c>
      <c r="I4427" s="246">
        <v>153.06559999999999</v>
      </c>
      <c r="J4427" s="246" t="s">
        <v>1026</v>
      </c>
      <c r="K4427" s="246" t="s">
        <v>116</v>
      </c>
      <c r="L4427" s="145"/>
      <c r="M4427" s="145"/>
      <c r="N4427" s="145"/>
      <c r="O4427" s="247"/>
      <c r="P4427" s="175"/>
    </row>
    <row r="4428" spans="1:16" s="174" customFormat="1" ht="14.25" x14ac:dyDescent="0.2">
      <c r="A4428" s="248">
        <v>5198</v>
      </c>
      <c r="B4428" s="232" t="str">
        <f>IF(AND(A4428&lt;&gt;"",ISNUMBER(A4428)),VLOOKUP(A4428,Studies!A:BR,2,FALSE),"")</f>
        <v>Abdel-Rahman 2007</v>
      </c>
      <c r="C4428" s="232" t="str">
        <f>IF(AND(A4428&lt;&gt;"",ISNUMBER(A4428)),VLOOKUP(A4428,Studies!A:BR,3,FALSE),"")</f>
        <v>https://www.ncbi.nlm.nih.gov/pubmed/17517842</v>
      </c>
      <c r="D4428" s="232" t="str">
        <f>IF(AND(A4428&lt;&gt;"",ISNUMBER(A4428)),VLOOKUP(A4428,Studies!A:BR,4,FALSE),"")</f>
        <v>2-6y</v>
      </c>
      <c r="E4428" s="206" t="str">
        <f>IF(AND(A4428&lt;&gt;"",ISNUMBER(A4428)),VLOOKUP(A4428,Studies!A:BR,5,FALSE),"")</f>
        <v>Itraconazole</v>
      </c>
      <c r="F4428" s="207" t="str">
        <f>IF(AND(A4428&lt;&gt;"",ISNUMBER(A4428)),VLOOKUP(A4428,Studies!A:BR,6,FALSE),"")</f>
        <v>Plasma</v>
      </c>
      <c r="G4428" s="245">
        <v>12</v>
      </c>
      <c r="H4428" s="245" t="s">
        <v>60</v>
      </c>
      <c r="I4428" s="246">
        <v>90.407070000000004</v>
      </c>
      <c r="J4428" s="246" t="s">
        <v>1026</v>
      </c>
      <c r="K4428" s="246" t="s">
        <v>116</v>
      </c>
      <c r="L4428" s="145"/>
      <c r="M4428" s="145"/>
      <c r="N4428" s="145"/>
      <c r="O4428" s="247"/>
      <c r="P4428" s="175"/>
    </row>
    <row r="4429" spans="1:16" s="174" customFormat="1" ht="14.25" x14ac:dyDescent="0.2">
      <c r="A4429" s="248">
        <v>5198</v>
      </c>
      <c r="B4429" s="232" t="str">
        <f>IF(AND(A4429&lt;&gt;"",ISNUMBER(A4429)),VLOOKUP(A4429,Studies!A:BR,2,FALSE),"")</f>
        <v>Abdel-Rahman 2007</v>
      </c>
      <c r="C4429" s="232" t="str">
        <f>IF(AND(A4429&lt;&gt;"",ISNUMBER(A4429)),VLOOKUP(A4429,Studies!A:BR,3,FALSE),"")</f>
        <v>https://www.ncbi.nlm.nih.gov/pubmed/17517842</v>
      </c>
      <c r="D4429" s="232" t="str">
        <f>IF(AND(A4429&lt;&gt;"",ISNUMBER(A4429)),VLOOKUP(A4429,Studies!A:BR,4,FALSE),"")</f>
        <v>2-6y</v>
      </c>
      <c r="E4429" s="206" t="str">
        <f>IF(AND(A4429&lt;&gt;"",ISNUMBER(A4429)),VLOOKUP(A4429,Studies!A:BR,5,FALSE),"")</f>
        <v>Itraconazole</v>
      </c>
      <c r="F4429" s="207" t="str">
        <f>IF(AND(A4429&lt;&gt;"",ISNUMBER(A4429)),VLOOKUP(A4429,Studies!A:BR,6,FALSE),"")</f>
        <v>Plasma</v>
      </c>
      <c r="G4429" s="245">
        <v>24</v>
      </c>
      <c r="H4429" s="245" t="s">
        <v>60</v>
      </c>
      <c r="I4429" s="246">
        <v>54.754089999999998</v>
      </c>
      <c r="J4429" s="246" t="s">
        <v>1026</v>
      </c>
      <c r="K4429" s="246" t="s">
        <v>116</v>
      </c>
      <c r="L4429" s="145"/>
      <c r="M4429" s="145"/>
      <c r="N4429" s="145"/>
      <c r="O4429" s="247"/>
      <c r="P4429" s="175"/>
    </row>
    <row r="4430" spans="1:16" s="174" customFormat="1" ht="14.25" x14ac:dyDescent="0.2">
      <c r="A4430" s="248">
        <v>5198</v>
      </c>
      <c r="B4430" s="232" t="str">
        <f>IF(AND(A4430&lt;&gt;"",ISNUMBER(A4430)),VLOOKUP(A4430,Studies!A:BR,2,FALSE),"")</f>
        <v>Abdel-Rahman 2007</v>
      </c>
      <c r="C4430" s="232" t="str">
        <f>IF(AND(A4430&lt;&gt;"",ISNUMBER(A4430)),VLOOKUP(A4430,Studies!A:BR,3,FALSE),"")</f>
        <v>https://www.ncbi.nlm.nih.gov/pubmed/17517842</v>
      </c>
      <c r="D4430" s="232" t="str">
        <f>IF(AND(A4430&lt;&gt;"",ISNUMBER(A4430)),VLOOKUP(A4430,Studies!A:BR,4,FALSE),"")</f>
        <v>2-6y</v>
      </c>
      <c r="E4430" s="206" t="str">
        <f>IF(AND(A4430&lt;&gt;"",ISNUMBER(A4430)),VLOOKUP(A4430,Studies!A:BR,5,FALSE),"")</f>
        <v>Itraconazole</v>
      </c>
      <c r="F4430" s="207" t="str">
        <f>IF(AND(A4430&lt;&gt;"",ISNUMBER(A4430)),VLOOKUP(A4430,Studies!A:BR,6,FALSE),"")</f>
        <v>Plasma</v>
      </c>
      <c r="G4430" s="245">
        <v>48</v>
      </c>
      <c r="H4430" s="245" t="s">
        <v>60</v>
      </c>
      <c r="I4430" s="246">
        <v>37.590420000000002</v>
      </c>
      <c r="J4430" s="246" t="s">
        <v>1026</v>
      </c>
      <c r="K4430" s="246" t="s">
        <v>116</v>
      </c>
      <c r="L4430" s="145"/>
      <c r="M4430" s="145"/>
      <c r="N4430" s="145"/>
      <c r="O4430" s="247"/>
      <c r="P4430" s="175"/>
    </row>
    <row r="4431" spans="1:16" s="174" customFormat="1" ht="14.25" x14ac:dyDescent="0.2">
      <c r="A4431" s="248">
        <v>5198</v>
      </c>
      <c r="B4431" s="232" t="str">
        <f>IF(AND(A4431&lt;&gt;"",ISNUMBER(A4431)),VLOOKUP(A4431,Studies!A:BR,2,FALSE),"")</f>
        <v>Abdel-Rahman 2007</v>
      </c>
      <c r="C4431" s="232" t="str">
        <f>IF(AND(A4431&lt;&gt;"",ISNUMBER(A4431)),VLOOKUP(A4431,Studies!A:BR,3,FALSE),"")</f>
        <v>https://www.ncbi.nlm.nih.gov/pubmed/17517842</v>
      </c>
      <c r="D4431" s="232" t="str">
        <f>IF(AND(A4431&lt;&gt;"",ISNUMBER(A4431)),VLOOKUP(A4431,Studies!A:BR,4,FALSE),"")</f>
        <v>2-6y</v>
      </c>
      <c r="E4431" s="206" t="str">
        <f>IF(AND(A4431&lt;&gt;"",ISNUMBER(A4431)),VLOOKUP(A4431,Studies!A:BR,5,FALSE),"")</f>
        <v>Itraconazole</v>
      </c>
      <c r="F4431" s="207" t="str">
        <f>IF(AND(A4431&lt;&gt;"",ISNUMBER(A4431)),VLOOKUP(A4431,Studies!A:BR,6,FALSE),"")</f>
        <v>Plasma</v>
      </c>
      <c r="G4431" s="245">
        <v>72</v>
      </c>
      <c r="H4431" s="245" t="s">
        <v>60</v>
      </c>
      <c r="I4431" s="246">
        <v>16.433520000000001</v>
      </c>
      <c r="J4431" s="246" t="s">
        <v>1026</v>
      </c>
      <c r="K4431" s="246" t="s">
        <v>116</v>
      </c>
      <c r="L4431" s="145"/>
      <c r="M4431" s="145"/>
      <c r="N4431" s="145"/>
      <c r="O4431" s="247"/>
      <c r="P4431" s="175"/>
    </row>
    <row r="4432" spans="1:16" s="174" customFormat="1" ht="14.25" x14ac:dyDescent="0.2">
      <c r="A4432" s="248">
        <v>5197</v>
      </c>
      <c r="B4432" s="232" t="str">
        <f>IF(AND(A4432&lt;&gt;"",ISNUMBER(A4432)),VLOOKUP(A4432,Studies!A:BR,2,FALSE),"")</f>
        <v>Abdel-Rahman 2007</v>
      </c>
      <c r="C4432" s="232" t="str">
        <f>IF(AND(A4432&lt;&gt;"",ISNUMBER(A4432)),VLOOKUP(A4432,Studies!A:BR,3,FALSE),"")</f>
        <v>https://www.ncbi.nlm.nih.gov/pubmed/17517842</v>
      </c>
      <c r="D4432" s="232" t="str">
        <f>IF(AND(A4432&lt;&gt;"",ISNUMBER(A4432)),VLOOKUP(A4432,Studies!A:BR,4,FALSE),"")</f>
        <v>6m-2y</v>
      </c>
      <c r="E4432" s="206" t="str">
        <f>IF(AND(A4432&lt;&gt;"",ISNUMBER(A4432)),VLOOKUP(A4432,Studies!A:BR,5,FALSE),"")</f>
        <v>Itraconazole</v>
      </c>
      <c r="F4432" s="207" t="str">
        <f>IF(AND(A4432&lt;&gt;"",ISNUMBER(A4432)),VLOOKUP(A4432,Studies!A:BR,6,FALSE),"")</f>
        <v>Plasma</v>
      </c>
      <c r="G4432" s="245">
        <v>1</v>
      </c>
      <c r="H4432" s="245" t="s">
        <v>60</v>
      </c>
      <c r="I4432" s="246">
        <v>1166.568</v>
      </c>
      <c r="J4432" s="246" t="s">
        <v>1026</v>
      </c>
      <c r="K4432" s="246" t="s">
        <v>116</v>
      </c>
      <c r="L4432" s="145"/>
      <c r="M4432" s="145"/>
      <c r="N4432" s="145"/>
      <c r="O4432" s="247"/>
      <c r="P4432" s="175"/>
    </row>
    <row r="4433" spans="1:16" s="174" customFormat="1" ht="14.25" x14ac:dyDescent="0.2">
      <c r="A4433" s="248">
        <v>5197</v>
      </c>
      <c r="B4433" s="232" t="str">
        <f>IF(AND(A4433&lt;&gt;"",ISNUMBER(A4433)),VLOOKUP(A4433,Studies!A:BR,2,FALSE),"")</f>
        <v>Abdel-Rahman 2007</v>
      </c>
      <c r="C4433" s="232" t="str">
        <f>IF(AND(A4433&lt;&gt;"",ISNUMBER(A4433)),VLOOKUP(A4433,Studies!A:BR,3,FALSE),"")</f>
        <v>https://www.ncbi.nlm.nih.gov/pubmed/17517842</v>
      </c>
      <c r="D4433" s="232" t="str">
        <f>IF(AND(A4433&lt;&gt;"",ISNUMBER(A4433)),VLOOKUP(A4433,Studies!A:BR,4,FALSE),"")</f>
        <v>6m-2y</v>
      </c>
      <c r="E4433" s="206" t="str">
        <f>IF(AND(A4433&lt;&gt;"",ISNUMBER(A4433)),VLOOKUP(A4433,Studies!A:BR,5,FALSE),"")</f>
        <v>Itraconazole</v>
      </c>
      <c r="F4433" s="207" t="str">
        <f>IF(AND(A4433&lt;&gt;"",ISNUMBER(A4433)),VLOOKUP(A4433,Studies!A:BR,6,FALSE),"")</f>
        <v>Plasma</v>
      </c>
      <c r="G4433" s="245">
        <v>2</v>
      </c>
      <c r="H4433" s="245" t="s">
        <v>60</v>
      </c>
      <c r="I4433" s="246">
        <v>217.4341</v>
      </c>
      <c r="J4433" s="246" t="s">
        <v>1026</v>
      </c>
      <c r="K4433" s="246" t="s">
        <v>116</v>
      </c>
      <c r="L4433" s="145"/>
      <c r="M4433" s="145"/>
      <c r="N4433" s="145"/>
      <c r="O4433" s="247"/>
      <c r="P4433" s="175"/>
    </row>
    <row r="4434" spans="1:16" s="174" customFormat="1" ht="14.25" x14ac:dyDescent="0.2">
      <c r="A4434" s="248">
        <v>5197</v>
      </c>
      <c r="B4434" s="232" t="str">
        <f>IF(AND(A4434&lt;&gt;"",ISNUMBER(A4434)),VLOOKUP(A4434,Studies!A:BR,2,FALSE),"")</f>
        <v>Abdel-Rahman 2007</v>
      </c>
      <c r="C4434" s="232" t="str">
        <f>IF(AND(A4434&lt;&gt;"",ISNUMBER(A4434)),VLOOKUP(A4434,Studies!A:BR,3,FALSE),"")</f>
        <v>https://www.ncbi.nlm.nih.gov/pubmed/17517842</v>
      </c>
      <c r="D4434" s="232" t="str">
        <f>IF(AND(A4434&lt;&gt;"",ISNUMBER(A4434)),VLOOKUP(A4434,Studies!A:BR,4,FALSE),"")</f>
        <v>6m-2y</v>
      </c>
      <c r="E4434" s="206" t="str">
        <f>IF(AND(A4434&lt;&gt;"",ISNUMBER(A4434)),VLOOKUP(A4434,Studies!A:BR,5,FALSE),"")</f>
        <v>Itraconazole</v>
      </c>
      <c r="F4434" s="207" t="str">
        <f>IF(AND(A4434&lt;&gt;"",ISNUMBER(A4434)),VLOOKUP(A4434,Studies!A:BR,6,FALSE),"")</f>
        <v>Plasma</v>
      </c>
      <c r="G4434" s="245">
        <v>5</v>
      </c>
      <c r="H4434" s="245" t="s">
        <v>60</v>
      </c>
      <c r="I4434" s="246">
        <v>62.850349999999999</v>
      </c>
      <c r="J4434" s="246" t="s">
        <v>1026</v>
      </c>
      <c r="K4434" s="246" t="s">
        <v>116</v>
      </c>
      <c r="L4434" s="145"/>
      <c r="M4434" s="145"/>
      <c r="N4434" s="145"/>
      <c r="O4434" s="247"/>
      <c r="P4434" s="175"/>
    </row>
    <row r="4435" spans="1:16" s="174" customFormat="1" ht="14.25" x14ac:dyDescent="0.2">
      <c r="A4435" s="248">
        <v>5197</v>
      </c>
      <c r="B4435" s="232" t="str">
        <f>IF(AND(A4435&lt;&gt;"",ISNUMBER(A4435)),VLOOKUP(A4435,Studies!A:BR,2,FALSE),"")</f>
        <v>Abdel-Rahman 2007</v>
      </c>
      <c r="C4435" s="232" t="str">
        <f>IF(AND(A4435&lt;&gt;"",ISNUMBER(A4435)),VLOOKUP(A4435,Studies!A:BR,3,FALSE),"")</f>
        <v>https://www.ncbi.nlm.nih.gov/pubmed/17517842</v>
      </c>
      <c r="D4435" s="232" t="str">
        <f>IF(AND(A4435&lt;&gt;"",ISNUMBER(A4435)),VLOOKUP(A4435,Studies!A:BR,4,FALSE),"")</f>
        <v>6m-2y</v>
      </c>
      <c r="E4435" s="206" t="str">
        <f>IF(AND(A4435&lt;&gt;"",ISNUMBER(A4435)),VLOOKUP(A4435,Studies!A:BR,5,FALSE),"")</f>
        <v>Itraconazole</v>
      </c>
      <c r="F4435" s="207" t="str">
        <f>IF(AND(A4435&lt;&gt;"",ISNUMBER(A4435)),VLOOKUP(A4435,Studies!A:BR,6,FALSE),"")</f>
        <v>Plasma</v>
      </c>
      <c r="G4435" s="245">
        <v>8</v>
      </c>
      <c r="H4435" s="245" t="s">
        <v>60</v>
      </c>
      <c r="I4435" s="246">
        <v>55.444850000000002</v>
      </c>
      <c r="J4435" s="246" t="s">
        <v>1026</v>
      </c>
      <c r="K4435" s="246" t="s">
        <v>116</v>
      </c>
      <c r="L4435" s="145"/>
      <c r="M4435" s="145"/>
      <c r="N4435" s="145"/>
      <c r="O4435" s="247"/>
      <c r="P4435" s="175"/>
    </row>
    <row r="4436" spans="1:16" s="174" customFormat="1" ht="14.25" x14ac:dyDescent="0.2">
      <c r="A4436" s="248">
        <v>5197</v>
      </c>
      <c r="B4436" s="232" t="str">
        <f>IF(AND(A4436&lt;&gt;"",ISNUMBER(A4436)),VLOOKUP(A4436,Studies!A:BR,2,FALSE),"")</f>
        <v>Abdel-Rahman 2007</v>
      </c>
      <c r="C4436" s="232" t="str">
        <f>IF(AND(A4436&lt;&gt;"",ISNUMBER(A4436)),VLOOKUP(A4436,Studies!A:BR,3,FALSE),"")</f>
        <v>https://www.ncbi.nlm.nih.gov/pubmed/17517842</v>
      </c>
      <c r="D4436" s="232" t="str">
        <f>IF(AND(A4436&lt;&gt;"",ISNUMBER(A4436)),VLOOKUP(A4436,Studies!A:BR,4,FALSE),"")</f>
        <v>6m-2y</v>
      </c>
      <c r="E4436" s="206" t="str">
        <f>IF(AND(A4436&lt;&gt;"",ISNUMBER(A4436)),VLOOKUP(A4436,Studies!A:BR,5,FALSE),"")</f>
        <v>Itraconazole</v>
      </c>
      <c r="F4436" s="207" t="str">
        <f>IF(AND(A4436&lt;&gt;"",ISNUMBER(A4436)),VLOOKUP(A4436,Studies!A:BR,6,FALSE),"")</f>
        <v>Plasma</v>
      </c>
      <c r="G4436" s="245">
        <v>12</v>
      </c>
      <c r="H4436" s="245" t="s">
        <v>60</v>
      </c>
      <c r="I4436" s="246">
        <v>73.053899999999999</v>
      </c>
      <c r="J4436" s="246" t="s">
        <v>1026</v>
      </c>
      <c r="K4436" s="246" t="s">
        <v>116</v>
      </c>
      <c r="L4436" s="145"/>
      <c r="M4436" s="145"/>
      <c r="N4436" s="145"/>
      <c r="O4436" s="247"/>
      <c r="P4436" s="175"/>
    </row>
    <row r="4437" spans="1:16" s="174" customFormat="1" ht="14.25" x14ac:dyDescent="0.2">
      <c r="A4437" s="248">
        <v>5197</v>
      </c>
      <c r="B4437" s="232" t="str">
        <f>IF(AND(A4437&lt;&gt;"",ISNUMBER(A4437)),VLOOKUP(A4437,Studies!A:BR,2,FALSE),"")</f>
        <v>Abdel-Rahman 2007</v>
      </c>
      <c r="C4437" s="232" t="str">
        <f>IF(AND(A4437&lt;&gt;"",ISNUMBER(A4437)),VLOOKUP(A4437,Studies!A:BR,3,FALSE),"")</f>
        <v>https://www.ncbi.nlm.nih.gov/pubmed/17517842</v>
      </c>
      <c r="D4437" s="232" t="str">
        <f>IF(AND(A4437&lt;&gt;"",ISNUMBER(A4437)),VLOOKUP(A4437,Studies!A:BR,4,FALSE),"")</f>
        <v>6m-2y</v>
      </c>
      <c r="E4437" s="206" t="str">
        <f>IF(AND(A4437&lt;&gt;"",ISNUMBER(A4437)),VLOOKUP(A4437,Studies!A:BR,5,FALSE),"")</f>
        <v>Itraconazole</v>
      </c>
      <c r="F4437" s="207" t="str">
        <f>IF(AND(A4437&lt;&gt;"",ISNUMBER(A4437)),VLOOKUP(A4437,Studies!A:BR,6,FALSE),"")</f>
        <v>Plasma</v>
      </c>
      <c r="G4437" s="245">
        <v>24</v>
      </c>
      <c r="H4437" s="245" t="s">
        <v>60</v>
      </c>
      <c r="I4437" s="246">
        <v>13.788130000000001</v>
      </c>
      <c r="J4437" s="246" t="s">
        <v>1026</v>
      </c>
      <c r="K4437" s="246" t="s">
        <v>116</v>
      </c>
      <c r="L4437" s="145"/>
      <c r="M4437" s="145"/>
      <c r="N4437" s="145"/>
      <c r="O4437" s="247"/>
      <c r="P4437" s="175"/>
    </row>
    <row r="4438" spans="1:16" s="174" customFormat="1" ht="14.25" x14ac:dyDescent="0.2">
      <c r="A4438" s="248">
        <v>5197</v>
      </c>
      <c r="B4438" s="232" t="str">
        <f>IF(AND(A4438&lt;&gt;"",ISNUMBER(A4438)),VLOOKUP(A4438,Studies!A:BR,2,FALSE),"")</f>
        <v>Abdel-Rahman 2007</v>
      </c>
      <c r="C4438" s="232" t="str">
        <f>IF(AND(A4438&lt;&gt;"",ISNUMBER(A4438)),VLOOKUP(A4438,Studies!A:BR,3,FALSE),"")</f>
        <v>https://www.ncbi.nlm.nih.gov/pubmed/17517842</v>
      </c>
      <c r="D4438" s="232" t="str">
        <f>IF(AND(A4438&lt;&gt;"",ISNUMBER(A4438)),VLOOKUP(A4438,Studies!A:BR,4,FALSE),"")</f>
        <v>6m-2y</v>
      </c>
      <c r="E4438" s="206" t="str">
        <f>IF(AND(A4438&lt;&gt;"",ISNUMBER(A4438)),VLOOKUP(A4438,Studies!A:BR,5,FALSE),"")</f>
        <v>Itraconazole</v>
      </c>
      <c r="F4438" s="207" t="str">
        <f>IF(AND(A4438&lt;&gt;"",ISNUMBER(A4438)),VLOOKUP(A4438,Studies!A:BR,6,FALSE),"")</f>
        <v>Plasma</v>
      </c>
      <c r="G4438" s="245">
        <v>48</v>
      </c>
      <c r="H4438" s="245" t="s">
        <v>60</v>
      </c>
      <c r="I4438" s="246">
        <v>6.747776</v>
      </c>
      <c r="J4438" s="246" t="s">
        <v>1026</v>
      </c>
      <c r="K4438" s="246" t="s">
        <v>116</v>
      </c>
      <c r="L4438" s="145"/>
      <c r="M4438" s="145"/>
      <c r="N4438" s="145"/>
      <c r="O4438" s="247"/>
      <c r="P4438" s="175"/>
    </row>
    <row r="4439" spans="1:16" x14ac:dyDescent="0.2">
      <c r="A4439" s="189">
        <v>336</v>
      </c>
      <c r="B4439" s="232" t="str">
        <f>IF(AND(A4439&lt;&gt;"",ISNUMBER(A4439)),VLOOKUP(A4439,Studies!A:BR,2,FALSE),"")</f>
        <v>Larsen 2007</v>
      </c>
      <c r="C4439" s="232" t="str">
        <f>IF(AND(A4439&lt;&gt;"",ISNUMBER(A4439)),VLOOKUP(A4439,Studies!A:BR,3,FALSE),"")</f>
        <v>https://www.ncbi.nlm.nih.gov/pubmed/17365992</v>
      </c>
      <c r="D4439" s="232" t="str">
        <f>IF(AND(A4439&lt;&gt;"",ISNUMBER(A4439)),VLOOKUP(A4439,Studies!A:BR,4,FALSE),"")</f>
        <v>Control (Perpetrator Placebo)</v>
      </c>
      <c r="E4439" s="206" t="str">
        <f>IF(AND(A4439&lt;&gt;"",ISNUMBER(A4439)),VLOOKUP(A4439,Studies!A:BR,5,FALSE),"")</f>
        <v>Digoxin</v>
      </c>
      <c r="F4439" s="207" t="str">
        <f>IF(AND(A4439&lt;&gt;"",ISNUMBER(A4439)),VLOOKUP(A4439,Studies!A:BR,6,FALSE),"")</f>
        <v>Serum</v>
      </c>
      <c r="G4439" s="50">
        <v>0</v>
      </c>
      <c r="H4439" s="50" t="s">
        <v>1041</v>
      </c>
      <c r="I4439" s="41">
        <v>1.77305E-2</v>
      </c>
      <c r="J4439" s="41" t="s">
        <v>1059</v>
      </c>
      <c r="K4439" s="41" t="s">
        <v>264</v>
      </c>
      <c r="O4439" s="59">
        <v>0.04</v>
      </c>
    </row>
    <row r="4440" spans="1:16" x14ac:dyDescent="0.2">
      <c r="A4440" s="189">
        <v>336</v>
      </c>
      <c r="B4440" s="232" t="str">
        <f>IF(AND(A4440&lt;&gt;"",ISNUMBER(A4440)),VLOOKUP(A4440,Studies!A:BR,2,FALSE),"")</f>
        <v>Larsen 2007</v>
      </c>
      <c r="C4440" s="232" t="str">
        <f>IF(AND(A4440&lt;&gt;"",ISNUMBER(A4440)),VLOOKUP(A4440,Studies!A:BR,3,FALSE),"")</f>
        <v>https://www.ncbi.nlm.nih.gov/pubmed/17365992</v>
      </c>
      <c r="D4440" s="232" t="str">
        <f>IF(AND(A4440&lt;&gt;"",ISNUMBER(A4440)),VLOOKUP(A4440,Studies!A:BR,4,FALSE),"")</f>
        <v>Control (Perpetrator Placebo)</v>
      </c>
      <c r="E4440" s="206" t="str">
        <f>IF(AND(A4440&lt;&gt;"",ISNUMBER(A4440)),VLOOKUP(A4440,Studies!A:BR,5,FALSE),"")</f>
        <v>Digoxin</v>
      </c>
      <c r="F4440" s="207" t="str">
        <f>IF(AND(A4440&lt;&gt;"",ISNUMBER(A4440)),VLOOKUP(A4440,Studies!A:BR,6,FALSE),"")</f>
        <v>Serum</v>
      </c>
      <c r="G4440" s="50">
        <v>10</v>
      </c>
      <c r="H4440" s="50" t="s">
        <v>1041</v>
      </c>
      <c r="I4440" s="41">
        <v>0.21306990000000001</v>
      </c>
      <c r="J4440" s="41" t="s">
        <v>1059</v>
      </c>
      <c r="K4440" s="41" t="s">
        <v>264</v>
      </c>
      <c r="O4440" s="59">
        <v>0.04</v>
      </c>
    </row>
    <row r="4441" spans="1:16" x14ac:dyDescent="0.2">
      <c r="A4441" s="189">
        <v>336</v>
      </c>
      <c r="B4441" s="232" t="str">
        <f>IF(AND(A4441&lt;&gt;"",ISNUMBER(A4441)),VLOOKUP(A4441,Studies!A:BR,2,FALSE),"")</f>
        <v>Larsen 2007</v>
      </c>
      <c r="C4441" s="232" t="str">
        <f>IF(AND(A4441&lt;&gt;"",ISNUMBER(A4441)),VLOOKUP(A4441,Studies!A:BR,3,FALSE),"")</f>
        <v>https://www.ncbi.nlm.nih.gov/pubmed/17365992</v>
      </c>
      <c r="D4441" s="232" t="str">
        <f>IF(AND(A4441&lt;&gt;"",ISNUMBER(A4441)),VLOOKUP(A4441,Studies!A:BR,4,FALSE),"")</f>
        <v>Control (Perpetrator Placebo)</v>
      </c>
      <c r="E4441" s="206" t="str">
        <f>IF(AND(A4441&lt;&gt;"",ISNUMBER(A4441)),VLOOKUP(A4441,Studies!A:BR,5,FALSE),"")</f>
        <v>Digoxin</v>
      </c>
      <c r="F4441" s="207" t="str">
        <f>IF(AND(A4441&lt;&gt;"",ISNUMBER(A4441)),VLOOKUP(A4441,Studies!A:BR,6,FALSE),"")</f>
        <v>Serum</v>
      </c>
      <c r="G4441" s="50">
        <v>20</v>
      </c>
      <c r="H4441" s="50" t="s">
        <v>1041</v>
      </c>
      <c r="I4441" s="41">
        <v>0.49705169999999999</v>
      </c>
      <c r="J4441" s="41" t="s">
        <v>1059</v>
      </c>
      <c r="K4441" s="41" t="s">
        <v>264</v>
      </c>
      <c r="O4441" s="59">
        <v>0.04</v>
      </c>
    </row>
    <row r="4442" spans="1:16" x14ac:dyDescent="0.2">
      <c r="A4442" s="189">
        <v>336</v>
      </c>
      <c r="B4442" s="232" t="str">
        <f>IF(AND(A4442&lt;&gt;"",ISNUMBER(A4442)),VLOOKUP(A4442,Studies!A:BR,2,FALSE),"")</f>
        <v>Larsen 2007</v>
      </c>
      <c r="C4442" s="232" t="str">
        <f>IF(AND(A4442&lt;&gt;"",ISNUMBER(A4442)),VLOOKUP(A4442,Studies!A:BR,3,FALSE),"")</f>
        <v>https://www.ncbi.nlm.nih.gov/pubmed/17365992</v>
      </c>
      <c r="D4442" s="232" t="str">
        <f>IF(AND(A4442&lt;&gt;"",ISNUMBER(A4442)),VLOOKUP(A4442,Studies!A:BR,4,FALSE),"")</f>
        <v>Control (Perpetrator Placebo)</v>
      </c>
      <c r="E4442" s="206" t="str">
        <f>IF(AND(A4442&lt;&gt;"",ISNUMBER(A4442)),VLOOKUP(A4442,Studies!A:BR,5,FALSE),"")</f>
        <v>Digoxin</v>
      </c>
      <c r="F4442" s="207" t="str">
        <f>IF(AND(A4442&lt;&gt;"",ISNUMBER(A4442)),VLOOKUP(A4442,Studies!A:BR,6,FALSE),"")</f>
        <v>Serum</v>
      </c>
      <c r="G4442" s="50">
        <v>30</v>
      </c>
      <c r="H4442" s="50" t="s">
        <v>1041</v>
      </c>
      <c r="I4442" s="41">
        <v>0.77217829999999998</v>
      </c>
      <c r="J4442" s="41" t="s">
        <v>1059</v>
      </c>
      <c r="K4442" s="41" t="s">
        <v>264</v>
      </c>
      <c r="O4442" s="59">
        <v>0.04</v>
      </c>
    </row>
    <row r="4443" spans="1:16" x14ac:dyDescent="0.2">
      <c r="A4443" s="189">
        <v>336</v>
      </c>
      <c r="B4443" s="232" t="str">
        <f>IF(AND(A4443&lt;&gt;"",ISNUMBER(A4443)),VLOOKUP(A4443,Studies!A:BR,2,FALSE),"")</f>
        <v>Larsen 2007</v>
      </c>
      <c r="C4443" s="232" t="str">
        <f>IF(AND(A4443&lt;&gt;"",ISNUMBER(A4443)),VLOOKUP(A4443,Studies!A:BR,3,FALSE),"")</f>
        <v>https://www.ncbi.nlm.nih.gov/pubmed/17365992</v>
      </c>
      <c r="D4443" s="232" t="str">
        <f>IF(AND(A4443&lt;&gt;"",ISNUMBER(A4443)),VLOOKUP(A4443,Studies!A:BR,4,FALSE),"")</f>
        <v>Control (Perpetrator Placebo)</v>
      </c>
      <c r="E4443" s="206" t="str">
        <f>IF(AND(A4443&lt;&gt;"",ISNUMBER(A4443)),VLOOKUP(A4443,Studies!A:BR,5,FALSE),"")</f>
        <v>Digoxin</v>
      </c>
      <c r="F4443" s="207" t="str">
        <f>IF(AND(A4443&lt;&gt;"",ISNUMBER(A4443)),VLOOKUP(A4443,Studies!A:BR,6,FALSE),"")</f>
        <v>Serum</v>
      </c>
      <c r="G4443" s="50">
        <v>40</v>
      </c>
      <c r="H4443" s="50" t="s">
        <v>1041</v>
      </c>
      <c r="I4443" s="41">
        <v>1.0827359999999999</v>
      </c>
      <c r="J4443" s="41" t="s">
        <v>1059</v>
      </c>
      <c r="K4443" s="41" t="s">
        <v>264</v>
      </c>
      <c r="O4443" s="59">
        <v>0.04</v>
      </c>
    </row>
    <row r="4444" spans="1:16" x14ac:dyDescent="0.2">
      <c r="A4444" s="189">
        <v>336</v>
      </c>
      <c r="B4444" s="232" t="str">
        <f>IF(AND(A4444&lt;&gt;"",ISNUMBER(A4444)),VLOOKUP(A4444,Studies!A:BR,2,FALSE),"")</f>
        <v>Larsen 2007</v>
      </c>
      <c r="C4444" s="232" t="str">
        <f>IF(AND(A4444&lt;&gt;"",ISNUMBER(A4444)),VLOOKUP(A4444,Studies!A:BR,3,FALSE),"")</f>
        <v>https://www.ncbi.nlm.nih.gov/pubmed/17365992</v>
      </c>
      <c r="D4444" s="232" t="str">
        <f>IF(AND(A4444&lt;&gt;"",ISNUMBER(A4444)),VLOOKUP(A4444,Studies!A:BR,4,FALSE),"")</f>
        <v>Control (Perpetrator Placebo)</v>
      </c>
      <c r="E4444" s="206" t="str">
        <f>IF(AND(A4444&lt;&gt;"",ISNUMBER(A4444)),VLOOKUP(A4444,Studies!A:BR,5,FALSE),"")</f>
        <v>Digoxin</v>
      </c>
      <c r="F4444" s="207" t="str">
        <f>IF(AND(A4444&lt;&gt;"",ISNUMBER(A4444)),VLOOKUP(A4444,Studies!A:BR,6,FALSE),"")</f>
        <v>Serum</v>
      </c>
      <c r="G4444" s="50">
        <v>50</v>
      </c>
      <c r="H4444" s="50" t="s">
        <v>1041</v>
      </c>
      <c r="I4444" s="41">
        <v>1.7213369999999999</v>
      </c>
      <c r="J4444" s="41" t="s">
        <v>1059</v>
      </c>
      <c r="K4444" s="41" t="s">
        <v>264</v>
      </c>
      <c r="O4444" s="59">
        <v>0.04</v>
      </c>
    </row>
    <row r="4445" spans="1:16" x14ac:dyDescent="0.2">
      <c r="A4445" s="189">
        <v>336</v>
      </c>
      <c r="B4445" s="232" t="str">
        <f>IF(AND(A4445&lt;&gt;"",ISNUMBER(A4445)),VLOOKUP(A4445,Studies!A:BR,2,FALSE),"")</f>
        <v>Larsen 2007</v>
      </c>
      <c r="C4445" s="232" t="str">
        <f>IF(AND(A4445&lt;&gt;"",ISNUMBER(A4445)),VLOOKUP(A4445,Studies!A:BR,3,FALSE),"")</f>
        <v>https://www.ncbi.nlm.nih.gov/pubmed/17365992</v>
      </c>
      <c r="D4445" s="232" t="str">
        <f>IF(AND(A4445&lt;&gt;"",ISNUMBER(A4445)),VLOOKUP(A4445,Studies!A:BR,4,FALSE),"")</f>
        <v>Control (Perpetrator Placebo)</v>
      </c>
      <c r="E4445" s="206" t="str">
        <f>IF(AND(A4445&lt;&gt;"",ISNUMBER(A4445)),VLOOKUP(A4445,Studies!A:BR,5,FALSE),"")</f>
        <v>Digoxin</v>
      </c>
      <c r="F4445" s="207" t="str">
        <f>IF(AND(A4445&lt;&gt;"",ISNUMBER(A4445)),VLOOKUP(A4445,Studies!A:BR,6,FALSE),"")</f>
        <v>Serum</v>
      </c>
      <c r="G4445" s="50">
        <v>60</v>
      </c>
      <c r="H4445" s="50" t="s">
        <v>1041</v>
      </c>
      <c r="I4445" s="41">
        <v>1.9875890000000001</v>
      </c>
      <c r="J4445" s="41" t="s">
        <v>1059</v>
      </c>
      <c r="K4445" s="41" t="s">
        <v>264</v>
      </c>
      <c r="O4445" s="59">
        <v>0.04</v>
      </c>
    </row>
    <row r="4446" spans="1:16" x14ac:dyDescent="0.2">
      <c r="A4446" s="189">
        <v>336</v>
      </c>
      <c r="B4446" s="232" t="str">
        <f>IF(AND(A4446&lt;&gt;"",ISNUMBER(A4446)),VLOOKUP(A4446,Studies!A:BR,2,FALSE),"")</f>
        <v>Larsen 2007</v>
      </c>
      <c r="C4446" s="232" t="str">
        <f>IF(AND(A4446&lt;&gt;"",ISNUMBER(A4446)),VLOOKUP(A4446,Studies!A:BR,3,FALSE),"")</f>
        <v>https://www.ncbi.nlm.nih.gov/pubmed/17365992</v>
      </c>
      <c r="D4446" s="232" t="str">
        <f>IF(AND(A4446&lt;&gt;"",ISNUMBER(A4446)),VLOOKUP(A4446,Studies!A:BR,4,FALSE),"")</f>
        <v>Control (Perpetrator Placebo)</v>
      </c>
      <c r="E4446" s="206" t="str">
        <f>IF(AND(A4446&lt;&gt;"",ISNUMBER(A4446)),VLOOKUP(A4446,Studies!A:BR,5,FALSE),"")</f>
        <v>Digoxin</v>
      </c>
      <c r="F4446" s="207" t="str">
        <f>IF(AND(A4446&lt;&gt;"",ISNUMBER(A4446)),VLOOKUP(A4446,Studies!A:BR,6,FALSE),"")</f>
        <v>Serum</v>
      </c>
      <c r="G4446" s="50">
        <v>75</v>
      </c>
      <c r="H4446" s="50" t="s">
        <v>1041</v>
      </c>
      <c r="I4446" s="41">
        <v>2.067822</v>
      </c>
      <c r="J4446" s="41" t="s">
        <v>1059</v>
      </c>
      <c r="K4446" s="41" t="s">
        <v>264</v>
      </c>
      <c r="O4446" s="59">
        <v>0.04</v>
      </c>
    </row>
    <row r="4447" spans="1:16" x14ac:dyDescent="0.2">
      <c r="A4447" s="189">
        <v>336</v>
      </c>
      <c r="B4447" s="232" t="str">
        <f>IF(AND(A4447&lt;&gt;"",ISNUMBER(A4447)),VLOOKUP(A4447,Studies!A:BR,2,FALSE),"")</f>
        <v>Larsen 2007</v>
      </c>
      <c r="C4447" s="232" t="str">
        <f>IF(AND(A4447&lt;&gt;"",ISNUMBER(A4447)),VLOOKUP(A4447,Studies!A:BR,3,FALSE),"")</f>
        <v>https://www.ncbi.nlm.nih.gov/pubmed/17365992</v>
      </c>
      <c r="D4447" s="232" t="str">
        <f>IF(AND(A4447&lt;&gt;"",ISNUMBER(A4447)),VLOOKUP(A4447,Studies!A:BR,4,FALSE),"")</f>
        <v>Control (Perpetrator Placebo)</v>
      </c>
      <c r="E4447" s="206" t="str">
        <f>IF(AND(A4447&lt;&gt;"",ISNUMBER(A4447)),VLOOKUP(A4447,Studies!A:BR,5,FALSE),"")</f>
        <v>Digoxin</v>
      </c>
      <c r="F4447" s="207" t="str">
        <f>IF(AND(A4447&lt;&gt;"",ISNUMBER(A4447)),VLOOKUP(A4447,Studies!A:BR,6,FALSE),"")</f>
        <v>Serum</v>
      </c>
      <c r="G4447" s="50">
        <v>90</v>
      </c>
      <c r="H4447" s="50" t="s">
        <v>1041</v>
      </c>
      <c r="I4447" s="41">
        <v>1.669341</v>
      </c>
      <c r="J4447" s="41" t="s">
        <v>1059</v>
      </c>
      <c r="K4447" s="41" t="s">
        <v>264</v>
      </c>
      <c r="O4447" s="59">
        <v>0.04</v>
      </c>
    </row>
    <row r="4448" spans="1:16" x14ac:dyDescent="0.2">
      <c r="A4448" s="189">
        <v>336</v>
      </c>
      <c r="B4448" s="232" t="str">
        <f>IF(AND(A4448&lt;&gt;"",ISNUMBER(A4448)),VLOOKUP(A4448,Studies!A:BR,2,FALSE),"")</f>
        <v>Larsen 2007</v>
      </c>
      <c r="C4448" s="232" t="str">
        <f>IF(AND(A4448&lt;&gt;"",ISNUMBER(A4448)),VLOOKUP(A4448,Studies!A:BR,3,FALSE),"")</f>
        <v>https://www.ncbi.nlm.nih.gov/pubmed/17365992</v>
      </c>
      <c r="D4448" s="232" t="str">
        <f>IF(AND(A4448&lt;&gt;"",ISNUMBER(A4448)),VLOOKUP(A4448,Studies!A:BR,4,FALSE),"")</f>
        <v>Control (Perpetrator Placebo)</v>
      </c>
      <c r="E4448" s="206" t="str">
        <f>IF(AND(A4448&lt;&gt;"",ISNUMBER(A4448)),VLOOKUP(A4448,Studies!A:BR,5,FALSE),"")</f>
        <v>Digoxin</v>
      </c>
      <c r="F4448" s="207" t="str">
        <f>IF(AND(A4448&lt;&gt;"",ISNUMBER(A4448)),VLOOKUP(A4448,Studies!A:BR,6,FALSE),"")</f>
        <v>Serum</v>
      </c>
      <c r="G4448" s="50">
        <v>105</v>
      </c>
      <c r="H4448" s="50" t="s">
        <v>1041</v>
      </c>
      <c r="I4448" s="41">
        <v>1.492472</v>
      </c>
      <c r="J4448" s="41" t="s">
        <v>1059</v>
      </c>
      <c r="K4448" s="41" t="s">
        <v>264</v>
      </c>
      <c r="O4448" s="59">
        <v>0.04</v>
      </c>
    </row>
    <row r="4449" spans="1:15" x14ac:dyDescent="0.2">
      <c r="A4449" s="189">
        <v>336</v>
      </c>
      <c r="B4449" s="232" t="str">
        <f>IF(AND(A4449&lt;&gt;"",ISNUMBER(A4449)),VLOOKUP(A4449,Studies!A:BR,2,FALSE),"")</f>
        <v>Larsen 2007</v>
      </c>
      <c r="C4449" s="232" t="str">
        <f>IF(AND(A4449&lt;&gt;"",ISNUMBER(A4449)),VLOOKUP(A4449,Studies!A:BR,3,FALSE),"")</f>
        <v>https://www.ncbi.nlm.nih.gov/pubmed/17365992</v>
      </c>
      <c r="D4449" s="232" t="str">
        <f>IF(AND(A4449&lt;&gt;"",ISNUMBER(A4449)),VLOOKUP(A4449,Studies!A:BR,4,FALSE),"")</f>
        <v>Control (Perpetrator Placebo)</v>
      </c>
      <c r="E4449" s="206" t="str">
        <f>IF(AND(A4449&lt;&gt;"",ISNUMBER(A4449)),VLOOKUP(A4449,Studies!A:BR,5,FALSE),"")</f>
        <v>Digoxin</v>
      </c>
      <c r="F4449" s="207" t="str">
        <f>IF(AND(A4449&lt;&gt;"",ISNUMBER(A4449)),VLOOKUP(A4449,Studies!A:BR,6,FALSE),"")</f>
        <v>Serum</v>
      </c>
      <c r="G4449" s="50">
        <v>120</v>
      </c>
      <c r="H4449" s="50" t="s">
        <v>1041</v>
      </c>
      <c r="I4449" s="41">
        <v>1.324468</v>
      </c>
      <c r="J4449" s="41" t="s">
        <v>1059</v>
      </c>
      <c r="K4449" s="41" t="s">
        <v>264</v>
      </c>
      <c r="O4449" s="59">
        <v>0.04</v>
      </c>
    </row>
    <row r="4450" spans="1:15" x14ac:dyDescent="0.2">
      <c r="A4450" s="189">
        <v>336</v>
      </c>
      <c r="B4450" s="232" t="str">
        <f>IF(AND(A4450&lt;&gt;"",ISNUMBER(A4450)),VLOOKUP(A4450,Studies!A:BR,2,FALSE),"")</f>
        <v>Larsen 2007</v>
      </c>
      <c r="C4450" s="232" t="str">
        <f>IF(AND(A4450&lt;&gt;"",ISNUMBER(A4450)),VLOOKUP(A4450,Studies!A:BR,3,FALSE),"")</f>
        <v>https://www.ncbi.nlm.nih.gov/pubmed/17365992</v>
      </c>
      <c r="D4450" s="232" t="str">
        <f>IF(AND(A4450&lt;&gt;"",ISNUMBER(A4450)),VLOOKUP(A4450,Studies!A:BR,4,FALSE),"")</f>
        <v>Control (Perpetrator Placebo)</v>
      </c>
      <c r="E4450" s="206" t="str">
        <f>IF(AND(A4450&lt;&gt;"",ISNUMBER(A4450)),VLOOKUP(A4450,Studies!A:BR,5,FALSE),"")</f>
        <v>Digoxin</v>
      </c>
      <c r="F4450" s="207" t="str">
        <f>IF(AND(A4450&lt;&gt;"",ISNUMBER(A4450)),VLOOKUP(A4450,Studies!A:BR,6,FALSE),"")</f>
        <v>Serum</v>
      </c>
      <c r="G4450" s="50">
        <v>135</v>
      </c>
      <c r="H4450" s="50" t="s">
        <v>1041</v>
      </c>
      <c r="I4450" s="41">
        <v>1.191935</v>
      </c>
      <c r="J4450" s="41" t="s">
        <v>1059</v>
      </c>
      <c r="K4450" s="41" t="s">
        <v>264</v>
      </c>
      <c r="O4450" s="59">
        <v>0.04</v>
      </c>
    </row>
    <row r="4451" spans="1:15" x14ac:dyDescent="0.2">
      <c r="A4451" s="189">
        <v>336</v>
      </c>
      <c r="B4451" s="232" t="str">
        <f>IF(AND(A4451&lt;&gt;"",ISNUMBER(A4451)),VLOOKUP(A4451,Studies!A:BR,2,FALSE),"")</f>
        <v>Larsen 2007</v>
      </c>
      <c r="C4451" s="232" t="str">
        <f>IF(AND(A4451&lt;&gt;"",ISNUMBER(A4451)),VLOOKUP(A4451,Studies!A:BR,3,FALSE),"")</f>
        <v>https://www.ncbi.nlm.nih.gov/pubmed/17365992</v>
      </c>
      <c r="D4451" s="232" t="str">
        <f>IF(AND(A4451&lt;&gt;"",ISNUMBER(A4451)),VLOOKUP(A4451,Studies!A:BR,4,FALSE),"")</f>
        <v>Control (Perpetrator Placebo)</v>
      </c>
      <c r="E4451" s="206" t="str">
        <f>IF(AND(A4451&lt;&gt;"",ISNUMBER(A4451)),VLOOKUP(A4451,Studies!A:BR,5,FALSE),"")</f>
        <v>Digoxin</v>
      </c>
      <c r="F4451" s="207" t="str">
        <f>IF(AND(A4451&lt;&gt;"",ISNUMBER(A4451)),VLOOKUP(A4451,Studies!A:BR,6,FALSE),"")</f>
        <v>Serum</v>
      </c>
      <c r="G4451" s="50">
        <v>150</v>
      </c>
      <c r="H4451" s="50" t="s">
        <v>1041</v>
      </c>
      <c r="I4451" s="41">
        <v>1.0416920000000001</v>
      </c>
      <c r="J4451" s="41" t="s">
        <v>1059</v>
      </c>
      <c r="K4451" s="41" t="s">
        <v>264</v>
      </c>
      <c r="O4451" s="59">
        <v>0.04</v>
      </c>
    </row>
    <row r="4452" spans="1:15" x14ac:dyDescent="0.2">
      <c r="A4452" s="189">
        <v>336</v>
      </c>
      <c r="B4452" s="232" t="str">
        <f>IF(AND(A4452&lt;&gt;"",ISNUMBER(A4452)),VLOOKUP(A4452,Studies!A:BR,2,FALSE),"")</f>
        <v>Larsen 2007</v>
      </c>
      <c r="C4452" s="232" t="str">
        <f>IF(AND(A4452&lt;&gt;"",ISNUMBER(A4452)),VLOOKUP(A4452,Studies!A:BR,3,FALSE),"")</f>
        <v>https://www.ncbi.nlm.nih.gov/pubmed/17365992</v>
      </c>
      <c r="D4452" s="232" t="str">
        <f>IF(AND(A4452&lt;&gt;"",ISNUMBER(A4452)),VLOOKUP(A4452,Studies!A:BR,4,FALSE),"")</f>
        <v>Control (Perpetrator Placebo)</v>
      </c>
      <c r="E4452" s="206" t="str">
        <f>IF(AND(A4452&lt;&gt;"",ISNUMBER(A4452)),VLOOKUP(A4452,Studies!A:BR,5,FALSE),"")</f>
        <v>Digoxin</v>
      </c>
      <c r="F4452" s="207" t="str">
        <f>IF(AND(A4452&lt;&gt;"",ISNUMBER(A4452)),VLOOKUP(A4452,Studies!A:BR,6,FALSE),"")</f>
        <v>Serum</v>
      </c>
      <c r="G4452" s="50">
        <v>165</v>
      </c>
      <c r="H4452" s="50" t="s">
        <v>1041</v>
      </c>
      <c r="I4452" s="41">
        <v>0.92687940000000002</v>
      </c>
      <c r="J4452" s="41" t="s">
        <v>1059</v>
      </c>
      <c r="K4452" s="41" t="s">
        <v>264</v>
      </c>
      <c r="O4452" s="59">
        <v>0.04</v>
      </c>
    </row>
    <row r="4453" spans="1:15" x14ac:dyDescent="0.2">
      <c r="A4453" s="189">
        <v>336</v>
      </c>
      <c r="B4453" s="232" t="str">
        <f>IF(AND(A4453&lt;&gt;"",ISNUMBER(A4453)),VLOOKUP(A4453,Studies!A:BR,2,FALSE),"")</f>
        <v>Larsen 2007</v>
      </c>
      <c r="C4453" s="232" t="str">
        <f>IF(AND(A4453&lt;&gt;"",ISNUMBER(A4453)),VLOOKUP(A4453,Studies!A:BR,3,FALSE),"")</f>
        <v>https://www.ncbi.nlm.nih.gov/pubmed/17365992</v>
      </c>
      <c r="D4453" s="232" t="str">
        <f>IF(AND(A4453&lt;&gt;"",ISNUMBER(A4453)),VLOOKUP(A4453,Studies!A:BR,4,FALSE),"")</f>
        <v>Control (Perpetrator Placebo)</v>
      </c>
      <c r="E4453" s="206" t="str">
        <f>IF(AND(A4453&lt;&gt;"",ISNUMBER(A4453)),VLOOKUP(A4453,Studies!A:BR,5,FALSE),"")</f>
        <v>Digoxin</v>
      </c>
      <c r="F4453" s="207" t="str">
        <f>IF(AND(A4453&lt;&gt;"",ISNUMBER(A4453)),VLOOKUP(A4453,Studies!A:BR,6,FALSE),"")</f>
        <v>Serum</v>
      </c>
      <c r="G4453" s="50">
        <v>180</v>
      </c>
      <c r="H4453" s="50" t="s">
        <v>1041</v>
      </c>
      <c r="I4453" s="41">
        <v>0.92735559999999995</v>
      </c>
      <c r="J4453" s="41" t="s">
        <v>1059</v>
      </c>
      <c r="K4453" s="41" t="s">
        <v>264</v>
      </c>
      <c r="O4453" s="59">
        <v>0.04</v>
      </c>
    </row>
    <row r="4454" spans="1:15" x14ac:dyDescent="0.2">
      <c r="A4454" s="189">
        <v>336</v>
      </c>
      <c r="B4454" s="232" t="str">
        <f>IF(AND(A4454&lt;&gt;"",ISNUMBER(A4454)),VLOOKUP(A4454,Studies!A:BR,2,FALSE),"")</f>
        <v>Larsen 2007</v>
      </c>
      <c r="C4454" s="232" t="str">
        <f>IF(AND(A4454&lt;&gt;"",ISNUMBER(A4454)),VLOOKUP(A4454,Studies!A:BR,3,FALSE),"")</f>
        <v>https://www.ncbi.nlm.nih.gov/pubmed/17365992</v>
      </c>
      <c r="D4454" s="232" t="str">
        <f>IF(AND(A4454&lt;&gt;"",ISNUMBER(A4454)),VLOOKUP(A4454,Studies!A:BR,4,FALSE),"")</f>
        <v>Control (Perpetrator Placebo)</v>
      </c>
      <c r="E4454" s="206" t="str">
        <f>IF(AND(A4454&lt;&gt;"",ISNUMBER(A4454)),VLOOKUP(A4454,Studies!A:BR,5,FALSE),"")</f>
        <v>Digoxin</v>
      </c>
      <c r="F4454" s="207" t="str">
        <f>IF(AND(A4454&lt;&gt;"",ISNUMBER(A4454)),VLOOKUP(A4454,Studies!A:BR,6,FALSE),"")</f>
        <v>Serum</v>
      </c>
      <c r="G4454" s="50">
        <v>195</v>
      </c>
      <c r="H4454" s="50" t="s">
        <v>1041</v>
      </c>
      <c r="I4454" s="41">
        <v>1.0518639999999999</v>
      </c>
      <c r="J4454" s="41" t="s">
        <v>1059</v>
      </c>
      <c r="K4454" s="41" t="s">
        <v>264</v>
      </c>
      <c r="O4454" s="59">
        <v>0.04</v>
      </c>
    </row>
    <row r="4455" spans="1:15" x14ac:dyDescent="0.2">
      <c r="A4455" s="189">
        <v>336</v>
      </c>
      <c r="B4455" s="232" t="str">
        <f>IF(AND(A4455&lt;&gt;"",ISNUMBER(A4455)),VLOOKUP(A4455,Studies!A:BR,2,FALSE),"")</f>
        <v>Larsen 2007</v>
      </c>
      <c r="C4455" s="232" t="str">
        <f>IF(AND(A4455&lt;&gt;"",ISNUMBER(A4455)),VLOOKUP(A4455,Studies!A:BR,3,FALSE),"")</f>
        <v>https://www.ncbi.nlm.nih.gov/pubmed/17365992</v>
      </c>
      <c r="D4455" s="232" t="str">
        <f>IF(AND(A4455&lt;&gt;"",ISNUMBER(A4455)),VLOOKUP(A4455,Studies!A:BR,4,FALSE),"")</f>
        <v>Control (Perpetrator Placebo)</v>
      </c>
      <c r="E4455" s="206" t="str">
        <f>IF(AND(A4455&lt;&gt;"",ISNUMBER(A4455)),VLOOKUP(A4455,Studies!A:BR,5,FALSE),"")</f>
        <v>Digoxin</v>
      </c>
      <c r="F4455" s="207" t="str">
        <f>IF(AND(A4455&lt;&gt;"",ISNUMBER(A4455)),VLOOKUP(A4455,Studies!A:BR,6,FALSE),"")</f>
        <v>Serum</v>
      </c>
      <c r="G4455" s="50">
        <v>210</v>
      </c>
      <c r="H4455" s="50" t="s">
        <v>1041</v>
      </c>
      <c r="I4455" s="41">
        <v>0.87501519999999999</v>
      </c>
      <c r="J4455" s="41" t="s">
        <v>1059</v>
      </c>
      <c r="K4455" s="41" t="s">
        <v>264</v>
      </c>
      <c r="O4455" s="59">
        <v>0.04</v>
      </c>
    </row>
    <row r="4456" spans="1:15" x14ac:dyDescent="0.2">
      <c r="A4456" s="189">
        <v>336</v>
      </c>
      <c r="B4456" s="232" t="str">
        <f>IF(AND(A4456&lt;&gt;"",ISNUMBER(A4456)),VLOOKUP(A4456,Studies!A:BR,2,FALSE),"")</f>
        <v>Larsen 2007</v>
      </c>
      <c r="C4456" s="232" t="str">
        <f>IF(AND(A4456&lt;&gt;"",ISNUMBER(A4456)),VLOOKUP(A4456,Studies!A:BR,3,FALSE),"")</f>
        <v>https://www.ncbi.nlm.nih.gov/pubmed/17365992</v>
      </c>
      <c r="D4456" s="232" t="str">
        <f>IF(AND(A4456&lt;&gt;"",ISNUMBER(A4456)),VLOOKUP(A4456,Studies!A:BR,4,FALSE),"")</f>
        <v>Control (Perpetrator Placebo)</v>
      </c>
      <c r="E4456" s="206" t="str">
        <f>IF(AND(A4456&lt;&gt;"",ISNUMBER(A4456)),VLOOKUP(A4456,Studies!A:BR,5,FALSE),"")</f>
        <v>Digoxin</v>
      </c>
      <c r="F4456" s="207" t="str">
        <f>IF(AND(A4456&lt;&gt;"",ISNUMBER(A4456)),VLOOKUP(A4456,Studies!A:BR,6,FALSE),"")</f>
        <v>Serum</v>
      </c>
      <c r="G4456" s="50">
        <v>225</v>
      </c>
      <c r="H4456" s="50" t="s">
        <v>1041</v>
      </c>
      <c r="I4456" s="41">
        <v>0.80452889999999999</v>
      </c>
      <c r="J4456" s="41" t="s">
        <v>1059</v>
      </c>
      <c r="K4456" s="41" t="s">
        <v>264</v>
      </c>
      <c r="O4456" s="59">
        <v>0.04</v>
      </c>
    </row>
    <row r="4457" spans="1:15" x14ac:dyDescent="0.2">
      <c r="A4457" s="189">
        <v>336</v>
      </c>
      <c r="B4457" s="232" t="str">
        <f>IF(AND(A4457&lt;&gt;"",ISNUMBER(A4457)),VLOOKUP(A4457,Studies!A:BR,2,FALSE),"")</f>
        <v>Larsen 2007</v>
      </c>
      <c r="C4457" s="232" t="str">
        <f>IF(AND(A4457&lt;&gt;"",ISNUMBER(A4457)),VLOOKUP(A4457,Studies!A:BR,3,FALSE),"")</f>
        <v>https://www.ncbi.nlm.nih.gov/pubmed/17365992</v>
      </c>
      <c r="D4457" s="232" t="str">
        <f>IF(AND(A4457&lt;&gt;"",ISNUMBER(A4457)),VLOOKUP(A4457,Studies!A:BR,4,FALSE),"")</f>
        <v>Control (Perpetrator Placebo)</v>
      </c>
      <c r="E4457" s="206" t="str">
        <f>IF(AND(A4457&lt;&gt;"",ISNUMBER(A4457)),VLOOKUP(A4457,Studies!A:BR,5,FALSE),"")</f>
        <v>Digoxin</v>
      </c>
      <c r="F4457" s="207" t="str">
        <f>IF(AND(A4457&lt;&gt;"",ISNUMBER(A4457)),VLOOKUP(A4457,Studies!A:BR,6,FALSE),"")</f>
        <v>Serum</v>
      </c>
      <c r="G4457" s="50">
        <v>240</v>
      </c>
      <c r="H4457" s="50" t="s">
        <v>1041</v>
      </c>
      <c r="I4457" s="41">
        <v>0.72518740000000004</v>
      </c>
      <c r="J4457" s="41" t="s">
        <v>1059</v>
      </c>
      <c r="K4457" s="41" t="s">
        <v>264</v>
      </c>
      <c r="O4457" s="59">
        <v>0.04</v>
      </c>
    </row>
    <row r="4458" spans="1:15" x14ac:dyDescent="0.2">
      <c r="A4458" s="189">
        <v>336</v>
      </c>
      <c r="B4458" s="232" t="str">
        <f>IF(AND(A4458&lt;&gt;"",ISNUMBER(A4458)),VLOOKUP(A4458,Studies!A:BR,2,FALSE),"")</f>
        <v>Larsen 2007</v>
      </c>
      <c r="C4458" s="232" t="str">
        <f>IF(AND(A4458&lt;&gt;"",ISNUMBER(A4458)),VLOOKUP(A4458,Studies!A:BR,3,FALSE),"")</f>
        <v>https://www.ncbi.nlm.nih.gov/pubmed/17365992</v>
      </c>
      <c r="D4458" s="232" t="str">
        <f>IF(AND(A4458&lt;&gt;"",ISNUMBER(A4458)),VLOOKUP(A4458,Studies!A:BR,4,FALSE),"")</f>
        <v>Control (Perpetrator Placebo)</v>
      </c>
      <c r="E4458" s="206" t="str">
        <f>IF(AND(A4458&lt;&gt;"",ISNUMBER(A4458)),VLOOKUP(A4458,Studies!A:BR,5,FALSE),"")</f>
        <v>Digoxin</v>
      </c>
      <c r="F4458" s="207" t="str">
        <f>IF(AND(A4458&lt;&gt;"",ISNUMBER(A4458)),VLOOKUP(A4458,Studies!A:BR,6,FALSE),"")</f>
        <v>Serum</v>
      </c>
      <c r="G4458" s="50">
        <v>300</v>
      </c>
      <c r="H4458" s="50" t="s">
        <v>1041</v>
      </c>
      <c r="I4458" s="41">
        <v>0.60284700000000002</v>
      </c>
      <c r="J4458" s="41" t="s">
        <v>1059</v>
      </c>
      <c r="K4458" s="41" t="s">
        <v>264</v>
      </c>
      <c r="O4458" s="59">
        <v>0.04</v>
      </c>
    </row>
    <row r="4459" spans="1:15" x14ac:dyDescent="0.2">
      <c r="A4459" s="189">
        <v>337</v>
      </c>
      <c r="B4459" s="232" t="str">
        <f>IF(AND(A4459&lt;&gt;"",ISNUMBER(A4459)),VLOOKUP(A4459,Studies!A:BR,2,FALSE),"")</f>
        <v>Larsen 2007</v>
      </c>
      <c r="C4459" s="232" t="str">
        <f>IF(AND(A4459&lt;&gt;"",ISNUMBER(A4459)),VLOOKUP(A4459,Studies!A:BR,3,FALSE),"")</f>
        <v>https://www.ncbi.nlm.nih.gov/pubmed/17365992</v>
      </c>
      <c r="D4459" s="232" t="str">
        <f>IF(AND(A4459&lt;&gt;"",ISNUMBER(A4459)),VLOOKUP(A4459,Studies!A:BR,4,FALSE),"")</f>
        <v>with Perpetrator (Rifampicin)</v>
      </c>
      <c r="E4459" s="206" t="str">
        <f>IF(AND(A4459&lt;&gt;"",ISNUMBER(A4459)),VLOOKUP(A4459,Studies!A:BR,5,FALSE),"")</f>
        <v>Digoxin</v>
      </c>
      <c r="F4459" s="207" t="str">
        <f>IF(AND(A4459&lt;&gt;"",ISNUMBER(A4459)),VLOOKUP(A4459,Studies!A:BR,6,FALSE),"")</f>
        <v>Serum</v>
      </c>
      <c r="G4459" s="50">
        <v>8640</v>
      </c>
      <c r="H4459" s="50" t="s">
        <v>1041</v>
      </c>
      <c r="I4459" s="41">
        <v>0.1241135</v>
      </c>
      <c r="J4459" s="41" t="s">
        <v>1059</v>
      </c>
      <c r="K4459" s="41" t="s">
        <v>264</v>
      </c>
      <c r="O4459" s="59">
        <v>0.04</v>
      </c>
    </row>
    <row r="4460" spans="1:15" x14ac:dyDescent="0.2">
      <c r="A4460" s="189">
        <v>337</v>
      </c>
      <c r="B4460" s="232" t="str">
        <f>IF(AND(A4460&lt;&gt;"",ISNUMBER(A4460)),VLOOKUP(A4460,Studies!A:BR,2,FALSE),"")</f>
        <v>Larsen 2007</v>
      </c>
      <c r="C4460" s="232" t="str">
        <f>IF(AND(A4460&lt;&gt;"",ISNUMBER(A4460)),VLOOKUP(A4460,Studies!A:BR,3,FALSE),"")</f>
        <v>https://www.ncbi.nlm.nih.gov/pubmed/17365992</v>
      </c>
      <c r="D4460" s="232" t="str">
        <f>IF(AND(A4460&lt;&gt;"",ISNUMBER(A4460)),VLOOKUP(A4460,Studies!A:BR,4,FALSE),"")</f>
        <v>with Perpetrator (Rifampicin)</v>
      </c>
      <c r="E4460" s="206" t="str">
        <f>IF(AND(A4460&lt;&gt;"",ISNUMBER(A4460)),VLOOKUP(A4460,Studies!A:BR,5,FALSE),"")</f>
        <v>Digoxin</v>
      </c>
      <c r="F4460" s="207" t="str">
        <f>IF(AND(A4460&lt;&gt;"",ISNUMBER(A4460)),VLOOKUP(A4460,Studies!A:BR,6,FALSE),"")</f>
        <v>Serum</v>
      </c>
      <c r="G4460" s="50">
        <v>8650</v>
      </c>
      <c r="H4460" s="50" t="s">
        <v>1041</v>
      </c>
      <c r="I4460" s="41">
        <v>0.61199590000000004</v>
      </c>
      <c r="J4460" s="41" t="s">
        <v>1059</v>
      </c>
      <c r="K4460" s="41" t="s">
        <v>264</v>
      </c>
      <c r="O4460" s="59">
        <v>0.04</v>
      </c>
    </row>
    <row r="4461" spans="1:15" x14ac:dyDescent="0.2">
      <c r="A4461" s="189">
        <v>337</v>
      </c>
      <c r="B4461" s="232" t="str">
        <f>IF(AND(A4461&lt;&gt;"",ISNUMBER(A4461)),VLOOKUP(A4461,Studies!A:BR,2,FALSE),"")</f>
        <v>Larsen 2007</v>
      </c>
      <c r="C4461" s="232" t="str">
        <f>IF(AND(A4461&lt;&gt;"",ISNUMBER(A4461)),VLOOKUP(A4461,Studies!A:BR,3,FALSE),"")</f>
        <v>https://www.ncbi.nlm.nih.gov/pubmed/17365992</v>
      </c>
      <c r="D4461" s="232" t="str">
        <f>IF(AND(A4461&lt;&gt;"",ISNUMBER(A4461)),VLOOKUP(A4461,Studies!A:BR,4,FALSE),"")</f>
        <v>with Perpetrator (Rifampicin)</v>
      </c>
      <c r="E4461" s="206" t="str">
        <f>IF(AND(A4461&lt;&gt;"",ISNUMBER(A4461)),VLOOKUP(A4461,Studies!A:BR,5,FALSE),"")</f>
        <v>Digoxin</v>
      </c>
      <c r="F4461" s="207" t="str">
        <f>IF(AND(A4461&lt;&gt;"",ISNUMBER(A4461)),VLOOKUP(A4461,Studies!A:BR,6,FALSE),"")</f>
        <v>Serum</v>
      </c>
      <c r="G4461" s="50">
        <v>8660</v>
      </c>
      <c r="H4461" s="50" t="s">
        <v>1041</v>
      </c>
      <c r="I4461" s="41">
        <v>0.80732519999999997</v>
      </c>
      <c r="J4461" s="41" t="s">
        <v>1059</v>
      </c>
      <c r="K4461" s="41" t="s">
        <v>264</v>
      </c>
      <c r="O4461" s="59">
        <v>0.04</v>
      </c>
    </row>
    <row r="4462" spans="1:15" x14ac:dyDescent="0.2">
      <c r="A4462" s="189">
        <v>337</v>
      </c>
      <c r="B4462" s="232" t="str">
        <f>IF(AND(A4462&lt;&gt;"",ISNUMBER(A4462)),VLOOKUP(A4462,Studies!A:BR,2,FALSE),"")</f>
        <v>Larsen 2007</v>
      </c>
      <c r="C4462" s="232" t="str">
        <f>IF(AND(A4462&lt;&gt;"",ISNUMBER(A4462)),VLOOKUP(A4462,Studies!A:BR,3,FALSE),"")</f>
        <v>https://www.ncbi.nlm.nih.gov/pubmed/17365992</v>
      </c>
      <c r="D4462" s="232" t="str">
        <f>IF(AND(A4462&lt;&gt;"",ISNUMBER(A4462)),VLOOKUP(A4462,Studies!A:BR,4,FALSE),"")</f>
        <v>with Perpetrator (Rifampicin)</v>
      </c>
      <c r="E4462" s="206" t="str">
        <f>IF(AND(A4462&lt;&gt;"",ISNUMBER(A4462)),VLOOKUP(A4462,Studies!A:BR,5,FALSE),"")</f>
        <v>Digoxin</v>
      </c>
      <c r="F4462" s="207" t="str">
        <f>IF(AND(A4462&lt;&gt;"",ISNUMBER(A4462)),VLOOKUP(A4462,Studies!A:BR,6,FALSE),"")</f>
        <v>Serum</v>
      </c>
      <c r="G4462" s="50">
        <v>8670</v>
      </c>
      <c r="H4462" s="50" t="s">
        <v>1041</v>
      </c>
      <c r="I4462" s="41">
        <v>1.2686219999999999</v>
      </c>
      <c r="J4462" s="41" t="s">
        <v>1059</v>
      </c>
      <c r="K4462" s="41" t="s">
        <v>264</v>
      </c>
      <c r="O4462" s="59">
        <v>0.04</v>
      </c>
    </row>
    <row r="4463" spans="1:15" x14ac:dyDescent="0.2">
      <c r="A4463" s="189">
        <v>337</v>
      </c>
      <c r="B4463" s="232" t="str">
        <f>IF(AND(A4463&lt;&gt;"",ISNUMBER(A4463)),VLOOKUP(A4463,Studies!A:BR,2,FALSE),"")</f>
        <v>Larsen 2007</v>
      </c>
      <c r="C4463" s="232" t="str">
        <f>IF(AND(A4463&lt;&gt;"",ISNUMBER(A4463)),VLOOKUP(A4463,Studies!A:BR,3,FALSE),"")</f>
        <v>https://www.ncbi.nlm.nih.gov/pubmed/17365992</v>
      </c>
      <c r="D4463" s="232" t="str">
        <f>IF(AND(A4463&lt;&gt;"",ISNUMBER(A4463)),VLOOKUP(A4463,Studies!A:BR,4,FALSE),"")</f>
        <v>with Perpetrator (Rifampicin)</v>
      </c>
      <c r="E4463" s="206" t="str">
        <f>IF(AND(A4463&lt;&gt;"",ISNUMBER(A4463)),VLOOKUP(A4463,Studies!A:BR,5,FALSE),"")</f>
        <v>Digoxin</v>
      </c>
      <c r="F4463" s="207" t="str">
        <f>IF(AND(A4463&lt;&gt;"",ISNUMBER(A4463)),VLOOKUP(A4463,Studies!A:BR,6,FALSE),"")</f>
        <v>Serum</v>
      </c>
      <c r="G4463" s="50">
        <v>8680</v>
      </c>
      <c r="H4463" s="50" t="s">
        <v>1041</v>
      </c>
      <c r="I4463" s="41">
        <v>1.3664130000000001</v>
      </c>
      <c r="J4463" s="41" t="s">
        <v>1059</v>
      </c>
      <c r="K4463" s="41" t="s">
        <v>264</v>
      </c>
      <c r="O4463" s="59">
        <v>0.04</v>
      </c>
    </row>
    <row r="4464" spans="1:15" x14ac:dyDescent="0.2">
      <c r="A4464" s="189">
        <v>337</v>
      </c>
      <c r="B4464" s="232" t="str">
        <f>IF(AND(A4464&lt;&gt;"",ISNUMBER(A4464)),VLOOKUP(A4464,Studies!A:BR,2,FALSE),"")</f>
        <v>Larsen 2007</v>
      </c>
      <c r="C4464" s="232" t="str">
        <f>IF(AND(A4464&lt;&gt;"",ISNUMBER(A4464)),VLOOKUP(A4464,Studies!A:BR,3,FALSE),"")</f>
        <v>https://www.ncbi.nlm.nih.gov/pubmed/17365992</v>
      </c>
      <c r="D4464" s="232" t="str">
        <f>IF(AND(A4464&lt;&gt;"",ISNUMBER(A4464)),VLOOKUP(A4464,Studies!A:BR,4,FALSE),"")</f>
        <v>with Perpetrator (Rifampicin)</v>
      </c>
      <c r="E4464" s="206" t="str">
        <f>IF(AND(A4464&lt;&gt;"",ISNUMBER(A4464)),VLOOKUP(A4464,Studies!A:BR,5,FALSE),"")</f>
        <v>Digoxin</v>
      </c>
      <c r="F4464" s="207" t="str">
        <f>IF(AND(A4464&lt;&gt;"",ISNUMBER(A4464)),VLOOKUP(A4464,Studies!A:BR,6,FALSE),"")</f>
        <v>Serum</v>
      </c>
      <c r="G4464" s="50">
        <v>8690</v>
      </c>
      <c r="H4464" s="50" t="s">
        <v>1041</v>
      </c>
      <c r="I4464" s="41">
        <v>1.2869299999999999</v>
      </c>
      <c r="J4464" s="41" t="s">
        <v>1059</v>
      </c>
      <c r="K4464" s="41" t="s">
        <v>264</v>
      </c>
      <c r="O4464" s="59">
        <v>0.04</v>
      </c>
    </row>
    <row r="4465" spans="1:15" x14ac:dyDescent="0.2">
      <c r="A4465" s="189">
        <v>337</v>
      </c>
      <c r="B4465" s="232" t="str">
        <f>IF(AND(A4465&lt;&gt;"",ISNUMBER(A4465)),VLOOKUP(A4465,Studies!A:BR,2,FALSE),"")</f>
        <v>Larsen 2007</v>
      </c>
      <c r="C4465" s="232" t="str">
        <f>IF(AND(A4465&lt;&gt;"",ISNUMBER(A4465)),VLOOKUP(A4465,Studies!A:BR,3,FALSE),"")</f>
        <v>https://www.ncbi.nlm.nih.gov/pubmed/17365992</v>
      </c>
      <c r="D4465" s="232" t="str">
        <f>IF(AND(A4465&lt;&gt;"",ISNUMBER(A4465)),VLOOKUP(A4465,Studies!A:BR,4,FALSE),"")</f>
        <v>with Perpetrator (Rifampicin)</v>
      </c>
      <c r="E4465" s="206" t="str">
        <f>IF(AND(A4465&lt;&gt;"",ISNUMBER(A4465)),VLOOKUP(A4465,Studies!A:BR,5,FALSE),"")</f>
        <v>Digoxin</v>
      </c>
      <c r="F4465" s="207" t="str">
        <f>IF(AND(A4465&lt;&gt;"",ISNUMBER(A4465)),VLOOKUP(A4465,Studies!A:BR,6,FALSE),"")</f>
        <v>Serum</v>
      </c>
      <c r="G4465" s="50">
        <v>8700</v>
      </c>
      <c r="H4465" s="50" t="s">
        <v>1041</v>
      </c>
      <c r="I4465" s="41">
        <v>1.2872239999999999</v>
      </c>
      <c r="J4465" s="41" t="s">
        <v>1059</v>
      </c>
      <c r="K4465" s="41" t="s">
        <v>264</v>
      </c>
      <c r="O4465" s="59">
        <v>0.04</v>
      </c>
    </row>
    <row r="4466" spans="1:15" x14ac:dyDescent="0.2">
      <c r="A4466" s="189">
        <v>337</v>
      </c>
      <c r="B4466" s="232" t="str">
        <f>IF(AND(A4466&lt;&gt;"",ISNUMBER(A4466)),VLOOKUP(A4466,Studies!A:BR,2,FALSE),"")</f>
        <v>Larsen 2007</v>
      </c>
      <c r="C4466" s="232" t="str">
        <f>IF(AND(A4466&lt;&gt;"",ISNUMBER(A4466)),VLOOKUP(A4466,Studies!A:BR,3,FALSE),"")</f>
        <v>https://www.ncbi.nlm.nih.gov/pubmed/17365992</v>
      </c>
      <c r="D4466" s="232" t="str">
        <f>IF(AND(A4466&lt;&gt;"",ISNUMBER(A4466)),VLOOKUP(A4466,Studies!A:BR,4,FALSE),"")</f>
        <v>with Perpetrator (Rifampicin)</v>
      </c>
      <c r="E4466" s="206" t="str">
        <f>IF(AND(A4466&lt;&gt;"",ISNUMBER(A4466)),VLOOKUP(A4466,Studies!A:BR,5,FALSE),"")</f>
        <v>Digoxin</v>
      </c>
      <c r="F4466" s="207" t="str">
        <f>IF(AND(A4466&lt;&gt;"",ISNUMBER(A4466)),VLOOKUP(A4466,Studies!A:BR,6,FALSE),"")</f>
        <v>Serum</v>
      </c>
      <c r="G4466" s="50">
        <v>8715</v>
      </c>
      <c r="H4466" s="50" t="s">
        <v>1041</v>
      </c>
      <c r="I4466" s="41">
        <v>1.3674569999999999</v>
      </c>
      <c r="J4466" s="41" t="s">
        <v>1059</v>
      </c>
      <c r="K4466" s="41" t="s">
        <v>264</v>
      </c>
      <c r="O4466" s="59">
        <v>0.04</v>
      </c>
    </row>
    <row r="4467" spans="1:15" x14ac:dyDescent="0.2">
      <c r="A4467" s="189">
        <v>337</v>
      </c>
      <c r="B4467" s="232" t="str">
        <f>IF(AND(A4467&lt;&gt;"",ISNUMBER(A4467)),VLOOKUP(A4467,Studies!A:BR,2,FALSE),"")</f>
        <v>Larsen 2007</v>
      </c>
      <c r="C4467" s="232" t="str">
        <f>IF(AND(A4467&lt;&gt;"",ISNUMBER(A4467)),VLOOKUP(A4467,Studies!A:BR,3,FALSE),"")</f>
        <v>https://www.ncbi.nlm.nih.gov/pubmed/17365992</v>
      </c>
      <c r="D4467" s="232" t="str">
        <f>IF(AND(A4467&lt;&gt;"",ISNUMBER(A4467)),VLOOKUP(A4467,Studies!A:BR,4,FALSE),"")</f>
        <v>with Perpetrator (Rifampicin)</v>
      </c>
      <c r="E4467" s="206" t="str">
        <f>IF(AND(A4467&lt;&gt;"",ISNUMBER(A4467)),VLOOKUP(A4467,Studies!A:BR,5,FALSE),"")</f>
        <v>Digoxin</v>
      </c>
      <c r="F4467" s="207" t="str">
        <f>IF(AND(A4467&lt;&gt;"",ISNUMBER(A4467)),VLOOKUP(A4467,Studies!A:BR,6,FALSE),"")</f>
        <v>Serum</v>
      </c>
      <c r="G4467" s="50">
        <v>8730</v>
      </c>
      <c r="H4467" s="50" t="s">
        <v>1041</v>
      </c>
      <c r="I4467" s="41">
        <v>1.332452</v>
      </c>
      <c r="J4467" s="41" t="s">
        <v>1059</v>
      </c>
      <c r="K4467" s="41" t="s">
        <v>264</v>
      </c>
      <c r="O4467" s="59">
        <v>0.04</v>
      </c>
    </row>
    <row r="4468" spans="1:15" x14ac:dyDescent="0.2">
      <c r="A4468" s="189">
        <v>337</v>
      </c>
      <c r="B4468" s="232" t="str">
        <f>IF(AND(A4468&lt;&gt;"",ISNUMBER(A4468)),VLOOKUP(A4468,Studies!A:BR,2,FALSE),"")</f>
        <v>Larsen 2007</v>
      </c>
      <c r="C4468" s="232" t="str">
        <f>IF(AND(A4468&lt;&gt;"",ISNUMBER(A4468)),VLOOKUP(A4468,Studies!A:BR,3,FALSE),"")</f>
        <v>https://www.ncbi.nlm.nih.gov/pubmed/17365992</v>
      </c>
      <c r="D4468" s="232" t="str">
        <f>IF(AND(A4468&lt;&gt;"",ISNUMBER(A4468)),VLOOKUP(A4468,Studies!A:BR,4,FALSE),"")</f>
        <v>with Perpetrator (Rifampicin)</v>
      </c>
      <c r="E4468" s="206" t="str">
        <f>IF(AND(A4468&lt;&gt;"",ISNUMBER(A4468)),VLOOKUP(A4468,Studies!A:BR,5,FALSE),"")</f>
        <v>Digoxin</v>
      </c>
      <c r="F4468" s="207" t="str">
        <f>IF(AND(A4468&lt;&gt;"",ISNUMBER(A4468)),VLOOKUP(A4468,Studies!A:BR,6,FALSE),"")</f>
        <v>Serum</v>
      </c>
      <c r="G4468" s="50">
        <v>8745</v>
      </c>
      <c r="H4468" s="50" t="s">
        <v>1041</v>
      </c>
      <c r="I4468" s="41">
        <v>1.208774</v>
      </c>
      <c r="J4468" s="41" t="s">
        <v>1059</v>
      </c>
      <c r="K4468" s="41" t="s">
        <v>264</v>
      </c>
      <c r="O4468" s="59">
        <v>0.04</v>
      </c>
    </row>
    <row r="4469" spans="1:15" x14ac:dyDescent="0.2">
      <c r="A4469" s="189">
        <v>337</v>
      </c>
      <c r="B4469" s="232" t="str">
        <f>IF(AND(A4469&lt;&gt;"",ISNUMBER(A4469)),VLOOKUP(A4469,Studies!A:BR,2,FALSE),"")</f>
        <v>Larsen 2007</v>
      </c>
      <c r="C4469" s="232" t="str">
        <f>IF(AND(A4469&lt;&gt;"",ISNUMBER(A4469)),VLOOKUP(A4469,Studies!A:BR,3,FALSE),"")</f>
        <v>https://www.ncbi.nlm.nih.gov/pubmed/17365992</v>
      </c>
      <c r="D4469" s="232" t="str">
        <f>IF(AND(A4469&lt;&gt;"",ISNUMBER(A4469)),VLOOKUP(A4469,Studies!A:BR,4,FALSE),"")</f>
        <v>with Perpetrator (Rifampicin)</v>
      </c>
      <c r="E4469" s="206" t="str">
        <f>IF(AND(A4469&lt;&gt;"",ISNUMBER(A4469)),VLOOKUP(A4469,Studies!A:BR,5,FALSE),"")</f>
        <v>Digoxin</v>
      </c>
      <c r="F4469" s="207" t="str">
        <f>IF(AND(A4469&lt;&gt;"",ISNUMBER(A4469)),VLOOKUP(A4469,Studies!A:BR,6,FALSE),"")</f>
        <v>Serum</v>
      </c>
      <c r="G4469" s="50">
        <v>8760</v>
      </c>
      <c r="H4469" s="50" t="s">
        <v>1041</v>
      </c>
      <c r="I4469" s="41">
        <v>1.1648940000000001</v>
      </c>
      <c r="J4469" s="41" t="s">
        <v>1059</v>
      </c>
      <c r="K4469" s="41" t="s">
        <v>264</v>
      </c>
      <c r="O4469" s="59">
        <v>0.04</v>
      </c>
    </row>
    <row r="4470" spans="1:15" x14ac:dyDescent="0.2">
      <c r="A4470" s="189">
        <v>337</v>
      </c>
      <c r="B4470" s="232" t="str">
        <f>IF(AND(A4470&lt;&gt;"",ISNUMBER(A4470)),VLOOKUP(A4470,Studies!A:BR,2,FALSE),"")</f>
        <v>Larsen 2007</v>
      </c>
      <c r="C4470" s="232" t="str">
        <f>IF(AND(A4470&lt;&gt;"",ISNUMBER(A4470)),VLOOKUP(A4470,Studies!A:BR,3,FALSE),"")</f>
        <v>https://www.ncbi.nlm.nih.gov/pubmed/17365992</v>
      </c>
      <c r="D4470" s="232" t="str">
        <f>IF(AND(A4470&lt;&gt;"",ISNUMBER(A4470)),VLOOKUP(A4470,Studies!A:BR,4,FALSE),"")</f>
        <v>with Perpetrator (Rifampicin)</v>
      </c>
      <c r="E4470" s="206" t="str">
        <f>IF(AND(A4470&lt;&gt;"",ISNUMBER(A4470)),VLOOKUP(A4470,Studies!A:BR,5,FALSE),"")</f>
        <v>Digoxin</v>
      </c>
      <c r="F4470" s="207" t="str">
        <f>IF(AND(A4470&lt;&gt;"",ISNUMBER(A4470)),VLOOKUP(A4470,Studies!A:BR,6,FALSE),"")</f>
        <v>Serum</v>
      </c>
      <c r="G4470" s="50">
        <v>8775</v>
      </c>
      <c r="H4470" s="50" t="s">
        <v>1041</v>
      </c>
      <c r="I4470" s="41">
        <v>1.0944069999999999</v>
      </c>
      <c r="J4470" s="41" t="s">
        <v>1059</v>
      </c>
      <c r="K4470" s="41" t="s">
        <v>264</v>
      </c>
      <c r="O4470" s="59">
        <v>0.04</v>
      </c>
    </row>
    <row r="4471" spans="1:15" x14ac:dyDescent="0.2">
      <c r="A4471" s="189">
        <v>337</v>
      </c>
      <c r="B4471" s="232" t="str">
        <f>IF(AND(A4471&lt;&gt;"",ISNUMBER(A4471)),VLOOKUP(A4471,Studies!A:BR,2,FALSE),"")</f>
        <v>Larsen 2007</v>
      </c>
      <c r="C4471" s="232" t="str">
        <f>IF(AND(A4471&lt;&gt;"",ISNUMBER(A4471)),VLOOKUP(A4471,Studies!A:BR,3,FALSE),"")</f>
        <v>https://www.ncbi.nlm.nih.gov/pubmed/17365992</v>
      </c>
      <c r="D4471" s="232" t="str">
        <f>IF(AND(A4471&lt;&gt;"",ISNUMBER(A4471)),VLOOKUP(A4471,Studies!A:BR,4,FALSE),"")</f>
        <v>with Perpetrator (Rifampicin)</v>
      </c>
      <c r="E4471" s="206" t="str">
        <f>IF(AND(A4471&lt;&gt;"",ISNUMBER(A4471)),VLOOKUP(A4471,Studies!A:BR,5,FALSE),"")</f>
        <v>Digoxin</v>
      </c>
      <c r="F4471" s="207" t="str">
        <f>IF(AND(A4471&lt;&gt;"",ISNUMBER(A4471)),VLOOKUP(A4471,Studies!A:BR,6,FALSE),"")</f>
        <v>Serum</v>
      </c>
      <c r="G4471" s="50">
        <v>8790</v>
      </c>
      <c r="H4471" s="50" t="s">
        <v>1041</v>
      </c>
      <c r="I4471" s="41">
        <v>1.015096</v>
      </c>
      <c r="J4471" s="41" t="s">
        <v>1059</v>
      </c>
      <c r="K4471" s="41" t="s">
        <v>264</v>
      </c>
      <c r="O4471" s="59">
        <v>0.04</v>
      </c>
    </row>
    <row r="4472" spans="1:15" x14ac:dyDescent="0.2">
      <c r="A4472" s="189">
        <v>337</v>
      </c>
      <c r="B4472" s="232" t="str">
        <f>IF(AND(A4472&lt;&gt;"",ISNUMBER(A4472)),VLOOKUP(A4472,Studies!A:BR,2,FALSE),"")</f>
        <v>Larsen 2007</v>
      </c>
      <c r="C4472" s="232" t="str">
        <f>IF(AND(A4472&lt;&gt;"",ISNUMBER(A4472)),VLOOKUP(A4472,Studies!A:BR,3,FALSE),"")</f>
        <v>https://www.ncbi.nlm.nih.gov/pubmed/17365992</v>
      </c>
      <c r="D4472" s="232" t="str">
        <f>IF(AND(A4472&lt;&gt;"",ISNUMBER(A4472)),VLOOKUP(A4472,Studies!A:BR,4,FALSE),"")</f>
        <v>with Perpetrator (Rifampicin)</v>
      </c>
      <c r="E4472" s="206" t="str">
        <f>IF(AND(A4472&lt;&gt;"",ISNUMBER(A4472)),VLOOKUP(A4472,Studies!A:BR,5,FALSE),"")</f>
        <v>Digoxin</v>
      </c>
      <c r="F4472" s="207" t="str">
        <f>IF(AND(A4472&lt;&gt;"",ISNUMBER(A4472)),VLOOKUP(A4472,Studies!A:BR,6,FALSE),"")</f>
        <v>Serum</v>
      </c>
      <c r="G4472" s="50">
        <v>8805</v>
      </c>
      <c r="H4472" s="50" t="s">
        <v>1041</v>
      </c>
      <c r="I4472" s="41">
        <v>0.94458969999999998</v>
      </c>
      <c r="J4472" s="41" t="s">
        <v>1059</v>
      </c>
      <c r="K4472" s="41" t="s">
        <v>264</v>
      </c>
      <c r="O4472" s="59">
        <v>0.04</v>
      </c>
    </row>
    <row r="4473" spans="1:15" x14ac:dyDescent="0.2">
      <c r="A4473" s="189">
        <v>337</v>
      </c>
      <c r="B4473" s="232" t="str">
        <f>IF(AND(A4473&lt;&gt;"",ISNUMBER(A4473)),VLOOKUP(A4473,Studies!A:BR,2,FALSE),"")</f>
        <v>Larsen 2007</v>
      </c>
      <c r="C4473" s="232" t="str">
        <f>IF(AND(A4473&lt;&gt;"",ISNUMBER(A4473)),VLOOKUP(A4473,Studies!A:BR,3,FALSE),"")</f>
        <v>https://www.ncbi.nlm.nih.gov/pubmed/17365992</v>
      </c>
      <c r="D4473" s="232" t="str">
        <f>IF(AND(A4473&lt;&gt;"",ISNUMBER(A4473)),VLOOKUP(A4473,Studies!A:BR,4,FALSE),"")</f>
        <v>with Perpetrator (Rifampicin)</v>
      </c>
      <c r="E4473" s="206" t="str">
        <f>IF(AND(A4473&lt;&gt;"",ISNUMBER(A4473)),VLOOKUP(A4473,Studies!A:BR,5,FALSE),"")</f>
        <v>Digoxin</v>
      </c>
      <c r="F4473" s="207" t="str">
        <f>IF(AND(A4473&lt;&gt;"",ISNUMBER(A4473)),VLOOKUP(A4473,Studies!A:BR,6,FALSE),"")</f>
        <v>Serum</v>
      </c>
      <c r="G4473" s="50">
        <v>8820</v>
      </c>
      <c r="H4473" s="50" t="s">
        <v>1041</v>
      </c>
      <c r="I4473" s="41">
        <v>0.90074969999999999</v>
      </c>
      <c r="J4473" s="41" t="s">
        <v>1059</v>
      </c>
      <c r="K4473" s="41" t="s">
        <v>264</v>
      </c>
      <c r="O4473" s="59">
        <v>0.04</v>
      </c>
    </row>
    <row r="4474" spans="1:15" x14ac:dyDescent="0.2">
      <c r="A4474" s="189">
        <v>337</v>
      </c>
      <c r="B4474" s="232" t="str">
        <f>IF(AND(A4474&lt;&gt;"",ISNUMBER(A4474)),VLOOKUP(A4474,Studies!A:BR,2,FALSE),"")</f>
        <v>Larsen 2007</v>
      </c>
      <c r="C4474" s="232" t="str">
        <f>IF(AND(A4474&lt;&gt;"",ISNUMBER(A4474)),VLOOKUP(A4474,Studies!A:BR,3,FALSE),"")</f>
        <v>https://www.ncbi.nlm.nih.gov/pubmed/17365992</v>
      </c>
      <c r="D4474" s="232" t="str">
        <f>IF(AND(A4474&lt;&gt;"",ISNUMBER(A4474)),VLOOKUP(A4474,Studies!A:BR,4,FALSE),"")</f>
        <v>with Perpetrator (Rifampicin)</v>
      </c>
      <c r="E4474" s="206" t="str">
        <f>IF(AND(A4474&lt;&gt;"",ISNUMBER(A4474)),VLOOKUP(A4474,Studies!A:BR,5,FALSE),"")</f>
        <v>Digoxin</v>
      </c>
      <c r="F4474" s="207" t="str">
        <f>IF(AND(A4474&lt;&gt;"",ISNUMBER(A4474)),VLOOKUP(A4474,Studies!A:BR,6,FALSE),"")</f>
        <v>Serum</v>
      </c>
      <c r="G4474" s="50">
        <v>8835</v>
      </c>
      <c r="H4474" s="50" t="s">
        <v>1041</v>
      </c>
      <c r="I4474" s="41">
        <v>0.7858967</v>
      </c>
      <c r="J4474" s="41" t="s">
        <v>1059</v>
      </c>
      <c r="K4474" s="41" t="s">
        <v>264</v>
      </c>
      <c r="O4474" s="59">
        <v>0.04</v>
      </c>
    </row>
    <row r="4475" spans="1:15" x14ac:dyDescent="0.2">
      <c r="A4475" s="189">
        <v>337</v>
      </c>
      <c r="B4475" s="232" t="str">
        <f>IF(AND(A4475&lt;&gt;"",ISNUMBER(A4475)),VLOOKUP(A4475,Studies!A:BR,2,FALSE),"")</f>
        <v>Larsen 2007</v>
      </c>
      <c r="C4475" s="232" t="str">
        <f>IF(AND(A4475&lt;&gt;"",ISNUMBER(A4475)),VLOOKUP(A4475,Studies!A:BR,3,FALSE),"")</f>
        <v>https://www.ncbi.nlm.nih.gov/pubmed/17365992</v>
      </c>
      <c r="D4475" s="232" t="str">
        <f>IF(AND(A4475&lt;&gt;"",ISNUMBER(A4475)),VLOOKUP(A4475,Studies!A:BR,4,FALSE),"")</f>
        <v>with Perpetrator (Rifampicin)</v>
      </c>
      <c r="E4475" s="206" t="str">
        <f>IF(AND(A4475&lt;&gt;"",ISNUMBER(A4475)),VLOOKUP(A4475,Studies!A:BR,5,FALSE),"")</f>
        <v>Digoxin</v>
      </c>
      <c r="F4475" s="207" t="str">
        <f>IF(AND(A4475&lt;&gt;"",ISNUMBER(A4475)),VLOOKUP(A4475,Studies!A:BR,6,FALSE),"")</f>
        <v>Serum</v>
      </c>
      <c r="G4475" s="50">
        <v>8850</v>
      </c>
      <c r="H4475" s="50" t="s">
        <v>1041</v>
      </c>
      <c r="I4475" s="41">
        <v>0.78635259999999996</v>
      </c>
      <c r="J4475" s="41" t="s">
        <v>1059</v>
      </c>
      <c r="K4475" s="41" t="s">
        <v>264</v>
      </c>
      <c r="O4475" s="59">
        <v>0.04</v>
      </c>
    </row>
    <row r="4476" spans="1:15" x14ac:dyDescent="0.2">
      <c r="A4476" s="189">
        <v>337</v>
      </c>
      <c r="B4476" s="232" t="str">
        <f>IF(AND(A4476&lt;&gt;"",ISNUMBER(A4476)),VLOOKUP(A4476,Studies!A:BR,2,FALSE),"")</f>
        <v>Larsen 2007</v>
      </c>
      <c r="C4476" s="232" t="str">
        <f>IF(AND(A4476&lt;&gt;"",ISNUMBER(A4476)),VLOOKUP(A4476,Studies!A:BR,3,FALSE),"")</f>
        <v>https://www.ncbi.nlm.nih.gov/pubmed/17365992</v>
      </c>
      <c r="D4476" s="232" t="str">
        <f>IF(AND(A4476&lt;&gt;"",ISNUMBER(A4476)),VLOOKUP(A4476,Studies!A:BR,4,FALSE),"")</f>
        <v>with Perpetrator (Rifampicin)</v>
      </c>
      <c r="E4476" s="206" t="str">
        <f>IF(AND(A4476&lt;&gt;"",ISNUMBER(A4476)),VLOOKUP(A4476,Studies!A:BR,5,FALSE),"")</f>
        <v>Digoxin</v>
      </c>
      <c r="F4476" s="207" t="str">
        <f>IF(AND(A4476&lt;&gt;"",ISNUMBER(A4476)),VLOOKUP(A4476,Studies!A:BR,6,FALSE),"")</f>
        <v>Serum</v>
      </c>
      <c r="G4476" s="50">
        <v>8865</v>
      </c>
      <c r="H4476" s="50" t="s">
        <v>1041</v>
      </c>
      <c r="I4476" s="41">
        <v>0.74247209999999997</v>
      </c>
      <c r="J4476" s="41" t="s">
        <v>1059</v>
      </c>
      <c r="K4476" s="41" t="s">
        <v>264</v>
      </c>
      <c r="O4476" s="59">
        <v>0.04</v>
      </c>
    </row>
    <row r="4477" spans="1:15" x14ac:dyDescent="0.2">
      <c r="A4477" s="189">
        <v>337</v>
      </c>
      <c r="B4477" s="232" t="str">
        <f>IF(AND(A4477&lt;&gt;"",ISNUMBER(A4477)),VLOOKUP(A4477,Studies!A:BR,2,FALSE),"")</f>
        <v>Larsen 2007</v>
      </c>
      <c r="C4477" s="232" t="str">
        <f>IF(AND(A4477&lt;&gt;"",ISNUMBER(A4477)),VLOOKUP(A4477,Studies!A:BR,3,FALSE),"")</f>
        <v>https://www.ncbi.nlm.nih.gov/pubmed/17365992</v>
      </c>
      <c r="D4477" s="232" t="str">
        <f>IF(AND(A4477&lt;&gt;"",ISNUMBER(A4477)),VLOOKUP(A4477,Studies!A:BR,4,FALSE),"")</f>
        <v>with Perpetrator (Rifampicin)</v>
      </c>
      <c r="E4477" s="206" t="str">
        <f>IF(AND(A4477&lt;&gt;"",ISNUMBER(A4477)),VLOOKUP(A4477,Studies!A:BR,5,FALSE),"")</f>
        <v>Digoxin</v>
      </c>
      <c r="F4477" s="207" t="str">
        <f>IF(AND(A4477&lt;&gt;"",ISNUMBER(A4477)),VLOOKUP(A4477,Studies!A:BR,6,FALSE),"")</f>
        <v>Serum</v>
      </c>
      <c r="G4477" s="50">
        <v>8880</v>
      </c>
      <c r="H4477" s="50" t="s">
        <v>1041</v>
      </c>
      <c r="I4477" s="41">
        <v>0.70744680000000004</v>
      </c>
      <c r="J4477" s="41" t="s">
        <v>1059</v>
      </c>
      <c r="K4477" s="41" t="s">
        <v>264</v>
      </c>
      <c r="O4477" s="59">
        <v>0.04</v>
      </c>
    </row>
    <row r="4478" spans="1:15" x14ac:dyDescent="0.2">
      <c r="A4478" s="189">
        <v>337</v>
      </c>
      <c r="B4478" s="232" t="str">
        <f>IF(AND(A4478&lt;&gt;"",ISNUMBER(A4478)),VLOOKUP(A4478,Studies!A:BR,2,FALSE),"")</f>
        <v>Larsen 2007</v>
      </c>
      <c r="C4478" s="232" t="str">
        <f>IF(AND(A4478&lt;&gt;"",ISNUMBER(A4478)),VLOOKUP(A4478,Studies!A:BR,3,FALSE),"")</f>
        <v>https://www.ncbi.nlm.nih.gov/pubmed/17365992</v>
      </c>
      <c r="D4478" s="232" t="str">
        <f>IF(AND(A4478&lt;&gt;"",ISNUMBER(A4478)),VLOOKUP(A4478,Studies!A:BR,4,FALSE),"")</f>
        <v>with Perpetrator (Rifampicin)</v>
      </c>
      <c r="E4478" s="206" t="str">
        <f>IF(AND(A4478&lt;&gt;"",ISNUMBER(A4478)),VLOOKUP(A4478,Studies!A:BR,5,FALSE),"")</f>
        <v>Digoxin</v>
      </c>
      <c r="F4478" s="207" t="str">
        <f>IF(AND(A4478&lt;&gt;"",ISNUMBER(A4478)),VLOOKUP(A4478,Studies!A:BR,6,FALSE),"")</f>
        <v>Serum</v>
      </c>
      <c r="G4478" s="50">
        <v>8940</v>
      </c>
      <c r="H4478" s="50" t="s">
        <v>1041</v>
      </c>
      <c r="I4478" s="41">
        <v>0.58510640000000003</v>
      </c>
      <c r="J4478" s="41" t="s">
        <v>1059</v>
      </c>
      <c r="K4478" s="41" t="s">
        <v>264</v>
      </c>
      <c r="O4478" s="59">
        <v>0.04</v>
      </c>
    </row>
    <row r="4479" spans="1:15" x14ac:dyDescent="0.2">
      <c r="A4479" s="189">
        <v>338</v>
      </c>
      <c r="B4479" s="232" t="str">
        <f>IF(AND(A4479&lt;&gt;"",ISNUMBER(A4479)),VLOOKUP(A4479,Studies!A:BR,2,FALSE),"")</f>
        <v>Larsen 2007</v>
      </c>
      <c r="C4479" s="232" t="str">
        <f>IF(AND(A4479&lt;&gt;"",ISNUMBER(A4479)),VLOOKUP(A4479,Studies!A:BR,3,FALSE),"")</f>
        <v>https://www.ncbi.nlm.nih.gov/pubmed/17365992</v>
      </c>
      <c r="D4479" s="232" t="str">
        <f>IF(AND(A4479&lt;&gt;"",ISNUMBER(A4479)),VLOOKUP(A4479,Studies!A:BR,4,FALSE),"")</f>
        <v>with Perpetrator (Ketoconazole)</v>
      </c>
      <c r="E4479" s="206" t="str">
        <f>IF(AND(A4479&lt;&gt;"",ISNUMBER(A4479)),VLOOKUP(A4479,Studies!A:BR,5,FALSE),"")</f>
        <v>Digoxin</v>
      </c>
      <c r="F4479" s="207" t="str">
        <f>IF(AND(A4479&lt;&gt;"",ISNUMBER(A4479)),VLOOKUP(A4479,Studies!A:BR,6,FALSE),"")</f>
        <v>Serum</v>
      </c>
      <c r="G4479" s="50">
        <v>5760</v>
      </c>
      <c r="H4479" s="50" t="s">
        <v>1041</v>
      </c>
      <c r="I4479" s="41">
        <v>-2.6645400000000001E-15</v>
      </c>
      <c r="J4479" s="41" t="s">
        <v>1059</v>
      </c>
      <c r="K4479" s="41" t="s">
        <v>264</v>
      </c>
      <c r="O4479" s="59">
        <v>0.04</v>
      </c>
    </row>
    <row r="4480" spans="1:15" x14ac:dyDescent="0.2">
      <c r="A4480" s="189">
        <v>338</v>
      </c>
      <c r="B4480" s="232" t="str">
        <f>IF(AND(A4480&lt;&gt;"",ISNUMBER(A4480)),VLOOKUP(A4480,Studies!A:BR,2,FALSE),"")</f>
        <v>Larsen 2007</v>
      </c>
      <c r="C4480" s="232" t="str">
        <f>IF(AND(A4480&lt;&gt;"",ISNUMBER(A4480)),VLOOKUP(A4480,Studies!A:BR,3,FALSE),"")</f>
        <v>https://www.ncbi.nlm.nih.gov/pubmed/17365992</v>
      </c>
      <c r="D4480" s="232" t="str">
        <f>IF(AND(A4480&lt;&gt;"",ISNUMBER(A4480)),VLOOKUP(A4480,Studies!A:BR,4,FALSE),"")</f>
        <v>with Perpetrator (Ketoconazole)</v>
      </c>
      <c r="E4480" s="206" t="str">
        <f>IF(AND(A4480&lt;&gt;"",ISNUMBER(A4480)),VLOOKUP(A4480,Studies!A:BR,5,FALSE),"")</f>
        <v>Digoxin</v>
      </c>
      <c r="F4480" s="207" t="str">
        <f>IF(AND(A4480&lt;&gt;"",ISNUMBER(A4480)),VLOOKUP(A4480,Studies!A:BR,6,FALSE),"")</f>
        <v>Serum</v>
      </c>
      <c r="G4480" s="50">
        <v>5770</v>
      </c>
      <c r="H4480" s="50" t="s">
        <v>1041</v>
      </c>
      <c r="I4480" s="41">
        <v>0.21306990000000001</v>
      </c>
      <c r="J4480" s="41" t="s">
        <v>1059</v>
      </c>
      <c r="K4480" s="41" t="s">
        <v>264</v>
      </c>
      <c r="O4480" s="59">
        <v>0.04</v>
      </c>
    </row>
    <row r="4481" spans="1:15" x14ac:dyDescent="0.2">
      <c r="A4481" s="189">
        <v>338</v>
      </c>
      <c r="B4481" s="232" t="str">
        <f>IF(AND(A4481&lt;&gt;"",ISNUMBER(A4481)),VLOOKUP(A4481,Studies!A:BR,2,FALSE),"")</f>
        <v>Larsen 2007</v>
      </c>
      <c r="C4481" s="232" t="str">
        <f>IF(AND(A4481&lt;&gt;"",ISNUMBER(A4481)),VLOOKUP(A4481,Studies!A:BR,3,FALSE),"")</f>
        <v>https://www.ncbi.nlm.nih.gov/pubmed/17365992</v>
      </c>
      <c r="D4481" s="232" t="str">
        <f>IF(AND(A4481&lt;&gt;"",ISNUMBER(A4481)),VLOOKUP(A4481,Studies!A:BR,4,FALSE),"")</f>
        <v>with Perpetrator (Ketoconazole)</v>
      </c>
      <c r="E4481" s="206" t="str">
        <f>IF(AND(A4481&lt;&gt;"",ISNUMBER(A4481)),VLOOKUP(A4481,Studies!A:BR,5,FALSE),"")</f>
        <v>Digoxin</v>
      </c>
      <c r="F4481" s="207" t="str">
        <f>IF(AND(A4481&lt;&gt;"",ISNUMBER(A4481)),VLOOKUP(A4481,Studies!A:BR,6,FALSE),"")</f>
        <v>Serum</v>
      </c>
      <c r="G4481" s="50">
        <v>5780</v>
      </c>
      <c r="H4481" s="50" t="s">
        <v>1041</v>
      </c>
      <c r="I4481" s="41">
        <v>1.755917</v>
      </c>
      <c r="J4481" s="41" t="s">
        <v>1059</v>
      </c>
      <c r="K4481" s="41" t="s">
        <v>264</v>
      </c>
      <c r="O4481" s="59">
        <v>0.04</v>
      </c>
    </row>
    <row r="4482" spans="1:15" x14ac:dyDescent="0.2">
      <c r="A4482" s="189">
        <v>338</v>
      </c>
      <c r="B4482" s="232" t="str">
        <f>IF(AND(A4482&lt;&gt;"",ISNUMBER(A4482)),VLOOKUP(A4482,Studies!A:BR,2,FALSE),"")</f>
        <v>Larsen 2007</v>
      </c>
      <c r="C4482" s="232" t="str">
        <f>IF(AND(A4482&lt;&gt;"",ISNUMBER(A4482)),VLOOKUP(A4482,Studies!A:BR,3,FALSE),"")</f>
        <v>https://www.ncbi.nlm.nih.gov/pubmed/17365992</v>
      </c>
      <c r="D4482" s="232" t="str">
        <f>IF(AND(A4482&lt;&gt;"",ISNUMBER(A4482)),VLOOKUP(A4482,Studies!A:BR,4,FALSE),"")</f>
        <v>with Perpetrator (Ketoconazole)</v>
      </c>
      <c r="E4482" s="206" t="str">
        <f>IF(AND(A4482&lt;&gt;"",ISNUMBER(A4482)),VLOOKUP(A4482,Studies!A:BR,5,FALSE),"")</f>
        <v>Digoxin</v>
      </c>
      <c r="F4482" s="207" t="str">
        <f>IF(AND(A4482&lt;&gt;"",ISNUMBER(A4482)),VLOOKUP(A4482,Studies!A:BR,6,FALSE),"")</f>
        <v>Serum</v>
      </c>
      <c r="G4482" s="50">
        <v>5790</v>
      </c>
      <c r="H4482" s="50" t="s">
        <v>1041</v>
      </c>
      <c r="I4482" s="41">
        <v>2.7047919999999999</v>
      </c>
      <c r="J4482" s="41" t="s">
        <v>1059</v>
      </c>
      <c r="K4482" s="41" t="s">
        <v>264</v>
      </c>
      <c r="O4482" s="59">
        <v>0.04</v>
      </c>
    </row>
    <row r="4483" spans="1:15" x14ac:dyDescent="0.2">
      <c r="A4483" s="189">
        <v>338</v>
      </c>
      <c r="B4483" s="232" t="str">
        <f>IF(AND(A4483&lt;&gt;"",ISNUMBER(A4483)),VLOOKUP(A4483,Studies!A:BR,2,FALSE),"")</f>
        <v>Larsen 2007</v>
      </c>
      <c r="C4483" s="232" t="str">
        <f>IF(AND(A4483&lt;&gt;"",ISNUMBER(A4483)),VLOOKUP(A4483,Studies!A:BR,3,FALSE),"")</f>
        <v>https://www.ncbi.nlm.nih.gov/pubmed/17365992</v>
      </c>
      <c r="D4483" s="232" t="str">
        <f>IF(AND(A4483&lt;&gt;"",ISNUMBER(A4483)),VLOOKUP(A4483,Studies!A:BR,4,FALSE),"")</f>
        <v>with Perpetrator (Ketoconazole)</v>
      </c>
      <c r="E4483" s="206" t="str">
        <f>IF(AND(A4483&lt;&gt;"",ISNUMBER(A4483)),VLOOKUP(A4483,Studies!A:BR,5,FALSE),"")</f>
        <v>Digoxin</v>
      </c>
      <c r="F4483" s="207" t="str">
        <f>IF(AND(A4483&lt;&gt;"",ISNUMBER(A4483)),VLOOKUP(A4483,Studies!A:BR,6,FALSE),"")</f>
        <v>Serum</v>
      </c>
      <c r="G4483" s="50">
        <v>5800</v>
      </c>
      <c r="H4483" s="50" t="s">
        <v>1041</v>
      </c>
      <c r="I4483" s="41">
        <v>3.36998</v>
      </c>
      <c r="J4483" s="41" t="s">
        <v>1059</v>
      </c>
      <c r="K4483" s="41" t="s">
        <v>264</v>
      </c>
      <c r="O4483" s="59">
        <v>0.04</v>
      </c>
    </row>
    <row r="4484" spans="1:15" x14ac:dyDescent="0.2">
      <c r="A4484" s="189">
        <v>338</v>
      </c>
      <c r="B4484" s="232" t="str">
        <f>IF(AND(A4484&lt;&gt;"",ISNUMBER(A4484)),VLOOKUP(A4484,Studies!A:BR,2,FALSE),"")</f>
        <v>Larsen 2007</v>
      </c>
      <c r="C4484" s="232" t="str">
        <f>IF(AND(A4484&lt;&gt;"",ISNUMBER(A4484)),VLOOKUP(A4484,Studies!A:BR,3,FALSE),"")</f>
        <v>https://www.ncbi.nlm.nih.gov/pubmed/17365992</v>
      </c>
      <c r="D4484" s="232" t="str">
        <f>IF(AND(A4484&lt;&gt;"",ISNUMBER(A4484)),VLOOKUP(A4484,Studies!A:BR,4,FALSE),"")</f>
        <v>with Perpetrator (Ketoconazole)</v>
      </c>
      <c r="E4484" s="206" t="str">
        <f>IF(AND(A4484&lt;&gt;"",ISNUMBER(A4484)),VLOOKUP(A4484,Studies!A:BR,5,FALSE),"")</f>
        <v>Digoxin</v>
      </c>
      <c r="F4484" s="207" t="str">
        <f>IF(AND(A4484&lt;&gt;"",ISNUMBER(A4484)),VLOOKUP(A4484,Studies!A:BR,6,FALSE),"")</f>
        <v>Serum</v>
      </c>
      <c r="G4484" s="50">
        <v>5810</v>
      </c>
      <c r="H4484" s="50" t="s">
        <v>1041</v>
      </c>
      <c r="I4484" s="41">
        <v>3.2018339999999998</v>
      </c>
      <c r="J4484" s="41" t="s">
        <v>1059</v>
      </c>
      <c r="K4484" s="41" t="s">
        <v>264</v>
      </c>
      <c r="O4484" s="59">
        <v>0.04</v>
      </c>
    </row>
    <row r="4485" spans="1:15" x14ac:dyDescent="0.2">
      <c r="A4485" s="189">
        <v>338</v>
      </c>
      <c r="B4485" s="232" t="str">
        <f>IF(AND(A4485&lt;&gt;"",ISNUMBER(A4485)),VLOOKUP(A4485,Studies!A:BR,2,FALSE),"")</f>
        <v>Larsen 2007</v>
      </c>
      <c r="C4485" s="232" t="str">
        <f>IF(AND(A4485&lt;&gt;"",ISNUMBER(A4485)),VLOOKUP(A4485,Studies!A:BR,3,FALSE),"")</f>
        <v>https://www.ncbi.nlm.nih.gov/pubmed/17365992</v>
      </c>
      <c r="D4485" s="232" t="str">
        <f>IF(AND(A4485&lt;&gt;"",ISNUMBER(A4485)),VLOOKUP(A4485,Studies!A:BR,4,FALSE),"")</f>
        <v>with Perpetrator (Ketoconazole)</v>
      </c>
      <c r="E4485" s="206" t="str">
        <f>IF(AND(A4485&lt;&gt;"",ISNUMBER(A4485)),VLOOKUP(A4485,Studies!A:BR,5,FALSE),"")</f>
        <v>Digoxin</v>
      </c>
      <c r="F4485" s="207" t="str">
        <f>IF(AND(A4485&lt;&gt;"",ISNUMBER(A4485)),VLOOKUP(A4485,Studies!A:BR,6,FALSE),"")</f>
        <v>Serum</v>
      </c>
      <c r="G4485" s="50">
        <v>5820</v>
      </c>
      <c r="H4485" s="50" t="s">
        <v>1041</v>
      </c>
      <c r="I4485" s="41">
        <v>3.2021380000000002</v>
      </c>
      <c r="J4485" s="41" t="s">
        <v>1059</v>
      </c>
      <c r="K4485" s="41" t="s">
        <v>264</v>
      </c>
      <c r="O4485" s="59">
        <v>0.04</v>
      </c>
    </row>
    <row r="4486" spans="1:15" x14ac:dyDescent="0.2">
      <c r="A4486" s="189">
        <v>338</v>
      </c>
      <c r="B4486" s="232" t="str">
        <f>IF(AND(A4486&lt;&gt;"",ISNUMBER(A4486)),VLOOKUP(A4486,Studies!A:BR,2,FALSE),"")</f>
        <v>Larsen 2007</v>
      </c>
      <c r="C4486" s="232" t="str">
        <f>IF(AND(A4486&lt;&gt;"",ISNUMBER(A4486)),VLOOKUP(A4486,Studies!A:BR,3,FALSE),"")</f>
        <v>https://www.ncbi.nlm.nih.gov/pubmed/17365992</v>
      </c>
      <c r="D4486" s="232" t="str">
        <f>IF(AND(A4486&lt;&gt;"",ISNUMBER(A4486)),VLOOKUP(A4486,Studies!A:BR,4,FALSE),"")</f>
        <v>with Perpetrator (Ketoconazole)</v>
      </c>
      <c r="E4486" s="206" t="str">
        <f>IF(AND(A4486&lt;&gt;"",ISNUMBER(A4486)),VLOOKUP(A4486,Studies!A:BR,5,FALSE),"")</f>
        <v>Digoxin</v>
      </c>
      <c r="F4486" s="207" t="str">
        <f>IF(AND(A4486&lt;&gt;"",ISNUMBER(A4486)),VLOOKUP(A4486,Studies!A:BR,6,FALSE),"")</f>
        <v>Serum</v>
      </c>
      <c r="G4486" s="50">
        <v>5835</v>
      </c>
      <c r="H4486" s="50" t="s">
        <v>1041</v>
      </c>
      <c r="I4486" s="41">
        <v>3.1139209999999999</v>
      </c>
      <c r="J4486" s="41" t="s">
        <v>1059</v>
      </c>
      <c r="K4486" s="41" t="s">
        <v>264</v>
      </c>
      <c r="O4486" s="59">
        <v>0.04</v>
      </c>
    </row>
    <row r="4487" spans="1:15" x14ac:dyDescent="0.2">
      <c r="A4487" s="189">
        <v>338</v>
      </c>
      <c r="B4487" s="232" t="str">
        <f>IF(AND(A4487&lt;&gt;"",ISNUMBER(A4487)),VLOOKUP(A4487,Studies!A:BR,2,FALSE),"")</f>
        <v>Larsen 2007</v>
      </c>
      <c r="C4487" s="232" t="str">
        <f>IF(AND(A4487&lt;&gt;"",ISNUMBER(A4487)),VLOOKUP(A4487,Studies!A:BR,3,FALSE),"")</f>
        <v>https://www.ncbi.nlm.nih.gov/pubmed/17365992</v>
      </c>
      <c r="D4487" s="232" t="str">
        <f>IF(AND(A4487&lt;&gt;"",ISNUMBER(A4487)),VLOOKUP(A4487,Studies!A:BR,4,FALSE),"")</f>
        <v>with Perpetrator (Ketoconazole)</v>
      </c>
      <c r="E4487" s="206" t="str">
        <f>IF(AND(A4487&lt;&gt;"",ISNUMBER(A4487)),VLOOKUP(A4487,Studies!A:BR,5,FALSE),"")</f>
        <v>Digoxin</v>
      </c>
      <c r="F4487" s="207" t="str">
        <f>IF(AND(A4487&lt;&gt;"",ISNUMBER(A4487)),VLOOKUP(A4487,Studies!A:BR,6,FALSE),"")</f>
        <v>Serum</v>
      </c>
      <c r="G4487" s="50">
        <v>5850</v>
      </c>
      <c r="H4487" s="50" t="s">
        <v>1041</v>
      </c>
      <c r="I4487" s="41">
        <v>2.8129580000000001</v>
      </c>
      <c r="J4487" s="41" t="s">
        <v>1059</v>
      </c>
      <c r="K4487" s="41" t="s">
        <v>264</v>
      </c>
      <c r="O4487" s="59">
        <v>0.04</v>
      </c>
    </row>
    <row r="4488" spans="1:15" x14ac:dyDescent="0.2">
      <c r="A4488" s="189">
        <v>338</v>
      </c>
      <c r="B4488" s="232" t="str">
        <f>IF(AND(A4488&lt;&gt;"",ISNUMBER(A4488)),VLOOKUP(A4488,Studies!A:BR,2,FALSE),"")</f>
        <v>Larsen 2007</v>
      </c>
      <c r="C4488" s="232" t="str">
        <f>IF(AND(A4488&lt;&gt;"",ISNUMBER(A4488)),VLOOKUP(A4488,Studies!A:BR,3,FALSE),"")</f>
        <v>https://www.ncbi.nlm.nih.gov/pubmed/17365992</v>
      </c>
      <c r="D4488" s="232" t="str">
        <f>IF(AND(A4488&lt;&gt;"",ISNUMBER(A4488)),VLOOKUP(A4488,Studies!A:BR,4,FALSE),"")</f>
        <v>with Perpetrator (Ketoconazole)</v>
      </c>
      <c r="E4488" s="206" t="str">
        <f>IF(AND(A4488&lt;&gt;"",ISNUMBER(A4488)),VLOOKUP(A4488,Studies!A:BR,5,FALSE),"")</f>
        <v>Digoxin</v>
      </c>
      <c r="F4488" s="207" t="str">
        <f>IF(AND(A4488&lt;&gt;"",ISNUMBER(A4488)),VLOOKUP(A4488,Studies!A:BR,6,FALSE),"")</f>
        <v>Serum</v>
      </c>
      <c r="G4488" s="50">
        <v>5865</v>
      </c>
      <c r="H4488" s="50" t="s">
        <v>1041</v>
      </c>
      <c r="I4488" s="41">
        <v>2.4233229999999999</v>
      </c>
      <c r="J4488" s="41" t="s">
        <v>1059</v>
      </c>
      <c r="K4488" s="41" t="s">
        <v>264</v>
      </c>
      <c r="O4488" s="59">
        <v>0.04</v>
      </c>
    </row>
    <row r="4489" spans="1:15" x14ac:dyDescent="0.2">
      <c r="A4489" s="189">
        <v>338</v>
      </c>
      <c r="B4489" s="232" t="str">
        <f>IF(AND(A4489&lt;&gt;"",ISNUMBER(A4489)),VLOOKUP(A4489,Studies!A:BR,2,FALSE),"")</f>
        <v>Larsen 2007</v>
      </c>
      <c r="C4489" s="232" t="str">
        <f>IF(AND(A4489&lt;&gt;"",ISNUMBER(A4489)),VLOOKUP(A4489,Studies!A:BR,3,FALSE),"")</f>
        <v>https://www.ncbi.nlm.nih.gov/pubmed/17365992</v>
      </c>
      <c r="D4489" s="232" t="str">
        <f>IF(AND(A4489&lt;&gt;"",ISNUMBER(A4489)),VLOOKUP(A4489,Studies!A:BR,4,FALSE),"")</f>
        <v>with Perpetrator (Ketoconazole)</v>
      </c>
      <c r="E4489" s="206" t="str">
        <f>IF(AND(A4489&lt;&gt;"",ISNUMBER(A4489)),VLOOKUP(A4489,Studies!A:BR,5,FALSE),"")</f>
        <v>Digoxin</v>
      </c>
      <c r="F4489" s="207" t="str">
        <f>IF(AND(A4489&lt;&gt;"",ISNUMBER(A4489)),VLOOKUP(A4489,Studies!A:BR,6,FALSE),"")</f>
        <v>Serum</v>
      </c>
      <c r="G4489" s="50">
        <v>5880</v>
      </c>
      <c r="H4489" s="50" t="s">
        <v>1041</v>
      </c>
      <c r="I4489" s="41">
        <v>2.1666669999999999</v>
      </c>
      <c r="J4489" s="41" t="s">
        <v>1059</v>
      </c>
      <c r="K4489" s="41" t="s">
        <v>264</v>
      </c>
      <c r="O4489" s="59">
        <v>0.04</v>
      </c>
    </row>
    <row r="4490" spans="1:15" x14ac:dyDescent="0.2">
      <c r="A4490" s="189">
        <v>338</v>
      </c>
      <c r="B4490" s="232" t="str">
        <f>IF(AND(A4490&lt;&gt;"",ISNUMBER(A4490)),VLOOKUP(A4490,Studies!A:BR,2,FALSE),"")</f>
        <v>Larsen 2007</v>
      </c>
      <c r="C4490" s="232" t="str">
        <f>IF(AND(A4490&lt;&gt;"",ISNUMBER(A4490)),VLOOKUP(A4490,Studies!A:BR,3,FALSE),"")</f>
        <v>https://www.ncbi.nlm.nih.gov/pubmed/17365992</v>
      </c>
      <c r="D4490" s="232" t="str">
        <f>IF(AND(A4490&lt;&gt;"",ISNUMBER(A4490)),VLOOKUP(A4490,Studies!A:BR,4,FALSE),"")</f>
        <v>with Perpetrator (Ketoconazole)</v>
      </c>
      <c r="E4490" s="206" t="str">
        <f>IF(AND(A4490&lt;&gt;"",ISNUMBER(A4490)),VLOOKUP(A4490,Studies!A:BR,5,FALSE),"")</f>
        <v>Digoxin</v>
      </c>
      <c r="F4490" s="207" t="str">
        <f>IF(AND(A4490&lt;&gt;"",ISNUMBER(A4490)),VLOOKUP(A4490,Studies!A:BR,6,FALSE),"")</f>
        <v>Serum</v>
      </c>
      <c r="G4490" s="50">
        <v>5895</v>
      </c>
      <c r="H4490" s="50" t="s">
        <v>1041</v>
      </c>
      <c r="I4490" s="41">
        <v>1.927751</v>
      </c>
      <c r="J4490" s="41" t="s">
        <v>1059</v>
      </c>
      <c r="K4490" s="41" t="s">
        <v>264</v>
      </c>
      <c r="O4490" s="59">
        <v>0.04</v>
      </c>
    </row>
    <row r="4491" spans="1:15" x14ac:dyDescent="0.2">
      <c r="A4491" s="189">
        <v>338</v>
      </c>
      <c r="B4491" s="232" t="str">
        <f>IF(AND(A4491&lt;&gt;"",ISNUMBER(A4491)),VLOOKUP(A4491,Studies!A:BR,2,FALSE),"")</f>
        <v>Larsen 2007</v>
      </c>
      <c r="C4491" s="232" t="str">
        <f>IF(AND(A4491&lt;&gt;"",ISNUMBER(A4491)),VLOOKUP(A4491,Studies!A:BR,3,FALSE),"")</f>
        <v>https://www.ncbi.nlm.nih.gov/pubmed/17365992</v>
      </c>
      <c r="D4491" s="232" t="str">
        <f>IF(AND(A4491&lt;&gt;"",ISNUMBER(A4491)),VLOOKUP(A4491,Studies!A:BR,4,FALSE),"")</f>
        <v>with Perpetrator (Ketoconazole)</v>
      </c>
      <c r="E4491" s="206" t="str">
        <f>IF(AND(A4491&lt;&gt;"",ISNUMBER(A4491)),VLOOKUP(A4491,Studies!A:BR,5,FALSE),"")</f>
        <v>Digoxin</v>
      </c>
      <c r="F4491" s="207" t="str">
        <f>IF(AND(A4491&lt;&gt;"",ISNUMBER(A4491)),VLOOKUP(A4491,Studies!A:BR,6,FALSE),"")</f>
        <v>Serum</v>
      </c>
      <c r="G4491" s="50">
        <v>5910</v>
      </c>
      <c r="H4491" s="50" t="s">
        <v>1041</v>
      </c>
      <c r="I4491" s="41">
        <v>1.8306990000000001</v>
      </c>
      <c r="J4491" s="41" t="s">
        <v>1059</v>
      </c>
      <c r="K4491" s="41" t="s">
        <v>264</v>
      </c>
      <c r="O4491" s="59">
        <v>0.04</v>
      </c>
    </row>
    <row r="4492" spans="1:15" x14ac:dyDescent="0.2">
      <c r="A4492" s="189">
        <v>338</v>
      </c>
      <c r="B4492" s="232" t="str">
        <f>IF(AND(A4492&lt;&gt;"",ISNUMBER(A4492)),VLOOKUP(A4492,Studies!A:BR,2,FALSE),"")</f>
        <v>Larsen 2007</v>
      </c>
      <c r="C4492" s="232" t="str">
        <f>IF(AND(A4492&lt;&gt;"",ISNUMBER(A4492)),VLOOKUP(A4492,Studies!A:BR,3,FALSE),"")</f>
        <v>https://www.ncbi.nlm.nih.gov/pubmed/17365992</v>
      </c>
      <c r="D4492" s="232" t="str">
        <f>IF(AND(A4492&lt;&gt;"",ISNUMBER(A4492)),VLOOKUP(A4492,Studies!A:BR,4,FALSE),"")</f>
        <v>with Perpetrator (Ketoconazole)</v>
      </c>
      <c r="E4492" s="206" t="str">
        <f>IF(AND(A4492&lt;&gt;"",ISNUMBER(A4492)),VLOOKUP(A4492,Studies!A:BR,5,FALSE),"")</f>
        <v>Digoxin</v>
      </c>
      <c r="F4492" s="207" t="str">
        <f>IF(AND(A4492&lt;&gt;"",ISNUMBER(A4492)),VLOOKUP(A4492,Studies!A:BR,6,FALSE),"")</f>
        <v>Serum</v>
      </c>
      <c r="G4492" s="50">
        <v>5925</v>
      </c>
      <c r="H4492" s="50" t="s">
        <v>1041</v>
      </c>
      <c r="I4492" s="41">
        <v>1.6538200000000001</v>
      </c>
      <c r="J4492" s="41" t="s">
        <v>1059</v>
      </c>
      <c r="K4492" s="41" t="s">
        <v>264</v>
      </c>
      <c r="O4492" s="59">
        <v>0.04</v>
      </c>
    </row>
    <row r="4493" spans="1:15" x14ac:dyDescent="0.2">
      <c r="A4493" s="189">
        <v>338</v>
      </c>
      <c r="B4493" s="232" t="str">
        <f>IF(AND(A4493&lt;&gt;"",ISNUMBER(A4493)),VLOOKUP(A4493,Studies!A:BR,2,FALSE),"")</f>
        <v>Larsen 2007</v>
      </c>
      <c r="C4493" s="232" t="str">
        <f>IF(AND(A4493&lt;&gt;"",ISNUMBER(A4493)),VLOOKUP(A4493,Studies!A:BR,3,FALSE),"")</f>
        <v>https://www.ncbi.nlm.nih.gov/pubmed/17365992</v>
      </c>
      <c r="D4493" s="232" t="str">
        <f>IF(AND(A4493&lt;&gt;"",ISNUMBER(A4493)),VLOOKUP(A4493,Studies!A:BR,4,FALSE),"")</f>
        <v>with Perpetrator (Ketoconazole)</v>
      </c>
      <c r="E4493" s="206" t="str">
        <f>IF(AND(A4493&lt;&gt;"",ISNUMBER(A4493)),VLOOKUP(A4493,Studies!A:BR,5,FALSE),"")</f>
        <v>Digoxin</v>
      </c>
      <c r="F4493" s="207" t="str">
        <f>IF(AND(A4493&lt;&gt;"",ISNUMBER(A4493)),VLOOKUP(A4493,Studies!A:BR,6,FALSE),"")</f>
        <v>Serum</v>
      </c>
      <c r="G4493" s="50">
        <v>5940</v>
      </c>
      <c r="H4493" s="50" t="s">
        <v>1041</v>
      </c>
      <c r="I4493" s="41">
        <v>1.7252179999999999</v>
      </c>
      <c r="J4493" s="41" t="s">
        <v>1059</v>
      </c>
      <c r="K4493" s="41" t="s">
        <v>264</v>
      </c>
      <c r="O4493" s="59">
        <v>0.04</v>
      </c>
    </row>
    <row r="4494" spans="1:15" x14ac:dyDescent="0.2">
      <c r="A4494" s="189">
        <v>338</v>
      </c>
      <c r="B4494" s="232" t="str">
        <f>IF(AND(A4494&lt;&gt;"",ISNUMBER(A4494)),VLOOKUP(A4494,Studies!A:BR,2,FALSE),"")</f>
        <v>Larsen 2007</v>
      </c>
      <c r="C4494" s="232" t="str">
        <f>IF(AND(A4494&lt;&gt;"",ISNUMBER(A4494)),VLOOKUP(A4494,Studies!A:BR,3,FALSE),"")</f>
        <v>https://www.ncbi.nlm.nih.gov/pubmed/17365992</v>
      </c>
      <c r="D4494" s="232" t="str">
        <f>IF(AND(A4494&lt;&gt;"",ISNUMBER(A4494)),VLOOKUP(A4494,Studies!A:BR,4,FALSE),"")</f>
        <v>with Perpetrator (Ketoconazole)</v>
      </c>
      <c r="E4494" s="206" t="str">
        <f>IF(AND(A4494&lt;&gt;"",ISNUMBER(A4494)),VLOOKUP(A4494,Studies!A:BR,5,FALSE),"")</f>
        <v>Digoxin</v>
      </c>
      <c r="F4494" s="207" t="str">
        <f>IF(AND(A4494&lt;&gt;"",ISNUMBER(A4494)),VLOOKUP(A4494,Studies!A:BR,6,FALSE),"")</f>
        <v>Serum</v>
      </c>
      <c r="G4494" s="50">
        <v>5955</v>
      </c>
      <c r="H4494" s="50" t="s">
        <v>1041</v>
      </c>
      <c r="I4494" s="41">
        <v>1.557183</v>
      </c>
      <c r="J4494" s="41" t="s">
        <v>1059</v>
      </c>
      <c r="K4494" s="41" t="s">
        <v>264</v>
      </c>
      <c r="O4494" s="59">
        <v>0.04</v>
      </c>
    </row>
    <row r="4495" spans="1:15" x14ac:dyDescent="0.2">
      <c r="A4495" s="189">
        <v>338</v>
      </c>
      <c r="B4495" s="232" t="str">
        <f>IF(AND(A4495&lt;&gt;"",ISNUMBER(A4495)),VLOOKUP(A4495,Studies!A:BR,2,FALSE),"")</f>
        <v>Larsen 2007</v>
      </c>
      <c r="C4495" s="232" t="str">
        <f>IF(AND(A4495&lt;&gt;"",ISNUMBER(A4495)),VLOOKUP(A4495,Studies!A:BR,3,FALSE),"")</f>
        <v>https://www.ncbi.nlm.nih.gov/pubmed/17365992</v>
      </c>
      <c r="D4495" s="232" t="str">
        <f>IF(AND(A4495&lt;&gt;"",ISNUMBER(A4495)),VLOOKUP(A4495,Studies!A:BR,4,FALSE),"")</f>
        <v>with Perpetrator (Ketoconazole)</v>
      </c>
      <c r="E4495" s="206" t="str">
        <f>IF(AND(A4495&lt;&gt;"",ISNUMBER(A4495)),VLOOKUP(A4495,Studies!A:BR,5,FALSE),"")</f>
        <v>Digoxin</v>
      </c>
      <c r="F4495" s="207" t="str">
        <f>IF(AND(A4495&lt;&gt;"",ISNUMBER(A4495)),VLOOKUP(A4495,Studies!A:BR,6,FALSE),"")</f>
        <v>Serum</v>
      </c>
      <c r="G4495" s="50">
        <v>5970</v>
      </c>
      <c r="H4495" s="50" t="s">
        <v>1041</v>
      </c>
      <c r="I4495" s="41">
        <v>1.344873</v>
      </c>
      <c r="J4495" s="41" t="s">
        <v>1059</v>
      </c>
      <c r="K4495" s="41" t="s">
        <v>264</v>
      </c>
      <c r="O4495" s="59">
        <v>0.04</v>
      </c>
    </row>
    <row r="4496" spans="1:15" x14ac:dyDescent="0.2">
      <c r="A4496" s="189">
        <v>338</v>
      </c>
      <c r="B4496" s="232" t="str">
        <f>IF(AND(A4496&lt;&gt;"",ISNUMBER(A4496)),VLOOKUP(A4496,Studies!A:BR,2,FALSE),"")</f>
        <v>Larsen 2007</v>
      </c>
      <c r="C4496" s="232" t="str">
        <f>IF(AND(A4496&lt;&gt;"",ISNUMBER(A4496)),VLOOKUP(A4496,Studies!A:BR,3,FALSE),"")</f>
        <v>https://www.ncbi.nlm.nih.gov/pubmed/17365992</v>
      </c>
      <c r="D4496" s="232" t="str">
        <f>IF(AND(A4496&lt;&gt;"",ISNUMBER(A4496)),VLOOKUP(A4496,Studies!A:BR,4,FALSE),"")</f>
        <v>with Perpetrator (Ketoconazole)</v>
      </c>
      <c r="E4496" s="206" t="str">
        <f>IF(AND(A4496&lt;&gt;"",ISNUMBER(A4496)),VLOOKUP(A4496,Studies!A:BR,5,FALSE),"")</f>
        <v>Digoxin</v>
      </c>
      <c r="F4496" s="207" t="str">
        <f>IF(AND(A4496&lt;&gt;"",ISNUMBER(A4496)),VLOOKUP(A4496,Studies!A:BR,6,FALSE),"")</f>
        <v>Serum</v>
      </c>
      <c r="G4496" s="50">
        <v>5985</v>
      </c>
      <c r="H4496" s="50" t="s">
        <v>1041</v>
      </c>
      <c r="I4496" s="41">
        <v>1.2300709999999999</v>
      </c>
      <c r="J4496" s="41" t="s">
        <v>1059</v>
      </c>
      <c r="K4496" s="41" t="s">
        <v>264</v>
      </c>
      <c r="O4496" s="59">
        <v>0.04</v>
      </c>
    </row>
    <row r="4497" spans="1:15" x14ac:dyDescent="0.2">
      <c r="A4497" s="189">
        <v>338</v>
      </c>
      <c r="B4497" s="232" t="str">
        <f>IF(AND(A4497&lt;&gt;"",ISNUMBER(A4497)),VLOOKUP(A4497,Studies!A:BR,2,FALSE),"")</f>
        <v>Larsen 2007</v>
      </c>
      <c r="C4497" s="232" t="str">
        <f>IF(AND(A4497&lt;&gt;"",ISNUMBER(A4497)),VLOOKUP(A4497,Studies!A:BR,3,FALSE),"")</f>
        <v>https://www.ncbi.nlm.nih.gov/pubmed/17365992</v>
      </c>
      <c r="D4497" s="232" t="str">
        <f>IF(AND(A4497&lt;&gt;"",ISNUMBER(A4497)),VLOOKUP(A4497,Studies!A:BR,4,FALSE),"")</f>
        <v>with Perpetrator (Ketoconazole)</v>
      </c>
      <c r="E4497" s="206" t="str">
        <f>IF(AND(A4497&lt;&gt;"",ISNUMBER(A4497)),VLOOKUP(A4497,Studies!A:BR,5,FALSE),"")</f>
        <v>Digoxin</v>
      </c>
      <c r="F4497" s="207" t="str">
        <f>IF(AND(A4497&lt;&gt;"",ISNUMBER(A4497)),VLOOKUP(A4497,Studies!A:BR,6,FALSE),"")</f>
        <v>Serum</v>
      </c>
      <c r="G4497" s="50">
        <v>6000</v>
      </c>
      <c r="H4497" s="50" t="s">
        <v>1041</v>
      </c>
      <c r="I4497" s="41">
        <v>1.150719</v>
      </c>
      <c r="J4497" s="41" t="s">
        <v>1059</v>
      </c>
      <c r="K4497" s="41" t="s">
        <v>264</v>
      </c>
      <c r="O4497" s="59">
        <v>0.04</v>
      </c>
    </row>
    <row r="4498" spans="1:15" x14ac:dyDescent="0.2">
      <c r="A4498" s="189">
        <v>338</v>
      </c>
      <c r="B4498" s="232" t="str">
        <f>IF(AND(A4498&lt;&gt;"",ISNUMBER(A4498)),VLOOKUP(A4498,Studies!A:BR,2,FALSE),"")</f>
        <v>Larsen 2007</v>
      </c>
      <c r="C4498" s="232" t="str">
        <f>IF(AND(A4498&lt;&gt;"",ISNUMBER(A4498)),VLOOKUP(A4498,Studies!A:BR,3,FALSE),"")</f>
        <v>https://www.ncbi.nlm.nih.gov/pubmed/17365992</v>
      </c>
      <c r="D4498" s="232" t="str">
        <f>IF(AND(A4498&lt;&gt;"",ISNUMBER(A4498)),VLOOKUP(A4498,Studies!A:BR,4,FALSE),"")</f>
        <v>with Perpetrator (Ketoconazole)</v>
      </c>
      <c r="E4498" s="206" t="str">
        <f>IF(AND(A4498&lt;&gt;"",ISNUMBER(A4498)),VLOOKUP(A4498,Studies!A:BR,5,FALSE),"")</f>
        <v>Digoxin</v>
      </c>
      <c r="F4498" s="207" t="str">
        <f>IF(AND(A4498&lt;&gt;"",ISNUMBER(A4498)),VLOOKUP(A4498,Studies!A:BR,6,FALSE),"")</f>
        <v>Serum</v>
      </c>
      <c r="G4498" s="50">
        <v>6060</v>
      </c>
      <c r="H4498" s="50" t="s">
        <v>1041</v>
      </c>
      <c r="I4498" s="41">
        <v>0.86880449999999998</v>
      </c>
      <c r="J4498" s="41" t="s">
        <v>1059</v>
      </c>
      <c r="K4498" s="41" t="s">
        <v>264</v>
      </c>
      <c r="O4498" s="59">
        <v>0.04</v>
      </c>
    </row>
    <row r="4499" spans="1:15" x14ac:dyDescent="0.2">
      <c r="A4499" s="189">
        <v>313</v>
      </c>
      <c r="B4499" s="232" t="str">
        <f>IF(AND(A4499&lt;&gt;"",ISNUMBER(A4499)),VLOOKUP(A4499,Studies!A:BR,2,FALSE),"")</f>
        <v>Kirby 2012</v>
      </c>
      <c r="C4499" s="232" t="str">
        <f>IF(AND(A4499&lt;&gt;"",ISNUMBER(A4499)),VLOOKUP(A4499,Studies!A:BR,3,FALSE),"")</f>
        <v>https://www.ncbi.nlm.nih.gov/pubmed/22190694</v>
      </c>
      <c r="D4499" s="232" t="str">
        <f>IF(AND(A4499&lt;&gt;"",ISNUMBER(A4499)),VLOOKUP(A4499,Studies!A:BR,4,FALSE),"")</f>
        <v>Study 1 - Staggered Administration Control</v>
      </c>
      <c r="E4499" s="206" t="str">
        <f>IF(AND(A4499&lt;&gt;"",ISNUMBER(A4499)),VLOOKUP(A4499,Studies!A:BR,5,FALSE),"")</f>
        <v>Digoxin</v>
      </c>
      <c r="F4499" s="207" t="str">
        <f>IF(AND(A4499&lt;&gt;"",ISNUMBER(A4499)),VLOOKUP(A4499,Studies!A:BR,6,FALSE),"")</f>
        <v>Plasma</v>
      </c>
      <c r="G4499" s="50">
        <v>0.25</v>
      </c>
      <c r="H4499" s="50" t="s">
        <v>60</v>
      </c>
      <c r="I4499" s="41">
        <v>0.2814046</v>
      </c>
      <c r="J4499" s="41" t="s">
        <v>1026</v>
      </c>
      <c r="K4499" s="41" t="s">
        <v>116</v>
      </c>
      <c r="L4499" s="52">
        <v>9.7528039999999996E-2</v>
      </c>
      <c r="M4499" s="52" t="s">
        <v>1026</v>
      </c>
      <c r="N4499" s="52" t="s">
        <v>117</v>
      </c>
    </row>
    <row r="4500" spans="1:15" x14ac:dyDescent="0.2">
      <c r="A4500" s="189">
        <v>313</v>
      </c>
      <c r="B4500" s="232" t="str">
        <f>IF(AND(A4500&lt;&gt;"",ISNUMBER(A4500)),VLOOKUP(A4500,Studies!A:BR,2,FALSE),"")</f>
        <v>Kirby 2012</v>
      </c>
      <c r="C4500" s="232" t="str">
        <f>IF(AND(A4500&lt;&gt;"",ISNUMBER(A4500)),VLOOKUP(A4500,Studies!A:BR,3,FALSE),"")</f>
        <v>https://www.ncbi.nlm.nih.gov/pubmed/22190694</v>
      </c>
      <c r="D4500" s="232" t="str">
        <f>IF(AND(A4500&lt;&gt;"",ISNUMBER(A4500)),VLOOKUP(A4500,Studies!A:BR,4,FALSE),"")</f>
        <v>Study 1 - Staggered Administration Control</v>
      </c>
      <c r="E4500" s="206" t="str">
        <f>IF(AND(A4500&lt;&gt;"",ISNUMBER(A4500)),VLOOKUP(A4500,Studies!A:BR,5,FALSE),"")</f>
        <v>Digoxin</v>
      </c>
      <c r="F4500" s="207" t="str">
        <f>IF(AND(A4500&lt;&gt;"",ISNUMBER(A4500)),VLOOKUP(A4500,Studies!A:BR,6,FALSE),"")</f>
        <v>Plasma</v>
      </c>
      <c r="G4500" s="50">
        <v>0.5</v>
      </c>
      <c r="H4500" s="50" t="s">
        <v>60</v>
      </c>
      <c r="I4500" s="41">
        <v>0.6921389</v>
      </c>
      <c r="J4500" s="41" t="s">
        <v>1026</v>
      </c>
      <c r="K4500" s="41" t="s">
        <v>116</v>
      </c>
      <c r="L4500" s="52">
        <v>0.7235452</v>
      </c>
      <c r="M4500" s="52" t="s">
        <v>1026</v>
      </c>
      <c r="N4500" s="52" t="s">
        <v>117</v>
      </c>
    </row>
    <row r="4501" spans="1:15" x14ac:dyDescent="0.2">
      <c r="A4501" s="189">
        <v>313</v>
      </c>
      <c r="B4501" s="232" t="str">
        <f>IF(AND(A4501&lt;&gt;"",ISNUMBER(A4501)),VLOOKUP(A4501,Studies!A:BR,2,FALSE),"")</f>
        <v>Kirby 2012</v>
      </c>
      <c r="C4501" s="232" t="str">
        <f>IF(AND(A4501&lt;&gt;"",ISNUMBER(A4501)),VLOOKUP(A4501,Studies!A:BR,3,FALSE),"")</f>
        <v>https://www.ncbi.nlm.nih.gov/pubmed/22190694</v>
      </c>
      <c r="D4501" s="232" t="str">
        <f>IF(AND(A4501&lt;&gt;"",ISNUMBER(A4501)),VLOOKUP(A4501,Studies!A:BR,4,FALSE),"")</f>
        <v>Study 1 - Staggered Administration Control</v>
      </c>
      <c r="E4501" s="206" t="str">
        <f>IF(AND(A4501&lt;&gt;"",ISNUMBER(A4501)),VLOOKUP(A4501,Studies!A:BR,5,FALSE),"")</f>
        <v>Digoxin</v>
      </c>
      <c r="F4501" s="207" t="str">
        <f>IF(AND(A4501&lt;&gt;"",ISNUMBER(A4501)),VLOOKUP(A4501,Studies!A:BR,6,FALSE),"")</f>
        <v>Plasma</v>
      </c>
      <c r="G4501" s="50">
        <v>0.75</v>
      </c>
      <c r="H4501" s="50" t="s">
        <v>60</v>
      </c>
      <c r="I4501" s="41">
        <v>0.88711969999999996</v>
      </c>
      <c r="J4501" s="41" t="s">
        <v>1026</v>
      </c>
      <c r="K4501" s="41" t="s">
        <v>116</v>
      </c>
      <c r="L4501" s="52">
        <v>0.74441990000000002</v>
      </c>
      <c r="M4501" s="52" t="s">
        <v>1026</v>
      </c>
      <c r="N4501" s="52" t="s">
        <v>117</v>
      </c>
    </row>
    <row r="4502" spans="1:15" x14ac:dyDescent="0.2">
      <c r="A4502" s="189">
        <v>313</v>
      </c>
      <c r="B4502" s="232" t="str">
        <f>IF(AND(A4502&lt;&gt;"",ISNUMBER(A4502)),VLOOKUP(A4502,Studies!A:BR,2,FALSE),"")</f>
        <v>Kirby 2012</v>
      </c>
      <c r="C4502" s="232" t="str">
        <f>IF(AND(A4502&lt;&gt;"",ISNUMBER(A4502)),VLOOKUP(A4502,Studies!A:BR,3,FALSE),"")</f>
        <v>https://www.ncbi.nlm.nih.gov/pubmed/22190694</v>
      </c>
      <c r="D4502" s="232" t="str">
        <f>IF(AND(A4502&lt;&gt;"",ISNUMBER(A4502)),VLOOKUP(A4502,Studies!A:BR,4,FALSE),"")</f>
        <v>Study 1 - Staggered Administration Control</v>
      </c>
      <c r="E4502" s="206" t="str">
        <f>IF(AND(A4502&lt;&gt;"",ISNUMBER(A4502)),VLOOKUP(A4502,Studies!A:BR,5,FALSE),"")</f>
        <v>Digoxin</v>
      </c>
      <c r="F4502" s="207" t="str">
        <f>IF(AND(A4502&lt;&gt;"",ISNUMBER(A4502)),VLOOKUP(A4502,Studies!A:BR,6,FALSE),"")</f>
        <v>Plasma</v>
      </c>
      <c r="G4502" s="50">
        <v>1</v>
      </c>
      <c r="H4502" s="50" t="s">
        <v>60</v>
      </c>
      <c r="I4502" s="41">
        <v>1.015174</v>
      </c>
      <c r="J4502" s="41" t="s">
        <v>1026</v>
      </c>
      <c r="K4502" s="41" t="s">
        <v>116</v>
      </c>
      <c r="L4502" s="52">
        <v>0.68761030000000001</v>
      </c>
      <c r="M4502" s="52" t="s">
        <v>1026</v>
      </c>
      <c r="N4502" s="52" t="s">
        <v>117</v>
      </c>
    </row>
    <row r="4503" spans="1:15" x14ac:dyDescent="0.2">
      <c r="A4503" s="189">
        <v>313</v>
      </c>
      <c r="B4503" s="232" t="str">
        <f>IF(AND(A4503&lt;&gt;"",ISNUMBER(A4503)),VLOOKUP(A4503,Studies!A:BR,2,FALSE),"")</f>
        <v>Kirby 2012</v>
      </c>
      <c r="C4503" s="232" t="str">
        <f>IF(AND(A4503&lt;&gt;"",ISNUMBER(A4503)),VLOOKUP(A4503,Studies!A:BR,3,FALSE),"")</f>
        <v>https://www.ncbi.nlm.nih.gov/pubmed/22190694</v>
      </c>
      <c r="D4503" s="232" t="str">
        <f>IF(AND(A4503&lt;&gt;"",ISNUMBER(A4503)),VLOOKUP(A4503,Studies!A:BR,4,FALSE),"")</f>
        <v>Study 1 - Staggered Administration Control</v>
      </c>
      <c r="E4503" s="206" t="str">
        <f>IF(AND(A4503&lt;&gt;"",ISNUMBER(A4503)),VLOOKUP(A4503,Studies!A:BR,5,FALSE),"")</f>
        <v>Digoxin</v>
      </c>
      <c r="F4503" s="207" t="str">
        <f>IF(AND(A4503&lt;&gt;"",ISNUMBER(A4503)),VLOOKUP(A4503,Studies!A:BR,6,FALSE),"")</f>
        <v>Plasma</v>
      </c>
      <c r="G4503" s="50">
        <v>1.5</v>
      </c>
      <c r="H4503" s="50" t="s">
        <v>60</v>
      </c>
      <c r="I4503" s="41">
        <v>1.121529</v>
      </c>
      <c r="J4503" s="41" t="s">
        <v>1026</v>
      </c>
      <c r="K4503" s="41" t="s">
        <v>116</v>
      </c>
      <c r="L4503" s="52">
        <v>0.73316440000000005</v>
      </c>
      <c r="M4503" s="52" t="s">
        <v>1026</v>
      </c>
      <c r="N4503" s="52" t="s">
        <v>117</v>
      </c>
    </row>
    <row r="4504" spans="1:15" x14ac:dyDescent="0.2">
      <c r="A4504" s="189">
        <v>313</v>
      </c>
      <c r="B4504" s="232" t="str">
        <f>IF(AND(A4504&lt;&gt;"",ISNUMBER(A4504)),VLOOKUP(A4504,Studies!A:BR,2,FALSE),"")</f>
        <v>Kirby 2012</v>
      </c>
      <c r="C4504" s="232" t="str">
        <f>IF(AND(A4504&lt;&gt;"",ISNUMBER(A4504)),VLOOKUP(A4504,Studies!A:BR,3,FALSE),"")</f>
        <v>https://www.ncbi.nlm.nih.gov/pubmed/22190694</v>
      </c>
      <c r="D4504" s="232" t="str">
        <f>IF(AND(A4504&lt;&gt;"",ISNUMBER(A4504)),VLOOKUP(A4504,Studies!A:BR,4,FALSE),"")</f>
        <v>Study 1 - Staggered Administration Control</v>
      </c>
      <c r="E4504" s="206" t="str">
        <f>IF(AND(A4504&lt;&gt;"",ISNUMBER(A4504)),VLOOKUP(A4504,Studies!A:BR,5,FALSE),"")</f>
        <v>Digoxin</v>
      </c>
      <c r="F4504" s="207" t="str">
        <f>IF(AND(A4504&lt;&gt;"",ISNUMBER(A4504)),VLOOKUP(A4504,Studies!A:BR,6,FALSE),"")</f>
        <v>Plasma</v>
      </c>
      <c r="G4504" s="50">
        <v>2</v>
      </c>
      <c r="H4504" s="50" t="s">
        <v>60</v>
      </c>
      <c r="I4504" s="41">
        <v>1.129996</v>
      </c>
      <c r="J4504" s="41" t="s">
        <v>1026</v>
      </c>
      <c r="K4504" s="41" t="s">
        <v>116</v>
      </c>
      <c r="L4504" s="52">
        <v>0.66094299999999995</v>
      </c>
      <c r="M4504" s="52" t="s">
        <v>1026</v>
      </c>
      <c r="N4504" s="52" t="s">
        <v>117</v>
      </c>
    </row>
    <row r="4505" spans="1:15" x14ac:dyDescent="0.2">
      <c r="A4505" s="189">
        <v>313</v>
      </c>
      <c r="B4505" s="232" t="str">
        <f>IF(AND(A4505&lt;&gt;"",ISNUMBER(A4505)),VLOOKUP(A4505,Studies!A:BR,2,FALSE),"")</f>
        <v>Kirby 2012</v>
      </c>
      <c r="C4505" s="232" t="str">
        <f>IF(AND(A4505&lt;&gt;"",ISNUMBER(A4505)),VLOOKUP(A4505,Studies!A:BR,3,FALSE),"")</f>
        <v>https://www.ncbi.nlm.nih.gov/pubmed/22190694</v>
      </c>
      <c r="D4505" s="232" t="str">
        <f>IF(AND(A4505&lt;&gt;"",ISNUMBER(A4505)),VLOOKUP(A4505,Studies!A:BR,4,FALSE),"")</f>
        <v>Study 1 - Staggered Administration Control</v>
      </c>
      <c r="E4505" s="206" t="str">
        <f>IF(AND(A4505&lt;&gt;"",ISNUMBER(A4505)),VLOOKUP(A4505,Studies!A:BR,5,FALSE),"")</f>
        <v>Digoxin</v>
      </c>
      <c r="F4505" s="207" t="str">
        <f>IF(AND(A4505&lt;&gt;"",ISNUMBER(A4505)),VLOOKUP(A4505,Studies!A:BR,6,FALSE),"")</f>
        <v>Plasma</v>
      </c>
      <c r="G4505" s="50">
        <v>3</v>
      </c>
      <c r="H4505" s="50" t="s">
        <v>60</v>
      </c>
      <c r="I4505" s="41">
        <v>0.90798540000000005</v>
      </c>
      <c r="J4505" s="41" t="s">
        <v>1026</v>
      </c>
      <c r="K4505" s="41" t="s">
        <v>116</v>
      </c>
      <c r="L4505" s="52">
        <v>0.34095130000000001</v>
      </c>
      <c r="M4505" s="52" t="s">
        <v>1026</v>
      </c>
      <c r="N4505" s="52" t="s">
        <v>117</v>
      </c>
    </row>
    <row r="4506" spans="1:15" x14ac:dyDescent="0.2">
      <c r="A4506" s="189">
        <v>313</v>
      </c>
      <c r="B4506" s="232" t="str">
        <f>IF(AND(A4506&lt;&gt;"",ISNUMBER(A4506)),VLOOKUP(A4506,Studies!A:BR,2,FALSE),"")</f>
        <v>Kirby 2012</v>
      </c>
      <c r="C4506" s="232" t="str">
        <f>IF(AND(A4506&lt;&gt;"",ISNUMBER(A4506)),VLOOKUP(A4506,Studies!A:BR,3,FALSE),"")</f>
        <v>https://www.ncbi.nlm.nih.gov/pubmed/22190694</v>
      </c>
      <c r="D4506" s="232" t="str">
        <f>IF(AND(A4506&lt;&gt;"",ISNUMBER(A4506)),VLOOKUP(A4506,Studies!A:BR,4,FALSE),"")</f>
        <v>Study 1 - Staggered Administration Control</v>
      </c>
      <c r="E4506" s="206" t="str">
        <f>IF(AND(A4506&lt;&gt;"",ISNUMBER(A4506)),VLOOKUP(A4506,Studies!A:BR,5,FALSE),"")</f>
        <v>Digoxin</v>
      </c>
      <c r="F4506" s="207" t="str">
        <f>IF(AND(A4506&lt;&gt;"",ISNUMBER(A4506)),VLOOKUP(A4506,Studies!A:BR,6,FALSE),"")</f>
        <v>Plasma</v>
      </c>
      <c r="G4506" s="50">
        <v>4</v>
      </c>
      <c r="H4506" s="50" t="s">
        <v>60</v>
      </c>
      <c r="I4506" s="41">
        <v>0.58988759999999996</v>
      </c>
      <c r="J4506" s="41" t="s">
        <v>1026</v>
      </c>
      <c r="K4506" s="41" t="s">
        <v>116</v>
      </c>
      <c r="L4506" s="52">
        <v>0.13970560000000001</v>
      </c>
      <c r="M4506" s="52" t="s">
        <v>1026</v>
      </c>
      <c r="N4506" s="52" t="s">
        <v>117</v>
      </c>
    </row>
    <row r="4507" spans="1:15" x14ac:dyDescent="0.2">
      <c r="A4507" s="189">
        <v>313</v>
      </c>
      <c r="B4507" s="232" t="str">
        <f>IF(AND(A4507&lt;&gt;"",ISNUMBER(A4507)),VLOOKUP(A4507,Studies!A:BR,2,FALSE),"")</f>
        <v>Kirby 2012</v>
      </c>
      <c r="C4507" s="232" t="str">
        <f>IF(AND(A4507&lt;&gt;"",ISNUMBER(A4507)),VLOOKUP(A4507,Studies!A:BR,3,FALSE),"")</f>
        <v>https://www.ncbi.nlm.nih.gov/pubmed/22190694</v>
      </c>
      <c r="D4507" s="232" t="str">
        <f>IF(AND(A4507&lt;&gt;"",ISNUMBER(A4507)),VLOOKUP(A4507,Studies!A:BR,4,FALSE),"")</f>
        <v>Study 1 - Staggered Administration Control</v>
      </c>
      <c r="E4507" s="206" t="str">
        <f>IF(AND(A4507&lt;&gt;"",ISNUMBER(A4507)),VLOOKUP(A4507,Studies!A:BR,5,FALSE),"")</f>
        <v>Digoxin</v>
      </c>
      <c r="F4507" s="207" t="str">
        <f>IF(AND(A4507&lt;&gt;"",ISNUMBER(A4507)),VLOOKUP(A4507,Studies!A:BR,6,FALSE),"")</f>
        <v>Plasma</v>
      </c>
      <c r="G4507" s="50">
        <v>5</v>
      </c>
      <c r="H4507" s="50" t="s">
        <v>60</v>
      </c>
      <c r="I4507" s="41">
        <v>0.45426539999999999</v>
      </c>
      <c r="J4507" s="41" t="s">
        <v>1026</v>
      </c>
      <c r="K4507" s="41" t="s">
        <v>116</v>
      </c>
      <c r="L4507" s="52">
        <v>0.14034530000000001</v>
      </c>
      <c r="M4507" s="52" t="s">
        <v>1026</v>
      </c>
      <c r="N4507" s="52" t="s">
        <v>117</v>
      </c>
    </row>
    <row r="4508" spans="1:15" x14ac:dyDescent="0.2">
      <c r="A4508" s="189">
        <v>313</v>
      </c>
      <c r="B4508" s="232" t="str">
        <f>IF(AND(A4508&lt;&gt;"",ISNUMBER(A4508)),VLOOKUP(A4508,Studies!A:BR,2,FALSE),"")</f>
        <v>Kirby 2012</v>
      </c>
      <c r="C4508" s="232" t="str">
        <f>IF(AND(A4508&lt;&gt;"",ISNUMBER(A4508)),VLOOKUP(A4508,Studies!A:BR,3,FALSE),"")</f>
        <v>https://www.ncbi.nlm.nih.gov/pubmed/22190694</v>
      </c>
      <c r="D4508" s="232" t="str">
        <f>IF(AND(A4508&lt;&gt;"",ISNUMBER(A4508)),VLOOKUP(A4508,Studies!A:BR,4,FALSE),"")</f>
        <v>Study 1 - Staggered Administration Control</v>
      </c>
      <c r="E4508" s="206" t="str">
        <f>IF(AND(A4508&lt;&gt;"",ISNUMBER(A4508)),VLOOKUP(A4508,Studies!A:BR,5,FALSE),"")</f>
        <v>Digoxin</v>
      </c>
      <c r="F4508" s="207" t="str">
        <f>IF(AND(A4508&lt;&gt;"",ISNUMBER(A4508)),VLOOKUP(A4508,Studies!A:BR,6,FALSE),"")</f>
        <v>Plasma</v>
      </c>
      <c r="G4508" s="50">
        <v>6</v>
      </c>
      <c r="H4508" s="50" t="s">
        <v>60</v>
      </c>
      <c r="I4508" s="41">
        <v>0.36760769999999998</v>
      </c>
      <c r="J4508" s="41" t="s">
        <v>1026</v>
      </c>
      <c r="K4508" s="41" t="s">
        <v>116</v>
      </c>
      <c r="L4508" s="52">
        <v>0.13092790000000001</v>
      </c>
      <c r="M4508" s="52" t="s">
        <v>1026</v>
      </c>
      <c r="N4508" s="52" t="s">
        <v>117</v>
      </c>
    </row>
    <row r="4509" spans="1:15" x14ac:dyDescent="0.2">
      <c r="A4509" s="189">
        <v>313</v>
      </c>
      <c r="B4509" s="232" t="str">
        <f>IF(AND(A4509&lt;&gt;"",ISNUMBER(A4509)),VLOOKUP(A4509,Studies!A:BR,2,FALSE),"")</f>
        <v>Kirby 2012</v>
      </c>
      <c r="C4509" s="232" t="str">
        <f>IF(AND(A4509&lt;&gt;"",ISNUMBER(A4509)),VLOOKUP(A4509,Studies!A:BR,3,FALSE),"")</f>
        <v>https://www.ncbi.nlm.nih.gov/pubmed/22190694</v>
      </c>
      <c r="D4509" s="232" t="str">
        <f>IF(AND(A4509&lt;&gt;"",ISNUMBER(A4509)),VLOOKUP(A4509,Studies!A:BR,4,FALSE),"")</f>
        <v>Study 1 - Staggered Administration Control</v>
      </c>
      <c r="E4509" s="206" t="str">
        <f>IF(AND(A4509&lt;&gt;"",ISNUMBER(A4509)),VLOOKUP(A4509,Studies!A:BR,5,FALSE),"")</f>
        <v>Digoxin</v>
      </c>
      <c r="F4509" s="207" t="str">
        <f>IF(AND(A4509&lt;&gt;"",ISNUMBER(A4509)),VLOOKUP(A4509,Studies!A:BR,6,FALSE),"")</f>
        <v>Plasma</v>
      </c>
      <c r="G4509" s="50">
        <v>8</v>
      </c>
      <c r="H4509" s="50" t="s">
        <v>60</v>
      </c>
      <c r="I4509" s="41">
        <v>0.33585660000000001</v>
      </c>
      <c r="J4509" s="41" t="s">
        <v>1026</v>
      </c>
      <c r="K4509" s="41" t="s">
        <v>116</v>
      </c>
      <c r="L4509" s="52">
        <v>0.1393945</v>
      </c>
      <c r="M4509" s="52" t="s">
        <v>1026</v>
      </c>
      <c r="N4509" s="52" t="s">
        <v>117</v>
      </c>
    </row>
    <row r="4510" spans="1:15" x14ac:dyDescent="0.2">
      <c r="A4510" s="189">
        <v>313</v>
      </c>
      <c r="B4510" s="232" t="str">
        <f>IF(AND(A4510&lt;&gt;"",ISNUMBER(A4510)),VLOOKUP(A4510,Studies!A:BR,2,FALSE),"")</f>
        <v>Kirby 2012</v>
      </c>
      <c r="C4510" s="232" t="str">
        <f>IF(AND(A4510&lt;&gt;"",ISNUMBER(A4510)),VLOOKUP(A4510,Studies!A:BR,3,FALSE),"")</f>
        <v>https://www.ncbi.nlm.nih.gov/pubmed/22190694</v>
      </c>
      <c r="D4510" s="232" t="str">
        <f>IF(AND(A4510&lt;&gt;"",ISNUMBER(A4510)),VLOOKUP(A4510,Studies!A:BR,4,FALSE),"")</f>
        <v>Study 1 - Staggered Administration Control</v>
      </c>
      <c r="E4510" s="206" t="str">
        <f>IF(AND(A4510&lt;&gt;"",ISNUMBER(A4510)),VLOOKUP(A4510,Studies!A:BR,5,FALSE),"")</f>
        <v>Digoxin</v>
      </c>
      <c r="F4510" s="207" t="str">
        <f>IF(AND(A4510&lt;&gt;"",ISNUMBER(A4510)),VLOOKUP(A4510,Studies!A:BR,6,FALSE),"")</f>
        <v>Plasma</v>
      </c>
      <c r="G4510" s="50">
        <v>12</v>
      </c>
      <c r="H4510" s="50" t="s">
        <v>60</v>
      </c>
      <c r="I4510" s="41">
        <v>0.28645419999999999</v>
      </c>
      <c r="J4510" s="41" t="s">
        <v>1026</v>
      </c>
      <c r="K4510" s="41" t="s">
        <v>116</v>
      </c>
      <c r="L4510" s="52">
        <v>9.0846060000000006E-2</v>
      </c>
      <c r="M4510" s="52" t="s">
        <v>1026</v>
      </c>
      <c r="N4510" s="52" t="s">
        <v>117</v>
      </c>
    </row>
    <row r="4511" spans="1:15" x14ac:dyDescent="0.2">
      <c r="A4511" s="189">
        <v>313</v>
      </c>
      <c r="B4511" s="232" t="str">
        <f>IF(AND(A4511&lt;&gt;"",ISNUMBER(A4511)),VLOOKUP(A4511,Studies!A:BR,2,FALSE),"")</f>
        <v>Kirby 2012</v>
      </c>
      <c r="C4511" s="232" t="str">
        <f>IF(AND(A4511&lt;&gt;"",ISNUMBER(A4511)),VLOOKUP(A4511,Studies!A:BR,3,FALSE),"")</f>
        <v>https://www.ncbi.nlm.nih.gov/pubmed/22190694</v>
      </c>
      <c r="D4511" s="232" t="str">
        <f>IF(AND(A4511&lt;&gt;"",ISNUMBER(A4511)),VLOOKUP(A4511,Studies!A:BR,4,FALSE),"")</f>
        <v>Study 1 - Staggered Administration Control</v>
      </c>
      <c r="E4511" s="206" t="str">
        <f>IF(AND(A4511&lt;&gt;"",ISNUMBER(A4511)),VLOOKUP(A4511,Studies!A:BR,5,FALSE),"")</f>
        <v>Digoxin</v>
      </c>
      <c r="F4511" s="207" t="str">
        <f>IF(AND(A4511&lt;&gt;"",ISNUMBER(A4511)),VLOOKUP(A4511,Studies!A:BR,6,FALSE),"")</f>
        <v>Plasma</v>
      </c>
      <c r="G4511" s="50">
        <v>23</v>
      </c>
      <c r="H4511" s="50" t="s">
        <v>60</v>
      </c>
      <c r="I4511" s="41">
        <v>0.25404339999999997</v>
      </c>
      <c r="J4511" s="41" t="s">
        <v>1026</v>
      </c>
      <c r="K4511" s="41" t="s">
        <v>116</v>
      </c>
      <c r="L4511" s="52">
        <v>9.0155750000000007E-2</v>
      </c>
      <c r="M4511" s="52" t="s">
        <v>1026</v>
      </c>
      <c r="N4511" s="52" t="s">
        <v>117</v>
      </c>
    </row>
    <row r="4512" spans="1:15" x14ac:dyDescent="0.2">
      <c r="A4512" s="189">
        <v>313</v>
      </c>
      <c r="B4512" s="232" t="str">
        <f>IF(AND(A4512&lt;&gt;"",ISNUMBER(A4512)),VLOOKUP(A4512,Studies!A:BR,2,FALSE),"")</f>
        <v>Kirby 2012</v>
      </c>
      <c r="C4512" s="232" t="str">
        <f>IF(AND(A4512&lt;&gt;"",ISNUMBER(A4512)),VLOOKUP(A4512,Studies!A:BR,3,FALSE),"")</f>
        <v>https://www.ncbi.nlm.nih.gov/pubmed/22190694</v>
      </c>
      <c r="D4512" s="232" t="str">
        <f>IF(AND(A4512&lt;&gt;"",ISNUMBER(A4512)),VLOOKUP(A4512,Studies!A:BR,4,FALSE),"")</f>
        <v>Study 1 - Staggered Administration Control</v>
      </c>
      <c r="E4512" s="206" t="str">
        <f>IF(AND(A4512&lt;&gt;"",ISNUMBER(A4512)),VLOOKUP(A4512,Studies!A:BR,5,FALSE),"")</f>
        <v>Digoxin</v>
      </c>
      <c r="F4512" s="207" t="str">
        <f>IF(AND(A4512&lt;&gt;"",ISNUMBER(A4512)),VLOOKUP(A4512,Studies!A:BR,6,FALSE),"")</f>
        <v>Plasma</v>
      </c>
      <c r="G4512" s="50">
        <v>26</v>
      </c>
      <c r="H4512" s="50" t="s">
        <v>60</v>
      </c>
      <c r="I4512" s="41">
        <v>0.2069907</v>
      </c>
      <c r="J4512" s="41" t="s">
        <v>1026</v>
      </c>
      <c r="K4512" s="41" t="s">
        <v>116</v>
      </c>
      <c r="L4512" s="52">
        <v>6.7577529999999997E-2</v>
      </c>
      <c r="M4512" s="52" t="s">
        <v>1026</v>
      </c>
      <c r="N4512" s="52" t="s">
        <v>117</v>
      </c>
    </row>
    <row r="4513" spans="1:14" x14ac:dyDescent="0.2">
      <c r="A4513" s="189">
        <v>313</v>
      </c>
      <c r="B4513" s="232" t="str">
        <f>IF(AND(A4513&lt;&gt;"",ISNUMBER(A4513)),VLOOKUP(A4513,Studies!A:BR,2,FALSE),"")</f>
        <v>Kirby 2012</v>
      </c>
      <c r="C4513" s="232" t="str">
        <f>IF(AND(A4513&lt;&gt;"",ISNUMBER(A4513)),VLOOKUP(A4513,Studies!A:BR,3,FALSE),"")</f>
        <v>https://www.ncbi.nlm.nih.gov/pubmed/22190694</v>
      </c>
      <c r="D4513" s="232" t="str">
        <f>IF(AND(A4513&lt;&gt;"",ISNUMBER(A4513)),VLOOKUP(A4513,Studies!A:BR,4,FALSE),"")</f>
        <v>Study 1 - Staggered Administration Control</v>
      </c>
      <c r="E4513" s="206" t="str">
        <f>IF(AND(A4513&lt;&gt;"",ISNUMBER(A4513)),VLOOKUP(A4513,Studies!A:BR,5,FALSE),"")</f>
        <v>Digoxin</v>
      </c>
      <c r="F4513" s="207" t="str">
        <f>IF(AND(A4513&lt;&gt;"",ISNUMBER(A4513)),VLOOKUP(A4513,Studies!A:BR,6,FALSE),"")</f>
        <v>Plasma</v>
      </c>
      <c r="G4513" s="50">
        <v>28</v>
      </c>
      <c r="H4513" s="50" t="s">
        <v>60</v>
      </c>
      <c r="I4513" s="41">
        <v>0.2040873</v>
      </c>
      <c r="J4513" s="41" t="s">
        <v>1026</v>
      </c>
      <c r="K4513" s="41" t="s">
        <v>116</v>
      </c>
      <c r="L4513" s="52">
        <v>6.2832250000000006E-2</v>
      </c>
      <c r="M4513" s="52" t="s">
        <v>1026</v>
      </c>
      <c r="N4513" s="52" t="s">
        <v>117</v>
      </c>
    </row>
    <row r="4514" spans="1:14" x14ac:dyDescent="0.2">
      <c r="A4514" s="189">
        <v>313</v>
      </c>
      <c r="B4514" s="232" t="str">
        <f>IF(AND(A4514&lt;&gt;"",ISNUMBER(A4514)),VLOOKUP(A4514,Studies!A:BR,2,FALSE),"")</f>
        <v>Kirby 2012</v>
      </c>
      <c r="C4514" s="232" t="str">
        <f>IF(AND(A4514&lt;&gt;"",ISNUMBER(A4514)),VLOOKUP(A4514,Studies!A:BR,3,FALSE),"")</f>
        <v>https://www.ncbi.nlm.nih.gov/pubmed/22190694</v>
      </c>
      <c r="D4514" s="232" t="str">
        <f>IF(AND(A4514&lt;&gt;"",ISNUMBER(A4514)),VLOOKUP(A4514,Studies!A:BR,4,FALSE),"")</f>
        <v>Study 1 - Staggered Administration Control</v>
      </c>
      <c r="E4514" s="206" t="str">
        <f>IF(AND(A4514&lt;&gt;"",ISNUMBER(A4514)),VLOOKUP(A4514,Studies!A:BR,5,FALSE),"")</f>
        <v>Digoxin</v>
      </c>
      <c r="F4514" s="207" t="str">
        <f>IF(AND(A4514&lt;&gt;"",ISNUMBER(A4514)),VLOOKUP(A4514,Studies!A:BR,6,FALSE),"")</f>
        <v>Plasma</v>
      </c>
      <c r="G4514" s="50">
        <v>30</v>
      </c>
      <c r="H4514" s="50" t="s">
        <v>60</v>
      </c>
      <c r="I4514" s="41">
        <v>0.20265089999999999</v>
      </c>
      <c r="J4514" s="41" t="s">
        <v>1026</v>
      </c>
      <c r="K4514" s="41" t="s">
        <v>116</v>
      </c>
      <c r="L4514" s="52">
        <v>4.9604509999999997E-2</v>
      </c>
      <c r="M4514" s="52" t="s">
        <v>1026</v>
      </c>
      <c r="N4514" s="52" t="s">
        <v>117</v>
      </c>
    </row>
    <row r="4515" spans="1:14" x14ac:dyDescent="0.2">
      <c r="A4515" s="189">
        <v>313</v>
      </c>
      <c r="B4515" s="232" t="str">
        <f>IF(AND(A4515&lt;&gt;"",ISNUMBER(A4515)),VLOOKUP(A4515,Studies!A:BR,2,FALSE),"")</f>
        <v>Kirby 2012</v>
      </c>
      <c r="C4515" s="232" t="str">
        <f>IF(AND(A4515&lt;&gt;"",ISNUMBER(A4515)),VLOOKUP(A4515,Studies!A:BR,3,FALSE),"")</f>
        <v>https://www.ncbi.nlm.nih.gov/pubmed/22190694</v>
      </c>
      <c r="D4515" s="232" t="str">
        <f>IF(AND(A4515&lt;&gt;"",ISNUMBER(A4515)),VLOOKUP(A4515,Studies!A:BR,4,FALSE),"")</f>
        <v>Study 1 - Staggered Administration Control</v>
      </c>
      <c r="E4515" s="206" t="str">
        <f>IF(AND(A4515&lt;&gt;"",ISNUMBER(A4515)),VLOOKUP(A4515,Studies!A:BR,5,FALSE),"")</f>
        <v>Digoxin</v>
      </c>
      <c r="F4515" s="207" t="str">
        <f>IF(AND(A4515&lt;&gt;"",ISNUMBER(A4515)),VLOOKUP(A4515,Studies!A:BR,6,FALSE),"")</f>
        <v>Plasma</v>
      </c>
      <c r="G4515" s="50">
        <v>34</v>
      </c>
      <c r="H4515" s="50" t="s">
        <v>60</v>
      </c>
      <c r="I4515" s="41">
        <v>0.18357080000000001</v>
      </c>
      <c r="J4515" s="41" t="s">
        <v>1026</v>
      </c>
      <c r="K4515" s="41" t="s">
        <v>116</v>
      </c>
      <c r="L4515" s="52">
        <v>4.4934200000000001E-2</v>
      </c>
      <c r="M4515" s="52" t="s">
        <v>1026</v>
      </c>
      <c r="N4515" s="52" t="s">
        <v>117</v>
      </c>
    </row>
    <row r="4516" spans="1:14" x14ac:dyDescent="0.2">
      <c r="A4516" s="189">
        <v>313</v>
      </c>
      <c r="B4516" s="232" t="str">
        <f>IF(AND(A4516&lt;&gt;"",ISNUMBER(A4516)),VLOOKUP(A4516,Studies!A:BR,2,FALSE),"")</f>
        <v>Kirby 2012</v>
      </c>
      <c r="C4516" s="232" t="str">
        <f>IF(AND(A4516&lt;&gt;"",ISNUMBER(A4516)),VLOOKUP(A4516,Studies!A:BR,3,FALSE),"")</f>
        <v>https://www.ncbi.nlm.nih.gov/pubmed/22190694</v>
      </c>
      <c r="D4516" s="232" t="str">
        <f>IF(AND(A4516&lt;&gt;"",ISNUMBER(A4516)),VLOOKUP(A4516,Studies!A:BR,4,FALSE),"")</f>
        <v>Study 1 - Staggered Administration Control</v>
      </c>
      <c r="E4516" s="206" t="str">
        <f>IF(AND(A4516&lt;&gt;"",ISNUMBER(A4516)),VLOOKUP(A4516,Studies!A:BR,5,FALSE),"")</f>
        <v>Digoxin</v>
      </c>
      <c r="F4516" s="207" t="str">
        <f>IF(AND(A4516&lt;&gt;"",ISNUMBER(A4516)),VLOOKUP(A4516,Studies!A:BR,6,FALSE),"")</f>
        <v>Plasma</v>
      </c>
      <c r="G4516" s="50">
        <v>47</v>
      </c>
      <c r="H4516" s="50" t="s">
        <v>60</v>
      </c>
      <c r="I4516" s="41">
        <v>0.18227879999999999</v>
      </c>
      <c r="J4516" s="41" t="s">
        <v>1026</v>
      </c>
      <c r="K4516" s="41" t="s">
        <v>116</v>
      </c>
      <c r="L4516" s="52">
        <v>6.1223510000000002E-2</v>
      </c>
      <c r="M4516" s="52" t="s">
        <v>1026</v>
      </c>
      <c r="N4516" s="52" t="s">
        <v>117</v>
      </c>
    </row>
    <row r="4517" spans="1:14" x14ac:dyDescent="0.2">
      <c r="A4517" s="189">
        <v>314</v>
      </c>
      <c r="B4517" s="232" t="str">
        <f>IF(AND(A4517&lt;&gt;"",ISNUMBER(A4517)),VLOOKUP(A4517,Studies!A:BR,2,FALSE),"")</f>
        <v>Kirby 2012</v>
      </c>
      <c r="C4517" s="232" t="str">
        <f>IF(AND(A4517&lt;&gt;"",ISNUMBER(A4517)),VLOOKUP(A4517,Studies!A:BR,3,FALSE),"")</f>
        <v>https://www.ncbi.nlm.nih.gov/pubmed/22190694</v>
      </c>
      <c r="D4517" s="232" t="str">
        <f>IF(AND(A4517&lt;&gt;"",ISNUMBER(A4517)),VLOOKUP(A4517,Studies!A:BR,4,FALSE),"")</f>
        <v>Study 1 - Staggered Administration with RIF</v>
      </c>
      <c r="E4517" s="206" t="str">
        <f>IF(AND(A4517&lt;&gt;"",ISNUMBER(A4517)),VLOOKUP(A4517,Studies!A:BR,5,FALSE),"")</f>
        <v>Digoxin</v>
      </c>
      <c r="F4517" s="207" t="str">
        <f>IF(AND(A4517&lt;&gt;"",ISNUMBER(A4517)),VLOOKUP(A4517,Studies!A:BR,6,FALSE),"")</f>
        <v>Plasma</v>
      </c>
      <c r="G4517" s="50">
        <v>324.25</v>
      </c>
      <c r="H4517" s="50" t="s">
        <v>60</v>
      </c>
      <c r="I4517" s="41">
        <v>0.22116279999999999</v>
      </c>
      <c r="J4517" s="41" t="s">
        <v>1026</v>
      </c>
      <c r="K4517" s="41" t="s">
        <v>116</v>
      </c>
      <c r="L4517" s="52">
        <v>4.2856159999999997E-2</v>
      </c>
      <c r="M4517" s="52" t="s">
        <v>1026</v>
      </c>
      <c r="N4517" s="52" t="s">
        <v>117</v>
      </c>
    </row>
    <row r="4518" spans="1:14" x14ac:dyDescent="0.2">
      <c r="A4518" s="189">
        <v>314</v>
      </c>
      <c r="B4518" s="232" t="str">
        <f>IF(AND(A4518&lt;&gt;"",ISNUMBER(A4518)),VLOOKUP(A4518,Studies!A:BR,2,FALSE),"")</f>
        <v>Kirby 2012</v>
      </c>
      <c r="C4518" s="232" t="str">
        <f>IF(AND(A4518&lt;&gt;"",ISNUMBER(A4518)),VLOOKUP(A4518,Studies!A:BR,3,FALSE),"")</f>
        <v>https://www.ncbi.nlm.nih.gov/pubmed/22190694</v>
      </c>
      <c r="D4518" s="232" t="str">
        <f>IF(AND(A4518&lt;&gt;"",ISNUMBER(A4518)),VLOOKUP(A4518,Studies!A:BR,4,FALSE),"")</f>
        <v>Study 1 - Staggered Administration with RIF</v>
      </c>
      <c r="E4518" s="206" t="str">
        <f>IF(AND(A4518&lt;&gt;"",ISNUMBER(A4518)),VLOOKUP(A4518,Studies!A:BR,5,FALSE),"")</f>
        <v>Digoxin</v>
      </c>
      <c r="F4518" s="207" t="str">
        <f>IF(AND(A4518&lt;&gt;"",ISNUMBER(A4518)),VLOOKUP(A4518,Studies!A:BR,6,FALSE),"")</f>
        <v>Plasma</v>
      </c>
      <c r="G4518" s="50">
        <v>324.5</v>
      </c>
      <c r="H4518" s="50" t="s">
        <v>60</v>
      </c>
      <c r="I4518" s="41">
        <v>0.27750710000000001</v>
      </c>
      <c r="J4518" s="41" t="s">
        <v>1026</v>
      </c>
      <c r="K4518" s="41" t="s">
        <v>116</v>
      </c>
      <c r="L4518" s="52">
        <v>0.3189535</v>
      </c>
      <c r="M4518" s="52" t="s">
        <v>1026</v>
      </c>
      <c r="N4518" s="52" t="s">
        <v>117</v>
      </c>
    </row>
    <row r="4519" spans="1:14" x14ac:dyDescent="0.2">
      <c r="A4519" s="189">
        <v>314</v>
      </c>
      <c r="B4519" s="232" t="str">
        <f>IF(AND(A4519&lt;&gt;"",ISNUMBER(A4519)),VLOOKUP(A4519,Studies!A:BR,2,FALSE),"")</f>
        <v>Kirby 2012</v>
      </c>
      <c r="C4519" s="232" t="str">
        <f>IF(AND(A4519&lt;&gt;"",ISNUMBER(A4519)),VLOOKUP(A4519,Studies!A:BR,3,FALSE),"")</f>
        <v>https://www.ncbi.nlm.nih.gov/pubmed/22190694</v>
      </c>
      <c r="D4519" s="232" t="str">
        <f>IF(AND(A4519&lt;&gt;"",ISNUMBER(A4519)),VLOOKUP(A4519,Studies!A:BR,4,FALSE),"")</f>
        <v>Study 1 - Staggered Administration with RIF</v>
      </c>
      <c r="E4519" s="206" t="str">
        <f>IF(AND(A4519&lt;&gt;"",ISNUMBER(A4519)),VLOOKUP(A4519,Studies!A:BR,5,FALSE),"")</f>
        <v>Digoxin</v>
      </c>
      <c r="F4519" s="207" t="str">
        <f>IF(AND(A4519&lt;&gt;"",ISNUMBER(A4519)),VLOOKUP(A4519,Studies!A:BR,6,FALSE),"")</f>
        <v>Plasma</v>
      </c>
      <c r="G4519" s="50">
        <v>324.75</v>
      </c>
      <c r="H4519" s="50" t="s">
        <v>60</v>
      </c>
      <c r="I4519" s="41">
        <v>0.38179000000000002</v>
      </c>
      <c r="J4519" s="41" t="s">
        <v>1026</v>
      </c>
      <c r="K4519" s="41" t="s">
        <v>116</v>
      </c>
      <c r="L4519" s="52">
        <v>0.42726560000000002</v>
      </c>
      <c r="M4519" s="52" t="s">
        <v>1026</v>
      </c>
      <c r="N4519" s="52" t="s">
        <v>117</v>
      </c>
    </row>
    <row r="4520" spans="1:14" x14ac:dyDescent="0.2">
      <c r="A4520" s="189">
        <v>314</v>
      </c>
      <c r="B4520" s="232" t="str">
        <f>IF(AND(A4520&lt;&gt;"",ISNUMBER(A4520)),VLOOKUP(A4520,Studies!A:BR,2,FALSE),"")</f>
        <v>Kirby 2012</v>
      </c>
      <c r="C4520" s="232" t="str">
        <f>IF(AND(A4520&lt;&gt;"",ISNUMBER(A4520)),VLOOKUP(A4520,Studies!A:BR,3,FALSE),"")</f>
        <v>https://www.ncbi.nlm.nih.gov/pubmed/22190694</v>
      </c>
      <c r="D4520" s="232" t="str">
        <f>IF(AND(A4520&lt;&gt;"",ISNUMBER(A4520)),VLOOKUP(A4520,Studies!A:BR,4,FALSE),"")</f>
        <v>Study 1 - Staggered Administration with RIF</v>
      </c>
      <c r="E4520" s="206" t="str">
        <f>IF(AND(A4520&lt;&gt;"",ISNUMBER(A4520)),VLOOKUP(A4520,Studies!A:BR,5,FALSE),"")</f>
        <v>Digoxin</v>
      </c>
      <c r="F4520" s="207" t="str">
        <f>IF(AND(A4520&lt;&gt;"",ISNUMBER(A4520)),VLOOKUP(A4520,Studies!A:BR,6,FALSE),"")</f>
        <v>Plasma</v>
      </c>
      <c r="G4520" s="50">
        <v>325</v>
      </c>
      <c r="H4520" s="50" t="s">
        <v>60</v>
      </c>
      <c r="I4520" s="41">
        <v>0.52901419999999999</v>
      </c>
      <c r="J4520" s="41" t="s">
        <v>1026</v>
      </c>
      <c r="K4520" s="41" t="s">
        <v>116</v>
      </c>
      <c r="L4520" s="52">
        <v>0.34582629999999998</v>
      </c>
      <c r="M4520" s="52" t="s">
        <v>1026</v>
      </c>
      <c r="N4520" s="52" t="s">
        <v>117</v>
      </c>
    </row>
    <row r="4521" spans="1:14" x14ac:dyDescent="0.2">
      <c r="A4521" s="189">
        <v>314</v>
      </c>
      <c r="B4521" s="232" t="str">
        <f>IF(AND(A4521&lt;&gt;"",ISNUMBER(A4521)),VLOOKUP(A4521,Studies!A:BR,2,FALSE),"")</f>
        <v>Kirby 2012</v>
      </c>
      <c r="C4521" s="232" t="str">
        <f>IF(AND(A4521&lt;&gt;"",ISNUMBER(A4521)),VLOOKUP(A4521,Studies!A:BR,3,FALSE),"")</f>
        <v>https://www.ncbi.nlm.nih.gov/pubmed/22190694</v>
      </c>
      <c r="D4521" s="232" t="str">
        <f>IF(AND(A4521&lt;&gt;"",ISNUMBER(A4521)),VLOOKUP(A4521,Studies!A:BR,4,FALSE),"")</f>
        <v>Study 1 - Staggered Administration with RIF</v>
      </c>
      <c r="E4521" s="206" t="str">
        <f>IF(AND(A4521&lt;&gt;"",ISNUMBER(A4521)),VLOOKUP(A4521,Studies!A:BR,5,FALSE),"")</f>
        <v>Digoxin</v>
      </c>
      <c r="F4521" s="207" t="str">
        <f>IF(AND(A4521&lt;&gt;"",ISNUMBER(A4521)),VLOOKUP(A4521,Studies!A:BR,6,FALSE),"")</f>
        <v>Plasma</v>
      </c>
      <c r="G4521" s="50">
        <v>325.5</v>
      </c>
      <c r="H4521" s="50" t="s">
        <v>60</v>
      </c>
      <c r="I4521" s="41">
        <v>0.79820500000000005</v>
      </c>
      <c r="J4521" s="41" t="s">
        <v>1026</v>
      </c>
      <c r="K4521" s="41" t="s">
        <v>116</v>
      </c>
      <c r="L4521" s="52">
        <v>0.2766479</v>
      </c>
      <c r="M4521" s="52" t="s">
        <v>1026</v>
      </c>
      <c r="N4521" s="52" t="s">
        <v>117</v>
      </c>
    </row>
    <row r="4522" spans="1:14" x14ac:dyDescent="0.2">
      <c r="A4522" s="189">
        <v>314</v>
      </c>
      <c r="B4522" s="232" t="str">
        <f>IF(AND(A4522&lt;&gt;"",ISNUMBER(A4522)),VLOOKUP(A4522,Studies!A:BR,2,FALSE),"")</f>
        <v>Kirby 2012</v>
      </c>
      <c r="C4522" s="232" t="str">
        <f>IF(AND(A4522&lt;&gt;"",ISNUMBER(A4522)),VLOOKUP(A4522,Studies!A:BR,3,FALSE),"")</f>
        <v>https://www.ncbi.nlm.nih.gov/pubmed/22190694</v>
      </c>
      <c r="D4522" s="232" t="str">
        <f>IF(AND(A4522&lt;&gt;"",ISNUMBER(A4522)),VLOOKUP(A4522,Studies!A:BR,4,FALSE),"")</f>
        <v>Study 1 - Staggered Administration with RIF</v>
      </c>
      <c r="E4522" s="206" t="str">
        <f>IF(AND(A4522&lt;&gt;"",ISNUMBER(A4522)),VLOOKUP(A4522,Studies!A:BR,5,FALSE),"")</f>
        <v>Digoxin</v>
      </c>
      <c r="F4522" s="207" t="str">
        <f>IF(AND(A4522&lt;&gt;"",ISNUMBER(A4522)),VLOOKUP(A4522,Studies!A:BR,6,FALSE),"")</f>
        <v>Plasma</v>
      </c>
      <c r="G4522" s="50">
        <v>326</v>
      </c>
      <c r="H4522" s="50" t="s">
        <v>60</v>
      </c>
      <c r="I4522" s="41">
        <v>0.78733160000000002</v>
      </c>
      <c r="J4522" s="41" t="s">
        <v>1026</v>
      </c>
      <c r="K4522" s="41" t="s">
        <v>116</v>
      </c>
      <c r="L4522" s="52">
        <v>0.40011859999999999</v>
      </c>
      <c r="M4522" s="52" t="s">
        <v>1026</v>
      </c>
      <c r="N4522" s="52" t="s">
        <v>117</v>
      </c>
    </row>
    <row r="4523" spans="1:14" x14ac:dyDescent="0.2">
      <c r="A4523" s="189">
        <v>314</v>
      </c>
      <c r="B4523" s="232" t="str">
        <f>IF(AND(A4523&lt;&gt;"",ISNUMBER(A4523)),VLOOKUP(A4523,Studies!A:BR,2,FALSE),"")</f>
        <v>Kirby 2012</v>
      </c>
      <c r="C4523" s="232" t="str">
        <f>IF(AND(A4523&lt;&gt;"",ISNUMBER(A4523)),VLOOKUP(A4523,Studies!A:BR,3,FALSE),"")</f>
        <v>https://www.ncbi.nlm.nih.gov/pubmed/22190694</v>
      </c>
      <c r="D4523" s="232" t="str">
        <f>IF(AND(A4523&lt;&gt;"",ISNUMBER(A4523)),VLOOKUP(A4523,Studies!A:BR,4,FALSE),"")</f>
        <v>Study 1 - Staggered Administration with RIF</v>
      </c>
      <c r="E4523" s="206" t="str">
        <f>IF(AND(A4523&lt;&gt;"",ISNUMBER(A4523)),VLOOKUP(A4523,Studies!A:BR,5,FALSE),"")</f>
        <v>Digoxin</v>
      </c>
      <c r="F4523" s="207" t="str">
        <f>IF(AND(A4523&lt;&gt;"",ISNUMBER(A4523)),VLOOKUP(A4523,Studies!A:BR,6,FALSE),"")</f>
        <v>Plasma</v>
      </c>
      <c r="G4523" s="50">
        <v>327</v>
      </c>
      <c r="H4523" s="50" t="s">
        <v>60</v>
      </c>
      <c r="I4523" s="41">
        <v>0.67908639999999998</v>
      </c>
      <c r="J4523" s="41" t="s">
        <v>1026</v>
      </c>
      <c r="K4523" s="41" t="s">
        <v>116</v>
      </c>
      <c r="L4523" s="52">
        <v>0.24839620000000001</v>
      </c>
      <c r="M4523" s="52" t="s">
        <v>1026</v>
      </c>
      <c r="N4523" s="52" t="s">
        <v>117</v>
      </c>
    </row>
    <row r="4524" spans="1:14" x14ac:dyDescent="0.2">
      <c r="A4524" s="189">
        <v>314</v>
      </c>
      <c r="B4524" s="232" t="str">
        <f>IF(AND(A4524&lt;&gt;"",ISNUMBER(A4524)),VLOOKUP(A4524,Studies!A:BR,2,FALSE),"")</f>
        <v>Kirby 2012</v>
      </c>
      <c r="C4524" s="232" t="str">
        <f>IF(AND(A4524&lt;&gt;"",ISNUMBER(A4524)),VLOOKUP(A4524,Studies!A:BR,3,FALSE),"")</f>
        <v>https://www.ncbi.nlm.nih.gov/pubmed/22190694</v>
      </c>
      <c r="D4524" s="232" t="str">
        <f>IF(AND(A4524&lt;&gt;"",ISNUMBER(A4524)),VLOOKUP(A4524,Studies!A:BR,4,FALSE),"")</f>
        <v>Study 1 - Staggered Administration with RIF</v>
      </c>
      <c r="E4524" s="206" t="str">
        <f>IF(AND(A4524&lt;&gt;"",ISNUMBER(A4524)),VLOOKUP(A4524,Studies!A:BR,5,FALSE),"")</f>
        <v>Digoxin</v>
      </c>
      <c r="F4524" s="207" t="str">
        <f>IF(AND(A4524&lt;&gt;"",ISNUMBER(A4524)),VLOOKUP(A4524,Studies!A:BR,6,FALSE),"")</f>
        <v>Plasma</v>
      </c>
      <c r="G4524" s="50">
        <v>328</v>
      </c>
      <c r="H4524" s="50" t="s">
        <v>60</v>
      </c>
      <c r="I4524" s="41">
        <v>0.49065150000000002</v>
      </c>
      <c r="J4524" s="41" t="s">
        <v>1026</v>
      </c>
      <c r="K4524" s="41" t="s">
        <v>116</v>
      </c>
      <c r="L4524" s="52">
        <v>0.170042</v>
      </c>
      <c r="M4524" s="52" t="s">
        <v>1026</v>
      </c>
      <c r="N4524" s="52" t="s">
        <v>117</v>
      </c>
    </row>
    <row r="4525" spans="1:14" x14ac:dyDescent="0.2">
      <c r="A4525" s="189">
        <v>314</v>
      </c>
      <c r="B4525" s="232" t="str">
        <f>IF(AND(A4525&lt;&gt;"",ISNUMBER(A4525)),VLOOKUP(A4525,Studies!A:BR,2,FALSE),"")</f>
        <v>Kirby 2012</v>
      </c>
      <c r="C4525" s="232" t="str">
        <f>IF(AND(A4525&lt;&gt;"",ISNUMBER(A4525)),VLOOKUP(A4525,Studies!A:BR,3,FALSE),"")</f>
        <v>https://www.ncbi.nlm.nih.gov/pubmed/22190694</v>
      </c>
      <c r="D4525" s="232" t="str">
        <f>IF(AND(A4525&lt;&gt;"",ISNUMBER(A4525)),VLOOKUP(A4525,Studies!A:BR,4,FALSE),"")</f>
        <v>Study 1 - Staggered Administration with RIF</v>
      </c>
      <c r="E4525" s="206" t="str">
        <f>IF(AND(A4525&lt;&gt;"",ISNUMBER(A4525)),VLOOKUP(A4525,Studies!A:BR,5,FALSE),"")</f>
        <v>Digoxin</v>
      </c>
      <c r="F4525" s="207" t="str">
        <f>IF(AND(A4525&lt;&gt;"",ISNUMBER(A4525)),VLOOKUP(A4525,Studies!A:BR,6,FALSE),"")</f>
        <v>Plasma</v>
      </c>
      <c r="G4525" s="50">
        <v>329</v>
      </c>
      <c r="H4525" s="50" t="s">
        <v>60</v>
      </c>
      <c r="I4525" s="41">
        <v>0.3725253</v>
      </c>
      <c r="J4525" s="41" t="s">
        <v>1026</v>
      </c>
      <c r="K4525" s="41" t="s">
        <v>116</v>
      </c>
      <c r="L4525" s="52">
        <v>0.11509170000000001</v>
      </c>
      <c r="M4525" s="52" t="s">
        <v>1026</v>
      </c>
      <c r="N4525" s="52" t="s">
        <v>117</v>
      </c>
    </row>
    <row r="4526" spans="1:14" x14ac:dyDescent="0.2">
      <c r="A4526" s="189">
        <v>314</v>
      </c>
      <c r="B4526" s="232" t="str">
        <f>IF(AND(A4526&lt;&gt;"",ISNUMBER(A4526)),VLOOKUP(A4526,Studies!A:BR,2,FALSE),"")</f>
        <v>Kirby 2012</v>
      </c>
      <c r="C4526" s="232" t="str">
        <f>IF(AND(A4526&lt;&gt;"",ISNUMBER(A4526)),VLOOKUP(A4526,Studies!A:BR,3,FALSE),"")</f>
        <v>https://www.ncbi.nlm.nih.gov/pubmed/22190694</v>
      </c>
      <c r="D4526" s="232" t="str">
        <f>IF(AND(A4526&lt;&gt;"",ISNUMBER(A4526)),VLOOKUP(A4526,Studies!A:BR,4,FALSE),"")</f>
        <v>Study 1 - Staggered Administration with RIF</v>
      </c>
      <c r="E4526" s="206" t="str">
        <f>IF(AND(A4526&lt;&gt;"",ISNUMBER(A4526)),VLOOKUP(A4526,Studies!A:BR,5,FALSE),"")</f>
        <v>Digoxin</v>
      </c>
      <c r="F4526" s="207" t="str">
        <f>IF(AND(A4526&lt;&gt;"",ISNUMBER(A4526)),VLOOKUP(A4526,Studies!A:BR,6,FALSE),"")</f>
        <v>Plasma</v>
      </c>
      <c r="G4526" s="50">
        <v>330</v>
      </c>
      <c r="H4526" s="50" t="s">
        <v>60</v>
      </c>
      <c r="I4526" s="41">
        <v>0.29096860000000002</v>
      </c>
      <c r="J4526" s="41" t="s">
        <v>1026</v>
      </c>
      <c r="K4526" s="41" t="s">
        <v>116</v>
      </c>
      <c r="L4526" s="52">
        <v>6.1343010000000003E-2</v>
      </c>
      <c r="M4526" s="52" t="s">
        <v>1026</v>
      </c>
      <c r="N4526" s="52" t="s">
        <v>117</v>
      </c>
    </row>
    <row r="4527" spans="1:14" x14ac:dyDescent="0.2">
      <c r="A4527" s="189">
        <v>314</v>
      </c>
      <c r="B4527" s="232" t="str">
        <f>IF(AND(A4527&lt;&gt;"",ISNUMBER(A4527)),VLOOKUP(A4527,Studies!A:BR,2,FALSE),"")</f>
        <v>Kirby 2012</v>
      </c>
      <c r="C4527" s="232" t="str">
        <f>IF(AND(A4527&lt;&gt;"",ISNUMBER(A4527)),VLOOKUP(A4527,Studies!A:BR,3,FALSE),"")</f>
        <v>https://www.ncbi.nlm.nih.gov/pubmed/22190694</v>
      </c>
      <c r="D4527" s="232" t="str">
        <f>IF(AND(A4527&lt;&gt;"",ISNUMBER(A4527)),VLOOKUP(A4527,Studies!A:BR,4,FALSE),"")</f>
        <v>Study 1 - Staggered Administration with RIF</v>
      </c>
      <c r="E4527" s="206" t="str">
        <f>IF(AND(A4527&lt;&gt;"",ISNUMBER(A4527)),VLOOKUP(A4527,Studies!A:BR,5,FALSE),"")</f>
        <v>Digoxin</v>
      </c>
      <c r="F4527" s="207" t="str">
        <f>IF(AND(A4527&lt;&gt;"",ISNUMBER(A4527)),VLOOKUP(A4527,Studies!A:BR,6,FALSE),"")</f>
        <v>Plasma</v>
      </c>
      <c r="G4527" s="50">
        <v>332</v>
      </c>
      <c r="H4527" s="50" t="s">
        <v>60</v>
      </c>
      <c r="I4527" s="41">
        <v>0.23400799999999999</v>
      </c>
      <c r="J4527" s="41" t="s">
        <v>1026</v>
      </c>
      <c r="K4527" s="41" t="s">
        <v>116</v>
      </c>
      <c r="L4527" s="52">
        <v>5.9548900000000002E-2</v>
      </c>
      <c r="M4527" s="52" t="s">
        <v>1026</v>
      </c>
      <c r="N4527" s="52" t="s">
        <v>117</v>
      </c>
    </row>
    <row r="4528" spans="1:14" x14ac:dyDescent="0.2">
      <c r="A4528" s="189">
        <v>314</v>
      </c>
      <c r="B4528" s="232" t="str">
        <f>IF(AND(A4528&lt;&gt;"",ISNUMBER(A4528)),VLOOKUP(A4528,Studies!A:BR,2,FALSE),"")</f>
        <v>Kirby 2012</v>
      </c>
      <c r="C4528" s="232" t="str">
        <f>IF(AND(A4528&lt;&gt;"",ISNUMBER(A4528)),VLOOKUP(A4528,Studies!A:BR,3,FALSE),"")</f>
        <v>https://www.ncbi.nlm.nih.gov/pubmed/22190694</v>
      </c>
      <c r="D4528" s="232" t="str">
        <f>IF(AND(A4528&lt;&gt;"",ISNUMBER(A4528)),VLOOKUP(A4528,Studies!A:BR,4,FALSE),"")</f>
        <v>Study 1 - Staggered Administration with RIF</v>
      </c>
      <c r="E4528" s="206" t="str">
        <f>IF(AND(A4528&lt;&gt;"",ISNUMBER(A4528)),VLOOKUP(A4528,Studies!A:BR,5,FALSE),"")</f>
        <v>Digoxin</v>
      </c>
      <c r="F4528" s="207" t="str">
        <f>IF(AND(A4528&lt;&gt;"",ISNUMBER(A4528)),VLOOKUP(A4528,Studies!A:BR,6,FALSE),"")</f>
        <v>Plasma</v>
      </c>
      <c r="G4528" s="50">
        <v>336</v>
      </c>
      <c r="H4528" s="50" t="s">
        <v>60</v>
      </c>
      <c r="I4528" s="41">
        <v>0.2084579</v>
      </c>
      <c r="J4528" s="41" t="s">
        <v>1026</v>
      </c>
      <c r="K4528" s="41" t="s">
        <v>116</v>
      </c>
      <c r="L4528" s="52">
        <v>5.2865250000000003E-2</v>
      </c>
      <c r="M4528" s="52" t="s">
        <v>1026</v>
      </c>
      <c r="N4528" s="52" t="s">
        <v>117</v>
      </c>
    </row>
    <row r="4529" spans="1:14" x14ac:dyDescent="0.2">
      <c r="A4529" s="189">
        <v>314</v>
      </c>
      <c r="B4529" s="232" t="str">
        <f>IF(AND(A4529&lt;&gt;"",ISNUMBER(A4529)),VLOOKUP(A4529,Studies!A:BR,2,FALSE),"")</f>
        <v>Kirby 2012</v>
      </c>
      <c r="C4529" s="232" t="str">
        <f>IF(AND(A4529&lt;&gt;"",ISNUMBER(A4529)),VLOOKUP(A4529,Studies!A:BR,3,FALSE),"")</f>
        <v>https://www.ncbi.nlm.nih.gov/pubmed/22190694</v>
      </c>
      <c r="D4529" s="232" t="str">
        <f>IF(AND(A4529&lt;&gt;"",ISNUMBER(A4529)),VLOOKUP(A4529,Studies!A:BR,4,FALSE),"")</f>
        <v>Study 1 - Staggered Administration with RIF</v>
      </c>
      <c r="E4529" s="206" t="str">
        <f>IF(AND(A4529&lt;&gt;"",ISNUMBER(A4529)),VLOOKUP(A4529,Studies!A:BR,5,FALSE),"")</f>
        <v>Digoxin</v>
      </c>
      <c r="F4529" s="207" t="str">
        <f>IF(AND(A4529&lt;&gt;"",ISNUMBER(A4529)),VLOOKUP(A4529,Studies!A:BR,6,FALSE),"")</f>
        <v>Plasma</v>
      </c>
      <c r="G4529" s="50">
        <v>347</v>
      </c>
      <c r="H4529" s="50" t="s">
        <v>60</v>
      </c>
      <c r="I4529" s="41">
        <v>0.21292220000000001</v>
      </c>
      <c r="J4529" s="41" t="s">
        <v>1026</v>
      </c>
      <c r="K4529" s="41" t="s">
        <v>116</v>
      </c>
      <c r="L4529" s="52">
        <v>7.556243E-2</v>
      </c>
      <c r="M4529" s="52" t="s">
        <v>1026</v>
      </c>
      <c r="N4529" s="52" t="s">
        <v>117</v>
      </c>
    </row>
    <row r="4530" spans="1:14" x14ac:dyDescent="0.2">
      <c r="A4530" s="189">
        <v>314</v>
      </c>
      <c r="B4530" s="232" t="str">
        <f>IF(AND(A4530&lt;&gt;"",ISNUMBER(A4530)),VLOOKUP(A4530,Studies!A:BR,2,FALSE),"")</f>
        <v>Kirby 2012</v>
      </c>
      <c r="C4530" s="232" t="str">
        <f>IF(AND(A4530&lt;&gt;"",ISNUMBER(A4530)),VLOOKUP(A4530,Studies!A:BR,3,FALSE),"")</f>
        <v>https://www.ncbi.nlm.nih.gov/pubmed/22190694</v>
      </c>
      <c r="D4530" s="232" t="str">
        <f>IF(AND(A4530&lt;&gt;"",ISNUMBER(A4530)),VLOOKUP(A4530,Studies!A:BR,4,FALSE),"")</f>
        <v>Study 1 - Staggered Administration with RIF</v>
      </c>
      <c r="E4530" s="206" t="str">
        <f>IF(AND(A4530&lt;&gt;"",ISNUMBER(A4530)),VLOOKUP(A4530,Studies!A:BR,5,FALSE),"")</f>
        <v>Digoxin</v>
      </c>
      <c r="F4530" s="207" t="str">
        <f>IF(AND(A4530&lt;&gt;"",ISNUMBER(A4530)),VLOOKUP(A4530,Studies!A:BR,6,FALSE),"")</f>
        <v>Plasma</v>
      </c>
      <c r="G4530" s="50">
        <v>350</v>
      </c>
      <c r="H4530" s="50" t="s">
        <v>60</v>
      </c>
      <c r="I4530" s="41">
        <v>0.14851800000000001</v>
      </c>
      <c r="J4530" s="41" t="s">
        <v>1026</v>
      </c>
      <c r="K4530" s="41" t="s">
        <v>116</v>
      </c>
      <c r="L4530" s="52">
        <v>3.3760819999999997E-2</v>
      </c>
      <c r="M4530" s="52" t="s">
        <v>1026</v>
      </c>
      <c r="N4530" s="52" t="s">
        <v>117</v>
      </c>
    </row>
    <row r="4531" spans="1:14" x14ac:dyDescent="0.2">
      <c r="A4531" s="189">
        <v>314</v>
      </c>
      <c r="B4531" s="232" t="str">
        <f>IF(AND(A4531&lt;&gt;"",ISNUMBER(A4531)),VLOOKUP(A4531,Studies!A:BR,2,FALSE),"")</f>
        <v>Kirby 2012</v>
      </c>
      <c r="C4531" s="232" t="str">
        <f>IF(AND(A4531&lt;&gt;"",ISNUMBER(A4531)),VLOOKUP(A4531,Studies!A:BR,3,FALSE),"")</f>
        <v>https://www.ncbi.nlm.nih.gov/pubmed/22190694</v>
      </c>
      <c r="D4531" s="232" t="str">
        <f>IF(AND(A4531&lt;&gt;"",ISNUMBER(A4531)),VLOOKUP(A4531,Studies!A:BR,4,FALSE),"")</f>
        <v>Study 1 - Staggered Administration with RIF</v>
      </c>
      <c r="E4531" s="206" t="str">
        <f>IF(AND(A4531&lt;&gt;"",ISNUMBER(A4531)),VLOOKUP(A4531,Studies!A:BR,5,FALSE),"")</f>
        <v>Digoxin</v>
      </c>
      <c r="F4531" s="207" t="str">
        <f>IF(AND(A4531&lt;&gt;"",ISNUMBER(A4531)),VLOOKUP(A4531,Studies!A:BR,6,FALSE),"")</f>
        <v>Plasma</v>
      </c>
      <c r="G4531" s="50">
        <v>352</v>
      </c>
      <c r="H4531" s="50" t="s">
        <v>60</v>
      </c>
      <c r="I4531" s="41">
        <v>0.1662872</v>
      </c>
      <c r="J4531" s="41" t="s">
        <v>1026</v>
      </c>
      <c r="K4531" s="41" t="s">
        <v>116</v>
      </c>
      <c r="L4531" s="52">
        <v>4.9664109999999997E-2</v>
      </c>
      <c r="M4531" s="52" t="s">
        <v>1026</v>
      </c>
      <c r="N4531" s="52" t="s">
        <v>117</v>
      </c>
    </row>
    <row r="4532" spans="1:14" x14ac:dyDescent="0.2">
      <c r="A4532" s="189">
        <v>314</v>
      </c>
      <c r="B4532" s="232" t="str">
        <f>IF(AND(A4532&lt;&gt;"",ISNUMBER(A4532)),VLOOKUP(A4532,Studies!A:BR,2,FALSE),"")</f>
        <v>Kirby 2012</v>
      </c>
      <c r="C4532" s="232" t="str">
        <f>IF(AND(A4532&lt;&gt;"",ISNUMBER(A4532)),VLOOKUP(A4532,Studies!A:BR,3,FALSE),"")</f>
        <v>https://www.ncbi.nlm.nih.gov/pubmed/22190694</v>
      </c>
      <c r="D4532" s="232" t="str">
        <f>IF(AND(A4532&lt;&gt;"",ISNUMBER(A4532)),VLOOKUP(A4532,Studies!A:BR,4,FALSE),"")</f>
        <v>Study 1 - Staggered Administration with RIF</v>
      </c>
      <c r="E4532" s="206" t="str">
        <f>IF(AND(A4532&lt;&gt;"",ISNUMBER(A4532)),VLOOKUP(A4532,Studies!A:BR,5,FALSE),"")</f>
        <v>Digoxin</v>
      </c>
      <c r="F4532" s="207" t="str">
        <f>IF(AND(A4532&lt;&gt;"",ISNUMBER(A4532)),VLOOKUP(A4532,Studies!A:BR,6,FALSE),"")</f>
        <v>Plasma</v>
      </c>
      <c r="G4532" s="50">
        <v>354</v>
      </c>
      <c r="H4532" s="50" t="s">
        <v>60</v>
      </c>
      <c r="I4532" s="41">
        <v>0.13838990000000001</v>
      </c>
      <c r="J4532" s="41" t="s">
        <v>1026</v>
      </c>
      <c r="K4532" s="41" t="s">
        <v>116</v>
      </c>
      <c r="L4532" s="52">
        <v>4.5180930000000001E-2</v>
      </c>
      <c r="M4532" s="52" t="s">
        <v>1026</v>
      </c>
      <c r="N4532" s="52" t="s">
        <v>117</v>
      </c>
    </row>
    <row r="4533" spans="1:14" x14ac:dyDescent="0.2">
      <c r="A4533" s="189">
        <v>314</v>
      </c>
      <c r="B4533" s="232" t="str">
        <f>IF(AND(A4533&lt;&gt;"",ISNUMBER(A4533)),VLOOKUP(A4533,Studies!A:BR,2,FALSE),"")</f>
        <v>Kirby 2012</v>
      </c>
      <c r="C4533" s="232" t="str">
        <f>IF(AND(A4533&lt;&gt;"",ISNUMBER(A4533)),VLOOKUP(A4533,Studies!A:BR,3,FALSE),"")</f>
        <v>https://www.ncbi.nlm.nih.gov/pubmed/22190694</v>
      </c>
      <c r="D4533" s="232" t="str">
        <f>IF(AND(A4533&lt;&gt;"",ISNUMBER(A4533)),VLOOKUP(A4533,Studies!A:BR,4,FALSE),"")</f>
        <v>Study 1 - Staggered Administration with RIF</v>
      </c>
      <c r="E4533" s="206" t="str">
        <f>IF(AND(A4533&lt;&gt;"",ISNUMBER(A4533)),VLOOKUP(A4533,Studies!A:BR,5,FALSE),"")</f>
        <v>Digoxin</v>
      </c>
      <c r="F4533" s="207" t="str">
        <f>IF(AND(A4533&lt;&gt;"",ISNUMBER(A4533)),VLOOKUP(A4533,Studies!A:BR,6,FALSE),"")</f>
        <v>Plasma</v>
      </c>
      <c r="G4533" s="50">
        <v>358</v>
      </c>
      <c r="H4533" s="50" t="s">
        <v>60</v>
      </c>
      <c r="I4533" s="41">
        <v>0.13078699999999999</v>
      </c>
      <c r="J4533" s="41" t="s">
        <v>1026</v>
      </c>
      <c r="K4533" s="41" t="s">
        <v>116</v>
      </c>
      <c r="L4533" s="52">
        <v>2.306975E-2</v>
      </c>
      <c r="M4533" s="52" t="s">
        <v>1026</v>
      </c>
      <c r="N4533" s="52" t="s">
        <v>117</v>
      </c>
    </row>
    <row r="4534" spans="1:14" x14ac:dyDescent="0.2">
      <c r="A4534" s="189">
        <v>314</v>
      </c>
      <c r="B4534" s="232" t="str">
        <f>IF(AND(A4534&lt;&gt;"",ISNUMBER(A4534)),VLOOKUP(A4534,Studies!A:BR,2,FALSE),"")</f>
        <v>Kirby 2012</v>
      </c>
      <c r="C4534" s="232" t="str">
        <f>IF(AND(A4534&lt;&gt;"",ISNUMBER(A4534)),VLOOKUP(A4534,Studies!A:BR,3,FALSE),"")</f>
        <v>https://www.ncbi.nlm.nih.gov/pubmed/22190694</v>
      </c>
      <c r="D4534" s="232" t="str">
        <f>IF(AND(A4534&lt;&gt;"",ISNUMBER(A4534)),VLOOKUP(A4534,Studies!A:BR,4,FALSE),"")</f>
        <v>Study 1 - Staggered Administration with RIF</v>
      </c>
      <c r="E4534" s="206" t="str">
        <f>IF(AND(A4534&lt;&gt;"",ISNUMBER(A4534)),VLOOKUP(A4534,Studies!A:BR,5,FALSE),"")</f>
        <v>Digoxin</v>
      </c>
      <c r="F4534" s="207" t="str">
        <f>IF(AND(A4534&lt;&gt;"",ISNUMBER(A4534)),VLOOKUP(A4534,Studies!A:BR,6,FALSE),"")</f>
        <v>Plasma</v>
      </c>
      <c r="G4534" s="50">
        <v>371</v>
      </c>
      <c r="H4534" s="50" t="s">
        <v>60</v>
      </c>
      <c r="I4534" s="41">
        <v>0.12895239999999999</v>
      </c>
      <c r="J4534" s="41" t="s">
        <v>1026</v>
      </c>
      <c r="K4534" s="41" t="s">
        <v>116</v>
      </c>
      <c r="L4534" s="52">
        <v>3.6164460000000002E-2</v>
      </c>
      <c r="M4534" s="52" t="s">
        <v>1026</v>
      </c>
      <c r="N4534" s="52" t="s">
        <v>117</v>
      </c>
    </row>
    <row r="4535" spans="1:14" x14ac:dyDescent="0.2">
      <c r="A4535" s="189">
        <v>315</v>
      </c>
      <c r="B4535" s="232" t="str">
        <f>IF(AND(A4535&lt;&gt;"",ISNUMBER(A4535)),VLOOKUP(A4535,Studies!A:BR,2,FALSE),"")</f>
        <v>Kirby 2012</v>
      </c>
      <c r="C4535" s="232" t="str">
        <f>IF(AND(A4535&lt;&gt;"",ISNUMBER(A4535)),VLOOKUP(A4535,Studies!A:BR,3,FALSE),"")</f>
        <v>https://www.ncbi.nlm.nih.gov/pubmed/22190694</v>
      </c>
      <c r="D4535" s="232" t="str">
        <f>IF(AND(A4535&lt;&gt;"",ISNUMBER(A4535)),VLOOKUP(A4535,Studies!A:BR,4,FALSE),"")</f>
        <v>Study 2 - Simultaneous Administration Control</v>
      </c>
      <c r="E4535" s="206" t="str">
        <f>IF(AND(A4535&lt;&gt;"",ISNUMBER(A4535)),VLOOKUP(A4535,Studies!A:BR,5,FALSE),"")</f>
        <v>Digoxin</v>
      </c>
      <c r="F4535" s="207" t="str">
        <f>IF(AND(A4535&lt;&gt;"",ISNUMBER(A4535)),VLOOKUP(A4535,Studies!A:BR,6,FALSE),"")</f>
        <v>Plasma</v>
      </c>
      <c r="G4535" s="50">
        <v>0.25</v>
      </c>
      <c r="H4535" s="50" t="s">
        <v>60</v>
      </c>
      <c r="I4535" s="41">
        <v>0.3579696</v>
      </c>
      <c r="J4535" s="41" t="s">
        <v>1026</v>
      </c>
      <c r="K4535" s="41" t="s">
        <v>116</v>
      </c>
      <c r="L4535" s="52">
        <v>0.34872330000000001</v>
      </c>
      <c r="M4535" s="52" t="s">
        <v>1026</v>
      </c>
      <c r="N4535" s="52" t="s">
        <v>117</v>
      </c>
    </row>
    <row r="4536" spans="1:14" x14ac:dyDescent="0.2">
      <c r="A4536" s="189">
        <v>315</v>
      </c>
      <c r="B4536" s="232" t="str">
        <f>IF(AND(A4536&lt;&gt;"",ISNUMBER(A4536)),VLOOKUP(A4536,Studies!A:BR,2,FALSE),"")</f>
        <v>Kirby 2012</v>
      </c>
      <c r="C4536" s="232" t="str">
        <f>IF(AND(A4536&lt;&gt;"",ISNUMBER(A4536)),VLOOKUP(A4536,Studies!A:BR,3,FALSE),"")</f>
        <v>https://www.ncbi.nlm.nih.gov/pubmed/22190694</v>
      </c>
      <c r="D4536" s="232" t="str">
        <f>IF(AND(A4536&lt;&gt;"",ISNUMBER(A4536)),VLOOKUP(A4536,Studies!A:BR,4,FALSE),"")</f>
        <v>Study 2 - Simultaneous Administration Control</v>
      </c>
      <c r="E4536" s="206" t="str">
        <f>IF(AND(A4536&lt;&gt;"",ISNUMBER(A4536)),VLOOKUP(A4536,Studies!A:BR,5,FALSE),"")</f>
        <v>Digoxin</v>
      </c>
      <c r="F4536" s="207" t="str">
        <f>IF(AND(A4536&lt;&gt;"",ISNUMBER(A4536)),VLOOKUP(A4536,Studies!A:BR,6,FALSE),"")</f>
        <v>Plasma</v>
      </c>
      <c r="G4536" s="50">
        <v>0.5</v>
      </c>
      <c r="H4536" s="50" t="s">
        <v>60</v>
      </c>
      <c r="I4536" s="41">
        <v>0.47189579999999998</v>
      </c>
      <c r="J4536" s="41" t="s">
        <v>1026</v>
      </c>
      <c r="K4536" s="41" t="s">
        <v>116</v>
      </c>
      <c r="L4536" s="52">
        <v>0.48648580000000002</v>
      </c>
      <c r="M4536" s="52" t="s">
        <v>1026</v>
      </c>
      <c r="N4536" s="52" t="s">
        <v>117</v>
      </c>
    </row>
    <row r="4537" spans="1:14" x14ac:dyDescent="0.2">
      <c r="A4537" s="189">
        <v>315</v>
      </c>
      <c r="B4537" s="232" t="str">
        <f>IF(AND(A4537&lt;&gt;"",ISNUMBER(A4537)),VLOOKUP(A4537,Studies!A:BR,2,FALSE),"")</f>
        <v>Kirby 2012</v>
      </c>
      <c r="C4537" s="232" t="str">
        <f>IF(AND(A4537&lt;&gt;"",ISNUMBER(A4537)),VLOOKUP(A4537,Studies!A:BR,3,FALSE),"")</f>
        <v>https://www.ncbi.nlm.nih.gov/pubmed/22190694</v>
      </c>
      <c r="D4537" s="232" t="str">
        <f>IF(AND(A4537&lt;&gt;"",ISNUMBER(A4537)),VLOOKUP(A4537,Studies!A:BR,4,FALSE),"")</f>
        <v>Study 2 - Simultaneous Administration Control</v>
      </c>
      <c r="E4537" s="206" t="str">
        <f>IF(AND(A4537&lt;&gt;"",ISNUMBER(A4537)),VLOOKUP(A4537,Studies!A:BR,5,FALSE),"")</f>
        <v>Digoxin</v>
      </c>
      <c r="F4537" s="207" t="str">
        <f>IF(AND(A4537&lt;&gt;"",ISNUMBER(A4537)),VLOOKUP(A4537,Studies!A:BR,6,FALSE),"")</f>
        <v>Plasma</v>
      </c>
      <c r="G4537" s="50">
        <v>0.75</v>
      </c>
      <c r="H4537" s="50" t="s">
        <v>60</v>
      </c>
      <c r="I4537" s="41">
        <v>0.60042879999999998</v>
      </c>
      <c r="J4537" s="41" t="s">
        <v>1026</v>
      </c>
      <c r="K4537" s="41" t="s">
        <v>116</v>
      </c>
      <c r="L4537" s="52">
        <v>0.44299690000000003</v>
      </c>
      <c r="M4537" s="52" t="s">
        <v>1026</v>
      </c>
      <c r="N4537" s="52" t="s">
        <v>117</v>
      </c>
    </row>
    <row r="4538" spans="1:14" x14ac:dyDescent="0.2">
      <c r="A4538" s="189">
        <v>315</v>
      </c>
      <c r="B4538" s="232" t="str">
        <f>IF(AND(A4538&lt;&gt;"",ISNUMBER(A4538)),VLOOKUP(A4538,Studies!A:BR,2,FALSE),"")</f>
        <v>Kirby 2012</v>
      </c>
      <c r="C4538" s="232" t="str">
        <f>IF(AND(A4538&lt;&gt;"",ISNUMBER(A4538)),VLOOKUP(A4538,Studies!A:BR,3,FALSE),"")</f>
        <v>https://www.ncbi.nlm.nih.gov/pubmed/22190694</v>
      </c>
      <c r="D4538" s="232" t="str">
        <f>IF(AND(A4538&lt;&gt;"",ISNUMBER(A4538)),VLOOKUP(A4538,Studies!A:BR,4,FALSE),"")</f>
        <v>Study 2 - Simultaneous Administration Control</v>
      </c>
      <c r="E4538" s="206" t="str">
        <f>IF(AND(A4538&lt;&gt;"",ISNUMBER(A4538)),VLOOKUP(A4538,Studies!A:BR,5,FALSE),"")</f>
        <v>Digoxin</v>
      </c>
      <c r="F4538" s="207" t="str">
        <f>IF(AND(A4538&lt;&gt;"",ISNUMBER(A4538)),VLOOKUP(A4538,Studies!A:BR,6,FALSE),"")</f>
        <v>Plasma</v>
      </c>
      <c r="G4538" s="50">
        <v>1</v>
      </c>
      <c r="H4538" s="50" t="s">
        <v>60</v>
      </c>
      <c r="I4538" s="41">
        <v>0.91849519999999996</v>
      </c>
      <c r="J4538" s="41" t="s">
        <v>1026</v>
      </c>
      <c r="K4538" s="41" t="s">
        <v>116</v>
      </c>
      <c r="L4538" s="52">
        <v>0.58971390000000001</v>
      </c>
      <c r="M4538" s="52" t="s">
        <v>1026</v>
      </c>
      <c r="N4538" s="52" t="s">
        <v>117</v>
      </c>
    </row>
    <row r="4539" spans="1:14" x14ac:dyDescent="0.2">
      <c r="A4539" s="189">
        <v>315</v>
      </c>
      <c r="B4539" s="232" t="str">
        <f>IF(AND(A4539&lt;&gt;"",ISNUMBER(A4539)),VLOOKUP(A4539,Studies!A:BR,2,FALSE),"")</f>
        <v>Kirby 2012</v>
      </c>
      <c r="C4539" s="232" t="str">
        <f>IF(AND(A4539&lt;&gt;"",ISNUMBER(A4539)),VLOOKUP(A4539,Studies!A:BR,3,FALSE),"")</f>
        <v>https://www.ncbi.nlm.nih.gov/pubmed/22190694</v>
      </c>
      <c r="D4539" s="232" t="str">
        <f>IF(AND(A4539&lt;&gt;"",ISNUMBER(A4539)),VLOOKUP(A4539,Studies!A:BR,4,FALSE),"")</f>
        <v>Study 2 - Simultaneous Administration Control</v>
      </c>
      <c r="E4539" s="206" t="str">
        <f>IF(AND(A4539&lt;&gt;"",ISNUMBER(A4539)),VLOOKUP(A4539,Studies!A:BR,5,FALSE),"")</f>
        <v>Digoxin</v>
      </c>
      <c r="F4539" s="207" t="str">
        <f>IF(AND(A4539&lt;&gt;"",ISNUMBER(A4539)),VLOOKUP(A4539,Studies!A:BR,6,FALSE),"")</f>
        <v>Plasma</v>
      </c>
      <c r="G4539" s="50">
        <v>1.5</v>
      </c>
      <c r="H4539" s="50" t="s">
        <v>60</v>
      </c>
      <c r="I4539" s="41">
        <v>1.058316</v>
      </c>
      <c r="J4539" s="41" t="s">
        <v>1026</v>
      </c>
      <c r="K4539" s="41" t="s">
        <v>116</v>
      </c>
      <c r="L4539" s="52">
        <v>0.317187</v>
      </c>
      <c r="M4539" s="52" t="s">
        <v>1026</v>
      </c>
      <c r="N4539" s="52" t="s">
        <v>117</v>
      </c>
    </row>
    <row r="4540" spans="1:14" x14ac:dyDescent="0.2">
      <c r="A4540" s="189">
        <v>315</v>
      </c>
      <c r="B4540" s="232" t="str">
        <f>IF(AND(A4540&lt;&gt;"",ISNUMBER(A4540)),VLOOKUP(A4540,Studies!A:BR,2,FALSE),"")</f>
        <v>Kirby 2012</v>
      </c>
      <c r="C4540" s="232" t="str">
        <f>IF(AND(A4540&lt;&gt;"",ISNUMBER(A4540)),VLOOKUP(A4540,Studies!A:BR,3,FALSE),"")</f>
        <v>https://www.ncbi.nlm.nih.gov/pubmed/22190694</v>
      </c>
      <c r="D4540" s="232" t="str">
        <f>IF(AND(A4540&lt;&gt;"",ISNUMBER(A4540)),VLOOKUP(A4540,Studies!A:BR,4,FALSE),"")</f>
        <v>Study 2 - Simultaneous Administration Control</v>
      </c>
      <c r="E4540" s="206" t="str">
        <f>IF(AND(A4540&lt;&gt;"",ISNUMBER(A4540)),VLOOKUP(A4540,Studies!A:BR,5,FALSE),"")</f>
        <v>Digoxin</v>
      </c>
      <c r="F4540" s="207" t="str">
        <f>IF(AND(A4540&lt;&gt;"",ISNUMBER(A4540)),VLOOKUP(A4540,Studies!A:BR,6,FALSE),"")</f>
        <v>Plasma</v>
      </c>
      <c r="G4540" s="50">
        <v>2</v>
      </c>
      <c r="H4540" s="50" t="s">
        <v>60</v>
      </c>
      <c r="I4540" s="41">
        <v>0.7859313</v>
      </c>
      <c r="J4540" s="41" t="s">
        <v>1026</v>
      </c>
      <c r="K4540" s="41" t="s">
        <v>116</v>
      </c>
      <c r="L4540" s="52">
        <v>0.1930383</v>
      </c>
      <c r="M4540" s="52" t="s">
        <v>1026</v>
      </c>
      <c r="N4540" s="52" t="s">
        <v>117</v>
      </c>
    </row>
    <row r="4541" spans="1:14" x14ac:dyDescent="0.2">
      <c r="A4541" s="189">
        <v>315</v>
      </c>
      <c r="B4541" s="232" t="str">
        <f>IF(AND(A4541&lt;&gt;"",ISNUMBER(A4541)),VLOOKUP(A4541,Studies!A:BR,2,FALSE),"")</f>
        <v>Kirby 2012</v>
      </c>
      <c r="C4541" s="232" t="str">
        <f>IF(AND(A4541&lt;&gt;"",ISNUMBER(A4541)),VLOOKUP(A4541,Studies!A:BR,3,FALSE),"")</f>
        <v>https://www.ncbi.nlm.nih.gov/pubmed/22190694</v>
      </c>
      <c r="D4541" s="232" t="str">
        <f>IF(AND(A4541&lt;&gt;"",ISNUMBER(A4541)),VLOOKUP(A4541,Studies!A:BR,4,FALSE),"")</f>
        <v>Study 2 - Simultaneous Administration Control</v>
      </c>
      <c r="E4541" s="206" t="str">
        <f>IF(AND(A4541&lt;&gt;"",ISNUMBER(A4541)),VLOOKUP(A4541,Studies!A:BR,5,FALSE),"")</f>
        <v>Digoxin</v>
      </c>
      <c r="F4541" s="207" t="str">
        <f>IF(AND(A4541&lt;&gt;"",ISNUMBER(A4541)),VLOOKUP(A4541,Studies!A:BR,6,FALSE),"")</f>
        <v>Plasma</v>
      </c>
      <c r="G4541" s="50">
        <v>3</v>
      </c>
      <c r="H4541" s="50" t="s">
        <v>60</v>
      </c>
      <c r="I4541" s="41">
        <v>0.57953129999999997</v>
      </c>
      <c r="J4541" s="41" t="s">
        <v>1026</v>
      </c>
      <c r="K4541" s="41" t="s">
        <v>116</v>
      </c>
      <c r="L4541" s="52">
        <v>0.28222530000000001</v>
      </c>
      <c r="M4541" s="52" t="s">
        <v>1026</v>
      </c>
      <c r="N4541" s="52" t="s">
        <v>117</v>
      </c>
    </row>
    <row r="4542" spans="1:14" x14ac:dyDescent="0.2">
      <c r="A4542" s="189">
        <v>315</v>
      </c>
      <c r="B4542" s="232" t="str">
        <f>IF(AND(A4542&lt;&gt;"",ISNUMBER(A4542)),VLOOKUP(A4542,Studies!A:BR,2,FALSE),"")</f>
        <v>Kirby 2012</v>
      </c>
      <c r="C4542" s="232" t="str">
        <f>IF(AND(A4542&lt;&gt;"",ISNUMBER(A4542)),VLOOKUP(A4542,Studies!A:BR,3,FALSE),"")</f>
        <v>https://www.ncbi.nlm.nih.gov/pubmed/22190694</v>
      </c>
      <c r="D4542" s="232" t="str">
        <f>IF(AND(A4542&lt;&gt;"",ISNUMBER(A4542)),VLOOKUP(A4542,Studies!A:BR,4,FALSE),"")</f>
        <v>Study 2 - Simultaneous Administration Control</v>
      </c>
      <c r="E4542" s="206" t="str">
        <f>IF(AND(A4542&lt;&gt;"",ISNUMBER(A4542)),VLOOKUP(A4542,Studies!A:BR,5,FALSE),"")</f>
        <v>Digoxin</v>
      </c>
      <c r="F4542" s="207" t="str">
        <f>IF(AND(A4542&lt;&gt;"",ISNUMBER(A4542)),VLOOKUP(A4542,Studies!A:BR,6,FALSE),"")</f>
        <v>Plasma</v>
      </c>
      <c r="G4542" s="50">
        <v>4</v>
      </c>
      <c r="H4542" s="50" t="s">
        <v>60</v>
      </c>
      <c r="I4542" s="41">
        <v>0.37617040000000002</v>
      </c>
      <c r="J4542" s="41" t="s">
        <v>1026</v>
      </c>
      <c r="K4542" s="41" t="s">
        <v>116</v>
      </c>
      <c r="L4542" s="52">
        <v>0.13760020000000001</v>
      </c>
      <c r="M4542" s="52" t="s">
        <v>1026</v>
      </c>
      <c r="N4542" s="52" t="s">
        <v>117</v>
      </c>
    </row>
    <row r="4543" spans="1:14" x14ac:dyDescent="0.2">
      <c r="A4543" s="189">
        <v>315</v>
      </c>
      <c r="B4543" s="232" t="str">
        <f>IF(AND(A4543&lt;&gt;"",ISNUMBER(A4543)),VLOOKUP(A4543,Studies!A:BR,2,FALSE),"")</f>
        <v>Kirby 2012</v>
      </c>
      <c r="C4543" s="232" t="str">
        <f>IF(AND(A4543&lt;&gt;"",ISNUMBER(A4543)),VLOOKUP(A4543,Studies!A:BR,3,FALSE),"")</f>
        <v>https://www.ncbi.nlm.nih.gov/pubmed/22190694</v>
      </c>
      <c r="D4543" s="232" t="str">
        <f>IF(AND(A4543&lt;&gt;"",ISNUMBER(A4543)),VLOOKUP(A4543,Studies!A:BR,4,FALSE),"")</f>
        <v>Study 2 - Simultaneous Administration Control</v>
      </c>
      <c r="E4543" s="206" t="str">
        <f>IF(AND(A4543&lt;&gt;"",ISNUMBER(A4543)),VLOOKUP(A4543,Studies!A:BR,5,FALSE),"")</f>
        <v>Digoxin</v>
      </c>
      <c r="F4543" s="207" t="str">
        <f>IF(AND(A4543&lt;&gt;"",ISNUMBER(A4543)),VLOOKUP(A4543,Studies!A:BR,6,FALSE),"")</f>
        <v>Plasma</v>
      </c>
      <c r="G4543" s="50">
        <v>5</v>
      </c>
      <c r="H4543" s="50" t="s">
        <v>60</v>
      </c>
      <c r="I4543" s="41">
        <v>0.27935330000000003</v>
      </c>
      <c r="J4543" s="41" t="s">
        <v>1026</v>
      </c>
      <c r="K4543" s="41" t="s">
        <v>116</v>
      </c>
      <c r="L4543" s="52">
        <v>0.13310930000000001</v>
      </c>
      <c r="M4543" s="52" t="s">
        <v>1026</v>
      </c>
      <c r="N4543" s="52" t="s">
        <v>117</v>
      </c>
    </row>
    <row r="4544" spans="1:14" x14ac:dyDescent="0.2">
      <c r="A4544" s="189">
        <v>315</v>
      </c>
      <c r="B4544" s="232" t="str">
        <f>IF(AND(A4544&lt;&gt;"",ISNUMBER(A4544)),VLOOKUP(A4544,Studies!A:BR,2,FALSE),"")</f>
        <v>Kirby 2012</v>
      </c>
      <c r="C4544" s="232" t="str">
        <f>IF(AND(A4544&lt;&gt;"",ISNUMBER(A4544)),VLOOKUP(A4544,Studies!A:BR,3,FALSE),"")</f>
        <v>https://www.ncbi.nlm.nih.gov/pubmed/22190694</v>
      </c>
      <c r="D4544" s="232" t="str">
        <f>IF(AND(A4544&lt;&gt;"",ISNUMBER(A4544)),VLOOKUP(A4544,Studies!A:BR,4,FALSE),"")</f>
        <v>Study 2 - Simultaneous Administration Control</v>
      </c>
      <c r="E4544" s="206" t="str">
        <f>IF(AND(A4544&lt;&gt;"",ISNUMBER(A4544)),VLOOKUP(A4544,Studies!A:BR,5,FALSE),"")</f>
        <v>Digoxin</v>
      </c>
      <c r="F4544" s="207" t="str">
        <f>IF(AND(A4544&lt;&gt;"",ISNUMBER(A4544)),VLOOKUP(A4544,Studies!A:BR,6,FALSE),"")</f>
        <v>Plasma</v>
      </c>
      <c r="G4544" s="50">
        <v>6</v>
      </c>
      <c r="H4544" s="50" t="s">
        <v>60</v>
      </c>
      <c r="I4544" s="41">
        <v>0.20599000000000001</v>
      </c>
      <c r="J4544" s="41" t="s">
        <v>1026</v>
      </c>
      <c r="K4544" s="41" t="s">
        <v>116</v>
      </c>
      <c r="L4544" s="52">
        <v>7.7349860000000006E-2</v>
      </c>
      <c r="M4544" s="52" t="s">
        <v>1026</v>
      </c>
      <c r="N4544" s="52" t="s">
        <v>117</v>
      </c>
    </row>
    <row r="4545" spans="1:16" x14ac:dyDescent="0.2">
      <c r="A4545" s="189">
        <v>315</v>
      </c>
      <c r="B4545" s="232" t="str">
        <f>IF(AND(A4545&lt;&gt;"",ISNUMBER(A4545)),VLOOKUP(A4545,Studies!A:BR,2,FALSE),"")</f>
        <v>Kirby 2012</v>
      </c>
      <c r="C4545" s="232" t="str">
        <f>IF(AND(A4545&lt;&gt;"",ISNUMBER(A4545)),VLOOKUP(A4545,Studies!A:BR,3,FALSE),"")</f>
        <v>https://www.ncbi.nlm.nih.gov/pubmed/22190694</v>
      </c>
      <c r="D4545" s="232" t="str">
        <f>IF(AND(A4545&lt;&gt;"",ISNUMBER(A4545)),VLOOKUP(A4545,Studies!A:BR,4,FALSE),"")</f>
        <v>Study 2 - Simultaneous Administration Control</v>
      </c>
      <c r="E4545" s="206" t="str">
        <f>IF(AND(A4545&lt;&gt;"",ISNUMBER(A4545)),VLOOKUP(A4545,Studies!A:BR,5,FALSE),"")</f>
        <v>Digoxin</v>
      </c>
      <c r="F4545" s="207" t="str">
        <f>IF(AND(A4545&lt;&gt;"",ISNUMBER(A4545)),VLOOKUP(A4545,Studies!A:BR,6,FALSE),"")</f>
        <v>Plasma</v>
      </c>
      <c r="G4545" s="50">
        <v>8</v>
      </c>
      <c r="H4545" s="50" t="s">
        <v>60</v>
      </c>
      <c r="I4545" s="41">
        <v>0.1642043</v>
      </c>
      <c r="J4545" s="41" t="s">
        <v>1026</v>
      </c>
      <c r="K4545" s="41" t="s">
        <v>116</v>
      </c>
      <c r="L4545" s="52">
        <v>0.11913559999999999</v>
      </c>
      <c r="M4545" s="52" t="s">
        <v>1026</v>
      </c>
      <c r="N4545" s="52" t="s">
        <v>117</v>
      </c>
    </row>
    <row r="4546" spans="1:16" x14ac:dyDescent="0.2">
      <c r="A4546" s="189">
        <v>315</v>
      </c>
      <c r="B4546" s="232" t="str">
        <f>IF(AND(A4546&lt;&gt;"",ISNUMBER(A4546)),VLOOKUP(A4546,Studies!A:BR,2,FALSE),"")</f>
        <v>Kirby 2012</v>
      </c>
      <c r="C4546" s="232" t="str">
        <f>IF(AND(A4546&lt;&gt;"",ISNUMBER(A4546)),VLOOKUP(A4546,Studies!A:BR,3,FALSE),"")</f>
        <v>https://www.ncbi.nlm.nih.gov/pubmed/22190694</v>
      </c>
      <c r="D4546" s="232" t="str">
        <f>IF(AND(A4546&lt;&gt;"",ISNUMBER(A4546)),VLOOKUP(A4546,Studies!A:BR,4,FALSE),"")</f>
        <v>Study 2 - Simultaneous Administration Control</v>
      </c>
      <c r="E4546" s="206" t="str">
        <f>IF(AND(A4546&lt;&gt;"",ISNUMBER(A4546)),VLOOKUP(A4546,Studies!A:BR,5,FALSE),"")</f>
        <v>Digoxin</v>
      </c>
      <c r="F4546" s="207" t="str">
        <f>IF(AND(A4546&lt;&gt;"",ISNUMBER(A4546)),VLOOKUP(A4546,Studies!A:BR,6,FALSE),"")</f>
        <v>Plasma</v>
      </c>
      <c r="G4546" s="50">
        <v>12</v>
      </c>
      <c r="H4546" s="50" t="s">
        <v>60</v>
      </c>
      <c r="I4546" s="41">
        <v>0.13182569999999999</v>
      </c>
      <c r="J4546" s="41" t="s">
        <v>1026</v>
      </c>
      <c r="K4546" s="41" t="s">
        <v>116</v>
      </c>
      <c r="L4546" s="52">
        <v>9.7261070000000005E-2</v>
      </c>
      <c r="M4546" s="52" t="s">
        <v>1026</v>
      </c>
      <c r="N4546" s="52" t="s">
        <v>117</v>
      </c>
    </row>
    <row r="4547" spans="1:16" x14ac:dyDescent="0.2">
      <c r="A4547" s="189">
        <v>315</v>
      </c>
      <c r="B4547" s="232" t="str">
        <f>IF(AND(A4547&lt;&gt;"",ISNUMBER(A4547)),VLOOKUP(A4547,Studies!A:BR,2,FALSE),"")</f>
        <v>Kirby 2012</v>
      </c>
      <c r="C4547" s="232" t="str">
        <f>IF(AND(A4547&lt;&gt;"",ISNUMBER(A4547)),VLOOKUP(A4547,Studies!A:BR,3,FALSE),"")</f>
        <v>https://www.ncbi.nlm.nih.gov/pubmed/22190694</v>
      </c>
      <c r="D4547" s="232" t="str">
        <f>IF(AND(A4547&lt;&gt;"",ISNUMBER(A4547)),VLOOKUP(A4547,Studies!A:BR,4,FALSE),"")</f>
        <v>Study 2 - Simultaneous Administration Control</v>
      </c>
      <c r="E4547" s="206" t="str">
        <f>IF(AND(A4547&lt;&gt;"",ISNUMBER(A4547)),VLOOKUP(A4547,Studies!A:BR,5,FALSE),"")</f>
        <v>Digoxin</v>
      </c>
      <c r="F4547" s="207" t="str">
        <f>IF(AND(A4547&lt;&gt;"",ISNUMBER(A4547)),VLOOKUP(A4547,Studies!A:BR,6,FALSE),"")</f>
        <v>Plasma</v>
      </c>
      <c r="G4547" s="50">
        <v>23</v>
      </c>
      <c r="H4547" s="50" t="s">
        <v>60</v>
      </c>
      <c r="I4547" s="41">
        <v>0.12544739999999999</v>
      </c>
      <c r="J4547" s="41" t="s">
        <v>1026</v>
      </c>
      <c r="K4547" s="41" t="s">
        <v>116</v>
      </c>
      <c r="L4547" s="52">
        <v>8.6463760000000001E-2</v>
      </c>
      <c r="M4547" s="52" t="s">
        <v>1026</v>
      </c>
      <c r="N4547" s="52" t="s">
        <v>117</v>
      </c>
      <c r="P4547" s="42" t="s">
        <v>1433</v>
      </c>
    </row>
    <row r="4548" spans="1:16" x14ac:dyDescent="0.2">
      <c r="A4548" s="189">
        <v>316</v>
      </c>
      <c r="B4548" s="232" t="str">
        <f>IF(AND(A4548&lt;&gt;"",ISNUMBER(A4548)),VLOOKUP(A4548,Studies!A:BR,2,FALSE),"")</f>
        <v>Kirby 2012</v>
      </c>
      <c r="C4548" s="232" t="str">
        <f>IF(AND(A4548&lt;&gt;"",ISNUMBER(A4548)),VLOOKUP(A4548,Studies!A:BR,3,FALSE),"")</f>
        <v>https://www.ncbi.nlm.nih.gov/pubmed/22190694</v>
      </c>
      <c r="D4548" s="232" t="str">
        <f>IF(AND(A4548&lt;&gt;"",ISNUMBER(A4548)),VLOOKUP(A4548,Studies!A:BR,4,FALSE),"")</f>
        <v>Study 2 - Simultaneous Administration with RIF</v>
      </c>
      <c r="E4548" s="206" t="str">
        <f>IF(AND(A4548&lt;&gt;"",ISNUMBER(A4548)),VLOOKUP(A4548,Studies!A:BR,5,FALSE),"")</f>
        <v>Digoxin</v>
      </c>
      <c r="F4548" s="207" t="str">
        <f>IF(AND(A4548&lt;&gt;"",ISNUMBER(A4548)),VLOOKUP(A4548,Studies!A:BR,6,FALSE),"")</f>
        <v>Plasma</v>
      </c>
      <c r="G4548" s="50">
        <v>360.25</v>
      </c>
      <c r="H4548" s="50" t="s">
        <v>60</v>
      </c>
      <c r="I4548" s="41">
        <v>0.30414239999999998</v>
      </c>
      <c r="J4548" s="41" t="s">
        <v>1026</v>
      </c>
      <c r="K4548" s="41" t="s">
        <v>116</v>
      </c>
      <c r="L4548" s="52">
        <v>0.19882340000000001</v>
      </c>
      <c r="M4548" s="52" t="s">
        <v>1026</v>
      </c>
      <c r="N4548" s="52" t="s">
        <v>117</v>
      </c>
    </row>
    <row r="4549" spans="1:16" x14ac:dyDescent="0.2">
      <c r="A4549" s="189">
        <v>316</v>
      </c>
      <c r="B4549" s="232" t="str">
        <f>IF(AND(A4549&lt;&gt;"",ISNUMBER(A4549)),VLOOKUP(A4549,Studies!A:BR,2,FALSE),"")</f>
        <v>Kirby 2012</v>
      </c>
      <c r="C4549" s="232" t="str">
        <f>IF(AND(A4549&lt;&gt;"",ISNUMBER(A4549)),VLOOKUP(A4549,Studies!A:BR,3,FALSE),"")</f>
        <v>https://www.ncbi.nlm.nih.gov/pubmed/22190694</v>
      </c>
      <c r="D4549" s="232" t="str">
        <f>IF(AND(A4549&lt;&gt;"",ISNUMBER(A4549)),VLOOKUP(A4549,Studies!A:BR,4,FALSE),"")</f>
        <v>Study 2 - Simultaneous Administration with RIF</v>
      </c>
      <c r="E4549" s="206" t="str">
        <f>IF(AND(A4549&lt;&gt;"",ISNUMBER(A4549)),VLOOKUP(A4549,Studies!A:BR,5,FALSE),"")</f>
        <v>Digoxin</v>
      </c>
      <c r="F4549" s="207" t="str">
        <f>IF(AND(A4549&lt;&gt;"",ISNUMBER(A4549)),VLOOKUP(A4549,Studies!A:BR,6,FALSE),"")</f>
        <v>Plasma</v>
      </c>
      <c r="G4549" s="50">
        <v>360.5</v>
      </c>
      <c r="H4549" s="50" t="s">
        <v>60</v>
      </c>
      <c r="I4549" s="41">
        <v>1.2544740000000001</v>
      </c>
      <c r="J4549" s="41" t="s">
        <v>1026</v>
      </c>
      <c r="K4549" s="41" t="s">
        <v>116</v>
      </c>
      <c r="L4549" s="52">
        <v>1.239679</v>
      </c>
      <c r="M4549" s="52" t="s">
        <v>1026</v>
      </c>
      <c r="N4549" s="52" t="s">
        <v>117</v>
      </c>
    </row>
    <row r="4550" spans="1:16" x14ac:dyDescent="0.2">
      <c r="A4550" s="189">
        <v>316</v>
      </c>
      <c r="B4550" s="232" t="str">
        <f>IF(AND(A4550&lt;&gt;"",ISNUMBER(A4550)),VLOOKUP(A4550,Studies!A:BR,2,FALSE),"")</f>
        <v>Kirby 2012</v>
      </c>
      <c r="C4550" s="232" t="str">
        <f>IF(AND(A4550&lt;&gt;"",ISNUMBER(A4550)),VLOOKUP(A4550,Studies!A:BR,3,FALSE),"")</f>
        <v>https://www.ncbi.nlm.nih.gov/pubmed/22190694</v>
      </c>
      <c r="D4550" s="232" t="str">
        <f>IF(AND(A4550&lt;&gt;"",ISNUMBER(A4550)),VLOOKUP(A4550,Studies!A:BR,4,FALSE),"")</f>
        <v>Study 2 - Simultaneous Administration with RIF</v>
      </c>
      <c r="E4550" s="206" t="str">
        <f>IF(AND(A4550&lt;&gt;"",ISNUMBER(A4550)),VLOOKUP(A4550,Studies!A:BR,5,FALSE),"")</f>
        <v>Digoxin</v>
      </c>
      <c r="F4550" s="207" t="str">
        <f>IF(AND(A4550&lt;&gt;"",ISNUMBER(A4550)),VLOOKUP(A4550,Studies!A:BR,6,FALSE),"")</f>
        <v>Plasma</v>
      </c>
      <c r="G4550" s="50">
        <v>360.75</v>
      </c>
      <c r="H4550" s="50" t="s">
        <v>60</v>
      </c>
      <c r="I4550" s="41">
        <v>1.466067</v>
      </c>
      <c r="J4550" s="41" t="s">
        <v>1026</v>
      </c>
      <c r="K4550" s="41" t="s">
        <v>116</v>
      </c>
      <c r="L4550" s="52">
        <v>1.2494099999999999</v>
      </c>
      <c r="M4550" s="52" t="s">
        <v>1026</v>
      </c>
      <c r="N4550" s="52" t="s">
        <v>117</v>
      </c>
    </row>
    <row r="4551" spans="1:16" x14ac:dyDescent="0.2">
      <c r="A4551" s="189">
        <v>316</v>
      </c>
      <c r="B4551" s="232" t="str">
        <f>IF(AND(A4551&lt;&gt;"",ISNUMBER(A4551)),VLOOKUP(A4551,Studies!A:BR,2,FALSE),"")</f>
        <v>Kirby 2012</v>
      </c>
      <c r="C4551" s="232" t="str">
        <f>IF(AND(A4551&lt;&gt;"",ISNUMBER(A4551)),VLOOKUP(A4551,Studies!A:BR,3,FALSE),"")</f>
        <v>https://www.ncbi.nlm.nih.gov/pubmed/22190694</v>
      </c>
      <c r="D4551" s="232" t="str">
        <f>IF(AND(A4551&lt;&gt;"",ISNUMBER(A4551)),VLOOKUP(A4551,Studies!A:BR,4,FALSE),"")</f>
        <v>Study 2 - Simultaneous Administration with RIF</v>
      </c>
      <c r="E4551" s="206" t="str">
        <f>IF(AND(A4551&lt;&gt;"",ISNUMBER(A4551)),VLOOKUP(A4551,Studies!A:BR,5,FALSE),"")</f>
        <v>Digoxin</v>
      </c>
      <c r="F4551" s="207" t="str">
        <f>IF(AND(A4551&lt;&gt;"",ISNUMBER(A4551)),VLOOKUP(A4551,Studies!A:BR,6,FALSE),"")</f>
        <v>Plasma</v>
      </c>
      <c r="G4551" s="50">
        <v>361</v>
      </c>
      <c r="H4551" s="50" t="s">
        <v>60</v>
      </c>
      <c r="I4551" s="41">
        <v>1.6773180000000001</v>
      </c>
      <c r="J4551" s="41" t="s">
        <v>1026</v>
      </c>
      <c r="K4551" s="41" t="s">
        <v>116</v>
      </c>
      <c r="L4551" s="52">
        <v>1.1360779999999999</v>
      </c>
      <c r="M4551" s="52" t="s">
        <v>1026</v>
      </c>
      <c r="N4551" s="52" t="s">
        <v>117</v>
      </c>
    </row>
    <row r="4552" spans="1:16" x14ac:dyDescent="0.2">
      <c r="A4552" s="189">
        <v>316</v>
      </c>
      <c r="B4552" s="232" t="str">
        <f>IF(AND(A4552&lt;&gt;"",ISNUMBER(A4552)),VLOOKUP(A4552,Studies!A:BR,2,FALSE),"")</f>
        <v>Kirby 2012</v>
      </c>
      <c r="C4552" s="232" t="str">
        <f>IF(AND(A4552&lt;&gt;"",ISNUMBER(A4552)),VLOOKUP(A4552,Studies!A:BR,3,FALSE),"")</f>
        <v>https://www.ncbi.nlm.nih.gov/pubmed/22190694</v>
      </c>
      <c r="D4552" s="232" t="str">
        <f>IF(AND(A4552&lt;&gt;"",ISNUMBER(A4552)),VLOOKUP(A4552,Studies!A:BR,4,FALSE),"")</f>
        <v>Study 2 - Simultaneous Administration with RIF</v>
      </c>
      <c r="E4552" s="206" t="str">
        <f>IF(AND(A4552&lt;&gt;"",ISNUMBER(A4552)),VLOOKUP(A4552,Studies!A:BR,5,FALSE),"")</f>
        <v>Digoxin</v>
      </c>
      <c r="F4552" s="207" t="str">
        <f>IF(AND(A4552&lt;&gt;"",ISNUMBER(A4552)),VLOOKUP(A4552,Studies!A:BR,6,FALSE),"")</f>
        <v>Plasma</v>
      </c>
      <c r="G4552" s="50">
        <v>361.5</v>
      </c>
      <c r="H4552" s="50" t="s">
        <v>60</v>
      </c>
      <c r="I4552" s="41">
        <v>1.5297320000000001</v>
      </c>
      <c r="J4552" s="41" t="s">
        <v>1026</v>
      </c>
      <c r="K4552" s="41" t="s">
        <v>116</v>
      </c>
      <c r="L4552" s="52">
        <v>1.000014</v>
      </c>
      <c r="M4552" s="52" t="s">
        <v>1026</v>
      </c>
      <c r="N4552" s="52" t="s">
        <v>117</v>
      </c>
    </row>
    <row r="4553" spans="1:16" x14ac:dyDescent="0.2">
      <c r="A4553" s="189">
        <v>316</v>
      </c>
      <c r="B4553" s="232" t="str">
        <f>IF(AND(A4553&lt;&gt;"",ISNUMBER(A4553)),VLOOKUP(A4553,Studies!A:BR,2,FALSE),"")</f>
        <v>Kirby 2012</v>
      </c>
      <c r="C4553" s="232" t="str">
        <f>IF(AND(A4553&lt;&gt;"",ISNUMBER(A4553)),VLOOKUP(A4553,Studies!A:BR,3,FALSE),"")</f>
        <v>https://www.ncbi.nlm.nih.gov/pubmed/22190694</v>
      </c>
      <c r="D4553" s="232" t="str">
        <f>IF(AND(A4553&lt;&gt;"",ISNUMBER(A4553)),VLOOKUP(A4553,Studies!A:BR,4,FALSE),"")</f>
        <v>Study 2 - Simultaneous Administration with RIF</v>
      </c>
      <c r="E4553" s="206" t="str">
        <f>IF(AND(A4553&lt;&gt;"",ISNUMBER(A4553)),VLOOKUP(A4553,Studies!A:BR,5,FALSE),"")</f>
        <v>Digoxin</v>
      </c>
      <c r="F4553" s="207" t="str">
        <f>IF(AND(A4553&lt;&gt;"",ISNUMBER(A4553)),VLOOKUP(A4553,Studies!A:BR,6,FALSE),"")</f>
        <v>Plasma</v>
      </c>
      <c r="G4553" s="50">
        <v>362</v>
      </c>
      <c r="H4553" s="50" t="s">
        <v>60</v>
      </c>
      <c r="I4553" s="41">
        <v>1.168671</v>
      </c>
      <c r="J4553" s="41" t="s">
        <v>1026</v>
      </c>
      <c r="K4553" s="41" t="s">
        <v>116</v>
      </c>
      <c r="L4553" s="52">
        <v>0.70998019999999995</v>
      </c>
      <c r="M4553" s="52" t="s">
        <v>1026</v>
      </c>
      <c r="N4553" s="52" t="s">
        <v>117</v>
      </c>
    </row>
    <row r="4554" spans="1:16" x14ac:dyDescent="0.2">
      <c r="A4554" s="189">
        <v>316</v>
      </c>
      <c r="B4554" s="232" t="str">
        <f>IF(AND(A4554&lt;&gt;"",ISNUMBER(A4554)),VLOOKUP(A4554,Studies!A:BR,2,FALSE),"")</f>
        <v>Kirby 2012</v>
      </c>
      <c r="C4554" s="232" t="str">
        <f>IF(AND(A4554&lt;&gt;"",ISNUMBER(A4554)),VLOOKUP(A4554,Studies!A:BR,3,FALSE),"")</f>
        <v>https://www.ncbi.nlm.nih.gov/pubmed/22190694</v>
      </c>
      <c r="D4554" s="232" t="str">
        <f>IF(AND(A4554&lt;&gt;"",ISNUMBER(A4554)),VLOOKUP(A4554,Studies!A:BR,4,FALSE),"")</f>
        <v>Study 2 - Simultaneous Administration with RIF</v>
      </c>
      <c r="E4554" s="206" t="str">
        <f>IF(AND(A4554&lt;&gt;"",ISNUMBER(A4554)),VLOOKUP(A4554,Studies!A:BR,5,FALSE),"")</f>
        <v>Digoxin</v>
      </c>
      <c r="F4554" s="207" t="str">
        <f>IF(AND(A4554&lt;&gt;"",ISNUMBER(A4554)),VLOOKUP(A4554,Studies!A:BR,6,FALSE),"")</f>
        <v>Plasma</v>
      </c>
      <c r="G4554" s="50">
        <v>363</v>
      </c>
      <c r="H4554" s="50" t="s">
        <v>60</v>
      </c>
      <c r="I4554" s="41">
        <v>0.70669289999999996</v>
      </c>
      <c r="J4554" s="41" t="s">
        <v>1026</v>
      </c>
      <c r="K4554" s="41" t="s">
        <v>116</v>
      </c>
      <c r="L4554" s="52">
        <v>9.9429489999999995E-3</v>
      </c>
      <c r="M4554" s="52" t="s">
        <v>1026</v>
      </c>
      <c r="N4554" s="52" t="s">
        <v>117</v>
      </c>
    </row>
    <row r="4555" spans="1:16" x14ac:dyDescent="0.2">
      <c r="A4555" s="189">
        <v>316</v>
      </c>
      <c r="B4555" s="232" t="str">
        <f>IF(AND(A4555&lt;&gt;"",ISNUMBER(A4555)),VLOOKUP(A4555,Studies!A:BR,2,FALSE),"")</f>
        <v>Kirby 2012</v>
      </c>
      <c r="C4555" s="232" t="str">
        <f>IF(AND(A4555&lt;&gt;"",ISNUMBER(A4555)),VLOOKUP(A4555,Studies!A:BR,3,FALSE),"")</f>
        <v>https://www.ncbi.nlm.nih.gov/pubmed/22190694</v>
      </c>
      <c r="D4555" s="232" t="str">
        <f>IF(AND(A4555&lt;&gt;"",ISNUMBER(A4555)),VLOOKUP(A4555,Studies!A:BR,4,FALSE),"")</f>
        <v>Study 2 - Simultaneous Administration with RIF</v>
      </c>
      <c r="E4555" s="206" t="str">
        <f>IF(AND(A4555&lt;&gt;"",ISNUMBER(A4555)),VLOOKUP(A4555,Studies!A:BR,5,FALSE),"")</f>
        <v>Digoxin</v>
      </c>
      <c r="F4555" s="207" t="str">
        <f>IF(AND(A4555&lt;&gt;"",ISNUMBER(A4555)),VLOOKUP(A4555,Studies!A:BR,6,FALSE),"")</f>
        <v>Plasma</v>
      </c>
      <c r="G4555" s="50">
        <v>364</v>
      </c>
      <c r="H4555" s="50" t="s">
        <v>60</v>
      </c>
      <c r="I4555" s="41">
        <v>0.46197169999999999</v>
      </c>
      <c r="J4555" s="41" t="s">
        <v>1026</v>
      </c>
      <c r="K4555" s="41" t="s">
        <v>116</v>
      </c>
      <c r="L4555" s="52">
        <v>0.20578060000000001</v>
      </c>
      <c r="M4555" s="52" t="s">
        <v>1026</v>
      </c>
      <c r="N4555" s="52" t="s">
        <v>117</v>
      </c>
    </row>
    <row r="4556" spans="1:16" x14ac:dyDescent="0.2">
      <c r="A4556" s="189">
        <v>316</v>
      </c>
      <c r="B4556" s="232" t="str">
        <f>IF(AND(A4556&lt;&gt;"",ISNUMBER(A4556)),VLOOKUP(A4556,Studies!A:BR,2,FALSE),"")</f>
        <v>Kirby 2012</v>
      </c>
      <c r="C4556" s="232" t="str">
        <f>IF(AND(A4556&lt;&gt;"",ISNUMBER(A4556)),VLOOKUP(A4556,Studies!A:BR,3,FALSE),"")</f>
        <v>https://www.ncbi.nlm.nih.gov/pubmed/22190694</v>
      </c>
      <c r="D4556" s="232" t="str">
        <f>IF(AND(A4556&lt;&gt;"",ISNUMBER(A4556)),VLOOKUP(A4556,Studies!A:BR,4,FALSE),"")</f>
        <v>Study 2 - Simultaneous Administration with RIF</v>
      </c>
      <c r="E4556" s="206" t="str">
        <f>IF(AND(A4556&lt;&gt;"",ISNUMBER(A4556)),VLOOKUP(A4556,Studies!A:BR,5,FALSE),"")</f>
        <v>Digoxin</v>
      </c>
      <c r="F4556" s="207" t="str">
        <f>IF(AND(A4556&lt;&gt;"",ISNUMBER(A4556)),VLOOKUP(A4556,Studies!A:BR,6,FALSE),"")</f>
        <v>Plasma</v>
      </c>
      <c r="G4556" s="50">
        <v>365</v>
      </c>
      <c r="H4556" s="50" t="s">
        <v>60</v>
      </c>
      <c r="I4556" s="41">
        <v>0.3084827</v>
      </c>
      <c r="J4556" s="41" t="s">
        <v>1026</v>
      </c>
      <c r="K4556" s="41" t="s">
        <v>116</v>
      </c>
      <c r="L4556" s="52">
        <v>0.16341310000000001</v>
      </c>
      <c r="M4556" s="52" t="s">
        <v>1026</v>
      </c>
      <c r="N4556" s="52" t="s">
        <v>117</v>
      </c>
    </row>
    <row r="4557" spans="1:16" x14ac:dyDescent="0.2">
      <c r="A4557" s="189">
        <v>316</v>
      </c>
      <c r="B4557" s="232" t="str">
        <f>IF(AND(A4557&lt;&gt;"",ISNUMBER(A4557)),VLOOKUP(A4557,Studies!A:BR,2,FALSE),"")</f>
        <v>Kirby 2012</v>
      </c>
      <c r="C4557" s="232" t="str">
        <f>IF(AND(A4557&lt;&gt;"",ISNUMBER(A4557)),VLOOKUP(A4557,Studies!A:BR,3,FALSE),"")</f>
        <v>https://www.ncbi.nlm.nih.gov/pubmed/22190694</v>
      </c>
      <c r="D4557" s="232" t="str">
        <f>IF(AND(A4557&lt;&gt;"",ISNUMBER(A4557)),VLOOKUP(A4557,Studies!A:BR,4,FALSE),"")</f>
        <v>Study 2 - Simultaneous Administration with RIF</v>
      </c>
      <c r="E4557" s="206" t="str">
        <f>IF(AND(A4557&lt;&gt;"",ISNUMBER(A4557)),VLOOKUP(A4557,Studies!A:BR,5,FALSE),"")</f>
        <v>Digoxin</v>
      </c>
      <c r="F4557" s="207" t="str">
        <f>IF(AND(A4557&lt;&gt;"",ISNUMBER(A4557)),VLOOKUP(A4557,Studies!A:BR,6,FALSE),"")</f>
        <v>Plasma</v>
      </c>
      <c r="G4557" s="50">
        <v>366</v>
      </c>
      <c r="H4557" s="50" t="s">
        <v>60</v>
      </c>
      <c r="I4557" s="41">
        <v>0.25118859999999998</v>
      </c>
      <c r="J4557" s="41" t="s">
        <v>1026</v>
      </c>
      <c r="K4557" s="41" t="s">
        <v>116</v>
      </c>
      <c r="L4557" s="52">
        <v>0.13854620000000001</v>
      </c>
      <c r="M4557" s="52" t="s">
        <v>1026</v>
      </c>
      <c r="N4557" s="52" t="s">
        <v>117</v>
      </c>
    </row>
    <row r="4558" spans="1:16" x14ac:dyDescent="0.2">
      <c r="A4558" s="189">
        <v>316</v>
      </c>
      <c r="B4558" s="232" t="str">
        <f>IF(AND(A4558&lt;&gt;"",ISNUMBER(A4558)),VLOOKUP(A4558,Studies!A:BR,2,FALSE),"")</f>
        <v>Kirby 2012</v>
      </c>
      <c r="C4558" s="232" t="str">
        <f>IF(AND(A4558&lt;&gt;"",ISNUMBER(A4558)),VLOOKUP(A4558,Studies!A:BR,3,FALSE),"")</f>
        <v>https://www.ncbi.nlm.nih.gov/pubmed/22190694</v>
      </c>
      <c r="D4558" s="232" t="str">
        <f>IF(AND(A4558&lt;&gt;"",ISNUMBER(A4558)),VLOOKUP(A4558,Studies!A:BR,4,FALSE),"")</f>
        <v>Study 2 - Simultaneous Administration with RIF</v>
      </c>
      <c r="E4558" s="206" t="str">
        <f>IF(AND(A4558&lt;&gt;"",ISNUMBER(A4558)),VLOOKUP(A4558,Studies!A:BR,5,FALSE),"")</f>
        <v>Digoxin</v>
      </c>
      <c r="F4558" s="207" t="str">
        <f>IF(AND(A4558&lt;&gt;"",ISNUMBER(A4558)),VLOOKUP(A4558,Studies!A:BR,6,FALSE),"")</f>
        <v>Plasma</v>
      </c>
      <c r="G4558" s="50">
        <v>368</v>
      </c>
      <c r="H4558" s="50" t="s">
        <v>60</v>
      </c>
      <c r="I4558" s="41">
        <v>0.2002343</v>
      </c>
      <c r="J4558" s="41" t="s">
        <v>1026</v>
      </c>
      <c r="K4558" s="41" t="s">
        <v>116</v>
      </c>
      <c r="L4558" s="52">
        <v>0.1126506</v>
      </c>
      <c r="M4558" s="52" t="s">
        <v>1026</v>
      </c>
      <c r="N4558" s="52" t="s">
        <v>117</v>
      </c>
    </row>
    <row r="4559" spans="1:16" x14ac:dyDescent="0.2">
      <c r="A4559" s="189">
        <v>316</v>
      </c>
      <c r="B4559" s="232" t="str">
        <f>IF(AND(A4559&lt;&gt;"",ISNUMBER(A4559)),VLOOKUP(A4559,Studies!A:BR,2,FALSE),"")</f>
        <v>Kirby 2012</v>
      </c>
      <c r="C4559" s="232" t="str">
        <f>IF(AND(A4559&lt;&gt;"",ISNUMBER(A4559)),VLOOKUP(A4559,Studies!A:BR,3,FALSE),"")</f>
        <v>https://www.ncbi.nlm.nih.gov/pubmed/22190694</v>
      </c>
      <c r="D4559" s="232" t="str">
        <f>IF(AND(A4559&lt;&gt;"",ISNUMBER(A4559)),VLOOKUP(A4559,Studies!A:BR,4,FALSE),"")</f>
        <v>Study 2 - Simultaneous Administration with RIF</v>
      </c>
      <c r="E4559" s="206" t="str">
        <f>IF(AND(A4559&lt;&gt;"",ISNUMBER(A4559)),VLOOKUP(A4559,Studies!A:BR,5,FALSE),"")</f>
        <v>Digoxin</v>
      </c>
      <c r="F4559" s="207" t="str">
        <f>IF(AND(A4559&lt;&gt;"",ISNUMBER(A4559)),VLOOKUP(A4559,Studies!A:BR,6,FALSE),"")</f>
        <v>Plasma</v>
      </c>
      <c r="G4559" s="50">
        <v>372</v>
      </c>
      <c r="H4559" s="50" t="s">
        <v>60</v>
      </c>
      <c r="I4559" s="41">
        <v>0.1435235</v>
      </c>
      <c r="J4559" s="41" t="s">
        <v>1026</v>
      </c>
      <c r="K4559" s="41" t="s">
        <v>116</v>
      </c>
      <c r="L4559" s="52">
        <v>8.7192069999999997E-2</v>
      </c>
      <c r="M4559" s="52" t="s">
        <v>1026</v>
      </c>
      <c r="N4559" s="52" t="s">
        <v>117</v>
      </c>
    </row>
    <row r="4560" spans="1:16" x14ac:dyDescent="0.2">
      <c r="A4560" s="189">
        <v>316</v>
      </c>
      <c r="B4560" s="232" t="str">
        <f>IF(AND(A4560&lt;&gt;"",ISNUMBER(A4560)),VLOOKUP(A4560,Studies!A:BR,2,FALSE),"")</f>
        <v>Kirby 2012</v>
      </c>
      <c r="C4560" s="232" t="str">
        <f>IF(AND(A4560&lt;&gt;"",ISNUMBER(A4560)),VLOOKUP(A4560,Studies!A:BR,3,FALSE),"")</f>
        <v>https://www.ncbi.nlm.nih.gov/pubmed/22190694</v>
      </c>
      <c r="D4560" s="232" t="str">
        <f>IF(AND(A4560&lt;&gt;"",ISNUMBER(A4560)),VLOOKUP(A4560,Studies!A:BR,4,FALSE),"")</f>
        <v>Study 2 - Simultaneous Administration with RIF</v>
      </c>
      <c r="E4560" s="206" t="str">
        <f>IF(AND(A4560&lt;&gt;"",ISNUMBER(A4560)),VLOOKUP(A4560,Studies!A:BR,5,FALSE),"")</f>
        <v>Digoxin</v>
      </c>
      <c r="F4560" s="207" t="str">
        <f>IF(AND(A4560&lt;&gt;"",ISNUMBER(A4560)),VLOOKUP(A4560,Studies!A:BR,6,FALSE),"")</f>
        <v>Plasma</v>
      </c>
      <c r="G4560" s="50">
        <v>383</v>
      </c>
      <c r="H4560" s="50" t="s">
        <v>60</v>
      </c>
      <c r="I4560" s="41">
        <v>0.13561500000000001</v>
      </c>
      <c r="J4560" s="41" t="s">
        <v>1026</v>
      </c>
      <c r="K4560" s="41" t="s">
        <v>116</v>
      </c>
      <c r="L4560" s="52">
        <v>8.2387520000000006E-2</v>
      </c>
      <c r="M4560" s="52" t="s">
        <v>1026</v>
      </c>
      <c r="N4560" s="52" t="s">
        <v>117</v>
      </c>
      <c r="P4560" s="42" t="s">
        <v>1434</v>
      </c>
    </row>
    <row r="4561" spans="1:15" x14ac:dyDescent="0.2">
      <c r="A4561" s="189">
        <v>49</v>
      </c>
      <c r="B4561" s="232" t="str">
        <f>IF(AND(A4561&lt;&gt;"",ISNUMBER(A4561)),VLOOKUP(A4561,Studies!A:BR,2,FALSE),"")</f>
        <v>Ahonen 1995</v>
      </c>
      <c r="C4561" s="232" t="str">
        <f>IF(AND(A4561&lt;&gt;"",ISNUMBER(A4561)),VLOOKUP(A4561,Studies!A:BR,3,FALSE),"")</f>
        <v>http://www.ncbi.nlm.nih.gov/pubmed/6138081</v>
      </c>
      <c r="D4561" s="232" t="str">
        <f>IF(AND(A4561&lt;&gt;"",ISNUMBER(A4561)),VLOOKUP(A4561,Studies!A:BR,4,FALSE),"")</f>
        <v>Control (Perpetrator Placebo)</v>
      </c>
      <c r="E4561" s="206" t="str">
        <f>IF(AND(A4561&lt;&gt;"",ISNUMBER(A4561)),VLOOKUP(A4561,Studies!A:BR,5,FALSE),"")</f>
        <v>Midazolam</v>
      </c>
      <c r="F4561" s="207" t="str">
        <f>IF(AND(A4561&lt;&gt;"",ISNUMBER(A4561)),VLOOKUP(A4561,Studies!A:BR,6,FALSE),"")</f>
        <v>Plasma</v>
      </c>
      <c r="G4561" s="50">
        <v>0</v>
      </c>
      <c r="H4561" s="50" t="s">
        <v>60</v>
      </c>
      <c r="I4561" s="41">
        <v>0</v>
      </c>
      <c r="J4561" s="41" t="s">
        <v>1026</v>
      </c>
      <c r="K4561" s="41" t="s">
        <v>116</v>
      </c>
      <c r="O4561" s="59">
        <v>1</v>
      </c>
    </row>
    <row r="4562" spans="1:15" x14ac:dyDescent="0.2">
      <c r="A4562" s="189">
        <v>49</v>
      </c>
      <c r="B4562" s="232" t="str">
        <f>IF(AND(A4562&lt;&gt;"",ISNUMBER(A4562)),VLOOKUP(A4562,Studies!A:BR,2,FALSE),"")</f>
        <v>Ahonen 1995</v>
      </c>
      <c r="C4562" s="232" t="str">
        <f>IF(AND(A4562&lt;&gt;"",ISNUMBER(A4562)),VLOOKUP(A4562,Studies!A:BR,3,FALSE),"")</f>
        <v>http://www.ncbi.nlm.nih.gov/pubmed/6138081</v>
      </c>
      <c r="D4562" s="232" t="str">
        <f>IF(AND(A4562&lt;&gt;"",ISNUMBER(A4562)),VLOOKUP(A4562,Studies!A:BR,4,FALSE),"")</f>
        <v>Control (Perpetrator Placebo)</v>
      </c>
      <c r="E4562" s="206" t="str">
        <f>IF(AND(A4562&lt;&gt;"",ISNUMBER(A4562)),VLOOKUP(A4562,Studies!A:BR,5,FALSE),"")</f>
        <v>Midazolam</v>
      </c>
      <c r="F4562" s="207" t="str">
        <f>IF(AND(A4562&lt;&gt;"",ISNUMBER(A4562)),VLOOKUP(A4562,Studies!A:BR,6,FALSE),"")</f>
        <v>Plasma</v>
      </c>
      <c r="G4562" s="50">
        <v>0.5</v>
      </c>
      <c r="H4562" s="50" t="s">
        <v>60</v>
      </c>
      <c r="I4562" s="41">
        <v>15.635059999999999</v>
      </c>
      <c r="J4562" s="41" t="s">
        <v>1026</v>
      </c>
      <c r="K4562" s="41" t="s">
        <v>116</v>
      </c>
      <c r="L4562" s="52">
        <v>6.6660430000000002</v>
      </c>
      <c r="M4562" s="52" t="s">
        <v>1026</v>
      </c>
      <c r="N4562" s="52" t="s">
        <v>1034</v>
      </c>
      <c r="O4562" s="59">
        <v>1</v>
      </c>
    </row>
    <row r="4563" spans="1:15" x14ac:dyDescent="0.2">
      <c r="A4563" s="189">
        <v>49</v>
      </c>
      <c r="B4563" s="232" t="str">
        <f>IF(AND(A4563&lt;&gt;"",ISNUMBER(A4563)),VLOOKUP(A4563,Studies!A:BR,2,FALSE),"")</f>
        <v>Ahonen 1995</v>
      </c>
      <c r="C4563" s="232" t="str">
        <f>IF(AND(A4563&lt;&gt;"",ISNUMBER(A4563)),VLOOKUP(A4563,Studies!A:BR,3,FALSE),"")</f>
        <v>http://www.ncbi.nlm.nih.gov/pubmed/6138081</v>
      </c>
      <c r="D4563" s="232" t="str">
        <f>IF(AND(A4563&lt;&gt;"",ISNUMBER(A4563)),VLOOKUP(A4563,Studies!A:BR,4,FALSE),"")</f>
        <v>Control (Perpetrator Placebo)</v>
      </c>
      <c r="E4563" s="206" t="str">
        <f>IF(AND(A4563&lt;&gt;"",ISNUMBER(A4563)),VLOOKUP(A4563,Studies!A:BR,5,FALSE),"")</f>
        <v>Midazolam</v>
      </c>
      <c r="F4563" s="207" t="str">
        <f>IF(AND(A4563&lt;&gt;"",ISNUMBER(A4563)),VLOOKUP(A4563,Studies!A:BR,6,FALSE),"")</f>
        <v>Plasma</v>
      </c>
      <c r="G4563" s="50">
        <v>1</v>
      </c>
      <c r="H4563" s="50" t="s">
        <v>60</v>
      </c>
      <c r="I4563" s="41">
        <v>28.00338</v>
      </c>
      <c r="J4563" s="41" t="s">
        <v>1026</v>
      </c>
      <c r="K4563" s="41" t="s">
        <v>116</v>
      </c>
      <c r="L4563" s="52">
        <v>4.6257669999999997</v>
      </c>
      <c r="M4563" s="52" t="s">
        <v>1026</v>
      </c>
      <c r="N4563" s="52" t="s">
        <v>1034</v>
      </c>
      <c r="O4563" s="59">
        <v>1</v>
      </c>
    </row>
    <row r="4564" spans="1:15" x14ac:dyDescent="0.2">
      <c r="A4564" s="189">
        <v>49</v>
      </c>
      <c r="B4564" s="232" t="str">
        <f>IF(AND(A4564&lt;&gt;"",ISNUMBER(A4564)),VLOOKUP(A4564,Studies!A:BR,2,FALSE),"")</f>
        <v>Ahonen 1995</v>
      </c>
      <c r="C4564" s="232" t="str">
        <f>IF(AND(A4564&lt;&gt;"",ISNUMBER(A4564)),VLOOKUP(A4564,Studies!A:BR,3,FALSE),"")</f>
        <v>http://www.ncbi.nlm.nih.gov/pubmed/6138081</v>
      </c>
      <c r="D4564" s="232" t="str">
        <f>IF(AND(A4564&lt;&gt;"",ISNUMBER(A4564)),VLOOKUP(A4564,Studies!A:BR,4,FALSE),"")</f>
        <v>Control (Perpetrator Placebo)</v>
      </c>
      <c r="E4564" s="206" t="str">
        <f>IF(AND(A4564&lt;&gt;"",ISNUMBER(A4564)),VLOOKUP(A4564,Studies!A:BR,5,FALSE),"")</f>
        <v>Midazolam</v>
      </c>
      <c r="F4564" s="207" t="str">
        <f>IF(AND(A4564&lt;&gt;"",ISNUMBER(A4564)),VLOOKUP(A4564,Studies!A:BR,6,FALSE),"")</f>
        <v>Plasma</v>
      </c>
      <c r="G4564" s="50">
        <v>1.5</v>
      </c>
      <c r="H4564" s="50" t="s">
        <v>60</v>
      </c>
      <c r="I4564" s="41">
        <v>23.501270000000002</v>
      </c>
      <c r="J4564" s="41" t="s">
        <v>1026</v>
      </c>
      <c r="K4564" s="41" t="s">
        <v>116</v>
      </c>
      <c r="L4564" s="52">
        <v>3.1296879999999998</v>
      </c>
      <c r="M4564" s="52" t="s">
        <v>1026</v>
      </c>
      <c r="N4564" s="52" t="s">
        <v>1034</v>
      </c>
      <c r="O4564" s="59">
        <v>1</v>
      </c>
    </row>
    <row r="4565" spans="1:15" x14ac:dyDescent="0.2">
      <c r="A4565" s="189">
        <v>49</v>
      </c>
      <c r="B4565" s="232" t="str">
        <f>IF(AND(A4565&lt;&gt;"",ISNUMBER(A4565)),VLOOKUP(A4565,Studies!A:BR,2,FALSE),"")</f>
        <v>Ahonen 1995</v>
      </c>
      <c r="C4565" s="232" t="str">
        <f>IF(AND(A4565&lt;&gt;"",ISNUMBER(A4565)),VLOOKUP(A4565,Studies!A:BR,3,FALSE),"")</f>
        <v>http://www.ncbi.nlm.nih.gov/pubmed/6138081</v>
      </c>
      <c r="D4565" s="232" t="str">
        <f>IF(AND(A4565&lt;&gt;"",ISNUMBER(A4565)),VLOOKUP(A4565,Studies!A:BR,4,FALSE),"")</f>
        <v>Control (Perpetrator Placebo)</v>
      </c>
      <c r="E4565" s="206" t="str">
        <f>IF(AND(A4565&lt;&gt;"",ISNUMBER(A4565)),VLOOKUP(A4565,Studies!A:BR,5,FALSE),"")</f>
        <v>Midazolam</v>
      </c>
      <c r="F4565" s="207" t="str">
        <f>IF(AND(A4565&lt;&gt;"",ISNUMBER(A4565)),VLOOKUP(A4565,Studies!A:BR,6,FALSE),"")</f>
        <v>Plasma</v>
      </c>
      <c r="G4565" s="50">
        <v>2</v>
      </c>
      <c r="H4565" s="50" t="s">
        <v>60</v>
      </c>
      <c r="I4565" s="41">
        <v>18.45495</v>
      </c>
      <c r="J4565" s="41" t="s">
        <v>1026</v>
      </c>
      <c r="K4565" s="41" t="s">
        <v>116</v>
      </c>
      <c r="O4565" s="59">
        <v>1</v>
      </c>
    </row>
    <row r="4566" spans="1:15" x14ac:dyDescent="0.2">
      <c r="A4566" s="189">
        <v>49</v>
      </c>
      <c r="B4566" s="232" t="str">
        <f>IF(AND(A4566&lt;&gt;"",ISNUMBER(A4566)),VLOOKUP(A4566,Studies!A:BR,2,FALSE),"")</f>
        <v>Ahonen 1995</v>
      </c>
      <c r="C4566" s="232" t="str">
        <f>IF(AND(A4566&lt;&gt;"",ISNUMBER(A4566)),VLOOKUP(A4566,Studies!A:BR,3,FALSE),"")</f>
        <v>http://www.ncbi.nlm.nih.gov/pubmed/6138081</v>
      </c>
      <c r="D4566" s="232" t="str">
        <f>IF(AND(A4566&lt;&gt;"",ISNUMBER(A4566)),VLOOKUP(A4566,Studies!A:BR,4,FALSE),"")</f>
        <v>Control (Perpetrator Placebo)</v>
      </c>
      <c r="E4566" s="206" t="str">
        <f>IF(AND(A4566&lt;&gt;"",ISNUMBER(A4566)),VLOOKUP(A4566,Studies!A:BR,5,FALSE),"")</f>
        <v>Midazolam</v>
      </c>
      <c r="F4566" s="207" t="str">
        <f>IF(AND(A4566&lt;&gt;"",ISNUMBER(A4566)),VLOOKUP(A4566,Studies!A:BR,6,FALSE),"")</f>
        <v>Plasma</v>
      </c>
      <c r="G4566" s="50">
        <v>3</v>
      </c>
      <c r="H4566" s="50" t="s">
        <v>60</v>
      </c>
      <c r="I4566" s="41">
        <v>11.764110000000001</v>
      </c>
      <c r="J4566" s="41" t="s">
        <v>1026</v>
      </c>
      <c r="K4566" s="41" t="s">
        <v>116</v>
      </c>
      <c r="O4566" s="59">
        <v>1</v>
      </c>
    </row>
    <row r="4567" spans="1:15" x14ac:dyDescent="0.2">
      <c r="A4567" s="189">
        <v>49</v>
      </c>
      <c r="B4567" s="232" t="str">
        <f>IF(AND(A4567&lt;&gt;"",ISNUMBER(A4567)),VLOOKUP(A4567,Studies!A:BR,2,FALSE),"")</f>
        <v>Ahonen 1995</v>
      </c>
      <c r="C4567" s="232" t="str">
        <f>IF(AND(A4567&lt;&gt;"",ISNUMBER(A4567)),VLOOKUP(A4567,Studies!A:BR,3,FALSE),"")</f>
        <v>http://www.ncbi.nlm.nih.gov/pubmed/6138081</v>
      </c>
      <c r="D4567" s="232" t="str">
        <f>IF(AND(A4567&lt;&gt;"",ISNUMBER(A4567)),VLOOKUP(A4567,Studies!A:BR,4,FALSE),"")</f>
        <v>Control (Perpetrator Placebo)</v>
      </c>
      <c r="E4567" s="206" t="str">
        <f>IF(AND(A4567&lt;&gt;"",ISNUMBER(A4567)),VLOOKUP(A4567,Studies!A:BR,5,FALSE),"")</f>
        <v>Midazolam</v>
      </c>
      <c r="F4567" s="207" t="str">
        <f>IF(AND(A4567&lt;&gt;"",ISNUMBER(A4567)),VLOOKUP(A4567,Studies!A:BR,6,FALSE),"")</f>
        <v>Plasma</v>
      </c>
      <c r="G4567" s="50">
        <v>4</v>
      </c>
      <c r="H4567" s="50" t="s">
        <v>60</v>
      </c>
      <c r="I4567" s="41">
        <v>8.4750580000000006</v>
      </c>
      <c r="J4567" s="41" t="s">
        <v>1026</v>
      </c>
      <c r="K4567" s="41" t="s">
        <v>116</v>
      </c>
      <c r="O4567" s="59">
        <v>1</v>
      </c>
    </row>
    <row r="4568" spans="1:15" x14ac:dyDescent="0.2">
      <c r="A4568" s="189">
        <v>49</v>
      </c>
      <c r="B4568" s="232" t="str">
        <f>IF(AND(A4568&lt;&gt;"",ISNUMBER(A4568)),VLOOKUP(A4568,Studies!A:BR,2,FALSE),"")</f>
        <v>Ahonen 1995</v>
      </c>
      <c r="C4568" s="232" t="str">
        <f>IF(AND(A4568&lt;&gt;"",ISNUMBER(A4568)),VLOOKUP(A4568,Studies!A:BR,3,FALSE),"")</f>
        <v>http://www.ncbi.nlm.nih.gov/pubmed/6138081</v>
      </c>
      <c r="D4568" s="232" t="str">
        <f>IF(AND(A4568&lt;&gt;"",ISNUMBER(A4568)),VLOOKUP(A4568,Studies!A:BR,4,FALSE),"")</f>
        <v>Control (Perpetrator Placebo)</v>
      </c>
      <c r="E4568" s="206" t="str">
        <f>IF(AND(A4568&lt;&gt;"",ISNUMBER(A4568)),VLOOKUP(A4568,Studies!A:BR,5,FALSE),"")</f>
        <v>Midazolam</v>
      </c>
      <c r="F4568" s="207" t="str">
        <f>IF(AND(A4568&lt;&gt;"",ISNUMBER(A4568)),VLOOKUP(A4568,Studies!A:BR,6,FALSE),"")</f>
        <v>Plasma</v>
      </c>
      <c r="G4568" s="50">
        <v>5</v>
      </c>
      <c r="H4568" s="50" t="s">
        <v>60</v>
      </c>
      <c r="I4568" s="41">
        <v>5.3220590000000003</v>
      </c>
      <c r="J4568" s="41" t="s">
        <v>1026</v>
      </c>
      <c r="K4568" s="41" t="s">
        <v>116</v>
      </c>
      <c r="O4568" s="59">
        <v>1</v>
      </c>
    </row>
    <row r="4569" spans="1:15" x14ac:dyDescent="0.2">
      <c r="A4569" s="189">
        <v>49</v>
      </c>
      <c r="B4569" s="232" t="str">
        <f>IF(AND(A4569&lt;&gt;"",ISNUMBER(A4569)),VLOOKUP(A4569,Studies!A:BR,2,FALSE),"")</f>
        <v>Ahonen 1995</v>
      </c>
      <c r="C4569" s="232" t="str">
        <f>IF(AND(A4569&lt;&gt;"",ISNUMBER(A4569)),VLOOKUP(A4569,Studies!A:BR,3,FALSE),"")</f>
        <v>http://www.ncbi.nlm.nih.gov/pubmed/6138081</v>
      </c>
      <c r="D4569" s="232" t="str">
        <f>IF(AND(A4569&lt;&gt;"",ISNUMBER(A4569)),VLOOKUP(A4569,Studies!A:BR,4,FALSE),"")</f>
        <v>Control (Perpetrator Placebo)</v>
      </c>
      <c r="E4569" s="206" t="str">
        <f>IF(AND(A4569&lt;&gt;"",ISNUMBER(A4569)),VLOOKUP(A4569,Studies!A:BR,5,FALSE),"")</f>
        <v>Midazolam</v>
      </c>
      <c r="F4569" s="207" t="str">
        <f>IF(AND(A4569&lt;&gt;"",ISNUMBER(A4569)),VLOOKUP(A4569,Studies!A:BR,6,FALSE),"")</f>
        <v>Plasma</v>
      </c>
      <c r="G4569" s="50">
        <v>6</v>
      </c>
      <c r="H4569" s="50" t="s">
        <v>60</v>
      </c>
      <c r="I4569" s="41">
        <v>4.0737870000000003</v>
      </c>
      <c r="J4569" s="41" t="s">
        <v>1026</v>
      </c>
      <c r="K4569" s="41" t="s">
        <v>116</v>
      </c>
      <c r="O4569" s="59">
        <v>1</v>
      </c>
    </row>
    <row r="4570" spans="1:15" x14ac:dyDescent="0.2">
      <c r="A4570" s="189">
        <v>49</v>
      </c>
      <c r="B4570" s="232" t="str">
        <f>IF(AND(A4570&lt;&gt;"",ISNUMBER(A4570)),VLOOKUP(A4570,Studies!A:BR,2,FALSE),"")</f>
        <v>Ahonen 1995</v>
      </c>
      <c r="C4570" s="232" t="str">
        <f>IF(AND(A4570&lt;&gt;"",ISNUMBER(A4570)),VLOOKUP(A4570,Studies!A:BR,3,FALSE),"")</f>
        <v>http://www.ncbi.nlm.nih.gov/pubmed/6138081</v>
      </c>
      <c r="D4570" s="232" t="str">
        <f>IF(AND(A4570&lt;&gt;"",ISNUMBER(A4570)),VLOOKUP(A4570,Studies!A:BR,4,FALSE),"")</f>
        <v>Control (Perpetrator Placebo)</v>
      </c>
      <c r="E4570" s="206" t="str">
        <f>IF(AND(A4570&lt;&gt;"",ISNUMBER(A4570)),VLOOKUP(A4570,Studies!A:BR,5,FALSE),"")</f>
        <v>Midazolam</v>
      </c>
      <c r="F4570" s="207" t="str">
        <f>IF(AND(A4570&lt;&gt;"",ISNUMBER(A4570)),VLOOKUP(A4570,Studies!A:BR,6,FALSE),"")</f>
        <v>Plasma</v>
      </c>
      <c r="G4570" s="50">
        <v>7</v>
      </c>
      <c r="H4570" s="50" t="s">
        <v>60</v>
      </c>
      <c r="I4570" s="41">
        <v>3.5057740000000002</v>
      </c>
      <c r="J4570" s="41" t="s">
        <v>1026</v>
      </c>
      <c r="K4570" s="41" t="s">
        <v>116</v>
      </c>
      <c r="O4570" s="59">
        <v>1</v>
      </c>
    </row>
    <row r="4571" spans="1:15" x14ac:dyDescent="0.2">
      <c r="A4571" s="189">
        <v>49</v>
      </c>
      <c r="B4571" s="232" t="str">
        <f>IF(AND(A4571&lt;&gt;"",ISNUMBER(A4571)),VLOOKUP(A4571,Studies!A:BR,2,FALSE),"")</f>
        <v>Ahonen 1995</v>
      </c>
      <c r="C4571" s="232" t="str">
        <f>IF(AND(A4571&lt;&gt;"",ISNUMBER(A4571)),VLOOKUP(A4571,Studies!A:BR,3,FALSE),"")</f>
        <v>http://www.ncbi.nlm.nih.gov/pubmed/6138081</v>
      </c>
      <c r="D4571" s="232" t="str">
        <f>IF(AND(A4571&lt;&gt;"",ISNUMBER(A4571)),VLOOKUP(A4571,Studies!A:BR,4,FALSE),"")</f>
        <v>Control (Perpetrator Placebo)</v>
      </c>
      <c r="E4571" s="206" t="str">
        <f>IF(AND(A4571&lt;&gt;"",ISNUMBER(A4571)),VLOOKUP(A4571,Studies!A:BR,5,FALSE),"")</f>
        <v>Midazolam</v>
      </c>
      <c r="F4571" s="207" t="str">
        <f>IF(AND(A4571&lt;&gt;"",ISNUMBER(A4571)),VLOOKUP(A4571,Studies!A:BR,6,FALSE),"")</f>
        <v>Plasma</v>
      </c>
      <c r="G4571" s="50">
        <v>17</v>
      </c>
      <c r="H4571" s="50" t="s">
        <v>60</v>
      </c>
      <c r="I4571" s="41">
        <v>0.54470350000000001</v>
      </c>
      <c r="J4571" s="41" t="s">
        <v>1026</v>
      </c>
      <c r="K4571" s="41" t="s">
        <v>116</v>
      </c>
      <c r="O4571" s="59">
        <v>1</v>
      </c>
    </row>
    <row r="4572" spans="1:15" x14ac:dyDescent="0.2">
      <c r="A4572" s="189">
        <v>50</v>
      </c>
      <c r="B4572" s="232" t="str">
        <f>IF(AND(A4572&lt;&gt;"",ISNUMBER(A4572)),VLOOKUP(A4572,Studies!A:BR,2,FALSE),"")</f>
        <v>Ahonen 1995</v>
      </c>
      <c r="C4572" s="232" t="str">
        <f>IF(AND(A4572&lt;&gt;"",ISNUMBER(A4572)),VLOOKUP(A4572,Studies!A:BR,3,FALSE),"")</f>
        <v>http://www.ncbi.nlm.nih.gov/pubmed/6138081</v>
      </c>
      <c r="D4572" s="232" t="str">
        <f>IF(AND(A4572&lt;&gt;"",ISNUMBER(A4572)),VLOOKUP(A4572,Studies!A:BR,4,FALSE),"")</f>
        <v>with Perpetrator (Itraconazole)</v>
      </c>
      <c r="E4572" s="206" t="str">
        <f>IF(AND(A4572&lt;&gt;"",ISNUMBER(A4572)),VLOOKUP(A4572,Studies!A:BR,5,FALSE),"")</f>
        <v>Midazolam</v>
      </c>
      <c r="F4572" s="207" t="str">
        <f>IF(AND(A4572&lt;&gt;"",ISNUMBER(A4572)),VLOOKUP(A4572,Studies!A:BR,6,FALSE),"")</f>
        <v>Plasma</v>
      </c>
      <c r="G4572" s="50">
        <v>74</v>
      </c>
      <c r="H4572" s="50" t="s">
        <v>60</v>
      </c>
      <c r="I4572" s="41">
        <v>0</v>
      </c>
      <c r="J4572" s="41" t="s">
        <v>1026</v>
      </c>
      <c r="K4572" s="41" t="s">
        <v>116</v>
      </c>
      <c r="O4572" s="59">
        <v>1</v>
      </c>
    </row>
    <row r="4573" spans="1:15" x14ac:dyDescent="0.2">
      <c r="A4573" s="189">
        <v>50</v>
      </c>
      <c r="B4573" s="232" t="str">
        <f>IF(AND(A4573&lt;&gt;"",ISNUMBER(A4573)),VLOOKUP(A4573,Studies!A:BR,2,FALSE),"")</f>
        <v>Ahonen 1995</v>
      </c>
      <c r="C4573" s="232" t="str">
        <f>IF(AND(A4573&lt;&gt;"",ISNUMBER(A4573)),VLOOKUP(A4573,Studies!A:BR,3,FALSE),"")</f>
        <v>http://www.ncbi.nlm.nih.gov/pubmed/6138081</v>
      </c>
      <c r="D4573" s="232" t="str">
        <f>IF(AND(A4573&lt;&gt;"",ISNUMBER(A4573)),VLOOKUP(A4573,Studies!A:BR,4,FALSE),"")</f>
        <v>with Perpetrator (Itraconazole)</v>
      </c>
      <c r="E4573" s="206" t="str">
        <f>IF(AND(A4573&lt;&gt;"",ISNUMBER(A4573)),VLOOKUP(A4573,Studies!A:BR,5,FALSE),"")</f>
        <v>Midazolam</v>
      </c>
      <c r="F4573" s="207" t="str">
        <f>IF(AND(A4573&lt;&gt;"",ISNUMBER(A4573)),VLOOKUP(A4573,Studies!A:BR,6,FALSE),"")</f>
        <v>Plasma</v>
      </c>
      <c r="G4573" s="50">
        <v>74.5</v>
      </c>
      <c r="H4573" s="50" t="s">
        <v>60</v>
      </c>
      <c r="I4573" s="41">
        <v>40.259950000000003</v>
      </c>
      <c r="J4573" s="41" t="s">
        <v>1026</v>
      </c>
      <c r="K4573" s="41" t="s">
        <v>116</v>
      </c>
      <c r="L4573" s="52">
        <v>17.687249999999999</v>
      </c>
      <c r="M4573" s="52" t="s">
        <v>1026</v>
      </c>
      <c r="N4573" s="52" t="s">
        <v>1034</v>
      </c>
      <c r="O4573" s="59">
        <v>1</v>
      </c>
    </row>
    <row r="4574" spans="1:15" x14ac:dyDescent="0.2">
      <c r="A4574" s="189">
        <v>50</v>
      </c>
      <c r="B4574" s="232" t="str">
        <f>IF(AND(A4574&lt;&gt;"",ISNUMBER(A4574)),VLOOKUP(A4574,Studies!A:BR,2,FALSE),"")</f>
        <v>Ahonen 1995</v>
      </c>
      <c r="C4574" s="232" t="str">
        <f>IF(AND(A4574&lt;&gt;"",ISNUMBER(A4574)),VLOOKUP(A4574,Studies!A:BR,3,FALSE),"")</f>
        <v>http://www.ncbi.nlm.nih.gov/pubmed/6138081</v>
      </c>
      <c r="D4574" s="232" t="str">
        <f>IF(AND(A4574&lt;&gt;"",ISNUMBER(A4574)),VLOOKUP(A4574,Studies!A:BR,4,FALSE),"")</f>
        <v>with Perpetrator (Itraconazole)</v>
      </c>
      <c r="E4574" s="206" t="str">
        <f>IF(AND(A4574&lt;&gt;"",ISNUMBER(A4574)),VLOOKUP(A4574,Studies!A:BR,5,FALSE),"")</f>
        <v>Midazolam</v>
      </c>
      <c r="F4574" s="207" t="str">
        <f>IF(AND(A4574&lt;&gt;"",ISNUMBER(A4574)),VLOOKUP(A4574,Studies!A:BR,6,FALSE),"")</f>
        <v>Plasma</v>
      </c>
      <c r="G4574" s="50">
        <v>75</v>
      </c>
      <c r="H4574" s="50" t="s">
        <v>60</v>
      </c>
      <c r="I4574" s="41">
        <v>64.193179999999998</v>
      </c>
      <c r="J4574" s="41" t="s">
        <v>1026</v>
      </c>
      <c r="K4574" s="41" t="s">
        <v>116</v>
      </c>
      <c r="L4574" s="52">
        <v>11.97307</v>
      </c>
      <c r="M4574" s="52" t="s">
        <v>1026</v>
      </c>
      <c r="N4574" s="52" t="s">
        <v>1034</v>
      </c>
      <c r="O4574" s="59">
        <v>1</v>
      </c>
    </row>
    <row r="4575" spans="1:15" x14ac:dyDescent="0.2">
      <c r="A4575" s="189">
        <v>50</v>
      </c>
      <c r="B4575" s="232" t="str">
        <f>IF(AND(A4575&lt;&gt;"",ISNUMBER(A4575)),VLOOKUP(A4575,Studies!A:BR,2,FALSE),"")</f>
        <v>Ahonen 1995</v>
      </c>
      <c r="C4575" s="232" t="str">
        <f>IF(AND(A4575&lt;&gt;"",ISNUMBER(A4575)),VLOOKUP(A4575,Studies!A:BR,3,FALSE),"")</f>
        <v>http://www.ncbi.nlm.nih.gov/pubmed/6138081</v>
      </c>
      <c r="D4575" s="232" t="str">
        <f>IF(AND(A4575&lt;&gt;"",ISNUMBER(A4575)),VLOOKUP(A4575,Studies!A:BR,4,FALSE),"")</f>
        <v>with Perpetrator (Itraconazole)</v>
      </c>
      <c r="E4575" s="206" t="str">
        <f>IF(AND(A4575&lt;&gt;"",ISNUMBER(A4575)),VLOOKUP(A4575,Studies!A:BR,5,FALSE),"")</f>
        <v>Midazolam</v>
      </c>
      <c r="F4575" s="207" t="str">
        <f>IF(AND(A4575&lt;&gt;"",ISNUMBER(A4575)),VLOOKUP(A4575,Studies!A:BR,6,FALSE),"")</f>
        <v>Plasma</v>
      </c>
      <c r="G4575" s="50">
        <v>75.5</v>
      </c>
      <c r="H4575" s="50" t="s">
        <v>60</v>
      </c>
      <c r="I4575" s="41">
        <v>64.453379999999996</v>
      </c>
      <c r="J4575" s="41" t="s">
        <v>1026</v>
      </c>
      <c r="K4575" s="41" t="s">
        <v>116</v>
      </c>
      <c r="L4575" s="52">
        <v>7.3468090000000004</v>
      </c>
      <c r="M4575" s="52" t="s">
        <v>1026</v>
      </c>
      <c r="N4575" s="52" t="s">
        <v>1034</v>
      </c>
      <c r="O4575" s="59">
        <v>1</v>
      </c>
    </row>
    <row r="4576" spans="1:15" x14ac:dyDescent="0.2">
      <c r="A4576" s="189">
        <v>50</v>
      </c>
      <c r="B4576" s="232" t="str">
        <f>IF(AND(A4576&lt;&gt;"",ISNUMBER(A4576)),VLOOKUP(A4576,Studies!A:BR,2,FALSE),"")</f>
        <v>Ahonen 1995</v>
      </c>
      <c r="C4576" s="232" t="str">
        <f>IF(AND(A4576&lt;&gt;"",ISNUMBER(A4576)),VLOOKUP(A4576,Studies!A:BR,3,FALSE),"")</f>
        <v>http://www.ncbi.nlm.nih.gov/pubmed/6138081</v>
      </c>
      <c r="D4576" s="232" t="str">
        <f>IF(AND(A4576&lt;&gt;"",ISNUMBER(A4576)),VLOOKUP(A4576,Studies!A:BR,4,FALSE),"")</f>
        <v>with Perpetrator (Itraconazole)</v>
      </c>
      <c r="E4576" s="206" t="str">
        <f>IF(AND(A4576&lt;&gt;"",ISNUMBER(A4576)),VLOOKUP(A4576,Studies!A:BR,5,FALSE),"")</f>
        <v>Midazolam</v>
      </c>
      <c r="F4576" s="207" t="str">
        <f>IF(AND(A4576&lt;&gt;"",ISNUMBER(A4576)),VLOOKUP(A4576,Studies!A:BR,6,FALSE),"")</f>
        <v>Plasma</v>
      </c>
      <c r="G4576" s="50">
        <v>76</v>
      </c>
      <c r="H4576" s="50" t="s">
        <v>60</v>
      </c>
      <c r="I4576" s="41">
        <v>63.48912</v>
      </c>
      <c r="J4576" s="41" t="s">
        <v>1026</v>
      </c>
      <c r="K4576" s="41" t="s">
        <v>116</v>
      </c>
      <c r="L4576" s="52">
        <v>6.3944400000000003</v>
      </c>
      <c r="M4576" s="52" t="s">
        <v>1026</v>
      </c>
      <c r="N4576" s="52" t="s">
        <v>1034</v>
      </c>
      <c r="O4576" s="59">
        <v>1</v>
      </c>
    </row>
    <row r="4577" spans="1:16" x14ac:dyDescent="0.2">
      <c r="A4577" s="189">
        <v>50</v>
      </c>
      <c r="B4577" s="232" t="str">
        <f>IF(AND(A4577&lt;&gt;"",ISNUMBER(A4577)),VLOOKUP(A4577,Studies!A:BR,2,FALSE),"")</f>
        <v>Ahonen 1995</v>
      </c>
      <c r="C4577" s="232" t="str">
        <f>IF(AND(A4577&lt;&gt;"",ISNUMBER(A4577)),VLOOKUP(A4577,Studies!A:BR,3,FALSE),"")</f>
        <v>http://www.ncbi.nlm.nih.gov/pubmed/6138081</v>
      </c>
      <c r="D4577" s="232" t="str">
        <f>IF(AND(A4577&lt;&gt;"",ISNUMBER(A4577)),VLOOKUP(A4577,Studies!A:BR,4,FALSE),"")</f>
        <v>with Perpetrator (Itraconazole)</v>
      </c>
      <c r="E4577" s="206" t="str">
        <f>IF(AND(A4577&lt;&gt;"",ISNUMBER(A4577)),VLOOKUP(A4577,Studies!A:BR,5,FALSE),"")</f>
        <v>Midazolam</v>
      </c>
      <c r="F4577" s="207" t="str">
        <f>IF(AND(A4577&lt;&gt;"",ISNUMBER(A4577)),VLOOKUP(A4577,Studies!A:BR,6,FALSE),"")</f>
        <v>Plasma</v>
      </c>
      <c r="G4577" s="50">
        <v>77</v>
      </c>
      <c r="H4577" s="50" t="s">
        <v>60</v>
      </c>
      <c r="I4577" s="41">
        <v>54.076740000000001</v>
      </c>
      <c r="J4577" s="41" t="s">
        <v>1026</v>
      </c>
      <c r="K4577" s="41" t="s">
        <v>116</v>
      </c>
      <c r="L4577" s="52">
        <v>4.7618179999999999</v>
      </c>
      <c r="M4577" s="52" t="s">
        <v>1026</v>
      </c>
      <c r="N4577" s="52" t="s">
        <v>1034</v>
      </c>
      <c r="O4577" s="59">
        <v>1</v>
      </c>
    </row>
    <row r="4578" spans="1:16" x14ac:dyDescent="0.2">
      <c r="A4578" s="189">
        <v>50</v>
      </c>
      <c r="B4578" s="232" t="str">
        <f>IF(AND(A4578&lt;&gt;"",ISNUMBER(A4578)),VLOOKUP(A4578,Studies!A:BR,2,FALSE),"")</f>
        <v>Ahonen 1995</v>
      </c>
      <c r="C4578" s="232" t="str">
        <f>IF(AND(A4578&lt;&gt;"",ISNUMBER(A4578)),VLOOKUP(A4578,Studies!A:BR,3,FALSE),"")</f>
        <v>http://www.ncbi.nlm.nih.gov/pubmed/6138081</v>
      </c>
      <c r="D4578" s="232" t="str">
        <f>IF(AND(A4578&lt;&gt;"",ISNUMBER(A4578)),VLOOKUP(A4578,Studies!A:BR,4,FALSE),"")</f>
        <v>with Perpetrator (Itraconazole)</v>
      </c>
      <c r="E4578" s="206" t="str">
        <f>IF(AND(A4578&lt;&gt;"",ISNUMBER(A4578)),VLOOKUP(A4578,Studies!A:BR,5,FALSE),"")</f>
        <v>Midazolam</v>
      </c>
      <c r="F4578" s="207" t="str">
        <f>IF(AND(A4578&lt;&gt;"",ISNUMBER(A4578)),VLOOKUP(A4578,Studies!A:BR,6,FALSE),"")</f>
        <v>Plasma</v>
      </c>
      <c r="G4578" s="50">
        <v>78</v>
      </c>
      <c r="H4578" s="50" t="s">
        <v>60</v>
      </c>
      <c r="I4578" s="41">
        <v>46.161430000000003</v>
      </c>
      <c r="J4578" s="41" t="s">
        <v>1026</v>
      </c>
      <c r="K4578" s="41" t="s">
        <v>116</v>
      </c>
      <c r="L4578" s="52">
        <v>4.6257669999999997</v>
      </c>
      <c r="M4578" s="52" t="s">
        <v>1026</v>
      </c>
      <c r="N4578" s="52" t="s">
        <v>1034</v>
      </c>
      <c r="O4578" s="59">
        <v>1</v>
      </c>
    </row>
    <row r="4579" spans="1:16" x14ac:dyDescent="0.2">
      <c r="A4579" s="189">
        <v>50</v>
      </c>
      <c r="B4579" s="232" t="str">
        <f>IF(AND(A4579&lt;&gt;"",ISNUMBER(A4579)),VLOOKUP(A4579,Studies!A:BR,2,FALSE),"")</f>
        <v>Ahonen 1995</v>
      </c>
      <c r="C4579" s="232" t="str">
        <f>IF(AND(A4579&lt;&gt;"",ISNUMBER(A4579)),VLOOKUP(A4579,Studies!A:BR,3,FALSE),"")</f>
        <v>http://www.ncbi.nlm.nih.gov/pubmed/6138081</v>
      </c>
      <c r="D4579" s="232" t="str">
        <f>IF(AND(A4579&lt;&gt;"",ISNUMBER(A4579)),VLOOKUP(A4579,Studies!A:BR,4,FALSE),"")</f>
        <v>with Perpetrator (Itraconazole)</v>
      </c>
      <c r="E4579" s="206" t="str">
        <f>IF(AND(A4579&lt;&gt;"",ISNUMBER(A4579)),VLOOKUP(A4579,Studies!A:BR,5,FALSE),"")</f>
        <v>Midazolam</v>
      </c>
      <c r="F4579" s="207" t="str">
        <f>IF(AND(A4579&lt;&gt;"",ISNUMBER(A4579)),VLOOKUP(A4579,Studies!A:BR,6,FALSE),"")</f>
        <v>Plasma</v>
      </c>
      <c r="G4579" s="50">
        <v>79</v>
      </c>
      <c r="H4579" s="50" t="s">
        <v>60</v>
      </c>
      <c r="I4579" s="41">
        <v>34.573219999999999</v>
      </c>
      <c r="J4579" s="41" t="s">
        <v>1026</v>
      </c>
      <c r="K4579" s="41" t="s">
        <v>116</v>
      </c>
      <c r="L4579" s="52">
        <v>4.8978650000000004</v>
      </c>
      <c r="M4579" s="52" t="s">
        <v>1026</v>
      </c>
      <c r="N4579" s="52" t="s">
        <v>1034</v>
      </c>
      <c r="O4579" s="59">
        <v>1</v>
      </c>
    </row>
    <row r="4580" spans="1:16" x14ac:dyDescent="0.2">
      <c r="A4580" s="189">
        <v>50</v>
      </c>
      <c r="B4580" s="232" t="str">
        <f>IF(AND(A4580&lt;&gt;"",ISNUMBER(A4580)),VLOOKUP(A4580,Studies!A:BR,2,FALSE),"")</f>
        <v>Ahonen 1995</v>
      </c>
      <c r="C4580" s="232" t="str">
        <f>IF(AND(A4580&lt;&gt;"",ISNUMBER(A4580)),VLOOKUP(A4580,Studies!A:BR,3,FALSE),"")</f>
        <v>http://www.ncbi.nlm.nih.gov/pubmed/6138081</v>
      </c>
      <c r="D4580" s="232" t="str">
        <f>IF(AND(A4580&lt;&gt;"",ISNUMBER(A4580)),VLOOKUP(A4580,Studies!A:BR,4,FALSE),"")</f>
        <v>with Perpetrator (Itraconazole)</v>
      </c>
      <c r="E4580" s="206" t="str">
        <f>IF(AND(A4580&lt;&gt;"",ISNUMBER(A4580)),VLOOKUP(A4580,Studies!A:BR,5,FALSE),"")</f>
        <v>Midazolam</v>
      </c>
      <c r="F4580" s="207" t="str">
        <f>IF(AND(A4580&lt;&gt;"",ISNUMBER(A4580)),VLOOKUP(A4580,Studies!A:BR,6,FALSE),"")</f>
        <v>Plasma</v>
      </c>
      <c r="G4580" s="50">
        <v>80</v>
      </c>
      <c r="H4580" s="50" t="s">
        <v>60</v>
      </c>
      <c r="I4580" s="41">
        <v>27.88287</v>
      </c>
      <c r="J4580" s="41" t="s">
        <v>1026</v>
      </c>
      <c r="K4580" s="41" t="s">
        <v>116</v>
      </c>
      <c r="L4580" s="52">
        <v>3.6733989999999999</v>
      </c>
      <c r="M4580" s="52" t="s">
        <v>1026</v>
      </c>
      <c r="N4580" s="52" t="s">
        <v>1034</v>
      </c>
      <c r="O4580" s="59">
        <v>1</v>
      </c>
    </row>
    <row r="4581" spans="1:16" x14ac:dyDescent="0.2">
      <c r="A4581" s="189">
        <v>50</v>
      </c>
      <c r="B4581" s="232" t="str">
        <f>IF(AND(A4581&lt;&gt;"",ISNUMBER(A4581)),VLOOKUP(A4581,Studies!A:BR,2,FALSE),"")</f>
        <v>Ahonen 1995</v>
      </c>
      <c r="C4581" s="232" t="str">
        <f>IF(AND(A4581&lt;&gt;"",ISNUMBER(A4581)),VLOOKUP(A4581,Studies!A:BR,3,FALSE),"")</f>
        <v>http://www.ncbi.nlm.nih.gov/pubmed/6138081</v>
      </c>
      <c r="D4581" s="232" t="str">
        <f>IF(AND(A4581&lt;&gt;"",ISNUMBER(A4581)),VLOOKUP(A4581,Studies!A:BR,4,FALSE),"")</f>
        <v>with Perpetrator (Itraconazole)</v>
      </c>
      <c r="E4581" s="206" t="str">
        <f>IF(AND(A4581&lt;&gt;"",ISNUMBER(A4581)),VLOOKUP(A4581,Studies!A:BR,5,FALSE),"")</f>
        <v>Midazolam</v>
      </c>
      <c r="F4581" s="207" t="str">
        <f>IF(AND(A4581&lt;&gt;"",ISNUMBER(A4581)),VLOOKUP(A4581,Studies!A:BR,6,FALSE),"")</f>
        <v>Plasma</v>
      </c>
      <c r="G4581" s="50">
        <v>81</v>
      </c>
      <c r="H4581" s="50" t="s">
        <v>60</v>
      </c>
      <c r="I4581" s="41">
        <v>24.866420000000002</v>
      </c>
      <c r="J4581" s="41" t="s">
        <v>1026</v>
      </c>
      <c r="K4581" s="41" t="s">
        <v>116</v>
      </c>
      <c r="O4581" s="59">
        <v>1</v>
      </c>
    </row>
    <row r="4582" spans="1:16" x14ac:dyDescent="0.2">
      <c r="A4582" s="189">
        <v>50</v>
      </c>
      <c r="B4582" s="232" t="str">
        <f>IF(AND(A4582&lt;&gt;"",ISNUMBER(A4582)),VLOOKUP(A4582,Studies!A:BR,2,FALSE),"")</f>
        <v>Ahonen 1995</v>
      </c>
      <c r="C4582" s="232" t="str">
        <f>IF(AND(A4582&lt;&gt;"",ISNUMBER(A4582)),VLOOKUP(A4582,Studies!A:BR,3,FALSE),"")</f>
        <v>http://www.ncbi.nlm.nih.gov/pubmed/6138081</v>
      </c>
      <c r="D4582" s="232" t="str">
        <f>IF(AND(A4582&lt;&gt;"",ISNUMBER(A4582)),VLOOKUP(A4582,Studies!A:BR,4,FALSE),"")</f>
        <v>with Perpetrator (Itraconazole)</v>
      </c>
      <c r="E4582" s="206" t="str">
        <f>IF(AND(A4582&lt;&gt;"",ISNUMBER(A4582)),VLOOKUP(A4582,Studies!A:BR,5,FALSE),"")</f>
        <v>Midazolam</v>
      </c>
      <c r="F4582" s="207" t="str">
        <f>IF(AND(A4582&lt;&gt;"",ISNUMBER(A4582)),VLOOKUP(A4582,Studies!A:BR,6,FALSE),"")</f>
        <v>Plasma</v>
      </c>
      <c r="G4582" s="50">
        <v>91</v>
      </c>
      <c r="H4582" s="50" t="s">
        <v>60</v>
      </c>
      <c r="I4582" s="41">
        <v>10.06734</v>
      </c>
      <c r="J4582" s="41" t="s">
        <v>1026</v>
      </c>
      <c r="K4582" s="41" t="s">
        <v>116</v>
      </c>
      <c r="O4582" s="59">
        <v>1</v>
      </c>
    </row>
    <row r="4583" spans="1:16" x14ac:dyDescent="0.2">
      <c r="A4583" s="189">
        <v>419</v>
      </c>
      <c r="B4583" s="232" t="str">
        <f>IF(AND(A4583&lt;&gt;"",ISNUMBER(A4583)),VLOOKUP(A4583,Studies!A:BR,2,FALSE),"")</f>
        <v>Swart 2002</v>
      </c>
      <c r="C4583" s="232" t="str">
        <f>IF(AND(A4583&lt;&gt;"",ISNUMBER(A4583)),VLOOKUP(A4583,Studies!A:BR,3,FALSE),"")</f>
        <v xml:space="preserve">https://www.ncbi.nlm.nih.gov/pubmed/11851636 </v>
      </c>
      <c r="D4583" s="232" t="str">
        <f>IF(AND(A4583&lt;&gt;"",ISNUMBER(A4583)),VLOOKUP(A4583,Studies!A:BR,4,FALSE),"")</f>
        <v>day 5 Control (Perpetrator Placebo)</v>
      </c>
      <c r="E4583" s="206" t="str">
        <f>IF(AND(A4583&lt;&gt;"",ISNUMBER(A4583)),VLOOKUP(A4583,Studies!A:BR,5,FALSE),"")</f>
        <v>Midazolam</v>
      </c>
      <c r="F4583" s="207" t="str">
        <f>IF(AND(A4583&lt;&gt;"",ISNUMBER(A4583)),VLOOKUP(A4583,Studies!A:BR,6,FALSE),"")</f>
        <v>Plasma</v>
      </c>
      <c r="G4583" s="50">
        <v>0.08</v>
      </c>
      <c r="H4583" s="50" t="s">
        <v>60</v>
      </c>
      <c r="I4583" s="41">
        <v>428.25279999999998</v>
      </c>
      <c r="J4583" s="41" t="s">
        <v>1026</v>
      </c>
      <c r="K4583" s="41" t="s">
        <v>116</v>
      </c>
      <c r="L4583" s="52">
        <v>117.10039999999999</v>
      </c>
      <c r="M4583" s="52" t="s">
        <v>1026</v>
      </c>
      <c r="N4583" s="52" t="s">
        <v>117</v>
      </c>
      <c r="P4583" s="42" t="s">
        <v>1435</v>
      </c>
    </row>
    <row r="4584" spans="1:16" x14ac:dyDescent="0.2">
      <c r="A4584" s="189">
        <v>419</v>
      </c>
      <c r="B4584" s="232" t="str">
        <f>IF(AND(A4584&lt;&gt;"",ISNUMBER(A4584)),VLOOKUP(A4584,Studies!A:BR,2,FALSE),"")</f>
        <v>Swart 2002</v>
      </c>
      <c r="C4584" s="232" t="str">
        <f>IF(AND(A4584&lt;&gt;"",ISNUMBER(A4584)),VLOOKUP(A4584,Studies!A:BR,3,FALSE),"")</f>
        <v xml:space="preserve">https://www.ncbi.nlm.nih.gov/pubmed/11851636 </v>
      </c>
      <c r="D4584" s="232" t="str">
        <f>IF(AND(A4584&lt;&gt;"",ISNUMBER(A4584)),VLOOKUP(A4584,Studies!A:BR,4,FALSE),"")</f>
        <v>day 5 Control (Perpetrator Placebo)</v>
      </c>
      <c r="E4584" s="206" t="str">
        <f>IF(AND(A4584&lt;&gt;"",ISNUMBER(A4584)),VLOOKUP(A4584,Studies!A:BR,5,FALSE),"")</f>
        <v>Midazolam</v>
      </c>
      <c r="F4584" s="207" t="str">
        <f>IF(AND(A4584&lt;&gt;"",ISNUMBER(A4584)),VLOOKUP(A4584,Studies!A:BR,6,FALSE),"")</f>
        <v>Plasma</v>
      </c>
      <c r="G4584" s="50">
        <v>0.17</v>
      </c>
      <c r="H4584" s="50" t="s">
        <v>60</v>
      </c>
      <c r="I4584" s="41">
        <v>206.31970000000001</v>
      </c>
      <c r="J4584" s="41" t="s">
        <v>1026</v>
      </c>
      <c r="K4584" s="41" t="s">
        <v>116</v>
      </c>
      <c r="L4584" s="52">
        <v>27.881039999999999</v>
      </c>
      <c r="M4584" s="52" t="s">
        <v>1026</v>
      </c>
      <c r="N4584" s="52" t="s">
        <v>117</v>
      </c>
    </row>
    <row r="4585" spans="1:16" x14ac:dyDescent="0.2">
      <c r="A4585" s="189">
        <v>419</v>
      </c>
      <c r="B4585" s="232" t="str">
        <f>IF(AND(A4585&lt;&gt;"",ISNUMBER(A4585)),VLOOKUP(A4585,Studies!A:BR,2,FALSE),"")</f>
        <v>Swart 2002</v>
      </c>
      <c r="C4585" s="232" t="str">
        <f>IF(AND(A4585&lt;&gt;"",ISNUMBER(A4585)),VLOOKUP(A4585,Studies!A:BR,3,FALSE),"")</f>
        <v xml:space="preserve">https://www.ncbi.nlm.nih.gov/pubmed/11851636 </v>
      </c>
      <c r="D4585" s="232" t="str">
        <f>IF(AND(A4585&lt;&gt;"",ISNUMBER(A4585)),VLOOKUP(A4585,Studies!A:BR,4,FALSE),"")</f>
        <v>day 5 Control (Perpetrator Placebo)</v>
      </c>
      <c r="E4585" s="206" t="str">
        <f>IF(AND(A4585&lt;&gt;"",ISNUMBER(A4585)),VLOOKUP(A4585,Studies!A:BR,5,FALSE),"")</f>
        <v>Midazolam</v>
      </c>
      <c r="F4585" s="207" t="str">
        <f>IF(AND(A4585&lt;&gt;"",ISNUMBER(A4585)),VLOOKUP(A4585,Studies!A:BR,6,FALSE),"")</f>
        <v>Plasma</v>
      </c>
      <c r="G4585" s="50">
        <v>0.25</v>
      </c>
      <c r="H4585" s="50" t="s">
        <v>60</v>
      </c>
      <c r="I4585" s="41">
        <v>160.59479999999999</v>
      </c>
      <c r="J4585" s="41" t="s">
        <v>1026</v>
      </c>
      <c r="K4585" s="41" t="s">
        <v>116</v>
      </c>
      <c r="L4585" s="52">
        <v>24.535319999999999</v>
      </c>
      <c r="M4585" s="52" t="s">
        <v>1026</v>
      </c>
      <c r="N4585" s="52" t="s">
        <v>117</v>
      </c>
    </row>
    <row r="4586" spans="1:16" x14ac:dyDescent="0.2">
      <c r="A4586" s="189">
        <v>419</v>
      </c>
      <c r="B4586" s="232" t="str">
        <f>IF(AND(A4586&lt;&gt;"",ISNUMBER(A4586)),VLOOKUP(A4586,Studies!A:BR,2,FALSE),"")</f>
        <v>Swart 2002</v>
      </c>
      <c r="C4586" s="232" t="str">
        <f>IF(AND(A4586&lt;&gt;"",ISNUMBER(A4586)),VLOOKUP(A4586,Studies!A:BR,3,FALSE),"")</f>
        <v xml:space="preserve">https://www.ncbi.nlm.nih.gov/pubmed/11851636 </v>
      </c>
      <c r="D4586" s="232" t="str">
        <f>IF(AND(A4586&lt;&gt;"",ISNUMBER(A4586)),VLOOKUP(A4586,Studies!A:BR,4,FALSE),"")</f>
        <v>day 5 Control (Perpetrator Placebo)</v>
      </c>
      <c r="E4586" s="206" t="str">
        <f>IF(AND(A4586&lt;&gt;"",ISNUMBER(A4586)),VLOOKUP(A4586,Studies!A:BR,5,FALSE),"")</f>
        <v>Midazolam</v>
      </c>
      <c r="F4586" s="207" t="str">
        <f>IF(AND(A4586&lt;&gt;"",ISNUMBER(A4586)),VLOOKUP(A4586,Studies!A:BR,6,FALSE),"")</f>
        <v>Plasma</v>
      </c>
      <c r="G4586" s="50">
        <v>0.33</v>
      </c>
      <c r="H4586" s="50" t="s">
        <v>60</v>
      </c>
      <c r="I4586" s="41">
        <v>121.5613</v>
      </c>
      <c r="J4586" s="41" t="s">
        <v>1026</v>
      </c>
      <c r="K4586" s="41" t="s">
        <v>116</v>
      </c>
      <c r="L4586" s="52">
        <v>17.843830000000001</v>
      </c>
      <c r="M4586" s="52" t="s">
        <v>1026</v>
      </c>
      <c r="N4586" s="52" t="s">
        <v>117</v>
      </c>
    </row>
    <row r="4587" spans="1:16" x14ac:dyDescent="0.2">
      <c r="A4587" s="189">
        <v>419</v>
      </c>
      <c r="B4587" s="232" t="str">
        <f>IF(AND(A4587&lt;&gt;"",ISNUMBER(A4587)),VLOOKUP(A4587,Studies!A:BR,2,FALSE),"")</f>
        <v>Swart 2002</v>
      </c>
      <c r="C4587" s="232" t="str">
        <f>IF(AND(A4587&lt;&gt;"",ISNUMBER(A4587)),VLOOKUP(A4587,Studies!A:BR,3,FALSE),"")</f>
        <v xml:space="preserve">https://www.ncbi.nlm.nih.gov/pubmed/11851636 </v>
      </c>
      <c r="D4587" s="232" t="str">
        <f>IF(AND(A4587&lt;&gt;"",ISNUMBER(A4587)),VLOOKUP(A4587,Studies!A:BR,4,FALSE),"")</f>
        <v>day 5 Control (Perpetrator Placebo)</v>
      </c>
      <c r="E4587" s="206" t="str">
        <f>IF(AND(A4587&lt;&gt;"",ISNUMBER(A4587)),VLOOKUP(A4587,Studies!A:BR,5,FALSE),"")</f>
        <v>Midazolam</v>
      </c>
      <c r="F4587" s="207" t="str">
        <f>IF(AND(A4587&lt;&gt;"",ISNUMBER(A4587)),VLOOKUP(A4587,Studies!A:BR,6,FALSE),"")</f>
        <v>Plasma</v>
      </c>
      <c r="G4587" s="50">
        <v>0.42</v>
      </c>
      <c r="H4587" s="50" t="s">
        <v>60</v>
      </c>
      <c r="I4587" s="41">
        <v>101.48699999999999</v>
      </c>
      <c r="J4587" s="41" t="s">
        <v>1026</v>
      </c>
      <c r="K4587" s="41" t="s">
        <v>116</v>
      </c>
      <c r="L4587" s="52">
        <v>10.037190000000001</v>
      </c>
      <c r="M4587" s="52" t="s">
        <v>1026</v>
      </c>
      <c r="N4587" s="52" t="s">
        <v>117</v>
      </c>
    </row>
    <row r="4588" spans="1:16" x14ac:dyDescent="0.2">
      <c r="A4588" s="189">
        <v>419</v>
      </c>
      <c r="B4588" s="232" t="str">
        <f>IF(AND(A4588&lt;&gt;"",ISNUMBER(A4588)),VLOOKUP(A4588,Studies!A:BR,2,FALSE),"")</f>
        <v>Swart 2002</v>
      </c>
      <c r="C4588" s="232" t="str">
        <f>IF(AND(A4588&lt;&gt;"",ISNUMBER(A4588)),VLOOKUP(A4588,Studies!A:BR,3,FALSE),"")</f>
        <v xml:space="preserve">https://www.ncbi.nlm.nih.gov/pubmed/11851636 </v>
      </c>
      <c r="D4588" s="232" t="str">
        <f>IF(AND(A4588&lt;&gt;"",ISNUMBER(A4588)),VLOOKUP(A4588,Studies!A:BR,4,FALSE),"")</f>
        <v>day 5 Control (Perpetrator Placebo)</v>
      </c>
      <c r="E4588" s="206" t="str">
        <f>IF(AND(A4588&lt;&gt;"",ISNUMBER(A4588)),VLOOKUP(A4588,Studies!A:BR,5,FALSE),"")</f>
        <v>Midazolam</v>
      </c>
      <c r="F4588" s="207" t="str">
        <f>IF(AND(A4588&lt;&gt;"",ISNUMBER(A4588)),VLOOKUP(A4588,Studies!A:BR,6,FALSE),"")</f>
        <v>Plasma</v>
      </c>
      <c r="G4588" s="50">
        <v>0.5</v>
      </c>
      <c r="H4588" s="50" t="s">
        <v>60</v>
      </c>
      <c r="I4588" s="41">
        <v>90.334569999999999</v>
      </c>
      <c r="J4588" s="41" t="s">
        <v>1026</v>
      </c>
      <c r="K4588" s="41" t="s">
        <v>116</v>
      </c>
      <c r="L4588" s="52">
        <v>8.9219360000000005</v>
      </c>
      <c r="M4588" s="52" t="s">
        <v>1026</v>
      </c>
      <c r="N4588" s="52" t="s">
        <v>117</v>
      </c>
    </row>
    <row r="4589" spans="1:16" x14ac:dyDescent="0.2">
      <c r="A4589" s="189">
        <v>419</v>
      </c>
      <c r="B4589" s="232" t="str">
        <f>IF(AND(A4589&lt;&gt;"",ISNUMBER(A4589)),VLOOKUP(A4589,Studies!A:BR,2,FALSE),"")</f>
        <v>Swart 2002</v>
      </c>
      <c r="C4589" s="232" t="str">
        <f>IF(AND(A4589&lt;&gt;"",ISNUMBER(A4589)),VLOOKUP(A4589,Studies!A:BR,3,FALSE),"")</f>
        <v xml:space="preserve">https://www.ncbi.nlm.nih.gov/pubmed/11851636 </v>
      </c>
      <c r="D4589" s="232" t="str">
        <f>IF(AND(A4589&lt;&gt;"",ISNUMBER(A4589)),VLOOKUP(A4589,Studies!A:BR,4,FALSE),"")</f>
        <v>day 5 Control (Perpetrator Placebo)</v>
      </c>
      <c r="E4589" s="206" t="str">
        <f>IF(AND(A4589&lt;&gt;"",ISNUMBER(A4589)),VLOOKUP(A4589,Studies!A:BR,5,FALSE),"")</f>
        <v>Midazolam</v>
      </c>
      <c r="F4589" s="207" t="str">
        <f>IF(AND(A4589&lt;&gt;"",ISNUMBER(A4589)),VLOOKUP(A4589,Studies!A:BR,6,FALSE),"")</f>
        <v>Plasma</v>
      </c>
      <c r="G4589" s="50">
        <v>1</v>
      </c>
      <c r="H4589" s="50" t="s">
        <v>60</v>
      </c>
      <c r="I4589" s="41">
        <v>73.605950000000007</v>
      </c>
      <c r="J4589" s="41" t="s">
        <v>1026</v>
      </c>
      <c r="K4589" s="41" t="s">
        <v>116</v>
      </c>
      <c r="L4589" s="52">
        <v>12.267659999999999</v>
      </c>
      <c r="M4589" s="52" t="s">
        <v>1026</v>
      </c>
      <c r="N4589" s="52" t="s">
        <v>117</v>
      </c>
    </row>
    <row r="4590" spans="1:16" x14ac:dyDescent="0.2">
      <c r="A4590" s="189">
        <v>419</v>
      </c>
      <c r="B4590" s="232" t="str">
        <f>IF(AND(A4590&lt;&gt;"",ISNUMBER(A4590)),VLOOKUP(A4590,Studies!A:BR,2,FALSE),"")</f>
        <v>Swart 2002</v>
      </c>
      <c r="C4590" s="232" t="str">
        <f>IF(AND(A4590&lt;&gt;"",ISNUMBER(A4590)),VLOOKUP(A4590,Studies!A:BR,3,FALSE),"")</f>
        <v xml:space="preserve">https://www.ncbi.nlm.nih.gov/pubmed/11851636 </v>
      </c>
      <c r="D4590" s="232" t="str">
        <f>IF(AND(A4590&lt;&gt;"",ISNUMBER(A4590)),VLOOKUP(A4590,Studies!A:BR,4,FALSE),"")</f>
        <v>day 5 Control (Perpetrator Placebo)</v>
      </c>
      <c r="E4590" s="206" t="str">
        <f>IF(AND(A4590&lt;&gt;"",ISNUMBER(A4590)),VLOOKUP(A4590,Studies!A:BR,5,FALSE),"")</f>
        <v>Midazolam</v>
      </c>
      <c r="F4590" s="207" t="str">
        <f>IF(AND(A4590&lt;&gt;"",ISNUMBER(A4590)),VLOOKUP(A4590,Studies!A:BR,6,FALSE),"")</f>
        <v>Plasma</v>
      </c>
      <c r="G4590" s="50">
        <v>2</v>
      </c>
      <c r="H4590" s="50" t="s">
        <v>60</v>
      </c>
      <c r="I4590" s="41">
        <v>41.263939999999998</v>
      </c>
      <c r="J4590" s="41" t="s">
        <v>1026</v>
      </c>
      <c r="K4590" s="41" t="s">
        <v>116</v>
      </c>
      <c r="L4590" s="52">
        <v>8.921932</v>
      </c>
      <c r="M4590" s="52" t="s">
        <v>1026</v>
      </c>
      <c r="N4590" s="52" t="s">
        <v>117</v>
      </c>
    </row>
    <row r="4591" spans="1:16" x14ac:dyDescent="0.2">
      <c r="A4591" s="189">
        <v>419</v>
      </c>
      <c r="B4591" s="232" t="str">
        <f>IF(AND(A4591&lt;&gt;"",ISNUMBER(A4591)),VLOOKUP(A4591,Studies!A:BR,2,FALSE),"")</f>
        <v>Swart 2002</v>
      </c>
      <c r="C4591" s="232" t="str">
        <f>IF(AND(A4591&lt;&gt;"",ISNUMBER(A4591)),VLOOKUP(A4591,Studies!A:BR,3,FALSE),"")</f>
        <v xml:space="preserve">https://www.ncbi.nlm.nih.gov/pubmed/11851636 </v>
      </c>
      <c r="D4591" s="232" t="str">
        <f>IF(AND(A4591&lt;&gt;"",ISNUMBER(A4591)),VLOOKUP(A4591,Studies!A:BR,4,FALSE),"")</f>
        <v>day 5 Control (Perpetrator Placebo)</v>
      </c>
      <c r="E4591" s="206" t="str">
        <f>IF(AND(A4591&lt;&gt;"",ISNUMBER(A4591)),VLOOKUP(A4591,Studies!A:BR,5,FALSE),"")</f>
        <v>Midazolam</v>
      </c>
      <c r="F4591" s="207" t="str">
        <f>IF(AND(A4591&lt;&gt;"",ISNUMBER(A4591)),VLOOKUP(A4591,Studies!A:BR,6,FALSE),"")</f>
        <v>Plasma</v>
      </c>
      <c r="G4591" s="50">
        <v>4</v>
      </c>
      <c r="H4591" s="50" t="s">
        <v>60</v>
      </c>
      <c r="I4591" s="41">
        <v>22.304829999999999</v>
      </c>
      <c r="J4591" s="41" t="s">
        <v>1026</v>
      </c>
      <c r="K4591" s="41" t="s">
        <v>116</v>
      </c>
      <c r="L4591" s="52">
        <v>8.9219310000000007</v>
      </c>
      <c r="M4591" s="52" t="s">
        <v>1026</v>
      </c>
      <c r="N4591" s="52" t="s">
        <v>117</v>
      </c>
      <c r="P4591" s="42" t="s">
        <v>1436</v>
      </c>
    </row>
    <row r="4592" spans="1:16" x14ac:dyDescent="0.2">
      <c r="A4592" s="189">
        <v>420</v>
      </c>
      <c r="B4592" s="232" t="str">
        <f>IF(AND(A4592&lt;&gt;"",ISNUMBER(A4592)),VLOOKUP(A4592,Studies!A:BR,2,FALSE),"")</f>
        <v>Swart 2002</v>
      </c>
      <c r="C4592" s="232" t="str">
        <f>IF(AND(A4592&lt;&gt;"",ISNUMBER(A4592)),VLOOKUP(A4592,Studies!A:BR,3,FALSE),"")</f>
        <v xml:space="preserve">https://www.ncbi.nlm.nih.gov/pubmed/11851636 </v>
      </c>
      <c r="D4592" s="232" t="str">
        <f>IF(AND(A4592&lt;&gt;"",ISNUMBER(A4592)),VLOOKUP(A4592,Studies!A:BR,4,FALSE),"")</f>
        <v>day 10 Control with Perpetrator (Erythromycin)</v>
      </c>
      <c r="E4592" s="206" t="str">
        <f>IF(AND(A4592&lt;&gt;"",ISNUMBER(A4592)),VLOOKUP(A4592,Studies!A:BR,5,FALSE),"")</f>
        <v>Midazolam</v>
      </c>
      <c r="F4592" s="207" t="str">
        <f>IF(AND(A4592&lt;&gt;"",ISNUMBER(A4592)),VLOOKUP(A4592,Studies!A:BR,6,FALSE),"")</f>
        <v>Plasma</v>
      </c>
      <c r="G4592" s="50">
        <v>96.08</v>
      </c>
      <c r="H4592" s="50" t="s">
        <v>60</v>
      </c>
      <c r="I4592" s="41">
        <v>432.71370000000002</v>
      </c>
      <c r="J4592" s="41" t="s">
        <v>1026</v>
      </c>
      <c r="K4592" s="41" t="s">
        <v>116</v>
      </c>
      <c r="L4592" s="52">
        <v>140.5205</v>
      </c>
      <c r="M4592" s="52" t="s">
        <v>1026</v>
      </c>
      <c r="N4592" s="52" t="s">
        <v>117</v>
      </c>
    </row>
    <row r="4593" spans="1:16" x14ac:dyDescent="0.2">
      <c r="A4593" s="189">
        <v>420</v>
      </c>
      <c r="B4593" s="232" t="str">
        <f>IF(AND(A4593&lt;&gt;"",ISNUMBER(A4593)),VLOOKUP(A4593,Studies!A:BR,2,FALSE),"")</f>
        <v>Swart 2002</v>
      </c>
      <c r="C4593" s="232" t="str">
        <f>IF(AND(A4593&lt;&gt;"",ISNUMBER(A4593)),VLOOKUP(A4593,Studies!A:BR,3,FALSE),"")</f>
        <v xml:space="preserve">https://www.ncbi.nlm.nih.gov/pubmed/11851636 </v>
      </c>
      <c r="D4593" s="232" t="str">
        <f>IF(AND(A4593&lt;&gt;"",ISNUMBER(A4593)),VLOOKUP(A4593,Studies!A:BR,4,FALSE),"")</f>
        <v>day 10 Control with Perpetrator (Erythromycin)</v>
      </c>
      <c r="E4593" s="206" t="str">
        <f>IF(AND(A4593&lt;&gt;"",ISNUMBER(A4593)),VLOOKUP(A4593,Studies!A:BR,5,FALSE),"")</f>
        <v>Midazolam</v>
      </c>
      <c r="F4593" s="207" t="str">
        <f>IF(AND(A4593&lt;&gt;"",ISNUMBER(A4593)),VLOOKUP(A4593,Studies!A:BR,6,FALSE),"")</f>
        <v>Plasma</v>
      </c>
      <c r="G4593" s="50">
        <v>96.17</v>
      </c>
      <c r="H4593" s="50" t="s">
        <v>60</v>
      </c>
      <c r="I4593" s="41">
        <v>240.8922</v>
      </c>
      <c r="J4593" s="41" t="s">
        <v>1026</v>
      </c>
      <c r="K4593" s="41" t="s">
        <v>116</v>
      </c>
      <c r="L4593" s="52">
        <v>56.877330000000001</v>
      </c>
      <c r="M4593" s="52" t="s">
        <v>1026</v>
      </c>
      <c r="N4593" s="52" t="s">
        <v>117</v>
      </c>
    </row>
    <row r="4594" spans="1:16" x14ac:dyDescent="0.2">
      <c r="A4594" s="189">
        <v>420</v>
      </c>
      <c r="B4594" s="232" t="str">
        <f>IF(AND(A4594&lt;&gt;"",ISNUMBER(A4594)),VLOOKUP(A4594,Studies!A:BR,2,FALSE),"")</f>
        <v>Swart 2002</v>
      </c>
      <c r="C4594" s="232" t="str">
        <f>IF(AND(A4594&lt;&gt;"",ISNUMBER(A4594)),VLOOKUP(A4594,Studies!A:BR,3,FALSE),"")</f>
        <v xml:space="preserve">https://www.ncbi.nlm.nih.gov/pubmed/11851636 </v>
      </c>
      <c r="D4594" s="232" t="str">
        <f>IF(AND(A4594&lt;&gt;"",ISNUMBER(A4594)),VLOOKUP(A4594,Studies!A:BR,4,FALSE),"")</f>
        <v>day 10 Control with Perpetrator (Erythromycin)</v>
      </c>
      <c r="E4594" s="206" t="str">
        <f>IF(AND(A4594&lt;&gt;"",ISNUMBER(A4594)),VLOOKUP(A4594,Studies!A:BR,5,FALSE),"")</f>
        <v>Midazolam</v>
      </c>
      <c r="F4594" s="207" t="str">
        <f>IF(AND(A4594&lt;&gt;"",ISNUMBER(A4594)),VLOOKUP(A4594,Studies!A:BR,6,FALSE),"")</f>
        <v>Plasma</v>
      </c>
      <c r="G4594" s="50">
        <v>96.25</v>
      </c>
      <c r="H4594" s="50" t="s">
        <v>60</v>
      </c>
      <c r="I4594" s="41">
        <v>186.24529999999999</v>
      </c>
      <c r="J4594" s="41" t="s">
        <v>1026</v>
      </c>
      <c r="K4594" s="41" t="s">
        <v>116</v>
      </c>
      <c r="L4594" s="52">
        <v>23.420120000000001</v>
      </c>
      <c r="M4594" s="52" t="s">
        <v>1026</v>
      </c>
      <c r="N4594" s="52" t="s">
        <v>117</v>
      </c>
    </row>
    <row r="4595" spans="1:16" x14ac:dyDescent="0.2">
      <c r="A4595" s="189">
        <v>420</v>
      </c>
      <c r="B4595" s="232" t="str">
        <f>IF(AND(A4595&lt;&gt;"",ISNUMBER(A4595)),VLOOKUP(A4595,Studies!A:BR,2,FALSE),"")</f>
        <v>Swart 2002</v>
      </c>
      <c r="C4595" s="232" t="str">
        <f>IF(AND(A4595&lt;&gt;"",ISNUMBER(A4595)),VLOOKUP(A4595,Studies!A:BR,3,FALSE),"")</f>
        <v xml:space="preserve">https://www.ncbi.nlm.nih.gov/pubmed/11851636 </v>
      </c>
      <c r="D4595" s="232" t="str">
        <f>IF(AND(A4595&lt;&gt;"",ISNUMBER(A4595)),VLOOKUP(A4595,Studies!A:BR,4,FALSE),"")</f>
        <v>day 10 Control with Perpetrator (Erythromycin)</v>
      </c>
      <c r="E4595" s="206" t="str">
        <f>IF(AND(A4595&lt;&gt;"",ISNUMBER(A4595)),VLOOKUP(A4595,Studies!A:BR,5,FALSE),"")</f>
        <v>Midazolam</v>
      </c>
      <c r="F4595" s="207" t="str">
        <f>IF(AND(A4595&lt;&gt;"",ISNUMBER(A4595)),VLOOKUP(A4595,Studies!A:BR,6,FALSE),"")</f>
        <v>Plasma</v>
      </c>
      <c r="G4595" s="50">
        <v>96.33</v>
      </c>
      <c r="H4595" s="50" t="s">
        <v>60</v>
      </c>
      <c r="I4595" s="41">
        <v>163.94049999999999</v>
      </c>
      <c r="J4595" s="41" t="s">
        <v>1026</v>
      </c>
      <c r="K4595" s="41" t="s">
        <v>116</v>
      </c>
      <c r="L4595" s="52">
        <v>28.996289999999998</v>
      </c>
      <c r="M4595" s="52" t="s">
        <v>1026</v>
      </c>
      <c r="N4595" s="52" t="s">
        <v>117</v>
      </c>
    </row>
    <row r="4596" spans="1:16" x14ac:dyDescent="0.2">
      <c r="A4596" s="189">
        <v>420</v>
      </c>
      <c r="B4596" s="232" t="str">
        <f>IF(AND(A4596&lt;&gt;"",ISNUMBER(A4596)),VLOOKUP(A4596,Studies!A:BR,2,FALSE),"")</f>
        <v>Swart 2002</v>
      </c>
      <c r="C4596" s="232" t="str">
        <f>IF(AND(A4596&lt;&gt;"",ISNUMBER(A4596)),VLOOKUP(A4596,Studies!A:BR,3,FALSE),"")</f>
        <v xml:space="preserve">https://www.ncbi.nlm.nih.gov/pubmed/11851636 </v>
      </c>
      <c r="D4596" s="232" t="str">
        <f>IF(AND(A4596&lt;&gt;"",ISNUMBER(A4596)),VLOOKUP(A4596,Studies!A:BR,4,FALSE),"")</f>
        <v>day 10 Control with Perpetrator (Erythromycin)</v>
      </c>
      <c r="E4596" s="206" t="str">
        <f>IF(AND(A4596&lt;&gt;"",ISNUMBER(A4596)),VLOOKUP(A4596,Studies!A:BR,5,FALSE),"")</f>
        <v>Midazolam</v>
      </c>
      <c r="F4596" s="207" t="str">
        <f>IF(AND(A4596&lt;&gt;"",ISNUMBER(A4596)),VLOOKUP(A4596,Studies!A:BR,6,FALSE),"")</f>
        <v>Plasma</v>
      </c>
      <c r="G4596" s="50">
        <v>96.42</v>
      </c>
      <c r="H4596" s="50" t="s">
        <v>60</v>
      </c>
      <c r="I4596" s="41">
        <v>149.44239999999999</v>
      </c>
      <c r="J4596" s="41" t="s">
        <v>1026</v>
      </c>
      <c r="K4596" s="41" t="s">
        <v>116</v>
      </c>
      <c r="L4596" s="52">
        <v>25.650539999999999</v>
      </c>
      <c r="M4596" s="52" t="s">
        <v>1026</v>
      </c>
      <c r="N4596" s="52" t="s">
        <v>117</v>
      </c>
    </row>
    <row r="4597" spans="1:16" x14ac:dyDescent="0.2">
      <c r="A4597" s="189">
        <v>420</v>
      </c>
      <c r="B4597" s="232" t="str">
        <f>IF(AND(A4597&lt;&gt;"",ISNUMBER(A4597)),VLOOKUP(A4597,Studies!A:BR,2,FALSE),"")</f>
        <v>Swart 2002</v>
      </c>
      <c r="C4597" s="232" t="str">
        <f>IF(AND(A4597&lt;&gt;"",ISNUMBER(A4597)),VLOOKUP(A4597,Studies!A:BR,3,FALSE),"")</f>
        <v xml:space="preserve">https://www.ncbi.nlm.nih.gov/pubmed/11851636 </v>
      </c>
      <c r="D4597" s="232" t="str">
        <f>IF(AND(A4597&lt;&gt;"",ISNUMBER(A4597)),VLOOKUP(A4597,Studies!A:BR,4,FALSE),"")</f>
        <v>day 10 Control with Perpetrator (Erythromycin)</v>
      </c>
      <c r="E4597" s="206" t="str">
        <f>IF(AND(A4597&lt;&gt;"",ISNUMBER(A4597)),VLOOKUP(A4597,Studies!A:BR,5,FALSE),"")</f>
        <v>Midazolam</v>
      </c>
      <c r="F4597" s="207" t="str">
        <f>IF(AND(A4597&lt;&gt;"",ISNUMBER(A4597)),VLOOKUP(A4597,Studies!A:BR,6,FALSE),"")</f>
        <v>Plasma</v>
      </c>
      <c r="G4597" s="50">
        <v>96.5</v>
      </c>
      <c r="H4597" s="50" t="s">
        <v>60</v>
      </c>
      <c r="I4597" s="41">
        <v>126.0223</v>
      </c>
      <c r="J4597" s="41" t="s">
        <v>1026</v>
      </c>
      <c r="K4597" s="41" t="s">
        <v>116</v>
      </c>
      <c r="L4597" s="52">
        <v>21.189599999999999</v>
      </c>
      <c r="M4597" s="52" t="s">
        <v>1026</v>
      </c>
      <c r="N4597" s="52" t="s">
        <v>117</v>
      </c>
    </row>
    <row r="4598" spans="1:16" x14ac:dyDescent="0.2">
      <c r="A4598" s="189">
        <v>420</v>
      </c>
      <c r="B4598" s="232" t="str">
        <f>IF(AND(A4598&lt;&gt;"",ISNUMBER(A4598)),VLOOKUP(A4598,Studies!A:BR,2,FALSE),"")</f>
        <v>Swart 2002</v>
      </c>
      <c r="C4598" s="232" t="str">
        <f>IF(AND(A4598&lt;&gt;"",ISNUMBER(A4598)),VLOOKUP(A4598,Studies!A:BR,3,FALSE),"")</f>
        <v xml:space="preserve">https://www.ncbi.nlm.nih.gov/pubmed/11851636 </v>
      </c>
      <c r="D4598" s="232" t="str">
        <f>IF(AND(A4598&lt;&gt;"",ISNUMBER(A4598)),VLOOKUP(A4598,Studies!A:BR,4,FALSE),"")</f>
        <v>day 10 Control with Perpetrator (Erythromycin)</v>
      </c>
      <c r="E4598" s="206" t="str">
        <f>IF(AND(A4598&lt;&gt;"",ISNUMBER(A4598)),VLOOKUP(A4598,Studies!A:BR,5,FALSE),"")</f>
        <v>Midazolam</v>
      </c>
      <c r="F4598" s="207" t="str">
        <f>IF(AND(A4598&lt;&gt;"",ISNUMBER(A4598)),VLOOKUP(A4598,Studies!A:BR,6,FALSE),"")</f>
        <v>Plasma</v>
      </c>
      <c r="G4598" s="50">
        <v>97</v>
      </c>
      <c r="H4598" s="50" t="s">
        <v>60</v>
      </c>
      <c r="I4598" s="41">
        <v>101.48699999999999</v>
      </c>
      <c r="J4598" s="41" t="s">
        <v>1026</v>
      </c>
      <c r="K4598" s="41" t="s">
        <v>116</v>
      </c>
      <c r="L4598" s="52">
        <v>22.304819999999999</v>
      </c>
      <c r="M4598" s="52" t="s">
        <v>1026</v>
      </c>
      <c r="N4598" s="52" t="s">
        <v>117</v>
      </c>
    </row>
    <row r="4599" spans="1:16" x14ac:dyDescent="0.2">
      <c r="A4599" s="189">
        <v>420</v>
      </c>
      <c r="B4599" s="232" t="str">
        <f>IF(AND(A4599&lt;&gt;"",ISNUMBER(A4599)),VLOOKUP(A4599,Studies!A:BR,2,FALSE),"")</f>
        <v>Swart 2002</v>
      </c>
      <c r="C4599" s="232" t="str">
        <f>IF(AND(A4599&lt;&gt;"",ISNUMBER(A4599)),VLOOKUP(A4599,Studies!A:BR,3,FALSE),"")</f>
        <v xml:space="preserve">https://www.ncbi.nlm.nih.gov/pubmed/11851636 </v>
      </c>
      <c r="D4599" s="232" t="str">
        <f>IF(AND(A4599&lt;&gt;"",ISNUMBER(A4599)),VLOOKUP(A4599,Studies!A:BR,4,FALSE),"")</f>
        <v>day 10 Control with Perpetrator (Erythromycin)</v>
      </c>
      <c r="E4599" s="206" t="str">
        <f>IF(AND(A4599&lt;&gt;"",ISNUMBER(A4599)),VLOOKUP(A4599,Studies!A:BR,5,FALSE),"")</f>
        <v>Midazolam</v>
      </c>
      <c r="F4599" s="207" t="str">
        <f>IF(AND(A4599&lt;&gt;"",ISNUMBER(A4599)),VLOOKUP(A4599,Studies!A:BR,6,FALSE),"")</f>
        <v>Plasma</v>
      </c>
      <c r="G4599" s="50">
        <v>98</v>
      </c>
      <c r="H4599" s="50" t="s">
        <v>60</v>
      </c>
      <c r="I4599" s="41">
        <v>65.799260000000004</v>
      </c>
      <c r="J4599" s="41" t="s">
        <v>1026</v>
      </c>
      <c r="K4599" s="41" t="s">
        <v>116</v>
      </c>
      <c r="L4599" s="52">
        <v>14.498139999999999</v>
      </c>
      <c r="M4599" s="52" t="s">
        <v>1026</v>
      </c>
      <c r="N4599" s="52" t="s">
        <v>117</v>
      </c>
    </row>
    <row r="4600" spans="1:16" x14ac:dyDescent="0.2">
      <c r="A4600" s="189">
        <v>420</v>
      </c>
      <c r="B4600" s="232" t="str">
        <f>IF(AND(A4600&lt;&gt;"",ISNUMBER(A4600)),VLOOKUP(A4600,Studies!A:BR,2,FALSE),"")</f>
        <v>Swart 2002</v>
      </c>
      <c r="C4600" s="232" t="str">
        <f>IF(AND(A4600&lt;&gt;"",ISNUMBER(A4600)),VLOOKUP(A4600,Studies!A:BR,3,FALSE),"")</f>
        <v xml:space="preserve">https://www.ncbi.nlm.nih.gov/pubmed/11851636 </v>
      </c>
      <c r="D4600" s="232" t="str">
        <f>IF(AND(A4600&lt;&gt;"",ISNUMBER(A4600)),VLOOKUP(A4600,Studies!A:BR,4,FALSE),"")</f>
        <v>day 10 Control with Perpetrator (Erythromycin)</v>
      </c>
      <c r="E4600" s="206" t="str">
        <f>IF(AND(A4600&lt;&gt;"",ISNUMBER(A4600)),VLOOKUP(A4600,Studies!A:BR,5,FALSE),"")</f>
        <v>Midazolam</v>
      </c>
      <c r="F4600" s="207" t="str">
        <f>IF(AND(A4600&lt;&gt;"",ISNUMBER(A4600)),VLOOKUP(A4600,Studies!A:BR,6,FALSE),"")</f>
        <v>Plasma</v>
      </c>
      <c r="G4600" s="50">
        <v>100</v>
      </c>
      <c r="H4600" s="50" t="s">
        <v>60</v>
      </c>
      <c r="I4600" s="41">
        <v>34.572490000000002</v>
      </c>
      <c r="J4600" s="41" t="s">
        <v>1026</v>
      </c>
      <c r="K4600" s="41" t="s">
        <v>116</v>
      </c>
      <c r="L4600" s="52">
        <v>10.03717</v>
      </c>
      <c r="M4600" s="52" t="s">
        <v>1026</v>
      </c>
      <c r="N4600" s="52" t="s">
        <v>117</v>
      </c>
      <c r="P4600" s="42" t="s">
        <v>1437</v>
      </c>
    </row>
    <row r="4601" spans="1:16" x14ac:dyDescent="0.2">
      <c r="A4601" s="189">
        <v>128</v>
      </c>
      <c r="B4601" s="232" t="str">
        <f>IF(AND(A4601&lt;&gt;"",ISNUMBER(A4601)),VLOOKUP(A4601,Studies!A:BR,2,FALSE),"")</f>
        <v>Eap 2004</v>
      </c>
      <c r="C4601" s="232" t="str">
        <f>IF(AND(A4601&lt;&gt;"",ISNUMBER(A4601)),VLOOKUP(A4601,Studies!A:BR,3,FALSE),"")</f>
        <v>https://www.ncbi.nlm.nih.gov/pubmed/15114429</v>
      </c>
      <c r="D4601" s="232" t="str">
        <f>IF(AND(A4601&lt;&gt;"",ISNUMBER(A4601)),VLOOKUP(A4601,Studies!A:BR,4,FALSE),"")</f>
        <v>0.075 mg Control (Perpetrator Placebo)</v>
      </c>
      <c r="E4601" s="206" t="str">
        <f>IF(AND(A4601&lt;&gt;"",ISNUMBER(A4601)),VLOOKUP(A4601,Studies!A:BR,5,FALSE),"")</f>
        <v>Midazolam</v>
      </c>
      <c r="F4601" s="207" t="str">
        <f>IF(AND(A4601&lt;&gt;"",ISNUMBER(A4601)),VLOOKUP(A4601,Studies!A:BR,6,FALSE),"")</f>
        <v>Plasma</v>
      </c>
      <c r="G4601" s="50">
        <v>0.5</v>
      </c>
      <c r="H4601" s="50" t="s">
        <v>60</v>
      </c>
      <c r="I4601" s="41">
        <v>0.24366460000000001</v>
      </c>
      <c r="J4601" s="41" t="s">
        <v>1026</v>
      </c>
      <c r="K4601" s="41" t="s">
        <v>1029</v>
      </c>
      <c r="L4601" s="52">
        <v>1.598724</v>
      </c>
      <c r="N4601" s="52" t="s">
        <v>1120</v>
      </c>
      <c r="O4601" s="59">
        <v>0.01</v>
      </c>
    </row>
    <row r="4602" spans="1:16" x14ac:dyDescent="0.2">
      <c r="A4602" s="189">
        <v>128</v>
      </c>
      <c r="B4602" s="232" t="str">
        <f>IF(AND(A4602&lt;&gt;"",ISNUMBER(A4602)),VLOOKUP(A4602,Studies!A:BR,2,FALSE),"")</f>
        <v>Eap 2004</v>
      </c>
      <c r="C4602" s="232" t="str">
        <f>IF(AND(A4602&lt;&gt;"",ISNUMBER(A4602)),VLOOKUP(A4602,Studies!A:BR,3,FALSE),"")</f>
        <v>https://www.ncbi.nlm.nih.gov/pubmed/15114429</v>
      </c>
      <c r="D4602" s="232" t="str">
        <f>IF(AND(A4602&lt;&gt;"",ISNUMBER(A4602)),VLOOKUP(A4602,Studies!A:BR,4,FALSE),"")</f>
        <v>0.075 mg Control (Perpetrator Placebo)</v>
      </c>
      <c r="E4602" s="206" t="str">
        <f>IF(AND(A4602&lt;&gt;"",ISNUMBER(A4602)),VLOOKUP(A4602,Studies!A:BR,5,FALSE),"")</f>
        <v>Midazolam</v>
      </c>
      <c r="F4602" s="207" t="str">
        <f>IF(AND(A4602&lt;&gt;"",ISNUMBER(A4602)),VLOOKUP(A4602,Studies!A:BR,6,FALSE),"")</f>
        <v>Plasma</v>
      </c>
      <c r="G4602" s="50">
        <v>1</v>
      </c>
      <c r="H4602" s="50" t="s">
        <v>60</v>
      </c>
      <c r="I4602" s="41">
        <v>0.22829189999999999</v>
      </c>
      <c r="J4602" s="41" t="s">
        <v>1026</v>
      </c>
      <c r="K4602" s="41" t="s">
        <v>1029</v>
      </c>
      <c r="L4602" s="52">
        <v>1.332074</v>
      </c>
      <c r="N4602" s="52" t="s">
        <v>1120</v>
      </c>
      <c r="O4602" s="59">
        <v>0.01</v>
      </c>
    </row>
    <row r="4603" spans="1:16" x14ac:dyDescent="0.2">
      <c r="A4603" s="189">
        <v>128</v>
      </c>
      <c r="B4603" s="232" t="str">
        <f>IF(AND(A4603&lt;&gt;"",ISNUMBER(A4603)),VLOOKUP(A4603,Studies!A:BR,2,FALSE),"")</f>
        <v>Eap 2004</v>
      </c>
      <c r="C4603" s="232" t="str">
        <f>IF(AND(A4603&lt;&gt;"",ISNUMBER(A4603)),VLOOKUP(A4603,Studies!A:BR,3,FALSE),"")</f>
        <v>https://www.ncbi.nlm.nih.gov/pubmed/15114429</v>
      </c>
      <c r="D4603" s="232" t="str">
        <f>IF(AND(A4603&lt;&gt;"",ISNUMBER(A4603)),VLOOKUP(A4603,Studies!A:BR,4,FALSE),"")</f>
        <v>0.075 mg Control (Perpetrator Placebo)</v>
      </c>
      <c r="E4603" s="206" t="str">
        <f>IF(AND(A4603&lt;&gt;"",ISNUMBER(A4603)),VLOOKUP(A4603,Studies!A:BR,5,FALSE),"")</f>
        <v>Midazolam</v>
      </c>
      <c r="F4603" s="207" t="str">
        <f>IF(AND(A4603&lt;&gt;"",ISNUMBER(A4603)),VLOOKUP(A4603,Studies!A:BR,6,FALSE),"")</f>
        <v>Plasma</v>
      </c>
      <c r="G4603" s="50">
        <v>1.5</v>
      </c>
      <c r="H4603" s="50" t="s">
        <v>60</v>
      </c>
      <c r="I4603" s="41">
        <v>0.1605685</v>
      </c>
      <c r="J4603" s="41" t="s">
        <v>1026</v>
      </c>
      <c r="K4603" s="41" t="s">
        <v>1029</v>
      </c>
      <c r="L4603" s="52">
        <v>1.497862</v>
      </c>
      <c r="N4603" s="52" t="s">
        <v>1120</v>
      </c>
      <c r="O4603" s="59">
        <v>0.01</v>
      </c>
    </row>
    <row r="4604" spans="1:16" x14ac:dyDescent="0.2">
      <c r="A4604" s="189">
        <v>128</v>
      </c>
      <c r="B4604" s="232" t="str">
        <f>IF(AND(A4604&lt;&gt;"",ISNUMBER(A4604)),VLOOKUP(A4604,Studies!A:BR,2,FALSE),"")</f>
        <v>Eap 2004</v>
      </c>
      <c r="C4604" s="232" t="str">
        <f>IF(AND(A4604&lt;&gt;"",ISNUMBER(A4604)),VLOOKUP(A4604,Studies!A:BR,3,FALSE),"")</f>
        <v>https://www.ncbi.nlm.nih.gov/pubmed/15114429</v>
      </c>
      <c r="D4604" s="232" t="str">
        <f>IF(AND(A4604&lt;&gt;"",ISNUMBER(A4604)),VLOOKUP(A4604,Studies!A:BR,4,FALSE),"")</f>
        <v>0.075 mg Control (Perpetrator Placebo)</v>
      </c>
      <c r="E4604" s="206" t="str">
        <f>IF(AND(A4604&lt;&gt;"",ISNUMBER(A4604)),VLOOKUP(A4604,Studies!A:BR,5,FALSE),"")</f>
        <v>Midazolam</v>
      </c>
      <c r="F4604" s="207" t="str">
        <f>IF(AND(A4604&lt;&gt;"",ISNUMBER(A4604)),VLOOKUP(A4604,Studies!A:BR,6,FALSE),"")</f>
        <v>Plasma</v>
      </c>
      <c r="G4604" s="50">
        <v>2</v>
      </c>
      <c r="H4604" s="50" t="s">
        <v>60</v>
      </c>
      <c r="I4604" s="41">
        <v>0.1058104</v>
      </c>
      <c r="J4604" s="41" t="s">
        <v>1026</v>
      </c>
      <c r="K4604" s="41" t="s">
        <v>1029</v>
      </c>
      <c r="L4604" s="52">
        <v>1.5575889999999999</v>
      </c>
      <c r="N4604" s="52" t="s">
        <v>1120</v>
      </c>
      <c r="O4604" s="59">
        <v>0.01</v>
      </c>
    </row>
    <row r="4605" spans="1:16" x14ac:dyDescent="0.2">
      <c r="A4605" s="189">
        <v>128</v>
      </c>
      <c r="B4605" s="232" t="str">
        <f>IF(AND(A4605&lt;&gt;"",ISNUMBER(A4605)),VLOOKUP(A4605,Studies!A:BR,2,FALSE),"")</f>
        <v>Eap 2004</v>
      </c>
      <c r="C4605" s="232" t="str">
        <f>IF(AND(A4605&lt;&gt;"",ISNUMBER(A4605)),VLOOKUP(A4605,Studies!A:BR,3,FALSE),"")</f>
        <v>https://www.ncbi.nlm.nih.gov/pubmed/15114429</v>
      </c>
      <c r="D4605" s="232" t="str">
        <f>IF(AND(A4605&lt;&gt;"",ISNUMBER(A4605)),VLOOKUP(A4605,Studies!A:BR,4,FALSE),"")</f>
        <v>0.075 mg Control (Perpetrator Placebo)</v>
      </c>
      <c r="E4605" s="206" t="str">
        <f>IF(AND(A4605&lt;&gt;"",ISNUMBER(A4605)),VLOOKUP(A4605,Studies!A:BR,5,FALSE),"")</f>
        <v>Midazolam</v>
      </c>
      <c r="F4605" s="207" t="str">
        <f>IF(AND(A4605&lt;&gt;"",ISNUMBER(A4605)),VLOOKUP(A4605,Studies!A:BR,6,FALSE),"")</f>
        <v>Plasma</v>
      </c>
      <c r="G4605" s="50">
        <v>3</v>
      </c>
      <c r="H4605" s="50" t="s">
        <v>60</v>
      </c>
      <c r="I4605" s="41">
        <v>6.5327239999999995E-2</v>
      </c>
      <c r="J4605" s="41" t="s">
        <v>1026</v>
      </c>
      <c r="K4605" s="41" t="s">
        <v>1029</v>
      </c>
      <c r="L4605" s="52">
        <v>1.821283</v>
      </c>
      <c r="N4605" s="52" t="s">
        <v>1120</v>
      </c>
      <c r="O4605" s="59">
        <v>0.01</v>
      </c>
    </row>
    <row r="4606" spans="1:16" x14ac:dyDescent="0.2">
      <c r="A4606" s="189">
        <v>128</v>
      </c>
      <c r="B4606" s="232" t="str">
        <f>IF(AND(A4606&lt;&gt;"",ISNUMBER(A4606)),VLOOKUP(A4606,Studies!A:BR,2,FALSE),"")</f>
        <v>Eap 2004</v>
      </c>
      <c r="C4606" s="232" t="str">
        <f>IF(AND(A4606&lt;&gt;"",ISNUMBER(A4606)),VLOOKUP(A4606,Studies!A:BR,3,FALSE),"")</f>
        <v>https://www.ncbi.nlm.nih.gov/pubmed/15114429</v>
      </c>
      <c r="D4606" s="232" t="str">
        <f>IF(AND(A4606&lt;&gt;"",ISNUMBER(A4606)),VLOOKUP(A4606,Studies!A:BR,4,FALSE),"")</f>
        <v>0.075 mg Control (Perpetrator Placebo)</v>
      </c>
      <c r="E4606" s="206" t="str">
        <f>IF(AND(A4606&lt;&gt;"",ISNUMBER(A4606)),VLOOKUP(A4606,Studies!A:BR,5,FALSE),"")</f>
        <v>Midazolam</v>
      </c>
      <c r="F4606" s="207" t="str">
        <f>IF(AND(A4606&lt;&gt;"",ISNUMBER(A4606)),VLOOKUP(A4606,Studies!A:BR,6,FALSE),"")</f>
        <v>Plasma</v>
      </c>
      <c r="G4606" s="50">
        <v>4</v>
      </c>
      <c r="H4606" s="50" t="s">
        <v>60</v>
      </c>
      <c r="I4606" s="41">
        <v>5.0997300000000002E-2</v>
      </c>
      <c r="J4606" s="41" t="s">
        <v>1026</v>
      </c>
      <c r="K4606" s="41" t="s">
        <v>1029</v>
      </c>
      <c r="L4606" s="52">
        <v>1.7287650000000001</v>
      </c>
      <c r="N4606" s="52" t="s">
        <v>1120</v>
      </c>
      <c r="O4606" s="59">
        <v>0.01</v>
      </c>
    </row>
    <row r="4607" spans="1:16" x14ac:dyDescent="0.2">
      <c r="A4607" s="189">
        <v>128</v>
      </c>
      <c r="B4607" s="232" t="str">
        <f>IF(AND(A4607&lt;&gt;"",ISNUMBER(A4607)),VLOOKUP(A4607,Studies!A:BR,2,FALSE),"")</f>
        <v>Eap 2004</v>
      </c>
      <c r="C4607" s="232" t="str">
        <f>IF(AND(A4607&lt;&gt;"",ISNUMBER(A4607)),VLOOKUP(A4607,Studies!A:BR,3,FALSE),"")</f>
        <v>https://www.ncbi.nlm.nih.gov/pubmed/15114429</v>
      </c>
      <c r="D4607" s="232" t="str">
        <f>IF(AND(A4607&lt;&gt;"",ISNUMBER(A4607)),VLOOKUP(A4607,Studies!A:BR,4,FALSE),"")</f>
        <v>0.075 mg Control (Perpetrator Placebo)</v>
      </c>
      <c r="E4607" s="206" t="str">
        <f>IF(AND(A4607&lt;&gt;"",ISNUMBER(A4607)),VLOOKUP(A4607,Studies!A:BR,5,FALSE),"")</f>
        <v>Midazolam</v>
      </c>
      <c r="F4607" s="207" t="str">
        <f>IF(AND(A4607&lt;&gt;"",ISNUMBER(A4607)),VLOOKUP(A4607,Studies!A:BR,6,FALSE),"")</f>
        <v>Plasma</v>
      </c>
      <c r="G4607" s="50">
        <v>6</v>
      </c>
      <c r="H4607" s="50" t="s">
        <v>60</v>
      </c>
      <c r="I4607" s="41">
        <v>3.8284140000000001E-2</v>
      </c>
      <c r="J4607" s="41" t="s">
        <v>1026</v>
      </c>
      <c r="K4607" s="41" t="s">
        <v>1029</v>
      </c>
      <c r="L4607" s="52">
        <v>1.640946</v>
      </c>
      <c r="N4607" s="52" t="s">
        <v>1120</v>
      </c>
      <c r="O4607" s="59">
        <v>0.01</v>
      </c>
    </row>
    <row r="4608" spans="1:16" x14ac:dyDescent="0.2">
      <c r="A4608" s="189">
        <v>129</v>
      </c>
      <c r="B4608" s="232" t="str">
        <f>IF(AND(A4608&lt;&gt;"",ISNUMBER(A4608)),VLOOKUP(A4608,Studies!A:BR,2,FALSE),"")</f>
        <v>Eap 2004</v>
      </c>
      <c r="C4608" s="232" t="str">
        <f>IF(AND(A4608&lt;&gt;"",ISNUMBER(A4608)),VLOOKUP(A4608,Studies!A:BR,3,FALSE),"")</f>
        <v>https://www.ncbi.nlm.nih.gov/pubmed/15114429</v>
      </c>
      <c r="D4608" s="232" t="str">
        <f>IF(AND(A4608&lt;&gt;"",ISNUMBER(A4608)),VLOOKUP(A4608,Studies!A:BR,4,FALSE),"")</f>
        <v>0.075 mg with Perpetrator (Rifampicin)</v>
      </c>
      <c r="E4608" s="206" t="str">
        <f>IF(AND(A4608&lt;&gt;"",ISNUMBER(A4608)),VLOOKUP(A4608,Studies!A:BR,5,FALSE),"")</f>
        <v>Midazolam</v>
      </c>
      <c r="F4608" s="207" t="str">
        <f>IF(AND(A4608&lt;&gt;"",ISNUMBER(A4608)),VLOOKUP(A4608,Studies!A:BR,6,FALSE),"")</f>
        <v>Plasma</v>
      </c>
      <c r="G4608" s="50">
        <v>90.5</v>
      </c>
      <c r="H4608" s="50" t="s">
        <v>60</v>
      </c>
      <c r="I4608" s="41">
        <v>4.9685130000000001E-2</v>
      </c>
      <c r="J4608" s="41" t="s">
        <v>1026</v>
      </c>
      <c r="K4608" s="41" t="s">
        <v>1029</v>
      </c>
      <c r="L4608" s="52">
        <v>1.1692959999999999</v>
      </c>
      <c r="N4608" s="52" t="s">
        <v>1120</v>
      </c>
      <c r="O4608" s="59">
        <v>0.01</v>
      </c>
    </row>
    <row r="4609" spans="1:16" x14ac:dyDescent="0.2">
      <c r="A4609" s="189">
        <v>129</v>
      </c>
      <c r="B4609" s="232" t="str">
        <f>IF(AND(A4609&lt;&gt;"",ISNUMBER(A4609)),VLOOKUP(A4609,Studies!A:BR,2,FALSE),"")</f>
        <v>Eap 2004</v>
      </c>
      <c r="C4609" s="232" t="str">
        <f>IF(AND(A4609&lt;&gt;"",ISNUMBER(A4609)),VLOOKUP(A4609,Studies!A:BR,3,FALSE),"")</f>
        <v>https://www.ncbi.nlm.nih.gov/pubmed/15114429</v>
      </c>
      <c r="D4609" s="232" t="str">
        <f>IF(AND(A4609&lt;&gt;"",ISNUMBER(A4609)),VLOOKUP(A4609,Studies!A:BR,4,FALSE),"")</f>
        <v>0.075 mg with Perpetrator (Rifampicin)</v>
      </c>
      <c r="E4609" s="206" t="str">
        <f>IF(AND(A4609&lt;&gt;"",ISNUMBER(A4609)),VLOOKUP(A4609,Studies!A:BR,5,FALSE),"")</f>
        <v>Midazolam</v>
      </c>
      <c r="F4609" s="207" t="str">
        <f>IF(AND(A4609&lt;&gt;"",ISNUMBER(A4609)),VLOOKUP(A4609,Studies!A:BR,6,FALSE),"")</f>
        <v>Plasma</v>
      </c>
      <c r="G4609" s="50">
        <v>91</v>
      </c>
      <c r="H4609" s="50" t="s">
        <v>60</v>
      </c>
      <c r="I4609" s="41">
        <v>6.3646359999999999E-2</v>
      </c>
      <c r="J4609" s="41" t="s">
        <v>1026</v>
      </c>
      <c r="K4609" s="41" t="s">
        <v>1029</v>
      </c>
      <c r="L4609" s="52">
        <v>1.3495490000000001</v>
      </c>
      <c r="N4609" s="52" t="s">
        <v>1120</v>
      </c>
      <c r="O4609" s="59">
        <v>0.01</v>
      </c>
    </row>
    <row r="4610" spans="1:16" x14ac:dyDescent="0.2">
      <c r="A4610" s="189">
        <v>129</v>
      </c>
      <c r="B4610" s="232" t="str">
        <f>IF(AND(A4610&lt;&gt;"",ISNUMBER(A4610)),VLOOKUP(A4610,Studies!A:BR,2,FALSE),"")</f>
        <v>Eap 2004</v>
      </c>
      <c r="C4610" s="232" t="str">
        <f>IF(AND(A4610&lt;&gt;"",ISNUMBER(A4610)),VLOOKUP(A4610,Studies!A:BR,3,FALSE),"")</f>
        <v>https://www.ncbi.nlm.nih.gov/pubmed/15114429</v>
      </c>
      <c r="D4610" s="232" t="str">
        <f>IF(AND(A4610&lt;&gt;"",ISNUMBER(A4610)),VLOOKUP(A4610,Studies!A:BR,4,FALSE),"")</f>
        <v>0.075 mg with Perpetrator (Rifampicin)</v>
      </c>
      <c r="E4610" s="206" t="str">
        <f>IF(AND(A4610&lt;&gt;"",ISNUMBER(A4610)),VLOOKUP(A4610,Studies!A:BR,5,FALSE),"")</f>
        <v>Midazolam</v>
      </c>
      <c r="F4610" s="207" t="str">
        <f>IF(AND(A4610&lt;&gt;"",ISNUMBER(A4610)),VLOOKUP(A4610,Studies!A:BR,6,FALSE),"")</f>
        <v>Plasma</v>
      </c>
      <c r="G4610" s="50">
        <v>91.5</v>
      </c>
      <c r="H4610" s="50" t="s">
        <v>60</v>
      </c>
      <c r="I4610" s="41">
        <v>4.086211E-2</v>
      </c>
      <c r="J4610" s="41" t="s">
        <v>1026</v>
      </c>
      <c r="K4610" s="41" t="s">
        <v>1029</v>
      </c>
      <c r="L4610" s="52">
        <v>2.102042</v>
      </c>
      <c r="N4610" s="52" t="s">
        <v>1120</v>
      </c>
      <c r="O4610" s="59">
        <v>0.01</v>
      </c>
    </row>
    <row r="4611" spans="1:16" x14ac:dyDescent="0.2">
      <c r="A4611" s="189">
        <v>129</v>
      </c>
      <c r="B4611" s="232" t="str">
        <f>IF(AND(A4611&lt;&gt;"",ISNUMBER(A4611)),VLOOKUP(A4611,Studies!A:BR,2,FALSE),"")</f>
        <v>Eap 2004</v>
      </c>
      <c r="C4611" s="232" t="str">
        <f>IF(AND(A4611&lt;&gt;"",ISNUMBER(A4611)),VLOOKUP(A4611,Studies!A:BR,3,FALSE),"")</f>
        <v>https://www.ncbi.nlm.nih.gov/pubmed/15114429</v>
      </c>
      <c r="D4611" s="232" t="str">
        <f>IF(AND(A4611&lt;&gt;"",ISNUMBER(A4611)),VLOOKUP(A4611,Studies!A:BR,4,FALSE),"")</f>
        <v>0.075 mg with Perpetrator (Rifampicin)</v>
      </c>
      <c r="E4611" s="206" t="str">
        <f>IF(AND(A4611&lt;&gt;"",ISNUMBER(A4611)),VLOOKUP(A4611,Studies!A:BR,5,FALSE),"")</f>
        <v>Midazolam</v>
      </c>
      <c r="F4611" s="207" t="str">
        <f>IF(AND(A4611&lt;&gt;"",ISNUMBER(A4611)),VLOOKUP(A4611,Studies!A:BR,6,FALSE),"")</f>
        <v>Plasma</v>
      </c>
      <c r="G4611" s="50">
        <v>92</v>
      </c>
      <c r="H4611" s="50" t="s">
        <v>60</v>
      </c>
      <c r="I4611" s="41">
        <v>3.1077980000000002E-2</v>
      </c>
      <c r="J4611" s="41" t="s">
        <v>1026</v>
      </c>
      <c r="K4611" s="41" t="s">
        <v>1029</v>
      </c>
      <c r="L4611" s="52">
        <v>1.2480340000000001</v>
      </c>
      <c r="N4611" s="52" t="s">
        <v>1120</v>
      </c>
      <c r="O4611" s="59">
        <v>0.01</v>
      </c>
    </row>
    <row r="4612" spans="1:16" x14ac:dyDescent="0.2">
      <c r="A4612" s="189">
        <v>129</v>
      </c>
      <c r="B4612" s="232" t="str">
        <f>IF(AND(A4612&lt;&gt;"",ISNUMBER(A4612)),VLOOKUP(A4612,Studies!A:BR,2,FALSE),"")</f>
        <v>Eap 2004</v>
      </c>
      <c r="C4612" s="232" t="str">
        <f>IF(AND(A4612&lt;&gt;"",ISNUMBER(A4612)),VLOOKUP(A4612,Studies!A:BR,3,FALSE),"")</f>
        <v>https://www.ncbi.nlm.nih.gov/pubmed/15114429</v>
      </c>
      <c r="D4612" s="232" t="str">
        <f>IF(AND(A4612&lt;&gt;"",ISNUMBER(A4612)),VLOOKUP(A4612,Studies!A:BR,4,FALSE),"")</f>
        <v>0.075 mg with Perpetrator (Rifampicin)</v>
      </c>
      <c r="E4612" s="206" t="str">
        <f>IF(AND(A4612&lt;&gt;"",ISNUMBER(A4612)),VLOOKUP(A4612,Studies!A:BR,5,FALSE),"")</f>
        <v>Midazolam</v>
      </c>
      <c r="F4612" s="207" t="str">
        <f>IF(AND(A4612&lt;&gt;"",ISNUMBER(A4612)),VLOOKUP(A4612,Studies!A:BR,6,FALSE),"")</f>
        <v>Plasma</v>
      </c>
      <c r="G4612" s="50">
        <v>93</v>
      </c>
      <c r="H4612" s="50" t="s">
        <v>60</v>
      </c>
      <c r="I4612" s="41">
        <v>3.77884E-2</v>
      </c>
      <c r="J4612" s="41" t="s">
        <v>1026</v>
      </c>
      <c r="K4612" s="41" t="s">
        <v>1029</v>
      </c>
      <c r="L4612" s="52">
        <v>1.4404250000000001</v>
      </c>
      <c r="N4612" s="52" t="s">
        <v>1120</v>
      </c>
      <c r="O4612" s="59">
        <v>0.01</v>
      </c>
    </row>
    <row r="4613" spans="1:16" x14ac:dyDescent="0.2">
      <c r="A4613" s="189">
        <v>129</v>
      </c>
      <c r="B4613" s="232" t="str">
        <f>IF(AND(A4613&lt;&gt;"",ISNUMBER(A4613)),VLOOKUP(A4613,Studies!A:BR,2,FALSE),"")</f>
        <v>Eap 2004</v>
      </c>
      <c r="C4613" s="232" t="str">
        <f>IF(AND(A4613&lt;&gt;"",ISNUMBER(A4613)),VLOOKUP(A4613,Studies!A:BR,3,FALSE),"")</f>
        <v>https://www.ncbi.nlm.nih.gov/pubmed/15114429</v>
      </c>
      <c r="D4613" s="232" t="str">
        <f>IF(AND(A4613&lt;&gt;"",ISNUMBER(A4613)),VLOOKUP(A4613,Studies!A:BR,4,FALSE),"")</f>
        <v>0.075 mg with Perpetrator (Rifampicin)</v>
      </c>
      <c r="E4613" s="206" t="str">
        <f>IF(AND(A4613&lt;&gt;"",ISNUMBER(A4613)),VLOOKUP(A4613,Studies!A:BR,5,FALSE),"")</f>
        <v>Midazolam</v>
      </c>
      <c r="F4613" s="207" t="str">
        <f>IF(AND(A4613&lt;&gt;"",ISNUMBER(A4613)),VLOOKUP(A4613,Studies!A:BR,6,FALSE),"")</f>
        <v>Plasma</v>
      </c>
      <c r="G4613" s="50">
        <v>94</v>
      </c>
      <c r="H4613" s="50" t="s">
        <v>60</v>
      </c>
      <c r="I4613" s="41">
        <v>3.1077980000000002E-2</v>
      </c>
      <c r="J4613" s="41" t="s">
        <v>1026</v>
      </c>
      <c r="K4613" s="41" t="s">
        <v>1029</v>
      </c>
      <c r="O4613" s="59">
        <v>0.01</v>
      </c>
      <c r="P4613" s="42" t="s">
        <v>1438</v>
      </c>
    </row>
    <row r="4614" spans="1:16" x14ac:dyDescent="0.2">
      <c r="A4614" s="189">
        <v>130</v>
      </c>
      <c r="B4614" s="232" t="str">
        <f>IF(AND(A4614&lt;&gt;"",ISNUMBER(A4614)),VLOOKUP(A4614,Studies!A:BR,2,FALSE),"")</f>
        <v>Eap 2004</v>
      </c>
      <c r="C4614" s="232" t="str">
        <f>IF(AND(A4614&lt;&gt;"",ISNUMBER(A4614)),VLOOKUP(A4614,Studies!A:BR,3,FALSE),"")</f>
        <v>https://www.ncbi.nlm.nih.gov/pubmed/15114429</v>
      </c>
      <c r="D4614" s="232" t="str">
        <f>IF(AND(A4614&lt;&gt;"",ISNUMBER(A4614)),VLOOKUP(A4614,Studies!A:BR,4,FALSE),"")</f>
        <v>0.075 mg with Perpetrator (Ketoconazole)</v>
      </c>
      <c r="E4614" s="206" t="str">
        <f>IF(AND(A4614&lt;&gt;"",ISNUMBER(A4614)),VLOOKUP(A4614,Studies!A:BR,5,FALSE),"")</f>
        <v>Midazolam</v>
      </c>
      <c r="F4614" s="207" t="str">
        <f>IF(AND(A4614&lt;&gt;"",ISNUMBER(A4614)),VLOOKUP(A4614,Studies!A:BR,6,FALSE),"")</f>
        <v>Plasma</v>
      </c>
      <c r="G4614" s="50">
        <v>48.5</v>
      </c>
      <c r="H4614" s="50" t="s">
        <v>60</v>
      </c>
      <c r="I4614" s="41">
        <v>1.0353669999999999</v>
      </c>
      <c r="J4614" s="41" t="s">
        <v>1026</v>
      </c>
      <c r="K4614" s="41" t="s">
        <v>1029</v>
      </c>
      <c r="L4614" s="52">
        <v>1.2644070000000001</v>
      </c>
      <c r="N4614" s="52" t="s">
        <v>1120</v>
      </c>
      <c r="O4614" s="59">
        <v>0.01</v>
      </c>
    </row>
    <row r="4615" spans="1:16" x14ac:dyDescent="0.2">
      <c r="A4615" s="189">
        <v>130</v>
      </c>
      <c r="B4615" s="232" t="str">
        <f>IF(AND(A4615&lt;&gt;"",ISNUMBER(A4615)),VLOOKUP(A4615,Studies!A:BR,2,FALSE),"")</f>
        <v>Eap 2004</v>
      </c>
      <c r="C4615" s="232" t="str">
        <f>IF(AND(A4615&lt;&gt;"",ISNUMBER(A4615)),VLOOKUP(A4615,Studies!A:BR,3,FALSE),"")</f>
        <v>https://www.ncbi.nlm.nih.gov/pubmed/15114429</v>
      </c>
      <c r="D4615" s="232" t="str">
        <f>IF(AND(A4615&lt;&gt;"",ISNUMBER(A4615)),VLOOKUP(A4615,Studies!A:BR,4,FALSE),"")</f>
        <v>0.075 mg with Perpetrator (Ketoconazole)</v>
      </c>
      <c r="E4615" s="206" t="str">
        <f>IF(AND(A4615&lt;&gt;"",ISNUMBER(A4615)),VLOOKUP(A4615,Studies!A:BR,5,FALSE),"")</f>
        <v>Midazolam</v>
      </c>
      <c r="F4615" s="207" t="str">
        <f>IF(AND(A4615&lt;&gt;"",ISNUMBER(A4615)),VLOOKUP(A4615,Studies!A:BR,6,FALSE),"")</f>
        <v>Plasma</v>
      </c>
      <c r="G4615" s="50">
        <v>49</v>
      </c>
      <c r="H4615" s="50" t="s">
        <v>60</v>
      </c>
      <c r="I4615" s="41">
        <v>1.0766519999999999</v>
      </c>
      <c r="J4615" s="41" t="s">
        <v>1026</v>
      </c>
      <c r="K4615" s="41" t="s">
        <v>1029</v>
      </c>
      <c r="L4615" s="52">
        <v>1.2159219999999999</v>
      </c>
      <c r="N4615" s="52" t="s">
        <v>1120</v>
      </c>
      <c r="O4615" s="59">
        <v>0.01</v>
      </c>
    </row>
    <row r="4616" spans="1:16" x14ac:dyDescent="0.2">
      <c r="A4616" s="189">
        <v>130</v>
      </c>
      <c r="B4616" s="232" t="str">
        <f>IF(AND(A4616&lt;&gt;"",ISNUMBER(A4616)),VLOOKUP(A4616,Studies!A:BR,2,FALSE),"")</f>
        <v>Eap 2004</v>
      </c>
      <c r="C4616" s="232" t="str">
        <f>IF(AND(A4616&lt;&gt;"",ISNUMBER(A4616)),VLOOKUP(A4616,Studies!A:BR,3,FALSE),"")</f>
        <v>https://www.ncbi.nlm.nih.gov/pubmed/15114429</v>
      </c>
      <c r="D4616" s="232" t="str">
        <f>IF(AND(A4616&lt;&gt;"",ISNUMBER(A4616)),VLOOKUP(A4616,Studies!A:BR,4,FALSE),"")</f>
        <v>0.075 mg with Perpetrator (Ketoconazole)</v>
      </c>
      <c r="E4616" s="206" t="str">
        <f>IF(AND(A4616&lt;&gt;"",ISNUMBER(A4616)),VLOOKUP(A4616,Studies!A:BR,5,FALSE),"")</f>
        <v>Midazolam</v>
      </c>
      <c r="F4616" s="207" t="str">
        <f>IF(AND(A4616&lt;&gt;"",ISNUMBER(A4616)),VLOOKUP(A4616,Studies!A:BR,6,FALSE),"")</f>
        <v>Plasma</v>
      </c>
      <c r="G4616" s="50">
        <v>49.5</v>
      </c>
      <c r="H4616" s="50" t="s">
        <v>60</v>
      </c>
      <c r="I4616" s="41">
        <v>0.84048179999999995</v>
      </c>
      <c r="J4616" s="41" t="s">
        <v>1026</v>
      </c>
      <c r="K4616" s="41" t="s">
        <v>1029</v>
      </c>
      <c r="L4616" s="52">
        <v>1.154155</v>
      </c>
      <c r="N4616" s="52" t="s">
        <v>1120</v>
      </c>
      <c r="O4616" s="59">
        <v>0.01</v>
      </c>
    </row>
    <row r="4617" spans="1:16" x14ac:dyDescent="0.2">
      <c r="A4617" s="189">
        <v>130</v>
      </c>
      <c r="B4617" s="232" t="str">
        <f>IF(AND(A4617&lt;&gt;"",ISNUMBER(A4617)),VLOOKUP(A4617,Studies!A:BR,2,FALSE),"")</f>
        <v>Eap 2004</v>
      </c>
      <c r="C4617" s="232" t="str">
        <f>IF(AND(A4617&lt;&gt;"",ISNUMBER(A4617)),VLOOKUP(A4617,Studies!A:BR,3,FALSE),"")</f>
        <v>https://www.ncbi.nlm.nih.gov/pubmed/15114429</v>
      </c>
      <c r="D4617" s="232" t="str">
        <f>IF(AND(A4617&lt;&gt;"",ISNUMBER(A4617)),VLOOKUP(A4617,Studies!A:BR,4,FALSE),"")</f>
        <v>0.075 mg with Perpetrator (Ketoconazole)</v>
      </c>
      <c r="E4617" s="206" t="str">
        <f>IF(AND(A4617&lt;&gt;"",ISNUMBER(A4617)),VLOOKUP(A4617,Studies!A:BR,5,FALSE),"")</f>
        <v>Midazolam</v>
      </c>
      <c r="F4617" s="207" t="str">
        <f>IF(AND(A4617&lt;&gt;"",ISNUMBER(A4617)),VLOOKUP(A4617,Studies!A:BR,6,FALSE),"")</f>
        <v>Plasma</v>
      </c>
      <c r="G4617" s="50">
        <v>50</v>
      </c>
      <c r="H4617" s="50" t="s">
        <v>60</v>
      </c>
      <c r="I4617" s="41">
        <v>0.66472419999999999</v>
      </c>
      <c r="J4617" s="41" t="s">
        <v>1026</v>
      </c>
      <c r="K4617" s="41" t="s">
        <v>1029</v>
      </c>
      <c r="L4617" s="52">
        <v>1.2159219999999999</v>
      </c>
      <c r="N4617" s="52" t="s">
        <v>1120</v>
      </c>
      <c r="O4617" s="59">
        <v>0.01</v>
      </c>
    </row>
    <row r="4618" spans="1:16" x14ac:dyDescent="0.2">
      <c r="A4618" s="189">
        <v>130</v>
      </c>
      <c r="B4618" s="232" t="str">
        <f>IF(AND(A4618&lt;&gt;"",ISNUMBER(A4618)),VLOOKUP(A4618,Studies!A:BR,2,FALSE),"")</f>
        <v>Eap 2004</v>
      </c>
      <c r="C4618" s="232" t="str">
        <f>IF(AND(A4618&lt;&gt;"",ISNUMBER(A4618)),VLOOKUP(A4618,Studies!A:BR,3,FALSE),"")</f>
        <v>https://www.ncbi.nlm.nih.gov/pubmed/15114429</v>
      </c>
      <c r="D4618" s="232" t="str">
        <f>IF(AND(A4618&lt;&gt;"",ISNUMBER(A4618)),VLOOKUP(A4618,Studies!A:BR,4,FALSE),"")</f>
        <v>0.075 mg with Perpetrator (Ketoconazole)</v>
      </c>
      <c r="E4618" s="206" t="str">
        <f>IF(AND(A4618&lt;&gt;"",ISNUMBER(A4618)),VLOOKUP(A4618,Studies!A:BR,5,FALSE),"")</f>
        <v>Midazolam</v>
      </c>
      <c r="F4618" s="207" t="str">
        <f>IF(AND(A4618&lt;&gt;"",ISNUMBER(A4618)),VLOOKUP(A4618,Studies!A:BR,6,FALSE),"")</f>
        <v>Plasma</v>
      </c>
      <c r="G4618" s="50">
        <v>51</v>
      </c>
      <c r="H4618" s="50" t="s">
        <v>60</v>
      </c>
      <c r="I4618" s="41">
        <v>0.51219340000000002</v>
      </c>
      <c r="J4618" s="41" t="s">
        <v>1026</v>
      </c>
      <c r="K4618" s="41" t="s">
        <v>1029</v>
      </c>
      <c r="L4618" s="52">
        <v>1.3851899999999999</v>
      </c>
      <c r="N4618" s="52" t="s">
        <v>1120</v>
      </c>
      <c r="O4618" s="59">
        <v>0.01</v>
      </c>
    </row>
    <row r="4619" spans="1:16" x14ac:dyDescent="0.2">
      <c r="A4619" s="189">
        <v>130</v>
      </c>
      <c r="B4619" s="232" t="str">
        <f>IF(AND(A4619&lt;&gt;"",ISNUMBER(A4619)),VLOOKUP(A4619,Studies!A:BR,2,FALSE),"")</f>
        <v>Eap 2004</v>
      </c>
      <c r="C4619" s="232" t="str">
        <f>IF(AND(A4619&lt;&gt;"",ISNUMBER(A4619)),VLOOKUP(A4619,Studies!A:BR,3,FALSE),"")</f>
        <v>https://www.ncbi.nlm.nih.gov/pubmed/15114429</v>
      </c>
      <c r="D4619" s="232" t="str">
        <f>IF(AND(A4619&lt;&gt;"",ISNUMBER(A4619)),VLOOKUP(A4619,Studies!A:BR,4,FALSE),"")</f>
        <v>0.075 mg with Perpetrator (Ketoconazole)</v>
      </c>
      <c r="E4619" s="206" t="str">
        <f>IF(AND(A4619&lt;&gt;"",ISNUMBER(A4619)),VLOOKUP(A4619,Studies!A:BR,5,FALSE),"")</f>
        <v>Midazolam</v>
      </c>
      <c r="F4619" s="207" t="str">
        <f>IF(AND(A4619&lt;&gt;"",ISNUMBER(A4619)),VLOOKUP(A4619,Studies!A:BR,6,FALSE),"")</f>
        <v>Plasma</v>
      </c>
      <c r="G4619" s="50">
        <v>52</v>
      </c>
      <c r="H4619" s="50" t="s">
        <v>60</v>
      </c>
      <c r="I4619" s="41">
        <v>0.36976389999999998</v>
      </c>
      <c r="J4619" s="41" t="s">
        <v>1026</v>
      </c>
      <c r="K4619" s="41" t="s">
        <v>1029</v>
      </c>
      <c r="L4619" s="52">
        <v>1.403362</v>
      </c>
      <c r="N4619" s="52" t="s">
        <v>1120</v>
      </c>
      <c r="O4619" s="59">
        <v>0.01</v>
      </c>
    </row>
    <row r="4620" spans="1:16" x14ac:dyDescent="0.2">
      <c r="A4620" s="189">
        <v>130</v>
      </c>
      <c r="B4620" s="232" t="str">
        <f>IF(AND(A4620&lt;&gt;"",ISNUMBER(A4620)),VLOOKUP(A4620,Studies!A:BR,2,FALSE),"")</f>
        <v>Eap 2004</v>
      </c>
      <c r="C4620" s="232" t="str">
        <f>IF(AND(A4620&lt;&gt;"",ISNUMBER(A4620)),VLOOKUP(A4620,Studies!A:BR,3,FALSE),"")</f>
        <v>https://www.ncbi.nlm.nih.gov/pubmed/15114429</v>
      </c>
      <c r="D4620" s="232" t="str">
        <f>IF(AND(A4620&lt;&gt;"",ISNUMBER(A4620)),VLOOKUP(A4620,Studies!A:BR,4,FALSE),"")</f>
        <v>0.075 mg with Perpetrator (Ketoconazole)</v>
      </c>
      <c r="E4620" s="206" t="str">
        <f>IF(AND(A4620&lt;&gt;"",ISNUMBER(A4620)),VLOOKUP(A4620,Studies!A:BR,5,FALSE),"")</f>
        <v>Midazolam</v>
      </c>
      <c r="F4620" s="207" t="str">
        <f>IF(AND(A4620&lt;&gt;"",ISNUMBER(A4620)),VLOOKUP(A4620,Studies!A:BR,6,FALSE),"")</f>
        <v>Plasma</v>
      </c>
      <c r="G4620" s="50">
        <v>54</v>
      </c>
      <c r="H4620" s="50" t="s">
        <v>60</v>
      </c>
      <c r="I4620" s="41">
        <v>0.2166951</v>
      </c>
      <c r="J4620" s="41" t="s">
        <v>1026</v>
      </c>
      <c r="K4620" s="41" t="s">
        <v>1029</v>
      </c>
      <c r="L4620" s="52">
        <v>1.751444</v>
      </c>
      <c r="N4620" s="52" t="s">
        <v>1120</v>
      </c>
      <c r="O4620" s="59">
        <v>0.01</v>
      </c>
    </row>
    <row r="4621" spans="1:16" x14ac:dyDescent="0.2">
      <c r="A4621" s="189">
        <v>131</v>
      </c>
      <c r="B4621" s="232" t="str">
        <f>IF(AND(A4621&lt;&gt;"",ISNUMBER(A4621)),VLOOKUP(A4621,Studies!A:BR,2,FALSE),"")</f>
        <v>Eap 2004</v>
      </c>
      <c r="C4621" s="232" t="str">
        <f>IF(AND(A4621&lt;&gt;"",ISNUMBER(A4621)),VLOOKUP(A4621,Studies!A:BR,3,FALSE),"")</f>
        <v>https://www.ncbi.nlm.nih.gov/pubmed/15114429</v>
      </c>
      <c r="D4621" s="232" t="str">
        <f>IF(AND(A4621&lt;&gt;"",ISNUMBER(A4621)),VLOOKUP(A4621,Studies!A:BR,4,FALSE),"")</f>
        <v>7.5 mg Control (Perpetrator Placebo)</v>
      </c>
      <c r="E4621" s="206" t="str">
        <f>IF(AND(A4621&lt;&gt;"",ISNUMBER(A4621)),VLOOKUP(A4621,Studies!A:BR,5,FALSE),"")</f>
        <v>Midazolam</v>
      </c>
      <c r="F4621" s="207" t="str">
        <f>IF(AND(A4621&lt;&gt;"",ISNUMBER(A4621)),VLOOKUP(A4621,Studies!A:BR,6,FALSE),"")</f>
        <v>Plasma</v>
      </c>
      <c r="G4621" s="50">
        <v>0.5</v>
      </c>
      <c r="H4621" s="50" t="s">
        <v>60</v>
      </c>
      <c r="I4621" s="41">
        <v>23.33053</v>
      </c>
      <c r="J4621" s="41" t="s">
        <v>1026</v>
      </c>
      <c r="K4621" s="41" t="s">
        <v>1029</v>
      </c>
      <c r="L4621" s="52">
        <v>1.53742</v>
      </c>
      <c r="N4621" s="52" t="s">
        <v>1120</v>
      </c>
      <c r="O4621" s="59">
        <v>0.01</v>
      </c>
    </row>
    <row r="4622" spans="1:16" x14ac:dyDescent="0.2">
      <c r="A4622" s="189">
        <v>131</v>
      </c>
      <c r="B4622" s="232" t="str">
        <f>IF(AND(A4622&lt;&gt;"",ISNUMBER(A4622)),VLOOKUP(A4622,Studies!A:BR,2,FALSE),"")</f>
        <v>Eap 2004</v>
      </c>
      <c r="C4622" s="232" t="str">
        <f>IF(AND(A4622&lt;&gt;"",ISNUMBER(A4622)),VLOOKUP(A4622,Studies!A:BR,3,FALSE),"")</f>
        <v>https://www.ncbi.nlm.nih.gov/pubmed/15114429</v>
      </c>
      <c r="D4622" s="232" t="str">
        <f>IF(AND(A4622&lt;&gt;"",ISNUMBER(A4622)),VLOOKUP(A4622,Studies!A:BR,4,FALSE),"")</f>
        <v>7.5 mg Control (Perpetrator Placebo)</v>
      </c>
      <c r="E4622" s="206" t="str">
        <f>IF(AND(A4622&lt;&gt;"",ISNUMBER(A4622)),VLOOKUP(A4622,Studies!A:BR,5,FALSE),"")</f>
        <v>Midazolam</v>
      </c>
      <c r="F4622" s="207" t="str">
        <f>IF(AND(A4622&lt;&gt;"",ISNUMBER(A4622)),VLOOKUP(A4622,Studies!A:BR,6,FALSE),"")</f>
        <v>Plasma</v>
      </c>
      <c r="G4622" s="50">
        <v>1</v>
      </c>
      <c r="H4622" s="50" t="s">
        <v>60</v>
      </c>
      <c r="I4622" s="41">
        <v>15.98724</v>
      </c>
      <c r="J4622" s="41" t="s">
        <v>1026</v>
      </c>
      <c r="K4622" s="41" t="s">
        <v>1029</v>
      </c>
      <c r="L4622" s="52">
        <v>1.367254</v>
      </c>
      <c r="N4622" s="52" t="s">
        <v>1120</v>
      </c>
      <c r="O4622" s="59">
        <v>0.01</v>
      </c>
    </row>
    <row r="4623" spans="1:16" x14ac:dyDescent="0.2">
      <c r="A4623" s="189">
        <v>131</v>
      </c>
      <c r="B4623" s="232" t="str">
        <f>IF(AND(A4623&lt;&gt;"",ISNUMBER(A4623)),VLOOKUP(A4623,Studies!A:BR,2,FALSE),"")</f>
        <v>Eap 2004</v>
      </c>
      <c r="C4623" s="232" t="str">
        <f>IF(AND(A4623&lt;&gt;"",ISNUMBER(A4623)),VLOOKUP(A4623,Studies!A:BR,3,FALSE),"")</f>
        <v>https://www.ncbi.nlm.nih.gov/pubmed/15114429</v>
      </c>
      <c r="D4623" s="232" t="str">
        <f>IF(AND(A4623&lt;&gt;"",ISNUMBER(A4623)),VLOOKUP(A4623,Studies!A:BR,4,FALSE),"")</f>
        <v>7.5 mg Control (Perpetrator Placebo)</v>
      </c>
      <c r="E4623" s="206" t="str">
        <f>IF(AND(A4623&lt;&gt;"",ISNUMBER(A4623)),VLOOKUP(A4623,Studies!A:BR,5,FALSE),"")</f>
        <v>Midazolam</v>
      </c>
      <c r="F4623" s="207" t="str">
        <f>IF(AND(A4623&lt;&gt;"",ISNUMBER(A4623)),VLOOKUP(A4623,Studies!A:BR,6,FALSE),"")</f>
        <v>Plasma</v>
      </c>
      <c r="G4623" s="50">
        <v>1.5</v>
      </c>
      <c r="H4623" s="50" t="s">
        <v>60</v>
      </c>
      <c r="I4623" s="41">
        <v>13.851900000000001</v>
      </c>
      <c r="J4623" s="41" t="s">
        <v>1026</v>
      </c>
      <c r="K4623" s="41" t="s">
        <v>1029</v>
      </c>
      <c r="L4623" s="52">
        <v>1.332074</v>
      </c>
      <c r="N4623" s="52" t="s">
        <v>1120</v>
      </c>
      <c r="O4623" s="59">
        <v>0.01</v>
      </c>
    </row>
    <row r="4624" spans="1:16" x14ac:dyDescent="0.2">
      <c r="A4624" s="189">
        <v>131</v>
      </c>
      <c r="B4624" s="232" t="str">
        <f>IF(AND(A4624&lt;&gt;"",ISNUMBER(A4624)),VLOOKUP(A4624,Studies!A:BR,2,FALSE),"")</f>
        <v>Eap 2004</v>
      </c>
      <c r="C4624" s="232" t="str">
        <f>IF(AND(A4624&lt;&gt;"",ISNUMBER(A4624)),VLOOKUP(A4624,Studies!A:BR,3,FALSE),"")</f>
        <v>https://www.ncbi.nlm.nih.gov/pubmed/15114429</v>
      </c>
      <c r="D4624" s="232" t="str">
        <f>IF(AND(A4624&lt;&gt;"",ISNUMBER(A4624)),VLOOKUP(A4624,Studies!A:BR,4,FALSE),"")</f>
        <v>7.5 mg Control (Perpetrator Placebo)</v>
      </c>
      <c r="E4624" s="206" t="str">
        <f>IF(AND(A4624&lt;&gt;"",ISNUMBER(A4624)),VLOOKUP(A4624,Studies!A:BR,5,FALSE),"")</f>
        <v>Midazolam</v>
      </c>
      <c r="F4624" s="207" t="str">
        <f>IF(AND(A4624&lt;&gt;"",ISNUMBER(A4624)),VLOOKUP(A4624,Studies!A:BR,6,FALSE),"")</f>
        <v>Plasma</v>
      </c>
      <c r="G4624" s="50">
        <v>2</v>
      </c>
      <c r="H4624" s="50" t="s">
        <v>60</v>
      </c>
      <c r="I4624" s="41">
        <v>10.955260000000001</v>
      </c>
      <c r="J4624" s="41" t="s">
        <v>1026</v>
      </c>
      <c r="K4624" s="41" t="s">
        <v>1029</v>
      </c>
      <c r="L4624" s="52">
        <v>1.4593210000000001</v>
      </c>
      <c r="N4624" s="52" t="s">
        <v>1120</v>
      </c>
      <c r="O4624" s="59">
        <v>0.01</v>
      </c>
    </row>
    <row r="4625" spans="1:16" x14ac:dyDescent="0.2">
      <c r="A4625" s="189">
        <v>131</v>
      </c>
      <c r="B4625" s="232" t="str">
        <f>IF(AND(A4625&lt;&gt;"",ISNUMBER(A4625)),VLOOKUP(A4625,Studies!A:BR,2,FALSE),"")</f>
        <v>Eap 2004</v>
      </c>
      <c r="C4625" s="232" t="str">
        <f>IF(AND(A4625&lt;&gt;"",ISNUMBER(A4625)),VLOOKUP(A4625,Studies!A:BR,3,FALSE),"")</f>
        <v>https://www.ncbi.nlm.nih.gov/pubmed/15114429</v>
      </c>
      <c r="D4625" s="232" t="str">
        <f>IF(AND(A4625&lt;&gt;"",ISNUMBER(A4625)),VLOOKUP(A4625,Studies!A:BR,4,FALSE),"")</f>
        <v>7.5 mg Control (Perpetrator Placebo)</v>
      </c>
      <c r="E4625" s="206" t="str">
        <f>IF(AND(A4625&lt;&gt;"",ISNUMBER(A4625)),VLOOKUP(A4625,Studies!A:BR,5,FALSE),"")</f>
        <v>Midazolam</v>
      </c>
      <c r="F4625" s="207" t="str">
        <f>IF(AND(A4625&lt;&gt;"",ISNUMBER(A4625)),VLOOKUP(A4625,Studies!A:BR,6,FALSE),"")</f>
        <v>Plasma</v>
      </c>
      <c r="G4625" s="50">
        <v>3</v>
      </c>
      <c r="H4625" s="50" t="s">
        <v>60</v>
      </c>
      <c r="I4625" s="41">
        <v>7.5070920000000001</v>
      </c>
      <c r="J4625" s="41" t="s">
        <v>1026</v>
      </c>
      <c r="K4625" s="41" t="s">
        <v>1029</v>
      </c>
      <c r="L4625" s="52">
        <v>1.598724</v>
      </c>
      <c r="N4625" s="52" t="s">
        <v>1120</v>
      </c>
      <c r="O4625" s="59">
        <v>0.01</v>
      </c>
    </row>
    <row r="4626" spans="1:16" x14ac:dyDescent="0.2">
      <c r="A4626" s="189">
        <v>131</v>
      </c>
      <c r="B4626" s="232" t="str">
        <f>IF(AND(A4626&lt;&gt;"",ISNUMBER(A4626)),VLOOKUP(A4626,Studies!A:BR,2,FALSE),"")</f>
        <v>Eap 2004</v>
      </c>
      <c r="C4626" s="232" t="str">
        <f>IF(AND(A4626&lt;&gt;"",ISNUMBER(A4626)),VLOOKUP(A4626,Studies!A:BR,3,FALSE),"")</f>
        <v>https://www.ncbi.nlm.nih.gov/pubmed/15114429</v>
      </c>
      <c r="D4626" s="232" t="str">
        <f>IF(AND(A4626&lt;&gt;"",ISNUMBER(A4626)),VLOOKUP(A4626,Studies!A:BR,4,FALSE),"")</f>
        <v>7.5 mg Control (Perpetrator Placebo)</v>
      </c>
      <c r="E4626" s="206" t="str">
        <f>IF(AND(A4626&lt;&gt;"",ISNUMBER(A4626)),VLOOKUP(A4626,Studies!A:BR,5,FALSE),"")</f>
        <v>Midazolam</v>
      </c>
      <c r="F4626" s="207" t="str">
        <f>IF(AND(A4626&lt;&gt;"",ISNUMBER(A4626)),VLOOKUP(A4626,Studies!A:BR,6,FALSE),"")</f>
        <v>Plasma</v>
      </c>
      <c r="G4626" s="50">
        <v>4</v>
      </c>
      <c r="H4626" s="50" t="s">
        <v>60</v>
      </c>
      <c r="I4626" s="41">
        <v>4.8829159999999998</v>
      </c>
      <c r="J4626" s="41" t="s">
        <v>1026</v>
      </c>
      <c r="K4626" s="41" t="s">
        <v>1029</v>
      </c>
      <c r="L4626" s="52">
        <v>1.6196980000000001</v>
      </c>
      <c r="N4626" s="52" t="s">
        <v>1120</v>
      </c>
      <c r="O4626" s="59">
        <v>0.01</v>
      </c>
    </row>
    <row r="4627" spans="1:16" x14ac:dyDescent="0.2">
      <c r="A4627" s="189">
        <v>131</v>
      </c>
      <c r="B4627" s="232" t="str">
        <f>IF(AND(A4627&lt;&gt;"",ISNUMBER(A4627)),VLOOKUP(A4627,Studies!A:BR,2,FALSE),"")</f>
        <v>Eap 2004</v>
      </c>
      <c r="C4627" s="232" t="str">
        <f>IF(AND(A4627&lt;&gt;"",ISNUMBER(A4627)),VLOOKUP(A4627,Studies!A:BR,3,FALSE),"")</f>
        <v>https://www.ncbi.nlm.nih.gov/pubmed/15114429</v>
      </c>
      <c r="D4627" s="232" t="str">
        <f>IF(AND(A4627&lt;&gt;"",ISNUMBER(A4627)),VLOOKUP(A4627,Studies!A:BR,4,FALSE),"")</f>
        <v>7.5 mg Control (Perpetrator Placebo)</v>
      </c>
      <c r="E4627" s="206" t="str">
        <f>IF(AND(A4627&lt;&gt;"",ISNUMBER(A4627)),VLOOKUP(A4627,Studies!A:BR,5,FALSE),"")</f>
        <v>Midazolam</v>
      </c>
      <c r="F4627" s="207" t="str">
        <f>IF(AND(A4627&lt;&gt;"",ISNUMBER(A4627)),VLOOKUP(A4627,Studies!A:BR,6,FALSE),"")</f>
        <v>Plasma</v>
      </c>
      <c r="G4627" s="50">
        <v>6</v>
      </c>
      <c r="H4627" s="50" t="s">
        <v>60</v>
      </c>
      <c r="I4627" s="41">
        <v>2.4155660000000001</v>
      </c>
      <c r="J4627" s="41" t="s">
        <v>1026</v>
      </c>
      <c r="K4627" s="41" t="s">
        <v>1029</v>
      </c>
      <c r="L4627" s="52">
        <v>1.8693820000000001</v>
      </c>
      <c r="N4627" s="52" t="s">
        <v>1120</v>
      </c>
      <c r="O4627" s="59">
        <v>0.01</v>
      </c>
    </row>
    <row r="4628" spans="1:16" x14ac:dyDescent="0.2">
      <c r="A4628" s="189">
        <v>131</v>
      </c>
      <c r="B4628" s="232" t="str">
        <f>IF(AND(A4628&lt;&gt;"",ISNUMBER(A4628)),VLOOKUP(A4628,Studies!A:BR,2,FALSE),"")</f>
        <v>Eap 2004</v>
      </c>
      <c r="C4628" s="232" t="str">
        <f>IF(AND(A4628&lt;&gt;"",ISNUMBER(A4628)),VLOOKUP(A4628,Studies!A:BR,3,FALSE),"")</f>
        <v>https://www.ncbi.nlm.nih.gov/pubmed/15114429</v>
      </c>
      <c r="D4628" s="232" t="str">
        <f>IF(AND(A4628&lt;&gt;"",ISNUMBER(A4628)),VLOOKUP(A4628,Studies!A:BR,4,FALSE),"")</f>
        <v>7.5 mg Control (Perpetrator Placebo)</v>
      </c>
      <c r="E4628" s="206" t="str">
        <f>IF(AND(A4628&lt;&gt;"",ISNUMBER(A4628)),VLOOKUP(A4628,Studies!A:BR,5,FALSE),"")</f>
        <v>Midazolam</v>
      </c>
      <c r="F4628" s="207" t="str">
        <f>IF(AND(A4628&lt;&gt;"",ISNUMBER(A4628)),VLOOKUP(A4628,Studies!A:BR,6,FALSE),"")</f>
        <v>Plasma</v>
      </c>
      <c r="G4628" s="50">
        <v>8</v>
      </c>
      <c r="H4628" s="50" t="s">
        <v>60</v>
      </c>
      <c r="I4628" s="41">
        <v>1.491368</v>
      </c>
      <c r="J4628" s="41" t="s">
        <v>1026</v>
      </c>
      <c r="K4628" s="41" t="s">
        <v>1029</v>
      </c>
      <c r="L4628" s="52">
        <v>1.893907</v>
      </c>
      <c r="N4628" s="52" t="s">
        <v>1120</v>
      </c>
      <c r="O4628" s="59">
        <v>0.01</v>
      </c>
      <c r="P4628" s="42" t="s">
        <v>1439</v>
      </c>
    </row>
    <row r="4629" spans="1:16" x14ac:dyDescent="0.2">
      <c r="A4629" s="189">
        <v>132</v>
      </c>
      <c r="B4629" s="232" t="str">
        <f>IF(AND(A4629&lt;&gt;"",ISNUMBER(A4629)),VLOOKUP(A4629,Studies!A:BR,2,FALSE),"")</f>
        <v>Eap 2004</v>
      </c>
      <c r="C4629" s="232" t="str">
        <f>IF(AND(A4629&lt;&gt;"",ISNUMBER(A4629)),VLOOKUP(A4629,Studies!A:BR,3,FALSE),"")</f>
        <v>https://www.ncbi.nlm.nih.gov/pubmed/15114429</v>
      </c>
      <c r="D4629" s="232" t="str">
        <f>IF(AND(A4629&lt;&gt;"",ISNUMBER(A4629)),VLOOKUP(A4629,Studies!A:BR,4,FALSE),"")</f>
        <v>7.5 mg with Perpetrator (Rifampicin)</v>
      </c>
      <c r="E4629" s="206" t="str">
        <f>IF(AND(A4629&lt;&gt;"",ISNUMBER(A4629)),VLOOKUP(A4629,Studies!A:BR,5,FALSE),"")</f>
        <v>Midazolam</v>
      </c>
      <c r="F4629" s="207" t="str">
        <f>IF(AND(A4629&lt;&gt;"",ISNUMBER(A4629)),VLOOKUP(A4629,Studies!A:BR,6,FALSE),"")</f>
        <v>Plasma</v>
      </c>
      <c r="G4629" s="50">
        <v>114.5</v>
      </c>
      <c r="H4629" s="50" t="s">
        <v>60</v>
      </c>
      <c r="I4629" s="41">
        <v>2.8245119999999999</v>
      </c>
      <c r="J4629" s="41" t="s">
        <v>1026</v>
      </c>
      <c r="K4629" s="41" t="s">
        <v>1029</v>
      </c>
      <c r="L4629" s="52">
        <v>1.184636</v>
      </c>
      <c r="N4629" s="52" t="s">
        <v>1120</v>
      </c>
      <c r="O4629" s="59">
        <v>0.01</v>
      </c>
    </row>
    <row r="4630" spans="1:16" x14ac:dyDescent="0.2">
      <c r="A4630" s="189">
        <v>132</v>
      </c>
      <c r="B4630" s="232" t="str">
        <f>IF(AND(A4630&lt;&gt;"",ISNUMBER(A4630)),VLOOKUP(A4630,Studies!A:BR,2,FALSE),"")</f>
        <v>Eap 2004</v>
      </c>
      <c r="C4630" s="232" t="str">
        <f>IF(AND(A4630&lt;&gt;"",ISNUMBER(A4630)),VLOOKUP(A4630,Studies!A:BR,3,FALSE),"")</f>
        <v>https://www.ncbi.nlm.nih.gov/pubmed/15114429</v>
      </c>
      <c r="D4630" s="232" t="str">
        <f>IF(AND(A4630&lt;&gt;"",ISNUMBER(A4630)),VLOOKUP(A4630,Studies!A:BR,4,FALSE),"")</f>
        <v>7.5 mg with Perpetrator (Rifampicin)</v>
      </c>
      <c r="E4630" s="206" t="str">
        <f>IF(AND(A4630&lt;&gt;"",ISNUMBER(A4630)),VLOOKUP(A4630,Studies!A:BR,5,FALSE),"")</f>
        <v>Midazolam</v>
      </c>
      <c r="F4630" s="207" t="str">
        <f>IF(AND(A4630&lt;&gt;"",ISNUMBER(A4630)),VLOOKUP(A4630,Studies!A:BR,6,FALSE),"")</f>
        <v>Plasma</v>
      </c>
      <c r="G4630" s="50">
        <v>115</v>
      </c>
      <c r="H4630" s="50" t="s">
        <v>60</v>
      </c>
      <c r="I4630" s="41">
        <v>1.2265330000000001</v>
      </c>
      <c r="J4630" s="41" t="s">
        <v>1026</v>
      </c>
      <c r="K4630" s="41" t="s">
        <v>1029</v>
      </c>
      <c r="L4630" s="52">
        <v>1.200177</v>
      </c>
      <c r="N4630" s="52" t="s">
        <v>1120</v>
      </c>
      <c r="O4630" s="59">
        <v>0.01</v>
      </c>
    </row>
    <row r="4631" spans="1:16" x14ac:dyDescent="0.2">
      <c r="A4631" s="189">
        <v>132</v>
      </c>
      <c r="B4631" s="232" t="str">
        <f>IF(AND(A4631&lt;&gt;"",ISNUMBER(A4631)),VLOOKUP(A4631,Studies!A:BR,2,FALSE),"")</f>
        <v>Eap 2004</v>
      </c>
      <c r="C4631" s="232" t="str">
        <f>IF(AND(A4631&lt;&gt;"",ISNUMBER(A4631)),VLOOKUP(A4631,Studies!A:BR,3,FALSE),"")</f>
        <v>https://www.ncbi.nlm.nih.gov/pubmed/15114429</v>
      </c>
      <c r="D4631" s="232" t="str">
        <f>IF(AND(A4631&lt;&gt;"",ISNUMBER(A4631)),VLOOKUP(A4631,Studies!A:BR,4,FALSE),"")</f>
        <v>7.5 mg with Perpetrator (Rifampicin)</v>
      </c>
      <c r="E4631" s="206" t="str">
        <f>IF(AND(A4631&lt;&gt;"",ISNUMBER(A4631)),VLOOKUP(A4631,Studies!A:BR,5,FALSE),"")</f>
        <v>Midazolam</v>
      </c>
      <c r="F4631" s="207" t="str">
        <f>IF(AND(A4631&lt;&gt;"",ISNUMBER(A4631)),VLOOKUP(A4631,Studies!A:BR,6,FALSE),"")</f>
        <v>Plasma</v>
      </c>
      <c r="G4631" s="50">
        <v>115.5</v>
      </c>
      <c r="H4631" s="50" t="s">
        <v>60</v>
      </c>
      <c r="I4631" s="41">
        <v>0.74745479999999997</v>
      </c>
      <c r="J4631" s="41" t="s">
        <v>1026</v>
      </c>
      <c r="K4631" s="41" t="s">
        <v>1029</v>
      </c>
      <c r="L4631" s="52">
        <v>1.1392100000000001</v>
      </c>
      <c r="N4631" s="52" t="s">
        <v>1120</v>
      </c>
      <c r="O4631" s="59">
        <v>0.01</v>
      </c>
    </row>
    <row r="4632" spans="1:16" x14ac:dyDescent="0.2">
      <c r="A4632" s="189">
        <v>132</v>
      </c>
      <c r="B4632" s="232" t="str">
        <f>IF(AND(A4632&lt;&gt;"",ISNUMBER(A4632)),VLOOKUP(A4632,Studies!A:BR,2,FALSE),"")</f>
        <v>Eap 2004</v>
      </c>
      <c r="C4632" s="232" t="str">
        <f>IF(AND(A4632&lt;&gt;"",ISNUMBER(A4632)),VLOOKUP(A4632,Studies!A:BR,3,FALSE),"")</f>
        <v>https://www.ncbi.nlm.nih.gov/pubmed/15114429</v>
      </c>
      <c r="D4632" s="232" t="str">
        <f>IF(AND(A4632&lt;&gt;"",ISNUMBER(A4632)),VLOOKUP(A4632,Studies!A:BR,4,FALSE),"")</f>
        <v>7.5 mg with Perpetrator (Rifampicin)</v>
      </c>
      <c r="E4632" s="206" t="str">
        <f>IF(AND(A4632&lt;&gt;"",ISNUMBER(A4632)),VLOOKUP(A4632,Studies!A:BR,5,FALSE),"")</f>
        <v>Midazolam</v>
      </c>
      <c r="F4632" s="207" t="str">
        <f>IF(AND(A4632&lt;&gt;"",ISNUMBER(A4632)),VLOOKUP(A4632,Studies!A:BR,6,FALSE),"")</f>
        <v>Plasma</v>
      </c>
      <c r="G4632" s="50">
        <v>116</v>
      </c>
      <c r="H4632" s="50" t="s">
        <v>60</v>
      </c>
      <c r="I4632" s="41">
        <v>0.449604</v>
      </c>
      <c r="J4632" s="41" t="s">
        <v>1026</v>
      </c>
      <c r="K4632" s="41" t="s">
        <v>1029</v>
      </c>
      <c r="L4632" s="52">
        <v>1.200177</v>
      </c>
      <c r="N4632" s="52" t="s">
        <v>1120</v>
      </c>
      <c r="O4632" s="59">
        <v>0.01</v>
      </c>
    </row>
    <row r="4633" spans="1:16" x14ac:dyDescent="0.2">
      <c r="A4633" s="189">
        <v>132</v>
      </c>
      <c r="B4633" s="232" t="str">
        <f>IF(AND(A4633&lt;&gt;"",ISNUMBER(A4633)),VLOOKUP(A4633,Studies!A:BR,2,FALSE),"")</f>
        <v>Eap 2004</v>
      </c>
      <c r="C4633" s="232" t="str">
        <f>IF(AND(A4633&lt;&gt;"",ISNUMBER(A4633)),VLOOKUP(A4633,Studies!A:BR,3,FALSE),"")</f>
        <v>https://www.ncbi.nlm.nih.gov/pubmed/15114429</v>
      </c>
      <c r="D4633" s="232" t="str">
        <f>IF(AND(A4633&lt;&gt;"",ISNUMBER(A4633)),VLOOKUP(A4633,Studies!A:BR,4,FALSE),"")</f>
        <v>7.5 mg with Perpetrator (Rifampicin)</v>
      </c>
      <c r="E4633" s="206" t="str">
        <f>IF(AND(A4633&lt;&gt;"",ISNUMBER(A4633)),VLOOKUP(A4633,Studies!A:BR,5,FALSE),"")</f>
        <v>Midazolam</v>
      </c>
      <c r="F4633" s="207" t="str">
        <f>IF(AND(A4633&lt;&gt;"",ISNUMBER(A4633)),VLOOKUP(A4633,Studies!A:BR,6,FALSE),"")</f>
        <v>Plasma</v>
      </c>
      <c r="G4633" s="50">
        <v>117</v>
      </c>
      <c r="H4633" s="50" t="s">
        <v>60</v>
      </c>
      <c r="I4633" s="41">
        <v>0.25009969999999998</v>
      </c>
      <c r="J4633" s="41" t="s">
        <v>1026</v>
      </c>
      <c r="K4633" s="41" t="s">
        <v>1029</v>
      </c>
      <c r="L4633" s="52">
        <v>1.053517</v>
      </c>
      <c r="N4633" s="52" t="s">
        <v>1120</v>
      </c>
      <c r="O4633" s="59">
        <v>0.01</v>
      </c>
    </row>
    <row r="4634" spans="1:16" x14ac:dyDescent="0.2">
      <c r="A4634" s="189">
        <v>132</v>
      </c>
      <c r="B4634" s="232" t="str">
        <f>IF(AND(A4634&lt;&gt;"",ISNUMBER(A4634)),VLOOKUP(A4634,Studies!A:BR,2,FALSE),"")</f>
        <v>Eap 2004</v>
      </c>
      <c r="C4634" s="232" t="str">
        <f>IF(AND(A4634&lt;&gt;"",ISNUMBER(A4634)),VLOOKUP(A4634,Studies!A:BR,3,FALSE),"")</f>
        <v>https://www.ncbi.nlm.nih.gov/pubmed/15114429</v>
      </c>
      <c r="D4634" s="232" t="str">
        <f>IF(AND(A4634&lt;&gt;"",ISNUMBER(A4634)),VLOOKUP(A4634,Studies!A:BR,4,FALSE),"")</f>
        <v>7.5 mg with Perpetrator (Rifampicin)</v>
      </c>
      <c r="E4634" s="206" t="str">
        <f>IF(AND(A4634&lt;&gt;"",ISNUMBER(A4634)),VLOOKUP(A4634,Studies!A:BR,5,FALSE),"")</f>
        <v>Midazolam</v>
      </c>
      <c r="F4634" s="207" t="str">
        <f>IF(AND(A4634&lt;&gt;"",ISNUMBER(A4634)),VLOOKUP(A4634,Studies!A:BR,6,FALSE),"")</f>
        <v>Plasma</v>
      </c>
      <c r="G4634" s="50">
        <v>118</v>
      </c>
      <c r="H4634" s="50" t="s">
        <v>60</v>
      </c>
      <c r="I4634" s="41">
        <v>0.14279629999999999</v>
      </c>
      <c r="J4634" s="41" t="s">
        <v>1026</v>
      </c>
      <c r="K4634" s="41" t="s">
        <v>1029</v>
      </c>
      <c r="L4634" s="52">
        <v>1.2644070000000001</v>
      </c>
      <c r="N4634" s="52" t="s">
        <v>1120</v>
      </c>
      <c r="O4634" s="59">
        <v>0.01</v>
      </c>
    </row>
    <row r="4635" spans="1:16" x14ac:dyDescent="0.2">
      <c r="A4635" s="189">
        <v>132</v>
      </c>
      <c r="B4635" s="232" t="str">
        <f>IF(AND(A4635&lt;&gt;"",ISNUMBER(A4635)),VLOOKUP(A4635,Studies!A:BR,2,FALSE),"")</f>
        <v>Eap 2004</v>
      </c>
      <c r="C4635" s="232" t="str">
        <f>IF(AND(A4635&lt;&gt;"",ISNUMBER(A4635)),VLOOKUP(A4635,Studies!A:BR,3,FALSE),"")</f>
        <v>https://www.ncbi.nlm.nih.gov/pubmed/15114429</v>
      </c>
      <c r="D4635" s="232" t="str">
        <f>IF(AND(A4635&lt;&gt;"",ISNUMBER(A4635)),VLOOKUP(A4635,Studies!A:BR,4,FALSE),"")</f>
        <v>7.5 mg with Perpetrator (Rifampicin)</v>
      </c>
      <c r="E4635" s="206" t="str">
        <f>IF(AND(A4635&lt;&gt;"",ISNUMBER(A4635)),VLOOKUP(A4635,Studies!A:BR,5,FALSE),"")</f>
        <v>Midazolam</v>
      </c>
      <c r="F4635" s="207" t="str">
        <f>IF(AND(A4635&lt;&gt;"",ISNUMBER(A4635)),VLOOKUP(A4635,Studies!A:BR,6,FALSE),"")</f>
        <v>Plasma</v>
      </c>
      <c r="G4635" s="50">
        <v>120</v>
      </c>
      <c r="H4635" s="50" t="s">
        <v>60</v>
      </c>
      <c r="I4635" s="41">
        <v>6.1205780000000001E-2</v>
      </c>
      <c r="J4635" s="41" t="s">
        <v>1026</v>
      </c>
      <c r="K4635" s="41" t="s">
        <v>1029</v>
      </c>
      <c r="L4635" s="52">
        <v>1.2977989999999999</v>
      </c>
      <c r="N4635" s="52" t="s">
        <v>1120</v>
      </c>
      <c r="O4635" s="59">
        <v>0.01</v>
      </c>
    </row>
    <row r="4636" spans="1:16" x14ac:dyDescent="0.2">
      <c r="A4636" s="189">
        <v>132</v>
      </c>
      <c r="B4636" s="232" t="str">
        <f>IF(AND(A4636&lt;&gt;"",ISNUMBER(A4636)),VLOOKUP(A4636,Studies!A:BR,2,FALSE),"")</f>
        <v>Eap 2004</v>
      </c>
      <c r="C4636" s="232" t="str">
        <f>IF(AND(A4636&lt;&gt;"",ISNUMBER(A4636)),VLOOKUP(A4636,Studies!A:BR,3,FALSE),"")</f>
        <v>https://www.ncbi.nlm.nih.gov/pubmed/15114429</v>
      </c>
      <c r="D4636" s="232" t="str">
        <f>IF(AND(A4636&lt;&gt;"",ISNUMBER(A4636)),VLOOKUP(A4636,Studies!A:BR,4,FALSE),"")</f>
        <v>7.5 mg with Perpetrator (Rifampicin)</v>
      </c>
      <c r="E4636" s="206" t="str">
        <f>IF(AND(A4636&lt;&gt;"",ISNUMBER(A4636)),VLOOKUP(A4636,Studies!A:BR,5,FALSE),"")</f>
        <v>Midazolam</v>
      </c>
      <c r="F4636" s="207" t="str">
        <f>IF(AND(A4636&lt;&gt;"",ISNUMBER(A4636)),VLOOKUP(A4636,Studies!A:BR,6,FALSE),"")</f>
        <v>Plasma</v>
      </c>
      <c r="G4636" s="50">
        <v>122</v>
      </c>
      <c r="H4636" s="50" t="s">
        <v>60</v>
      </c>
      <c r="I4636" s="41">
        <v>4.4765489999999998E-2</v>
      </c>
      <c r="J4636" s="41" t="s">
        <v>1026</v>
      </c>
      <c r="K4636" s="41" t="s">
        <v>1029</v>
      </c>
      <c r="L4636" s="52">
        <v>1.3148249999999999</v>
      </c>
      <c r="N4636" s="52" t="s">
        <v>1120</v>
      </c>
      <c r="O4636" s="59">
        <v>0.01</v>
      </c>
      <c r="P4636" s="42" t="s">
        <v>1439</v>
      </c>
    </row>
    <row r="4637" spans="1:16" x14ac:dyDescent="0.2">
      <c r="A4637" s="189">
        <v>60</v>
      </c>
      <c r="B4637" s="232" t="str">
        <f>IF(AND(A4637&lt;&gt;"",ISNUMBER(A4637)),VLOOKUP(A4637,Studies!A:BR,2,FALSE),"")</f>
        <v>Baneyx 2014</v>
      </c>
      <c r="C4637" s="232" t="str">
        <f>IF(AND(A4637&lt;&gt;"",ISNUMBER(A4637)),VLOOKUP(A4637,Studies!A:BR,3,FALSE),"")</f>
        <v>https://www.ncbi.nlm.nih.gov/pubmed/24530864</v>
      </c>
      <c r="D4637" s="232" t="str">
        <f>IF(AND(A4637&lt;&gt;"",ISNUMBER(A4637)),VLOOKUP(A4637,Studies!A:BR,4,FALSE),"")</f>
        <v>Day 4 - 600 mg po MD</v>
      </c>
      <c r="E4637" s="206" t="str">
        <f>IF(AND(A4637&lt;&gt;"",ISNUMBER(A4637)),VLOOKUP(A4637,Studies!A:BR,5,FALSE),"")</f>
        <v>Rifampicin</v>
      </c>
      <c r="F4637" s="207" t="str">
        <f>IF(AND(A4637&lt;&gt;"",ISNUMBER(A4637)),VLOOKUP(A4637,Studies!A:BR,6,FALSE),"")</f>
        <v>Plasma</v>
      </c>
      <c r="G4637" s="50">
        <v>73</v>
      </c>
      <c r="H4637" s="50" t="s">
        <v>60</v>
      </c>
      <c r="I4637" s="41">
        <v>10.65915</v>
      </c>
      <c r="J4637" s="41" t="s">
        <v>1054</v>
      </c>
      <c r="K4637" s="41" t="s">
        <v>116</v>
      </c>
      <c r="L4637" s="52">
        <v>4.8325469999999999</v>
      </c>
      <c r="M4637" s="52" t="s">
        <v>1054</v>
      </c>
      <c r="N4637" s="52" t="s">
        <v>117</v>
      </c>
    </row>
    <row r="4638" spans="1:16" x14ac:dyDescent="0.2">
      <c r="A4638" s="189">
        <v>60</v>
      </c>
      <c r="B4638" s="232" t="str">
        <f>IF(AND(A4638&lt;&gt;"",ISNUMBER(A4638)),VLOOKUP(A4638,Studies!A:BR,2,FALSE),"")</f>
        <v>Baneyx 2014</v>
      </c>
      <c r="C4638" s="232" t="str">
        <f>IF(AND(A4638&lt;&gt;"",ISNUMBER(A4638)),VLOOKUP(A4638,Studies!A:BR,3,FALSE),"")</f>
        <v>https://www.ncbi.nlm.nih.gov/pubmed/24530864</v>
      </c>
      <c r="D4638" s="232" t="str">
        <f>IF(AND(A4638&lt;&gt;"",ISNUMBER(A4638)),VLOOKUP(A4638,Studies!A:BR,4,FALSE),"")</f>
        <v>Day 4 - 600 mg po MD</v>
      </c>
      <c r="E4638" s="206" t="str">
        <f>IF(AND(A4638&lt;&gt;"",ISNUMBER(A4638)),VLOOKUP(A4638,Studies!A:BR,5,FALSE),"")</f>
        <v>Rifampicin</v>
      </c>
      <c r="F4638" s="207" t="str">
        <f>IF(AND(A4638&lt;&gt;"",ISNUMBER(A4638)),VLOOKUP(A4638,Studies!A:BR,6,FALSE),"")</f>
        <v>Plasma</v>
      </c>
      <c r="G4638" s="50">
        <v>74</v>
      </c>
      <c r="H4638" s="50" t="s">
        <v>60</v>
      </c>
      <c r="I4638" s="41">
        <v>9.641807</v>
      </c>
      <c r="J4638" s="41" t="s">
        <v>1054</v>
      </c>
      <c r="K4638" s="41" t="s">
        <v>116</v>
      </c>
      <c r="L4638" s="52">
        <v>3.0338449999999999</v>
      </c>
      <c r="M4638" s="52" t="s">
        <v>1054</v>
      </c>
      <c r="N4638" s="52" t="s">
        <v>117</v>
      </c>
    </row>
    <row r="4639" spans="1:16" x14ac:dyDescent="0.2">
      <c r="A4639" s="189">
        <v>60</v>
      </c>
      <c r="B4639" s="232" t="str">
        <f>IF(AND(A4639&lt;&gt;"",ISNUMBER(A4639)),VLOOKUP(A4639,Studies!A:BR,2,FALSE),"")</f>
        <v>Baneyx 2014</v>
      </c>
      <c r="C4639" s="232" t="str">
        <f>IF(AND(A4639&lt;&gt;"",ISNUMBER(A4639)),VLOOKUP(A4639,Studies!A:BR,3,FALSE),"")</f>
        <v>https://www.ncbi.nlm.nih.gov/pubmed/24530864</v>
      </c>
      <c r="D4639" s="232" t="str">
        <f>IF(AND(A4639&lt;&gt;"",ISNUMBER(A4639)),VLOOKUP(A4639,Studies!A:BR,4,FALSE),"")</f>
        <v>Day 4 - 600 mg po MD</v>
      </c>
      <c r="E4639" s="206" t="str">
        <f>IF(AND(A4639&lt;&gt;"",ISNUMBER(A4639)),VLOOKUP(A4639,Studies!A:BR,5,FALSE),"")</f>
        <v>Rifampicin</v>
      </c>
      <c r="F4639" s="207" t="str">
        <f>IF(AND(A4639&lt;&gt;"",ISNUMBER(A4639)),VLOOKUP(A4639,Studies!A:BR,6,FALSE),"")</f>
        <v>Plasma</v>
      </c>
      <c r="G4639" s="50">
        <v>75</v>
      </c>
      <c r="H4639" s="50" t="s">
        <v>60</v>
      </c>
      <c r="I4639" s="41">
        <v>8.0343459999999993</v>
      </c>
      <c r="J4639" s="41" t="s">
        <v>1054</v>
      </c>
      <c r="K4639" s="41" t="s">
        <v>116</v>
      </c>
      <c r="L4639" s="52">
        <v>2.337154</v>
      </c>
      <c r="M4639" s="52" t="s">
        <v>1054</v>
      </c>
      <c r="N4639" s="52" t="s">
        <v>117</v>
      </c>
    </row>
    <row r="4640" spans="1:16" x14ac:dyDescent="0.2">
      <c r="A4640" s="189">
        <v>60</v>
      </c>
      <c r="B4640" s="232" t="str">
        <f>IF(AND(A4640&lt;&gt;"",ISNUMBER(A4640)),VLOOKUP(A4640,Studies!A:BR,2,FALSE),"")</f>
        <v>Baneyx 2014</v>
      </c>
      <c r="C4640" s="232" t="str">
        <f>IF(AND(A4640&lt;&gt;"",ISNUMBER(A4640)),VLOOKUP(A4640,Studies!A:BR,3,FALSE),"")</f>
        <v>https://www.ncbi.nlm.nih.gov/pubmed/24530864</v>
      </c>
      <c r="D4640" s="232" t="str">
        <f>IF(AND(A4640&lt;&gt;"",ISNUMBER(A4640)),VLOOKUP(A4640,Studies!A:BR,4,FALSE),"")</f>
        <v>Day 4 - 600 mg po MD</v>
      </c>
      <c r="E4640" s="206" t="str">
        <f>IF(AND(A4640&lt;&gt;"",ISNUMBER(A4640)),VLOOKUP(A4640,Studies!A:BR,5,FALSE),"")</f>
        <v>Rifampicin</v>
      </c>
      <c r="F4640" s="207" t="str">
        <f>IF(AND(A4640&lt;&gt;"",ISNUMBER(A4640)),VLOOKUP(A4640,Studies!A:BR,6,FALSE),"")</f>
        <v>Plasma</v>
      </c>
      <c r="G4640" s="50">
        <v>76</v>
      </c>
      <c r="H4640" s="50" t="s">
        <v>60</v>
      </c>
      <c r="I4640" s="41">
        <v>6.7562069999999999</v>
      </c>
      <c r="J4640" s="41" t="s">
        <v>1054</v>
      </c>
      <c r="K4640" s="41" t="s">
        <v>116</v>
      </c>
      <c r="L4640" s="52">
        <v>2.045248</v>
      </c>
      <c r="M4640" s="52" t="s">
        <v>1054</v>
      </c>
      <c r="N4640" s="52" t="s">
        <v>117</v>
      </c>
    </row>
    <row r="4641" spans="1:16" x14ac:dyDescent="0.2">
      <c r="A4641" s="189">
        <v>60</v>
      </c>
      <c r="B4641" s="232" t="str">
        <f>IF(AND(A4641&lt;&gt;"",ISNUMBER(A4641)),VLOOKUP(A4641,Studies!A:BR,2,FALSE),"")</f>
        <v>Baneyx 2014</v>
      </c>
      <c r="C4641" s="232" t="str">
        <f>IF(AND(A4641&lt;&gt;"",ISNUMBER(A4641)),VLOOKUP(A4641,Studies!A:BR,3,FALSE),"")</f>
        <v>https://www.ncbi.nlm.nih.gov/pubmed/24530864</v>
      </c>
      <c r="D4641" s="232" t="str">
        <f>IF(AND(A4641&lt;&gt;"",ISNUMBER(A4641)),VLOOKUP(A4641,Studies!A:BR,4,FALSE),"")</f>
        <v>Day 4 - 600 mg po MD</v>
      </c>
      <c r="E4641" s="206" t="str">
        <f>IF(AND(A4641&lt;&gt;"",ISNUMBER(A4641)),VLOOKUP(A4641,Studies!A:BR,5,FALSE),"")</f>
        <v>Rifampicin</v>
      </c>
      <c r="F4641" s="207" t="str">
        <f>IF(AND(A4641&lt;&gt;"",ISNUMBER(A4641)),VLOOKUP(A4641,Studies!A:BR,6,FALSE),"")</f>
        <v>Plasma</v>
      </c>
      <c r="G4641" s="50">
        <v>78</v>
      </c>
      <c r="H4641" s="50" t="s">
        <v>60</v>
      </c>
      <c r="I4641" s="41">
        <v>3.9449329999999998</v>
      </c>
      <c r="J4641" s="41" t="s">
        <v>1054</v>
      </c>
      <c r="K4641" s="41" t="s">
        <v>116</v>
      </c>
      <c r="L4641" s="52">
        <v>1.3367500000000001</v>
      </c>
      <c r="M4641" s="52" t="s">
        <v>1054</v>
      </c>
      <c r="N4641" s="52" t="s">
        <v>117</v>
      </c>
    </row>
    <row r="4642" spans="1:16" x14ac:dyDescent="0.2">
      <c r="A4642" s="189">
        <v>60</v>
      </c>
      <c r="B4642" s="232" t="str">
        <f>IF(AND(A4642&lt;&gt;"",ISNUMBER(A4642)),VLOOKUP(A4642,Studies!A:BR,2,FALSE),"")</f>
        <v>Baneyx 2014</v>
      </c>
      <c r="C4642" s="232" t="str">
        <f>IF(AND(A4642&lt;&gt;"",ISNUMBER(A4642)),VLOOKUP(A4642,Studies!A:BR,3,FALSE),"")</f>
        <v>https://www.ncbi.nlm.nih.gov/pubmed/24530864</v>
      </c>
      <c r="D4642" s="232" t="str">
        <f>IF(AND(A4642&lt;&gt;"",ISNUMBER(A4642)),VLOOKUP(A4642,Studies!A:BR,4,FALSE),"")</f>
        <v>Day 4 - 600 mg po MD</v>
      </c>
      <c r="E4642" s="206" t="str">
        <f>IF(AND(A4642&lt;&gt;"",ISNUMBER(A4642)),VLOOKUP(A4642,Studies!A:BR,5,FALSE),"")</f>
        <v>Rifampicin</v>
      </c>
      <c r="F4642" s="207" t="str">
        <f>IF(AND(A4642&lt;&gt;"",ISNUMBER(A4642)),VLOOKUP(A4642,Studies!A:BR,6,FALSE),"")</f>
        <v>Plasma</v>
      </c>
      <c r="G4642" s="50">
        <v>80</v>
      </c>
      <c r="H4642" s="50" t="s">
        <v>60</v>
      </c>
      <c r="I4642" s="41">
        <v>2.5698099999999999</v>
      </c>
      <c r="J4642" s="41" t="s">
        <v>1054</v>
      </c>
      <c r="K4642" s="41" t="s">
        <v>116</v>
      </c>
      <c r="L4642" s="52">
        <v>1.3393120000000001</v>
      </c>
      <c r="M4642" s="52" t="s">
        <v>1054</v>
      </c>
      <c r="N4642" s="52" t="s">
        <v>117</v>
      </c>
    </row>
    <row r="4643" spans="1:16" x14ac:dyDescent="0.2">
      <c r="A4643" s="189">
        <v>549</v>
      </c>
      <c r="B4643" s="232" t="str">
        <f>IF(AND(A4643&lt;&gt;"",ISNUMBER(A4643)),VLOOKUP(A4643,Studies!A:BR,2,FALSE),"")</f>
        <v>Baneyx 2014</v>
      </c>
      <c r="C4643" s="232" t="str">
        <f>IF(AND(A4643&lt;&gt;"",ISNUMBER(A4643)),VLOOKUP(A4643,Studies!A:BR,3,FALSE),"")</f>
        <v>https://www.ncbi.nlm.nih.gov/pubmed/24530864</v>
      </c>
      <c r="D4643" s="232" t="str">
        <f>IF(AND(A4643&lt;&gt;"",ISNUMBER(A4643)),VLOOKUP(A4643,Studies!A:BR,4,FALSE),"")</f>
        <v>Day 7 - 600 mg po MD</v>
      </c>
      <c r="E4643" s="206" t="str">
        <f>IF(AND(A4643&lt;&gt;"",ISNUMBER(A4643)),VLOOKUP(A4643,Studies!A:BR,5,FALSE),"")</f>
        <v>Rifampicin</v>
      </c>
      <c r="F4643" s="207" t="str">
        <f>IF(AND(A4643&lt;&gt;"",ISNUMBER(A4643)),VLOOKUP(A4643,Studies!A:BR,6,FALSE),"")</f>
        <v>Plasma</v>
      </c>
      <c r="G4643" s="50">
        <v>145</v>
      </c>
      <c r="H4643" s="50" t="s">
        <v>60</v>
      </c>
      <c r="I4643" s="41">
        <v>7.813707</v>
      </c>
      <c r="J4643" s="41" t="s">
        <v>1054</v>
      </c>
      <c r="K4643" s="41" t="s">
        <v>116</v>
      </c>
      <c r="L4643" s="52">
        <v>4.7525620000000002</v>
      </c>
      <c r="M4643" s="52" t="s">
        <v>1054</v>
      </c>
      <c r="N4643" s="52" t="s">
        <v>117</v>
      </c>
    </row>
    <row r="4644" spans="1:16" x14ac:dyDescent="0.2">
      <c r="A4644" s="189">
        <v>549</v>
      </c>
      <c r="B4644" s="232" t="str">
        <f>IF(AND(A4644&lt;&gt;"",ISNUMBER(A4644)),VLOOKUP(A4644,Studies!A:BR,2,FALSE),"")</f>
        <v>Baneyx 2014</v>
      </c>
      <c r="C4644" s="232" t="str">
        <f>IF(AND(A4644&lt;&gt;"",ISNUMBER(A4644)),VLOOKUP(A4644,Studies!A:BR,3,FALSE),"")</f>
        <v>https://www.ncbi.nlm.nih.gov/pubmed/24530864</v>
      </c>
      <c r="D4644" s="232" t="str">
        <f>IF(AND(A4644&lt;&gt;"",ISNUMBER(A4644)),VLOOKUP(A4644,Studies!A:BR,4,FALSE),"")</f>
        <v>Day 7 - 600 mg po MD</v>
      </c>
      <c r="E4644" s="206" t="str">
        <f>IF(AND(A4644&lt;&gt;"",ISNUMBER(A4644)),VLOOKUP(A4644,Studies!A:BR,5,FALSE),"")</f>
        <v>Rifampicin</v>
      </c>
      <c r="F4644" s="207" t="str">
        <f>IF(AND(A4644&lt;&gt;"",ISNUMBER(A4644)),VLOOKUP(A4644,Studies!A:BR,6,FALSE),"")</f>
        <v>Plasma</v>
      </c>
      <c r="G4644" s="50">
        <v>146</v>
      </c>
      <c r="H4644" s="50" t="s">
        <v>60</v>
      </c>
      <c r="I4644" s="41">
        <v>9.1267779999999998</v>
      </c>
      <c r="J4644" s="41" t="s">
        <v>1054</v>
      </c>
      <c r="K4644" s="41" t="s">
        <v>116</v>
      </c>
      <c r="L4644" s="52">
        <v>2.8783029999999998</v>
      </c>
      <c r="M4644" s="52" t="s">
        <v>1054</v>
      </c>
      <c r="N4644" s="52" t="s">
        <v>117</v>
      </c>
    </row>
    <row r="4645" spans="1:16" x14ac:dyDescent="0.2">
      <c r="A4645" s="189">
        <v>549</v>
      </c>
      <c r="B4645" s="232" t="str">
        <f>IF(AND(A4645&lt;&gt;"",ISNUMBER(A4645)),VLOOKUP(A4645,Studies!A:BR,2,FALSE),"")</f>
        <v>Baneyx 2014</v>
      </c>
      <c r="C4645" s="232" t="str">
        <f>IF(AND(A4645&lt;&gt;"",ISNUMBER(A4645)),VLOOKUP(A4645,Studies!A:BR,3,FALSE),"")</f>
        <v>https://www.ncbi.nlm.nih.gov/pubmed/24530864</v>
      </c>
      <c r="D4645" s="232" t="str">
        <f>IF(AND(A4645&lt;&gt;"",ISNUMBER(A4645)),VLOOKUP(A4645,Studies!A:BR,4,FALSE),"")</f>
        <v>Day 7 - 600 mg po MD</v>
      </c>
      <c r="E4645" s="206" t="str">
        <f>IF(AND(A4645&lt;&gt;"",ISNUMBER(A4645)),VLOOKUP(A4645,Studies!A:BR,5,FALSE),"")</f>
        <v>Rifampicin</v>
      </c>
      <c r="F4645" s="207" t="str">
        <f>IF(AND(A4645&lt;&gt;"",ISNUMBER(A4645)),VLOOKUP(A4645,Studies!A:BR,6,FALSE),"")</f>
        <v>Plasma</v>
      </c>
      <c r="G4645" s="50">
        <v>147</v>
      </c>
      <c r="H4645" s="50" t="s">
        <v>60</v>
      </c>
      <c r="I4645" s="41">
        <v>7.0022580000000003</v>
      </c>
      <c r="J4645" s="41" t="s">
        <v>1054</v>
      </c>
      <c r="K4645" s="41" t="s">
        <v>116</v>
      </c>
      <c r="L4645" s="52">
        <v>2.464264</v>
      </c>
      <c r="M4645" s="52" t="s">
        <v>1054</v>
      </c>
      <c r="N4645" s="52" t="s">
        <v>117</v>
      </c>
    </row>
    <row r="4646" spans="1:16" x14ac:dyDescent="0.2">
      <c r="A4646" s="189">
        <v>549</v>
      </c>
      <c r="B4646" s="232" t="str">
        <f>IF(AND(A4646&lt;&gt;"",ISNUMBER(A4646)),VLOOKUP(A4646,Studies!A:BR,2,FALSE),"")</f>
        <v>Baneyx 2014</v>
      </c>
      <c r="C4646" s="232" t="str">
        <f>IF(AND(A4646&lt;&gt;"",ISNUMBER(A4646)),VLOOKUP(A4646,Studies!A:BR,3,FALSE),"")</f>
        <v>https://www.ncbi.nlm.nih.gov/pubmed/24530864</v>
      </c>
      <c r="D4646" s="232" t="str">
        <f>IF(AND(A4646&lt;&gt;"",ISNUMBER(A4646)),VLOOKUP(A4646,Studies!A:BR,4,FALSE),"")</f>
        <v>Day 7 - 600 mg po MD</v>
      </c>
      <c r="E4646" s="206" t="str">
        <f>IF(AND(A4646&lt;&gt;"",ISNUMBER(A4646)),VLOOKUP(A4646,Studies!A:BR,5,FALSE),"")</f>
        <v>Rifampicin</v>
      </c>
      <c r="F4646" s="207" t="str">
        <f>IF(AND(A4646&lt;&gt;"",ISNUMBER(A4646)),VLOOKUP(A4646,Studies!A:BR,6,FALSE),"")</f>
        <v>Plasma</v>
      </c>
      <c r="G4646" s="50">
        <v>148</v>
      </c>
      <c r="H4646" s="50" t="s">
        <v>60</v>
      </c>
      <c r="I4646" s="41">
        <v>5.779693</v>
      </c>
      <c r="J4646" s="41" t="s">
        <v>1054</v>
      </c>
      <c r="K4646" s="41" t="s">
        <v>116</v>
      </c>
      <c r="L4646" s="52">
        <v>2.034014</v>
      </c>
      <c r="M4646" s="52" t="s">
        <v>1054</v>
      </c>
      <c r="N4646" s="52" t="s">
        <v>117</v>
      </c>
    </row>
    <row r="4647" spans="1:16" x14ac:dyDescent="0.2">
      <c r="A4647" s="189">
        <v>549</v>
      </c>
      <c r="B4647" s="232" t="str">
        <f>IF(AND(A4647&lt;&gt;"",ISNUMBER(A4647)),VLOOKUP(A4647,Studies!A:BR,2,FALSE),"")</f>
        <v>Baneyx 2014</v>
      </c>
      <c r="C4647" s="232" t="str">
        <f>IF(AND(A4647&lt;&gt;"",ISNUMBER(A4647)),VLOOKUP(A4647,Studies!A:BR,3,FALSE),"")</f>
        <v>https://www.ncbi.nlm.nih.gov/pubmed/24530864</v>
      </c>
      <c r="D4647" s="232" t="str">
        <f>IF(AND(A4647&lt;&gt;"",ISNUMBER(A4647)),VLOOKUP(A4647,Studies!A:BR,4,FALSE),"")</f>
        <v>Day 7 - 600 mg po MD</v>
      </c>
      <c r="E4647" s="206" t="str">
        <f>IF(AND(A4647&lt;&gt;"",ISNUMBER(A4647)),VLOOKUP(A4647,Studies!A:BR,5,FALSE),"")</f>
        <v>Rifampicin</v>
      </c>
      <c r="F4647" s="207" t="str">
        <f>IF(AND(A4647&lt;&gt;"",ISNUMBER(A4647)),VLOOKUP(A4647,Studies!A:BR,6,FALSE),"")</f>
        <v>Plasma</v>
      </c>
      <c r="G4647" s="50">
        <v>150</v>
      </c>
      <c r="H4647" s="50" t="s">
        <v>60</v>
      </c>
      <c r="I4647" s="41">
        <v>2.912633</v>
      </c>
      <c r="J4647" s="41" t="s">
        <v>1054</v>
      </c>
      <c r="K4647" s="41" t="s">
        <v>116</v>
      </c>
      <c r="L4647" s="52">
        <v>1.323642</v>
      </c>
      <c r="M4647" s="52" t="s">
        <v>1054</v>
      </c>
      <c r="N4647" s="52" t="s">
        <v>117</v>
      </c>
    </row>
    <row r="4648" spans="1:16" x14ac:dyDescent="0.2">
      <c r="A4648" s="189">
        <v>549</v>
      </c>
      <c r="B4648" s="232" t="str">
        <f>IF(AND(A4648&lt;&gt;"",ISNUMBER(A4648)),VLOOKUP(A4648,Studies!A:BR,2,FALSE),"")</f>
        <v>Baneyx 2014</v>
      </c>
      <c r="C4648" s="232" t="str">
        <f>IF(AND(A4648&lt;&gt;"",ISNUMBER(A4648)),VLOOKUP(A4648,Studies!A:BR,3,FALSE),"")</f>
        <v>https://www.ncbi.nlm.nih.gov/pubmed/24530864</v>
      </c>
      <c r="D4648" s="232" t="str">
        <f>IF(AND(A4648&lt;&gt;"",ISNUMBER(A4648)),VLOOKUP(A4648,Studies!A:BR,4,FALSE),"")</f>
        <v>Day 7 - 600 mg po MD</v>
      </c>
      <c r="E4648" s="206" t="str">
        <f>IF(AND(A4648&lt;&gt;"",ISNUMBER(A4648)),VLOOKUP(A4648,Studies!A:BR,5,FALSE),"")</f>
        <v>Rifampicin</v>
      </c>
      <c r="F4648" s="207" t="str">
        <f>IF(AND(A4648&lt;&gt;"",ISNUMBER(A4648)),VLOOKUP(A4648,Studies!A:BR,6,FALSE),"")</f>
        <v>Plasma</v>
      </c>
      <c r="G4648" s="50">
        <v>152</v>
      </c>
      <c r="H4648" s="50" t="s">
        <v>60</v>
      </c>
      <c r="I4648" s="41">
        <v>1.7782789999999999</v>
      </c>
      <c r="J4648" s="41" t="s">
        <v>1054</v>
      </c>
      <c r="K4648" s="41" t="s">
        <v>116</v>
      </c>
      <c r="L4648" s="52">
        <v>1.2705070000000001</v>
      </c>
      <c r="M4648" s="52" t="s">
        <v>1054</v>
      </c>
      <c r="N4648" s="52" t="s">
        <v>117</v>
      </c>
    </row>
    <row r="4649" spans="1:16" x14ac:dyDescent="0.2">
      <c r="A4649" s="189">
        <v>345</v>
      </c>
      <c r="B4649" s="232" t="str">
        <f>IF(AND(A4649&lt;&gt;"",ISNUMBER(A4649)),VLOOKUP(A4649,Studies!A:BR,2,FALSE),"")</f>
        <v>Loos 1985</v>
      </c>
      <c r="C4649" s="232" t="str">
        <f>IF(AND(A4649&lt;&gt;"",ISNUMBER(A4649)),VLOOKUP(A4649,Studies!A:BR,3,FALSE),"")</f>
        <v>http://www.ncbi.nlm.nih.gov/pubmed/4087830</v>
      </c>
      <c r="D4649" s="232" t="str">
        <f>IF(AND(A4649&lt;&gt;"",ISNUMBER(A4649)),VLOOKUP(A4649,Studies!A:BR,4,FALSE),"")</f>
        <v>oral day 2 (Patient 4)</v>
      </c>
      <c r="E4649" s="206" t="str">
        <f>IF(AND(A4649&lt;&gt;"",ISNUMBER(A4649)),VLOOKUP(A4649,Studies!A:BR,5,FALSE),"")</f>
        <v>Rifampicin</v>
      </c>
      <c r="F4649" s="207" t="str">
        <f>IF(AND(A4649&lt;&gt;"",ISNUMBER(A4649)),VLOOKUP(A4649,Studies!A:BR,6,FALSE),"")</f>
        <v>Serum</v>
      </c>
      <c r="G4649" s="50">
        <v>24.25</v>
      </c>
      <c r="H4649" s="50" t="s">
        <v>60</v>
      </c>
      <c r="I4649" s="41">
        <v>1.474504</v>
      </c>
      <c r="J4649" s="41" t="s">
        <v>1054</v>
      </c>
      <c r="K4649" s="41" t="s">
        <v>264</v>
      </c>
      <c r="O4649" s="59">
        <v>0.1</v>
      </c>
      <c r="P4649" s="42" t="s">
        <v>1451</v>
      </c>
    </row>
    <row r="4650" spans="1:16" x14ac:dyDescent="0.2">
      <c r="A4650" s="189">
        <v>345</v>
      </c>
      <c r="B4650" s="232" t="str">
        <f>IF(AND(A4650&lt;&gt;"",ISNUMBER(A4650)),VLOOKUP(A4650,Studies!A:BR,2,FALSE),"")</f>
        <v>Loos 1985</v>
      </c>
      <c r="C4650" s="232" t="str">
        <f>IF(AND(A4650&lt;&gt;"",ISNUMBER(A4650)),VLOOKUP(A4650,Studies!A:BR,3,FALSE),"")</f>
        <v>http://www.ncbi.nlm.nih.gov/pubmed/4087830</v>
      </c>
      <c r="D4650" s="232" t="str">
        <f>IF(AND(A4650&lt;&gt;"",ISNUMBER(A4650)),VLOOKUP(A4650,Studies!A:BR,4,FALSE),"")</f>
        <v>oral day 2 (Patient 4)</v>
      </c>
      <c r="E4650" s="206" t="str">
        <f>IF(AND(A4650&lt;&gt;"",ISNUMBER(A4650)),VLOOKUP(A4650,Studies!A:BR,5,FALSE),"")</f>
        <v>Rifampicin</v>
      </c>
      <c r="F4650" s="207" t="str">
        <f>IF(AND(A4650&lt;&gt;"",ISNUMBER(A4650)),VLOOKUP(A4650,Studies!A:BR,6,FALSE),"")</f>
        <v>Serum</v>
      </c>
      <c r="G4650" s="50">
        <v>24.5</v>
      </c>
      <c r="H4650" s="50" t="s">
        <v>60</v>
      </c>
      <c r="I4650" s="41">
        <v>13.18361</v>
      </c>
      <c r="J4650" s="41" t="s">
        <v>1054</v>
      </c>
      <c r="K4650" s="187" t="s">
        <v>264</v>
      </c>
      <c r="O4650" s="59">
        <v>0.1</v>
      </c>
      <c r="P4650" s="42" t="s">
        <v>1452</v>
      </c>
    </row>
    <row r="4651" spans="1:16" x14ac:dyDescent="0.2">
      <c r="A4651" s="189">
        <v>345</v>
      </c>
      <c r="B4651" s="232" t="str">
        <f>IF(AND(A4651&lt;&gt;"",ISNUMBER(A4651)),VLOOKUP(A4651,Studies!A:BR,2,FALSE),"")</f>
        <v>Loos 1985</v>
      </c>
      <c r="C4651" s="232" t="str">
        <f>IF(AND(A4651&lt;&gt;"",ISNUMBER(A4651)),VLOOKUP(A4651,Studies!A:BR,3,FALSE),"")</f>
        <v>http://www.ncbi.nlm.nih.gov/pubmed/4087830</v>
      </c>
      <c r="D4651" s="232" t="str">
        <f>IF(AND(A4651&lt;&gt;"",ISNUMBER(A4651)),VLOOKUP(A4651,Studies!A:BR,4,FALSE),"")</f>
        <v>oral day 2 (Patient 4)</v>
      </c>
      <c r="E4651" s="206" t="str">
        <f>IF(AND(A4651&lt;&gt;"",ISNUMBER(A4651)),VLOOKUP(A4651,Studies!A:BR,5,FALSE),"")</f>
        <v>Rifampicin</v>
      </c>
      <c r="F4651" s="207" t="str">
        <f>IF(AND(A4651&lt;&gt;"",ISNUMBER(A4651)),VLOOKUP(A4651,Studies!A:BR,6,FALSE),"")</f>
        <v>Serum</v>
      </c>
      <c r="G4651" s="50">
        <v>25</v>
      </c>
      <c r="H4651" s="50" t="s">
        <v>60</v>
      </c>
      <c r="I4651" s="41">
        <v>15.00296</v>
      </c>
      <c r="J4651" s="41" t="s">
        <v>1054</v>
      </c>
      <c r="K4651" s="187" t="s">
        <v>264</v>
      </c>
      <c r="O4651" s="59">
        <v>0.1</v>
      </c>
    </row>
    <row r="4652" spans="1:16" x14ac:dyDescent="0.2">
      <c r="A4652" s="189">
        <v>345</v>
      </c>
      <c r="B4652" s="232" t="str">
        <f>IF(AND(A4652&lt;&gt;"",ISNUMBER(A4652)),VLOOKUP(A4652,Studies!A:BR,2,FALSE),"")</f>
        <v>Loos 1985</v>
      </c>
      <c r="C4652" s="232" t="str">
        <f>IF(AND(A4652&lt;&gt;"",ISNUMBER(A4652)),VLOOKUP(A4652,Studies!A:BR,3,FALSE),"")</f>
        <v>http://www.ncbi.nlm.nih.gov/pubmed/4087830</v>
      </c>
      <c r="D4652" s="232" t="str">
        <f>IF(AND(A4652&lt;&gt;"",ISNUMBER(A4652)),VLOOKUP(A4652,Studies!A:BR,4,FALSE),"")</f>
        <v>oral day 2 (Patient 4)</v>
      </c>
      <c r="E4652" s="206" t="str">
        <f>IF(AND(A4652&lt;&gt;"",ISNUMBER(A4652)),VLOOKUP(A4652,Studies!A:BR,5,FALSE),"")</f>
        <v>Rifampicin</v>
      </c>
      <c r="F4652" s="207" t="str">
        <f>IF(AND(A4652&lt;&gt;"",ISNUMBER(A4652)),VLOOKUP(A4652,Studies!A:BR,6,FALSE),"")</f>
        <v>Serum</v>
      </c>
      <c r="G4652" s="50">
        <v>25.67</v>
      </c>
      <c r="H4652" s="50" t="s">
        <v>60</v>
      </c>
      <c r="I4652" s="41">
        <v>13.137890000000001</v>
      </c>
      <c r="J4652" s="41" t="s">
        <v>1054</v>
      </c>
      <c r="K4652" s="187" t="s">
        <v>264</v>
      </c>
      <c r="O4652" s="59">
        <v>0.1</v>
      </c>
    </row>
    <row r="4653" spans="1:16" x14ac:dyDescent="0.2">
      <c r="A4653" s="189">
        <v>345</v>
      </c>
      <c r="B4653" s="232" t="str">
        <f>IF(AND(A4653&lt;&gt;"",ISNUMBER(A4653)),VLOOKUP(A4653,Studies!A:BR,2,FALSE),"")</f>
        <v>Loos 1985</v>
      </c>
      <c r="C4653" s="232" t="str">
        <f>IF(AND(A4653&lt;&gt;"",ISNUMBER(A4653)),VLOOKUP(A4653,Studies!A:BR,3,FALSE),"")</f>
        <v>http://www.ncbi.nlm.nih.gov/pubmed/4087830</v>
      </c>
      <c r="D4653" s="232" t="str">
        <f>IF(AND(A4653&lt;&gt;"",ISNUMBER(A4653)),VLOOKUP(A4653,Studies!A:BR,4,FALSE),"")</f>
        <v>oral day 2 (Patient 4)</v>
      </c>
      <c r="E4653" s="206" t="str">
        <f>IF(AND(A4653&lt;&gt;"",ISNUMBER(A4653)),VLOOKUP(A4653,Studies!A:BR,5,FALSE),"")</f>
        <v>Rifampicin</v>
      </c>
      <c r="F4653" s="207" t="str">
        <f>IF(AND(A4653&lt;&gt;"",ISNUMBER(A4653)),VLOOKUP(A4653,Studies!A:BR,6,FALSE),"")</f>
        <v>Serum</v>
      </c>
      <c r="G4653" s="50">
        <v>28</v>
      </c>
      <c r="H4653" s="50" t="s">
        <v>60</v>
      </c>
      <c r="I4653" s="41">
        <v>6.8579800000000004</v>
      </c>
      <c r="J4653" s="41" t="s">
        <v>1054</v>
      </c>
      <c r="K4653" s="187" t="s">
        <v>264</v>
      </c>
      <c r="O4653" s="59">
        <v>0.1</v>
      </c>
    </row>
    <row r="4654" spans="1:16" x14ac:dyDescent="0.2">
      <c r="A4654" s="189">
        <v>345</v>
      </c>
      <c r="B4654" s="232" t="str">
        <f>IF(AND(A4654&lt;&gt;"",ISNUMBER(A4654)),VLOOKUP(A4654,Studies!A:BR,2,FALSE),"")</f>
        <v>Loos 1985</v>
      </c>
      <c r="C4654" s="232" t="str">
        <f>IF(AND(A4654&lt;&gt;"",ISNUMBER(A4654)),VLOOKUP(A4654,Studies!A:BR,3,FALSE),"")</f>
        <v>http://www.ncbi.nlm.nih.gov/pubmed/4087830</v>
      </c>
      <c r="D4654" s="232" t="str">
        <f>IF(AND(A4654&lt;&gt;"",ISNUMBER(A4654)),VLOOKUP(A4654,Studies!A:BR,4,FALSE),"")</f>
        <v>oral day 2 (Patient 4)</v>
      </c>
      <c r="E4654" s="206" t="str">
        <f>IF(AND(A4654&lt;&gt;"",ISNUMBER(A4654)),VLOOKUP(A4654,Studies!A:BR,5,FALSE),"")</f>
        <v>Rifampicin</v>
      </c>
      <c r="F4654" s="207" t="str">
        <f>IF(AND(A4654&lt;&gt;"",ISNUMBER(A4654)),VLOOKUP(A4654,Studies!A:BR,6,FALSE),"")</f>
        <v>Serum</v>
      </c>
      <c r="G4654" s="50">
        <v>30</v>
      </c>
      <c r="H4654" s="50" t="s">
        <v>60</v>
      </c>
      <c r="I4654" s="41">
        <v>5.436833</v>
      </c>
      <c r="J4654" s="41" t="s">
        <v>1054</v>
      </c>
      <c r="K4654" s="187" t="s">
        <v>264</v>
      </c>
      <c r="O4654" s="59">
        <v>0.1</v>
      </c>
    </row>
    <row r="4655" spans="1:16" x14ac:dyDescent="0.2">
      <c r="A4655" s="189">
        <v>345</v>
      </c>
      <c r="B4655" s="232" t="str">
        <f>IF(AND(A4655&lt;&gt;"",ISNUMBER(A4655)),VLOOKUP(A4655,Studies!A:BR,2,FALSE),"")</f>
        <v>Loos 1985</v>
      </c>
      <c r="C4655" s="232" t="str">
        <f>IF(AND(A4655&lt;&gt;"",ISNUMBER(A4655)),VLOOKUP(A4655,Studies!A:BR,3,FALSE),"")</f>
        <v>http://www.ncbi.nlm.nih.gov/pubmed/4087830</v>
      </c>
      <c r="D4655" s="232" t="str">
        <f>IF(AND(A4655&lt;&gt;"",ISNUMBER(A4655)),VLOOKUP(A4655,Studies!A:BR,4,FALSE),"")</f>
        <v>oral day 2 (Patient 4)</v>
      </c>
      <c r="E4655" s="206" t="str">
        <f>IF(AND(A4655&lt;&gt;"",ISNUMBER(A4655)),VLOOKUP(A4655,Studies!A:BR,5,FALSE),"")</f>
        <v>Rifampicin</v>
      </c>
      <c r="F4655" s="207" t="str">
        <f>IF(AND(A4655&lt;&gt;"",ISNUMBER(A4655)),VLOOKUP(A4655,Studies!A:BR,6,FALSE),"")</f>
        <v>Serum</v>
      </c>
      <c r="G4655" s="194">
        <v>32</v>
      </c>
      <c r="H4655" s="50" t="s">
        <v>60</v>
      </c>
      <c r="I4655" s="41">
        <v>1.4581059999999999</v>
      </c>
      <c r="J4655" s="41" t="s">
        <v>1054</v>
      </c>
      <c r="K4655" s="187" t="s">
        <v>264</v>
      </c>
      <c r="O4655" s="59">
        <v>0.1</v>
      </c>
    </row>
    <row r="4656" spans="1:16" x14ac:dyDescent="0.2">
      <c r="A4656" s="189">
        <v>345</v>
      </c>
      <c r="B4656" s="232" t="str">
        <f>IF(AND(A4656&lt;&gt;"",ISNUMBER(A4656)),VLOOKUP(A4656,Studies!A:BR,2,FALSE),"")</f>
        <v>Loos 1985</v>
      </c>
      <c r="C4656" s="232" t="str">
        <f>IF(AND(A4656&lt;&gt;"",ISNUMBER(A4656)),VLOOKUP(A4656,Studies!A:BR,3,FALSE),"")</f>
        <v>http://www.ncbi.nlm.nih.gov/pubmed/4087830</v>
      </c>
      <c r="D4656" s="232" t="str">
        <f>IF(AND(A4656&lt;&gt;"",ISNUMBER(A4656)),VLOOKUP(A4656,Studies!A:BR,4,FALSE),"")</f>
        <v>oral day 2 (Patient 4)</v>
      </c>
      <c r="E4656" s="206" t="str">
        <f>IF(AND(A4656&lt;&gt;"",ISNUMBER(A4656)),VLOOKUP(A4656,Studies!A:BR,5,FALSE),"")</f>
        <v>Rifampicin</v>
      </c>
      <c r="F4656" s="207" t="str">
        <f>IF(AND(A4656&lt;&gt;"",ISNUMBER(A4656)),VLOOKUP(A4656,Studies!A:BR,6,FALSE),"")</f>
        <v>Serum</v>
      </c>
      <c r="G4656" s="194">
        <v>36</v>
      </c>
      <c r="H4656" s="50" t="s">
        <v>60</v>
      </c>
      <c r="I4656" s="41">
        <v>0.55568830000000002</v>
      </c>
      <c r="J4656" s="41" t="s">
        <v>1054</v>
      </c>
      <c r="K4656" s="187" t="s">
        <v>264</v>
      </c>
      <c r="O4656" s="59">
        <v>0.1</v>
      </c>
    </row>
    <row r="4657" spans="1:16" x14ac:dyDescent="0.2">
      <c r="A4657" s="189">
        <v>346</v>
      </c>
      <c r="B4657" s="232" t="str">
        <f>IF(AND(A4657&lt;&gt;"",ISNUMBER(A4657)),VLOOKUP(A4657,Studies!A:BR,2,FALSE),"")</f>
        <v>Loos 1985</v>
      </c>
      <c r="C4657" s="232" t="str">
        <f>IF(AND(A4657&lt;&gt;"",ISNUMBER(A4657)),VLOOKUP(A4657,Studies!A:BR,3,FALSE),"")</f>
        <v>http://www.ncbi.nlm.nih.gov/pubmed/4087830</v>
      </c>
      <c r="D4657" s="232" t="str">
        <f>IF(AND(A4657&lt;&gt;"",ISNUMBER(A4657)),VLOOKUP(A4657,Studies!A:BR,4,FALSE),"")</f>
        <v>oral day 9 (Patient 4)</v>
      </c>
      <c r="E4657" s="206" t="str">
        <f>IF(AND(A4657&lt;&gt;"",ISNUMBER(A4657)),VLOOKUP(A4657,Studies!A:BR,5,FALSE),"")</f>
        <v>Rifampicin</v>
      </c>
      <c r="F4657" s="207" t="str">
        <f>IF(AND(A4657&lt;&gt;"",ISNUMBER(A4657)),VLOOKUP(A4657,Studies!A:BR,6,FALSE),"")</f>
        <v>Serum</v>
      </c>
      <c r="G4657" s="194">
        <v>192.25</v>
      </c>
      <c r="H4657" s="50" t="s">
        <v>60</v>
      </c>
      <c r="I4657" s="41">
        <v>2.0096229999999999</v>
      </c>
      <c r="J4657" s="41" t="s">
        <v>1054</v>
      </c>
      <c r="K4657" s="187" t="s">
        <v>264</v>
      </c>
      <c r="O4657" s="59">
        <v>0.1</v>
      </c>
      <c r="P4657" s="42" t="s">
        <v>1453</v>
      </c>
    </row>
    <row r="4658" spans="1:16" x14ac:dyDescent="0.2">
      <c r="A4658" s="189">
        <v>346</v>
      </c>
      <c r="B4658" s="232" t="str">
        <f>IF(AND(A4658&lt;&gt;"",ISNUMBER(A4658)),VLOOKUP(A4658,Studies!A:BR,2,FALSE),"")</f>
        <v>Loos 1985</v>
      </c>
      <c r="C4658" s="232" t="str">
        <f>IF(AND(A4658&lt;&gt;"",ISNUMBER(A4658)),VLOOKUP(A4658,Studies!A:BR,3,FALSE),"")</f>
        <v>http://www.ncbi.nlm.nih.gov/pubmed/4087830</v>
      </c>
      <c r="D4658" s="232" t="str">
        <f>IF(AND(A4658&lt;&gt;"",ISNUMBER(A4658)),VLOOKUP(A4658,Studies!A:BR,4,FALSE),"")</f>
        <v>oral day 9 (Patient 4)</v>
      </c>
      <c r="E4658" s="206" t="str">
        <f>IF(AND(A4658&lt;&gt;"",ISNUMBER(A4658)),VLOOKUP(A4658,Studies!A:BR,5,FALSE),"")</f>
        <v>Rifampicin</v>
      </c>
      <c r="F4658" s="207" t="str">
        <f>IF(AND(A4658&lt;&gt;"",ISNUMBER(A4658)),VLOOKUP(A4658,Studies!A:BR,6,FALSE),"")</f>
        <v>Serum</v>
      </c>
      <c r="G4658" s="194">
        <v>192.5</v>
      </c>
      <c r="H4658" s="50" t="s">
        <v>60</v>
      </c>
      <c r="I4658" s="41">
        <v>8.8990559999999999</v>
      </c>
      <c r="J4658" s="41" t="s">
        <v>1054</v>
      </c>
      <c r="K4658" s="187" t="s">
        <v>264</v>
      </c>
      <c r="O4658" s="59">
        <v>0.1</v>
      </c>
      <c r="P4658" s="42" t="s">
        <v>1454</v>
      </c>
    </row>
    <row r="4659" spans="1:16" x14ac:dyDescent="0.2">
      <c r="A4659" s="189">
        <v>346</v>
      </c>
      <c r="B4659" s="232" t="str">
        <f>IF(AND(A4659&lt;&gt;"",ISNUMBER(A4659)),VLOOKUP(A4659,Studies!A:BR,2,FALSE),"")</f>
        <v>Loos 1985</v>
      </c>
      <c r="C4659" s="232" t="str">
        <f>IF(AND(A4659&lt;&gt;"",ISNUMBER(A4659)),VLOOKUP(A4659,Studies!A:BR,3,FALSE),"")</f>
        <v>http://www.ncbi.nlm.nih.gov/pubmed/4087830</v>
      </c>
      <c r="D4659" s="232" t="str">
        <f>IF(AND(A4659&lt;&gt;"",ISNUMBER(A4659)),VLOOKUP(A4659,Studies!A:BR,4,FALSE),"")</f>
        <v>oral day 9 (Patient 4)</v>
      </c>
      <c r="E4659" s="206" t="str">
        <f>IF(AND(A4659&lt;&gt;"",ISNUMBER(A4659)),VLOOKUP(A4659,Studies!A:BR,5,FALSE),"")</f>
        <v>Rifampicin</v>
      </c>
      <c r="F4659" s="207" t="str">
        <f>IF(AND(A4659&lt;&gt;"",ISNUMBER(A4659)),VLOOKUP(A4659,Studies!A:BR,6,FALSE),"")</f>
        <v>Serum</v>
      </c>
      <c r="G4659" s="194">
        <v>192.75</v>
      </c>
      <c r="H4659" s="50" t="s">
        <v>60</v>
      </c>
      <c r="I4659" s="41">
        <v>16.130230000000001</v>
      </c>
      <c r="J4659" s="41" t="s">
        <v>1054</v>
      </c>
      <c r="K4659" s="187" t="s">
        <v>264</v>
      </c>
      <c r="O4659" s="59">
        <v>0.1</v>
      </c>
    </row>
    <row r="4660" spans="1:16" x14ac:dyDescent="0.2">
      <c r="A4660" s="189">
        <v>346</v>
      </c>
      <c r="B4660" s="232" t="str">
        <f>IF(AND(A4660&lt;&gt;"",ISNUMBER(A4660)),VLOOKUP(A4660,Studies!A:BR,2,FALSE),"")</f>
        <v>Loos 1985</v>
      </c>
      <c r="C4660" s="232" t="str">
        <f>IF(AND(A4660&lt;&gt;"",ISNUMBER(A4660)),VLOOKUP(A4660,Studies!A:BR,3,FALSE),"")</f>
        <v>http://www.ncbi.nlm.nih.gov/pubmed/4087830</v>
      </c>
      <c r="D4660" s="232" t="str">
        <f>IF(AND(A4660&lt;&gt;"",ISNUMBER(A4660)),VLOOKUP(A4660,Studies!A:BR,4,FALSE),"")</f>
        <v>oral day 9 (Patient 4)</v>
      </c>
      <c r="E4660" s="206" t="str">
        <f>IF(AND(A4660&lt;&gt;"",ISNUMBER(A4660)),VLOOKUP(A4660,Studies!A:BR,5,FALSE),"")</f>
        <v>Rifampicin</v>
      </c>
      <c r="F4660" s="207" t="str">
        <f>IF(AND(A4660&lt;&gt;"",ISNUMBER(A4660)),VLOOKUP(A4660,Studies!A:BR,6,FALSE),"")</f>
        <v>Serum</v>
      </c>
      <c r="G4660" s="194">
        <v>193</v>
      </c>
      <c r="H4660" s="50" t="s">
        <v>60</v>
      </c>
      <c r="I4660" s="41">
        <v>18.81728</v>
      </c>
      <c r="J4660" s="41" t="s">
        <v>1054</v>
      </c>
      <c r="K4660" s="187" t="s">
        <v>264</v>
      </c>
      <c r="O4660" s="59">
        <v>0.1</v>
      </c>
    </row>
    <row r="4661" spans="1:16" x14ac:dyDescent="0.2">
      <c r="A4661" s="189">
        <v>346</v>
      </c>
      <c r="B4661" s="232" t="str">
        <f>IF(AND(A4661&lt;&gt;"",ISNUMBER(A4661)),VLOOKUP(A4661,Studies!A:BR,2,FALSE),"")</f>
        <v>Loos 1985</v>
      </c>
      <c r="C4661" s="232" t="str">
        <f>IF(AND(A4661&lt;&gt;"",ISNUMBER(A4661)),VLOOKUP(A4661,Studies!A:BR,3,FALSE),"")</f>
        <v>http://www.ncbi.nlm.nih.gov/pubmed/4087830</v>
      </c>
      <c r="D4661" s="232" t="str">
        <f>IF(AND(A4661&lt;&gt;"",ISNUMBER(A4661)),VLOOKUP(A4661,Studies!A:BR,4,FALSE),"")</f>
        <v>oral day 9 (Patient 4)</v>
      </c>
      <c r="E4661" s="206" t="str">
        <f>IF(AND(A4661&lt;&gt;"",ISNUMBER(A4661)),VLOOKUP(A4661,Studies!A:BR,5,FALSE),"")</f>
        <v>Rifampicin</v>
      </c>
      <c r="F4661" s="207" t="str">
        <f>IF(AND(A4661&lt;&gt;"",ISNUMBER(A4661)),VLOOKUP(A4661,Studies!A:BR,6,FALSE),"")</f>
        <v>Serum</v>
      </c>
      <c r="G4661" s="194">
        <v>193.33</v>
      </c>
      <c r="H4661" s="50" t="s">
        <v>60</v>
      </c>
      <c r="I4661" s="41">
        <v>14.29426</v>
      </c>
      <c r="J4661" s="41" t="s">
        <v>1054</v>
      </c>
      <c r="K4661" s="187" t="s">
        <v>264</v>
      </c>
      <c r="O4661" s="59">
        <v>0.1</v>
      </c>
    </row>
    <row r="4662" spans="1:16" x14ac:dyDescent="0.2">
      <c r="A4662" s="189">
        <v>346</v>
      </c>
      <c r="B4662" s="232" t="str">
        <f>IF(AND(A4662&lt;&gt;"",ISNUMBER(A4662)),VLOOKUP(A4662,Studies!A:BR,2,FALSE),"")</f>
        <v>Loos 1985</v>
      </c>
      <c r="C4662" s="232" t="str">
        <f>IF(AND(A4662&lt;&gt;"",ISNUMBER(A4662)),VLOOKUP(A4662,Studies!A:BR,3,FALSE),"")</f>
        <v>http://www.ncbi.nlm.nih.gov/pubmed/4087830</v>
      </c>
      <c r="D4662" s="232" t="str">
        <f>IF(AND(A4662&lt;&gt;"",ISNUMBER(A4662)),VLOOKUP(A4662,Studies!A:BR,4,FALSE),"")</f>
        <v>oral day 9 (Patient 4)</v>
      </c>
      <c r="E4662" s="206" t="str">
        <f>IF(AND(A4662&lt;&gt;"",ISNUMBER(A4662)),VLOOKUP(A4662,Studies!A:BR,5,FALSE),"")</f>
        <v>Rifampicin</v>
      </c>
      <c r="F4662" s="207" t="str">
        <f>IF(AND(A4662&lt;&gt;"",ISNUMBER(A4662)),VLOOKUP(A4662,Studies!A:BR,6,FALSE),"")</f>
        <v>Serum</v>
      </c>
      <c r="G4662" s="194">
        <v>193.67</v>
      </c>
      <c r="H4662" s="50" t="s">
        <v>60</v>
      </c>
      <c r="I4662" s="41">
        <v>13.778460000000001</v>
      </c>
      <c r="J4662" s="41" t="s">
        <v>1054</v>
      </c>
      <c r="K4662" s="187" t="s">
        <v>264</v>
      </c>
      <c r="O4662" s="59">
        <v>0.1</v>
      </c>
    </row>
    <row r="4663" spans="1:16" x14ac:dyDescent="0.2">
      <c r="A4663" s="189">
        <v>346</v>
      </c>
      <c r="B4663" s="232" t="str">
        <f>IF(AND(A4663&lt;&gt;"",ISNUMBER(A4663)),VLOOKUP(A4663,Studies!A:BR,2,FALSE),"")</f>
        <v>Loos 1985</v>
      </c>
      <c r="C4663" s="232" t="str">
        <f>IF(AND(A4663&lt;&gt;"",ISNUMBER(A4663)),VLOOKUP(A4663,Studies!A:BR,3,FALSE),"")</f>
        <v>http://www.ncbi.nlm.nih.gov/pubmed/4087830</v>
      </c>
      <c r="D4663" s="232" t="str">
        <f>IF(AND(A4663&lt;&gt;"",ISNUMBER(A4663)),VLOOKUP(A4663,Studies!A:BR,4,FALSE),"")</f>
        <v>oral day 9 (Patient 4)</v>
      </c>
      <c r="E4663" s="206" t="str">
        <f>IF(AND(A4663&lt;&gt;"",ISNUMBER(A4663)),VLOOKUP(A4663,Studies!A:BR,5,FALSE),"")</f>
        <v>Rifampicin</v>
      </c>
      <c r="F4663" s="207" t="str">
        <f>IF(AND(A4663&lt;&gt;"",ISNUMBER(A4663)),VLOOKUP(A4663,Studies!A:BR,6,FALSE),"")</f>
        <v>Serum</v>
      </c>
      <c r="G4663" s="194">
        <v>194</v>
      </c>
      <c r="H4663" s="50" t="s">
        <v>60</v>
      </c>
      <c r="I4663" s="41">
        <v>12.96909</v>
      </c>
      <c r="J4663" s="41" t="s">
        <v>1054</v>
      </c>
      <c r="K4663" s="187" t="s">
        <v>264</v>
      </c>
      <c r="O4663" s="59">
        <v>0.1</v>
      </c>
    </row>
    <row r="4664" spans="1:16" x14ac:dyDescent="0.2">
      <c r="A4664" s="189">
        <v>346</v>
      </c>
      <c r="B4664" s="232" t="str">
        <f>IF(AND(A4664&lt;&gt;"",ISNUMBER(A4664)),VLOOKUP(A4664,Studies!A:BR,2,FALSE),"")</f>
        <v>Loos 1985</v>
      </c>
      <c r="C4664" s="232" t="str">
        <f>IF(AND(A4664&lt;&gt;"",ISNUMBER(A4664)),VLOOKUP(A4664,Studies!A:BR,3,FALSE),"")</f>
        <v>http://www.ncbi.nlm.nih.gov/pubmed/4087830</v>
      </c>
      <c r="D4664" s="232" t="str">
        <f>IF(AND(A4664&lt;&gt;"",ISNUMBER(A4664)),VLOOKUP(A4664,Studies!A:BR,4,FALSE),"")</f>
        <v>oral day 9 (Patient 4)</v>
      </c>
      <c r="E4664" s="206" t="str">
        <f>IF(AND(A4664&lt;&gt;"",ISNUMBER(A4664)),VLOOKUP(A4664,Studies!A:BR,5,FALSE),"")</f>
        <v>Rifampicin</v>
      </c>
      <c r="F4664" s="207" t="str">
        <f>IF(AND(A4664&lt;&gt;"",ISNUMBER(A4664)),VLOOKUP(A4664,Studies!A:BR,6,FALSE),"")</f>
        <v>Serum</v>
      </c>
      <c r="G4664" s="194">
        <v>196</v>
      </c>
      <c r="H4664" s="50" t="s">
        <v>60</v>
      </c>
      <c r="I4664" s="41">
        <v>5.2148870000000001</v>
      </c>
      <c r="J4664" s="41" t="s">
        <v>1054</v>
      </c>
      <c r="K4664" s="187" t="s">
        <v>264</v>
      </c>
      <c r="O4664" s="59">
        <v>0.1</v>
      </c>
    </row>
    <row r="4665" spans="1:16" x14ac:dyDescent="0.2">
      <c r="A4665" s="189">
        <v>346</v>
      </c>
      <c r="B4665" s="232" t="str">
        <f>IF(AND(A4665&lt;&gt;"",ISNUMBER(A4665)),VLOOKUP(A4665,Studies!A:BR,2,FALSE),"")</f>
        <v>Loos 1985</v>
      </c>
      <c r="C4665" s="232" t="str">
        <f>IF(AND(A4665&lt;&gt;"",ISNUMBER(A4665)),VLOOKUP(A4665,Studies!A:BR,3,FALSE),"")</f>
        <v>http://www.ncbi.nlm.nih.gov/pubmed/4087830</v>
      </c>
      <c r="D4665" s="232" t="str">
        <f>IF(AND(A4665&lt;&gt;"",ISNUMBER(A4665)),VLOOKUP(A4665,Studies!A:BR,4,FALSE),"")</f>
        <v>oral day 9 (Patient 4)</v>
      </c>
      <c r="E4665" s="206" t="str">
        <f>IF(AND(A4665&lt;&gt;"",ISNUMBER(A4665)),VLOOKUP(A4665,Studies!A:BR,5,FALSE),"")</f>
        <v>Rifampicin</v>
      </c>
      <c r="F4665" s="207" t="str">
        <f>IF(AND(A4665&lt;&gt;"",ISNUMBER(A4665)),VLOOKUP(A4665,Studies!A:BR,6,FALSE),"")</f>
        <v>Serum</v>
      </c>
      <c r="G4665" s="50">
        <v>198</v>
      </c>
      <c r="H4665" s="50" t="s">
        <v>60</v>
      </c>
      <c r="I4665" s="41">
        <v>3.2192789999999998</v>
      </c>
      <c r="J4665" s="41" t="s">
        <v>1054</v>
      </c>
      <c r="K4665" s="187" t="s">
        <v>264</v>
      </c>
      <c r="O4665" s="59">
        <v>0.1</v>
      </c>
    </row>
    <row r="4666" spans="1:16" x14ac:dyDescent="0.2">
      <c r="A4666" s="189">
        <v>346</v>
      </c>
      <c r="B4666" s="232" t="str">
        <f>IF(AND(A4666&lt;&gt;"",ISNUMBER(A4666)),VLOOKUP(A4666,Studies!A:BR,2,FALSE),"")</f>
        <v>Loos 1985</v>
      </c>
      <c r="C4666" s="232" t="str">
        <f>IF(AND(A4666&lt;&gt;"",ISNUMBER(A4666)),VLOOKUP(A4666,Studies!A:BR,3,FALSE),"")</f>
        <v>http://www.ncbi.nlm.nih.gov/pubmed/4087830</v>
      </c>
      <c r="D4666" s="232" t="str">
        <f>IF(AND(A4666&lt;&gt;"",ISNUMBER(A4666)),VLOOKUP(A4666,Studies!A:BR,4,FALSE),"")</f>
        <v>oral day 9 (Patient 4)</v>
      </c>
      <c r="E4666" s="206" t="str">
        <f>IF(AND(A4666&lt;&gt;"",ISNUMBER(A4666)),VLOOKUP(A4666,Studies!A:BR,5,FALSE),"")</f>
        <v>Rifampicin</v>
      </c>
      <c r="F4666" s="207" t="str">
        <f>IF(AND(A4666&lt;&gt;"",ISNUMBER(A4666)),VLOOKUP(A4666,Studies!A:BR,6,FALSE),"")</f>
        <v>Serum</v>
      </c>
      <c r="G4666" s="50">
        <v>200</v>
      </c>
      <c r="H4666" s="50" t="s">
        <v>60</v>
      </c>
      <c r="I4666" s="41">
        <v>0.89481599999999994</v>
      </c>
      <c r="J4666" s="41" t="s">
        <v>1054</v>
      </c>
      <c r="K4666" s="187" t="s">
        <v>264</v>
      </c>
      <c r="O4666" s="59">
        <v>0.1</v>
      </c>
    </row>
    <row r="4667" spans="1:16" x14ac:dyDescent="0.2">
      <c r="A4667" s="189">
        <v>346</v>
      </c>
      <c r="B4667" s="232" t="str">
        <f>IF(AND(A4667&lt;&gt;"",ISNUMBER(A4667)),VLOOKUP(A4667,Studies!A:BR,2,FALSE),"")</f>
        <v>Loos 1985</v>
      </c>
      <c r="C4667" s="232" t="str">
        <f>IF(AND(A4667&lt;&gt;"",ISNUMBER(A4667)),VLOOKUP(A4667,Studies!A:BR,3,FALSE),"")</f>
        <v>http://www.ncbi.nlm.nih.gov/pubmed/4087830</v>
      </c>
      <c r="D4667" s="232" t="str">
        <f>IF(AND(A4667&lt;&gt;"",ISNUMBER(A4667)),VLOOKUP(A4667,Studies!A:BR,4,FALSE),"")</f>
        <v>oral day 9 (Patient 4)</v>
      </c>
      <c r="E4667" s="206" t="str">
        <f>IF(AND(A4667&lt;&gt;"",ISNUMBER(A4667)),VLOOKUP(A4667,Studies!A:BR,5,FALSE),"")</f>
        <v>Rifampicin</v>
      </c>
      <c r="F4667" s="207" t="str">
        <f>IF(AND(A4667&lt;&gt;"",ISNUMBER(A4667)),VLOOKUP(A4667,Studies!A:BR,6,FALSE),"")</f>
        <v>Serum</v>
      </c>
      <c r="G4667" s="50">
        <v>202</v>
      </c>
      <c r="H4667" s="50" t="s">
        <v>60</v>
      </c>
      <c r="I4667" s="41">
        <v>0.20556530000000001</v>
      </c>
      <c r="J4667" s="41" t="s">
        <v>1054</v>
      </c>
      <c r="K4667" s="187" t="s">
        <v>264</v>
      </c>
      <c r="O4667" s="59">
        <v>0.1</v>
      </c>
    </row>
    <row r="4668" spans="1:16" x14ac:dyDescent="0.2">
      <c r="A4668" s="189">
        <v>347</v>
      </c>
      <c r="B4668" s="232" t="str">
        <f>IF(AND(A4668&lt;&gt;"",ISNUMBER(A4668)),VLOOKUP(A4668,Studies!A:BR,2,FALSE),"")</f>
        <v>Loos 1985</v>
      </c>
      <c r="C4668" s="232" t="str">
        <f>IF(AND(A4668&lt;&gt;"",ISNUMBER(A4668)),VLOOKUP(A4668,Studies!A:BR,3,FALSE),"")</f>
        <v>http://www.ncbi.nlm.nih.gov/pubmed/4087830</v>
      </c>
      <c r="D4668" s="232" t="str">
        <f>IF(AND(A4668&lt;&gt;"",ISNUMBER(A4668)),VLOOKUP(A4668,Studies!A:BR,4,FALSE),"")</f>
        <v>oral day 23 (Patient 4)</v>
      </c>
      <c r="E4668" s="206" t="str">
        <f>IF(AND(A4668&lt;&gt;"",ISNUMBER(A4668)),VLOOKUP(A4668,Studies!A:BR,5,FALSE),"")</f>
        <v>Rifampicin</v>
      </c>
      <c r="F4668" s="207" t="str">
        <f>IF(AND(A4668&lt;&gt;"",ISNUMBER(A4668)),VLOOKUP(A4668,Studies!A:BR,6,FALSE),"")</f>
        <v>Serum</v>
      </c>
      <c r="G4668" s="50">
        <v>528.25</v>
      </c>
      <c r="H4668" s="50" t="s">
        <v>60</v>
      </c>
      <c r="I4668" s="41">
        <v>0.14804030000000001</v>
      </c>
      <c r="J4668" s="41" t="s">
        <v>1054</v>
      </c>
      <c r="K4668" s="187" t="s">
        <v>264</v>
      </c>
      <c r="O4668" s="59">
        <v>0.1</v>
      </c>
      <c r="P4668" s="42" t="s">
        <v>1455</v>
      </c>
    </row>
    <row r="4669" spans="1:16" x14ac:dyDescent="0.2">
      <c r="A4669" s="189">
        <v>347</v>
      </c>
      <c r="B4669" s="232" t="str">
        <f>IF(AND(A4669&lt;&gt;"",ISNUMBER(A4669)),VLOOKUP(A4669,Studies!A:BR,2,FALSE),"")</f>
        <v>Loos 1985</v>
      </c>
      <c r="C4669" s="232" t="str">
        <f>IF(AND(A4669&lt;&gt;"",ISNUMBER(A4669)),VLOOKUP(A4669,Studies!A:BR,3,FALSE),"")</f>
        <v>http://www.ncbi.nlm.nih.gov/pubmed/4087830</v>
      </c>
      <c r="D4669" s="232" t="str">
        <f>IF(AND(A4669&lt;&gt;"",ISNUMBER(A4669)),VLOOKUP(A4669,Studies!A:BR,4,FALSE),"")</f>
        <v>oral day 23 (Patient 4)</v>
      </c>
      <c r="E4669" s="206" t="str">
        <f>IF(AND(A4669&lt;&gt;"",ISNUMBER(A4669)),VLOOKUP(A4669,Studies!A:BR,5,FALSE),"")</f>
        <v>Rifampicin</v>
      </c>
      <c r="F4669" s="207" t="str">
        <f>IF(AND(A4669&lt;&gt;"",ISNUMBER(A4669)),VLOOKUP(A4669,Studies!A:BR,6,FALSE),"")</f>
        <v>Serum</v>
      </c>
      <c r="G4669" s="50">
        <v>528.5</v>
      </c>
      <c r="H4669" s="50" t="s">
        <v>60</v>
      </c>
      <c r="I4669" s="41">
        <v>1.7201329999999999</v>
      </c>
      <c r="J4669" s="41" t="s">
        <v>1054</v>
      </c>
      <c r="K4669" s="187" t="s">
        <v>264</v>
      </c>
      <c r="O4669" s="59">
        <v>0.1</v>
      </c>
      <c r="P4669" s="42" t="s">
        <v>1454</v>
      </c>
    </row>
    <row r="4670" spans="1:16" x14ac:dyDescent="0.2">
      <c r="A4670" s="189">
        <v>347</v>
      </c>
      <c r="B4670" s="232" t="str">
        <f>IF(AND(A4670&lt;&gt;"",ISNUMBER(A4670)),VLOOKUP(A4670,Studies!A:BR,2,FALSE),"")</f>
        <v>Loos 1985</v>
      </c>
      <c r="C4670" s="232" t="str">
        <f>IF(AND(A4670&lt;&gt;"",ISNUMBER(A4670)),VLOOKUP(A4670,Studies!A:BR,3,FALSE),"")</f>
        <v>http://www.ncbi.nlm.nih.gov/pubmed/4087830</v>
      </c>
      <c r="D4670" s="232" t="str">
        <f>IF(AND(A4670&lt;&gt;"",ISNUMBER(A4670)),VLOOKUP(A4670,Studies!A:BR,4,FALSE),"")</f>
        <v>oral day 23 (Patient 4)</v>
      </c>
      <c r="E4670" s="206" t="str">
        <f>IF(AND(A4670&lt;&gt;"",ISNUMBER(A4670)),VLOOKUP(A4670,Studies!A:BR,5,FALSE),"")</f>
        <v>Rifampicin</v>
      </c>
      <c r="F4670" s="207" t="str">
        <f>IF(AND(A4670&lt;&gt;"",ISNUMBER(A4670)),VLOOKUP(A4670,Studies!A:BR,6,FALSE),"")</f>
        <v>Serum</v>
      </c>
      <c r="G4670" s="50">
        <v>529</v>
      </c>
      <c r="H4670" s="50" t="s">
        <v>60</v>
      </c>
      <c r="I4670" s="41">
        <v>5.0769539999999997</v>
      </c>
      <c r="J4670" s="41" t="s">
        <v>1054</v>
      </c>
      <c r="K4670" s="187" t="s">
        <v>264</v>
      </c>
      <c r="O4670" s="59">
        <v>0.1</v>
      </c>
    </row>
    <row r="4671" spans="1:16" x14ac:dyDescent="0.2">
      <c r="A4671" s="189">
        <v>347</v>
      </c>
      <c r="B4671" s="232" t="str">
        <f>IF(AND(A4671&lt;&gt;"",ISNUMBER(A4671)),VLOOKUP(A4671,Studies!A:BR,2,FALSE),"")</f>
        <v>Loos 1985</v>
      </c>
      <c r="C4671" s="232" t="str">
        <f>IF(AND(A4671&lt;&gt;"",ISNUMBER(A4671)),VLOOKUP(A4671,Studies!A:BR,3,FALSE),"")</f>
        <v>http://www.ncbi.nlm.nih.gov/pubmed/4087830</v>
      </c>
      <c r="D4671" s="232" t="str">
        <f>IF(AND(A4671&lt;&gt;"",ISNUMBER(A4671)),VLOOKUP(A4671,Studies!A:BR,4,FALSE),"")</f>
        <v>oral day 23 (Patient 4)</v>
      </c>
      <c r="E4671" s="206" t="str">
        <f>IF(AND(A4671&lt;&gt;"",ISNUMBER(A4671)),VLOOKUP(A4671,Studies!A:BR,5,FALSE),"")</f>
        <v>Rifampicin</v>
      </c>
      <c r="F4671" s="207" t="str">
        <f>IF(AND(A4671&lt;&gt;"",ISNUMBER(A4671)),VLOOKUP(A4671,Studies!A:BR,6,FALSE),"")</f>
        <v>Serum</v>
      </c>
      <c r="G4671" s="50">
        <v>529.33000000000004</v>
      </c>
      <c r="H4671" s="50" t="s">
        <v>60</v>
      </c>
      <c r="I4671" s="41">
        <v>5.5789669999999996</v>
      </c>
      <c r="J4671" s="41" t="s">
        <v>1054</v>
      </c>
      <c r="K4671" s="187" t="s">
        <v>264</v>
      </c>
      <c r="O4671" s="59">
        <v>0.1</v>
      </c>
    </row>
    <row r="4672" spans="1:16" x14ac:dyDescent="0.2">
      <c r="A4672" s="189">
        <v>347</v>
      </c>
      <c r="B4672" s="232" t="str">
        <f>IF(AND(A4672&lt;&gt;"",ISNUMBER(A4672)),VLOOKUP(A4672,Studies!A:BR,2,FALSE),"")</f>
        <v>Loos 1985</v>
      </c>
      <c r="C4672" s="232" t="str">
        <f>IF(AND(A4672&lt;&gt;"",ISNUMBER(A4672)),VLOOKUP(A4672,Studies!A:BR,3,FALSE),"")</f>
        <v>http://www.ncbi.nlm.nih.gov/pubmed/4087830</v>
      </c>
      <c r="D4672" s="232" t="str">
        <f>IF(AND(A4672&lt;&gt;"",ISNUMBER(A4672)),VLOOKUP(A4672,Studies!A:BR,4,FALSE),"")</f>
        <v>oral day 23 (Patient 4)</v>
      </c>
      <c r="E4672" s="206" t="str">
        <f>IF(AND(A4672&lt;&gt;"",ISNUMBER(A4672)),VLOOKUP(A4672,Studies!A:BR,5,FALSE),"")</f>
        <v>Rifampicin</v>
      </c>
      <c r="F4672" s="207" t="str">
        <f>IF(AND(A4672&lt;&gt;"",ISNUMBER(A4672)),VLOOKUP(A4672,Studies!A:BR,6,FALSE),"")</f>
        <v>Serum</v>
      </c>
      <c r="G4672" s="50">
        <v>529.66999999999996</v>
      </c>
      <c r="H4672" s="50" t="s">
        <v>60</v>
      </c>
      <c r="I4672" s="41">
        <v>5.6400430000000004</v>
      </c>
      <c r="J4672" s="41" t="s">
        <v>1054</v>
      </c>
      <c r="K4672" s="187" t="s">
        <v>264</v>
      </c>
      <c r="O4672" s="59">
        <v>0.1</v>
      </c>
    </row>
    <row r="4673" spans="1:15" x14ac:dyDescent="0.2">
      <c r="A4673" s="189">
        <v>347</v>
      </c>
      <c r="B4673" s="232" t="str">
        <f>IF(AND(A4673&lt;&gt;"",ISNUMBER(A4673)),VLOOKUP(A4673,Studies!A:BR,2,FALSE),"")</f>
        <v>Loos 1985</v>
      </c>
      <c r="C4673" s="232" t="str">
        <f>IF(AND(A4673&lt;&gt;"",ISNUMBER(A4673)),VLOOKUP(A4673,Studies!A:BR,3,FALSE),"")</f>
        <v>http://www.ncbi.nlm.nih.gov/pubmed/4087830</v>
      </c>
      <c r="D4673" s="232" t="str">
        <f>IF(AND(A4673&lt;&gt;"",ISNUMBER(A4673)),VLOOKUP(A4673,Studies!A:BR,4,FALSE),"")</f>
        <v>oral day 23 (Patient 4)</v>
      </c>
      <c r="E4673" s="206" t="str">
        <f>IF(AND(A4673&lt;&gt;"",ISNUMBER(A4673)),VLOOKUP(A4673,Studies!A:BR,5,FALSE),"")</f>
        <v>Rifampicin</v>
      </c>
      <c r="F4673" s="207" t="str">
        <f>IF(AND(A4673&lt;&gt;"",ISNUMBER(A4673)),VLOOKUP(A4673,Studies!A:BR,6,FALSE),"")</f>
        <v>Serum</v>
      </c>
      <c r="G4673" s="50">
        <v>530</v>
      </c>
      <c r="H4673" s="50" t="s">
        <v>60</v>
      </c>
      <c r="I4673" s="41">
        <v>6.1243569999999998</v>
      </c>
      <c r="J4673" s="41" t="s">
        <v>1054</v>
      </c>
      <c r="K4673" s="187" t="s">
        <v>264</v>
      </c>
      <c r="O4673" s="59">
        <v>0.1</v>
      </c>
    </row>
    <row r="4674" spans="1:15" x14ac:dyDescent="0.2">
      <c r="A4674" s="189">
        <v>347</v>
      </c>
      <c r="B4674" s="232" t="str">
        <f>IF(AND(A4674&lt;&gt;"",ISNUMBER(A4674)),VLOOKUP(A4674,Studies!A:BR,2,FALSE),"")</f>
        <v>Loos 1985</v>
      </c>
      <c r="C4674" s="232" t="str">
        <f>IF(AND(A4674&lt;&gt;"",ISNUMBER(A4674)),VLOOKUP(A4674,Studies!A:BR,3,FALSE),"")</f>
        <v>http://www.ncbi.nlm.nih.gov/pubmed/4087830</v>
      </c>
      <c r="D4674" s="232" t="str">
        <f>IF(AND(A4674&lt;&gt;"",ISNUMBER(A4674)),VLOOKUP(A4674,Studies!A:BR,4,FALSE),"")</f>
        <v>oral day 23 (Patient 4)</v>
      </c>
      <c r="E4674" s="206" t="str">
        <f>IF(AND(A4674&lt;&gt;"",ISNUMBER(A4674)),VLOOKUP(A4674,Studies!A:BR,5,FALSE),"")</f>
        <v>Rifampicin</v>
      </c>
      <c r="F4674" s="207" t="str">
        <f>IF(AND(A4674&lt;&gt;"",ISNUMBER(A4674)),VLOOKUP(A4674,Studies!A:BR,6,FALSE),"")</f>
        <v>Serum</v>
      </c>
      <c r="G4674" s="50">
        <v>532</v>
      </c>
      <c r="H4674" s="50" t="s">
        <v>60</v>
      </c>
      <c r="I4674" s="41">
        <v>1.5292680000000001</v>
      </c>
      <c r="J4674" s="41" t="s">
        <v>1054</v>
      </c>
      <c r="K4674" s="187" t="s">
        <v>264</v>
      </c>
      <c r="O4674" s="59">
        <v>0.1</v>
      </c>
    </row>
    <row r="4675" spans="1:15" x14ac:dyDescent="0.2">
      <c r="A4675" s="189">
        <v>347</v>
      </c>
      <c r="B4675" s="232" t="str">
        <f>IF(AND(A4675&lt;&gt;"",ISNUMBER(A4675)),VLOOKUP(A4675,Studies!A:BR,2,FALSE),"")</f>
        <v>Loos 1985</v>
      </c>
      <c r="C4675" s="232" t="str">
        <f>IF(AND(A4675&lt;&gt;"",ISNUMBER(A4675)),VLOOKUP(A4675,Studies!A:BR,3,FALSE),"")</f>
        <v>http://www.ncbi.nlm.nih.gov/pubmed/4087830</v>
      </c>
      <c r="D4675" s="232" t="str">
        <f>IF(AND(A4675&lt;&gt;"",ISNUMBER(A4675)),VLOOKUP(A4675,Studies!A:BR,4,FALSE),"")</f>
        <v>oral day 23 (Patient 4)</v>
      </c>
      <c r="E4675" s="206" t="str">
        <f>IF(AND(A4675&lt;&gt;"",ISNUMBER(A4675)),VLOOKUP(A4675,Studies!A:BR,5,FALSE),"")</f>
        <v>Rifampicin</v>
      </c>
      <c r="F4675" s="207" t="str">
        <f>IF(AND(A4675&lt;&gt;"",ISNUMBER(A4675)),VLOOKUP(A4675,Studies!A:BR,6,FALSE),"")</f>
        <v>Serum</v>
      </c>
      <c r="G4675" s="50">
        <v>534</v>
      </c>
      <c r="H4675" s="50" t="s">
        <v>60</v>
      </c>
      <c r="I4675" s="41">
        <v>0.50817789999999996</v>
      </c>
      <c r="J4675" s="41" t="s">
        <v>1054</v>
      </c>
      <c r="K4675" s="187" t="s">
        <v>264</v>
      </c>
      <c r="O4675" s="59">
        <v>0.1</v>
      </c>
    </row>
    <row r="4676" spans="1:15" x14ac:dyDescent="0.2">
      <c r="A4676" s="189">
        <v>347</v>
      </c>
      <c r="B4676" s="232" t="str">
        <f>IF(AND(A4676&lt;&gt;"",ISNUMBER(A4676)),VLOOKUP(A4676,Studies!A:BR,2,FALSE),"")</f>
        <v>Loos 1985</v>
      </c>
      <c r="C4676" s="232" t="str">
        <f>IF(AND(A4676&lt;&gt;"",ISNUMBER(A4676)),VLOOKUP(A4676,Studies!A:BR,3,FALSE),"")</f>
        <v>http://www.ncbi.nlm.nih.gov/pubmed/4087830</v>
      </c>
      <c r="D4676" s="232" t="str">
        <f>IF(AND(A4676&lt;&gt;"",ISNUMBER(A4676)),VLOOKUP(A4676,Studies!A:BR,4,FALSE),"")</f>
        <v>oral day 23 (Patient 4)</v>
      </c>
      <c r="E4676" s="206" t="str">
        <f>IF(AND(A4676&lt;&gt;"",ISNUMBER(A4676)),VLOOKUP(A4676,Studies!A:BR,5,FALSE),"")</f>
        <v>Rifampicin</v>
      </c>
      <c r="F4676" s="207" t="str">
        <f>IF(AND(A4676&lt;&gt;"",ISNUMBER(A4676)),VLOOKUP(A4676,Studies!A:BR,6,FALSE),"")</f>
        <v>Serum</v>
      </c>
      <c r="G4676" s="50">
        <v>536</v>
      </c>
      <c r="H4676" s="50" t="s">
        <v>60</v>
      </c>
      <c r="I4676" s="41">
        <v>0.14992800000000001</v>
      </c>
      <c r="J4676" s="41" t="s">
        <v>1054</v>
      </c>
      <c r="K4676" s="187" t="s">
        <v>264</v>
      </c>
      <c r="O4676" s="59">
        <v>0.1</v>
      </c>
    </row>
    <row r="4677" spans="1:15" x14ac:dyDescent="0.2">
      <c r="A4677" s="189">
        <v>348</v>
      </c>
      <c r="B4677" s="232" t="str">
        <f>IF(AND(A4677&lt;&gt;"",ISNUMBER(A4677)),VLOOKUP(A4677,Studies!A:BR,2,FALSE),"")</f>
        <v>Loos 1985</v>
      </c>
      <c r="C4677" s="232" t="str">
        <f>IF(AND(A4677&lt;&gt;"",ISNUMBER(A4677)),VLOOKUP(A4677,Studies!A:BR,3,FALSE),"")</f>
        <v>http://www.ncbi.nlm.nih.gov/pubmed/4087830</v>
      </c>
      <c r="D4677" s="232" t="str">
        <f>IF(AND(A4677&lt;&gt;"",ISNUMBER(A4677)),VLOOKUP(A4677,Studies!A:BR,4,FALSE),"")</f>
        <v>iv day 1 (Patient 4)</v>
      </c>
      <c r="E4677" s="206" t="str">
        <f>IF(AND(A4677&lt;&gt;"",ISNUMBER(A4677)),VLOOKUP(A4677,Studies!A:BR,5,FALSE),"")</f>
        <v>Rifampicin</v>
      </c>
      <c r="F4677" s="207" t="str">
        <f>IF(AND(A4677&lt;&gt;"",ISNUMBER(A4677)),VLOOKUP(A4677,Studies!A:BR,6,FALSE),"")</f>
        <v>Serum</v>
      </c>
      <c r="G4677" s="50">
        <v>0.12999999999999989</v>
      </c>
      <c r="H4677" s="50" t="s">
        <v>60</v>
      </c>
      <c r="I4677" s="41">
        <v>11.185219999999999</v>
      </c>
      <c r="J4677" s="41" t="s">
        <v>1054</v>
      </c>
      <c r="K4677" s="187" t="s">
        <v>264</v>
      </c>
      <c r="O4677" s="59">
        <v>0.1</v>
      </c>
    </row>
    <row r="4678" spans="1:15" x14ac:dyDescent="0.2">
      <c r="A4678" s="189">
        <v>348</v>
      </c>
      <c r="B4678" s="232" t="str">
        <f>IF(AND(A4678&lt;&gt;"",ISNUMBER(A4678)),VLOOKUP(A4678,Studies!A:BR,2,FALSE),"")</f>
        <v>Loos 1985</v>
      </c>
      <c r="C4678" s="232" t="str">
        <f>IF(AND(A4678&lt;&gt;"",ISNUMBER(A4678)),VLOOKUP(A4678,Studies!A:BR,3,FALSE),"")</f>
        <v>http://www.ncbi.nlm.nih.gov/pubmed/4087830</v>
      </c>
      <c r="D4678" s="232" t="str">
        <f>IF(AND(A4678&lt;&gt;"",ISNUMBER(A4678)),VLOOKUP(A4678,Studies!A:BR,4,FALSE),"")</f>
        <v>iv day 1 (Patient 4)</v>
      </c>
      <c r="E4678" s="206" t="str">
        <f>IF(AND(A4678&lt;&gt;"",ISNUMBER(A4678)),VLOOKUP(A4678,Studies!A:BR,5,FALSE),"")</f>
        <v>Rifampicin</v>
      </c>
      <c r="F4678" s="207" t="str">
        <f>IF(AND(A4678&lt;&gt;"",ISNUMBER(A4678)),VLOOKUP(A4678,Studies!A:BR,6,FALSE),"")</f>
        <v>Serum</v>
      </c>
      <c r="G4678" s="50">
        <v>0.25</v>
      </c>
      <c r="H4678" s="50" t="s">
        <v>60</v>
      </c>
      <c r="I4678" s="41">
        <v>17.633279999999999</v>
      </c>
      <c r="J4678" s="41" t="s">
        <v>1054</v>
      </c>
      <c r="K4678" s="187" t="s">
        <v>264</v>
      </c>
      <c r="L4678" s="195"/>
      <c r="O4678" s="59">
        <v>0.1</v>
      </c>
    </row>
    <row r="4679" spans="1:15" x14ac:dyDescent="0.2">
      <c r="A4679" s="189">
        <v>348</v>
      </c>
      <c r="B4679" s="232" t="str">
        <f>IF(AND(A4679&lt;&gt;"",ISNUMBER(A4679)),VLOOKUP(A4679,Studies!A:BR,2,FALSE),"")</f>
        <v>Loos 1985</v>
      </c>
      <c r="C4679" s="232" t="str">
        <f>IF(AND(A4679&lt;&gt;"",ISNUMBER(A4679)),VLOOKUP(A4679,Studies!A:BR,3,FALSE),"")</f>
        <v>http://www.ncbi.nlm.nih.gov/pubmed/4087830</v>
      </c>
      <c r="D4679" s="232" t="str">
        <f>IF(AND(A4679&lt;&gt;"",ISNUMBER(A4679)),VLOOKUP(A4679,Studies!A:BR,4,FALSE),"")</f>
        <v>iv day 1 (Patient 4)</v>
      </c>
      <c r="E4679" s="206" t="str">
        <f>IF(AND(A4679&lt;&gt;"",ISNUMBER(A4679)),VLOOKUP(A4679,Studies!A:BR,5,FALSE),"")</f>
        <v>Rifampicin</v>
      </c>
      <c r="F4679" s="207" t="str">
        <f>IF(AND(A4679&lt;&gt;"",ISNUMBER(A4679)),VLOOKUP(A4679,Studies!A:BR,6,FALSE),"")</f>
        <v>Serum</v>
      </c>
      <c r="G4679" s="50">
        <v>0.5</v>
      </c>
      <c r="H4679" s="50" t="s">
        <v>60</v>
      </c>
      <c r="I4679" s="41">
        <v>26.188739999999999</v>
      </c>
      <c r="J4679" s="41" t="s">
        <v>1054</v>
      </c>
      <c r="K4679" s="187" t="s">
        <v>264</v>
      </c>
      <c r="L4679" s="195"/>
      <c r="O4679" s="59">
        <v>0.1</v>
      </c>
    </row>
    <row r="4680" spans="1:15" x14ac:dyDescent="0.2">
      <c r="A4680" s="189">
        <v>348</v>
      </c>
      <c r="B4680" s="232" t="str">
        <f>IF(AND(A4680&lt;&gt;"",ISNUMBER(A4680)),VLOOKUP(A4680,Studies!A:BR,2,FALSE),"")</f>
        <v>Loos 1985</v>
      </c>
      <c r="C4680" s="232" t="str">
        <f>IF(AND(A4680&lt;&gt;"",ISNUMBER(A4680)),VLOOKUP(A4680,Studies!A:BR,3,FALSE),"")</f>
        <v>http://www.ncbi.nlm.nih.gov/pubmed/4087830</v>
      </c>
      <c r="D4680" s="232" t="str">
        <f>IF(AND(A4680&lt;&gt;"",ISNUMBER(A4680)),VLOOKUP(A4680,Studies!A:BR,4,FALSE),"")</f>
        <v>iv day 1 (Patient 4)</v>
      </c>
      <c r="E4680" s="206" t="str">
        <f>IF(AND(A4680&lt;&gt;"",ISNUMBER(A4680)),VLOOKUP(A4680,Studies!A:BR,5,FALSE),"")</f>
        <v>Rifampicin</v>
      </c>
      <c r="F4680" s="207" t="str">
        <f>IF(AND(A4680&lt;&gt;"",ISNUMBER(A4680)),VLOOKUP(A4680,Studies!A:BR,6,FALSE),"")</f>
        <v>Serum</v>
      </c>
      <c r="G4680" s="50">
        <v>0.75</v>
      </c>
      <c r="H4680" s="50" t="s">
        <v>60</v>
      </c>
      <c r="I4680" s="41">
        <v>33.690359999999998</v>
      </c>
      <c r="J4680" s="41" t="s">
        <v>1054</v>
      </c>
      <c r="K4680" s="187" t="s">
        <v>264</v>
      </c>
      <c r="L4680" s="195"/>
      <c r="O4680" s="59">
        <v>0.1</v>
      </c>
    </row>
    <row r="4681" spans="1:15" x14ac:dyDescent="0.2">
      <c r="A4681" s="189">
        <v>348</v>
      </c>
      <c r="B4681" s="232" t="str">
        <f>IF(AND(A4681&lt;&gt;"",ISNUMBER(A4681)),VLOOKUP(A4681,Studies!A:BR,2,FALSE),"")</f>
        <v>Loos 1985</v>
      </c>
      <c r="C4681" s="232" t="str">
        <f>IF(AND(A4681&lt;&gt;"",ISNUMBER(A4681)),VLOOKUP(A4681,Studies!A:BR,3,FALSE),"")</f>
        <v>http://www.ncbi.nlm.nih.gov/pubmed/4087830</v>
      </c>
      <c r="D4681" s="232" t="str">
        <f>IF(AND(A4681&lt;&gt;"",ISNUMBER(A4681)),VLOOKUP(A4681,Studies!A:BR,4,FALSE),"")</f>
        <v>iv day 1 (Patient 4)</v>
      </c>
      <c r="E4681" s="206" t="str">
        <f>IF(AND(A4681&lt;&gt;"",ISNUMBER(A4681)),VLOOKUP(A4681,Studies!A:BR,5,FALSE),"")</f>
        <v>Rifampicin</v>
      </c>
      <c r="F4681" s="207" t="str">
        <f>IF(AND(A4681&lt;&gt;"",ISNUMBER(A4681)),VLOOKUP(A4681,Studies!A:BR,6,FALSE),"")</f>
        <v>Serum</v>
      </c>
      <c r="G4681" s="50">
        <v>1</v>
      </c>
      <c r="H4681" s="50" t="s">
        <v>60</v>
      </c>
      <c r="I4681" s="41">
        <v>37.993160000000003</v>
      </c>
      <c r="J4681" s="41" t="s">
        <v>1054</v>
      </c>
      <c r="K4681" s="187" t="s">
        <v>264</v>
      </c>
      <c r="L4681" s="195"/>
      <c r="O4681" s="59">
        <v>0.1</v>
      </c>
    </row>
    <row r="4682" spans="1:15" x14ac:dyDescent="0.2">
      <c r="A4682" s="189">
        <v>348</v>
      </c>
      <c r="B4682" s="232" t="str">
        <f>IF(AND(A4682&lt;&gt;"",ISNUMBER(A4682)),VLOOKUP(A4682,Studies!A:BR,2,FALSE),"")</f>
        <v>Loos 1985</v>
      </c>
      <c r="C4682" s="232" t="str">
        <f>IF(AND(A4682&lt;&gt;"",ISNUMBER(A4682)),VLOOKUP(A4682,Studies!A:BR,3,FALSE),"")</f>
        <v>http://www.ncbi.nlm.nih.gov/pubmed/4087830</v>
      </c>
      <c r="D4682" s="232" t="str">
        <f>IF(AND(A4682&lt;&gt;"",ISNUMBER(A4682)),VLOOKUP(A4682,Studies!A:BR,4,FALSE),"")</f>
        <v>iv day 1 (Patient 4)</v>
      </c>
      <c r="E4682" s="206" t="str">
        <f>IF(AND(A4682&lt;&gt;"",ISNUMBER(A4682)),VLOOKUP(A4682,Studies!A:BR,5,FALSE),"")</f>
        <v>Rifampicin</v>
      </c>
      <c r="F4682" s="207" t="str">
        <f>IF(AND(A4682&lt;&gt;"",ISNUMBER(A4682)),VLOOKUP(A4682,Studies!A:BR,6,FALSE),"")</f>
        <v>Serum</v>
      </c>
      <c r="G4682" s="50">
        <v>1.33</v>
      </c>
      <c r="H4682" s="50" t="s">
        <v>60</v>
      </c>
      <c r="I4682" s="41">
        <v>27.84986</v>
      </c>
      <c r="J4682" s="41" t="s">
        <v>1054</v>
      </c>
      <c r="K4682" s="187" t="s">
        <v>264</v>
      </c>
      <c r="L4682" s="195"/>
      <c r="O4682" s="59">
        <v>0.1</v>
      </c>
    </row>
    <row r="4683" spans="1:15" x14ac:dyDescent="0.2">
      <c r="A4683" s="189">
        <v>348</v>
      </c>
      <c r="B4683" s="232" t="str">
        <f>IF(AND(A4683&lt;&gt;"",ISNUMBER(A4683)),VLOOKUP(A4683,Studies!A:BR,2,FALSE),"")</f>
        <v>Loos 1985</v>
      </c>
      <c r="C4683" s="232" t="str">
        <f>IF(AND(A4683&lt;&gt;"",ISNUMBER(A4683)),VLOOKUP(A4683,Studies!A:BR,3,FALSE),"")</f>
        <v>http://www.ncbi.nlm.nih.gov/pubmed/4087830</v>
      </c>
      <c r="D4683" s="232" t="str">
        <f>IF(AND(A4683&lt;&gt;"",ISNUMBER(A4683)),VLOOKUP(A4683,Studies!A:BR,4,FALSE),"")</f>
        <v>iv day 1 (Patient 4)</v>
      </c>
      <c r="E4683" s="206" t="str">
        <f>IF(AND(A4683&lt;&gt;"",ISNUMBER(A4683)),VLOOKUP(A4683,Studies!A:BR,5,FALSE),"")</f>
        <v>Rifampicin</v>
      </c>
      <c r="F4683" s="207" t="str">
        <f>IF(AND(A4683&lt;&gt;"",ISNUMBER(A4683)),VLOOKUP(A4683,Studies!A:BR,6,FALSE),"")</f>
        <v>Serum</v>
      </c>
      <c r="G4683" s="50">
        <v>1.67</v>
      </c>
      <c r="H4683" s="50" t="s">
        <v>60</v>
      </c>
      <c r="I4683" s="41">
        <v>21.416440000000001</v>
      </c>
      <c r="J4683" s="41" t="s">
        <v>1054</v>
      </c>
      <c r="K4683" s="187" t="s">
        <v>264</v>
      </c>
      <c r="L4683" s="195"/>
      <c r="O4683" s="59">
        <v>0.1</v>
      </c>
    </row>
    <row r="4684" spans="1:15" x14ac:dyDescent="0.2">
      <c r="A4684" s="189">
        <v>348</v>
      </c>
      <c r="B4684" s="232" t="str">
        <f>IF(AND(A4684&lt;&gt;"",ISNUMBER(A4684)),VLOOKUP(A4684,Studies!A:BR,2,FALSE),"")</f>
        <v>Loos 1985</v>
      </c>
      <c r="C4684" s="232" t="str">
        <f>IF(AND(A4684&lt;&gt;"",ISNUMBER(A4684)),VLOOKUP(A4684,Studies!A:BR,3,FALSE),"")</f>
        <v>http://www.ncbi.nlm.nih.gov/pubmed/4087830</v>
      </c>
      <c r="D4684" s="232" t="str">
        <f>IF(AND(A4684&lt;&gt;"",ISNUMBER(A4684)),VLOOKUP(A4684,Studies!A:BR,4,FALSE),"")</f>
        <v>iv day 1 (Patient 4)</v>
      </c>
      <c r="E4684" s="206" t="str">
        <f>IF(AND(A4684&lt;&gt;"",ISNUMBER(A4684)),VLOOKUP(A4684,Studies!A:BR,5,FALSE),"")</f>
        <v>Rifampicin</v>
      </c>
      <c r="F4684" s="207" t="str">
        <f>IF(AND(A4684&lt;&gt;"",ISNUMBER(A4684)),VLOOKUP(A4684,Studies!A:BR,6,FALSE),"")</f>
        <v>Serum</v>
      </c>
      <c r="G4684" s="50">
        <v>2</v>
      </c>
      <c r="H4684" s="50" t="s">
        <v>60</v>
      </c>
      <c r="I4684" s="41">
        <v>21.175080000000001</v>
      </c>
      <c r="J4684" s="41" t="s">
        <v>1054</v>
      </c>
      <c r="K4684" s="187" t="s">
        <v>264</v>
      </c>
      <c r="L4684" s="195"/>
      <c r="O4684" s="59">
        <v>0.1</v>
      </c>
    </row>
    <row r="4685" spans="1:15" x14ac:dyDescent="0.2">
      <c r="A4685" s="189">
        <v>348</v>
      </c>
      <c r="B4685" s="232" t="str">
        <f>IF(AND(A4685&lt;&gt;"",ISNUMBER(A4685)),VLOOKUP(A4685,Studies!A:BR,2,FALSE),"")</f>
        <v>Loos 1985</v>
      </c>
      <c r="C4685" s="232" t="str">
        <f>IF(AND(A4685&lt;&gt;"",ISNUMBER(A4685)),VLOOKUP(A4685,Studies!A:BR,3,FALSE),"")</f>
        <v>http://www.ncbi.nlm.nih.gov/pubmed/4087830</v>
      </c>
      <c r="D4685" s="232" t="str">
        <f>IF(AND(A4685&lt;&gt;"",ISNUMBER(A4685)),VLOOKUP(A4685,Studies!A:BR,4,FALSE),"")</f>
        <v>iv day 1 (Patient 4)</v>
      </c>
      <c r="E4685" s="206" t="str">
        <f>IF(AND(A4685&lt;&gt;"",ISNUMBER(A4685)),VLOOKUP(A4685,Studies!A:BR,5,FALSE),"")</f>
        <v>Rifampicin</v>
      </c>
      <c r="F4685" s="207" t="str">
        <f>IF(AND(A4685&lt;&gt;"",ISNUMBER(A4685)),VLOOKUP(A4685,Studies!A:BR,6,FALSE),"")</f>
        <v>Serum</v>
      </c>
      <c r="G4685" s="50">
        <v>4</v>
      </c>
      <c r="H4685" s="50" t="s">
        <v>60</v>
      </c>
      <c r="I4685" s="41">
        <v>8.9785009999999996</v>
      </c>
      <c r="J4685" s="41" t="s">
        <v>1054</v>
      </c>
      <c r="K4685" s="187" t="s">
        <v>264</v>
      </c>
      <c r="L4685" s="195"/>
      <c r="O4685" s="59">
        <v>0.1</v>
      </c>
    </row>
    <row r="4686" spans="1:15" x14ac:dyDescent="0.2">
      <c r="A4686" s="189">
        <v>348</v>
      </c>
      <c r="B4686" s="232" t="str">
        <f>IF(AND(A4686&lt;&gt;"",ISNUMBER(A4686)),VLOOKUP(A4686,Studies!A:BR,2,FALSE),"")</f>
        <v>Loos 1985</v>
      </c>
      <c r="C4686" s="232" t="str">
        <f>IF(AND(A4686&lt;&gt;"",ISNUMBER(A4686)),VLOOKUP(A4686,Studies!A:BR,3,FALSE),"")</f>
        <v>http://www.ncbi.nlm.nih.gov/pubmed/4087830</v>
      </c>
      <c r="D4686" s="232" t="str">
        <f>IF(AND(A4686&lt;&gt;"",ISNUMBER(A4686)),VLOOKUP(A4686,Studies!A:BR,4,FALSE),"")</f>
        <v>iv day 1 (Patient 4)</v>
      </c>
      <c r="E4686" s="206" t="str">
        <f>IF(AND(A4686&lt;&gt;"",ISNUMBER(A4686)),VLOOKUP(A4686,Studies!A:BR,5,FALSE),"")</f>
        <v>Rifampicin</v>
      </c>
      <c r="F4686" s="207" t="str">
        <f>IF(AND(A4686&lt;&gt;"",ISNUMBER(A4686)),VLOOKUP(A4686,Studies!A:BR,6,FALSE),"")</f>
        <v>Serum</v>
      </c>
      <c r="G4686" s="50">
        <v>6</v>
      </c>
      <c r="H4686" s="50" t="s">
        <v>60</v>
      </c>
      <c r="I4686" s="41">
        <v>5.3874029999999999</v>
      </c>
      <c r="J4686" s="41" t="s">
        <v>1054</v>
      </c>
      <c r="K4686" s="187" t="s">
        <v>264</v>
      </c>
      <c r="L4686" s="195"/>
      <c r="O4686" s="59">
        <v>0.1</v>
      </c>
    </row>
    <row r="4687" spans="1:15" x14ac:dyDescent="0.2">
      <c r="A4687" s="189">
        <v>348</v>
      </c>
      <c r="B4687" s="232" t="str">
        <f>IF(AND(A4687&lt;&gt;"",ISNUMBER(A4687)),VLOOKUP(A4687,Studies!A:BR,2,FALSE),"")</f>
        <v>Loos 1985</v>
      </c>
      <c r="C4687" s="232" t="str">
        <f>IF(AND(A4687&lt;&gt;"",ISNUMBER(A4687)),VLOOKUP(A4687,Studies!A:BR,3,FALSE),"")</f>
        <v>http://www.ncbi.nlm.nih.gov/pubmed/4087830</v>
      </c>
      <c r="D4687" s="232" t="str">
        <f>IF(AND(A4687&lt;&gt;"",ISNUMBER(A4687)),VLOOKUP(A4687,Studies!A:BR,4,FALSE),"")</f>
        <v>iv day 1 (Patient 4)</v>
      </c>
      <c r="E4687" s="206" t="str">
        <f>IF(AND(A4687&lt;&gt;"",ISNUMBER(A4687)),VLOOKUP(A4687,Studies!A:BR,5,FALSE),"")</f>
        <v>Rifampicin</v>
      </c>
      <c r="F4687" s="207" t="str">
        <f>IF(AND(A4687&lt;&gt;"",ISNUMBER(A4687)),VLOOKUP(A4687,Studies!A:BR,6,FALSE),"")</f>
        <v>Serum</v>
      </c>
      <c r="G4687" s="50">
        <v>8</v>
      </c>
      <c r="H4687" s="50" t="s">
        <v>60</v>
      </c>
      <c r="I4687" s="41">
        <v>2.3396279999999998</v>
      </c>
      <c r="J4687" s="41" t="s">
        <v>1054</v>
      </c>
      <c r="K4687" s="187" t="s">
        <v>264</v>
      </c>
      <c r="L4687" s="195"/>
      <c r="O4687" s="59">
        <v>0.1</v>
      </c>
    </row>
    <row r="4688" spans="1:15" x14ac:dyDescent="0.2">
      <c r="A4688" s="189">
        <v>348</v>
      </c>
      <c r="B4688" s="232" t="str">
        <f>IF(AND(A4688&lt;&gt;"",ISNUMBER(A4688)),VLOOKUP(A4688,Studies!A:BR,2,FALSE),"")</f>
        <v>Loos 1985</v>
      </c>
      <c r="C4688" s="232" t="str">
        <f>IF(AND(A4688&lt;&gt;"",ISNUMBER(A4688)),VLOOKUP(A4688,Studies!A:BR,3,FALSE),"")</f>
        <v>http://www.ncbi.nlm.nih.gov/pubmed/4087830</v>
      </c>
      <c r="D4688" s="232" t="str">
        <f>IF(AND(A4688&lt;&gt;"",ISNUMBER(A4688)),VLOOKUP(A4688,Studies!A:BR,4,FALSE),"")</f>
        <v>iv day 1 (Patient 4)</v>
      </c>
      <c r="E4688" s="206" t="str">
        <f>IF(AND(A4688&lt;&gt;"",ISNUMBER(A4688)),VLOOKUP(A4688,Studies!A:BR,5,FALSE),"")</f>
        <v>Rifampicin</v>
      </c>
      <c r="F4688" s="207" t="str">
        <f>IF(AND(A4688&lt;&gt;"",ISNUMBER(A4688)),VLOOKUP(A4688,Studies!A:BR,6,FALSE),"")</f>
        <v>Serum</v>
      </c>
      <c r="G4688" s="50">
        <v>12</v>
      </c>
      <c r="H4688" s="50" t="s">
        <v>60</v>
      </c>
      <c r="I4688" s="41">
        <v>0.63955309999999999</v>
      </c>
      <c r="J4688" s="41" t="s">
        <v>1054</v>
      </c>
      <c r="K4688" s="187" t="s">
        <v>264</v>
      </c>
      <c r="L4688" s="195"/>
      <c r="O4688" s="59">
        <v>0.1</v>
      </c>
    </row>
    <row r="4689" spans="1:15" x14ac:dyDescent="0.2">
      <c r="A4689" s="189">
        <v>349</v>
      </c>
      <c r="B4689" s="232" t="str">
        <f>IF(AND(A4689&lt;&gt;"",ISNUMBER(A4689)),VLOOKUP(A4689,Studies!A:BR,2,FALSE),"")</f>
        <v>Loos 1985</v>
      </c>
      <c r="C4689" s="232" t="str">
        <f>IF(AND(A4689&lt;&gt;"",ISNUMBER(A4689)),VLOOKUP(A4689,Studies!A:BR,3,FALSE),"")</f>
        <v>http://www.ncbi.nlm.nih.gov/pubmed/4087830</v>
      </c>
      <c r="D4689" s="232" t="str">
        <f>IF(AND(A4689&lt;&gt;"",ISNUMBER(A4689)),VLOOKUP(A4689,Studies!A:BR,4,FALSE),"")</f>
        <v>iv day 8 (Patient 4)</v>
      </c>
      <c r="E4689" s="206" t="str">
        <f>IF(AND(A4689&lt;&gt;"",ISNUMBER(A4689)),VLOOKUP(A4689,Studies!A:BR,5,FALSE),"")</f>
        <v>Rifampicin</v>
      </c>
      <c r="F4689" s="207" t="str">
        <f>IF(AND(A4689&lt;&gt;"",ISNUMBER(A4689)),VLOOKUP(A4689,Studies!A:BR,6,FALSE),"")</f>
        <v>Serum</v>
      </c>
      <c r="G4689" s="50">
        <v>168.13</v>
      </c>
      <c r="H4689" s="50" t="s">
        <v>60</v>
      </c>
      <c r="I4689" s="41">
        <v>6.6049540000000002</v>
      </c>
      <c r="J4689" s="41" t="s">
        <v>1054</v>
      </c>
      <c r="K4689" s="187" t="s">
        <v>264</v>
      </c>
      <c r="L4689" s="195"/>
      <c r="O4689" s="59">
        <v>0.1</v>
      </c>
    </row>
    <row r="4690" spans="1:15" x14ac:dyDescent="0.2">
      <c r="A4690" s="189">
        <v>349</v>
      </c>
      <c r="B4690" s="232" t="str">
        <f>IF(AND(A4690&lt;&gt;"",ISNUMBER(A4690)),VLOOKUP(A4690,Studies!A:BR,2,FALSE),"")</f>
        <v>Loos 1985</v>
      </c>
      <c r="C4690" s="232" t="str">
        <f>IF(AND(A4690&lt;&gt;"",ISNUMBER(A4690)),VLOOKUP(A4690,Studies!A:BR,3,FALSE),"")</f>
        <v>http://www.ncbi.nlm.nih.gov/pubmed/4087830</v>
      </c>
      <c r="D4690" s="232" t="str">
        <f>IF(AND(A4690&lt;&gt;"",ISNUMBER(A4690)),VLOOKUP(A4690,Studies!A:BR,4,FALSE),"")</f>
        <v>iv day 8 (Patient 4)</v>
      </c>
      <c r="E4690" s="206" t="str">
        <f>IF(AND(A4690&lt;&gt;"",ISNUMBER(A4690)),VLOOKUP(A4690,Studies!A:BR,5,FALSE),"")</f>
        <v>Rifampicin</v>
      </c>
      <c r="F4690" s="207" t="str">
        <f>IF(AND(A4690&lt;&gt;"",ISNUMBER(A4690)),VLOOKUP(A4690,Studies!A:BR,6,FALSE),"")</f>
        <v>Serum</v>
      </c>
      <c r="G4690" s="50">
        <v>168.25</v>
      </c>
      <c r="H4690" s="50" t="s">
        <v>60</v>
      </c>
      <c r="I4690" s="41">
        <v>16.215070000000001</v>
      </c>
      <c r="J4690" s="41" t="s">
        <v>1054</v>
      </c>
      <c r="K4690" s="187" t="s">
        <v>264</v>
      </c>
      <c r="L4690" s="195"/>
      <c r="O4690" s="59">
        <v>0.1</v>
      </c>
    </row>
    <row r="4691" spans="1:15" x14ac:dyDescent="0.2">
      <c r="A4691" s="189">
        <v>349</v>
      </c>
      <c r="B4691" s="232" t="str">
        <f>IF(AND(A4691&lt;&gt;"",ISNUMBER(A4691)),VLOOKUP(A4691,Studies!A:BR,2,FALSE),"")</f>
        <v>Loos 1985</v>
      </c>
      <c r="C4691" s="232" t="str">
        <f>IF(AND(A4691&lt;&gt;"",ISNUMBER(A4691)),VLOOKUP(A4691,Studies!A:BR,3,FALSE),"")</f>
        <v>http://www.ncbi.nlm.nih.gov/pubmed/4087830</v>
      </c>
      <c r="D4691" s="232" t="str">
        <f>IF(AND(A4691&lt;&gt;"",ISNUMBER(A4691)),VLOOKUP(A4691,Studies!A:BR,4,FALSE),"")</f>
        <v>iv day 8 (Patient 4)</v>
      </c>
      <c r="E4691" s="206" t="str">
        <f>IF(AND(A4691&lt;&gt;"",ISNUMBER(A4691)),VLOOKUP(A4691,Studies!A:BR,5,FALSE),"")</f>
        <v>Rifampicin</v>
      </c>
      <c r="F4691" s="207" t="str">
        <f>IF(AND(A4691&lt;&gt;"",ISNUMBER(A4691)),VLOOKUP(A4691,Studies!A:BR,6,FALSE),"")</f>
        <v>Serum</v>
      </c>
      <c r="G4691" s="50">
        <v>168.5</v>
      </c>
      <c r="H4691" s="50" t="s">
        <v>60</v>
      </c>
      <c r="I4691" s="41">
        <v>22.957439999999998</v>
      </c>
      <c r="J4691" s="41" t="s">
        <v>1054</v>
      </c>
      <c r="K4691" s="187" t="s">
        <v>264</v>
      </c>
      <c r="L4691" s="195"/>
      <c r="O4691" s="59">
        <v>0.1</v>
      </c>
    </row>
    <row r="4692" spans="1:15" x14ac:dyDescent="0.2">
      <c r="A4692" s="189">
        <v>349</v>
      </c>
      <c r="B4692" s="232" t="str">
        <f>IF(AND(A4692&lt;&gt;"",ISNUMBER(A4692)),VLOOKUP(A4692,Studies!A:BR,2,FALSE),"")</f>
        <v>Loos 1985</v>
      </c>
      <c r="C4692" s="232" t="str">
        <f>IF(AND(A4692&lt;&gt;"",ISNUMBER(A4692)),VLOOKUP(A4692,Studies!A:BR,3,FALSE),"")</f>
        <v>http://www.ncbi.nlm.nih.gov/pubmed/4087830</v>
      </c>
      <c r="D4692" s="232" t="str">
        <f>IF(AND(A4692&lt;&gt;"",ISNUMBER(A4692)),VLOOKUP(A4692,Studies!A:BR,4,FALSE),"")</f>
        <v>iv day 8 (Patient 4)</v>
      </c>
      <c r="E4692" s="206" t="str">
        <f>IF(AND(A4692&lt;&gt;"",ISNUMBER(A4692)),VLOOKUP(A4692,Studies!A:BR,5,FALSE),"")</f>
        <v>Rifampicin</v>
      </c>
      <c r="F4692" s="207" t="str">
        <f>IF(AND(A4692&lt;&gt;"",ISNUMBER(A4692)),VLOOKUP(A4692,Studies!A:BR,6,FALSE),"")</f>
        <v>Serum</v>
      </c>
      <c r="G4692" s="50">
        <v>168.75</v>
      </c>
      <c r="H4692" s="50" t="s">
        <v>60</v>
      </c>
      <c r="I4692" s="41">
        <v>29.890519999999999</v>
      </c>
      <c r="J4692" s="41" t="s">
        <v>1054</v>
      </c>
      <c r="K4692" s="187" t="s">
        <v>264</v>
      </c>
      <c r="L4692" s="195"/>
      <c r="O4692" s="59">
        <v>0.1</v>
      </c>
    </row>
    <row r="4693" spans="1:15" x14ac:dyDescent="0.2">
      <c r="A4693" s="189">
        <v>349</v>
      </c>
      <c r="B4693" s="232" t="str">
        <f>IF(AND(A4693&lt;&gt;"",ISNUMBER(A4693)),VLOOKUP(A4693,Studies!A:BR,2,FALSE),"")</f>
        <v>Loos 1985</v>
      </c>
      <c r="C4693" s="232" t="str">
        <f>IF(AND(A4693&lt;&gt;"",ISNUMBER(A4693)),VLOOKUP(A4693,Studies!A:BR,3,FALSE),"")</f>
        <v>http://www.ncbi.nlm.nih.gov/pubmed/4087830</v>
      </c>
      <c r="D4693" s="232" t="str">
        <f>IF(AND(A4693&lt;&gt;"",ISNUMBER(A4693)),VLOOKUP(A4693,Studies!A:BR,4,FALSE),"")</f>
        <v>iv day 8 (Patient 4)</v>
      </c>
      <c r="E4693" s="206" t="str">
        <f>IF(AND(A4693&lt;&gt;"",ISNUMBER(A4693)),VLOOKUP(A4693,Studies!A:BR,5,FALSE),"")</f>
        <v>Rifampicin</v>
      </c>
      <c r="F4693" s="207" t="str">
        <f>IF(AND(A4693&lt;&gt;"",ISNUMBER(A4693)),VLOOKUP(A4693,Studies!A:BR,6,FALSE),"")</f>
        <v>Serum</v>
      </c>
      <c r="G4693" s="50">
        <v>169</v>
      </c>
      <c r="H4693" s="50" t="s">
        <v>60</v>
      </c>
      <c r="I4693" s="41">
        <v>30.628779999999999</v>
      </c>
      <c r="J4693" s="41" t="s">
        <v>1054</v>
      </c>
      <c r="K4693" s="187" t="s">
        <v>264</v>
      </c>
      <c r="L4693" s="195"/>
      <c r="O4693" s="59">
        <v>0.1</v>
      </c>
    </row>
    <row r="4694" spans="1:15" x14ac:dyDescent="0.2">
      <c r="A4694" s="189">
        <v>349</v>
      </c>
      <c r="B4694" s="232" t="str">
        <f>IF(AND(A4694&lt;&gt;"",ISNUMBER(A4694)),VLOOKUP(A4694,Studies!A:BR,2,FALSE),"")</f>
        <v>Loos 1985</v>
      </c>
      <c r="C4694" s="232" t="str">
        <f>IF(AND(A4694&lt;&gt;"",ISNUMBER(A4694)),VLOOKUP(A4694,Studies!A:BR,3,FALSE),"")</f>
        <v>http://www.ncbi.nlm.nih.gov/pubmed/4087830</v>
      </c>
      <c r="D4694" s="232" t="str">
        <f>IF(AND(A4694&lt;&gt;"",ISNUMBER(A4694)),VLOOKUP(A4694,Studies!A:BR,4,FALSE),"")</f>
        <v>iv day 8 (Patient 4)</v>
      </c>
      <c r="E4694" s="206" t="str">
        <f>IF(AND(A4694&lt;&gt;"",ISNUMBER(A4694)),VLOOKUP(A4694,Studies!A:BR,5,FALSE),"")</f>
        <v>Rifampicin</v>
      </c>
      <c r="F4694" s="207" t="str">
        <f>IF(AND(A4694&lt;&gt;"",ISNUMBER(A4694)),VLOOKUP(A4694,Studies!A:BR,6,FALSE),"")</f>
        <v>Serum</v>
      </c>
      <c r="G4694" s="50">
        <v>169.33</v>
      </c>
      <c r="H4694" s="50" t="s">
        <v>60</v>
      </c>
      <c r="I4694" s="41">
        <v>23.83708</v>
      </c>
      <c r="J4694" s="41" t="s">
        <v>1054</v>
      </c>
      <c r="K4694" s="187" t="s">
        <v>264</v>
      </c>
      <c r="L4694" s="195"/>
      <c r="O4694" s="59">
        <v>0.1</v>
      </c>
    </row>
    <row r="4695" spans="1:15" x14ac:dyDescent="0.2">
      <c r="A4695" s="189">
        <v>349</v>
      </c>
      <c r="B4695" s="232" t="str">
        <f>IF(AND(A4695&lt;&gt;"",ISNUMBER(A4695)),VLOOKUP(A4695,Studies!A:BR,2,FALSE),"")</f>
        <v>Loos 1985</v>
      </c>
      <c r="C4695" s="232" t="str">
        <f>IF(AND(A4695&lt;&gt;"",ISNUMBER(A4695)),VLOOKUP(A4695,Studies!A:BR,3,FALSE),"")</f>
        <v>http://www.ncbi.nlm.nih.gov/pubmed/4087830</v>
      </c>
      <c r="D4695" s="232" t="str">
        <f>IF(AND(A4695&lt;&gt;"",ISNUMBER(A4695)),VLOOKUP(A4695,Studies!A:BR,4,FALSE),"")</f>
        <v>iv day 8 (Patient 4)</v>
      </c>
      <c r="E4695" s="206" t="str">
        <f>IF(AND(A4695&lt;&gt;"",ISNUMBER(A4695)),VLOOKUP(A4695,Studies!A:BR,5,FALSE),"")</f>
        <v>Rifampicin</v>
      </c>
      <c r="F4695" s="207" t="str">
        <f>IF(AND(A4695&lt;&gt;"",ISNUMBER(A4695)),VLOOKUP(A4695,Studies!A:BR,6,FALSE),"")</f>
        <v>Serum</v>
      </c>
      <c r="G4695" s="50">
        <v>169.67</v>
      </c>
      <c r="H4695" s="50" t="s">
        <v>60</v>
      </c>
      <c r="I4695" s="41">
        <v>19.9316</v>
      </c>
      <c r="J4695" s="41" t="s">
        <v>1054</v>
      </c>
      <c r="K4695" s="187" t="s">
        <v>264</v>
      </c>
      <c r="L4695" s="195"/>
      <c r="O4695" s="59">
        <v>0.1</v>
      </c>
    </row>
    <row r="4696" spans="1:15" x14ac:dyDescent="0.2">
      <c r="A4696" s="189">
        <v>349</v>
      </c>
      <c r="B4696" s="232" t="str">
        <f>IF(AND(A4696&lt;&gt;"",ISNUMBER(A4696)),VLOOKUP(A4696,Studies!A:BR,2,FALSE),"")</f>
        <v>Loos 1985</v>
      </c>
      <c r="C4696" s="232" t="str">
        <f>IF(AND(A4696&lt;&gt;"",ISNUMBER(A4696)),VLOOKUP(A4696,Studies!A:BR,3,FALSE),"")</f>
        <v>http://www.ncbi.nlm.nih.gov/pubmed/4087830</v>
      </c>
      <c r="D4696" s="232" t="str">
        <f>IF(AND(A4696&lt;&gt;"",ISNUMBER(A4696)),VLOOKUP(A4696,Studies!A:BR,4,FALSE),"")</f>
        <v>iv day 8 (Patient 4)</v>
      </c>
      <c r="E4696" s="206" t="str">
        <f>IF(AND(A4696&lt;&gt;"",ISNUMBER(A4696)),VLOOKUP(A4696,Studies!A:BR,5,FALSE),"")</f>
        <v>Rifampicin</v>
      </c>
      <c r="F4696" s="207" t="str">
        <f>IF(AND(A4696&lt;&gt;"",ISNUMBER(A4696)),VLOOKUP(A4696,Studies!A:BR,6,FALSE),"")</f>
        <v>Serum</v>
      </c>
      <c r="G4696" s="50">
        <v>170</v>
      </c>
      <c r="H4696" s="50" t="s">
        <v>60</v>
      </c>
      <c r="I4696" s="41">
        <v>19.707419999999999</v>
      </c>
      <c r="J4696" s="41" t="s">
        <v>1054</v>
      </c>
      <c r="K4696" s="187" t="s">
        <v>264</v>
      </c>
      <c r="L4696" s="195"/>
      <c r="O4696" s="59">
        <v>0.1</v>
      </c>
    </row>
    <row r="4697" spans="1:15" x14ac:dyDescent="0.2">
      <c r="A4697" s="189">
        <v>349</v>
      </c>
      <c r="B4697" s="232" t="str">
        <f>IF(AND(A4697&lt;&gt;"",ISNUMBER(A4697)),VLOOKUP(A4697,Studies!A:BR,2,FALSE),"")</f>
        <v>Loos 1985</v>
      </c>
      <c r="C4697" s="232" t="str">
        <f>IF(AND(A4697&lt;&gt;"",ISNUMBER(A4697)),VLOOKUP(A4697,Studies!A:BR,3,FALSE),"")</f>
        <v>http://www.ncbi.nlm.nih.gov/pubmed/4087830</v>
      </c>
      <c r="D4697" s="232" t="str">
        <f>IF(AND(A4697&lt;&gt;"",ISNUMBER(A4697)),VLOOKUP(A4697,Studies!A:BR,4,FALSE),"")</f>
        <v>iv day 8 (Patient 4)</v>
      </c>
      <c r="E4697" s="206" t="str">
        <f>IF(AND(A4697&lt;&gt;"",ISNUMBER(A4697)),VLOOKUP(A4697,Studies!A:BR,5,FALSE),"")</f>
        <v>Rifampicin</v>
      </c>
      <c r="F4697" s="207" t="str">
        <f>IF(AND(A4697&lt;&gt;"",ISNUMBER(A4697)),VLOOKUP(A4697,Studies!A:BR,6,FALSE),"")</f>
        <v>Serum</v>
      </c>
      <c r="G4697" s="50">
        <v>172</v>
      </c>
      <c r="H4697" s="50" t="s">
        <v>60</v>
      </c>
      <c r="I4697" s="41">
        <v>9.532565</v>
      </c>
      <c r="J4697" s="41" t="s">
        <v>1054</v>
      </c>
      <c r="K4697" s="187" t="s">
        <v>264</v>
      </c>
      <c r="L4697" s="195"/>
      <c r="O4697" s="59">
        <v>0.1</v>
      </c>
    </row>
    <row r="4698" spans="1:15" x14ac:dyDescent="0.2">
      <c r="A4698" s="189">
        <v>349</v>
      </c>
      <c r="B4698" s="232" t="str">
        <f>IF(AND(A4698&lt;&gt;"",ISNUMBER(A4698)),VLOOKUP(A4698,Studies!A:BR,2,FALSE),"")</f>
        <v>Loos 1985</v>
      </c>
      <c r="C4698" s="232" t="str">
        <f>IF(AND(A4698&lt;&gt;"",ISNUMBER(A4698)),VLOOKUP(A4698,Studies!A:BR,3,FALSE),"")</f>
        <v>http://www.ncbi.nlm.nih.gov/pubmed/4087830</v>
      </c>
      <c r="D4698" s="232" t="str">
        <f>IF(AND(A4698&lt;&gt;"",ISNUMBER(A4698)),VLOOKUP(A4698,Studies!A:BR,4,FALSE),"")</f>
        <v>iv day 8 (Patient 4)</v>
      </c>
      <c r="E4698" s="206" t="str">
        <f>IF(AND(A4698&lt;&gt;"",ISNUMBER(A4698)),VLOOKUP(A4698,Studies!A:BR,5,FALSE),"")</f>
        <v>Rifampicin</v>
      </c>
      <c r="F4698" s="207" t="str">
        <f>IF(AND(A4698&lt;&gt;"",ISNUMBER(A4698)),VLOOKUP(A4698,Studies!A:BR,6,FALSE),"")</f>
        <v>Serum</v>
      </c>
      <c r="G4698" s="50">
        <v>174</v>
      </c>
      <c r="H4698" s="50" t="s">
        <v>60</v>
      </c>
      <c r="I4698" s="41">
        <v>4.3953449999999998</v>
      </c>
      <c r="J4698" s="41" t="s">
        <v>1054</v>
      </c>
      <c r="K4698" s="187" t="s">
        <v>264</v>
      </c>
      <c r="L4698" s="195"/>
      <c r="O4698" s="59">
        <v>0.1</v>
      </c>
    </row>
    <row r="4699" spans="1:15" x14ac:dyDescent="0.2">
      <c r="A4699" s="189">
        <v>349</v>
      </c>
      <c r="B4699" s="232" t="str">
        <f>IF(AND(A4699&lt;&gt;"",ISNUMBER(A4699)),VLOOKUP(A4699,Studies!A:BR,2,FALSE),"")</f>
        <v>Loos 1985</v>
      </c>
      <c r="C4699" s="232" t="str">
        <f>IF(AND(A4699&lt;&gt;"",ISNUMBER(A4699)),VLOOKUP(A4699,Studies!A:BR,3,FALSE),"")</f>
        <v>http://www.ncbi.nlm.nih.gov/pubmed/4087830</v>
      </c>
      <c r="D4699" s="232" t="str">
        <f>IF(AND(A4699&lt;&gt;"",ISNUMBER(A4699)),VLOOKUP(A4699,Studies!A:BR,4,FALSE),"")</f>
        <v>iv day 8 (Patient 4)</v>
      </c>
      <c r="E4699" s="206" t="str">
        <f>IF(AND(A4699&lt;&gt;"",ISNUMBER(A4699)),VLOOKUP(A4699,Studies!A:BR,5,FALSE),"")</f>
        <v>Rifampicin</v>
      </c>
      <c r="F4699" s="207" t="str">
        <f>IF(AND(A4699&lt;&gt;"",ISNUMBER(A4699)),VLOOKUP(A4699,Studies!A:BR,6,FALSE),"")</f>
        <v>Serum</v>
      </c>
      <c r="G4699" s="50">
        <v>176</v>
      </c>
      <c r="H4699" s="50" t="s">
        <v>60</v>
      </c>
      <c r="I4699" s="41">
        <v>1.271145</v>
      </c>
      <c r="J4699" s="41" t="s">
        <v>1054</v>
      </c>
      <c r="K4699" s="187" t="s">
        <v>264</v>
      </c>
      <c r="L4699" s="195"/>
      <c r="O4699" s="59">
        <v>0.1</v>
      </c>
    </row>
    <row r="4700" spans="1:15" x14ac:dyDescent="0.2">
      <c r="A4700" s="189">
        <v>349</v>
      </c>
      <c r="B4700" s="232" t="str">
        <f>IF(AND(A4700&lt;&gt;"",ISNUMBER(A4700)),VLOOKUP(A4700,Studies!A:BR,2,FALSE),"")</f>
        <v>Loos 1985</v>
      </c>
      <c r="C4700" s="232" t="str">
        <f>IF(AND(A4700&lt;&gt;"",ISNUMBER(A4700)),VLOOKUP(A4700,Studies!A:BR,3,FALSE),"")</f>
        <v>http://www.ncbi.nlm.nih.gov/pubmed/4087830</v>
      </c>
      <c r="D4700" s="232" t="str">
        <f>IF(AND(A4700&lt;&gt;"",ISNUMBER(A4700)),VLOOKUP(A4700,Studies!A:BR,4,FALSE),"")</f>
        <v>iv day 8 (Patient 4)</v>
      </c>
      <c r="E4700" s="206" t="str">
        <f>IF(AND(A4700&lt;&gt;"",ISNUMBER(A4700)),VLOOKUP(A4700,Studies!A:BR,5,FALSE),"")</f>
        <v>Rifampicin</v>
      </c>
      <c r="F4700" s="207" t="str">
        <f>IF(AND(A4700&lt;&gt;"",ISNUMBER(A4700)),VLOOKUP(A4700,Studies!A:BR,6,FALSE),"")</f>
        <v>Serum</v>
      </c>
      <c r="G4700" s="50">
        <v>178</v>
      </c>
      <c r="H4700" s="50" t="s">
        <v>60</v>
      </c>
      <c r="I4700" s="41">
        <v>0.50138459999999996</v>
      </c>
      <c r="J4700" s="41" t="s">
        <v>1054</v>
      </c>
      <c r="K4700" s="187" t="s">
        <v>264</v>
      </c>
      <c r="L4700" s="195"/>
      <c r="O4700" s="59">
        <v>0.1</v>
      </c>
    </row>
    <row r="4701" spans="1:15" x14ac:dyDescent="0.2">
      <c r="A4701" s="189">
        <v>349</v>
      </c>
      <c r="B4701" s="232" t="str">
        <f>IF(AND(A4701&lt;&gt;"",ISNUMBER(A4701)),VLOOKUP(A4701,Studies!A:BR,2,FALSE),"")</f>
        <v>Loos 1985</v>
      </c>
      <c r="C4701" s="232" t="str">
        <f>IF(AND(A4701&lt;&gt;"",ISNUMBER(A4701)),VLOOKUP(A4701,Studies!A:BR,3,FALSE),"")</f>
        <v>http://www.ncbi.nlm.nih.gov/pubmed/4087830</v>
      </c>
      <c r="D4701" s="232" t="str">
        <f>IF(AND(A4701&lt;&gt;"",ISNUMBER(A4701)),VLOOKUP(A4701,Studies!A:BR,4,FALSE),"")</f>
        <v>iv day 8 (Patient 4)</v>
      </c>
      <c r="E4701" s="206" t="str">
        <f>IF(AND(A4701&lt;&gt;"",ISNUMBER(A4701)),VLOOKUP(A4701,Studies!A:BR,5,FALSE),"")</f>
        <v>Rifampicin</v>
      </c>
      <c r="F4701" s="207" t="str">
        <f>IF(AND(A4701&lt;&gt;"",ISNUMBER(A4701)),VLOOKUP(A4701,Studies!A:BR,6,FALSE),"")</f>
        <v>Serum</v>
      </c>
      <c r="G4701" s="50">
        <v>180</v>
      </c>
      <c r="H4701" s="50" t="s">
        <v>60</v>
      </c>
      <c r="I4701" s="41">
        <v>0.1168395</v>
      </c>
      <c r="J4701" s="41" t="s">
        <v>1054</v>
      </c>
      <c r="K4701" s="187" t="s">
        <v>264</v>
      </c>
      <c r="L4701" s="195"/>
      <c r="O4701" s="59">
        <v>0.1</v>
      </c>
    </row>
    <row r="4702" spans="1:15" x14ac:dyDescent="0.2">
      <c r="A4702" s="189">
        <v>350</v>
      </c>
      <c r="B4702" s="232" t="str">
        <f>IF(AND(A4702&lt;&gt;"",ISNUMBER(A4702)),VLOOKUP(A4702,Studies!A:BR,2,FALSE),"")</f>
        <v>Loos 1985</v>
      </c>
      <c r="C4702" s="232" t="str">
        <f>IF(AND(A4702&lt;&gt;"",ISNUMBER(A4702)),VLOOKUP(A4702,Studies!A:BR,3,FALSE),"")</f>
        <v>http://www.ncbi.nlm.nih.gov/pubmed/4087830</v>
      </c>
      <c r="D4702" s="232" t="str">
        <f>IF(AND(A4702&lt;&gt;"",ISNUMBER(A4702)),VLOOKUP(A4702,Studies!A:BR,4,FALSE),"")</f>
        <v>iv day 22 (Patient 4)</v>
      </c>
      <c r="E4702" s="206" t="str">
        <f>IF(AND(A4702&lt;&gt;"",ISNUMBER(A4702)),VLOOKUP(A4702,Studies!A:BR,5,FALSE),"")</f>
        <v>Rifampicin</v>
      </c>
      <c r="F4702" s="207" t="str">
        <f>IF(AND(A4702&lt;&gt;"",ISNUMBER(A4702)),VLOOKUP(A4702,Studies!A:BR,6,FALSE),"")</f>
        <v>Serum</v>
      </c>
      <c r="G4702" s="50">
        <v>504.13</v>
      </c>
      <c r="H4702" s="50" t="s">
        <v>60</v>
      </c>
      <c r="I4702" s="41">
        <v>9.4592290000000006</v>
      </c>
      <c r="J4702" s="41" t="s">
        <v>1054</v>
      </c>
      <c r="K4702" s="187" t="s">
        <v>264</v>
      </c>
      <c r="L4702" s="195"/>
      <c r="O4702" s="59">
        <v>0.1</v>
      </c>
    </row>
    <row r="4703" spans="1:15" x14ac:dyDescent="0.2">
      <c r="A4703" s="189">
        <v>350</v>
      </c>
      <c r="B4703" s="232" t="str">
        <f>IF(AND(A4703&lt;&gt;"",ISNUMBER(A4703)),VLOOKUP(A4703,Studies!A:BR,2,FALSE),"")</f>
        <v>Loos 1985</v>
      </c>
      <c r="C4703" s="232" t="str">
        <f>IF(AND(A4703&lt;&gt;"",ISNUMBER(A4703)),VLOOKUP(A4703,Studies!A:BR,3,FALSE),"")</f>
        <v>http://www.ncbi.nlm.nih.gov/pubmed/4087830</v>
      </c>
      <c r="D4703" s="232" t="str">
        <f>IF(AND(A4703&lt;&gt;"",ISNUMBER(A4703)),VLOOKUP(A4703,Studies!A:BR,4,FALSE),"")</f>
        <v>iv day 22 (Patient 4)</v>
      </c>
      <c r="E4703" s="206" t="str">
        <f>IF(AND(A4703&lt;&gt;"",ISNUMBER(A4703)),VLOOKUP(A4703,Studies!A:BR,5,FALSE),"")</f>
        <v>Rifampicin</v>
      </c>
      <c r="F4703" s="207" t="str">
        <f>IF(AND(A4703&lt;&gt;"",ISNUMBER(A4703)),VLOOKUP(A4703,Studies!A:BR,6,FALSE),"")</f>
        <v>Serum</v>
      </c>
      <c r="G4703" s="50">
        <v>504.25</v>
      </c>
      <c r="H4703" s="50" t="s">
        <v>60</v>
      </c>
      <c r="I4703" s="41">
        <v>17.011220000000002</v>
      </c>
      <c r="J4703" s="41" t="s">
        <v>1054</v>
      </c>
      <c r="K4703" s="187" t="s">
        <v>264</v>
      </c>
      <c r="L4703" s="195"/>
      <c r="O4703" s="59">
        <v>0.1</v>
      </c>
    </row>
    <row r="4704" spans="1:15" x14ac:dyDescent="0.2">
      <c r="A4704" s="189">
        <v>350</v>
      </c>
      <c r="B4704" s="232" t="str">
        <f>IF(AND(A4704&lt;&gt;"",ISNUMBER(A4704)),VLOOKUP(A4704,Studies!A:BR,2,FALSE),"")</f>
        <v>Loos 1985</v>
      </c>
      <c r="C4704" s="232" t="str">
        <f>IF(AND(A4704&lt;&gt;"",ISNUMBER(A4704)),VLOOKUP(A4704,Studies!A:BR,3,FALSE),"")</f>
        <v>http://www.ncbi.nlm.nih.gov/pubmed/4087830</v>
      </c>
      <c r="D4704" s="232" t="str">
        <f>IF(AND(A4704&lt;&gt;"",ISNUMBER(A4704)),VLOOKUP(A4704,Studies!A:BR,4,FALSE),"")</f>
        <v>iv day 22 (Patient 4)</v>
      </c>
      <c r="E4704" s="206" t="str">
        <f>IF(AND(A4704&lt;&gt;"",ISNUMBER(A4704)),VLOOKUP(A4704,Studies!A:BR,5,FALSE),"")</f>
        <v>Rifampicin</v>
      </c>
      <c r="F4704" s="207" t="str">
        <f>IF(AND(A4704&lt;&gt;"",ISNUMBER(A4704)),VLOOKUP(A4704,Studies!A:BR,6,FALSE),"")</f>
        <v>Serum</v>
      </c>
      <c r="G4704" s="50">
        <v>504.5</v>
      </c>
      <c r="H4704" s="50" t="s">
        <v>60</v>
      </c>
      <c r="I4704" s="41">
        <v>23.514279999999999</v>
      </c>
      <c r="J4704" s="41" t="s">
        <v>1054</v>
      </c>
      <c r="K4704" s="187" t="s">
        <v>264</v>
      </c>
      <c r="L4704" s="195"/>
      <c r="O4704" s="59">
        <v>0.1</v>
      </c>
    </row>
    <row r="4705" spans="1:16" x14ac:dyDescent="0.2">
      <c r="A4705" s="189">
        <v>350</v>
      </c>
      <c r="B4705" s="232" t="str">
        <f>IF(AND(A4705&lt;&gt;"",ISNUMBER(A4705)),VLOOKUP(A4705,Studies!A:BR,2,FALSE),"")</f>
        <v>Loos 1985</v>
      </c>
      <c r="C4705" s="232" t="str">
        <f>IF(AND(A4705&lt;&gt;"",ISNUMBER(A4705)),VLOOKUP(A4705,Studies!A:BR,3,FALSE),"")</f>
        <v>http://www.ncbi.nlm.nih.gov/pubmed/4087830</v>
      </c>
      <c r="D4705" s="232" t="str">
        <f>IF(AND(A4705&lt;&gt;"",ISNUMBER(A4705)),VLOOKUP(A4705,Studies!A:BR,4,FALSE),"")</f>
        <v>iv day 22 (Patient 4)</v>
      </c>
      <c r="E4705" s="206" t="str">
        <f>IF(AND(A4705&lt;&gt;"",ISNUMBER(A4705)),VLOOKUP(A4705,Studies!A:BR,5,FALSE),"")</f>
        <v>Rifampicin</v>
      </c>
      <c r="F4705" s="207" t="str">
        <f>IF(AND(A4705&lt;&gt;"",ISNUMBER(A4705)),VLOOKUP(A4705,Studies!A:BR,6,FALSE),"")</f>
        <v>Serum</v>
      </c>
      <c r="G4705" s="50">
        <v>504.75</v>
      </c>
      <c r="H4705" s="50" t="s">
        <v>60</v>
      </c>
      <c r="I4705" s="41">
        <v>27.818149999999999</v>
      </c>
      <c r="J4705" s="41" t="s">
        <v>1054</v>
      </c>
      <c r="K4705" s="187" t="s">
        <v>264</v>
      </c>
      <c r="L4705" s="195"/>
      <c r="O4705" s="59">
        <v>0.1</v>
      </c>
    </row>
    <row r="4706" spans="1:16" x14ac:dyDescent="0.2">
      <c r="A4706" s="189">
        <v>350</v>
      </c>
      <c r="B4706" s="232" t="str">
        <f>IF(AND(A4706&lt;&gt;"",ISNUMBER(A4706)),VLOOKUP(A4706,Studies!A:BR,2,FALSE),"")</f>
        <v>Loos 1985</v>
      </c>
      <c r="C4706" s="232" t="str">
        <f>IF(AND(A4706&lt;&gt;"",ISNUMBER(A4706)),VLOOKUP(A4706,Studies!A:BR,3,FALSE),"")</f>
        <v>http://www.ncbi.nlm.nih.gov/pubmed/4087830</v>
      </c>
      <c r="D4706" s="232" t="str">
        <f>IF(AND(A4706&lt;&gt;"",ISNUMBER(A4706)),VLOOKUP(A4706,Studies!A:BR,4,FALSE),"")</f>
        <v>iv day 22 (Patient 4)</v>
      </c>
      <c r="E4706" s="206" t="str">
        <f>IF(AND(A4706&lt;&gt;"",ISNUMBER(A4706)),VLOOKUP(A4706,Studies!A:BR,5,FALSE),"")</f>
        <v>Rifampicin</v>
      </c>
      <c r="F4706" s="207" t="str">
        <f>IF(AND(A4706&lt;&gt;"",ISNUMBER(A4706)),VLOOKUP(A4706,Studies!A:BR,6,FALSE),"")</f>
        <v>Serum</v>
      </c>
      <c r="G4706" s="50">
        <v>505</v>
      </c>
      <c r="H4706" s="50" t="s">
        <v>60</v>
      </c>
      <c r="I4706" s="41">
        <v>30.264980000000001</v>
      </c>
      <c r="J4706" s="41" t="s">
        <v>1054</v>
      </c>
      <c r="K4706" s="187" t="s">
        <v>264</v>
      </c>
      <c r="L4706" s="195"/>
      <c r="O4706" s="59">
        <v>0.1</v>
      </c>
    </row>
    <row r="4707" spans="1:16" x14ac:dyDescent="0.2">
      <c r="A4707" s="189">
        <v>350</v>
      </c>
      <c r="B4707" s="232" t="str">
        <f>IF(AND(A4707&lt;&gt;"",ISNUMBER(A4707)),VLOOKUP(A4707,Studies!A:BR,2,FALSE),"")</f>
        <v>Loos 1985</v>
      </c>
      <c r="C4707" s="232" t="str">
        <f>IF(AND(A4707&lt;&gt;"",ISNUMBER(A4707)),VLOOKUP(A4707,Studies!A:BR,3,FALSE),"")</f>
        <v>http://www.ncbi.nlm.nih.gov/pubmed/4087830</v>
      </c>
      <c r="D4707" s="232" t="str">
        <f>IF(AND(A4707&lt;&gt;"",ISNUMBER(A4707)),VLOOKUP(A4707,Studies!A:BR,4,FALSE),"")</f>
        <v>iv day 22 (Patient 4)</v>
      </c>
      <c r="E4707" s="206" t="str">
        <f>IF(AND(A4707&lt;&gt;"",ISNUMBER(A4707)),VLOOKUP(A4707,Studies!A:BR,5,FALSE),"")</f>
        <v>Rifampicin</v>
      </c>
      <c r="F4707" s="207" t="str">
        <f>IF(AND(A4707&lt;&gt;"",ISNUMBER(A4707)),VLOOKUP(A4707,Studies!A:BR,6,FALSE),"")</f>
        <v>Serum</v>
      </c>
      <c r="G4707" s="50">
        <v>505.33</v>
      </c>
      <c r="H4707" s="50" t="s">
        <v>60</v>
      </c>
      <c r="I4707" s="41">
        <v>18.317270000000001</v>
      </c>
      <c r="J4707" s="41" t="s">
        <v>1054</v>
      </c>
      <c r="K4707" s="187" t="s">
        <v>264</v>
      </c>
      <c r="L4707" s="195"/>
      <c r="O4707" s="59">
        <v>0.1</v>
      </c>
    </row>
    <row r="4708" spans="1:16" x14ac:dyDescent="0.2">
      <c r="A4708" s="189">
        <v>350</v>
      </c>
      <c r="B4708" s="232" t="str">
        <f>IF(AND(A4708&lt;&gt;"",ISNUMBER(A4708)),VLOOKUP(A4708,Studies!A:BR,2,FALSE),"")</f>
        <v>Loos 1985</v>
      </c>
      <c r="C4708" s="232" t="str">
        <f>IF(AND(A4708&lt;&gt;"",ISNUMBER(A4708)),VLOOKUP(A4708,Studies!A:BR,3,FALSE),"")</f>
        <v>http://www.ncbi.nlm.nih.gov/pubmed/4087830</v>
      </c>
      <c r="D4708" s="232" t="str">
        <f>IF(AND(A4708&lt;&gt;"",ISNUMBER(A4708)),VLOOKUP(A4708,Studies!A:BR,4,FALSE),"")</f>
        <v>iv day 22 (Patient 4)</v>
      </c>
      <c r="E4708" s="206" t="str">
        <f>IF(AND(A4708&lt;&gt;"",ISNUMBER(A4708)),VLOOKUP(A4708,Studies!A:BR,5,FALSE),"")</f>
        <v>Rifampicin</v>
      </c>
      <c r="F4708" s="207" t="str">
        <f>IF(AND(A4708&lt;&gt;"",ISNUMBER(A4708)),VLOOKUP(A4708,Studies!A:BR,6,FALSE),"")</f>
        <v>Serum</v>
      </c>
      <c r="G4708" s="50">
        <v>505.67</v>
      </c>
      <c r="H4708" s="50" t="s">
        <v>60</v>
      </c>
      <c r="I4708" s="41">
        <v>13.751720000000001</v>
      </c>
      <c r="J4708" s="41" t="s">
        <v>1054</v>
      </c>
      <c r="K4708" s="187" t="s">
        <v>264</v>
      </c>
      <c r="L4708" s="195"/>
      <c r="O4708" s="59">
        <v>0.1</v>
      </c>
    </row>
    <row r="4709" spans="1:16" x14ac:dyDescent="0.2">
      <c r="A4709" s="189">
        <v>350</v>
      </c>
      <c r="B4709" s="232" t="str">
        <f>IF(AND(A4709&lt;&gt;"",ISNUMBER(A4709)),VLOOKUP(A4709,Studies!A:BR,2,FALSE),"")</f>
        <v>Loos 1985</v>
      </c>
      <c r="C4709" s="232" t="str">
        <f>IF(AND(A4709&lt;&gt;"",ISNUMBER(A4709)),VLOOKUP(A4709,Studies!A:BR,3,FALSE),"")</f>
        <v>http://www.ncbi.nlm.nih.gov/pubmed/4087830</v>
      </c>
      <c r="D4709" s="232" t="str">
        <f>IF(AND(A4709&lt;&gt;"",ISNUMBER(A4709)),VLOOKUP(A4709,Studies!A:BR,4,FALSE),"")</f>
        <v>iv day 22 (Patient 4)</v>
      </c>
      <c r="E4709" s="206" t="str">
        <f>IF(AND(A4709&lt;&gt;"",ISNUMBER(A4709)),VLOOKUP(A4709,Studies!A:BR,5,FALSE),"")</f>
        <v>Rifampicin</v>
      </c>
      <c r="F4709" s="207" t="str">
        <f>IF(AND(A4709&lt;&gt;"",ISNUMBER(A4709)),VLOOKUP(A4709,Studies!A:BR,6,FALSE),"")</f>
        <v>Serum</v>
      </c>
      <c r="G4709" s="50">
        <v>506</v>
      </c>
      <c r="H4709" s="50" t="s">
        <v>60</v>
      </c>
      <c r="I4709" s="41">
        <v>12.96128</v>
      </c>
      <c r="J4709" s="41" t="s">
        <v>1054</v>
      </c>
      <c r="K4709" s="187" t="s">
        <v>264</v>
      </c>
      <c r="L4709" s="195"/>
      <c r="O4709" s="59">
        <v>0.1</v>
      </c>
    </row>
    <row r="4710" spans="1:16" x14ac:dyDescent="0.2">
      <c r="A4710" s="189">
        <v>350</v>
      </c>
      <c r="B4710" s="232" t="str">
        <f>IF(AND(A4710&lt;&gt;"",ISNUMBER(A4710)),VLOOKUP(A4710,Studies!A:BR,2,FALSE),"")</f>
        <v>Loos 1985</v>
      </c>
      <c r="C4710" s="232" t="str">
        <f>IF(AND(A4710&lt;&gt;"",ISNUMBER(A4710)),VLOOKUP(A4710,Studies!A:BR,3,FALSE),"")</f>
        <v>http://www.ncbi.nlm.nih.gov/pubmed/4087830</v>
      </c>
      <c r="D4710" s="232" t="str">
        <f>IF(AND(A4710&lt;&gt;"",ISNUMBER(A4710)),VLOOKUP(A4710,Studies!A:BR,4,FALSE),"")</f>
        <v>iv day 22 (Patient 4)</v>
      </c>
      <c r="E4710" s="206" t="str">
        <f>IF(AND(A4710&lt;&gt;"",ISNUMBER(A4710)),VLOOKUP(A4710,Studies!A:BR,5,FALSE),"")</f>
        <v>Rifampicin</v>
      </c>
      <c r="F4710" s="207" t="str">
        <f>IF(AND(A4710&lt;&gt;"",ISNUMBER(A4710)),VLOOKUP(A4710,Studies!A:BR,6,FALSE),"")</f>
        <v>Serum</v>
      </c>
      <c r="G4710" s="50">
        <v>508</v>
      </c>
      <c r="H4710" s="50" t="s">
        <v>60</v>
      </c>
      <c r="I4710" s="41">
        <v>7.413386</v>
      </c>
      <c r="J4710" s="41" t="s">
        <v>1054</v>
      </c>
      <c r="K4710" s="187" t="s">
        <v>264</v>
      </c>
      <c r="L4710" s="195"/>
      <c r="O4710" s="59">
        <v>0.1</v>
      </c>
    </row>
    <row r="4711" spans="1:16" x14ac:dyDescent="0.2">
      <c r="A4711" s="189">
        <v>350</v>
      </c>
      <c r="B4711" s="232" t="str">
        <f>IF(AND(A4711&lt;&gt;"",ISNUMBER(A4711)),VLOOKUP(A4711,Studies!A:BR,2,FALSE),"")</f>
        <v>Loos 1985</v>
      </c>
      <c r="C4711" s="232" t="str">
        <f>IF(AND(A4711&lt;&gt;"",ISNUMBER(A4711)),VLOOKUP(A4711,Studies!A:BR,3,FALSE),"")</f>
        <v>http://www.ncbi.nlm.nih.gov/pubmed/4087830</v>
      </c>
      <c r="D4711" s="232" t="str">
        <f>IF(AND(A4711&lt;&gt;"",ISNUMBER(A4711)),VLOOKUP(A4711,Studies!A:BR,4,FALSE),"")</f>
        <v>iv day 22 (Patient 4)</v>
      </c>
      <c r="E4711" s="206" t="str">
        <f>IF(AND(A4711&lt;&gt;"",ISNUMBER(A4711)),VLOOKUP(A4711,Studies!A:BR,5,FALSE),"")</f>
        <v>Rifampicin</v>
      </c>
      <c r="F4711" s="207" t="str">
        <f>IF(AND(A4711&lt;&gt;"",ISNUMBER(A4711)),VLOOKUP(A4711,Studies!A:BR,6,FALSE),"")</f>
        <v>Serum</v>
      </c>
      <c r="G4711" s="50">
        <v>510</v>
      </c>
      <c r="H4711" s="50" t="s">
        <v>60</v>
      </c>
      <c r="I4711" s="41">
        <v>1.5144120000000001</v>
      </c>
      <c r="J4711" s="41" t="s">
        <v>1054</v>
      </c>
      <c r="K4711" s="187" t="s">
        <v>264</v>
      </c>
      <c r="L4711" s="195"/>
      <c r="O4711" s="59">
        <v>0.1</v>
      </c>
    </row>
    <row r="4712" spans="1:16" x14ac:dyDescent="0.2">
      <c r="A4712" s="189">
        <v>350</v>
      </c>
      <c r="B4712" s="232" t="str">
        <f>IF(AND(A4712&lt;&gt;"",ISNUMBER(A4712)),VLOOKUP(A4712,Studies!A:BR,2,FALSE),"")</f>
        <v>Loos 1985</v>
      </c>
      <c r="C4712" s="232" t="str">
        <f>IF(AND(A4712&lt;&gt;"",ISNUMBER(A4712)),VLOOKUP(A4712,Studies!A:BR,3,FALSE),"")</f>
        <v>http://www.ncbi.nlm.nih.gov/pubmed/4087830</v>
      </c>
      <c r="D4712" s="232" t="str">
        <f>IF(AND(A4712&lt;&gt;"",ISNUMBER(A4712)),VLOOKUP(A4712,Studies!A:BR,4,FALSE),"")</f>
        <v>iv day 22 (Patient 4)</v>
      </c>
      <c r="E4712" s="206" t="str">
        <f>IF(AND(A4712&lt;&gt;"",ISNUMBER(A4712)),VLOOKUP(A4712,Studies!A:BR,5,FALSE),"")</f>
        <v>Rifampicin</v>
      </c>
      <c r="F4712" s="207" t="str">
        <f>IF(AND(A4712&lt;&gt;"",ISNUMBER(A4712)),VLOOKUP(A4712,Studies!A:BR,6,FALSE),"")</f>
        <v>Serum</v>
      </c>
      <c r="G4712" s="50">
        <v>512</v>
      </c>
      <c r="H4712" s="50" t="s">
        <v>60</v>
      </c>
      <c r="I4712" s="41">
        <v>0.30203219999999997</v>
      </c>
      <c r="J4712" s="41" t="s">
        <v>1054</v>
      </c>
      <c r="K4712" s="187" t="s">
        <v>264</v>
      </c>
      <c r="L4712" s="195"/>
      <c r="O4712" s="59">
        <v>0.1</v>
      </c>
    </row>
    <row r="4713" spans="1:16" x14ac:dyDescent="0.2">
      <c r="A4713" s="189">
        <v>104</v>
      </c>
      <c r="B4713" s="232" t="str">
        <f>IF(AND(A4713&lt;&gt;"",ISNUMBER(A4713)),VLOOKUP(A4713,Studies!A:BR,2,FALSE),"")</f>
        <v>Bornemann 1986</v>
      </c>
      <c r="C4713" s="232" t="str">
        <f>IF(AND(A4713&lt;&gt;"",ISNUMBER(A4713)),VLOOKUP(A4713,Studies!A:BR,3,FALSE),"")</f>
        <v>https://www.ncbi.nlm.nih.gov/pubmed/2936766</v>
      </c>
      <c r="D4713" s="232" t="str">
        <f>IF(AND(A4713&lt;&gt;"",ISNUMBER(A4713)),VLOOKUP(A4713,Studies!A:BR,4,FALSE),"")</f>
        <v>1 h after a meal</v>
      </c>
      <c r="E4713" s="206" t="str">
        <f>IF(AND(A4713&lt;&gt;"",ISNUMBER(A4713)),VLOOKUP(A4713,Studies!A:BR,5,FALSE),"")</f>
        <v>Midazolam</v>
      </c>
      <c r="F4713" s="207" t="str">
        <f>IF(AND(A4713&lt;&gt;"",ISNUMBER(A4713)),VLOOKUP(A4713,Studies!A:BR,6,FALSE),"")</f>
        <v>Plasma</v>
      </c>
      <c r="G4713" s="50">
        <v>1.5</v>
      </c>
      <c r="H4713" s="50" t="s">
        <v>60</v>
      </c>
      <c r="I4713" s="41">
        <v>17.007449999999999</v>
      </c>
      <c r="J4713" s="41" t="s">
        <v>1026</v>
      </c>
      <c r="K4713" s="41" t="s">
        <v>116</v>
      </c>
      <c r="O4713" s="59">
        <v>2</v>
      </c>
      <c r="P4713" s="42" t="s">
        <v>1456</v>
      </c>
    </row>
    <row r="4714" spans="1:16" x14ac:dyDescent="0.2">
      <c r="A4714" s="189">
        <v>104</v>
      </c>
      <c r="B4714" s="232" t="str">
        <f>IF(AND(A4714&lt;&gt;"",ISNUMBER(A4714)),VLOOKUP(A4714,Studies!A:BR,2,FALSE),"")</f>
        <v>Bornemann 1986</v>
      </c>
      <c r="C4714" s="232" t="str">
        <f>IF(AND(A4714&lt;&gt;"",ISNUMBER(A4714)),VLOOKUP(A4714,Studies!A:BR,3,FALSE),"")</f>
        <v>https://www.ncbi.nlm.nih.gov/pubmed/2936766</v>
      </c>
      <c r="D4714" s="232" t="str">
        <f>IF(AND(A4714&lt;&gt;"",ISNUMBER(A4714)),VLOOKUP(A4714,Studies!A:BR,4,FALSE),"")</f>
        <v>1 h after a meal</v>
      </c>
      <c r="E4714" s="206" t="str">
        <f>IF(AND(A4714&lt;&gt;"",ISNUMBER(A4714)),VLOOKUP(A4714,Studies!A:BR,5,FALSE),"")</f>
        <v>Midazolam</v>
      </c>
      <c r="F4714" s="207" t="str">
        <f>IF(AND(A4714&lt;&gt;"",ISNUMBER(A4714)),VLOOKUP(A4714,Studies!A:BR,6,FALSE),"")</f>
        <v>Plasma</v>
      </c>
      <c r="G4714" s="50">
        <v>1.75</v>
      </c>
      <c r="H4714" s="50" t="s">
        <v>60</v>
      </c>
      <c r="I4714" s="41">
        <v>26.760590000000001</v>
      </c>
      <c r="J4714" s="41" t="s">
        <v>1026</v>
      </c>
      <c r="K4714" s="41" t="s">
        <v>116</v>
      </c>
      <c r="L4714" s="195"/>
      <c r="O4714" s="199">
        <v>2</v>
      </c>
    </row>
    <row r="4715" spans="1:16" x14ac:dyDescent="0.2">
      <c r="A4715" s="189">
        <v>104</v>
      </c>
      <c r="B4715" s="232" t="str">
        <f>IF(AND(A4715&lt;&gt;"",ISNUMBER(A4715)),VLOOKUP(A4715,Studies!A:BR,2,FALSE),"")</f>
        <v>Bornemann 1986</v>
      </c>
      <c r="C4715" s="232" t="str">
        <f>IF(AND(A4715&lt;&gt;"",ISNUMBER(A4715)),VLOOKUP(A4715,Studies!A:BR,3,FALSE),"")</f>
        <v>https://www.ncbi.nlm.nih.gov/pubmed/2936766</v>
      </c>
      <c r="D4715" s="232" t="str">
        <f>IF(AND(A4715&lt;&gt;"",ISNUMBER(A4715)),VLOOKUP(A4715,Studies!A:BR,4,FALSE),"")</f>
        <v>1 h after a meal</v>
      </c>
      <c r="E4715" s="206" t="str">
        <f>IF(AND(A4715&lt;&gt;"",ISNUMBER(A4715)),VLOOKUP(A4715,Studies!A:BR,5,FALSE),"")</f>
        <v>Midazolam</v>
      </c>
      <c r="F4715" s="207" t="str">
        <f>IF(AND(A4715&lt;&gt;"",ISNUMBER(A4715)),VLOOKUP(A4715,Studies!A:BR,6,FALSE),"")</f>
        <v>Plasma</v>
      </c>
      <c r="G4715" s="50">
        <v>2</v>
      </c>
      <c r="H4715" s="50" t="s">
        <v>60</v>
      </c>
      <c r="I4715" s="41">
        <v>32.627830000000003</v>
      </c>
      <c r="J4715" s="41" t="s">
        <v>1026</v>
      </c>
      <c r="K4715" s="41" t="s">
        <v>116</v>
      </c>
      <c r="L4715" s="195"/>
      <c r="O4715" s="199">
        <v>2</v>
      </c>
    </row>
    <row r="4716" spans="1:16" x14ac:dyDescent="0.2">
      <c r="A4716" s="189">
        <v>104</v>
      </c>
      <c r="B4716" s="232" t="str">
        <f>IF(AND(A4716&lt;&gt;"",ISNUMBER(A4716)),VLOOKUP(A4716,Studies!A:BR,2,FALSE),"")</f>
        <v>Bornemann 1986</v>
      </c>
      <c r="C4716" s="232" t="str">
        <f>IF(AND(A4716&lt;&gt;"",ISNUMBER(A4716)),VLOOKUP(A4716,Studies!A:BR,3,FALSE),"")</f>
        <v>https://www.ncbi.nlm.nih.gov/pubmed/2936766</v>
      </c>
      <c r="D4716" s="232" t="str">
        <f>IF(AND(A4716&lt;&gt;"",ISNUMBER(A4716)),VLOOKUP(A4716,Studies!A:BR,4,FALSE),"")</f>
        <v>1 h after a meal</v>
      </c>
      <c r="E4716" s="206" t="str">
        <f>IF(AND(A4716&lt;&gt;"",ISNUMBER(A4716)),VLOOKUP(A4716,Studies!A:BR,5,FALSE),"")</f>
        <v>Midazolam</v>
      </c>
      <c r="F4716" s="207" t="str">
        <f>IF(AND(A4716&lt;&gt;"",ISNUMBER(A4716)),VLOOKUP(A4716,Studies!A:BR,6,FALSE),"")</f>
        <v>Plasma</v>
      </c>
      <c r="G4716" s="50">
        <v>2.25</v>
      </c>
      <c r="H4716" s="50" t="s">
        <v>60</v>
      </c>
      <c r="I4716" s="41">
        <v>35.018000000000001</v>
      </c>
      <c r="J4716" s="41" t="s">
        <v>1026</v>
      </c>
      <c r="K4716" s="41" t="s">
        <v>116</v>
      </c>
      <c r="L4716" s="195"/>
      <c r="O4716" s="199">
        <v>2</v>
      </c>
    </row>
    <row r="4717" spans="1:16" x14ac:dyDescent="0.2">
      <c r="A4717" s="189">
        <v>104</v>
      </c>
      <c r="B4717" s="232" t="str">
        <f>IF(AND(A4717&lt;&gt;"",ISNUMBER(A4717)),VLOOKUP(A4717,Studies!A:BR,2,FALSE),"")</f>
        <v>Bornemann 1986</v>
      </c>
      <c r="C4717" s="232" t="str">
        <f>IF(AND(A4717&lt;&gt;"",ISNUMBER(A4717)),VLOOKUP(A4717,Studies!A:BR,3,FALSE),"")</f>
        <v>https://www.ncbi.nlm.nih.gov/pubmed/2936766</v>
      </c>
      <c r="D4717" s="232" t="str">
        <f>IF(AND(A4717&lt;&gt;"",ISNUMBER(A4717)),VLOOKUP(A4717,Studies!A:BR,4,FALSE),"")</f>
        <v>1 h after a meal</v>
      </c>
      <c r="E4717" s="206" t="str">
        <f>IF(AND(A4717&lt;&gt;"",ISNUMBER(A4717)),VLOOKUP(A4717,Studies!A:BR,5,FALSE),"")</f>
        <v>Midazolam</v>
      </c>
      <c r="F4717" s="207" t="str">
        <f>IF(AND(A4717&lt;&gt;"",ISNUMBER(A4717)),VLOOKUP(A4717,Studies!A:BR,6,FALSE),"")</f>
        <v>Plasma</v>
      </c>
      <c r="G4717" s="50">
        <v>2.5</v>
      </c>
      <c r="H4717" s="50" t="s">
        <v>60</v>
      </c>
      <c r="I4717" s="41">
        <v>35.013060000000003</v>
      </c>
      <c r="J4717" s="41" t="s">
        <v>1026</v>
      </c>
      <c r="K4717" s="41" t="s">
        <v>116</v>
      </c>
      <c r="L4717" s="195"/>
      <c r="O4717" s="199">
        <v>2</v>
      </c>
    </row>
    <row r="4718" spans="1:16" x14ac:dyDescent="0.2">
      <c r="A4718" s="189">
        <v>104</v>
      </c>
      <c r="B4718" s="232" t="str">
        <f>IF(AND(A4718&lt;&gt;"",ISNUMBER(A4718)),VLOOKUP(A4718,Studies!A:BR,2,FALSE),"")</f>
        <v>Bornemann 1986</v>
      </c>
      <c r="C4718" s="232" t="str">
        <f>IF(AND(A4718&lt;&gt;"",ISNUMBER(A4718)),VLOOKUP(A4718,Studies!A:BR,3,FALSE),"")</f>
        <v>https://www.ncbi.nlm.nih.gov/pubmed/2936766</v>
      </c>
      <c r="D4718" s="232" t="str">
        <f>IF(AND(A4718&lt;&gt;"",ISNUMBER(A4718)),VLOOKUP(A4718,Studies!A:BR,4,FALSE),"")</f>
        <v>1 h after a meal</v>
      </c>
      <c r="E4718" s="206" t="str">
        <f>IF(AND(A4718&lt;&gt;"",ISNUMBER(A4718)),VLOOKUP(A4718,Studies!A:BR,5,FALSE),"")</f>
        <v>Midazolam</v>
      </c>
      <c r="F4718" s="207" t="str">
        <f>IF(AND(A4718&lt;&gt;"",ISNUMBER(A4718)),VLOOKUP(A4718,Studies!A:BR,6,FALSE),"")</f>
        <v>Plasma</v>
      </c>
      <c r="G4718" s="50">
        <v>3</v>
      </c>
      <c r="H4718" s="50" t="s">
        <v>60</v>
      </c>
      <c r="I4718" s="41">
        <v>36.008949999999999</v>
      </c>
      <c r="J4718" s="41" t="s">
        <v>1026</v>
      </c>
      <c r="K4718" s="41" t="s">
        <v>116</v>
      </c>
      <c r="L4718" s="195"/>
      <c r="O4718" s="199">
        <v>2</v>
      </c>
    </row>
    <row r="4719" spans="1:16" x14ac:dyDescent="0.2">
      <c r="A4719" s="189">
        <v>104</v>
      </c>
      <c r="B4719" s="232" t="str">
        <f>IF(AND(A4719&lt;&gt;"",ISNUMBER(A4719)),VLOOKUP(A4719,Studies!A:BR,2,FALSE),"")</f>
        <v>Bornemann 1986</v>
      </c>
      <c r="C4719" s="232" t="str">
        <f>IF(AND(A4719&lt;&gt;"",ISNUMBER(A4719)),VLOOKUP(A4719,Studies!A:BR,3,FALSE),"")</f>
        <v>https://www.ncbi.nlm.nih.gov/pubmed/2936766</v>
      </c>
      <c r="D4719" s="232" t="str">
        <f>IF(AND(A4719&lt;&gt;"",ISNUMBER(A4719)),VLOOKUP(A4719,Studies!A:BR,4,FALSE),"")</f>
        <v>1 h after a meal</v>
      </c>
      <c r="E4719" s="206" t="str">
        <f>IF(AND(A4719&lt;&gt;"",ISNUMBER(A4719)),VLOOKUP(A4719,Studies!A:BR,5,FALSE),"")</f>
        <v>Midazolam</v>
      </c>
      <c r="F4719" s="207" t="str">
        <f>IF(AND(A4719&lt;&gt;"",ISNUMBER(A4719)),VLOOKUP(A4719,Studies!A:BR,6,FALSE),"")</f>
        <v>Plasma</v>
      </c>
      <c r="G4719" s="50">
        <v>4</v>
      </c>
      <c r="H4719" s="50" t="s">
        <v>60</v>
      </c>
      <c r="I4719" s="41">
        <v>28.890979999999999</v>
      </c>
      <c r="J4719" s="41" t="s">
        <v>1026</v>
      </c>
      <c r="K4719" s="41" t="s">
        <v>116</v>
      </c>
      <c r="L4719" s="195"/>
      <c r="O4719" s="199">
        <v>2</v>
      </c>
    </row>
    <row r="4720" spans="1:16" x14ac:dyDescent="0.2">
      <c r="A4720" s="189">
        <v>104</v>
      </c>
      <c r="B4720" s="232" t="str">
        <f>IF(AND(A4720&lt;&gt;"",ISNUMBER(A4720)),VLOOKUP(A4720,Studies!A:BR,2,FALSE),"")</f>
        <v>Bornemann 1986</v>
      </c>
      <c r="C4720" s="232" t="str">
        <f>IF(AND(A4720&lt;&gt;"",ISNUMBER(A4720)),VLOOKUP(A4720,Studies!A:BR,3,FALSE),"")</f>
        <v>https://www.ncbi.nlm.nih.gov/pubmed/2936766</v>
      </c>
      <c r="D4720" s="232" t="str">
        <f>IF(AND(A4720&lt;&gt;"",ISNUMBER(A4720)),VLOOKUP(A4720,Studies!A:BR,4,FALSE),"")</f>
        <v>1 h after a meal</v>
      </c>
      <c r="E4720" s="206" t="str">
        <f>IF(AND(A4720&lt;&gt;"",ISNUMBER(A4720)),VLOOKUP(A4720,Studies!A:BR,5,FALSE),"")</f>
        <v>Midazolam</v>
      </c>
      <c r="F4720" s="207" t="str">
        <f>IF(AND(A4720&lt;&gt;"",ISNUMBER(A4720)),VLOOKUP(A4720,Studies!A:BR,6,FALSE),"")</f>
        <v>Plasma</v>
      </c>
      <c r="G4720" s="50">
        <v>5</v>
      </c>
      <c r="H4720" s="50" t="s">
        <v>60</v>
      </c>
      <c r="I4720" s="41">
        <v>24.88269</v>
      </c>
      <c r="J4720" s="41" t="s">
        <v>1026</v>
      </c>
      <c r="K4720" s="41" t="s">
        <v>116</v>
      </c>
      <c r="L4720" s="195"/>
      <c r="O4720" s="199">
        <v>2</v>
      </c>
    </row>
    <row r="4721" spans="1:15" x14ac:dyDescent="0.2">
      <c r="A4721" s="189">
        <v>104</v>
      </c>
      <c r="B4721" s="232" t="str">
        <f>IF(AND(A4721&lt;&gt;"",ISNUMBER(A4721)),VLOOKUP(A4721,Studies!A:BR,2,FALSE),"")</f>
        <v>Bornemann 1986</v>
      </c>
      <c r="C4721" s="232" t="str">
        <f>IF(AND(A4721&lt;&gt;"",ISNUMBER(A4721)),VLOOKUP(A4721,Studies!A:BR,3,FALSE),"")</f>
        <v>https://www.ncbi.nlm.nih.gov/pubmed/2936766</v>
      </c>
      <c r="D4721" s="232" t="str">
        <f>IF(AND(A4721&lt;&gt;"",ISNUMBER(A4721)),VLOOKUP(A4721,Studies!A:BR,4,FALSE),"")</f>
        <v>1 h after a meal</v>
      </c>
      <c r="E4721" s="206" t="str">
        <f>IF(AND(A4721&lt;&gt;"",ISNUMBER(A4721)),VLOOKUP(A4721,Studies!A:BR,5,FALSE),"")</f>
        <v>Midazolam</v>
      </c>
      <c r="F4721" s="207" t="str">
        <f>IF(AND(A4721&lt;&gt;"",ISNUMBER(A4721)),VLOOKUP(A4721,Studies!A:BR,6,FALSE),"")</f>
        <v>Plasma</v>
      </c>
      <c r="G4721" s="50">
        <v>6</v>
      </c>
      <c r="H4721" s="50" t="s">
        <v>60</v>
      </c>
      <c r="I4721" s="41">
        <v>13.61774</v>
      </c>
      <c r="J4721" s="41" t="s">
        <v>1026</v>
      </c>
      <c r="K4721" s="41" t="s">
        <v>116</v>
      </c>
      <c r="L4721" s="195"/>
      <c r="O4721" s="199">
        <v>2</v>
      </c>
    </row>
    <row r="4722" spans="1:15" x14ac:dyDescent="0.2">
      <c r="A4722" s="189">
        <v>104</v>
      </c>
      <c r="B4722" s="232" t="str">
        <f>IF(AND(A4722&lt;&gt;"",ISNUMBER(A4722)),VLOOKUP(A4722,Studies!A:BR,2,FALSE),"")</f>
        <v>Bornemann 1986</v>
      </c>
      <c r="C4722" s="232" t="str">
        <f>IF(AND(A4722&lt;&gt;"",ISNUMBER(A4722)),VLOOKUP(A4722,Studies!A:BR,3,FALSE),"")</f>
        <v>https://www.ncbi.nlm.nih.gov/pubmed/2936766</v>
      </c>
      <c r="D4722" s="232" t="str">
        <f>IF(AND(A4722&lt;&gt;"",ISNUMBER(A4722)),VLOOKUP(A4722,Studies!A:BR,4,FALSE),"")</f>
        <v>1 h after a meal</v>
      </c>
      <c r="E4722" s="206" t="str">
        <f>IF(AND(A4722&lt;&gt;"",ISNUMBER(A4722)),VLOOKUP(A4722,Studies!A:BR,5,FALSE),"")</f>
        <v>Midazolam</v>
      </c>
      <c r="F4722" s="207" t="str">
        <f>IF(AND(A4722&lt;&gt;"",ISNUMBER(A4722)),VLOOKUP(A4722,Studies!A:BR,6,FALSE),"")</f>
        <v>Plasma</v>
      </c>
      <c r="G4722" s="50">
        <v>7</v>
      </c>
      <c r="H4722" s="50" t="s">
        <v>60</v>
      </c>
      <c r="I4722" s="41">
        <v>10.25107</v>
      </c>
      <c r="J4722" s="41" t="s">
        <v>1026</v>
      </c>
      <c r="K4722" s="41" t="s">
        <v>116</v>
      </c>
      <c r="L4722" s="195"/>
      <c r="O4722" s="199">
        <v>2</v>
      </c>
    </row>
    <row r="4723" spans="1:15" x14ac:dyDescent="0.2">
      <c r="A4723" s="189">
        <v>104</v>
      </c>
      <c r="B4723" s="232" t="str">
        <f>IF(AND(A4723&lt;&gt;"",ISNUMBER(A4723)),VLOOKUP(A4723,Studies!A:BR,2,FALSE),"")</f>
        <v>Bornemann 1986</v>
      </c>
      <c r="C4723" s="232" t="str">
        <f>IF(AND(A4723&lt;&gt;"",ISNUMBER(A4723)),VLOOKUP(A4723,Studies!A:BR,3,FALSE),"")</f>
        <v>https://www.ncbi.nlm.nih.gov/pubmed/2936766</v>
      </c>
      <c r="D4723" s="232" t="str">
        <f>IF(AND(A4723&lt;&gt;"",ISNUMBER(A4723)),VLOOKUP(A4723,Studies!A:BR,4,FALSE),"")</f>
        <v>1 h after a meal</v>
      </c>
      <c r="E4723" s="206" t="str">
        <f>IF(AND(A4723&lt;&gt;"",ISNUMBER(A4723)),VLOOKUP(A4723,Studies!A:BR,5,FALSE),"")</f>
        <v>Midazolam</v>
      </c>
      <c r="F4723" s="207" t="str">
        <f>IF(AND(A4723&lt;&gt;"",ISNUMBER(A4723)),VLOOKUP(A4723,Studies!A:BR,6,FALSE),"")</f>
        <v>Plasma</v>
      </c>
      <c r="G4723" s="50">
        <v>8</v>
      </c>
      <c r="H4723" s="50" t="s">
        <v>60</v>
      </c>
      <c r="I4723" s="41">
        <v>6.510167</v>
      </c>
      <c r="J4723" s="41" t="s">
        <v>1026</v>
      </c>
      <c r="K4723" s="41" t="s">
        <v>116</v>
      </c>
      <c r="L4723" s="195"/>
      <c r="O4723" s="199">
        <v>2</v>
      </c>
    </row>
    <row r="4724" spans="1:15" x14ac:dyDescent="0.2">
      <c r="A4724" s="189">
        <v>104</v>
      </c>
      <c r="B4724" s="232" t="str">
        <f>IF(AND(A4724&lt;&gt;"",ISNUMBER(A4724)),VLOOKUP(A4724,Studies!A:BR,2,FALSE),"")</f>
        <v>Bornemann 1986</v>
      </c>
      <c r="C4724" s="232" t="str">
        <f>IF(AND(A4724&lt;&gt;"",ISNUMBER(A4724)),VLOOKUP(A4724,Studies!A:BR,3,FALSE),"")</f>
        <v>https://www.ncbi.nlm.nih.gov/pubmed/2936766</v>
      </c>
      <c r="D4724" s="232" t="str">
        <f>IF(AND(A4724&lt;&gt;"",ISNUMBER(A4724)),VLOOKUP(A4724,Studies!A:BR,4,FALSE),"")</f>
        <v>1 h after a meal</v>
      </c>
      <c r="E4724" s="206" t="str">
        <f>IF(AND(A4724&lt;&gt;"",ISNUMBER(A4724)),VLOOKUP(A4724,Studies!A:BR,5,FALSE),"")</f>
        <v>Midazolam</v>
      </c>
      <c r="F4724" s="207" t="str">
        <f>IF(AND(A4724&lt;&gt;"",ISNUMBER(A4724)),VLOOKUP(A4724,Studies!A:BR,6,FALSE),"")</f>
        <v>Plasma</v>
      </c>
      <c r="G4724" s="50">
        <v>9</v>
      </c>
      <c r="H4724" s="50" t="s">
        <v>60</v>
      </c>
      <c r="I4724" s="41">
        <v>5.0061200000000001</v>
      </c>
      <c r="J4724" s="41" t="s">
        <v>1026</v>
      </c>
      <c r="K4724" s="41" t="s">
        <v>116</v>
      </c>
      <c r="L4724" s="195"/>
      <c r="O4724" s="199">
        <v>2</v>
      </c>
    </row>
    <row r="4725" spans="1:15" x14ac:dyDescent="0.2">
      <c r="A4725" s="189">
        <v>104</v>
      </c>
      <c r="B4725" s="232" t="str">
        <f>IF(AND(A4725&lt;&gt;"",ISNUMBER(A4725)),VLOOKUP(A4725,Studies!A:BR,2,FALSE),"")</f>
        <v>Bornemann 1986</v>
      </c>
      <c r="C4725" s="232" t="str">
        <f>IF(AND(A4725&lt;&gt;"",ISNUMBER(A4725)),VLOOKUP(A4725,Studies!A:BR,3,FALSE),"")</f>
        <v>https://www.ncbi.nlm.nih.gov/pubmed/2936766</v>
      </c>
      <c r="D4725" s="232" t="str">
        <f>IF(AND(A4725&lt;&gt;"",ISNUMBER(A4725)),VLOOKUP(A4725,Studies!A:BR,4,FALSE),"")</f>
        <v>1 h after a meal</v>
      </c>
      <c r="E4725" s="206" t="str">
        <f>IF(AND(A4725&lt;&gt;"",ISNUMBER(A4725)),VLOOKUP(A4725,Studies!A:BR,5,FALSE),"")</f>
        <v>Midazolam</v>
      </c>
      <c r="F4725" s="207" t="str">
        <f>IF(AND(A4725&lt;&gt;"",ISNUMBER(A4725)),VLOOKUP(A4725,Studies!A:BR,6,FALSE),"")</f>
        <v>Plasma</v>
      </c>
      <c r="G4725" s="50">
        <v>11</v>
      </c>
      <c r="H4725" s="50" t="s">
        <v>60</v>
      </c>
      <c r="I4725" s="41">
        <v>2.9183180000000002</v>
      </c>
      <c r="J4725" s="41" t="s">
        <v>1026</v>
      </c>
      <c r="K4725" s="41" t="s">
        <v>116</v>
      </c>
      <c r="L4725" s="195"/>
      <c r="O4725" s="199">
        <v>2</v>
      </c>
    </row>
    <row r="4726" spans="1:15" x14ac:dyDescent="0.2">
      <c r="A4726" s="189">
        <v>105</v>
      </c>
      <c r="B4726" s="232" t="str">
        <f>IF(AND(A4726&lt;&gt;"",ISNUMBER(A4726)),VLOOKUP(A4726,Studies!A:BR,2,FALSE),"")</f>
        <v>Bornemann 1986</v>
      </c>
      <c r="C4726" s="232" t="str">
        <f>IF(AND(A4726&lt;&gt;"",ISNUMBER(A4726)),VLOOKUP(A4726,Studies!A:BR,3,FALSE),"")</f>
        <v>https://www.ncbi.nlm.nih.gov/pubmed/2936766</v>
      </c>
      <c r="D4726" s="232" t="str">
        <f>IF(AND(A4726&lt;&gt;"",ISNUMBER(A4726)),VLOOKUP(A4726,Studies!A:BR,4,FALSE),"")</f>
        <v>1 h before a meal</v>
      </c>
      <c r="E4726" s="206" t="str">
        <f>IF(AND(A4726&lt;&gt;"",ISNUMBER(A4726)),VLOOKUP(A4726,Studies!A:BR,5,FALSE),"")</f>
        <v>Midazolam</v>
      </c>
      <c r="F4726" s="207" t="str">
        <f>IF(AND(A4726&lt;&gt;"",ISNUMBER(A4726)),VLOOKUP(A4726,Studies!A:BR,6,FALSE),"")</f>
        <v>Plasma</v>
      </c>
      <c r="G4726" s="50">
        <v>0.25</v>
      </c>
      <c r="H4726" s="50" t="s">
        <v>60</v>
      </c>
      <c r="I4726" s="41">
        <v>12.106350000000001</v>
      </c>
      <c r="J4726" s="41" t="s">
        <v>1026</v>
      </c>
      <c r="K4726" s="41" t="s">
        <v>116</v>
      </c>
      <c r="L4726" s="195"/>
      <c r="O4726" s="199">
        <v>2</v>
      </c>
    </row>
    <row r="4727" spans="1:15" x14ac:dyDescent="0.2">
      <c r="A4727" s="189">
        <v>105</v>
      </c>
      <c r="B4727" s="232" t="str">
        <f>IF(AND(A4727&lt;&gt;"",ISNUMBER(A4727)),VLOOKUP(A4727,Studies!A:BR,2,FALSE),"")</f>
        <v>Bornemann 1986</v>
      </c>
      <c r="C4727" s="232" t="str">
        <f>IF(AND(A4727&lt;&gt;"",ISNUMBER(A4727)),VLOOKUP(A4727,Studies!A:BR,3,FALSE),"")</f>
        <v>https://www.ncbi.nlm.nih.gov/pubmed/2936766</v>
      </c>
      <c r="D4727" s="232" t="str">
        <f>IF(AND(A4727&lt;&gt;"",ISNUMBER(A4727)),VLOOKUP(A4727,Studies!A:BR,4,FALSE),"")</f>
        <v>1 h before a meal</v>
      </c>
      <c r="E4727" s="206" t="str">
        <f>IF(AND(A4727&lt;&gt;"",ISNUMBER(A4727)),VLOOKUP(A4727,Studies!A:BR,5,FALSE),"")</f>
        <v>Midazolam</v>
      </c>
      <c r="F4727" s="207" t="str">
        <f>IF(AND(A4727&lt;&gt;"",ISNUMBER(A4727)),VLOOKUP(A4727,Studies!A:BR,6,FALSE),"")</f>
        <v>Plasma</v>
      </c>
      <c r="G4727" s="50">
        <v>0.5</v>
      </c>
      <c r="H4727" s="50" t="s">
        <v>60</v>
      </c>
      <c r="I4727" s="41">
        <v>64.889060000000001</v>
      </c>
      <c r="J4727" s="41" t="s">
        <v>1026</v>
      </c>
      <c r="K4727" s="41" t="s">
        <v>116</v>
      </c>
      <c r="O4727" s="199">
        <v>2</v>
      </c>
    </row>
    <row r="4728" spans="1:15" x14ac:dyDescent="0.2">
      <c r="A4728" s="189">
        <v>105</v>
      </c>
      <c r="B4728" s="232" t="str">
        <f>IF(AND(A4728&lt;&gt;"",ISNUMBER(A4728)),VLOOKUP(A4728,Studies!A:BR,2,FALSE),"")</f>
        <v>Bornemann 1986</v>
      </c>
      <c r="C4728" s="232" t="str">
        <f>IF(AND(A4728&lt;&gt;"",ISNUMBER(A4728)),VLOOKUP(A4728,Studies!A:BR,3,FALSE),"")</f>
        <v>https://www.ncbi.nlm.nih.gov/pubmed/2936766</v>
      </c>
      <c r="D4728" s="232" t="str">
        <f>IF(AND(A4728&lt;&gt;"",ISNUMBER(A4728)),VLOOKUP(A4728,Studies!A:BR,4,FALSE),"")</f>
        <v>1 h before a meal</v>
      </c>
      <c r="E4728" s="206" t="str">
        <f>IF(AND(A4728&lt;&gt;"",ISNUMBER(A4728)),VLOOKUP(A4728,Studies!A:BR,5,FALSE),"")</f>
        <v>Midazolam</v>
      </c>
      <c r="F4728" s="207" t="str">
        <f>IF(AND(A4728&lt;&gt;"",ISNUMBER(A4728)),VLOOKUP(A4728,Studies!A:BR,6,FALSE),"")</f>
        <v>Plasma</v>
      </c>
      <c r="G4728" s="50">
        <v>0.75</v>
      </c>
      <c r="H4728" s="50" t="s">
        <v>60</v>
      </c>
      <c r="I4728" s="41">
        <v>60.442309999999999</v>
      </c>
      <c r="J4728" s="41" t="s">
        <v>1026</v>
      </c>
      <c r="K4728" s="41" t="s">
        <v>116</v>
      </c>
      <c r="O4728" s="199">
        <v>2</v>
      </c>
    </row>
    <row r="4729" spans="1:15" x14ac:dyDescent="0.2">
      <c r="A4729" s="189">
        <v>105</v>
      </c>
      <c r="B4729" s="232" t="str">
        <f>IF(AND(A4729&lt;&gt;"",ISNUMBER(A4729)),VLOOKUP(A4729,Studies!A:BR,2,FALSE),"")</f>
        <v>Bornemann 1986</v>
      </c>
      <c r="C4729" s="232" t="str">
        <f>IF(AND(A4729&lt;&gt;"",ISNUMBER(A4729)),VLOOKUP(A4729,Studies!A:BR,3,FALSE),"")</f>
        <v>https://www.ncbi.nlm.nih.gov/pubmed/2936766</v>
      </c>
      <c r="D4729" s="232" t="str">
        <f>IF(AND(A4729&lt;&gt;"",ISNUMBER(A4729)),VLOOKUP(A4729,Studies!A:BR,4,FALSE),"")</f>
        <v>1 h before a meal</v>
      </c>
      <c r="E4729" s="206" t="str">
        <f>IF(AND(A4729&lt;&gt;"",ISNUMBER(A4729)),VLOOKUP(A4729,Studies!A:BR,5,FALSE),"")</f>
        <v>Midazolam</v>
      </c>
      <c r="F4729" s="207" t="str">
        <f>IF(AND(A4729&lt;&gt;"",ISNUMBER(A4729)),VLOOKUP(A4729,Studies!A:BR,6,FALSE),"")</f>
        <v>Plasma</v>
      </c>
      <c r="G4729" s="50">
        <v>1</v>
      </c>
      <c r="H4729" s="50" t="s">
        <v>60</v>
      </c>
      <c r="I4729" s="41">
        <v>58.331069999999997</v>
      </c>
      <c r="J4729" s="41" t="s">
        <v>1026</v>
      </c>
      <c r="K4729" s="41" t="s">
        <v>116</v>
      </c>
      <c r="O4729" s="199">
        <v>2</v>
      </c>
    </row>
    <row r="4730" spans="1:15" x14ac:dyDescent="0.2">
      <c r="A4730" s="189">
        <v>105</v>
      </c>
      <c r="B4730" s="232" t="str">
        <f>IF(AND(A4730&lt;&gt;"",ISNUMBER(A4730)),VLOOKUP(A4730,Studies!A:BR,2,FALSE),"")</f>
        <v>Bornemann 1986</v>
      </c>
      <c r="C4730" s="232" t="str">
        <f>IF(AND(A4730&lt;&gt;"",ISNUMBER(A4730)),VLOOKUP(A4730,Studies!A:BR,3,FALSE),"")</f>
        <v>https://www.ncbi.nlm.nih.gov/pubmed/2936766</v>
      </c>
      <c r="D4730" s="232" t="str">
        <f>IF(AND(A4730&lt;&gt;"",ISNUMBER(A4730)),VLOOKUP(A4730,Studies!A:BR,4,FALSE),"")</f>
        <v>1 h before a meal</v>
      </c>
      <c r="E4730" s="206" t="str">
        <f>IF(AND(A4730&lt;&gt;"",ISNUMBER(A4730)),VLOOKUP(A4730,Studies!A:BR,5,FALSE),"")</f>
        <v>Midazolam</v>
      </c>
      <c r="F4730" s="207" t="str">
        <f>IF(AND(A4730&lt;&gt;"",ISNUMBER(A4730)),VLOOKUP(A4730,Studies!A:BR,6,FALSE),"")</f>
        <v>Plasma</v>
      </c>
      <c r="G4730" s="50">
        <v>1.25</v>
      </c>
      <c r="H4730" s="50" t="s">
        <v>60</v>
      </c>
      <c r="I4730" s="41">
        <v>53.189920000000001</v>
      </c>
      <c r="J4730" s="41" t="s">
        <v>1026</v>
      </c>
      <c r="K4730" s="41" t="s">
        <v>116</v>
      </c>
      <c r="O4730" s="199">
        <v>2</v>
      </c>
    </row>
    <row r="4731" spans="1:15" x14ac:dyDescent="0.2">
      <c r="A4731" s="189">
        <v>105</v>
      </c>
      <c r="B4731" s="232" t="str">
        <f>IF(AND(A4731&lt;&gt;"",ISNUMBER(A4731)),VLOOKUP(A4731,Studies!A:BR,2,FALSE),"")</f>
        <v>Bornemann 1986</v>
      </c>
      <c r="C4731" s="232" t="str">
        <f>IF(AND(A4731&lt;&gt;"",ISNUMBER(A4731)),VLOOKUP(A4731,Studies!A:BR,3,FALSE),"")</f>
        <v>https://www.ncbi.nlm.nih.gov/pubmed/2936766</v>
      </c>
      <c r="D4731" s="232" t="str">
        <f>IF(AND(A4731&lt;&gt;"",ISNUMBER(A4731)),VLOOKUP(A4731,Studies!A:BR,4,FALSE),"")</f>
        <v>1 h before a meal</v>
      </c>
      <c r="E4731" s="206" t="str">
        <f>IF(AND(A4731&lt;&gt;"",ISNUMBER(A4731)),VLOOKUP(A4731,Studies!A:BR,5,FALSE),"")</f>
        <v>Midazolam</v>
      </c>
      <c r="F4731" s="207" t="str">
        <f>IF(AND(A4731&lt;&gt;"",ISNUMBER(A4731)),VLOOKUP(A4731,Studies!A:BR,6,FALSE),"")</f>
        <v>Plasma</v>
      </c>
      <c r="G4731" s="50">
        <v>1.5</v>
      </c>
      <c r="H4731" s="50" t="s">
        <v>60</v>
      </c>
      <c r="I4731" s="41">
        <v>45.831310000000002</v>
      </c>
      <c r="J4731" s="41" t="s">
        <v>1026</v>
      </c>
      <c r="K4731" s="41" t="s">
        <v>116</v>
      </c>
      <c r="O4731" s="199">
        <v>2</v>
      </c>
    </row>
    <row r="4732" spans="1:15" x14ac:dyDescent="0.2">
      <c r="A4732" s="189">
        <v>105</v>
      </c>
      <c r="B4732" s="232" t="str">
        <f>IF(AND(A4732&lt;&gt;"",ISNUMBER(A4732)),VLOOKUP(A4732,Studies!A:BR,2,FALSE),"")</f>
        <v>Bornemann 1986</v>
      </c>
      <c r="C4732" s="232" t="str">
        <f>IF(AND(A4732&lt;&gt;"",ISNUMBER(A4732)),VLOOKUP(A4732,Studies!A:BR,3,FALSE),"")</f>
        <v>https://www.ncbi.nlm.nih.gov/pubmed/2936766</v>
      </c>
      <c r="D4732" s="232" t="str">
        <f>IF(AND(A4732&lt;&gt;"",ISNUMBER(A4732)),VLOOKUP(A4732,Studies!A:BR,4,FALSE),"")</f>
        <v>1 h before a meal</v>
      </c>
      <c r="E4732" s="206" t="str">
        <f>IF(AND(A4732&lt;&gt;"",ISNUMBER(A4732)),VLOOKUP(A4732,Studies!A:BR,5,FALSE),"")</f>
        <v>Midazolam</v>
      </c>
      <c r="F4732" s="207" t="str">
        <f>IF(AND(A4732&lt;&gt;"",ISNUMBER(A4732)),VLOOKUP(A4732,Studies!A:BR,6,FALSE),"")</f>
        <v>Plasma</v>
      </c>
      <c r="G4732" s="50">
        <v>2</v>
      </c>
      <c r="H4732" s="50" t="s">
        <v>60</v>
      </c>
      <c r="I4732" s="41">
        <v>35.003189999999996</v>
      </c>
      <c r="J4732" s="41" t="s">
        <v>1026</v>
      </c>
      <c r="K4732" s="41" t="s">
        <v>116</v>
      </c>
      <c r="O4732" s="199">
        <v>2</v>
      </c>
    </row>
    <row r="4733" spans="1:15" x14ac:dyDescent="0.2">
      <c r="A4733" s="189">
        <v>105</v>
      </c>
      <c r="B4733" s="232" t="str">
        <f>IF(AND(A4733&lt;&gt;"",ISNUMBER(A4733)),VLOOKUP(A4733,Studies!A:BR,2,FALSE),"")</f>
        <v>Bornemann 1986</v>
      </c>
      <c r="C4733" s="232" t="str">
        <f>IF(AND(A4733&lt;&gt;"",ISNUMBER(A4733)),VLOOKUP(A4733,Studies!A:BR,3,FALSE),"")</f>
        <v>https://www.ncbi.nlm.nih.gov/pubmed/2936766</v>
      </c>
      <c r="D4733" s="232" t="str">
        <f>IF(AND(A4733&lt;&gt;"",ISNUMBER(A4733)),VLOOKUP(A4733,Studies!A:BR,4,FALSE),"")</f>
        <v>1 h before a meal</v>
      </c>
      <c r="E4733" s="206" t="str">
        <f>IF(AND(A4733&lt;&gt;"",ISNUMBER(A4733)),VLOOKUP(A4733,Studies!A:BR,5,FALSE),"")</f>
        <v>Midazolam</v>
      </c>
      <c r="F4733" s="207" t="str">
        <f>IF(AND(A4733&lt;&gt;"",ISNUMBER(A4733)),VLOOKUP(A4733,Studies!A:BR,6,FALSE),"")</f>
        <v>Plasma</v>
      </c>
      <c r="G4733" s="50">
        <v>3</v>
      </c>
      <c r="H4733" s="50" t="s">
        <v>60</v>
      </c>
      <c r="I4733" s="41">
        <v>23.030619999999999</v>
      </c>
      <c r="J4733" s="41" t="s">
        <v>1026</v>
      </c>
      <c r="K4733" s="41" t="s">
        <v>116</v>
      </c>
      <c r="O4733" s="199">
        <v>2</v>
      </c>
    </row>
    <row r="4734" spans="1:15" x14ac:dyDescent="0.2">
      <c r="A4734" s="189">
        <v>105</v>
      </c>
      <c r="B4734" s="232" t="str">
        <f>IF(AND(A4734&lt;&gt;"",ISNUMBER(A4734)),VLOOKUP(A4734,Studies!A:BR,2,FALSE),"")</f>
        <v>Bornemann 1986</v>
      </c>
      <c r="C4734" s="232" t="str">
        <f>IF(AND(A4734&lt;&gt;"",ISNUMBER(A4734)),VLOOKUP(A4734,Studies!A:BR,3,FALSE),"")</f>
        <v>https://www.ncbi.nlm.nih.gov/pubmed/2936766</v>
      </c>
      <c r="D4734" s="232" t="str">
        <f>IF(AND(A4734&lt;&gt;"",ISNUMBER(A4734)),VLOOKUP(A4734,Studies!A:BR,4,FALSE),"")</f>
        <v>1 h before a meal</v>
      </c>
      <c r="E4734" s="206" t="str">
        <f>IF(AND(A4734&lt;&gt;"",ISNUMBER(A4734)),VLOOKUP(A4734,Studies!A:BR,5,FALSE),"")</f>
        <v>Midazolam</v>
      </c>
      <c r="F4734" s="207" t="str">
        <f>IF(AND(A4734&lt;&gt;"",ISNUMBER(A4734)),VLOOKUP(A4734,Studies!A:BR,6,FALSE),"")</f>
        <v>Plasma</v>
      </c>
      <c r="G4734" s="50">
        <v>4</v>
      </c>
      <c r="H4734" s="50" t="s">
        <v>60</v>
      </c>
      <c r="I4734" s="41">
        <v>16.97242</v>
      </c>
      <c r="J4734" s="41" t="s">
        <v>1026</v>
      </c>
      <c r="K4734" s="41" t="s">
        <v>116</v>
      </c>
      <c r="O4734" s="199">
        <v>2</v>
      </c>
    </row>
    <row r="4735" spans="1:15" x14ac:dyDescent="0.2">
      <c r="A4735" s="189">
        <v>105</v>
      </c>
      <c r="B4735" s="232" t="str">
        <f>IF(AND(A4735&lt;&gt;"",ISNUMBER(A4735)),VLOOKUP(A4735,Studies!A:BR,2,FALSE),"")</f>
        <v>Bornemann 1986</v>
      </c>
      <c r="C4735" s="232" t="str">
        <f>IF(AND(A4735&lt;&gt;"",ISNUMBER(A4735)),VLOOKUP(A4735,Studies!A:BR,3,FALSE),"")</f>
        <v>https://www.ncbi.nlm.nih.gov/pubmed/2936766</v>
      </c>
      <c r="D4735" s="232" t="str">
        <f>IF(AND(A4735&lt;&gt;"",ISNUMBER(A4735)),VLOOKUP(A4735,Studies!A:BR,4,FALSE),"")</f>
        <v>1 h before a meal</v>
      </c>
      <c r="E4735" s="206" t="str">
        <f>IF(AND(A4735&lt;&gt;"",ISNUMBER(A4735)),VLOOKUP(A4735,Studies!A:BR,5,FALSE),"")</f>
        <v>Midazolam</v>
      </c>
      <c r="F4735" s="207" t="str">
        <f>IF(AND(A4735&lt;&gt;"",ISNUMBER(A4735)),VLOOKUP(A4735,Studies!A:BR,6,FALSE),"")</f>
        <v>Plasma</v>
      </c>
      <c r="G4735" s="50">
        <v>5</v>
      </c>
      <c r="H4735" s="50" t="s">
        <v>60</v>
      </c>
      <c r="I4735" s="41">
        <v>10.855230000000001</v>
      </c>
      <c r="J4735" s="41" t="s">
        <v>1026</v>
      </c>
      <c r="K4735" s="41" t="s">
        <v>116</v>
      </c>
      <c r="O4735" s="199">
        <v>2</v>
      </c>
    </row>
    <row r="4736" spans="1:15" x14ac:dyDescent="0.2">
      <c r="A4736" s="189">
        <v>105</v>
      </c>
      <c r="B4736" s="232" t="str">
        <f>IF(AND(A4736&lt;&gt;"",ISNUMBER(A4736)),VLOOKUP(A4736,Studies!A:BR,2,FALSE),"")</f>
        <v>Bornemann 1986</v>
      </c>
      <c r="C4736" s="232" t="str">
        <f>IF(AND(A4736&lt;&gt;"",ISNUMBER(A4736)),VLOOKUP(A4736,Studies!A:BR,3,FALSE),"")</f>
        <v>https://www.ncbi.nlm.nih.gov/pubmed/2936766</v>
      </c>
      <c r="D4736" s="232" t="str">
        <f>IF(AND(A4736&lt;&gt;"",ISNUMBER(A4736)),VLOOKUP(A4736,Studies!A:BR,4,FALSE),"")</f>
        <v>1 h before a meal</v>
      </c>
      <c r="E4736" s="206" t="str">
        <f>IF(AND(A4736&lt;&gt;"",ISNUMBER(A4736)),VLOOKUP(A4736,Studies!A:BR,5,FALSE),"")</f>
        <v>Midazolam</v>
      </c>
      <c r="F4736" s="207" t="str">
        <f>IF(AND(A4736&lt;&gt;"",ISNUMBER(A4736)),VLOOKUP(A4736,Studies!A:BR,6,FALSE),"")</f>
        <v>Plasma</v>
      </c>
      <c r="G4736" s="50">
        <v>6</v>
      </c>
      <c r="H4736" s="50" t="s">
        <v>60</v>
      </c>
      <c r="I4736" s="41">
        <v>7.7214219999999996</v>
      </c>
      <c r="J4736" s="41" t="s">
        <v>1026</v>
      </c>
      <c r="K4736" s="41" t="s">
        <v>116</v>
      </c>
      <c r="O4736" s="199">
        <v>2</v>
      </c>
    </row>
    <row r="4737" spans="1:16" x14ac:dyDescent="0.2">
      <c r="A4737" s="189">
        <v>105</v>
      </c>
      <c r="B4737" s="232" t="str">
        <f>IF(AND(A4737&lt;&gt;"",ISNUMBER(A4737)),VLOOKUP(A4737,Studies!A:BR,2,FALSE),"")</f>
        <v>Bornemann 1986</v>
      </c>
      <c r="C4737" s="232" t="str">
        <f>IF(AND(A4737&lt;&gt;"",ISNUMBER(A4737)),VLOOKUP(A4737,Studies!A:BR,3,FALSE),"")</f>
        <v>https://www.ncbi.nlm.nih.gov/pubmed/2936766</v>
      </c>
      <c r="D4737" s="232" t="str">
        <f>IF(AND(A4737&lt;&gt;"",ISNUMBER(A4737)),VLOOKUP(A4737,Studies!A:BR,4,FALSE),"")</f>
        <v>1 h before a meal</v>
      </c>
      <c r="E4737" s="206" t="str">
        <f>IF(AND(A4737&lt;&gt;"",ISNUMBER(A4737)),VLOOKUP(A4737,Studies!A:BR,5,FALSE),"")</f>
        <v>Midazolam</v>
      </c>
      <c r="F4737" s="207" t="str">
        <f>IF(AND(A4737&lt;&gt;"",ISNUMBER(A4737)),VLOOKUP(A4737,Studies!A:BR,6,FALSE),"")</f>
        <v>Plasma</v>
      </c>
      <c r="G4737" s="50">
        <v>7</v>
      </c>
      <c r="H4737" s="50" t="s">
        <v>60</v>
      </c>
      <c r="I4737" s="41">
        <v>5.8954279999999999</v>
      </c>
      <c r="J4737" s="41" t="s">
        <v>1026</v>
      </c>
      <c r="K4737" s="41" t="s">
        <v>116</v>
      </c>
      <c r="O4737" s="199">
        <v>2</v>
      </c>
    </row>
    <row r="4738" spans="1:16" x14ac:dyDescent="0.2">
      <c r="A4738" s="189">
        <v>105</v>
      </c>
      <c r="B4738" s="232" t="str">
        <f>IF(AND(A4738&lt;&gt;"",ISNUMBER(A4738)),VLOOKUP(A4738,Studies!A:BR,2,FALSE),"")</f>
        <v>Bornemann 1986</v>
      </c>
      <c r="C4738" s="232" t="str">
        <f>IF(AND(A4738&lt;&gt;"",ISNUMBER(A4738)),VLOOKUP(A4738,Studies!A:BR,3,FALSE),"")</f>
        <v>https://www.ncbi.nlm.nih.gov/pubmed/2936766</v>
      </c>
      <c r="D4738" s="232" t="str">
        <f>IF(AND(A4738&lt;&gt;"",ISNUMBER(A4738)),VLOOKUP(A4738,Studies!A:BR,4,FALSE),"")</f>
        <v>1 h before a meal</v>
      </c>
      <c r="E4738" s="206" t="str">
        <f>IF(AND(A4738&lt;&gt;"",ISNUMBER(A4738)),VLOOKUP(A4738,Studies!A:BR,5,FALSE),"")</f>
        <v>Midazolam</v>
      </c>
      <c r="F4738" s="207" t="str">
        <f>IF(AND(A4738&lt;&gt;"",ISNUMBER(A4738)),VLOOKUP(A4738,Studies!A:BR,6,FALSE),"")</f>
        <v>Plasma</v>
      </c>
      <c r="G4738" s="50">
        <v>8</v>
      </c>
      <c r="H4738" s="50" t="s">
        <v>60</v>
      </c>
      <c r="I4738" s="41">
        <v>4.4066380000000001</v>
      </c>
      <c r="J4738" s="41" t="s">
        <v>1026</v>
      </c>
      <c r="K4738" s="41" t="s">
        <v>116</v>
      </c>
      <c r="O4738" s="199">
        <v>2</v>
      </c>
    </row>
    <row r="4739" spans="1:16" x14ac:dyDescent="0.2">
      <c r="A4739" s="189">
        <v>105</v>
      </c>
      <c r="B4739" s="232" t="str">
        <f>IF(AND(A4739&lt;&gt;"",ISNUMBER(A4739)),VLOOKUP(A4739,Studies!A:BR,2,FALSE),"")</f>
        <v>Bornemann 1986</v>
      </c>
      <c r="C4739" s="232" t="str">
        <f>IF(AND(A4739&lt;&gt;"",ISNUMBER(A4739)),VLOOKUP(A4739,Studies!A:BR,3,FALSE),"")</f>
        <v>https://www.ncbi.nlm.nih.gov/pubmed/2936766</v>
      </c>
      <c r="D4739" s="232" t="str">
        <f>IF(AND(A4739&lt;&gt;"",ISNUMBER(A4739)),VLOOKUP(A4739,Studies!A:BR,4,FALSE),"")</f>
        <v>1 h before a meal</v>
      </c>
      <c r="E4739" s="206" t="str">
        <f>IF(AND(A4739&lt;&gt;"",ISNUMBER(A4739)),VLOOKUP(A4739,Studies!A:BR,5,FALSE),"")</f>
        <v>Midazolam</v>
      </c>
      <c r="F4739" s="207" t="str">
        <f>IF(AND(A4739&lt;&gt;"",ISNUMBER(A4739)),VLOOKUP(A4739,Studies!A:BR,6,FALSE),"")</f>
        <v>Plasma</v>
      </c>
      <c r="G4739" s="50">
        <v>10</v>
      </c>
      <c r="H4739" s="50" t="s">
        <v>60</v>
      </c>
      <c r="I4739" s="41">
        <v>2.738073</v>
      </c>
      <c r="J4739" s="41" t="s">
        <v>1026</v>
      </c>
      <c r="K4739" s="41" t="s">
        <v>116</v>
      </c>
      <c r="O4739" s="199">
        <v>2</v>
      </c>
      <c r="P4739" s="42" t="s">
        <v>1457</v>
      </c>
    </row>
    <row r="4740" spans="1:16" x14ac:dyDescent="0.2">
      <c r="A4740" s="189">
        <v>106</v>
      </c>
      <c r="B4740" s="232" t="str">
        <f>IF(AND(A4740&lt;&gt;"",ISNUMBER(A4740)),VLOOKUP(A4740,Studies!A:BR,2,FALSE),"")</f>
        <v>Bornemann 1986</v>
      </c>
      <c r="C4740" s="232" t="str">
        <f>IF(AND(A4740&lt;&gt;"",ISNUMBER(A4740)),VLOOKUP(A4740,Studies!A:BR,3,FALSE),"")</f>
        <v>https://www.ncbi.nlm.nih.gov/pubmed/2936766</v>
      </c>
      <c r="D4740" s="232" t="str">
        <f>IF(AND(A4740&lt;&gt;"",ISNUMBER(A4740)),VLOOKUP(A4740,Studies!A:BR,4,FALSE),"")</f>
        <v>with a meal</v>
      </c>
      <c r="E4740" s="206" t="str">
        <f>IF(AND(A4740&lt;&gt;"",ISNUMBER(A4740)),VLOOKUP(A4740,Studies!A:BR,5,FALSE),"")</f>
        <v>Midazolam</v>
      </c>
      <c r="F4740" s="207" t="str">
        <f>IF(AND(A4740&lt;&gt;"",ISNUMBER(A4740)),VLOOKUP(A4740,Studies!A:BR,6,FALSE),"")</f>
        <v>Plasma</v>
      </c>
      <c r="G4740" s="50">
        <v>0.25</v>
      </c>
      <c r="H4740" s="50" t="s">
        <v>60</v>
      </c>
      <c r="I4740" s="41">
        <v>7.2176119999999999</v>
      </c>
      <c r="J4740" s="41" t="s">
        <v>1026</v>
      </c>
      <c r="K4740" s="41" t="s">
        <v>116</v>
      </c>
      <c r="O4740" s="199">
        <v>2</v>
      </c>
    </row>
    <row r="4741" spans="1:16" x14ac:dyDescent="0.2">
      <c r="A4741" s="189">
        <v>106</v>
      </c>
      <c r="B4741" s="232" t="str">
        <f>IF(AND(A4741&lt;&gt;"",ISNUMBER(A4741)),VLOOKUP(A4741,Studies!A:BR,2,FALSE),"")</f>
        <v>Bornemann 1986</v>
      </c>
      <c r="C4741" s="232" t="str">
        <f>IF(AND(A4741&lt;&gt;"",ISNUMBER(A4741)),VLOOKUP(A4741,Studies!A:BR,3,FALSE),"")</f>
        <v>https://www.ncbi.nlm.nih.gov/pubmed/2936766</v>
      </c>
      <c r="D4741" s="232" t="str">
        <f>IF(AND(A4741&lt;&gt;"",ISNUMBER(A4741)),VLOOKUP(A4741,Studies!A:BR,4,FALSE),"")</f>
        <v>with a meal</v>
      </c>
      <c r="E4741" s="206" t="str">
        <f>IF(AND(A4741&lt;&gt;"",ISNUMBER(A4741)),VLOOKUP(A4741,Studies!A:BR,5,FALSE),"")</f>
        <v>Midazolam</v>
      </c>
      <c r="F4741" s="207" t="str">
        <f>IF(AND(A4741&lt;&gt;"",ISNUMBER(A4741)),VLOOKUP(A4741,Studies!A:BR,6,FALSE),"")</f>
        <v>Plasma</v>
      </c>
      <c r="G4741" s="50">
        <v>0.5</v>
      </c>
      <c r="H4741" s="50" t="s">
        <v>60</v>
      </c>
      <c r="I4741" s="41">
        <v>42.721609999999998</v>
      </c>
      <c r="J4741" s="41" t="s">
        <v>1026</v>
      </c>
      <c r="K4741" s="41" t="s">
        <v>116</v>
      </c>
      <c r="O4741" s="199">
        <v>2</v>
      </c>
    </row>
    <row r="4742" spans="1:16" x14ac:dyDescent="0.2">
      <c r="A4742" s="189">
        <v>106</v>
      </c>
      <c r="B4742" s="232" t="str">
        <f>IF(AND(A4742&lt;&gt;"",ISNUMBER(A4742)),VLOOKUP(A4742,Studies!A:BR,2,FALSE),"")</f>
        <v>Bornemann 1986</v>
      </c>
      <c r="C4742" s="232" t="str">
        <f>IF(AND(A4742&lt;&gt;"",ISNUMBER(A4742)),VLOOKUP(A4742,Studies!A:BR,3,FALSE),"")</f>
        <v>https://www.ncbi.nlm.nih.gov/pubmed/2936766</v>
      </c>
      <c r="D4742" s="232" t="str">
        <f>IF(AND(A4742&lt;&gt;"",ISNUMBER(A4742)),VLOOKUP(A4742,Studies!A:BR,4,FALSE),"")</f>
        <v>with a meal</v>
      </c>
      <c r="E4742" s="206" t="str">
        <f>IF(AND(A4742&lt;&gt;"",ISNUMBER(A4742)),VLOOKUP(A4742,Studies!A:BR,5,FALSE),"")</f>
        <v>Midazolam</v>
      </c>
      <c r="F4742" s="207" t="str">
        <f>IF(AND(A4742&lt;&gt;"",ISNUMBER(A4742)),VLOOKUP(A4742,Studies!A:BR,6,FALSE),"")</f>
        <v>Plasma</v>
      </c>
      <c r="G4742" s="50">
        <v>0.75</v>
      </c>
      <c r="H4742" s="50" t="s">
        <v>60</v>
      </c>
      <c r="I4742" s="41">
        <v>46.835169999999998</v>
      </c>
      <c r="J4742" s="41" t="s">
        <v>1026</v>
      </c>
      <c r="K4742" s="41" t="s">
        <v>116</v>
      </c>
      <c r="O4742" s="199">
        <v>2</v>
      </c>
    </row>
    <row r="4743" spans="1:16" x14ac:dyDescent="0.2">
      <c r="A4743" s="189">
        <v>106</v>
      </c>
      <c r="B4743" s="232" t="str">
        <f>IF(AND(A4743&lt;&gt;"",ISNUMBER(A4743)),VLOOKUP(A4743,Studies!A:BR,2,FALSE),"")</f>
        <v>Bornemann 1986</v>
      </c>
      <c r="C4743" s="232" t="str">
        <f>IF(AND(A4743&lt;&gt;"",ISNUMBER(A4743)),VLOOKUP(A4743,Studies!A:BR,3,FALSE),"")</f>
        <v>https://www.ncbi.nlm.nih.gov/pubmed/2936766</v>
      </c>
      <c r="D4743" s="232" t="str">
        <f>IF(AND(A4743&lt;&gt;"",ISNUMBER(A4743)),VLOOKUP(A4743,Studies!A:BR,4,FALSE),"")</f>
        <v>with a meal</v>
      </c>
      <c r="E4743" s="206" t="str">
        <f>IF(AND(A4743&lt;&gt;"",ISNUMBER(A4743)),VLOOKUP(A4743,Studies!A:BR,5,FALSE),"")</f>
        <v>Midazolam</v>
      </c>
      <c r="F4743" s="207" t="str">
        <f>IF(AND(A4743&lt;&gt;"",ISNUMBER(A4743)),VLOOKUP(A4743,Studies!A:BR,6,FALSE),"")</f>
        <v>Plasma</v>
      </c>
      <c r="G4743" s="50">
        <v>1</v>
      </c>
      <c r="H4743" s="50" t="s">
        <v>60</v>
      </c>
      <c r="I4743" s="41">
        <v>42.708170000000003</v>
      </c>
      <c r="J4743" s="41" t="s">
        <v>1026</v>
      </c>
      <c r="K4743" s="41" t="s">
        <v>116</v>
      </c>
      <c r="O4743" s="199">
        <v>2</v>
      </c>
    </row>
    <row r="4744" spans="1:16" x14ac:dyDescent="0.2">
      <c r="A4744" s="189">
        <v>106</v>
      </c>
      <c r="B4744" s="232" t="str">
        <f>IF(AND(A4744&lt;&gt;"",ISNUMBER(A4744)),VLOOKUP(A4744,Studies!A:BR,2,FALSE),"")</f>
        <v>Bornemann 1986</v>
      </c>
      <c r="C4744" s="232" t="str">
        <f>IF(AND(A4744&lt;&gt;"",ISNUMBER(A4744)),VLOOKUP(A4744,Studies!A:BR,3,FALSE),"")</f>
        <v>https://www.ncbi.nlm.nih.gov/pubmed/2936766</v>
      </c>
      <c r="D4744" s="232" t="str">
        <f>IF(AND(A4744&lt;&gt;"",ISNUMBER(A4744)),VLOOKUP(A4744,Studies!A:BR,4,FALSE),"")</f>
        <v>with a meal</v>
      </c>
      <c r="E4744" s="206" t="str">
        <f>IF(AND(A4744&lt;&gt;"",ISNUMBER(A4744)),VLOOKUP(A4744,Studies!A:BR,5,FALSE),"")</f>
        <v>Midazolam</v>
      </c>
      <c r="F4744" s="207" t="str">
        <f>IF(AND(A4744&lt;&gt;"",ISNUMBER(A4744)),VLOOKUP(A4744,Studies!A:BR,6,FALSE),"")</f>
        <v>Plasma</v>
      </c>
      <c r="G4744" s="50">
        <v>1.25</v>
      </c>
      <c r="H4744" s="50" t="s">
        <v>60</v>
      </c>
      <c r="I4744" s="41">
        <v>47.154350000000001</v>
      </c>
      <c r="J4744" s="41" t="s">
        <v>1026</v>
      </c>
      <c r="K4744" s="41" t="s">
        <v>116</v>
      </c>
      <c r="O4744" s="199">
        <v>2</v>
      </c>
    </row>
    <row r="4745" spans="1:16" x14ac:dyDescent="0.2">
      <c r="A4745" s="189">
        <v>106</v>
      </c>
      <c r="B4745" s="232" t="str">
        <f>IF(AND(A4745&lt;&gt;"",ISNUMBER(A4745)),VLOOKUP(A4745,Studies!A:BR,2,FALSE),"")</f>
        <v>Bornemann 1986</v>
      </c>
      <c r="C4745" s="232" t="str">
        <f>IF(AND(A4745&lt;&gt;"",ISNUMBER(A4745)),VLOOKUP(A4745,Studies!A:BR,3,FALSE),"")</f>
        <v>https://www.ncbi.nlm.nih.gov/pubmed/2936766</v>
      </c>
      <c r="D4745" s="232" t="str">
        <f>IF(AND(A4745&lt;&gt;"",ISNUMBER(A4745)),VLOOKUP(A4745,Studies!A:BR,4,FALSE),"")</f>
        <v>with a meal</v>
      </c>
      <c r="E4745" s="206" t="str">
        <f>IF(AND(A4745&lt;&gt;"",ISNUMBER(A4745)),VLOOKUP(A4745,Studies!A:BR,5,FALSE),"")</f>
        <v>Midazolam</v>
      </c>
      <c r="F4745" s="207" t="str">
        <f>IF(AND(A4745&lt;&gt;"",ISNUMBER(A4745)),VLOOKUP(A4745,Studies!A:BR,6,FALSE),"")</f>
        <v>Plasma</v>
      </c>
      <c r="G4745" s="50">
        <v>1.5</v>
      </c>
      <c r="H4745" s="50" t="s">
        <v>60</v>
      </c>
      <c r="I4745" s="41">
        <v>41.502670000000002</v>
      </c>
      <c r="J4745" s="41" t="s">
        <v>1026</v>
      </c>
      <c r="K4745" s="41" t="s">
        <v>116</v>
      </c>
      <c r="O4745" s="199">
        <v>2</v>
      </c>
    </row>
    <row r="4746" spans="1:16" x14ac:dyDescent="0.2">
      <c r="A4746" s="189">
        <v>106</v>
      </c>
      <c r="B4746" s="232" t="str">
        <f>IF(AND(A4746&lt;&gt;"",ISNUMBER(A4746)),VLOOKUP(A4746,Studies!A:BR,2,FALSE),"")</f>
        <v>Bornemann 1986</v>
      </c>
      <c r="C4746" s="232" t="str">
        <f>IF(AND(A4746&lt;&gt;"",ISNUMBER(A4746)),VLOOKUP(A4746,Studies!A:BR,3,FALSE),"")</f>
        <v>https://www.ncbi.nlm.nih.gov/pubmed/2936766</v>
      </c>
      <c r="D4746" s="232" t="str">
        <f>IF(AND(A4746&lt;&gt;"",ISNUMBER(A4746)),VLOOKUP(A4746,Studies!A:BR,4,FALSE),"")</f>
        <v>with a meal</v>
      </c>
      <c r="E4746" s="206" t="str">
        <f>IF(AND(A4746&lt;&gt;"",ISNUMBER(A4746)),VLOOKUP(A4746,Studies!A:BR,5,FALSE),"")</f>
        <v>Midazolam</v>
      </c>
      <c r="F4746" s="207" t="str">
        <f>IF(AND(A4746&lt;&gt;"",ISNUMBER(A4746)),VLOOKUP(A4746,Studies!A:BR,6,FALSE),"")</f>
        <v>Plasma</v>
      </c>
      <c r="G4746" s="50">
        <v>2</v>
      </c>
      <c r="H4746" s="50" t="s">
        <v>60</v>
      </c>
      <c r="I4746" s="41">
        <v>39.204279999999997</v>
      </c>
      <c r="J4746" s="41" t="s">
        <v>1026</v>
      </c>
      <c r="K4746" s="41" t="s">
        <v>116</v>
      </c>
      <c r="O4746" s="199">
        <v>2</v>
      </c>
    </row>
    <row r="4747" spans="1:16" x14ac:dyDescent="0.2">
      <c r="A4747" s="189">
        <v>106</v>
      </c>
      <c r="B4747" s="232" t="str">
        <f>IF(AND(A4747&lt;&gt;"",ISNUMBER(A4747)),VLOOKUP(A4747,Studies!A:BR,2,FALSE),"")</f>
        <v>Bornemann 1986</v>
      </c>
      <c r="C4747" s="232" t="str">
        <f>IF(AND(A4747&lt;&gt;"",ISNUMBER(A4747)),VLOOKUP(A4747,Studies!A:BR,3,FALSE),"")</f>
        <v>https://www.ncbi.nlm.nih.gov/pubmed/2936766</v>
      </c>
      <c r="D4747" s="232" t="str">
        <f>IF(AND(A4747&lt;&gt;"",ISNUMBER(A4747)),VLOOKUP(A4747,Studies!A:BR,4,FALSE),"")</f>
        <v>with a meal</v>
      </c>
      <c r="E4747" s="206" t="str">
        <f>IF(AND(A4747&lt;&gt;"",ISNUMBER(A4747)),VLOOKUP(A4747,Studies!A:BR,5,FALSE),"")</f>
        <v>Midazolam</v>
      </c>
      <c r="F4747" s="207" t="str">
        <f>IF(AND(A4747&lt;&gt;"",ISNUMBER(A4747)),VLOOKUP(A4747,Studies!A:BR,6,FALSE),"")</f>
        <v>Plasma</v>
      </c>
      <c r="G4747" s="50">
        <v>3</v>
      </c>
      <c r="H4747" s="50" t="s">
        <v>60</v>
      </c>
      <c r="I4747" s="41">
        <v>29.721769999999999</v>
      </c>
      <c r="J4747" s="41" t="s">
        <v>1026</v>
      </c>
      <c r="K4747" s="41" t="s">
        <v>116</v>
      </c>
      <c r="O4747" s="199">
        <v>2</v>
      </c>
    </row>
    <row r="4748" spans="1:16" x14ac:dyDescent="0.2">
      <c r="A4748" s="189">
        <v>106</v>
      </c>
      <c r="B4748" s="232" t="str">
        <f>IF(AND(A4748&lt;&gt;"",ISNUMBER(A4748)),VLOOKUP(A4748,Studies!A:BR,2,FALSE),"")</f>
        <v>Bornemann 1986</v>
      </c>
      <c r="C4748" s="232" t="str">
        <f>IF(AND(A4748&lt;&gt;"",ISNUMBER(A4748)),VLOOKUP(A4748,Studies!A:BR,3,FALSE),"")</f>
        <v>https://www.ncbi.nlm.nih.gov/pubmed/2936766</v>
      </c>
      <c r="D4748" s="232" t="str">
        <f>IF(AND(A4748&lt;&gt;"",ISNUMBER(A4748)),VLOOKUP(A4748,Studies!A:BR,4,FALSE),"")</f>
        <v>with a meal</v>
      </c>
      <c r="E4748" s="206" t="str">
        <f>IF(AND(A4748&lt;&gt;"",ISNUMBER(A4748)),VLOOKUP(A4748,Studies!A:BR,5,FALSE),"")</f>
        <v>Midazolam</v>
      </c>
      <c r="F4748" s="207" t="str">
        <f>IF(AND(A4748&lt;&gt;"",ISNUMBER(A4748)),VLOOKUP(A4748,Studies!A:BR,6,FALSE),"")</f>
        <v>Plasma</v>
      </c>
      <c r="G4748" s="50">
        <v>4</v>
      </c>
      <c r="H4748" s="50" t="s">
        <v>60</v>
      </c>
      <c r="I4748" s="41">
        <v>22.85464</v>
      </c>
      <c r="J4748" s="41" t="s">
        <v>1026</v>
      </c>
      <c r="K4748" s="41" t="s">
        <v>116</v>
      </c>
      <c r="O4748" s="199">
        <v>2</v>
      </c>
    </row>
    <row r="4749" spans="1:16" x14ac:dyDescent="0.2">
      <c r="A4749" s="189">
        <v>106</v>
      </c>
      <c r="B4749" s="232" t="str">
        <f>IF(AND(A4749&lt;&gt;"",ISNUMBER(A4749)),VLOOKUP(A4749,Studies!A:BR,2,FALSE),"")</f>
        <v>Bornemann 1986</v>
      </c>
      <c r="C4749" s="232" t="str">
        <f>IF(AND(A4749&lt;&gt;"",ISNUMBER(A4749)),VLOOKUP(A4749,Studies!A:BR,3,FALSE),"")</f>
        <v>https://www.ncbi.nlm.nih.gov/pubmed/2936766</v>
      </c>
      <c r="D4749" s="232" t="str">
        <f>IF(AND(A4749&lt;&gt;"",ISNUMBER(A4749)),VLOOKUP(A4749,Studies!A:BR,4,FALSE),"")</f>
        <v>with a meal</v>
      </c>
      <c r="E4749" s="206" t="str">
        <f>IF(AND(A4749&lt;&gt;"",ISNUMBER(A4749)),VLOOKUP(A4749,Studies!A:BR,5,FALSE),"")</f>
        <v>Midazolam</v>
      </c>
      <c r="F4749" s="207" t="str">
        <f>IF(AND(A4749&lt;&gt;"",ISNUMBER(A4749)),VLOOKUP(A4749,Studies!A:BR,6,FALSE),"")</f>
        <v>Plasma</v>
      </c>
      <c r="G4749" s="50">
        <v>5</v>
      </c>
      <c r="H4749" s="50" t="s">
        <v>60</v>
      </c>
      <c r="I4749" s="41">
        <v>15.03755</v>
      </c>
      <c r="J4749" s="41" t="s">
        <v>1026</v>
      </c>
      <c r="K4749" s="41" t="s">
        <v>116</v>
      </c>
      <c r="O4749" s="199">
        <v>2</v>
      </c>
    </row>
    <row r="4750" spans="1:16" x14ac:dyDescent="0.2">
      <c r="A4750" s="189">
        <v>106</v>
      </c>
      <c r="B4750" s="232" t="str">
        <f>IF(AND(A4750&lt;&gt;"",ISNUMBER(A4750)),VLOOKUP(A4750,Studies!A:BR,2,FALSE),"")</f>
        <v>Bornemann 1986</v>
      </c>
      <c r="C4750" s="232" t="str">
        <f>IF(AND(A4750&lt;&gt;"",ISNUMBER(A4750)),VLOOKUP(A4750,Studies!A:BR,3,FALSE),"")</f>
        <v>https://www.ncbi.nlm.nih.gov/pubmed/2936766</v>
      </c>
      <c r="D4750" s="232" t="str">
        <f>IF(AND(A4750&lt;&gt;"",ISNUMBER(A4750)),VLOOKUP(A4750,Studies!A:BR,4,FALSE),"")</f>
        <v>with a meal</v>
      </c>
      <c r="E4750" s="206" t="str">
        <f>IF(AND(A4750&lt;&gt;"",ISNUMBER(A4750)),VLOOKUP(A4750,Studies!A:BR,5,FALSE),"")</f>
        <v>Midazolam</v>
      </c>
      <c r="F4750" s="207" t="str">
        <f>IF(AND(A4750&lt;&gt;"",ISNUMBER(A4750)),VLOOKUP(A4750,Studies!A:BR,6,FALSE),"")</f>
        <v>Plasma</v>
      </c>
      <c r="G4750" s="50">
        <v>6</v>
      </c>
      <c r="H4750" s="50" t="s">
        <v>60</v>
      </c>
      <c r="I4750" s="41">
        <v>9.6862100000000009</v>
      </c>
      <c r="J4750" s="41" t="s">
        <v>1026</v>
      </c>
      <c r="K4750" s="41" t="s">
        <v>116</v>
      </c>
      <c r="O4750" s="199">
        <v>2</v>
      </c>
    </row>
    <row r="4751" spans="1:16" x14ac:dyDescent="0.2">
      <c r="A4751" s="189">
        <v>106</v>
      </c>
      <c r="B4751" s="232" t="str">
        <f>IF(AND(A4751&lt;&gt;"",ISNUMBER(A4751)),VLOOKUP(A4751,Studies!A:BR,2,FALSE),"")</f>
        <v>Bornemann 1986</v>
      </c>
      <c r="C4751" s="232" t="str">
        <f>IF(AND(A4751&lt;&gt;"",ISNUMBER(A4751)),VLOOKUP(A4751,Studies!A:BR,3,FALSE),"")</f>
        <v>https://www.ncbi.nlm.nih.gov/pubmed/2936766</v>
      </c>
      <c r="D4751" s="232" t="str">
        <f>IF(AND(A4751&lt;&gt;"",ISNUMBER(A4751)),VLOOKUP(A4751,Studies!A:BR,4,FALSE),"")</f>
        <v>with a meal</v>
      </c>
      <c r="E4751" s="206" t="str">
        <f>IF(AND(A4751&lt;&gt;"",ISNUMBER(A4751)),VLOOKUP(A4751,Studies!A:BR,5,FALSE),"")</f>
        <v>Midazolam</v>
      </c>
      <c r="F4751" s="207" t="str">
        <f>IF(AND(A4751&lt;&gt;"",ISNUMBER(A4751)),VLOOKUP(A4751,Studies!A:BR,6,FALSE),"")</f>
        <v>Plasma</v>
      </c>
      <c r="G4751" s="50">
        <v>7</v>
      </c>
      <c r="H4751" s="50" t="s">
        <v>60</v>
      </c>
      <c r="I4751" s="41">
        <v>6.6973729999999998</v>
      </c>
      <c r="J4751" s="41" t="s">
        <v>1026</v>
      </c>
      <c r="K4751" s="41" t="s">
        <v>116</v>
      </c>
      <c r="O4751" s="199">
        <v>2</v>
      </c>
    </row>
    <row r="4752" spans="1:16" x14ac:dyDescent="0.2">
      <c r="A4752" s="189">
        <v>106</v>
      </c>
      <c r="B4752" s="232" t="str">
        <f>IF(AND(A4752&lt;&gt;"",ISNUMBER(A4752)),VLOOKUP(A4752,Studies!A:BR,2,FALSE),"")</f>
        <v>Bornemann 1986</v>
      </c>
      <c r="C4752" s="232" t="str">
        <f>IF(AND(A4752&lt;&gt;"",ISNUMBER(A4752)),VLOOKUP(A4752,Studies!A:BR,3,FALSE),"")</f>
        <v>https://www.ncbi.nlm.nih.gov/pubmed/2936766</v>
      </c>
      <c r="D4752" s="232" t="str">
        <f>IF(AND(A4752&lt;&gt;"",ISNUMBER(A4752)),VLOOKUP(A4752,Studies!A:BR,4,FALSE),"")</f>
        <v>with a meal</v>
      </c>
      <c r="E4752" s="206" t="str">
        <f>IF(AND(A4752&lt;&gt;"",ISNUMBER(A4752)),VLOOKUP(A4752,Studies!A:BR,5,FALSE),"")</f>
        <v>Midazolam</v>
      </c>
      <c r="F4752" s="207" t="str">
        <f>IF(AND(A4752&lt;&gt;"",ISNUMBER(A4752)),VLOOKUP(A4752,Studies!A:BR,6,FALSE),"")</f>
        <v>Plasma</v>
      </c>
      <c r="G4752" s="50">
        <v>8</v>
      </c>
      <c r="H4752" s="50" t="s">
        <v>60</v>
      </c>
      <c r="I4752" s="41">
        <v>5.0773950000000001</v>
      </c>
      <c r="J4752" s="41" t="s">
        <v>1026</v>
      </c>
      <c r="K4752" s="41" t="s">
        <v>116</v>
      </c>
      <c r="O4752" s="199">
        <v>2</v>
      </c>
    </row>
    <row r="4753" spans="1:16" x14ac:dyDescent="0.2">
      <c r="A4753" s="189">
        <v>106</v>
      </c>
      <c r="B4753" s="232" t="str">
        <f>IF(AND(A4753&lt;&gt;"",ISNUMBER(A4753)),VLOOKUP(A4753,Studies!A:BR,2,FALSE),"")</f>
        <v>Bornemann 1986</v>
      </c>
      <c r="C4753" s="232" t="str">
        <f>IF(AND(A4753&lt;&gt;"",ISNUMBER(A4753)),VLOOKUP(A4753,Studies!A:BR,3,FALSE),"")</f>
        <v>https://www.ncbi.nlm.nih.gov/pubmed/2936766</v>
      </c>
      <c r="D4753" s="232" t="str">
        <f>IF(AND(A4753&lt;&gt;"",ISNUMBER(A4753)),VLOOKUP(A4753,Studies!A:BR,4,FALSE),"")</f>
        <v>with a meal</v>
      </c>
      <c r="E4753" s="206" t="str">
        <f>IF(AND(A4753&lt;&gt;"",ISNUMBER(A4753)),VLOOKUP(A4753,Studies!A:BR,5,FALSE),"")</f>
        <v>Midazolam</v>
      </c>
      <c r="F4753" s="207" t="str">
        <f>IF(AND(A4753&lt;&gt;"",ISNUMBER(A4753)),VLOOKUP(A4753,Studies!A:BR,6,FALSE),"")</f>
        <v>Plasma</v>
      </c>
      <c r="G4753" s="50">
        <v>10</v>
      </c>
      <c r="H4753" s="50" t="s">
        <v>60</v>
      </c>
      <c r="I4753" s="41">
        <v>2.981042</v>
      </c>
      <c r="J4753" s="41" t="s">
        <v>1026</v>
      </c>
      <c r="K4753" s="41" t="s">
        <v>116</v>
      </c>
      <c r="O4753" s="199">
        <v>2</v>
      </c>
    </row>
    <row r="4754" spans="1:16" x14ac:dyDescent="0.2">
      <c r="A4754" s="189">
        <v>106</v>
      </c>
      <c r="B4754" s="232" t="str">
        <f>IF(AND(A4754&lt;&gt;"",ISNUMBER(A4754)),VLOOKUP(A4754,Studies!A:BR,2,FALSE),"")</f>
        <v>Bornemann 1986</v>
      </c>
      <c r="C4754" s="232" t="str">
        <f>IF(AND(A4754&lt;&gt;"",ISNUMBER(A4754)),VLOOKUP(A4754,Studies!A:BR,3,FALSE),"")</f>
        <v>https://www.ncbi.nlm.nih.gov/pubmed/2936766</v>
      </c>
      <c r="D4754" s="232" t="str">
        <f>IF(AND(A4754&lt;&gt;"",ISNUMBER(A4754)),VLOOKUP(A4754,Studies!A:BR,4,FALSE),"")</f>
        <v>with a meal</v>
      </c>
      <c r="E4754" s="206" t="str">
        <f>IF(AND(A4754&lt;&gt;"",ISNUMBER(A4754)),VLOOKUP(A4754,Studies!A:BR,5,FALSE),"")</f>
        <v>Midazolam</v>
      </c>
      <c r="F4754" s="207" t="str">
        <f>IF(AND(A4754&lt;&gt;"",ISNUMBER(A4754)),VLOOKUP(A4754,Studies!A:BR,6,FALSE),"")</f>
        <v>Plasma</v>
      </c>
      <c r="G4754" s="50">
        <v>12</v>
      </c>
      <c r="H4754" s="50" t="s">
        <v>60</v>
      </c>
      <c r="I4754" s="41">
        <v>1.97421</v>
      </c>
      <c r="J4754" s="41" t="s">
        <v>1026</v>
      </c>
      <c r="K4754" s="41" t="s">
        <v>116</v>
      </c>
      <c r="O4754" s="199">
        <v>2</v>
      </c>
      <c r="P4754" s="42" t="s">
        <v>1458</v>
      </c>
    </row>
    <row r="4755" spans="1:16" x14ac:dyDescent="0.2">
      <c r="A4755" s="189">
        <v>107</v>
      </c>
      <c r="B4755" s="232" t="str">
        <f>IF(AND(A4755&lt;&gt;"",ISNUMBER(A4755)),VLOOKUP(A4755,Studies!A:BR,2,FALSE),"")</f>
        <v>Bornemann 1986</v>
      </c>
      <c r="C4755" s="232" t="str">
        <f>IF(AND(A4755&lt;&gt;"",ISNUMBER(A4755)),VLOOKUP(A4755,Studies!A:BR,3,FALSE),"")</f>
        <v>https://www.ncbi.nlm.nih.gov/pubmed/2936766</v>
      </c>
      <c r="D4755" s="232" t="str">
        <f>IF(AND(A4755&lt;&gt;"",ISNUMBER(A4755)),VLOOKUP(A4755,Studies!A:BR,4,FALSE),"")</f>
        <v>fasting condition</v>
      </c>
      <c r="E4755" s="206" t="str">
        <f>IF(AND(A4755&lt;&gt;"",ISNUMBER(A4755)),VLOOKUP(A4755,Studies!A:BR,5,FALSE),"")</f>
        <v>Midazolam</v>
      </c>
      <c r="F4755" s="207" t="str">
        <f>IF(AND(A4755&lt;&gt;"",ISNUMBER(A4755)),VLOOKUP(A4755,Studies!A:BR,6,FALSE),"")</f>
        <v>Plasma</v>
      </c>
      <c r="G4755" s="50">
        <v>0.25</v>
      </c>
      <c r="H4755" s="50" t="s">
        <v>60</v>
      </c>
      <c r="I4755" s="41">
        <v>11.358499999999999</v>
      </c>
      <c r="J4755" s="41" t="s">
        <v>1026</v>
      </c>
      <c r="K4755" s="41" t="s">
        <v>116</v>
      </c>
      <c r="O4755" s="199">
        <v>2</v>
      </c>
    </row>
    <row r="4756" spans="1:16" x14ac:dyDescent="0.2">
      <c r="A4756" s="189">
        <v>107</v>
      </c>
      <c r="B4756" s="232" t="str">
        <f>IF(AND(A4756&lt;&gt;"",ISNUMBER(A4756)),VLOOKUP(A4756,Studies!A:BR,2,FALSE),"")</f>
        <v>Bornemann 1986</v>
      </c>
      <c r="C4756" s="232" t="str">
        <f>IF(AND(A4756&lt;&gt;"",ISNUMBER(A4756)),VLOOKUP(A4756,Studies!A:BR,3,FALSE),"")</f>
        <v>https://www.ncbi.nlm.nih.gov/pubmed/2936766</v>
      </c>
      <c r="D4756" s="232" t="str">
        <f>IF(AND(A4756&lt;&gt;"",ISNUMBER(A4756)),VLOOKUP(A4756,Studies!A:BR,4,FALSE),"")</f>
        <v>fasting condition</v>
      </c>
      <c r="E4756" s="206" t="str">
        <f>IF(AND(A4756&lt;&gt;"",ISNUMBER(A4756)),VLOOKUP(A4756,Studies!A:BR,5,FALSE),"")</f>
        <v>Midazolam</v>
      </c>
      <c r="F4756" s="207" t="str">
        <f>IF(AND(A4756&lt;&gt;"",ISNUMBER(A4756)),VLOOKUP(A4756,Studies!A:BR,6,FALSE),"")</f>
        <v>Plasma</v>
      </c>
      <c r="G4756" s="50">
        <v>0.5</v>
      </c>
      <c r="H4756" s="50" t="s">
        <v>60</v>
      </c>
      <c r="I4756" s="41">
        <v>50.999479999999998</v>
      </c>
      <c r="J4756" s="41" t="s">
        <v>1026</v>
      </c>
      <c r="K4756" s="41" t="s">
        <v>116</v>
      </c>
      <c r="O4756" s="199">
        <v>2</v>
      </c>
    </row>
    <row r="4757" spans="1:16" x14ac:dyDescent="0.2">
      <c r="A4757" s="189">
        <v>107</v>
      </c>
      <c r="B4757" s="232" t="str">
        <f>IF(AND(A4757&lt;&gt;"",ISNUMBER(A4757)),VLOOKUP(A4757,Studies!A:BR,2,FALSE),"")</f>
        <v>Bornemann 1986</v>
      </c>
      <c r="C4757" s="232" t="str">
        <f>IF(AND(A4757&lt;&gt;"",ISNUMBER(A4757)),VLOOKUP(A4757,Studies!A:BR,3,FALSE),"")</f>
        <v>https://www.ncbi.nlm.nih.gov/pubmed/2936766</v>
      </c>
      <c r="D4757" s="232" t="str">
        <f>IF(AND(A4757&lt;&gt;"",ISNUMBER(A4757)),VLOOKUP(A4757,Studies!A:BR,4,FALSE),"")</f>
        <v>fasting condition</v>
      </c>
      <c r="E4757" s="206" t="str">
        <f>IF(AND(A4757&lt;&gt;"",ISNUMBER(A4757)),VLOOKUP(A4757,Studies!A:BR,5,FALSE),"")</f>
        <v>Midazolam</v>
      </c>
      <c r="F4757" s="207" t="str">
        <f>IF(AND(A4757&lt;&gt;"",ISNUMBER(A4757)),VLOOKUP(A4757,Studies!A:BR,6,FALSE),"")</f>
        <v>Plasma</v>
      </c>
      <c r="G4757" s="50">
        <v>0.75</v>
      </c>
      <c r="H4757" s="50" t="s">
        <v>60</v>
      </c>
      <c r="I4757" s="41">
        <v>53.964779999999998</v>
      </c>
      <c r="J4757" s="41" t="s">
        <v>1026</v>
      </c>
      <c r="K4757" s="41" t="s">
        <v>116</v>
      </c>
      <c r="O4757" s="199">
        <v>2</v>
      </c>
    </row>
    <row r="4758" spans="1:16" x14ac:dyDescent="0.2">
      <c r="A4758" s="189">
        <v>107</v>
      </c>
      <c r="B4758" s="232" t="str">
        <f>IF(AND(A4758&lt;&gt;"",ISNUMBER(A4758)),VLOOKUP(A4758,Studies!A:BR,2,FALSE),"")</f>
        <v>Bornemann 1986</v>
      </c>
      <c r="C4758" s="232" t="str">
        <f>IF(AND(A4758&lt;&gt;"",ISNUMBER(A4758)),VLOOKUP(A4758,Studies!A:BR,3,FALSE),"")</f>
        <v>https://www.ncbi.nlm.nih.gov/pubmed/2936766</v>
      </c>
      <c r="D4758" s="232" t="str">
        <f>IF(AND(A4758&lt;&gt;"",ISNUMBER(A4758)),VLOOKUP(A4758,Studies!A:BR,4,FALSE),"")</f>
        <v>fasting condition</v>
      </c>
      <c r="E4758" s="206" t="str">
        <f>IF(AND(A4758&lt;&gt;"",ISNUMBER(A4758)),VLOOKUP(A4758,Studies!A:BR,5,FALSE),"")</f>
        <v>Midazolam</v>
      </c>
      <c r="F4758" s="207" t="str">
        <f>IF(AND(A4758&lt;&gt;"",ISNUMBER(A4758)),VLOOKUP(A4758,Studies!A:BR,6,FALSE),"")</f>
        <v>Plasma</v>
      </c>
      <c r="G4758" s="50">
        <v>1</v>
      </c>
      <c r="H4758" s="50" t="s">
        <v>60</v>
      </c>
      <c r="I4758" s="41">
        <v>52.078670000000002</v>
      </c>
      <c r="J4758" s="41" t="s">
        <v>1026</v>
      </c>
      <c r="K4758" s="41" t="s">
        <v>116</v>
      </c>
      <c r="O4758" s="199">
        <v>2</v>
      </c>
    </row>
    <row r="4759" spans="1:16" x14ac:dyDescent="0.2">
      <c r="A4759" s="189">
        <v>107</v>
      </c>
      <c r="B4759" s="232" t="str">
        <f>IF(AND(A4759&lt;&gt;"",ISNUMBER(A4759)),VLOOKUP(A4759,Studies!A:BR,2,FALSE),"")</f>
        <v>Bornemann 1986</v>
      </c>
      <c r="C4759" s="232" t="str">
        <f>IF(AND(A4759&lt;&gt;"",ISNUMBER(A4759)),VLOOKUP(A4759,Studies!A:BR,3,FALSE),"")</f>
        <v>https://www.ncbi.nlm.nih.gov/pubmed/2936766</v>
      </c>
      <c r="D4759" s="232" t="str">
        <f>IF(AND(A4759&lt;&gt;"",ISNUMBER(A4759)),VLOOKUP(A4759,Studies!A:BR,4,FALSE),"")</f>
        <v>fasting condition</v>
      </c>
      <c r="E4759" s="206" t="str">
        <f>IF(AND(A4759&lt;&gt;"",ISNUMBER(A4759)),VLOOKUP(A4759,Studies!A:BR,5,FALSE),"")</f>
        <v>Midazolam</v>
      </c>
      <c r="F4759" s="207" t="str">
        <f>IF(AND(A4759&lt;&gt;"",ISNUMBER(A4759)),VLOOKUP(A4759,Studies!A:BR,6,FALSE),"")</f>
        <v>Plasma</v>
      </c>
      <c r="G4759" s="50">
        <v>1.25</v>
      </c>
      <c r="H4759" s="50" t="s">
        <v>60</v>
      </c>
      <c r="I4759" s="41">
        <v>49.201529999999998</v>
      </c>
      <c r="J4759" s="41" t="s">
        <v>1026</v>
      </c>
      <c r="K4759" s="41" t="s">
        <v>116</v>
      </c>
      <c r="O4759" s="199">
        <v>2</v>
      </c>
    </row>
    <row r="4760" spans="1:16" x14ac:dyDescent="0.2">
      <c r="A4760" s="189">
        <v>107</v>
      </c>
      <c r="B4760" s="232" t="str">
        <f>IF(AND(A4760&lt;&gt;"",ISNUMBER(A4760)),VLOOKUP(A4760,Studies!A:BR,2,FALSE),"")</f>
        <v>Bornemann 1986</v>
      </c>
      <c r="C4760" s="232" t="str">
        <f>IF(AND(A4760&lt;&gt;"",ISNUMBER(A4760)),VLOOKUP(A4760,Studies!A:BR,3,FALSE),"")</f>
        <v>https://www.ncbi.nlm.nih.gov/pubmed/2936766</v>
      </c>
      <c r="D4760" s="232" t="str">
        <f>IF(AND(A4760&lt;&gt;"",ISNUMBER(A4760)),VLOOKUP(A4760,Studies!A:BR,4,FALSE),"")</f>
        <v>fasting condition</v>
      </c>
      <c r="E4760" s="206" t="str">
        <f>IF(AND(A4760&lt;&gt;"",ISNUMBER(A4760)),VLOOKUP(A4760,Studies!A:BR,5,FALSE),"")</f>
        <v>Midazolam</v>
      </c>
      <c r="F4760" s="207" t="str">
        <f>IF(AND(A4760&lt;&gt;"",ISNUMBER(A4760)),VLOOKUP(A4760,Studies!A:BR,6,FALSE),"")</f>
        <v>Plasma</v>
      </c>
      <c r="G4760" s="50">
        <v>1.5</v>
      </c>
      <c r="H4760" s="50" t="s">
        <v>60</v>
      </c>
      <c r="I4760" s="41">
        <v>42.696120000000001</v>
      </c>
      <c r="J4760" s="41" t="s">
        <v>1026</v>
      </c>
      <c r="K4760" s="41" t="s">
        <v>116</v>
      </c>
      <c r="O4760" s="199">
        <v>2</v>
      </c>
    </row>
    <row r="4761" spans="1:16" x14ac:dyDescent="0.2">
      <c r="A4761" s="189">
        <v>107</v>
      </c>
      <c r="B4761" s="232" t="str">
        <f>IF(AND(A4761&lt;&gt;"",ISNUMBER(A4761)),VLOOKUP(A4761,Studies!A:BR,2,FALSE),"")</f>
        <v>Bornemann 1986</v>
      </c>
      <c r="C4761" s="232" t="str">
        <f>IF(AND(A4761&lt;&gt;"",ISNUMBER(A4761)),VLOOKUP(A4761,Studies!A:BR,3,FALSE),"")</f>
        <v>https://www.ncbi.nlm.nih.gov/pubmed/2936766</v>
      </c>
      <c r="D4761" s="232" t="str">
        <f>IF(AND(A4761&lt;&gt;"",ISNUMBER(A4761)),VLOOKUP(A4761,Studies!A:BR,4,FALSE),"")</f>
        <v>fasting condition</v>
      </c>
      <c r="E4761" s="206" t="str">
        <f>IF(AND(A4761&lt;&gt;"",ISNUMBER(A4761)),VLOOKUP(A4761,Studies!A:BR,5,FALSE),"")</f>
        <v>Midazolam</v>
      </c>
      <c r="F4761" s="207" t="str">
        <f>IF(AND(A4761&lt;&gt;"",ISNUMBER(A4761)),VLOOKUP(A4761,Studies!A:BR,6,FALSE),"")</f>
        <v>Plasma</v>
      </c>
      <c r="G4761" s="50">
        <v>2</v>
      </c>
      <c r="H4761" s="50" t="s">
        <v>60</v>
      </c>
      <c r="I4761" s="41">
        <v>41.197600000000001</v>
      </c>
      <c r="J4761" s="41" t="s">
        <v>1026</v>
      </c>
      <c r="K4761" s="41" t="s">
        <v>116</v>
      </c>
      <c r="O4761" s="199">
        <v>2</v>
      </c>
    </row>
    <row r="4762" spans="1:16" x14ac:dyDescent="0.2">
      <c r="A4762" s="189">
        <v>107</v>
      </c>
      <c r="B4762" s="232" t="str">
        <f>IF(AND(A4762&lt;&gt;"",ISNUMBER(A4762)),VLOOKUP(A4762,Studies!A:BR,2,FALSE),"")</f>
        <v>Bornemann 1986</v>
      </c>
      <c r="C4762" s="232" t="str">
        <f>IF(AND(A4762&lt;&gt;"",ISNUMBER(A4762)),VLOOKUP(A4762,Studies!A:BR,3,FALSE),"")</f>
        <v>https://www.ncbi.nlm.nih.gov/pubmed/2936766</v>
      </c>
      <c r="D4762" s="232" t="str">
        <f>IF(AND(A4762&lt;&gt;"",ISNUMBER(A4762)),VLOOKUP(A4762,Studies!A:BR,4,FALSE),"")</f>
        <v>fasting condition</v>
      </c>
      <c r="E4762" s="206" t="str">
        <f>IF(AND(A4762&lt;&gt;"",ISNUMBER(A4762)),VLOOKUP(A4762,Studies!A:BR,5,FALSE),"")</f>
        <v>Midazolam</v>
      </c>
      <c r="F4762" s="207" t="str">
        <f>IF(AND(A4762&lt;&gt;"",ISNUMBER(A4762)),VLOOKUP(A4762,Studies!A:BR,6,FALSE),"")</f>
        <v>Plasma</v>
      </c>
      <c r="G4762" s="50">
        <v>3</v>
      </c>
      <c r="H4762" s="50" t="s">
        <v>60</v>
      </c>
      <c r="I4762" s="41">
        <v>30.793510000000001</v>
      </c>
      <c r="J4762" s="41" t="s">
        <v>1026</v>
      </c>
      <c r="K4762" s="41" t="s">
        <v>116</v>
      </c>
      <c r="O4762" s="199">
        <v>2</v>
      </c>
    </row>
    <row r="4763" spans="1:16" x14ac:dyDescent="0.2">
      <c r="A4763" s="189">
        <v>107</v>
      </c>
      <c r="B4763" s="232" t="str">
        <f>IF(AND(A4763&lt;&gt;"",ISNUMBER(A4763)),VLOOKUP(A4763,Studies!A:BR,2,FALSE),"")</f>
        <v>Bornemann 1986</v>
      </c>
      <c r="C4763" s="232" t="str">
        <f>IF(AND(A4763&lt;&gt;"",ISNUMBER(A4763)),VLOOKUP(A4763,Studies!A:BR,3,FALSE),"")</f>
        <v>https://www.ncbi.nlm.nih.gov/pubmed/2936766</v>
      </c>
      <c r="D4763" s="232" t="str">
        <f>IF(AND(A4763&lt;&gt;"",ISNUMBER(A4763)),VLOOKUP(A4763,Studies!A:BR,4,FALSE),"")</f>
        <v>fasting condition</v>
      </c>
      <c r="E4763" s="206" t="str">
        <f>IF(AND(A4763&lt;&gt;"",ISNUMBER(A4763)),VLOOKUP(A4763,Studies!A:BR,5,FALSE),"")</f>
        <v>Midazolam</v>
      </c>
      <c r="F4763" s="207" t="str">
        <f>IF(AND(A4763&lt;&gt;"",ISNUMBER(A4763)),VLOOKUP(A4763,Studies!A:BR,6,FALSE),"")</f>
        <v>Plasma</v>
      </c>
      <c r="G4763" s="50">
        <v>4</v>
      </c>
      <c r="H4763" s="50" t="s">
        <v>60</v>
      </c>
      <c r="I4763" s="41">
        <v>21.442830000000001</v>
      </c>
      <c r="J4763" s="41" t="s">
        <v>1026</v>
      </c>
      <c r="K4763" s="41" t="s">
        <v>116</v>
      </c>
      <c r="O4763" s="199">
        <v>2</v>
      </c>
    </row>
    <row r="4764" spans="1:16" x14ac:dyDescent="0.2">
      <c r="A4764" s="189">
        <v>107</v>
      </c>
      <c r="B4764" s="232" t="str">
        <f>IF(AND(A4764&lt;&gt;"",ISNUMBER(A4764)),VLOOKUP(A4764,Studies!A:BR,2,FALSE),"")</f>
        <v>Bornemann 1986</v>
      </c>
      <c r="C4764" s="232" t="str">
        <f>IF(AND(A4764&lt;&gt;"",ISNUMBER(A4764)),VLOOKUP(A4764,Studies!A:BR,3,FALSE),"")</f>
        <v>https://www.ncbi.nlm.nih.gov/pubmed/2936766</v>
      </c>
      <c r="D4764" s="232" t="str">
        <f>IF(AND(A4764&lt;&gt;"",ISNUMBER(A4764)),VLOOKUP(A4764,Studies!A:BR,4,FALSE),"")</f>
        <v>fasting condition</v>
      </c>
      <c r="E4764" s="206" t="str">
        <f>IF(AND(A4764&lt;&gt;"",ISNUMBER(A4764)),VLOOKUP(A4764,Studies!A:BR,5,FALSE),"")</f>
        <v>Midazolam</v>
      </c>
      <c r="F4764" s="207" t="str">
        <f>IF(AND(A4764&lt;&gt;"",ISNUMBER(A4764)),VLOOKUP(A4764,Studies!A:BR,6,FALSE),"")</f>
        <v>Plasma</v>
      </c>
      <c r="G4764" s="50">
        <v>5</v>
      </c>
      <c r="H4764" s="50" t="s">
        <v>60</v>
      </c>
      <c r="I4764" s="41">
        <v>14.20879</v>
      </c>
      <c r="J4764" s="41" t="s">
        <v>1026</v>
      </c>
      <c r="K4764" s="41" t="s">
        <v>116</v>
      </c>
      <c r="O4764" s="199">
        <v>2</v>
      </c>
    </row>
    <row r="4765" spans="1:16" x14ac:dyDescent="0.2">
      <c r="A4765" s="189">
        <v>107</v>
      </c>
      <c r="B4765" s="232" t="str">
        <f>IF(AND(A4765&lt;&gt;"",ISNUMBER(A4765)),VLOOKUP(A4765,Studies!A:BR,2,FALSE),"")</f>
        <v>Bornemann 1986</v>
      </c>
      <c r="C4765" s="232" t="str">
        <f>IF(AND(A4765&lt;&gt;"",ISNUMBER(A4765)),VLOOKUP(A4765,Studies!A:BR,3,FALSE),"")</f>
        <v>https://www.ncbi.nlm.nih.gov/pubmed/2936766</v>
      </c>
      <c r="D4765" s="232" t="str">
        <f>IF(AND(A4765&lt;&gt;"",ISNUMBER(A4765)),VLOOKUP(A4765,Studies!A:BR,4,FALSE),"")</f>
        <v>fasting condition</v>
      </c>
      <c r="E4765" s="206" t="str">
        <f>IF(AND(A4765&lt;&gt;"",ISNUMBER(A4765)),VLOOKUP(A4765,Studies!A:BR,5,FALSE),"")</f>
        <v>Midazolam</v>
      </c>
      <c r="F4765" s="207" t="str">
        <f>IF(AND(A4765&lt;&gt;"",ISNUMBER(A4765)),VLOOKUP(A4765,Studies!A:BR,6,FALSE),"")</f>
        <v>Plasma</v>
      </c>
      <c r="G4765" s="50">
        <v>6</v>
      </c>
      <c r="H4765" s="50" t="s">
        <v>60</v>
      </c>
      <c r="I4765" s="41">
        <v>9.0878599999999992</v>
      </c>
      <c r="J4765" s="41" t="s">
        <v>1026</v>
      </c>
      <c r="K4765" s="41" t="s">
        <v>116</v>
      </c>
      <c r="O4765" s="199">
        <v>2</v>
      </c>
    </row>
    <row r="4766" spans="1:16" x14ac:dyDescent="0.2">
      <c r="A4766" s="189">
        <v>107</v>
      </c>
      <c r="B4766" s="232" t="str">
        <f>IF(AND(A4766&lt;&gt;"",ISNUMBER(A4766)),VLOOKUP(A4766,Studies!A:BR,2,FALSE),"")</f>
        <v>Bornemann 1986</v>
      </c>
      <c r="C4766" s="232" t="str">
        <f>IF(AND(A4766&lt;&gt;"",ISNUMBER(A4766)),VLOOKUP(A4766,Studies!A:BR,3,FALSE),"")</f>
        <v>https://www.ncbi.nlm.nih.gov/pubmed/2936766</v>
      </c>
      <c r="D4766" s="232" t="str">
        <f>IF(AND(A4766&lt;&gt;"",ISNUMBER(A4766)),VLOOKUP(A4766,Studies!A:BR,4,FALSE),"")</f>
        <v>fasting condition</v>
      </c>
      <c r="E4766" s="206" t="str">
        <f>IF(AND(A4766&lt;&gt;"",ISNUMBER(A4766)),VLOOKUP(A4766,Studies!A:BR,5,FALSE),"")</f>
        <v>Midazolam</v>
      </c>
      <c r="F4766" s="207" t="str">
        <f>IF(AND(A4766&lt;&gt;"",ISNUMBER(A4766)),VLOOKUP(A4766,Studies!A:BR,6,FALSE),"")</f>
        <v>Plasma</v>
      </c>
      <c r="G4766" s="50">
        <v>7</v>
      </c>
      <c r="H4766" s="50" t="s">
        <v>60</v>
      </c>
      <c r="I4766" s="41">
        <v>7.5012759999999998</v>
      </c>
      <c r="J4766" s="41" t="s">
        <v>1026</v>
      </c>
      <c r="K4766" s="41" t="s">
        <v>116</v>
      </c>
      <c r="O4766" s="199">
        <v>2</v>
      </c>
    </row>
    <row r="4767" spans="1:16" x14ac:dyDescent="0.2">
      <c r="A4767" s="189">
        <v>107</v>
      </c>
      <c r="B4767" s="232" t="str">
        <f>IF(AND(A4767&lt;&gt;"",ISNUMBER(A4767)),VLOOKUP(A4767,Studies!A:BR,2,FALSE),"")</f>
        <v>Bornemann 1986</v>
      </c>
      <c r="C4767" s="232" t="str">
        <f>IF(AND(A4767&lt;&gt;"",ISNUMBER(A4767)),VLOOKUP(A4767,Studies!A:BR,3,FALSE),"")</f>
        <v>https://www.ncbi.nlm.nih.gov/pubmed/2936766</v>
      </c>
      <c r="D4767" s="232" t="str">
        <f>IF(AND(A4767&lt;&gt;"",ISNUMBER(A4767)),VLOOKUP(A4767,Studies!A:BR,4,FALSE),"")</f>
        <v>fasting condition</v>
      </c>
      <c r="E4767" s="206" t="str">
        <f>IF(AND(A4767&lt;&gt;"",ISNUMBER(A4767)),VLOOKUP(A4767,Studies!A:BR,5,FALSE),"")</f>
        <v>Midazolam</v>
      </c>
      <c r="F4767" s="207" t="str">
        <f>IF(AND(A4767&lt;&gt;"",ISNUMBER(A4767)),VLOOKUP(A4767,Studies!A:BR,6,FALSE),"")</f>
        <v>Plasma</v>
      </c>
      <c r="G4767" s="50">
        <v>8</v>
      </c>
      <c r="H4767" s="50" t="s">
        <v>60</v>
      </c>
      <c r="I4767" s="41">
        <v>4.6636150000000001</v>
      </c>
      <c r="J4767" s="41" t="s">
        <v>1026</v>
      </c>
      <c r="K4767" s="41" t="s">
        <v>116</v>
      </c>
      <c r="O4767" s="199">
        <v>2</v>
      </c>
    </row>
    <row r="4768" spans="1:16" x14ac:dyDescent="0.2">
      <c r="A4768" s="189">
        <v>107</v>
      </c>
      <c r="B4768" s="232" t="str">
        <f>IF(AND(A4768&lt;&gt;"",ISNUMBER(A4768)),VLOOKUP(A4768,Studies!A:BR,2,FALSE),"")</f>
        <v>Bornemann 1986</v>
      </c>
      <c r="C4768" s="232" t="str">
        <f>IF(AND(A4768&lt;&gt;"",ISNUMBER(A4768)),VLOOKUP(A4768,Studies!A:BR,3,FALSE),"")</f>
        <v>https://www.ncbi.nlm.nih.gov/pubmed/2936766</v>
      </c>
      <c r="D4768" s="232" t="str">
        <f>IF(AND(A4768&lt;&gt;"",ISNUMBER(A4768)),VLOOKUP(A4768,Studies!A:BR,4,FALSE),"")</f>
        <v>fasting condition</v>
      </c>
      <c r="E4768" s="206" t="str">
        <f>IF(AND(A4768&lt;&gt;"",ISNUMBER(A4768)),VLOOKUP(A4768,Studies!A:BR,5,FALSE),"")</f>
        <v>Midazolam</v>
      </c>
      <c r="F4768" s="207" t="str">
        <f>IF(AND(A4768&lt;&gt;"",ISNUMBER(A4768)),VLOOKUP(A4768,Studies!A:BR,6,FALSE),"")</f>
        <v>Plasma</v>
      </c>
      <c r="G4768" s="50">
        <v>10</v>
      </c>
      <c r="H4768" s="50" t="s">
        <v>60</v>
      </c>
      <c r="I4768" s="41">
        <v>2.6055649999999999</v>
      </c>
      <c r="J4768" s="41" t="s">
        <v>1026</v>
      </c>
      <c r="K4768" s="41" t="s">
        <v>116</v>
      </c>
      <c r="O4768" s="199">
        <v>2</v>
      </c>
      <c r="P4768" s="42" t="s">
        <v>1457</v>
      </c>
    </row>
    <row r="4769" spans="1:14" x14ac:dyDescent="0.2">
      <c r="A4769" s="30">
        <v>155</v>
      </c>
      <c r="B4769" s="232" t="str">
        <f>IF(AND(A4769&lt;&gt;"",ISNUMBER(A4769)),VLOOKUP(A4769,Studies!A:BR,2,FALSE),"")</f>
        <v>Eon Labs Manufacturing, Inc. 1997</v>
      </c>
      <c r="C4769" s="232" t="str">
        <f>IF(AND(A4769&lt;&gt;"",ISNUMBER(A4769)),VLOOKUP(A4769,Studies!A:BR,3,FALSE),"")</f>
        <v>https://www.accessdata.fda.gov/drugsatfda_docs/anda/97/064150review.pdf</v>
      </c>
      <c r="D4769" s="232" t="str">
        <f>IF(AND(A4769&lt;&gt;"",ISNUMBER(A4769)),VLOOKUP(A4769,Studies!A:BR,4,FALSE),"")</f>
        <v>2X300mg Tab (Eon)</v>
      </c>
      <c r="E4769" s="206" t="str">
        <f>IF(AND(A4769&lt;&gt;"",ISNUMBER(A4769)),VLOOKUP(A4769,Studies!A:BR,5,FALSE),"")</f>
        <v>Rifampicin</v>
      </c>
      <c r="F4769" s="207" t="str">
        <f>IF(AND(A4769&lt;&gt;"",ISNUMBER(A4769)),VLOOKUP(A4769,Studies!A:BR,6,FALSE),"")</f>
        <v>Plasma</v>
      </c>
      <c r="G4769" s="50">
        <v>0.5</v>
      </c>
      <c r="H4769" s="50" t="s">
        <v>60</v>
      </c>
      <c r="I4769" s="41">
        <v>2.4900000000000002</v>
      </c>
      <c r="J4769" s="41" t="s">
        <v>1054</v>
      </c>
      <c r="K4769" s="187" t="s">
        <v>116</v>
      </c>
      <c r="L4769" s="52">
        <v>117</v>
      </c>
      <c r="M4769" s="52" t="s">
        <v>517</v>
      </c>
      <c r="N4769" s="52" t="s">
        <v>1056</v>
      </c>
    </row>
    <row r="4770" spans="1:14" x14ac:dyDescent="0.2">
      <c r="A4770" s="183">
        <v>155</v>
      </c>
      <c r="B4770" s="232" t="str">
        <f>IF(AND(A4770&lt;&gt;"",ISNUMBER(A4770)),VLOOKUP(A4770,Studies!A:BR,2,FALSE),"")</f>
        <v>Eon Labs Manufacturing, Inc. 1997</v>
      </c>
      <c r="C4770" s="232" t="str">
        <f>IF(AND(A4770&lt;&gt;"",ISNUMBER(A4770)),VLOOKUP(A4770,Studies!A:BR,3,FALSE),"")</f>
        <v>https://www.accessdata.fda.gov/drugsatfda_docs/anda/97/064150review.pdf</v>
      </c>
      <c r="D4770" s="232" t="str">
        <f>IF(AND(A4770&lt;&gt;"",ISNUMBER(A4770)),VLOOKUP(A4770,Studies!A:BR,4,FALSE),"")</f>
        <v>2X300mg Tab (Eon)</v>
      </c>
      <c r="E4770" s="206" t="str">
        <f>IF(AND(A4770&lt;&gt;"",ISNUMBER(A4770)),VLOOKUP(A4770,Studies!A:BR,5,FALSE),"")</f>
        <v>Rifampicin</v>
      </c>
      <c r="F4770" s="207" t="str">
        <f>IF(AND(A4770&lt;&gt;"",ISNUMBER(A4770)),VLOOKUP(A4770,Studies!A:BR,6,FALSE),"")</f>
        <v>Plasma</v>
      </c>
      <c r="G4770" s="50">
        <v>1</v>
      </c>
      <c r="H4770" s="194" t="s">
        <v>60</v>
      </c>
      <c r="I4770" s="41">
        <v>8.77</v>
      </c>
      <c r="J4770" s="187" t="s">
        <v>1054</v>
      </c>
      <c r="K4770" s="187" t="s">
        <v>116</v>
      </c>
      <c r="L4770" s="52">
        <v>49</v>
      </c>
      <c r="M4770" s="195" t="s">
        <v>517</v>
      </c>
      <c r="N4770" s="195" t="s">
        <v>1056</v>
      </c>
    </row>
    <row r="4771" spans="1:14" x14ac:dyDescent="0.2">
      <c r="A4771" s="183">
        <v>155</v>
      </c>
      <c r="B4771" s="232" t="str">
        <f>IF(AND(A4771&lt;&gt;"",ISNUMBER(A4771)),VLOOKUP(A4771,Studies!A:BR,2,FALSE),"")</f>
        <v>Eon Labs Manufacturing, Inc. 1997</v>
      </c>
      <c r="C4771" s="232" t="str">
        <f>IF(AND(A4771&lt;&gt;"",ISNUMBER(A4771)),VLOOKUP(A4771,Studies!A:BR,3,FALSE),"")</f>
        <v>https://www.accessdata.fda.gov/drugsatfda_docs/anda/97/064150review.pdf</v>
      </c>
      <c r="D4771" s="232" t="str">
        <f>IF(AND(A4771&lt;&gt;"",ISNUMBER(A4771)),VLOOKUP(A4771,Studies!A:BR,4,FALSE),"")</f>
        <v>2X300mg Tab (Eon)</v>
      </c>
      <c r="E4771" s="206" t="str">
        <f>IF(AND(A4771&lt;&gt;"",ISNUMBER(A4771)),VLOOKUP(A4771,Studies!A:BR,5,FALSE),"")</f>
        <v>Rifampicin</v>
      </c>
      <c r="F4771" s="207" t="str">
        <f>IF(AND(A4771&lt;&gt;"",ISNUMBER(A4771)),VLOOKUP(A4771,Studies!A:BR,6,FALSE),"")</f>
        <v>Plasma</v>
      </c>
      <c r="G4771" s="50">
        <v>1.5</v>
      </c>
      <c r="H4771" s="194" t="s">
        <v>60</v>
      </c>
      <c r="I4771" s="41">
        <v>9.32</v>
      </c>
      <c r="J4771" s="187" t="s">
        <v>1054</v>
      </c>
      <c r="K4771" s="187" t="s">
        <v>116</v>
      </c>
      <c r="L4771" s="52">
        <v>36</v>
      </c>
      <c r="M4771" s="195" t="s">
        <v>517</v>
      </c>
      <c r="N4771" s="195" t="s">
        <v>1056</v>
      </c>
    </row>
    <row r="4772" spans="1:14" x14ac:dyDescent="0.2">
      <c r="A4772" s="183">
        <v>155</v>
      </c>
      <c r="B4772" s="232" t="str">
        <f>IF(AND(A4772&lt;&gt;"",ISNUMBER(A4772)),VLOOKUP(A4772,Studies!A:BR,2,FALSE),"")</f>
        <v>Eon Labs Manufacturing, Inc. 1997</v>
      </c>
      <c r="C4772" s="232" t="str">
        <f>IF(AND(A4772&lt;&gt;"",ISNUMBER(A4772)),VLOOKUP(A4772,Studies!A:BR,3,FALSE),"")</f>
        <v>https://www.accessdata.fda.gov/drugsatfda_docs/anda/97/064150review.pdf</v>
      </c>
      <c r="D4772" s="232" t="str">
        <f>IF(AND(A4772&lt;&gt;"",ISNUMBER(A4772)),VLOOKUP(A4772,Studies!A:BR,4,FALSE),"")</f>
        <v>2X300mg Tab (Eon)</v>
      </c>
      <c r="E4772" s="206" t="str">
        <f>IF(AND(A4772&lt;&gt;"",ISNUMBER(A4772)),VLOOKUP(A4772,Studies!A:BR,5,FALSE),"")</f>
        <v>Rifampicin</v>
      </c>
      <c r="F4772" s="207" t="str">
        <f>IF(AND(A4772&lt;&gt;"",ISNUMBER(A4772)),VLOOKUP(A4772,Studies!A:BR,6,FALSE),"")</f>
        <v>Plasma</v>
      </c>
      <c r="G4772" s="50">
        <v>2</v>
      </c>
      <c r="H4772" s="194" t="s">
        <v>60</v>
      </c>
      <c r="I4772" s="41">
        <v>8.9499999999999993</v>
      </c>
      <c r="J4772" s="187" t="s">
        <v>1054</v>
      </c>
      <c r="K4772" s="187" t="s">
        <v>116</v>
      </c>
      <c r="L4772" s="52">
        <v>32</v>
      </c>
      <c r="M4772" s="195" t="s">
        <v>517</v>
      </c>
      <c r="N4772" s="195" t="s">
        <v>1056</v>
      </c>
    </row>
    <row r="4773" spans="1:14" x14ac:dyDescent="0.2">
      <c r="A4773" s="183">
        <v>155</v>
      </c>
      <c r="B4773" s="232" t="str">
        <f>IF(AND(A4773&lt;&gt;"",ISNUMBER(A4773)),VLOOKUP(A4773,Studies!A:BR,2,FALSE),"")</f>
        <v>Eon Labs Manufacturing, Inc. 1997</v>
      </c>
      <c r="C4773" s="232" t="str">
        <f>IF(AND(A4773&lt;&gt;"",ISNUMBER(A4773)),VLOOKUP(A4773,Studies!A:BR,3,FALSE),"")</f>
        <v>https://www.accessdata.fda.gov/drugsatfda_docs/anda/97/064150review.pdf</v>
      </c>
      <c r="D4773" s="232" t="str">
        <f>IF(AND(A4773&lt;&gt;"",ISNUMBER(A4773)),VLOOKUP(A4773,Studies!A:BR,4,FALSE),"")</f>
        <v>2X300mg Tab (Eon)</v>
      </c>
      <c r="E4773" s="206" t="str">
        <f>IF(AND(A4773&lt;&gt;"",ISNUMBER(A4773)),VLOOKUP(A4773,Studies!A:BR,5,FALSE),"")</f>
        <v>Rifampicin</v>
      </c>
      <c r="F4773" s="207" t="str">
        <f>IF(AND(A4773&lt;&gt;"",ISNUMBER(A4773)),VLOOKUP(A4773,Studies!A:BR,6,FALSE),"")</f>
        <v>Plasma</v>
      </c>
      <c r="G4773" s="50">
        <v>2.5</v>
      </c>
      <c r="H4773" s="194" t="s">
        <v>60</v>
      </c>
      <c r="I4773" s="41">
        <v>8.51</v>
      </c>
      <c r="J4773" s="187" t="s">
        <v>1054</v>
      </c>
      <c r="K4773" s="187" t="s">
        <v>116</v>
      </c>
      <c r="L4773" s="52">
        <v>24</v>
      </c>
      <c r="M4773" s="195" t="s">
        <v>517</v>
      </c>
      <c r="N4773" s="195" t="s">
        <v>1056</v>
      </c>
    </row>
    <row r="4774" spans="1:14" x14ac:dyDescent="0.2">
      <c r="A4774" s="183">
        <v>155</v>
      </c>
      <c r="B4774" s="232" t="str">
        <f>IF(AND(A4774&lt;&gt;"",ISNUMBER(A4774)),VLOOKUP(A4774,Studies!A:BR,2,FALSE),"")</f>
        <v>Eon Labs Manufacturing, Inc. 1997</v>
      </c>
      <c r="C4774" s="232" t="str">
        <f>IF(AND(A4774&lt;&gt;"",ISNUMBER(A4774)),VLOOKUP(A4774,Studies!A:BR,3,FALSE),"")</f>
        <v>https://www.accessdata.fda.gov/drugsatfda_docs/anda/97/064150review.pdf</v>
      </c>
      <c r="D4774" s="232" t="str">
        <f>IF(AND(A4774&lt;&gt;"",ISNUMBER(A4774)),VLOOKUP(A4774,Studies!A:BR,4,FALSE),"")</f>
        <v>2X300mg Tab (Eon)</v>
      </c>
      <c r="E4774" s="206" t="str">
        <f>IF(AND(A4774&lt;&gt;"",ISNUMBER(A4774)),VLOOKUP(A4774,Studies!A:BR,5,FALSE),"")</f>
        <v>Rifampicin</v>
      </c>
      <c r="F4774" s="207" t="str">
        <f>IF(AND(A4774&lt;&gt;"",ISNUMBER(A4774)),VLOOKUP(A4774,Studies!A:BR,6,FALSE),"")</f>
        <v>Plasma</v>
      </c>
      <c r="G4774" s="50">
        <v>3</v>
      </c>
      <c r="H4774" s="194" t="s">
        <v>60</v>
      </c>
      <c r="I4774" s="41">
        <v>7.9</v>
      </c>
      <c r="J4774" s="187" t="s">
        <v>1054</v>
      </c>
      <c r="K4774" s="187" t="s">
        <v>116</v>
      </c>
      <c r="L4774" s="52">
        <v>23</v>
      </c>
      <c r="M4774" s="195" t="s">
        <v>517</v>
      </c>
      <c r="N4774" s="195" t="s">
        <v>1056</v>
      </c>
    </row>
    <row r="4775" spans="1:14" x14ac:dyDescent="0.2">
      <c r="A4775" s="183">
        <v>155</v>
      </c>
      <c r="B4775" s="232" t="str">
        <f>IF(AND(A4775&lt;&gt;"",ISNUMBER(A4775)),VLOOKUP(A4775,Studies!A:BR,2,FALSE),"")</f>
        <v>Eon Labs Manufacturing, Inc. 1997</v>
      </c>
      <c r="C4775" s="232" t="str">
        <f>IF(AND(A4775&lt;&gt;"",ISNUMBER(A4775)),VLOOKUP(A4775,Studies!A:BR,3,FALSE),"")</f>
        <v>https://www.accessdata.fda.gov/drugsatfda_docs/anda/97/064150review.pdf</v>
      </c>
      <c r="D4775" s="232" t="str">
        <f>IF(AND(A4775&lt;&gt;"",ISNUMBER(A4775)),VLOOKUP(A4775,Studies!A:BR,4,FALSE),"")</f>
        <v>2X300mg Tab (Eon)</v>
      </c>
      <c r="E4775" s="206" t="str">
        <f>IF(AND(A4775&lt;&gt;"",ISNUMBER(A4775)),VLOOKUP(A4775,Studies!A:BR,5,FALSE),"")</f>
        <v>Rifampicin</v>
      </c>
      <c r="F4775" s="207" t="str">
        <f>IF(AND(A4775&lt;&gt;"",ISNUMBER(A4775)),VLOOKUP(A4775,Studies!A:BR,6,FALSE),"")</f>
        <v>Plasma</v>
      </c>
      <c r="G4775" s="50">
        <v>4</v>
      </c>
      <c r="H4775" s="194" t="s">
        <v>60</v>
      </c>
      <c r="I4775" s="41">
        <v>6.76</v>
      </c>
      <c r="J4775" s="187" t="s">
        <v>1054</v>
      </c>
      <c r="K4775" s="187" t="s">
        <v>116</v>
      </c>
      <c r="L4775" s="52">
        <v>22</v>
      </c>
      <c r="M4775" s="195" t="s">
        <v>517</v>
      </c>
      <c r="N4775" s="195" t="s">
        <v>1056</v>
      </c>
    </row>
    <row r="4776" spans="1:14" x14ac:dyDescent="0.2">
      <c r="A4776" s="183">
        <v>155</v>
      </c>
      <c r="B4776" s="232" t="str">
        <f>IF(AND(A4776&lt;&gt;"",ISNUMBER(A4776)),VLOOKUP(A4776,Studies!A:BR,2,FALSE),"")</f>
        <v>Eon Labs Manufacturing, Inc. 1997</v>
      </c>
      <c r="C4776" s="232" t="str">
        <f>IF(AND(A4776&lt;&gt;"",ISNUMBER(A4776)),VLOOKUP(A4776,Studies!A:BR,3,FALSE),"")</f>
        <v>https://www.accessdata.fda.gov/drugsatfda_docs/anda/97/064150review.pdf</v>
      </c>
      <c r="D4776" s="232" t="str">
        <f>IF(AND(A4776&lt;&gt;"",ISNUMBER(A4776)),VLOOKUP(A4776,Studies!A:BR,4,FALSE),"")</f>
        <v>2X300mg Tab (Eon)</v>
      </c>
      <c r="E4776" s="206" t="str">
        <f>IF(AND(A4776&lt;&gt;"",ISNUMBER(A4776)),VLOOKUP(A4776,Studies!A:BR,5,FALSE),"")</f>
        <v>Rifampicin</v>
      </c>
      <c r="F4776" s="207" t="str">
        <f>IF(AND(A4776&lt;&gt;"",ISNUMBER(A4776)),VLOOKUP(A4776,Studies!A:BR,6,FALSE),"")</f>
        <v>Plasma</v>
      </c>
      <c r="G4776" s="50">
        <v>6</v>
      </c>
      <c r="H4776" s="194" t="s">
        <v>60</v>
      </c>
      <c r="I4776" s="41">
        <v>4.29</v>
      </c>
      <c r="J4776" s="187" t="s">
        <v>1054</v>
      </c>
      <c r="K4776" s="187" t="s">
        <v>116</v>
      </c>
      <c r="L4776" s="52">
        <v>25</v>
      </c>
      <c r="M4776" s="195" t="s">
        <v>517</v>
      </c>
      <c r="N4776" s="195" t="s">
        <v>1056</v>
      </c>
    </row>
    <row r="4777" spans="1:14" x14ac:dyDescent="0.2">
      <c r="A4777" s="183">
        <v>155</v>
      </c>
      <c r="B4777" s="232" t="str">
        <f>IF(AND(A4777&lt;&gt;"",ISNUMBER(A4777)),VLOOKUP(A4777,Studies!A:BR,2,FALSE),"")</f>
        <v>Eon Labs Manufacturing, Inc. 1997</v>
      </c>
      <c r="C4777" s="232" t="str">
        <f>IF(AND(A4777&lt;&gt;"",ISNUMBER(A4777)),VLOOKUP(A4777,Studies!A:BR,3,FALSE),"")</f>
        <v>https://www.accessdata.fda.gov/drugsatfda_docs/anda/97/064150review.pdf</v>
      </c>
      <c r="D4777" s="232" t="str">
        <f>IF(AND(A4777&lt;&gt;"",ISNUMBER(A4777)),VLOOKUP(A4777,Studies!A:BR,4,FALSE),"")</f>
        <v>2X300mg Tab (Eon)</v>
      </c>
      <c r="E4777" s="206" t="str">
        <f>IF(AND(A4777&lt;&gt;"",ISNUMBER(A4777)),VLOOKUP(A4777,Studies!A:BR,5,FALSE),"")</f>
        <v>Rifampicin</v>
      </c>
      <c r="F4777" s="207" t="str">
        <f>IF(AND(A4777&lt;&gt;"",ISNUMBER(A4777)),VLOOKUP(A4777,Studies!A:BR,6,FALSE),"")</f>
        <v>Plasma</v>
      </c>
      <c r="G4777" s="50">
        <v>8</v>
      </c>
      <c r="H4777" s="194" t="s">
        <v>60</v>
      </c>
      <c r="I4777" s="41">
        <v>3.08</v>
      </c>
      <c r="J4777" s="187" t="s">
        <v>1054</v>
      </c>
      <c r="K4777" s="187" t="s">
        <v>116</v>
      </c>
      <c r="L4777" s="52">
        <v>35</v>
      </c>
      <c r="M4777" s="195" t="s">
        <v>517</v>
      </c>
      <c r="N4777" s="195" t="s">
        <v>1056</v>
      </c>
    </row>
    <row r="4778" spans="1:14" x14ac:dyDescent="0.2">
      <c r="A4778" s="183">
        <v>155</v>
      </c>
      <c r="B4778" s="232" t="str">
        <f>IF(AND(A4778&lt;&gt;"",ISNUMBER(A4778)),VLOOKUP(A4778,Studies!A:BR,2,FALSE),"")</f>
        <v>Eon Labs Manufacturing, Inc. 1997</v>
      </c>
      <c r="C4778" s="232" t="str">
        <f>IF(AND(A4778&lt;&gt;"",ISNUMBER(A4778)),VLOOKUP(A4778,Studies!A:BR,3,FALSE),"")</f>
        <v>https://www.accessdata.fda.gov/drugsatfda_docs/anda/97/064150review.pdf</v>
      </c>
      <c r="D4778" s="232" t="str">
        <f>IF(AND(A4778&lt;&gt;"",ISNUMBER(A4778)),VLOOKUP(A4778,Studies!A:BR,4,FALSE),"")</f>
        <v>2X300mg Tab (Eon)</v>
      </c>
      <c r="E4778" s="206" t="str">
        <f>IF(AND(A4778&lt;&gt;"",ISNUMBER(A4778)),VLOOKUP(A4778,Studies!A:BR,5,FALSE),"")</f>
        <v>Rifampicin</v>
      </c>
      <c r="F4778" s="207" t="str">
        <f>IF(AND(A4778&lt;&gt;"",ISNUMBER(A4778)),VLOOKUP(A4778,Studies!A:BR,6,FALSE),"")</f>
        <v>Plasma</v>
      </c>
      <c r="G4778" s="50">
        <v>10</v>
      </c>
      <c r="H4778" s="194" t="s">
        <v>60</v>
      </c>
      <c r="I4778" s="41">
        <v>1.89</v>
      </c>
      <c r="J4778" s="187" t="s">
        <v>1054</v>
      </c>
      <c r="K4778" s="187" t="s">
        <v>116</v>
      </c>
      <c r="L4778" s="52">
        <v>44</v>
      </c>
      <c r="M4778" s="195" t="s">
        <v>517</v>
      </c>
      <c r="N4778" s="195" t="s">
        <v>1056</v>
      </c>
    </row>
    <row r="4779" spans="1:14" x14ac:dyDescent="0.2">
      <c r="A4779" s="183">
        <v>155</v>
      </c>
      <c r="B4779" s="232" t="str">
        <f>IF(AND(A4779&lt;&gt;"",ISNUMBER(A4779)),VLOOKUP(A4779,Studies!A:BR,2,FALSE),"")</f>
        <v>Eon Labs Manufacturing, Inc. 1997</v>
      </c>
      <c r="C4779" s="232" t="str">
        <f>IF(AND(A4779&lt;&gt;"",ISNUMBER(A4779)),VLOOKUP(A4779,Studies!A:BR,3,FALSE),"")</f>
        <v>https://www.accessdata.fda.gov/drugsatfda_docs/anda/97/064150review.pdf</v>
      </c>
      <c r="D4779" s="232" t="str">
        <f>IF(AND(A4779&lt;&gt;"",ISNUMBER(A4779)),VLOOKUP(A4779,Studies!A:BR,4,FALSE),"")</f>
        <v>2X300mg Tab (Eon)</v>
      </c>
      <c r="E4779" s="206" t="str">
        <f>IF(AND(A4779&lt;&gt;"",ISNUMBER(A4779)),VLOOKUP(A4779,Studies!A:BR,5,FALSE),"")</f>
        <v>Rifampicin</v>
      </c>
      <c r="F4779" s="207" t="str">
        <f>IF(AND(A4779&lt;&gt;"",ISNUMBER(A4779)),VLOOKUP(A4779,Studies!A:BR,6,FALSE),"")</f>
        <v>Plasma</v>
      </c>
      <c r="G4779" s="50">
        <v>12</v>
      </c>
      <c r="H4779" s="194" t="s">
        <v>60</v>
      </c>
      <c r="I4779" s="41">
        <v>1.1599999999999999</v>
      </c>
      <c r="J4779" s="187" t="s">
        <v>1054</v>
      </c>
      <c r="K4779" s="187" t="s">
        <v>116</v>
      </c>
      <c r="L4779" s="52">
        <v>59</v>
      </c>
      <c r="M4779" s="195" t="s">
        <v>517</v>
      </c>
      <c r="N4779" s="195" t="s">
        <v>1056</v>
      </c>
    </row>
    <row r="4780" spans="1:14" x14ac:dyDescent="0.2">
      <c r="A4780" s="183">
        <v>155</v>
      </c>
      <c r="B4780" s="232" t="str">
        <f>IF(AND(A4780&lt;&gt;"",ISNUMBER(A4780)),VLOOKUP(A4780,Studies!A:BR,2,FALSE),"")</f>
        <v>Eon Labs Manufacturing, Inc. 1997</v>
      </c>
      <c r="C4780" s="232" t="str">
        <f>IF(AND(A4780&lt;&gt;"",ISNUMBER(A4780)),VLOOKUP(A4780,Studies!A:BR,3,FALSE),"")</f>
        <v>https://www.accessdata.fda.gov/drugsatfda_docs/anda/97/064150review.pdf</v>
      </c>
      <c r="D4780" s="232" t="str">
        <f>IF(AND(A4780&lt;&gt;"",ISNUMBER(A4780)),VLOOKUP(A4780,Studies!A:BR,4,FALSE),"")</f>
        <v>2X300mg Tab (Eon)</v>
      </c>
      <c r="E4780" s="206" t="str">
        <f>IF(AND(A4780&lt;&gt;"",ISNUMBER(A4780)),VLOOKUP(A4780,Studies!A:BR,5,FALSE),"")</f>
        <v>Rifampicin</v>
      </c>
      <c r="F4780" s="207" t="str">
        <f>IF(AND(A4780&lt;&gt;"",ISNUMBER(A4780)),VLOOKUP(A4780,Studies!A:BR,6,FALSE),"")</f>
        <v>Plasma</v>
      </c>
      <c r="G4780" s="50">
        <v>16</v>
      </c>
      <c r="H4780" s="194" t="s">
        <v>60</v>
      </c>
      <c r="I4780" s="41">
        <v>0.35</v>
      </c>
      <c r="J4780" s="187" t="s">
        <v>1054</v>
      </c>
      <c r="K4780" s="187" t="s">
        <v>116</v>
      </c>
      <c r="L4780" s="52">
        <v>114</v>
      </c>
      <c r="M4780" s="195" t="s">
        <v>517</v>
      </c>
      <c r="N4780" s="195" t="s">
        <v>1056</v>
      </c>
    </row>
    <row r="4781" spans="1:14" x14ac:dyDescent="0.2">
      <c r="A4781" s="183">
        <v>155</v>
      </c>
      <c r="B4781" s="232" t="str">
        <f>IF(AND(A4781&lt;&gt;"",ISNUMBER(A4781)),VLOOKUP(A4781,Studies!A:BR,2,FALSE),"")</f>
        <v>Eon Labs Manufacturing, Inc. 1997</v>
      </c>
      <c r="C4781" s="232" t="str">
        <f>IF(AND(A4781&lt;&gt;"",ISNUMBER(A4781)),VLOOKUP(A4781,Studies!A:BR,3,FALSE),"")</f>
        <v>https://www.accessdata.fda.gov/drugsatfda_docs/anda/97/064150review.pdf</v>
      </c>
      <c r="D4781" s="232" t="str">
        <f>IF(AND(A4781&lt;&gt;"",ISNUMBER(A4781)),VLOOKUP(A4781,Studies!A:BR,4,FALSE),"")</f>
        <v>2X300mg Tab (Eon)</v>
      </c>
      <c r="E4781" s="206" t="str">
        <f>IF(AND(A4781&lt;&gt;"",ISNUMBER(A4781)),VLOOKUP(A4781,Studies!A:BR,5,FALSE),"")</f>
        <v>Rifampicin</v>
      </c>
      <c r="F4781" s="207" t="str">
        <f>IF(AND(A4781&lt;&gt;"",ISNUMBER(A4781)),VLOOKUP(A4781,Studies!A:BR,6,FALSE),"")</f>
        <v>Plasma</v>
      </c>
      <c r="G4781" s="50">
        <v>24</v>
      </c>
      <c r="H4781" s="194" t="s">
        <v>60</v>
      </c>
      <c r="I4781" s="41">
        <v>0.01</v>
      </c>
      <c r="J4781" s="187" t="s">
        <v>1054</v>
      </c>
      <c r="K4781" s="187" t="s">
        <v>116</v>
      </c>
      <c r="L4781" s="52">
        <v>600</v>
      </c>
      <c r="M4781" s="195" t="s">
        <v>517</v>
      </c>
      <c r="N4781" s="195" t="s">
        <v>1056</v>
      </c>
    </row>
    <row r="4782" spans="1:14" x14ac:dyDescent="0.2">
      <c r="A4782" s="183">
        <v>156</v>
      </c>
      <c r="B4782" s="232" t="str">
        <f>IF(AND(A4782&lt;&gt;"",ISNUMBER(A4782)),VLOOKUP(A4782,Studies!A:BR,2,FALSE),"")</f>
        <v>Eon Labs Manufacturing, Inc. 1997</v>
      </c>
      <c r="C4782" s="232" t="str">
        <f>IF(AND(A4782&lt;&gt;"",ISNUMBER(A4782)),VLOOKUP(A4782,Studies!A:BR,3,FALSE),"")</f>
        <v>https://www.accessdata.fda.gov/drugsatfda_docs/anda/97/064150review.pdf</v>
      </c>
      <c r="D4782" s="232" t="str">
        <f>IF(AND(A4782&lt;&gt;"",ISNUMBER(A4782)),VLOOKUP(A4782,Studies!A:BR,4,FALSE),"")</f>
        <v>2X300mg Rifadine Tab</v>
      </c>
      <c r="E4782" s="206" t="str">
        <f>IF(AND(A4782&lt;&gt;"",ISNUMBER(A4782)),VLOOKUP(A4782,Studies!A:BR,5,FALSE),"")</f>
        <v>Rifampicin</v>
      </c>
      <c r="F4782" s="207" t="str">
        <f>IF(AND(A4782&lt;&gt;"",ISNUMBER(A4782)),VLOOKUP(A4782,Studies!A:BR,6,FALSE),"")</f>
        <v>Plasma</v>
      </c>
      <c r="G4782" s="194">
        <v>0.5</v>
      </c>
      <c r="H4782" s="194" t="s">
        <v>60</v>
      </c>
      <c r="I4782" s="41">
        <v>1.31</v>
      </c>
      <c r="J4782" s="187" t="s">
        <v>1054</v>
      </c>
      <c r="K4782" s="187" t="s">
        <v>116</v>
      </c>
      <c r="L4782" s="52">
        <v>148</v>
      </c>
      <c r="M4782" s="195" t="s">
        <v>517</v>
      </c>
      <c r="N4782" s="195" t="s">
        <v>1056</v>
      </c>
    </row>
    <row r="4783" spans="1:14" x14ac:dyDescent="0.2">
      <c r="A4783" s="183">
        <v>156</v>
      </c>
      <c r="B4783" s="232" t="str">
        <f>IF(AND(A4783&lt;&gt;"",ISNUMBER(A4783)),VLOOKUP(A4783,Studies!A:BR,2,FALSE),"")</f>
        <v>Eon Labs Manufacturing, Inc. 1997</v>
      </c>
      <c r="C4783" s="232" t="str">
        <f>IF(AND(A4783&lt;&gt;"",ISNUMBER(A4783)),VLOOKUP(A4783,Studies!A:BR,3,FALSE),"")</f>
        <v>https://www.accessdata.fda.gov/drugsatfda_docs/anda/97/064150review.pdf</v>
      </c>
      <c r="D4783" s="232" t="str">
        <f>IF(AND(A4783&lt;&gt;"",ISNUMBER(A4783)),VLOOKUP(A4783,Studies!A:BR,4,FALSE),"")</f>
        <v>2X300mg Rifadine Tab</v>
      </c>
      <c r="E4783" s="206" t="str">
        <f>IF(AND(A4783&lt;&gt;"",ISNUMBER(A4783)),VLOOKUP(A4783,Studies!A:BR,5,FALSE),"")</f>
        <v>Rifampicin</v>
      </c>
      <c r="F4783" s="207" t="str">
        <f>IF(AND(A4783&lt;&gt;"",ISNUMBER(A4783)),VLOOKUP(A4783,Studies!A:BR,6,FALSE),"")</f>
        <v>Plasma</v>
      </c>
      <c r="G4783" s="194">
        <v>1</v>
      </c>
      <c r="H4783" s="194" t="s">
        <v>60</v>
      </c>
      <c r="I4783" s="41">
        <v>8.6999999999999993</v>
      </c>
      <c r="J4783" s="187" t="s">
        <v>1054</v>
      </c>
      <c r="K4783" s="187" t="s">
        <v>116</v>
      </c>
      <c r="L4783" s="52">
        <v>37</v>
      </c>
      <c r="M4783" s="195" t="s">
        <v>517</v>
      </c>
      <c r="N4783" s="195" t="s">
        <v>1056</v>
      </c>
    </row>
    <row r="4784" spans="1:14" x14ac:dyDescent="0.2">
      <c r="A4784" s="183">
        <v>156</v>
      </c>
      <c r="B4784" s="232" t="str">
        <f>IF(AND(A4784&lt;&gt;"",ISNUMBER(A4784)),VLOOKUP(A4784,Studies!A:BR,2,FALSE),"")</f>
        <v>Eon Labs Manufacturing, Inc. 1997</v>
      </c>
      <c r="C4784" s="232" t="str">
        <f>IF(AND(A4784&lt;&gt;"",ISNUMBER(A4784)),VLOOKUP(A4784,Studies!A:BR,3,FALSE),"")</f>
        <v>https://www.accessdata.fda.gov/drugsatfda_docs/anda/97/064150review.pdf</v>
      </c>
      <c r="D4784" s="232" t="str">
        <f>IF(AND(A4784&lt;&gt;"",ISNUMBER(A4784)),VLOOKUP(A4784,Studies!A:BR,4,FALSE),"")</f>
        <v>2X300mg Rifadine Tab</v>
      </c>
      <c r="E4784" s="206" t="str">
        <f>IF(AND(A4784&lt;&gt;"",ISNUMBER(A4784)),VLOOKUP(A4784,Studies!A:BR,5,FALSE),"")</f>
        <v>Rifampicin</v>
      </c>
      <c r="F4784" s="207" t="str">
        <f>IF(AND(A4784&lt;&gt;"",ISNUMBER(A4784)),VLOOKUP(A4784,Studies!A:BR,6,FALSE),"")</f>
        <v>Plasma</v>
      </c>
      <c r="G4784" s="194">
        <v>1.5</v>
      </c>
      <c r="H4784" s="194" t="s">
        <v>60</v>
      </c>
      <c r="I4784" s="41">
        <v>9.8000000000000007</v>
      </c>
      <c r="J4784" s="187" t="s">
        <v>1054</v>
      </c>
      <c r="K4784" s="187" t="s">
        <v>116</v>
      </c>
      <c r="L4784" s="52">
        <v>31</v>
      </c>
      <c r="M4784" s="195" t="s">
        <v>517</v>
      </c>
      <c r="N4784" s="195" t="s">
        <v>1056</v>
      </c>
    </row>
    <row r="4785" spans="1:14" x14ac:dyDescent="0.2">
      <c r="A4785" s="183">
        <v>156</v>
      </c>
      <c r="B4785" s="232" t="str">
        <f>IF(AND(A4785&lt;&gt;"",ISNUMBER(A4785)),VLOOKUP(A4785,Studies!A:BR,2,FALSE),"")</f>
        <v>Eon Labs Manufacturing, Inc. 1997</v>
      </c>
      <c r="C4785" s="232" t="str">
        <f>IF(AND(A4785&lt;&gt;"",ISNUMBER(A4785)),VLOOKUP(A4785,Studies!A:BR,3,FALSE),"")</f>
        <v>https://www.accessdata.fda.gov/drugsatfda_docs/anda/97/064150review.pdf</v>
      </c>
      <c r="D4785" s="232" t="str">
        <f>IF(AND(A4785&lt;&gt;"",ISNUMBER(A4785)),VLOOKUP(A4785,Studies!A:BR,4,FALSE),"")</f>
        <v>2X300mg Rifadine Tab</v>
      </c>
      <c r="E4785" s="206" t="str">
        <f>IF(AND(A4785&lt;&gt;"",ISNUMBER(A4785)),VLOOKUP(A4785,Studies!A:BR,5,FALSE),"")</f>
        <v>Rifampicin</v>
      </c>
      <c r="F4785" s="207" t="str">
        <f>IF(AND(A4785&lt;&gt;"",ISNUMBER(A4785)),VLOOKUP(A4785,Studies!A:BR,6,FALSE),"")</f>
        <v>Plasma</v>
      </c>
      <c r="G4785" s="194">
        <v>2</v>
      </c>
      <c r="H4785" s="194" t="s">
        <v>60</v>
      </c>
      <c r="I4785" s="41">
        <v>9.15</v>
      </c>
      <c r="J4785" s="187" t="s">
        <v>1054</v>
      </c>
      <c r="K4785" s="187" t="s">
        <v>116</v>
      </c>
      <c r="L4785" s="52">
        <v>25</v>
      </c>
      <c r="M4785" s="195" t="s">
        <v>517</v>
      </c>
      <c r="N4785" s="195" t="s">
        <v>1056</v>
      </c>
    </row>
    <row r="4786" spans="1:14" x14ac:dyDescent="0.2">
      <c r="A4786" s="183">
        <v>156</v>
      </c>
      <c r="B4786" s="232" t="str">
        <f>IF(AND(A4786&lt;&gt;"",ISNUMBER(A4786)),VLOOKUP(A4786,Studies!A:BR,2,FALSE),"")</f>
        <v>Eon Labs Manufacturing, Inc. 1997</v>
      </c>
      <c r="C4786" s="232" t="str">
        <f>IF(AND(A4786&lt;&gt;"",ISNUMBER(A4786)),VLOOKUP(A4786,Studies!A:BR,3,FALSE),"")</f>
        <v>https://www.accessdata.fda.gov/drugsatfda_docs/anda/97/064150review.pdf</v>
      </c>
      <c r="D4786" s="232" t="str">
        <f>IF(AND(A4786&lt;&gt;"",ISNUMBER(A4786)),VLOOKUP(A4786,Studies!A:BR,4,FALSE),"")</f>
        <v>2X300mg Rifadine Tab</v>
      </c>
      <c r="E4786" s="206" t="str">
        <f>IF(AND(A4786&lt;&gt;"",ISNUMBER(A4786)),VLOOKUP(A4786,Studies!A:BR,5,FALSE),"")</f>
        <v>Rifampicin</v>
      </c>
      <c r="F4786" s="207" t="str">
        <f>IF(AND(A4786&lt;&gt;"",ISNUMBER(A4786)),VLOOKUP(A4786,Studies!A:BR,6,FALSE),"")</f>
        <v>Plasma</v>
      </c>
      <c r="G4786" s="194">
        <v>2.5</v>
      </c>
      <c r="H4786" s="194" t="s">
        <v>60</v>
      </c>
      <c r="I4786" s="41">
        <v>8.66</v>
      </c>
      <c r="J4786" s="187" t="s">
        <v>1054</v>
      </c>
      <c r="K4786" s="187" t="s">
        <v>116</v>
      </c>
      <c r="L4786" s="52">
        <v>23</v>
      </c>
      <c r="M4786" s="195" t="s">
        <v>517</v>
      </c>
      <c r="N4786" s="195" t="s">
        <v>1056</v>
      </c>
    </row>
    <row r="4787" spans="1:14" x14ac:dyDescent="0.2">
      <c r="A4787" s="183">
        <v>156</v>
      </c>
      <c r="B4787" s="232" t="str">
        <f>IF(AND(A4787&lt;&gt;"",ISNUMBER(A4787)),VLOOKUP(A4787,Studies!A:BR,2,FALSE),"")</f>
        <v>Eon Labs Manufacturing, Inc. 1997</v>
      </c>
      <c r="C4787" s="232" t="str">
        <f>IF(AND(A4787&lt;&gt;"",ISNUMBER(A4787)),VLOOKUP(A4787,Studies!A:BR,3,FALSE),"")</f>
        <v>https://www.accessdata.fda.gov/drugsatfda_docs/anda/97/064150review.pdf</v>
      </c>
      <c r="D4787" s="232" t="str">
        <f>IF(AND(A4787&lt;&gt;"",ISNUMBER(A4787)),VLOOKUP(A4787,Studies!A:BR,4,FALSE),"")</f>
        <v>2X300mg Rifadine Tab</v>
      </c>
      <c r="E4787" s="206" t="str">
        <f>IF(AND(A4787&lt;&gt;"",ISNUMBER(A4787)),VLOOKUP(A4787,Studies!A:BR,5,FALSE),"")</f>
        <v>Rifampicin</v>
      </c>
      <c r="F4787" s="207" t="str">
        <f>IF(AND(A4787&lt;&gt;"",ISNUMBER(A4787)),VLOOKUP(A4787,Studies!A:BR,6,FALSE),"")</f>
        <v>Plasma</v>
      </c>
      <c r="G4787" s="194">
        <v>3</v>
      </c>
      <c r="H4787" s="194" t="s">
        <v>60</v>
      </c>
      <c r="I4787" s="41">
        <v>7.92</v>
      </c>
      <c r="J4787" s="187" t="s">
        <v>1054</v>
      </c>
      <c r="K4787" s="187" t="s">
        <v>116</v>
      </c>
      <c r="L4787" s="52">
        <v>25</v>
      </c>
      <c r="M4787" s="195" t="s">
        <v>517</v>
      </c>
      <c r="N4787" s="195" t="s">
        <v>1056</v>
      </c>
    </row>
    <row r="4788" spans="1:14" x14ac:dyDescent="0.2">
      <c r="A4788" s="183">
        <v>156</v>
      </c>
      <c r="B4788" s="232" t="str">
        <f>IF(AND(A4788&lt;&gt;"",ISNUMBER(A4788)),VLOOKUP(A4788,Studies!A:BR,2,FALSE),"")</f>
        <v>Eon Labs Manufacturing, Inc. 1997</v>
      </c>
      <c r="C4788" s="232" t="str">
        <f>IF(AND(A4788&lt;&gt;"",ISNUMBER(A4788)),VLOOKUP(A4788,Studies!A:BR,3,FALSE),"")</f>
        <v>https://www.accessdata.fda.gov/drugsatfda_docs/anda/97/064150review.pdf</v>
      </c>
      <c r="D4788" s="232" t="str">
        <f>IF(AND(A4788&lt;&gt;"",ISNUMBER(A4788)),VLOOKUP(A4788,Studies!A:BR,4,FALSE),"")</f>
        <v>2X300mg Rifadine Tab</v>
      </c>
      <c r="E4788" s="206" t="str">
        <f>IF(AND(A4788&lt;&gt;"",ISNUMBER(A4788)),VLOOKUP(A4788,Studies!A:BR,5,FALSE),"")</f>
        <v>Rifampicin</v>
      </c>
      <c r="F4788" s="207" t="str">
        <f>IF(AND(A4788&lt;&gt;"",ISNUMBER(A4788)),VLOOKUP(A4788,Studies!A:BR,6,FALSE),"")</f>
        <v>Plasma</v>
      </c>
      <c r="G4788" s="194">
        <v>4</v>
      </c>
      <c r="H4788" s="194" t="s">
        <v>60</v>
      </c>
      <c r="I4788" s="41">
        <v>6.71</v>
      </c>
      <c r="J4788" s="187" t="s">
        <v>1054</v>
      </c>
      <c r="K4788" s="187" t="s">
        <v>116</v>
      </c>
      <c r="L4788" s="52">
        <v>24</v>
      </c>
      <c r="M4788" s="195" t="s">
        <v>517</v>
      </c>
      <c r="N4788" s="195" t="s">
        <v>1056</v>
      </c>
    </row>
    <row r="4789" spans="1:14" x14ac:dyDescent="0.2">
      <c r="A4789" s="183">
        <v>156</v>
      </c>
      <c r="B4789" s="232" t="str">
        <f>IF(AND(A4789&lt;&gt;"",ISNUMBER(A4789)),VLOOKUP(A4789,Studies!A:BR,2,FALSE),"")</f>
        <v>Eon Labs Manufacturing, Inc. 1997</v>
      </c>
      <c r="C4789" s="232" t="str">
        <f>IF(AND(A4789&lt;&gt;"",ISNUMBER(A4789)),VLOOKUP(A4789,Studies!A:BR,3,FALSE),"")</f>
        <v>https://www.accessdata.fda.gov/drugsatfda_docs/anda/97/064150review.pdf</v>
      </c>
      <c r="D4789" s="232" t="str">
        <f>IF(AND(A4789&lt;&gt;"",ISNUMBER(A4789)),VLOOKUP(A4789,Studies!A:BR,4,FALSE),"")</f>
        <v>2X300mg Rifadine Tab</v>
      </c>
      <c r="E4789" s="206" t="str">
        <f>IF(AND(A4789&lt;&gt;"",ISNUMBER(A4789)),VLOOKUP(A4789,Studies!A:BR,5,FALSE),"")</f>
        <v>Rifampicin</v>
      </c>
      <c r="F4789" s="207" t="str">
        <f>IF(AND(A4789&lt;&gt;"",ISNUMBER(A4789)),VLOOKUP(A4789,Studies!A:BR,6,FALSE),"")</f>
        <v>Plasma</v>
      </c>
      <c r="G4789" s="194">
        <v>6</v>
      </c>
      <c r="H4789" s="194" t="s">
        <v>60</v>
      </c>
      <c r="I4789" s="41">
        <v>4.1900000000000004</v>
      </c>
      <c r="J4789" s="187" t="s">
        <v>1054</v>
      </c>
      <c r="K4789" s="187" t="s">
        <v>116</v>
      </c>
      <c r="L4789" s="52">
        <v>24</v>
      </c>
      <c r="M4789" s="195" t="s">
        <v>517</v>
      </c>
      <c r="N4789" s="195" t="s">
        <v>1056</v>
      </c>
    </row>
    <row r="4790" spans="1:14" x14ac:dyDescent="0.2">
      <c r="A4790" s="183">
        <v>156</v>
      </c>
      <c r="B4790" s="232" t="str">
        <f>IF(AND(A4790&lt;&gt;"",ISNUMBER(A4790)),VLOOKUP(A4790,Studies!A:BR,2,FALSE),"")</f>
        <v>Eon Labs Manufacturing, Inc. 1997</v>
      </c>
      <c r="C4790" s="232" t="str">
        <f>IF(AND(A4790&lt;&gt;"",ISNUMBER(A4790)),VLOOKUP(A4790,Studies!A:BR,3,FALSE),"")</f>
        <v>https://www.accessdata.fda.gov/drugsatfda_docs/anda/97/064150review.pdf</v>
      </c>
      <c r="D4790" s="232" t="str">
        <f>IF(AND(A4790&lt;&gt;"",ISNUMBER(A4790)),VLOOKUP(A4790,Studies!A:BR,4,FALSE),"")</f>
        <v>2X300mg Rifadine Tab</v>
      </c>
      <c r="E4790" s="206" t="str">
        <f>IF(AND(A4790&lt;&gt;"",ISNUMBER(A4790)),VLOOKUP(A4790,Studies!A:BR,5,FALSE),"")</f>
        <v>Rifampicin</v>
      </c>
      <c r="F4790" s="207" t="str">
        <f>IF(AND(A4790&lt;&gt;"",ISNUMBER(A4790)),VLOOKUP(A4790,Studies!A:BR,6,FALSE),"")</f>
        <v>Plasma</v>
      </c>
      <c r="G4790" s="194">
        <v>8</v>
      </c>
      <c r="H4790" s="194" t="s">
        <v>60</v>
      </c>
      <c r="I4790" s="41">
        <v>2.97</v>
      </c>
      <c r="J4790" s="187" t="s">
        <v>1054</v>
      </c>
      <c r="K4790" s="187" t="s">
        <v>116</v>
      </c>
      <c r="L4790" s="195">
        <v>31</v>
      </c>
      <c r="M4790" s="195" t="s">
        <v>517</v>
      </c>
      <c r="N4790" s="195" t="s">
        <v>1056</v>
      </c>
    </row>
    <row r="4791" spans="1:14" x14ac:dyDescent="0.2">
      <c r="A4791" s="183">
        <v>156</v>
      </c>
      <c r="B4791" s="232" t="str">
        <f>IF(AND(A4791&lt;&gt;"",ISNUMBER(A4791)),VLOOKUP(A4791,Studies!A:BR,2,FALSE),"")</f>
        <v>Eon Labs Manufacturing, Inc. 1997</v>
      </c>
      <c r="C4791" s="232" t="str">
        <f>IF(AND(A4791&lt;&gt;"",ISNUMBER(A4791)),VLOOKUP(A4791,Studies!A:BR,3,FALSE),"")</f>
        <v>https://www.accessdata.fda.gov/drugsatfda_docs/anda/97/064150review.pdf</v>
      </c>
      <c r="D4791" s="232" t="str">
        <f>IF(AND(A4791&lt;&gt;"",ISNUMBER(A4791)),VLOOKUP(A4791,Studies!A:BR,4,FALSE),"")</f>
        <v>2X300mg Rifadine Tab</v>
      </c>
      <c r="E4791" s="206" t="str">
        <f>IF(AND(A4791&lt;&gt;"",ISNUMBER(A4791)),VLOOKUP(A4791,Studies!A:BR,5,FALSE),"")</f>
        <v>Rifampicin</v>
      </c>
      <c r="F4791" s="207" t="str">
        <f>IF(AND(A4791&lt;&gt;"",ISNUMBER(A4791)),VLOOKUP(A4791,Studies!A:BR,6,FALSE),"")</f>
        <v>Plasma</v>
      </c>
      <c r="G4791" s="194">
        <v>10</v>
      </c>
      <c r="H4791" s="194" t="s">
        <v>60</v>
      </c>
      <c r="I4791" s="41">
        <v>1.8</v>
      </c>
      <c r="J4791" s="187" t="s">
        <v>1054</v>
      </c>
      <c r="K4791" s="187" t="s">
        <v>116</v>
      </c>
      <c r="L4791" s="195">
        <v>40</v>
      </c>
      <c r="M4791" s="195" t="s">
        <v>517</v>
      </c>
      <c r="N4791" s="195" t="s">
        <v>1056</v>
      </c>
    </row>
    <row r="4792" spans="1:14" x14ac:dyDescent="0.2">
      <c r="A4792" s="183">
        <v>156</v>
      </c>
      <c r="B4792" s="232" t="str">
        <f>IF(AND(A4792&lt;&gt;"",ISNUMBER(A4792)),VLOOKUP(A4792,Studies!A:BR,2,FALSE),"")</f>
        <v>Eon Labs Manufacturing, Inc. 1997</v>
      </c>
      <c r="C4792" s="232" t="str">
        <f>IF(AND(A4792&lt;&gt;"",ISNUMBER(A4792)),VLOOKUP(A4792,Studies!A:BR,3,FALSE),"")</f>
        <v>https://www.accessdata.fda.gov/drugsatfda_docs/anda/97/064150review.pdf</v>
      </c>
      <c r="D4792" s="232" t="str">
        <f>IF(AND(A4792&lt;&gt;"",ISNUMBER(A4792)),VLOOKUP(A4792,Studies!A:BR,4,FALSE),"")</f>
        <v>2X300mg Rifadine Tab</v>
      </c>
      <c r="E4792" s="206" t="str">
        <f>IF(AND(A4792&lt;&gt;"",ISNUMBER(A4792)),VLOOKUP(A4792,Studies!A:BR,5,FALSE),"")</f>
        <v>Rifampicin</v>
      </c>
      <c r="F4792" s="207" t="str">
        <f>IF(AND(A4792&lt;&gt;"",ISNUMBER(A4792)),VLOOKUP(A4792,Studies!A:BR,6,FALSE),"")</f>
        <v>Plasma</v>
      </c>
      <c r="G4792" s="194">
        <v>12</v>
      </c>
      <c r="H4792" s="194" t="s">
        <v>60</v>
      </c>
      <c r="I4792" s="41">
        <v>1.0900000000000001</v>
      </c>
      <c r="J4792" s="187" t="s">
        <v>1054</v>
      </c>
      <c r="K4792" s="187" t="s">
        <v>116</v>
      </c>
      <c r="L4792" s="195">
        <v>52</v>
      </c>
      <c r="M4792" s="195" t="s">
        <v>517</v>
      </c>
      <c r="N4792" s="195" t="s">
        <v>1056</v>
      </c>
    </row>
    <row r="4793" spans="1:14" x14ac:dyDescent="0.2">
      <c r="A4793" s="183">
        <v>156</v>
      </c>
      <c r="B4793" s="232" t="str">
        <f>IF(AND(A4793&lt;&gt;"",ISNUMBER(A4793)),VLOOKUP(A4793,Studies!A:BR,2,FALSE),"")</f>
        <v>Eon Labs Manufacturing, Inc. 1997</v>
      </c>
      <c r="C4793" s="232" t="str">
        <f>IF(AND(A4793&lt;&gt;"",ISNUMBER(A4793)),VLOOKUP(A4793,Studies!A:BR,3,FALSE),"")</f>
        <v>https://www.accessdata.fda.gov/drugsatfda_docs/anda/97/064150review.pdf</v>
      </c>
      <c r="D4793" s="232" t="str">
        <f>IF(AND(A4793&lt;&gt;"",ISNUMBER(A4793)),VLOOKUP(A4793,Studies!A:BR,4,FALSE),"")</f>
        <v>2X300mg Rifadine Tab</v>
      </c>
      <c r="E4793" s="206" t="str">
        <f>IF(AND(A4793&lt;&gt;"",ISNUMBER(A4793)),VLOOKUP(A4793,Studies!A:BR,5,FALSE),"")</f>
        <v>Rifampicin</v>
      </c>
      <c r="F4793" s="207" t="str">
        <f>IF(AND(A4793&lt;&gt;"",ISNUMBER(A4793)),VLOOKUP(A4793,Studies!A:BR,6,FALSE),"")</f>
        <v>Plasma</v>
      </c>
      <c r="G4793" s="194">
        <v>16</v>
      </c>
      <c r="H4793" s="194" t="s">
        <v>60</v>
      </c>
      <c r="I4793" s="41">
        <v>0.3</v>
      </c>
      <c r="J4793" s="187" t="s">
        <v>1054</v>
      </c>
      <c r="K4793" s="187" t="s">
        <v>116</v>
      </c>
      <c r="L4793" s="195">
        <v>108</v>
      </c>
      <c r="M4793" s="195" t="s">
        <v>517</v>
      </c>
      <c r="N4793" s="195" t="s">
        <v>1056</v>
      </c>
    </row>
    <row r="4794" spans="1:14" x14ac:dyDescent="0.2">
      <c r="A4794" s="183">
        <v>156</v>
      </c>
      <c r="B4794" s="232" t="str">
        <f>IF(AND(A4794&lt;&gt;"",ISNUMBER(A4794)),VLOOKUP(A4794,Studies!A:BR,2,FALSE),"")</f>
        <v>Eon Labs Manufacturing, Inc. 1997</v>
      </c>
      <c r="C4794" s="232" t="str">
        <f>IF(AND(A4794&lt;&gt;"",ISNUMBER(A4794)),VLOOKUP(A4794,Studies!A:BR,3,FALSE),"")</f>
        <v>https://www.accessdata.fda.gov/drugsatfda_docs/anda/97/064150review.pdf</v>
      </c>
      <c r="D4794" s="232" t="str">
        <f>IF(AND(A4794&lt;&gt;"",ISNUMBER(A4794)),VLOOKUP(A4794,Studies!A:BR,4,FALSE),"")</f>
        <v>2X300mg Rifadine Tab</v>
      </c>
      <c r="E4794" s="206" t="str">
        <f>IF(AND(A4794&lt;&gt;"",ISNUMBER(A4794)),VLOOKUP(A4794,Studies!A:BR,5,FALSE),"")</f>
        <v>Rifampicin</v>
      </c>
      <c r="F4794" s="207" t="str">
        <f>IF(AND(A4794&lt;&gt;"",ISNUMBER(A4794)),VLOOKUP(A4794,Studies!A:BR,6,FALSE),"")</f>
        <v>Plasma</v>
      </c>
      <c r="G4794" s="194">
        <v>24</v>
      </c>
      <c r="H4794" s="194" t="s">
        <v>60</v>
      </c>
      <c r="I4794" s="41">
        <v>0.02</v>
      </c>
      <c r="J4794" s="187" t="s">
        <v>1054</v>
      </c>
      <c r="K4794" s="187" t="s">
        <v>116</v>
      </c>
      <c r="L4794" s="195">
        <v>353</v>
      </c>
      <c r="M4794" s="195" t="s">
        <v>517</v>
      </c>
      <c r="N4794" s="195" t="s">
        <v>1056</v>
      </c>
    </row>
    <row r="4795" spans="1:14" x14ac:dyDescent="0.2">
      <c r="A4795" s="189">
        <v>48</v>
      </c>
      <c r="B4795" s="232" t="str">
        <f>IF(AND(A4795&lt;&gt;"",ISNUMBER(A4795)),VLOOKUP(A4795,Studies!A:BR,2,FALSE),"")</f>
        <v>Acocella 1985</v>
      </c>
      <c r="C4795" s="232" t="str">
        <f>IF(AND(A4795&lt;&gt;"",ISNUMBER(A4795)),VLOOKUP(A4795,Studies!A:BR,3,FALSE),"")</f>
        <v>https://www.ncbi.nlm.nih.gov/pubmed/4037525</v>
      </c>
      <c r="D4795" s="232" t="str">
        <f>IF(AND(A4795&lt;&gt;"",ISNUMBER(A4795)),VLOOKUP(A4795,Studies!A:BR,4,FALSE),"")</f>
        <v>R alone</v>
      </c>
      <c r="E4795" s="206" t="str">
        <f>IF(AND(A4795&lt;&gt;"",ISNUMBER(A4795)),VLOOKUP(A4795,Studies!A:BR,5,FALSE),"")</f>
        <v>Rifampicin</v>
      </c>
      <c r="F4795" s="207" t="str">
        <f>IF(AND(A4795&lt;&gt;"",ISNUMBER(A4795)),VLOOKUP(A4795,Studies!A:BR,6,FALSE),"")</f>
        <v>Plasma</v>
      </c>
      <c r="G4795" s="50">
        <v>0</v>
      </c>
      <c r="H4795" s="50" t="s">
        <v>60</v>
      </c>
      <c r="I4795" s="41">
        <v>0</v>
      </c>
      <c r="J4795" s="41" t="s">
        <v>1054</v>
      </c>
      <c r="K4795" s="41" t="s">
        <v>116</v>
      </c>
    </row>
    <row r="4796" spans="1:14" x14ac:dyDescent="0.2">
      <c r="A4796" s="189">
        <v>48</v>
      </c>
      <c r="B4796" s="232" t="str">
        <f>IF(AND(A4796&lt;&gt;"",ISNUMBER(A4796)),VLOOKUP(A4796,Studies!A:BR,2,FALSE),"")</f>
        <v>Acocella 1985</v>
      </c>
      <c r="C4796" s="232" t="str">
        <f>IF(AND(A4796&lt;&gt;"",ISNUMBER(A4796)),VLOOKUP(A4796,Studies!A:BR,3,FALSE),"")</f>
        <v>https://www.ncbi.nlm.nih.gov/pubmed/4037525</v>
      </c>
      <c r="D4796" s="232" t="str">
        <f>IF(AND(A4796&lt;&gt;"",ISNUMBER(A4796)),VLOOKUP(A4796,Studies!A:BR,4,FALSE),"")</f>
        <v>R alone</v>
      </c>
      <c r="E4796" s="206" t="str">
        <f>IF(AND(A4796&lt;&gt;"",ISNUMBER(A4796)),VLOOKUP(A4796,Studies!A:BR,5,FALSE),"")</f>
        <v>Rifampicin</v>
      </c>
      <c r="F4796" s="207" t="str">
        <f>IF(AND(A4796&lt;&gt;"",ISNUMBER(A4796)),VLOOKUP(A4796,Studies!A:BR,6,FALSE),"")</f>
        <v>Plasma</v>
      </c>
      <c r="G4796" s="50">
        <v>1</v>
      </c>
      <c r="H4796" s="50" t="s">
        <v>60</v>
      </c>
      <c r="I4796" s="41">
        <v>0.38344099999999998</v>
      </c>
      <c r="J4796" s="41" t="s">
        <v>1054</v>
      </c>
      <c r="K4796" s="41" t="s">
        <v>116</v>
      </c>
      <c r="L4796" s="52">
        <v>0.1090429</v>
      </c>
      <c r="M4796" s="52" t="s">
        <v>1054</v>
      </c>
      <c r="N4796" s="52" t="s">
        <v>117</v>
      </c>
    </row>
    <row r="4797" spans="1:14" x14ac:dyDescent="0.2">
      <c r="A4797" s="189">
        <v>48</v>
      </c>
      <c r="B4797" s="232" t="str">
        <f>IF(AND(A4797&lt;&gt;"",ISNUMBER(A4797)),VLOOKUP(A4797,Studies!A:BR,2,FALSE),"")</f>
        <v>Acocella 1985</v>
      </c>
      <c r="C4797" s="232" t="str">
        <f>IF(AND(A4797&lt;&gt;"",ISNUMBER(A4797)),VLOOKUP(A4797,Studies!A:BR,3,FALSE),"")</f>
        <v>https://www.ncbi.nlm.nih.gov/pubmed/4037525</v>
      </c>
      <c r="D4797" s="232" t="str">
        <f>IF(AND(A4797&lt;&gt;"",ISNUMBER(A4797)),VLOOKUP(A4797,Studies!A:BR,4,FALSE),"")</f>
        <v>R alone</v>
      </c>
      <c r="E4797" s="206" t="str">
        <f>IF(AND(A4797&lt;&gt;"",ISNUMBER(A4797)),VLOOKUP(A4797,Studies!A:BR,5,FALSE),"")</f>
        <v>Rifampicin</v>
      </c>
      <c r="F4797" s="207" t="str">
        <f>IF(AND(A4797&lt;&gt;"",ISNUMBER(A4797)),VLOOKUP(A4797,Studies!A:BR,6,FALSE),"")</f>
        <v>Plasma</v>
      </c>
      <c r="G4797" s="50">
        <v>2</v>
      </c>
      <c r="H4797" s="50" t="s">
        <v>60</v>
      </c>
      <c r="I4797" s="41">
        <v>3.366727</v>
      </c>
      <c r="J4797" s="41" t="s">
        <v>1054</v>
      </c>
      <c r="K4797" s="41" t="s">
        <v>116</v>
      </c>
      <c r="L4797" s="52">
        <v>1.490872</v>
      </c>
      <c r="M4797" s="52" t="s">
        <v>1054</v>
      </c>
      <c r="N4797" s="52" t="s">
        <v>117</v>
      </c>
    </row>
    <row r="4798" spans="1:14" x14ac:dyDescent="0.2">
      <c r="A4798" s="189">
        <v>48</v>
      </c>
      <c r="B4798" s="232" t="str">
        <f>IF(AND(A4798&lt;&gt;"",ISNUMBER(A4798)),VLOOKUP(A4798,Studies!A:BR,2,FALSE),"")</f>
        <v>Acocella 1985</v>
      </c>
      <c r="C4798" s="232" t="str">
        <f>IF(AND(A4798&lt;&gt;"",ISNUMBER(A4798)),VLOOKUP(A4798,Studies!A:BR,3,FALSE),"")</f>
        <v>https://www.ncbi.nlm.nih.gov/pubmed/4037525</v>
      </c>
      <c r="D4798" s="232" t="str">
        <f>IF(AND(A4798&lt;&gt;"",ISNUMBER(A4798)),VLOOKUP(A4798,Studies!A:BR,4,FALSE),"")</f>
        <v>R alone</v>
      </c>
      <c r="E4798" s="206" t="str">
        <f>IF(AND(A4798&lt;&gt;"",ISNUMBER(A4798)),VLOOKUP(A4798,Studies!A:BR,5,FALSE),"")</f>
        <v>Rifampicin</v>
      </c>
      <c r="F4798" s="207" t="str">
        <f>IF(AND(A4798&lt;&gt;"",ISNUMBER(A4798)),VLOOKUP(A4798,Studies!A:BR,6,FALSE),"")</f>
        <v>Plasma</v>
      </c>
      <c r="G4798" s="50">
        <v>3</v>
      </c>
      <c r="H4798" s="50" t="s">
        <v>60</v>
      </c>
      <c r="I4798" s="41">
        <v>5.6591659999999999</v>
      </c>
      <c r="J4798" s="41" t="s">
        <v>1054</v>
      </c>
      <c r="K4798" s="41" t="s">
        <v>116</v>
      </c>
      <c r="L4798" s="52">
        <v>0.79998060000000004</v>
      </c>
      <c r="M4798" s="52" t="s">
        <v>1054</v>
      </c>
      <c r="N4798" s="52" t="s">
        <v>117</v>
      </c>
    </row>
    <row r="4799" spans="1:14" x14ac:dyDescent="0.2">
      <c r="A4799" s="189">
        <v>48</v>
      </c>
      <c r="B4799" s="232" t="str">
        <f>IF(AND(A4799&lt;&gt;"",ISNUMBER(A4799)),VLOOKUP(A4799,Studies!A:BR,2,FALSE),"")</f>
        <v>Acocella 1985</v>
      </c>
      <c r="C4799" s="232" t="str">
        <f>IF(AND(A4799&lt;&gt;"",ISNUMBER(A4799)),VLOOKUP(A4799,Studies!A:BR,3,FALSE),"")</f>
        <v>https://www.ncbi.nlm.nih.gov/pubmed/4037525</v>
      </c>
      <c r="D4799" s="232" t="str">
        <f>IF(AND(A4799&lt;&gt;"",ISNUMBER(A4799)),VLOOKUP(A4799,Studies!A:BR,4,FALSE),"")</f>
        <v>R alone</v>
      </c>
      <c r="E4799" s="206" t="str">
        <f>IF(AND(A4799&lt;&gt;"",ISNUMBER(A4799)),VLOOKUP(A4799,Studies!A:BR,5,FALSE),"")</f>
        <v>Rifampicin</v>
      </c>
      <c r="F4799" s="207" t="str">
        <f>IF(AND(A4799&lt;&gt;"",ISNUMBER(A4799)),VLOOKUP(A4799,Studies!A:BR,6,FALSE),"")</f>
        <v>Plasma</v>
      </c>
      <c r="G4799" s="50">
        <v>4</v>
      </c>
      <c r="H4799" s="50" t="s">
        <v>60</v>
      </c>
      <c r="I4799" s="41">
        <v>5.7516150000000001</v>
      </c>
      <c r="J4799" s="41" t="s">
        <v>1054</v>
      </c>
      <c r="K4799" s="41" t="s">
        <v>116</v>
      </c>
      <c r="L4799" s="52">
        <v>0.70907310000000001</v>
      </c>
      <c r="M4799" s="52" t="s">
        <v>1054</v>
      </c>
      <c r="N4799" s="52" t="s">
        <v>117</v>
      </c>
    </row>
    <row r="4800" spans="1:14" x14ac:dyDescent="0.2">
      <c r="A4800" s="189">
        <v>48</v>
      </c>
      <c r="B4800" s="232" t="str">
        <f>IF(AND(A4800&lt;&gt;"",ISNUMBER(A4800)),VLOOKUP(A4800,Studies!A:BR,2,FALSE),"")</f>
        <v>Acocella 1985</v>
      </c>
      <c r="C4800" s="232" t="str">
        <f>IF(AND(A4800&lt;&gt;"",ISNUMBER(A4800)),VLOOKUP(A4800,Studies!A:BR,3,FALSE),"")</f>
        <v>https://www.ncbi.nlm.nih.gov/pubmed/4037525</v>
      </c>
      <c r="D4800" s="232" t="str">
        <f>IF(AND(A4800&lt;&gt;"",ISNUMBER(A4800)),VLOOKUP(A4800,Studies!A:BR,4,FALSE),"")</f>
        <v>R alone</v>
      </c>
      <c r="E4800" s="206" t="str">
        <f>IF(AND(A4800&lt;&gt;"",ISNUMBER(A4800)),VLOOKUP(A4800,Studies!A:BR,5,FALSE),"")</f>
        <v>Rifampicin</v>
      </c>
      <c r="F4800" s="207" t="str">
        <f>IF(AND(A4800&lt;&gt;"",ISNUMBER(A4800)),VLOOKUP(A4800,Studies!A:BR,6,FALSE),"")</f>
        <v>Plasma</v>
      </c>
      <c r="G4800" s="50">
        <v>8</v>
      </c>
      <c r="H4800" s="50" t="s">
        <v>60</v>
      </c>
      <c r="I4800" s="41">
        <v>2.575815</v>
      </c>
      <c r="J4800" s="41" t="s">
        <v>1054</v>
      </c>
      <c r="K4800" s="41" t="s">
        <v>116</v>
      </c>
      <c r="L4800" s="52">
        <v>0.89088679999999998</v>
      </c>
      <c r="M4800" s="52" t="s">
        <v>1054</v>
      </c>
      <c r="N4800" s="52" t="s">
        <v>117</v>
      </c>
    </row>
    <row r="4801" spans="1:16" x14ac:dyDescent="0.2">
      <c r="A4801" s="189">
        <v>48</v>
      </c>
      <c r="B4801" s="232" t="str">
        <f>IF(AND(A4801&lt;&gt;"",ISNUMBER(A4801)),VLOOKUP(A4801,Studies!A:BR,2,FALSE),"")</f>
        <v>Acocella 1985</v>
      </c>
      <c r="C4801" s="232" t="str">
        <f>IF(AND(A4801&lt;&gt;"",ISNUMBER(A4801)),VLOOKUP(A4801,Studies!A:BR,3,FALSE),"")</f>
        <v>https://www.ncbi.nlm.nih.gov/pubmed/4037525</v>
      </c>
      <c r="D4801" s="232" t="str">
        <f>IF(AND(A4801&lt;&gt;"",ISNUMBER(A4801)),VLOOKUP(A4801,Studies!A:BR,4,FALSE),"")</f>
        <v>R alone</v>
      </c>
      <c r="E4801" s="206" t="str">
        <f>IF(AND(A4801&lt;&gt;"",ISNUMBER(A4801)),VLOOKUP(A4801,Studies!A:BR,5,FALSE),"")</f>
        <v>Rifampicin</v>
      </c>
      <c r="F4801" s="207" t="str">
        <f>IF(AND(A4801&lt;&gt;"",ISNUMBER(A4801)),VLOOKUP(A4801,Studies!A:BR,6,FALSE),"")</f>
        <v>Plasma</v>
      </c>
      <c r="G4801" s="50">
        <v>12</v>
      </c>
      <c r="H4801" s="50" t="s">
        <v>60</v>
      </c>
      <c r="I4801" s="41">
        <v>3.0727419999999999</v>
      </c>
      <c r="J4801" s="41" t="s">
        <v>1054</v>
      </c>
      <c r="K4801" s="41" t="s">
        <v>116</v>
      </c>
      <c r="L4801" s="52">
        <v>0.38185409999999997</v>
      </c>
      <c r="M4801" s="52" t="s">
        <v>1054</v>
      </c>
      <c r="N4801" s="52" t="s">
        <v>117</v>
      </c>
    </row>
    <row r="4802" spans="1:16" x14ac:dyDescent="0.2">
      <c r="A4802" s="189">
        <v>270</v>
      </c>
      <c r="B4802" s="232" t="str">
        <f>IF(AND(A4802&lt;&gt;"",ISNUMBER(A4802)),VLOOKUP(A4802,Studies!A:BR,2,FALSE),"")</f>
        <v>Jalava 1997</v>
      </c>
      <c r="C4802" s="232" t="str">
        <f>IF(AND(A4802&lt;&gt;"",ISNUMBER(A4802)),VLOOKUP(A4802,Studies!A:BR,3,FALSE),"")</f>
        <v>https://www.ncbi.nlm.nih.gov/pubmed/9421099</v>
      </c>
      <c r="D4802" s="232" t="str">
        <f>IF(AND(A4802&lt;&gt;"",ISNUMBER(A4802)),VLOOKUP(A4802,Studies!A:BR,4,FALSE),"")</f>
        <v>po Control (Perpetrator Placebo)</v>
      </c>
      <c r="E4802" s="206" t="str">
        <f>IF(AND(A4802&lt;&gt;"",ISNUMBER(A4802)),VLOOKUP(A4802,Studies!A:BR,5,FALSE),"")</f>
        <v>Digoxin</v>
      </c>
      <c r="F4802" s="207" t="str">
        <f>IF(AND(A4802&lt;&gt;"",ISNUMBER(A4802)),VLOOKUP(A4802,Studies!A:BR,6,FALSE),"")</f>
        <v>Serum</v>
      </c>
      <c r="G4802" s="50">
        <v>1</v>
      </c>
      <c r="H4802" s="50" t="s">
        <v>60</v>
      </c>
      <c r="I4802" s="41">
        <v>3.0492110000000001</v>
      </c>
      <c r="J4802" s="41" t="s">
        <v>1059</v>
      </c>
      <c r="K4802" s="41" t="s">
        <v>116</v>
      </c>
      <c r="L4802" s="52">
        <v>0.61517449999999996</v>
      </c>
      <c r="M4802" s="52" t="s">
        <v>1059</v>
      </c>
      <c r="N4802" s="52" t="s">
        <v>1034</v>
      </c>
      <c r="O4802" s="59">
        <v>0.2</v>
      </c>
    </row>
    <row r="4803" spans="1:16" x14ac:dyDescent="0.2">
      <c r="A4803" s="189">
        <v>270</v>
      </c>
      <c r="B4803" s="232" t="str">
        <f>IF(AND(A4803&lt;&gt;"",ISNUMBER(A4803)),VLOOKUP(A4803,Studies!A:BR,2,FALSE),"")</f>
        <v>Jalava 1997</v>
      </c>
      <c r="C4803" s="232" t="str">
        <f>IF(AND(A4803&lt;&gt;"",ISNUMBER(A4803)),VLOOKUP(A4803,Studies!A:BR,3,FALSE),"")</f>
        <v>https://www.ncbi.nlm.nih.gov/pubmed/9421099</v>
      </c>
      <c r="D4803" s="232" t="str">
        <f>IF(AND(A4803&lt;&gt;"",ISNUMBER(A4803)),VLOOKUP(A4803,Studies!A:BR,4,FALSE),"")</f>
        <v>po Control (Perpetrator Placebo)</v>
      </c>
      <c r="E4803" s="206" t="str">
        <f>IF(AND(A4803&lt;&gt;"",ISNUMBER(A4803)),VLOOKUP(A4803,Studies!A:BR,5,FALSE),"")</f>
        <v>Digoxin</v>
      </c>
      <c r="F4803" s="207" t="str">
        <f>IF(AND(A4803&lt;&gt;"",ISNUMBER(A4803)),VLOOKUP(A4803,Studies!A:BR,6,FALSE),"")</f>
        <v>Serum</v>
      </c>
      <c r="G4803" s="50">
        <v>2</v>
      </c>
      <c r="H4803" s="50" t="s">
        <v>60</v>
      </c>
      <c r="I4803" s="41">
        <v>2.0171359999999998</v>
      </c>
      <c r="J4803" s="41" t="s">
        <v>1059</v>
      </c>
      <c r="K4803" s="41" t="s">
        <v>116</v>
      </c>
      <c r="L4803" s="52">
        <v>0.19224250000000001</v>
      </c>
      <c r="M4803" s="52" t="s">
        <v>1059</v>
      </c>
      <c r="N4803" s="52" t="s">
        <v>1034</v>
      </c>
      <c r="O4803" s="199">
        <v>0.2</v>
      </c>
    </row>
    <row r="4804" spans="1:16" x14ac:dyDescent="0.2">
      <c r="A4804" s="189">
        <v>270</v>
      </c>
      <c r="B4804" s="232" t="str">
        <f>IF(AND(A4804&lt;&gt;"",ISNUMBER(A4804)),VLOOKUP(A4804,Studies!A:BR,2,FALSE),"")</f>
        <v>Jalava 1997</v>
      </c>
      <c r="C4804" s="232" t="str">
        <f>IF(AND(A4804&lt;&gt;"",ISNUMBER(A4804)),VLOOKUP(A4804,Studies!A:BR,3,FALSE),"")</f>
        <v>https://www.ncbi.nlm.nih.gov/pubmed/9421099</v>
      </c>
      <c r="D4804" s="232" t="str">
        <f>IF(AND(A4804&lt;&gt;"",ISNUMBER(A4804)),VLOOKUP(A4804,Studies!A:BR,4,FALSE),"")</f>
        <v>po Control (Perpetrator Placebo)</v>
      </c>
      <c r="E4804" s="206" t="str">
        <f>IF(AND(A4804&lt;&gt;"",ISNUMBER(A4804)),VLOOKUP(A4804,Studies!A:BR,5,FALSE),"")</f>
        <v>Digoxin</v>
      </c>
      <c r="F4804" s="207" t="str">
        <f>IF(AND(A4804&lt;&gt;"",ISNUMBER(A4804)),VLOOKUP(A4804,Studies!A:BR,6,FALSE),"")</f>
        <v>Serum</v>
      </c>
      <c r="G4804" s="50">
        <v>4</v>
      </c>
      <c r="H4804" s="50" t="s">
        <v>60</v>
      </c>
      <c r="I4804" s="41">
        <v>0.99423139999999999</v>
      </c>
      <c r="J4804" s="41" t="s">
        <v>1059</v>
      </c>
      <c r="K4804" s="41" t="s">
        <v>116</v>
      </c>
      <c r="L4804" s="52">
        <v>6.0332480000000001E-2</v>
      </c>
      <c r="M4804" s="52" t="s">
        <v>1059</v>
      </c>
      <c r="N4804" s="52" t="s">
        <v>1034</v>
      </c>
      <c r="O4804" s="199">
        <v>0.2</v>
      </c>
    </row>
    <row r="4805" spans="1:16" x14ac:dyDescent="0.2">
      <c r="A4805" s="189">
        <v>270</v>
      </c>
      <c r="B4805" s="232" t="str">
        <f>IF(AND(A4805&lt;&gt;"",ISNUMBER(A4805)),VLOOKUP(A4805,Studies!A:BR,2,FALSE),"")</f>
        <v>Jalava 1997</v>
      </c>
      <c r="C4805" s="232" t="str">
        <f>IF(AND(A4805&lt;&gt;"",ISNUMBER(A4805)),VLOOKUP(A4805,Studies!A:BR,3,FALSE),"")</f>
        <v>https://www.ncbi.nlm.nih.gov/pubmed/9421099</v>
      </c>
      <c r="D4805" s="232" t="str">
        <f>IF(AND(A4805&lt;&gt;"",ISNUMBER(A4805)),VLOOKUP(A4805,Studies!A:BR,4,FALSE),"")</f>
        <v>po Control (Perpetrator Placebo)</v>
      </c>
      <c r="E4805" s="206" t="str">
        <f>IF(AND(A4805&lt;&gt;"",ISNUMBER(A4805)),VLOOKUP(A4805,Studies!A:BR,5,FALSE),"")</f>
        <v>Digoxin</v>
      </c>
      <c r="F4805" s="207" t="str">
        <f>IF(AND(A4805&lt;&gt;"",ISNUMBER(A4805)),VLOOKUP(A4805,Studies!A:BR,6,FALSE),"")</f>
        <v>Serum</v>
      </c>
      <c r="G4805" s="50">
        <v>8</v>
      </c>
      <c r="H4805" s="50" t="s">
        <v>60</v>
      </c>
      <c r="I4805" s="41">
        <v>0.64530960000000004</v>
      </c>
      <c r="J4805" s="41" t="s">
        <v>1059</v>
      </c>
      <c r="K4805" s="41" t="s">
        <v>116</v>
      </c>
      <c r="L4805" s="52">
        <v>5.4141160000000001E-2</v>
      </c>
      <c r="M4805" s="52" t="s">
        <v>1059</v>
      </c>
      <c r="N4805" s="52" t="s">
        <v>1034</v>
      </c>
      <c r="O4805" s="199">
        <v>0.2</v>
      </c>
    </row>
    <row r="4806" spans="1:16" x14ac:dyDescent="0.2">
      <c r="A4806" s="189">
        <v>270</v>
      </c>
      <c r="B4806" s="232" t="str">
        <f>IF(AND(A4806&lt;&gt;"",ISNUMBER(A4806)),VLOOKUP(A4806,Studies!A:BR,2,FALSE),"")</f>
        <v>Jalava 1997</v>
      </c>
      <c r="C4806" s="232" t="str">
        <f>IF(AND(A4806&lt;&gt;"",ISNUMBER(A4806)),VLOOKUP(A4806,Studies!A:BR,3,FALSE),"")</f>
        <v>https://www.ncbi.nlm.nih.gov/pubmed/9421099</v>
      </c>
      <c r="D4806" s="232" t="str">
        <f>IF(AND(A4806&lt;&gt;"",ISNUMBER(A4806)),VLOOKUP(A4806,Studies!A:BR,4,FALSE),"")</f>
        <v>po Control (Perpetrator Placebo)</v>
      </c>
      <c r="E4806" s="206" t="str">
        <f>IF(AND(A4806&lt;&gt;"",ISNUMBER(A4806)),VLOOKUP(A4806,Studies!A:BR,5,FALSE),"")</f>
        <v>Digoxin</v>
      </c>
      <c r="F4806" s="207" t="str">
        <f>IF(AND(A4806&lt;&gt;"",ISNUMBER(A4806)),VLOOKUP(A4806,Studies!A:BR,6,FALSE),"")</f>
        <v>Serum</v>
      </c>
      <c r="G4806" s="50">
        <v>12</v>
      </c>
      <c r="H4806" s="50" t="s">
        <v>60</v>
      </c>
      <c r="I4806" s="41">
        <v>0.49907580000000001</v>
      </c>
      <c r="J4806" s="41" t="s">
        <v>1059</v>
      </c>
      <c r="K4806" s="41" t="s">
        <v>116</v>
      </c>
      <c r="L4806" s="52">
        <v>3.6117110000000001E-2</v>
      </c>
      <c r="M4806" s="52" t="s">
        <v>1059</v>
      </c>
      <c r="N4806" s="52" t="s">
        <v>1034</v>
      </c>
      <c r="O4806" s="199">
        <v>0.2</v>
      </c>
    </row>
    <row r="4807" spans="1:16" x14ac:dyDescent="0.2">
      <c r="A4807" s="189">
        <v>270</v>
      </c>
      <c r="B4807" s="232" t="str">
        <f>IF(AND(A4807&lt;&gt;"",ISNUMBER(A4807)),VLOOKUP(A4807,Studies!A:BR,2,FALSE),"")</f>
        <v>Jalava 1997</v>
      </c>
      <c r="C4807" s="232" t="str">
        <f>IF(AND(A4807&lt;&gt;"",ISNUMBER(A4807)),VLOOKUP(A4807,Studies!A:BR,3,FALSE),"")</f>
        <v>https://www.ncbi.nlm.nih.gov/pubmed/9421099</v>
      </c>
      <c r="D4807" s="232" t="str">
        <f>IF(AND(A4807&lt;&gt;"",ISNUMBER(A4807)),VLOOKUP(A4807,Studies!A:BR,4,FALSE),"")</f>
        <v>po Control (Perpetrator Placebo)</v>
      </c>
      <c r="E4807" s="206" t="str">
        <f>IF(AND(A4807&lt;&gt;"",ISNUMBER(A4807)),VLOOKUP(A4807,Studies!A:BR,5,FALSE),"")</f>
        <v>Digoxin</v>
      </c>
      <c r="F4807" s="207" t="str">
        <f>IF(AND(A4807&lt;&gt;"",ISNUMBER(A4807)),VLOOKUP(A4807,Studies!A:BR,6,FALSE),"")</f>
        <v>Serum</v>
      </c>
      <c r="G4807" s="50">
        <v>24</v>
      </c>
      <c r="H4807" s="50" t="s">
        <v>60</v>
      </c>
      <c r="I4807" s="41">
        <v>0.45672770000000001</v>
      </c>
      <c r="J4807" s="41" t="s">
        <v>1059</v>
      </c>
      <c r="K4807" s="41" t="s">
        <v>116</v>
      </c>
      <c r="L4807" s="52">
        <v>3.5688070000000002E-2</v>
      </c>
      <c r="M4807" s="52" t="s">
        <v>1059</v>
      </c>
      <c r="N4807" s="52" t="s">
        <v>1034</v>
      </c>
      <c r="O4807" s="199">
        <v>0.2</v>
      </c>
    </row>
    <row r="4808" spans="1:16" x14ac:dyDescent="0.2">
      <c r="A4808" s="189">
        <v>270</v>
      </c>
      <c r="B4808" s="232" t="str">
        <f>IF(AND(A4808&lt;&gt;"",ISNUMBER(A4808)),VLOOKUP(A4808,Studies!A:BR,2,FALSE),"")</f>
        <v>Jalava 1997</v>
      </c>
      <c r="C4808" s="232" t="str">
        <f>IF(AND(A4808&lt;&gt;"",ISNUMBER(A4808)),VLOOKUP(A4808,Studies!A:BR,3,FALSE),"")</f>
        <v>https://www.ncbi.nlm.nih.gov/pubmed/9421099</v>
      </c>
      <c r="D4808" s="232" t="str">
        <f>IF(AND(A4808&lt;&gt;"",ISNUMBER(A4808)),VLOOKUP(A4808,Studies!A:BR,4,FALSE),"")</f>
        <v>po Control (Perpetrator Placebo)</v>
      </c>
      <c r="E4808" s="206" t="str">
        <f>IF(AND(A4808&lt;&gt;"",ISNUMBER(A4808)),VLOOKUP(A4808,Studies!A:BR,5,FALSE),"")</f>
        <v>Digoxin</v>
      </c>
      <c r="F4808" s="207" t="str">
        <f>IF(AND(A4808&lt;&gt;"",ISNUMBER(A4808)),VLOOKUP(A4808,Studies!A:BR,6,FALSE),"")</f>
        <v>Serum</v>
      </c>
      <c r="G4808" s="50">
        <v>49</v>
      </c>
      <c r="H4808" s="50" t="s">
        <v>60</v>
      </c>
      <c r="I4808" s="41">
        <v>0.1533756</v>
      </c>
      <c r="J4808" s="41" t="s">
        <v>1059</v>
      </c>
      <c r="K4808" s="41" t="s">
        <v>116</v>
      </c>
      <c r="L4808" s="52">
        <v>2.3848370000000001E-2</v>
      </c>
      <c r="M4808" s="52" t="s">
        <v>1059</v>
      </c>
      <c r="N4808" s="52" t="s">
        <v>1034</v>
      </c>
      <c r="O4808" s="199">
        <v>0.2</v>
      </c>
      <c r="P4808" s="42" t="s">
        <v>1510</v>
      </c>
    </row>
    <row r="4809" spans="1:16" x14ac:dyDescent="0.2">
      <c r="A4809" s="189">
        <v>271</v>
      </c>
      <c r="B4809" s="232" t="str">
        <f>IF(AND(A4809&lt;&gt;"",ISNUMBER(A4809)),VLOOKUP(A4809,Studies!A:BR,2,FALSE),"")</f>
        <v>Jalava 1997</v>
      </c>
      <c r="C4809" s="232" t="str">
        <f>IF(AND(A4809&lt;&gt;"",ISNUMBER(A4809)),VLOOKUP(A4809,Studies!A:BR,3,FALSE),"")</f>
        <v>https://www.ncbi.nlm.nih.gov/pubmed/9421099</v>
      </c>
      <c r="D4809" s="232" t="str">
        <f>IF(AND(A4809&lt;&gt;"",ISNUMBER(A4809)),VLOOKUP(A4809,Studies!A:BR,4,FALSE),"")</f>
        <v>po with Perpetrator (Itraconazole)</v>
      </c>
      <c r="E4809" s="206" t="str">
        <f>IF(AND(A4809&lt;&gt;"",ISNUMBER(A4809)),VLOOKUP(A4809,Studies!A:BR,5,FALSE),"")</f>
        <v>Digoxin</v>
      </c>
      <c r="F4809" s="207" t="str">
        <f>IF(AND(A4809&lt;&gt;"",ISNUMBER(A4809)),VLOOKUP(A4809,Studies!A:BR,6,FALSE),"")</f>
        <v>Serum</v>
      </c>
      <c r="G4809" s="50">
        <v>51</v>
      </c>
      <c r="H4809" s="50" t="s">
        <v>60</v>
      </c>
      <c r="I4809" s="41">
        <v>3.2461679999999999</v>
      </c>
      <c r="J4809" s="41" t="s">
        <v>1059</v>
      </c>
      <c r="K4809" s="41" t="s">
        <v>116</v>
      </c>
      <c r="L4809" s="52">
        <v>0.69517139999999999</v>
      </c>
      <c r="M4809" s="52" t="s">
        <v>1059</v>
      </c>
      <c r="N4809" s="52" t="s">
        <v>1034</v>
      </c>
      <c r="O4809" s="199">
        <v>0.2</v>
      </c>
    </row>
    <row r="4810" spans="1:16" x14ac:dyDescent="0.2">
      <c r="A4810" s="189">
        <v>271</v>
      </c>
      <c r="B4810" s="232" t="str">
        <f>IF(AND(A4810&lt;&gt;"",ISNUMBER(A4810)),VLOOKUP(A4810,Studies!A:BR,2,FALSE),"")</f>
        <v>Jalava 1997</v>
      </c>
      <c r="C4810" s="232" t="str">
        <f>IF(AND(A4810&lt;&gt;"",ISNUMBER(A4810)),VLOOKUP(A4810,Studies!A:BR,3,FALSE),"")</f>
        <v>https://www.ncbi.nlm.nih.gov/pubmed/9421099</v>
      </c>
      <c r="D4810" s="232" t="str">
        <f>IF(AND(A4810&lt;&gt;"",ISNUMBER(A4810)),VLOOKUP(A4810,Studies!A:BR,4,FALSE),"")</f>
        <v>po with Perpetrator (Itraconazole)</v>
      </c>
      <c r="E4810" s="206" t="str">
        <f>IF(AND(A4810&lt;&gt;"",ISNUMBER(A4810)),VLOOKUP(A4810,Studies!A:BR,5,FALSE),"")</f>
        <v>Digoxin</v>
      </c>
      <c r="F4810" s="207" t="str">
        <f>IF(AND(A4810&lt;&gt;"",ISNUMBER(A4810)),VLOOKUP(A4810,Studies!A:BR,6,FALSE),"")</f>
        <v>Serum</v>
      </c>
      <c r="G4810" s="50">
        <v>52</v>
      </c>
      <c r="H4810" s="50" t="s">
        <v>60</v>
      </c>
      <c r="I4810" s="41">
        <v>3.5210490000000001</v>
      </c>
      <c r="J4810" s="41" t="s">
        <v>1059</v>
      </c>
      <c r="K4810" s="41" t="s">
        <v>116</v>
      </c>
      <c r="L4810" s="52">
        <v>0.4199138</v>
      </c>
      <c r="M4810" s="52" t="s">
        <v>1059</v>
      </c>
      <c r="N4810" s="52" t="s">
        <v>1034</v>
      </c>
      <c r="O4810" s="199">
        <v>0.2</v>
      </c>
    </row>
    <row r="4811" spans="1:16" x14ac:dyDescent="0.2">
      <c r="A4811" s="189">
        <v>271</v>
      </c>
      <c r="B4811" s="232" t="str">
        <f>IF(AND(A4811&lt;&gt;"",ISNUMBER(A4811)),VLOOKUP(A4811,Studies!A:BR,2,FALSE),"")</f>
        <v>Jalava 1997</v>
      </c>
      <c r="C4811" s="232" t="str">
        <f>IF(AND(A4811&lt;&gt;"",ISNUMBER(A4811)),VLOOKUP(A4811,Studies!A:BR,3,FALSE),"")</f>
        <v>https://www.ncbi.nlm.nih.gov/pubmed/9421099</v>
      </c>
      <c r="D4811" s="232" t="str">
        <f>IF(AND(A4811&lt;&gt;"",ISNUMBER(A4811)),VLOOKUP(A4811,Studies!A:BR,4,FALSE),"")</f>
        <v>po with Perpetrator (Itraconazole)</v>
      </c>
      <c r="E4811" s="206" t="str">
        <f>IF(AND(A4811&lt;&gt;"",ISNUMBER(A4811)),VLOOKUP(A4811,Studies!A:BR,5,FALSE),"")</f>
        <v>Digoxin</v>
      </c>
      <c r="F4811" s="207" t="str">
        <f>IF(AND(A4811&lt;&gt;"",ISNUMBER(A4811)),VLOOKUP(A4811,Studies!A:BR,6,FALSE),"")</f>
        <v>Serum</v>
      </c>
      <c r="G4811" s="50">
        <v>54</v>
      </c>
      <c r="H4811" s="50" t="s">
        <v>60</v>
      </c>
      <c r="I4811" s="41">
        <v>2.2153160000000001</v>
      </c>
      <c r="J4811" s="41" t="s">
        <v>1059</v>
      </c>
      <c r="K4811" s="41" t="s">
        <v>116</v>
      </c>
      <c r="L4811" s="52">
        <v>0.32708140000000002</v>
      </c>
      <c r="M4811" s="52" t="s">
        <v>1059</v>
      </c>
      <c r="N4811" s="52" t="s">
        <v>1034</v>
      </c>
      <c r="O4811" s="199">
        <v>0.2</v>
      </c>
    </row>
    <row r="4812" spans="1:16" x14ac:dyDescent="0.2">
      <c r="A4812" s="189">
        <v>271</v>
      </c>
      <c r="B4812" s="232" t="str">
        <f>IF(AND(A4812&lt;&gt;"",ISNUMBER(A4812)),VLOOKUP(A4812,Studies!A:BR,2,FALSE),"")</f>
        <v>Jalava 1997</v>
      </c>
      <c r="C4812" s="232" t="str">
        <f>IF(AND(A4812&lt;&gt;"",ISNUMBER(A4812)),VLOOKUP(A4812,Studies!A:BR,3,FALSE),"")</f>
        <v>https://www.ncbi.nlm.nih.gov/pubmed/9421099</v>
      </c>
      <c r="D4812" s="232" t="str">
        <f>IF(AND(A4812&lt;&gt;"",ISNUMBER(A4812)),VLOOKUP(A4812,Studies!A:BR,4,FALSE),"")</f>
        <v>po with Perpetrator (Itraconazole)</v>
      </c>
      <c r="E4812" s="206" t="str">
        <f>IF(AND(A4812&lt;&gt;"",ISNUMBER(A4812)),VLOOKUP(A4812,Studies!A:BR,5,FALSE),"")</f>
        <v>Digoxin</v>
      </c>
      <c r="F4812" s="207" t="str">
        <f>IF(AND(A4812&lt;&gt;"",ISNUMBER(A4812)),VLOOKUP(A4812,Studies!A:BR,6,FALSE),"")</f>
        <v>Serum</v>
      </c>
      <c r="G4812" s="50">
        <v>58</v>
      </c>
      <c r="H4812" s="50" t="s">
        <v>60</v>
      </c>
      <c r="I4812" s="41">
        <v>0.95725579999999999</v>
      </c>
      <c r="J4812" s="41" t="s">
        <v>1059</v>
      </c>
      <c r="K4812" s="41" t="s">
        <v>116</v>
      </c>
      <c r="L4812" s="52">
        <v>7.4669299999999994E-2</v>
      </c>
      <c r="M4812" s="52" t="s">
        <v>1059</v>
      </c>
      <c r="N4812" s="52" t="s">
        <v>1034</v>
      </c>
      <c r="O4812" s="199">
        <v>0.2</v>
      </c>
    </row>
    <row r="4813" spans="1:16" x14ac:dyDescent="0.2">
      <c r="A4813" s="189">
        <v>271</v>
      </c>
      <c r="B4813" s="232" t="str">
        <f>IF(AND(A4813&lt;&gt;"",ISNUMBER(A4813)),VLOOKUP(A4813,Studies!A:BR,2,FALSE),"")</f>
        <v>Jalava 1997</v>
      </c>
      <c r="C4813" s="232" t="str">
        <f>IF(AND(A4813&lt;&gt;"",ISNUMBER(A4813)),VLOOKUP(A4813,Studies!A:BR,3,FALSE),"")</f>
        <v>https://www.ncbi.nlm.nih.gov/pubmed/9421099</v>
      </c>
      <c r="D4813" s="232" t="str">
        <f>IF(AND(A4813&lt;&gt;"",ISNUMBER(A4813)),VLOOKUP(A4813,Studies!A:BR,4,FALSE),"")</f>
        <v>po with Perpetrator (Itraconazole)</v>
      </c>
      <c r="E4813" s="206" t="str">
        <f>IF(AND(A4813&lt;&gt;"",ISNUMBER(A4813)),VLOOKUP(A4813,Studies!A:BR,5,FALSE),"")</f>
        <v>Digoxin</v>
      </c>
      <c r="F4813" s="207" t="str">
        <f>IF(AND(A4813&lt;&gt;"",ISNUMBER(A4813)),VLOOKUP(A4813,Studies!A:BR,6,FALSE),"")</f>
        <v>Serum</v>
      </c>
      <c r="G4813" s="50">
        <v>62</v>
      </c>
      <c r="H4813" s="50" t="s">
        <v>60</v>
      </c>
      <c r="I4813" s="41">
        <v>0.67821200000000004</v>
      </c>
      <c r="J4813" s="41" t="s">
        <v>1059</v>
      </c>
      <c r="K4813" s="41" t="s">
        <v>116</v>
      </c>
      <c r="O4813" s="199">
        <v>0.2</v>
      </c>
    </row>
    <row r="4814" spans="1:16" x14ac:dyDescent="0.2">
      <c r="A4814" s="189">
        <v>271</v>
      </c>
      <c r="B4814" s="232" t="str">
        <f>IF(AND(A4814&lt;&gt;"",ISNUMBER(A4814)),VLOOKUP(A4814,Studies!A:BR,2,FALSE),"")</f>
        <v>Jalava 1997</v>
      </c>
      <c r="C4814" s="232" t="str">
        <f>IF(AND(A4814&lt;&gt;"",ISNUMBER(A4814)),VLOOKUP(A4814,Studies!A:BR,3,FALSE),"")</f>
        <v>https://www.ncbi.nlm.nih.gov/pubmed/9421099</v>
      </c>
      <c r="D4814" s="232" t="str">
        <f>IF(AND(A4814&lt;&gt;"",ISNUMBER(A4814)),VLOOKUP(A4814,Studies!A:BR,4,FALSE),"")</f>
        <v>po with Perpetrator (Itraconazole)</v>
      </c>
      <c r="E4814" s="206" t="str">
        <f>IF(AND(A4814&lt;&gt;"",ISNUMBER(A4814)),VLOOKUP(A4814,Studies!A:BR,5,FALSE),"")</f>
        <v>Digoxin</v>
      </c>
      <c r="F4814" s="207" t="str">
        <f>IF(AND(A4814&lt;&gt;"",ISNUMBER(A4814)),VLOOKUP(A4814,Studies!A:BR,6,FALSE),"")</f>
        <v>Serum</v>
      </c>
      <c r="G4814" s="50">
        <v>74</v>
      </c>
      <c r="H4814" s="50" t="s">
        <v>60</v>
      </c>
      <c r="I4814" s="41">
        <v>0.51119610000000004</v>
      </c>
      <c r="J4814" s="41" t="s">
        <v>1059</v>
      </c>
      <c r="K4814" s="41" t="s">
        <v>116</v>
      </c>
      <c r="L4814" s="52">
        <v>3.9875090000000002E-2</v>
      </c>
      <c r="M4814" s="52" t="s">
        <v>1059</v>
      </c>
      <c r="N4814" s="52" t="s">
        <v>1034</v>
      </c>
      <c r="O4814" s="199">
        <v>0.2</v>
      </c>
    </row>
    <row r="4815" spans="1:16" x14ac:dyDescent="0.2">
      <c r="A4815" s="189">
        <v>271</v>
      </c>
      <c r="B4815" s="232" t="str">
        <f>IF(AND(A4815&lt;&gt;"",ISNUMBER(A4815)),VLOOKUP(A4815,Studies!A:BR,2,FALSE),"")</f>
        <v>Jalava 1997</v>
      </c>
      <c r="C4815" s="232" t="str">
        <f>IF(AND(A4815&lt;&gt;"",ISNUMBER(A4815)),VLOOKUP(A4815,Studies!A:BR,3,FALSE),"")</f>
        <v>https://www.ncbi.nlm.nih.gov/pubmed/9421099</v>
      </c>
      <c r="D4815" s="232" t="str">
        <f>IF(AND(A4815&lt;&gt;"",ISNUMBER(A4815)),VLOOKUP(A4815,Studies!A:BR,4,FALSE),"")</f>
        <v>po with Perpetrator (Itraconazole)</v>
      </c>
      <c r="E4815" s="206" t="str">
        <f>IF(AND(A4815&lt;&gt;"",ISNUMBER(A4815)),VLOOKUP(A4815,Studies!A:BR,5,FALSE),"")</f>
        <v>Digoxin</v>
      </c>
      <c r="F4815" s="207" t="str">
        <f>IF(AND(A4815&lt;&gt;"",ISNUMBER(A4815)),VLOOKUP(A4815,Studies!A:BR,6,FALSE),"")</f>
        <v>Serum</v>
      </c>
      <c r="G4815" s="50">
        <v>98</v>
      </c>
      <c r="H4815" s="50" t="s">
        <v>60</v>
      </c>
      <c r="I4815" s="41">
        <v>0.33961780000000003</v>
      </c>
      <c r="J4815" s="41" t="s">
        <v>1059</v>
      </c>
      <c r="K4815" s="41" t="s">
        <v>116</v>
      </c>
      <c r="L4815" s="52">
        <v>3.8130280000000003E-2</v>
      </c>
      <c r="M4815" s="52" t="s">
        <v>1059</v>
      </c>
      <c r="N4815" s="52" t="s">
        <v>1034</v>
      </c>
      <c r="O4815" s="199">
        <v>0.2</v>
      </c>
    </row>
    <row r="4816" spans="1:16" x14ac:dyDescent="0.2">
      <c r="A4816" s="189">
        <v>271</v>
      </c>
      <c r="B4816" s="232" t="str">
        <f>IF(AND(A4816&lt;&gt;"",ISNUMBER(A4816)),VLOOKUP(A4816,Studies!A:BR,2,FALSE),"")</f>
        <v>Jalava 1997</v>
      </c>
      <c r="C4816" s="232" t="str">
        <f>IF(AND(A4816&lt;&gt;"",ISNUMBER(A4816)),VLOOKUP(A4816,Studies!A:BR,3,FALSE),"")</f>
        <v>https://www.ncbi.nlm.nih.gov/pubmed/9421099</v>
      </c>
      <c r="D4816" s="232" t="str">
        <f>IF(AND(A4816&lt;&gt;"",ISNUMBER(A4816)),VLOOKUP(A4816,Studies!A:BR,4,FALSE),"")</f>
        <v>po with Perpetrator (Itraconazole)</v>
      </c>
      <c r="E4816" s="206" t="str">
        <f>IF(AND(A4816&lt;&gt;"",ISNUMBER(A4816)),VLOOKUP(A4816,Studies!A:BR,5,FALSE),"")</f>
        <v>Digoxin</v>
      </c>
      <c r="F4816" s="207" t="str">
        <f>IF(AND(A4816&lt;&gt;"",ISNUMBER(A4816)),VLOOKUP(A4816,Studies!A:BR,6,FALSE),"")</f>
        <v>Serum</v>
      </c>
      <c r="G4816" s="50">
        <v>122</v>
      </c>
      <c r="H4816" s="50" t="s">
        <v>60</v>
      </c>
      <c r="I4816" s="41">
        <v>0.1579208</v>
      </c>
      <c r="J4816" s="41" t="s">
        <v>1059</v>
      </c>
      <c r="K4816" s="41" t="s">
        <v>116</v>
      </c>
      <c r="L4816" s="52">
        <v>3.6232430000000003E-2</v>
      </c>
      <c r="M4816" s="52" t="s">
        <v>1059</v>
      </c>
      <c r="N4816" s="52" t="s">
        <v>1034</v>
      </c>
      <c r="O4816" s="199">
        <v>0.2</v>
      </c>
    </row>
    <row r="4817" spans="1:16" x14ac:dyDescent="0.2">
      <c r="A4817" s="189">
        <v>272</v>
      </c>
      <c r="B4817" s="232" t="str">
        <f>IF(AND(A4817&lt;&gt;"",ISNUMBER(A4817)),VLOOKUP(A4817,Studies!A:BR,2,FALSE),"")</f>
        <v>Jalava 1997</v>
      </c>
      <c r="C4817" s="232" t="str">
        <f>IF(AND(A4817&lt;&gt;"",ISNUMBER(A4817)),VLOOKUP(A4817,Studies!A:BR,3,FALSE),"")</f>
        <v>https://www.ncbi.nlm.nih.gov/pubmed/9421099</v>
      </c>
      <c r="D4817" s="232" t="str">
        <f>IF(AND(A4817&lt;&gt;"",ISNUMBER(A4817)),VLOOKUP(A4817,Studies!A:BR,4,FALSE),"")</f>
        <v>po with Perpetrator (Itraconazole)</v>
      </c>
      <c r="E4817" s="206" t="str">
        <f>IF(AND(A4817&lt;&gt;"",ISNUMBER(A4817)),VLOOKUP(A4817,Studies!A:BR,5,FALSE),"")</f>
        <v>Itraconazole</v>
      </c>
      <c r="F4817" s="207" t="str">
        <f>IF(AND(A4817&lt;&gt;"",ISNUMBER(A4817)),VLOOKUP(A4817,Studies!A:BR,6,FALSE),"")</f>
        <v>Plasma</v>
      </c>
      <c r="G4817" s="50">
        <v>48</v>
      </c>
      <c r="H4817" s="50" t="s">
        <v>60</v>
      </c>
      <c r="I4817" s="41">
        <v>79.984539999999996</v>
      </c>
      <c r="J4817" s="41" t="s">
        <v>1059</v>
      </c>
      <c r="K4817" s="41" t="s">
        <v>116</v>
      </c>
      <c r="L4817" s="52">
        <v>12.87307</v>
      </c>
      <c r="M4817" s="52" t="s">
        <v>1059</v>
      </c>
      <c r="N4817" s="52" t="s">
        <v>1034</v>
      </c>
      <c r="O4817" s="59">
        <v>7.05633</v>
      </c>
      <c r="P4817" s="42" t="s">
        <v>1511</v>
      </c>
    </row>
    <row r="4818" spans="1:16" x14ac:dyDescent="0.2">
      <c r="A4818" s="189">
        <v>272</v>
      </c>
      <c r="B4818" s="232" t="str">
        <f>IF(AND(A4818&lt;&gt;"",ISNUMBER(A4818)),VLOOKUP(A4818,Studies!A:BR,2,FALSE),"")</f>
        <v>Jalava 1997</v>
      </c>
      <c r="C4818" s="232" t="str">
        <f>IF(AND(A4818&lt;&gt;"",ISNUMBER(A4818)),VLOOKUP(A4818,Studies!A:BR,3,FALSE),"")</f>
        <v>https://www.ncbi.nlm.nih.gov/pubmed/9421099</v>
      </c>
      <c r="D4818" s="232" t="str">
        <f>IF(AND(A4818&lt;&gt;"",ISNUMBER(A4818)),VLOOKUP(A4818,Studies!A:BR,4,FALSE),"")</f>
        <v>po with Perpetrator (Itraconazole)</v>
      </c>
      <c r="E4818" s="206" t="str">
        <f>IF(AND(A4818&lt;&gt;"",ISNUMBER(A4818)),VLOOKUP(A4818,Studies!A:BR,5,FALSE),"")</f>
        <v>Itraconazole</v>
      </c>
      <c r="F4818" s="207" t="str">
        <f>IF(AND(A4818&lt;&gt;"",ISNUMBER(A4818)),VLOOKUP(A4818,Studies!A:BR,6,FALSE),"")</f>
        <v>Plasma</v>
      </c>
      <c r="G4818" s="50">
        <v>49</v>
      </c>
      <c r="H4818" s="50" t="s">
        <v>60</v>
      </c>
      <c r="I4818" s="41">
        <v>138.24459999999999</v>
      </c>
      <c r="J4818" s="41" t="s">
        <v>1059</v>
      </c>
      <c r="K4818" s="41" t="s">
        <v>116</v>
      </c>
      <c r="L4818" s="52">
        <v>21.36504</v>
      </c>
      <c r="M4818" s="52" t="s">
        <v>1059</v>
      </c>
      <c r="N4818" s="52" t="s">
        <v>1034</v>
      </c>
      <c r="O4818" s="199">
        <v>7.05633</v>
      </c>
      <c r="P4818" s="42" t="s">
        <v>1511</v>
      </c>
    </row>
    <row r="4819" spans="1:16" x14ac:dyDescent="0.2">
      <c r="A4819" s="189">
        <v>272</v>
      </c>
      <c r="B4819" s="232" t="str">
        <f>IF(AND(A4819&lt;&gt;"",ISNUMBER(A4819)),VLOOKUP(A4819,Studies!A:BR,2,FALSE),"")</f>
        <v>Jalava 1997</v>
      </c>
      <c r="C4819" s="232" t="str">
        <f>IF(AND(A4819&lt;&gt;"",ISNUMBER(A4819)),VLOOKUP(A4819,Studies!A:BR,3,FALSE),"")</f>
        <v>https://www.ncbi.nlm.nih.gov/pubmed/9421099</v>
      </c>
      <c r="D4819" s="232" t="str">
        <f>IF(AND(A4819&lt;&gt;"",ISNUMBER(A4819)),VLOOKUP(A4819,Studies!A:BR,4,FALSE),"")</f>
        <v>po with Perpetrator (Itraconazole)</v>
      </c>
      <c r="E4819" s="206" t="str">
        <f>IF(AND(A4819&lt;&gt;"",ISNUMBER(A4819)),VLOOKUP(A4819,Studies!A:BR,5,FALSE),"")</f>
        <v>Itraconazole</v>
      </c>
      <c r="F4819" s="207" t="str">
        <f>IF(AND(A4819&lt;&gt;"",ISNUMBER(A4819)),VLOOKUP(A4819,Studies!A:BR,6,FALSE),"")</f>
        <v>Plasma</v>
      </c>
      <c r="G4819" s="50">
        <v>50</v>
      </c>
      <c r="H4819" s="50" t="s">
        <v>60</v>
      </c>
      <c r="I4819" s="41">
        <v>359.68430000000001</v>
      </c>
      <c r="J4819" s="41" t="s">
        <v>1059</v>
      </c>
      <c r="K4819" s="41" t="s">
        <v>116</v>
      </c>
      <c r="L4819" s="52">
        <v>55.587589999999999</v>
      </c>
      <c r="M4819" s="52" t="s">
        <v>1059</v>
      </c>
      <c r="N4819" s="52" t="s">
        <v>1034</v>
      </c>
      <c r="O4819" s="199">
        <v>7.05633</v>
      </c>
      <c r="P4819" s="42" t="s">
        <v>1511</v>
      </c>
    </row>
    <row r="4820" spans="1:16" x14ac:dyDescent="0.2">
      <c r="A4820" s="189">
        <v>272</v>
      </c>
      <c r="B4820" s="232" t="str">
        <f>IF(AND(A4820&lt;&gt;"",ISNUMBER(A4820)),VLOOKUP(A4820,Studies!A:BR,2,FALSE),"")</f>
        <v>Jalava 1997</v>
      </c>
      <c r="C4820" s="232" t="str">
        <f>IF(AND(A4820&lt;&gt;"",ISNUMBER(A4820)),VLOOKUP(A4820,Studies!A:BR,3,FALSE),"")</f>
        <v>https://www.ncbi.nlm.nih.gov/pubmed/9421099</v>
      </c>
      <c r="D4820" s="232" t="str">
        <f>IF(AND(A4820&lt;&gt;"",ISNUMBER(A4820)),VLOOKUP(A4820,Studies!A:BR,4,FALSE),"")</f>
        <v>po with Perpetrator (Itraconazole)</v>
      </c>
      <c r="E4820" s="206" t="str">
        <f>IF(AND(A4820&lt;&gt;"",ISNUMBER(A4820)),VLOOKUP(A4820,Studies!A:BR,5,FALSE),"")</f>
        <v>Itraconazole</v>
      </c>
      <c r="F4820" s="207" t="str">
        <f>IF(AND(A4820&lt;&gt;"",ISNUMBER(A4820)),VLOOKUP(A4820,Studies!A:BR,6,FALSE),"")</f>
        <v>Plasma</v>
      </c>
      <c r="G4820" s="50">
        <v>52</v>
      </c>
      <c r="H4820" s="50" t="s">
        <v>60</v>
      </c>
      <c r="I4820" s="41">
        <v>498.3639</v>
      </c>
      <c r="J4820" s="41" t="s">
        <v>1059</v>
      </c>
      <c r="K4820" s="41" t="s">
        <v>116</v>
      </c>
      <c r="L4820" s="52">
        <v>67.557739999999995</v>
      </c>
      <c r="M4820" s="52" t="s">
        <v>1059</v>
      </c>
      <c r="N4820" s="52" t="s">
        <v>1034</v>
      </c>
      <c r="O4820" s="199">
        <v>7.05633</v>
      </c>
      <c r="P4820" s="42" t="s">
        <v>1511</v>
      </c>
    </row>
    <row r="4821" spans="1:16" x14ac:dyDescent="0.2">
      <c r="A4821" s="189">
        <v>272</v>
      </c>
      <c r="B4821" s="232" t="str">
        <f>IF(AND(A4821&lt;&gt;"",ISNUMBER(A4821)),VLOOKUP(A4821,Studies!A:BR,2,FALSE),"")</f>
        <v>Jalava 1997</v>
      </c>
      <c r="C4821" s="232" t="str">
        <f>IF(AND(A4821&lt;&gt;"",ISNUMBER(A4821)),VLOOKUP(A4821,Studies!A:BR,3,FALSE),"")</f>
        <v>https://www.ncbi.nlm.nih.gov/pubmed/9421099</v>
      </c>
      <c r="D4821" s="232" t="str">
        <f>IF(AND(A4821&lt;&gt;"",ISNUMBER(A4821)),VLOOKUP(A4821,Studies!A:BR,4,FALSE),"")</f>
        <v>po with Perpetrator (Itraconazole)</v>
      </c>
      <c r="E4821" s="206" t="str">
        <f>IF(AND(A4821&lt;&gt;"",ISNUMBER(A4821)),VLOOKUP(A4821,Studies!A:BR,5,FALSE),"")</f>
        <v>Itraconazole</v>
      </c>
      <c r="F4821" s="207" t="str">
        <f>IF(AND(A4821&lt;&gt;"",ISNUMBER(A4821)),VLOOKUP(A4821,Studies!A:BR,6,FALSE),"")</f>
        <v>Plasma</v>
      </c>
      <c r="G4821" s="50">
        <v>56</v>
      </c>
      <c r="H4821" s="50" t="s">
        <v>60</v>
      </c>
      <c r="I4821" s="41">
        <v>248.3665</v>
      </c>
      <c r="J4821" s="41" t="s">
        <v>1059</v>
      </c>
      <c r="K4821" s="41" t="s">
        <v>116</v>
      </c>
      <c r="L4821" s="52">
        <v>25.980820000000001</v>
      </c>
      <c r="M4821" s="52" t="s">
        <v>1059</v>
      </c>
      <c r="N4821" s="52" t="s">
        <v>1034</v>
      </c>
      <c r="O4821" s="199">
        <v>7.05633</v>
      </c>
      <c r="P4821" s="42" t="s">
        <v>1511</v>
      </c>
    </row>
    <row r="4822" spans="1:16" x14ac:dyDescent="0.2">
      <c r="A4822" s="189">
        <v>272</v>
      </c>
      <c r="B4822" s="232" t="str">
        <f>IF(AND(A4822&lt;&gt;"",ISNUMBER(A4822)),VLOOKUP(A4822,Studies!A:BR,2,FALSE),"")</f>
        <v>Jalava 1997</v>
      </c>
      <c r="C4822" s="232" t="str">
        <f>IF(AND(A4822&lt;&gt;"",ISNUMBER(A4822)),VLOOKUP(A4822,Studies!A:BR,3,FALSE),"")</f>
        <v>https://www.ncbi.nlm.nih.gov/pubmed/9421099</v>
      </c>
      <c r="D4822" s="232" t="str">
        <f>IF(AND(A4822&lt;&gt;"",ISNUMBER(A4822)),VLOOKUP(A4822,Studies!A:BR,4,FALSE),"")</f>
        <v>po with Perpetrator (Itraconazole)</v>
      </c>
      <c r="E4822" s="206" t="str">
        <f>IF(AND(A4822&lt;&gt;"",ISNUMBER(A4822)),VLOOKUP(A4822,Studies!A:BR,5,FALSE),"")</f>
        <v>Itraconazole</v>
      </c>
      <c r="F4822" s="207" t="str">
        <f>IF(AND(A4822&lt;&gt;"",ISNUMBER(A4822)),VLOOKUP(A4822,Studies!A:BR,6,FALSE),"")</f>
        <v>Plasma</v>
      </c>
      <c r="G4822" s="50">
        <v>60</v>
      </c>
      <c r="H4822" s="50" t="s">
        <v>60</v>
      </c>
      <c r="I4822" s="41">
        <v>171.50020000000001</v>
      </c>
      <c r="J4822" s="41" t="s">
        <v>1059</v>
      </c>
      <c r="K4822" s="41" t="s">
        <v>116</v>
      </c>
      <c r="L4822" s="52">
        <v>17.940059999999999</v>
      </c>
      <c r="M4822" s="52" t="s">
        <v>1059</v>
      </c>
      <c r="N4822" s="52" t="s">
        <v>1034</v>
      </c>
      <c r="O4822" s="199">
        <v>7.05633</v>
      </c>
      <c r="P4822" s="42" t="s">
        <v>1511</v>
      </c>
    </row>
    <row r="4823" spans="1:16" x14ac:dyDescent="0.2">
      <c r="A4823" s="189">
        <v>272</v>
      </c>
      <c r="B4823" s="232" t="str">
        <f>IF(AND(A4823&lt;&gt;"",ISNUMBER(A4823)),VLOOKUP(A4823,Studies!A:BR,2,FALSE),"")</f>
        <v>Jalava 1997</v>
      </c>
      <c r="C4823" s="232" t="str">
        <f>IF(AND(A4823&lt;&gt;"",ISNUMBER(A4823)),VLOOKUP(A4823,Studies!A:BR,3,FALSE),"")</f>
        <v>https://www.ncbi.nlm.nih.gov/pubmed/9421099</v>
      </c>
      <c r="D4823" s="232" t="str">
        <f>IF(AND(A4823&lt;&gt;"",ISNUMBER(A4823)),VLOOKUP(A4823,Studies!A:BR,4,FALSE),"")</f>
        <v>po with Perpetrator (Itraconazole)</v>
      </c>
      <c r="E4823" s="206" t="str">
        <f>IF(AND(A4823&lt;&gt;"",ISNUMBER(A4823)),VLOOKUP(A4823,Studies!A:BR,5,FALSE),"")</f>
        <v>Itraconazole</v>
      </c>
      <c r="F4823" s="207" t="str">
        <f>IF(AND(A4823&lt;&gt;"",ISNUMBER(A4823)),VLOOKUP(A4823,Studies!A:BR,6,FALSE),"")</f>
        <v>Plasma</v>
      </c>
      <c r="G4823" s="50">
        <v>72</v>
      </c>
      <c r="H4823" s="50" t="s">
        <v>60</v>
      </c>
      <c r="I4823" s="41">
        <v>123.0947</v>
      </c>
      <c r="J4823" s="41" t="s">
        <v>1059</v>
      </c>
      <c r="K4823" s="41" t="s">
        <v>116</v>
      </c>
      <c r="L4823" s="52">
        <v>19.811350000000001</v>
      </c>
      <c r="M4823" s="52" t="s">
        <v>1059</v>
      </c>
      <c r="N4823" s="52" t="s">
        <v>1034</v>
      </c>
      <c r="O4823" s="199">
        <v>7.05633</v>
      </c>
      <c r="P4823" s="42" t="s">
        <v>1511</v>
      </c>
    </row>
    <row r="4824" spans="1:16" x14ac:dyDescent="0.2">
      <c r="A4824" s="189">
        <v>272</v>
      </c>
      <c r="B4824" s="232" t="str">
        <f>IF(AND(A4824&lt;&gt;"",ISNUMBER(A4824)),VLOOKUP(A4824,Studies!A:BR,2,FALSE),"")</f>
        <v>Jalava 1997</v>
      </c>
      <c r="C4824" s="232" t="str">
        <f>IF(AND(A4824&lt;&gt;"",ISNUMBER(A4824)),VLOOKUP(A4824,Studies!A:BR,3,FALSE),"")</f>
        <v>https://www.ncbi.nlm.nih.gov/pubmed/9421099</v>
      </c>
      <c r="D4824" s="232" t="str">
        <f>IF(AND(A4824&lt;&gt;"",ISNUMBER(A4824)),VLOOKUP(A4824,Studies!A:BR,4,FALSE),"")</f>
        <v>po with Perpetrator (Itraconazole)</v>
      </c>
      <c r="E4824" s="206" t="str">
        <f>IF(AND(A4824&lt;&gt;"",ISNUMBER(A4824)),VLOOKUP(A4824,Studies!A:BR,5,FALSE),"")</f>
        <v>Itraconazole</v>
      </c>
      <c r="F4824" s="207" t="str">
        <f>IF(AND(A4824&lt;&gt;"",ISNUMBER(A4824)),VLOOKUP(A4824,Studies!A:BR,6,FALSE),"")</f>
        <v>Plasma</v>
      </c>
      <c r="G4824" s="50">
        <v>96</v>
      </c>
      <c r="H4824" s="50" t="s">
        <v>60</v>
      </c>
      <c r="I4824" s="41">
        <v>151.02709999999999</v>
      </c>
      <c r="J4824" s="41" t="s">
        <v>1059</v>
      </c>
      <c r="K4824" s="41" t="s">
        <v>116</v>
      </c>
      <c r="L4824" s="52">
        <v>19.527799999999999</v>
      </c>
      <c r="M4824" s="52" t="s">
        <v>1059</v>
      </c>
      <c r="N4824" s="52" t="s">
        <v>1034</v>
      </c>
      <c r="O4824" s="199">
        <v>7.05633</v>
      </c>
      <c r="P4824" s="42" t="s">
        <v>1511</v>
      </c>
    </row>
    <row r="4825" spans="1:16" x14ac:dyDescent="0.2">
      <c r="A4825" s="189">
        <v>273</v>
      </c>
      <c r="B4825" s="232" t="str">
        <f>IF(AND(A4825&lt;&gt;"",ISNUMBER(A4825)),VLOOKUP(A4825,Studies!A:BR,2,FALSE),"")</f>
        <v>Jalava 1997</v>
      </c>
      <c r="C4825" s="232" t="str">
        <f>IF(AND(A4825&lt;&gt;"",ISNUMBER(A4825)),VLOOKUP(A4825,Studies!A:BR,3,FALSE),"")</f>
        <v>https://www.ncbi.nlm.nih.gov/pubmed/9421099</v>
      </c>
      <c r="D4825" s="232" t="str">
        <f>IF(AND(A4825&lt;&gt;"",ISNUMBER(A4825)),VLOOKUP(A4825,Studies!A:BR,4,FALSE),"")</f>
        <v>po Control (Perpetrator Placebo)</v>
      </c>
      <c r="E4825" s="206" t="str">
        <f>IF(AND(A4825&lt;&gt;"",ISNUMBER(A4825)),VLOOKUP(A4825,Studies!A:BR,5,FALSE),"")</f>
        <v>Digoxin</v>
      </c>
      <c r="F4825" s="207" t="str">
        <f>IF(AND(A4825&lt;&gt;"",ISNUMBER(A4825)),VLOOKUP(A4825,Studies!A:BR,6,FALSE),"")</f>
        <v>Urine</v>
      </c>
      <c r="G4825" s="50">
        <v>72</v>
      </c>
      <c r="H4825" s="50" t="s">
        <v>60</v>
      </c>
      <c r="I4825" s="41">
        <v>174</v>
      </c>
      <c r="J4825" s="41" t="s">
        <v>531</v>
      </c>
      <c r="K4825" s="41" t="s">
        <v>116</v>
      </c>
      <c r="L4825" s="52">
        <v>12</v>
      </c>
      <c r="M4825" s="52" t="s">
        <v>531</v>
      </c>
      <c r="N4825" s="195" t="s">
        <v>1034</v>
      </c>
    </row>
    <row r="4826" spans="1:16" x14ac:dyDescent="0.2">
      <c r="A4826" s="189">
        <v>274</v>
      </c>
      <c r="B4826" s="232" t="str">
        <f>IF(AND(A4826&lt;&gt;"",ISNUMBER(A4826)),VLOOKUP(A4826,Studies!A:BR,2,FALSE),"")</f>
        <v>Jalava 1997</v>
      </c>
      <c r="C4826" s="232" t="str">
        <f>IF(AND(A4826&lt;&gt;"",ISNUMBER(A4826)),VLOOKUP(A4826,Studies!A:BR,3,FALSE),"")</f>
        <v>https://www.ncbi.nlm.nih.gov/pubmed/9421099</v>
      </c>
      <c r="D4826" s="232" t="str">
        <f>IF(AND(A4826&lt;&gt;"",ISNUMBER(A4826)),VLOOKUP(A4826,Studies!A:BR,4,FALSE),"")</f>
        <v>po with Perpetrator (Itraconazole)</v>
      </c>
      <c r="E4826" s="206" t="str">
        <f>IF(AND(A4826&lt;&gt;"",ISNUMBER(A4826)),VLOOKUP(A4826,Studies!A:BR,5,FALSE),"")</f>
        <v>Digoxin</v>
      </c>
      <c r="F4826" s="207" t="str">
        <f>IF(AND(A4826&lt;&gt;"",ISNUMBER(A4826)),VLOOKUP(A4826,Studies!A:BR,6,FALSE),"")</f>
        <v>Urine</v>
      </c>
      <c r="G4826" s="50">
        <v>120</v>
      </c>
      <c r="H4826" s="50" t="s">
        <v>60</v>
      </c>
      <c r="I4826" s="41">
        <v>213</v>
      </c>
      <c r="J4826" s="41" t="s">
        <v>531</v>
      </c>
      <c r="K4826" s="41" t="s">
        <v>116</v>
      </c>
      <c r="L4826" s="52">
        <v>6</v>
      </c>
      <c r="M4826" s="52" t="s">
        <v>531</v>
      </c>
      <c r="N4826" s="195" t="s">
        <v>1034</v>
      </c>
    </row>
    <row r="4827" spans="1:16" x14ac:dyDescent="0.2">
      <c r="A4827" s="30">
        <v>157</v>
      </c>
      <c r="B4827" s="232" t="str">
        <f>IF(AND(A4827&lt;&gt;"",ISNUMBER(A4827)),VLOOKUP(A4827,Studies!A:BR,2,FALSE),"")</f>
        <v>Furesz 1970</v>
      </c>
      <c r="C4827" s="232" t="str">
        <f>IF(AND(A4827&lt;&gt;"",ISNUMBER(A4827)),VLOOKUP(A4827,Studies!A:BR,3,FALSE),"")</f>
        <v>https://www.ncbi.nlm.nih.gov/pubmed/5002304</v>
      </c>
      <c r="D4827" s="232" t="str">
        <f>IF(AND(A4827&lt;&gt;"",ISNUMBER(A4827)),VLOOKUP(A4827,Studies!A:BR,4,FALSE),"")</f>
        <v>100 mg</v>
      </c>
      <c r="E4827" s="206" t="str">
        <f>IF(AND(A4827&lt;&gt;"",ISNUMBER(A4827)),VLOOKUP(A4827,Studies!A:BR,5,FALSE),"")</f>
        <v>Rifampicin</v>
      </c>
      <c r="F4827" s="207" t="str">
        <f>IF(AND(A4827&lt;&gt;"",ISNUMBER(A4827)),VLOOKUP(A4827,Studies!A:BR,6,FALSE),"")</f>
        <v>Serum</v>
      </c>
      <c r="G4827" s="50">
        <v>2</v>
      </c>
      <c r="H4827" s="194" t="s">
        <v>60</v>
      </c>
      <c r="I4827" s="41">
        <v>0.94</v>
      </c>
      <c r="J4827" s="41" t="s">
        <v>1054</v>
      </c>
      <c r="K4827" s="41" t="s">
        <v>116</v>
      </c>
    </row>
    <row r="4828" spans="1:16" x14ac:dyDescent="0.2">
      <c r="A4828" s="183">
        <v>157</v>
      </c>
      <c r="B4828" s="232" t="str">
        <f>IF(AND(A4828&lt;&gt;"",ISNUMBER(A4828)),VLOOKUP(A4828,Studies!A:BR,2,FALSE),"")</f>
        <v>Furesz 1970</v>
      </c>
      <c r="C4828" s="232" t="str">
        <f>IF(AND(A4828&lt;&gt;"",ISNUMBER(A4828)),VLOOKUP(A4828,Studies!A:BR,3,FALSE),"")</f>
        <v>https://www.ncbi.nlm.nih.gov/pubmed/5002304</v>
      </c>
      <c r="D4828" s="232" t="str">
        <f>IF(AND(A4828&lt;&gt;"",ISNUMBER(A4828)),VLOOKUP(A4828,Studies!A:BR,4,FALSE),"")</f>
        <v>100 mg</v>
      </c>
      <c r="E4828" s="206" t="str">
        <f>IF(AND(A4828&lt;&gt;"",ISNUMBER(A4828)),VLOOKUP(A4828,Studies!A:BR,5,FALSE),"")</f>
        <v>Rifampicin</v>
      </c>
      <c r="F4828" s="207" t="str">
        <f>IF(AND(A4828&lt;&gt;"",ISNUMBER(A4828)),VLOOKUP(A4828,Studies!A:BR,6,FALSE),"")</f>
        <v>Serum</v>
      </c>
      <c r="G4828" s="50">
        <v>4</v>
      </c>
      <c r="H4828" s="194" t="s">
        <v>60</v>
      </c>
      <c r="I4828" s="41">
        <v>0.52</v>
      </c>
      <c r="J4828" s="187" t="s">
        <v>1054</v>
      </c>
      <c r="K4828" s="187" t="s">
        <v>116</v>
      </c>
    </row>
    <row r="4829" spans="1:16" x14ac:dyDescent="0.2">
      <c r="A4829" s="183">
        <v>157</v>
      </c>
      <c r="B4829" s="232" t="str">
        <f>IF(AND(A4829&lt;&gt;"",ISNUMBER(A4829)),VLOOKUP(A4829,Studies!A:BR,2,FALSE),"")</f>
        <v>Furesz 1970</v>
      </c>
      <c r="C4829" s="232" t="str">
        <f>IF(AND(A4829&lt;&gt;"",ISNUMBER(A4829)),VLOOKUP(A4829,Studies!A:BR,3,FALSE),"")</f>
        <v>https://www.ncbi.nlm.nih.gov/pubmed/5002304</v>
      </c>
      <c r="D4829" s="232" t="str">
        <f>IF(AND(A4829&lt;&gt;"",ISNUMBER(A4829)),VLOOKUP(A4829,Studies!A:BR,4,FALSE),"")</f>
        <v>100 mg</v>
      </c>
      <c r="E4829" s="206" t="str">
        <f>IF(AND(A4829&lt;&gt;"",ISNUMBER(A4829)),VLOOKUP(A4829,Studies!A:BR,5,FALSE),"")</f>
        <v>Rifampicin</v>
      </c>
      <c r="F4829" s="207" t="str">
        <f>IF(AND(A4829&lt;&gt;"",ISNUMBER(A4829)),VLOOKUP(A4829,Studies!A:BR,6,FALSE),"")</f>
        <v>Serum</v>
      </c>
      <c r="G4829" s="50">
        <v>8</v>
      </c>
      <c r="H4829" s="194" t="s">
        <v>60</v>
      </c>
      <c r="I4829" s="41">
        <v>0.08</v>
      </c>
      <c r="J4829" s="187" t="s">
        <v>1054</v>
      </c>
      <c r="K4829" s="187" t="s">
        <v>116</v>
      </c>
    </row>
    <row r="4830" spans="1:16" x14ac:dyDescent="0.2">
      <c r="A4830" s="30">
        <v>158</v>
      </c>
      <c r="B4830" s="232" t="str">
        <f>IF(AND(A4830&lt;&gt;"",ISNUMBER(A4830)),VLOOKUP(A4830,Studies!A:BR,2,FALSE),"")</f>
        <v>Furesz 1970</v>
      </c>
      <c r="C4830" s="232" t="str">
        <f>IF(AND(A4830&lt;&gt;"",ISNUMBER(A4830)),VLOOKUP(A4830,Studies!A:BR,3,FALSE),"")</f>
        <v>https://www.ncbi.nlm.nih.gov/pubmed/5002304</v>
      </c>
      <c r="D4830" s="232" t="str">
        <f>IF(AND(A4830&lt;&gt;"",ISNUMBER(A4830)),VLOOKUP(A4830,Studies!A:BR,4,FALSE),"")</f>
        <v>150 mg</v>
      </c>
      <c r="E4830" s="206" t="str">
        <f>IF(AND(A4830&lt;&gt;"",ISNUMBER(A4830)),VLOOKUP(A4830,Studies!A:BR,5,FALSE),"")</f>
        <v>Rifampicin</v>
      </c>
      <c r="F4830" s="207" t="str">
        <f>IF(AND(A4830&lt;&gt;"",ISNUMBER(A4830)),VLOOKUP(A4830,Studies!A:BR,6,FALSE),"")</f>
        <v>Serum</v>
      </c>
      <c r="G4830" s="50">
        <v>2</v>
      </c>
      <c r="H4830" s="194" t="s">
        <v>60</v>
      </c>
      <c r="I4830" s="41">
        <v>1.87</v>
      </c>
      <c r="J4830" s="187" t="s">
        <v>1054</v>
      </c>
      <c r="K4830" s="187" t="s">
        <v>116</v>
      </c>
    </row>
    <row r="4831" spans="1:16" x14ac:dyDescent="0.2">
      <c r="A4831" s="183">
        <v>158</v>
      </c>
      <c r="B4831" s="232" t="str">
        <f>IF(AND(A4831&lt;&gt;"",ISNUMBER(A4831)),VLOOKUP(A4831,Studies!A:BR,2,FALSE),"")</f>
        <v>Furesz 1970</v>
      </c>
      <c r="C4831" s="232" t="str">
        <f>IF(AND(A4831&lt;&gt;"",ISNUMBER(A4831)),VLOOKUP(A4831,Studies!A:BR,3,FALSE),"")</f>
        <v>https://www.ncbi.nlm.nih.gov/pubmed/5002304</v>
      </c>
      <c r="D4831" s="232" t="str">
        <f>IF(AND(A4831&lt;&gt;"",ISNUMBER(A4831)),VLOOKUP(A4831,Studies!A:BR,4,FALSE),"")</f>
        <v>150 mg</v>
      </c>
      <c r="E4831" s="206" t="str">
        <f>IF(AND(A4831&lt;&gt;"",ISNUMBER(A4831)),VLOOKUP(A4831,Studies!A:BR,5,FALSE),"")</f>
        <v>Rifampicin</v>
      </c>
      <c r="F4831" s="207" t="str">
        <f>IF(AND(A4831&lt;&gt;"",ISNUMBER(A4831)),VLOOKUP(A4831,Studies!A:BR,6,FALSE),"")</f>
        <v>Serum</v>
      </c>
      <c r="G4831" s="50">
        <v>4</v>
      </c>
      <c r="H4831" s="194" t="s">
        <v>60</v>
      </c>
      <c r="I4831" s="41">
        <v>1.18</v>
      </c>
      <c r="J4831" s="187" t="s">
        <v>1054</v>
      </c>
      <c r="K4831" s="187" t="s">
        <v>116</v>
      </c>
    </row>
    <row r="4832" spans="1:16" x14ac:dyDescent="0.2">
      <c r="A4832" s="183">
        <v>158</v>
      </c>
      <c r="B4832" s="232" t="str">
        <f>IF(AND(A4832&lt;&gt;"",ISNUMBER(A4832)),VLOOKUP(A4832,Studies!A:BR,2,FALSE),"")</f>
        <v>Furesz 1970</v>
      </c>
      <c r="C4832" s="232" t="str">
        <f>IF(AND(A4832&lt;&gt;"",ISNUMBER(A4832)),VLOOKUP(A4832,Studies!A:BR,3,FALSE),"")</f>
        <v>https://www.ncbi.nlm.nih.gov/pubmed/5002304</v>
      </c>
      <c r="D4832" s="232" t="str">
        <f>IF(AND(A4832&lt;&gt;"",ISNUMBER(A4832)),VLOOKUP(A4832,Studies!A:BR,4,FALSE),"")</f>
        <v>150 mg</v>
      </c>
      <c r="E4832" s="206" t="str">
        <f>IF(AND(A4832&lt;&gt;"",ISNUMBER(A4832)),VLOOKUP(A4832,Studies!A:BR,5,FALSE),"")</f>
        <v>Rifampicin</v>
      </c>
      <c r="F4832" s="207" t="str">
        <f>IF(AND(A4832&lt;&gt;"",ISNUMBER(A4832)),VLOOKUP(A4832,Studies!A:BR,6,FALSE),"")</f>
        <v>Serum</v>
      </c>
      <c r="G4832" s="50">
        <v>8</v>
      </c>
      <c r="H4832" s="194" t="s">
        <v>60</v>
      </c>
      <c r="I4832" s="41">
        <v>0.39</v>
      </c>
      <c r="J4832" s="187" t="s">
        <v>1054</v>
      </c>
      <c r="K4832" s="187" t="s">
        <v>116</v>
      </c>
    </row>
    <row r="4833" spans="1:11" x14ac:dyDescent="0.2">
      <c r="A4833" s="30">
        <v>159</v>
      </c>
      <c r="B4833" s="232" t="str">
        <f>IF(AND(A4833&lt;&gt;"",ISNUMBER(A4833)),VLOOKUP(A4833,Studies!A:BR,2,FALSE),"")</f>
        <v>Furesz 1970</v>
      </c>
      <c r="C4833" s="232" t="str">
        <f>IF(AND(A4833&lt;&gt;"",ISNUMBER(A4833)),VLOOKUP(A4833,Studies!A:BR,3,FALSE),"")</f>
        <v>https://www.ncbi.nlm.nih.gov/pubmed/5002304</v>
      </c>
      <c r="D4833" s="232" t="str">
        <f>IF(AND(A4833&lt;&gt;"",ISNUMBER(A4833)),VLOOKUP(A4833,Studies!A:BR,4,FALSE),"")</f>
        <v>250 mg</v>
      </c>
      <c r="E4833" s="206" t="str">
        <f>IF(AND(A4833&lt;&gt;"",ISNUMBER(A4833)),VLOOKUP(A4833,Studies!A:BR,5,FALSE),"")</f>
        <v>Rifampicin</v>
      </c>
      <c r="F4833" s="207" t="str">
        <f>IF(AND(A4833&lt;&gt;"",ISNUMBER(A4833)),VLOOKUP(A4833,Studies!A:BR,6,FALSE),"")</f>
        <v>Serum</v>
      </c>
      <c r="G4833" s="50">
        <v>2</v>
      </c>
      <c r="H4833" s="194" t="s">
        <v>60</v>
      </c>
      <c r="I4833" s="41">
        <v>3.15</v>
      </c>
      <c r="J4833" s="187" t="s">
        <v>1054</v>
      </c>
      <c r="K4833" s="187" t="s">
        <v>116</v>
      </c>
    </row>
    <row r="4834" spans="1:11" x14ac:dyDescent="0.2">
      <c r="A4834" s="183">
        <v>159</v>
      </c>
      <c r="B4834" s="232" t="str">
        <f>IF(AND(A4834&lt;&gt;"",ISNUMBER(A4834)),VLOOKUP(A4834,Studies!A:BR,2,FALSE),"")</f>
        <v>Furesz 1970</v>
      </c>
      <c r="C4834" s="232" t="str">
        <f>IF(AND(A4834&lt;&gt;"",ISNUMBER(A4834)),VLOOKUP(A4834,Studies!A:BR,3,FALSE),"")</f>
        <v>https://www.ncbi.nlm.nih.gov/pubmed/5002304</v>
      </c>
      <c r="D4834" s="232" t="str">
        <f>IF(AND(A4834&lt;&gt;"",ISNUMBER(A4834)),VLOOKUP(A4834,Studies!A:BR,4,FALSE),"")</f>
        <v>250 mg</v>
      </c>
      <c r="E4834" s="206" t="str">
        <f>IF(AND(A4834&lt;&gt;"",ISNUMBER(A4834)),VLOOKUP(A4834,Studies!A:BR,5,FALSE),"")</f>
        <v>Rifampicin</v>
      </c>
      <c r="F4834" s="207" t="str">
        <f>IF(AND(A4834&lt;&gt;"",ISNUMBER(A4834)),VLOOKUP(A4834,Studies!A:BR,6,FALSE),"")</f>
        <v>Serum</v>
      </c>
      <c r="G4834" s="50">
        <v>4</v>
      </c>
      <c r="H4834" s="194" t="s">
        <v>60</v>
      </c>
      <c r="I4834" s="41">
        <v>3</v>
      </c>
      <c r="J4834" s="187" t="s">
        <v>1054</v>
      </c>
      <c r="K4834" s="187" t="s">
        <v>116</v>
      </c>
    </row>
    <row r="4835" spans="1:11" x14ac:dyDescent="0.2">
      <c r="A4835" s="183">
        <v>159</v>
      </c>
      <c r="B4835" s="232" t="str">
        <f>IF(AND(A4835&lt;&gt;"",ISNUMBER(A4835)),VLOOKUP(A4835,Studies!A:BR,2,FALSE),"")</f>
        <v>Furesz 1970</v>
      </c>
      <c r="C4835" s="232" t="str">
        <f>IF(AND(A4835&lt;&gt;"",ISNUMBER(A4835)),VLOOKUP(A4835,Studies!A:BR,3,FALSE),"")</f>
        <v>https://www.ncbi.nlm.nih.gov/pubmed/5002304</v>
      </c>
      <c r="D4835" s="232" t="str">
        <f>IF(AND(A4835&lt;&gt;"",ISNUMBER(A4835)),VLOOKUP(A4835,Studies!A:BR,4,FALSE),"")</f>
        <v>250 mg</v>
      </c>
      <c r="E4835" s="206" t="str">
        <f>IF(AND(A4835&lt;&gt;"",ISNUMBER(A4835)),VLOOKUP(A4835,Studies!A:BR,5,FALSE),"")</f>
        <v>Rifampicin</v>
      </c>
      <c r="F4835" s="207" t="str">
        <f>IF(AND(A4835&lt;&gt;"",ISNUMBER(A4835)),VLOOKUP(A4835,Studies!A:BR,6,FALSE),"")</f>
        <v>Serum</v>
      </c>
      <c r="G4835" s="50">
        <v>8</v>
      </c>
      <c r="H4835" s="194" t="s">
        <v>60</v>
      </c>
      <c r="I4835" s="41">
        <v>1.1000000000000001</v>
      </c>
      <c r="J4835" s="187" t="s">
        <v>1054</v>
      </c>
      <c r="K4835" s="187" t="s">
        <v>116</v>
      </c>
    </row>
    <row r="4836" spans="1:11" x14ac:dyDescent="0.2">
      <c r="A4836" s="183">
        <v>159</v>
      </c>
      <c r="B4836" s="232" t="str">
        <f>IF(AND(A4836&lt;&gt;"",ISNUMBER(A4836)),VLOOKUP(A4836,Studies!A:BR,2,FALSE),"")</f>
        <v>Furesz 1970</v>
      </c>
      <c r="C4836" s="232" t="str">
        <f>IF(AND(A4836&lt;&gt;"",ISNUMBER(A4836)),VLOOKUP(A4836,Studies!A:BR,3,FALSE),"")</f>
        <v>https://www.ncbi.nlm.nih.gov/pubmed/5002304</v>
      </c>
      <c r="D4836" s="232" t="str">
        <f>IF(AND(A4836&lt;&gt;"",ISNUMBER(A4836)),VLOOKUP(A4836,Studies!A:BR,4,FALSE),"")</f>
        <v>250 mg</v>
      </c>
      <c r="E4836" s="206" t="str">
        <f>IF(AND(A4836&lt;&gt;"",ISNUMBER(A4836)),VLOOKUP(A4836,Studies!A:BR,5,FALSE),"")</f>
        <v>Rifampicin</v>
      </c>
      <c r="F4836" s="207" t="str">
        <f>IF(AND(A4836&lt;&gt;"",ISNUMBER(A4836)),VLOOKUP(A4836,Studies!A:BR,6,FALSE),"")</f>
        <v>Serum</v>
      </c>
      <c r="G4836" s="50">
        <v>12</v>
      </c>
      <c r="H4836" s="194" t="s">
        <v>60</v>
      </c>
      <c r="I4836" s="41">
        <v>0.32</v>
      </c>
      <c r="J4836" s="187" t="s">
        <v>1054</v>
      </c>
      <c r="K4836" s="187" t="s">
        <v>116</v>
      </c>
    </row>
    <row r="4837" spans="1:11" x14ac:dyDescent="0.2">
      <c r="A4837" s="30">
        <v>160</v>
      </c>
      <c r="B4837" s="232" t="str">
        <f>IF(AND(A4837&lt;&gt;"",ISNUMBER(A4837)),VLOOKUP(A4837,Studies!A:BR,2,FALSE),"")</f>
        <v>Furesz 1970</v>
      </c>
      <c r="C4837" s="232" t="str">
        <f>IF(AND(A4837&lt;&gt;"",ISNUMBER(A4837)),VLOOKUP(A4837,Studies!A:BR,3,FALSE),"")</f>
        <v>https://www.ncbi.nlm.nih.gov/pubmed/5002304</v>
      </c>
      <c r="D4837" s="232" t="str">
        <f>IF(AND(A4837&lt;&gt;"",ISNUMBER(A4837)),VLOOKUP(A4837,Studies!A:BR,4,FALSE),"")</f>
        <v>300 mg</v>
      </c>
      <c r="E4837" s="206" t="str">
        <f>IF(AND(A4837&lt;&gt;"",ISNUMBER(A4837)),VLOOKUP(A4837,Studies!A:BR,5,FALSE),"")</f>
        <v>Rifampicin</v>
      </c>
      <c r="F4837" s="207" t="str">
        <f>IF(AND(A4837&lt;&gt;"",ISNUMBER(A4837)),VLOOKUP(A4837,Studies!A:BR,6,FALSE),"")</f>
        <v>Serum</v>
      </c>
      <c r="G4837" s="50">
        <v>2</v>
      </c>
      <c r="H4837" s="194" t="s">
        <v>60</v>
      </c>
      <c r="I4837" s="41">
        <v>5.68</v>
      </c>
      <c r="J4837" s="187" t="s">
        <v>1054</v>
      </c>
      <c r="K4837" s="187" t="s">
        <v>116</v>
      </c>
    </row>
    <row r="4838" spans="1:11" x14ac:dyDescent="0.2">
      <c r="A4838" s="183">
        <v>160</v>
      </c>
      <c r="B4838" s="232" t="str">
        <f>IF(AND(A4838&lt;&gt;"",ISNUMBER(A4838)),VLOOKUP(A4838,Studies!A:BR,2,FALSE),"")</f>
        <v>Furesz 1970</v>
      </c>
      <c r="C4838" s="232" t="str">
        <f>IF(AND(A4838&lt;&gt;"",ISNUMBER(A4838)),VLOOKUP(A4838,Studies!A:BR,3,FALSE),"")</f>
        <v>https://www.ncbi.nlm.nih.gov/pubmed/5002304</v>
      </c>
      <c r="D4838" s="232" t="str">
        <f>IF(AND(A4838&lt;&gt;"",ISNUMBER(A4838)),VLOOKUP(A4838,Studies!A:BR,4,FALSE),"")</f>
        <v>300 mg</v>
      </c>
      <c r="E4838" s="206" t="str">
        <f>IF(AND(A4838&lt;&gt;"",ISNUMBER(A4838)),VLOOKUP(A4838,Studies!A:BR,5,FALSE),"")</f>
        <v>Rifampicin</v>
      </c>
      <c r="F4838" s="207" t="str">
        <f>IF(AND(A4838&lt;&gt;"",ISNUMBER(A4838)),VLOOKUP(A4838,Studies!A:BR,6,FALSE),"")</f>
        <v>Serum</v>
      </c>
      <c r="G4838" s="50">
        <v>4</v>
      </c>
      <c r="H4838" s="194" t="s">
        <v>60</v>
      </c>
      <c r="I4838" s="41">
        <v>3.46</v>
      </c>
      <c r="J4838" s="187" t="s">
        <v>1054</v>
      </c>
      <c r="K4838" s="187" t="s">
        <v>116</v>
      </c>
    </row>
    <row r="4839" spans="1:11" x14ac:dyDescent="0.2">
      <c r="A4839" s="183">
        <v>160</v>
      </c>
      <c r="B4839" s="232" t="str">
        <f>IF(AND(A4839&lt;&gt;"",ISNUMBER(A4839)),VLOOKUP(A4839,Studies!A:BR,2,FALSE),"")</f>
        <v>Furesz 1970</v>
      </c>
      <c r="C4839" s="232" t="str">
        <f>IF(AND(A4839&lt;&gt;"",ISNUMBER(A4839)),VLOOKUP(A4839,Studies!A:BR,3,FALSE),"")</f>
        <v>https://www.ncbi.nlm.nih.gov/pubmed/5002304</v>
      </c>
      <c r="D4839" s="232" t="str">
        <f>IF(AND(A4839&lt;&gt;"",ISNUMBER(A4839)),VLOOKUP(A4839,Studies!A:BR,4,FALSE),"")</f>
        <v>300 mg</v>
      </c>
      <c r="E4839" s="206" t="str">
        <f>IF(AND(A4839&lt;&gt;"",ISNUMBER(A4839)),VLOOKUP(A4839,Studies!A:BR,5,FALSE),"")</f>
        <v>Rifampicin</v>
      </c>
      <c r="F4839" s="207" t="str">
        <f>IF(AND(A4839&lt;&gt;"",ISNUMBER(A4839)),VLOOKUP(A4839,Studies!A:BR,6,FALSE),"")</f>
        <v>Serum</v>
      </c>
      <c r="G4839" s="50">
        <v>8</v>
      </c>
      <c r="H4839" s="194" t="s">
        <v>60</v>
      </c>
      <c r="I4839" s="41">
        <v>1.6</v>
      </c>
      <c r="J4839" s="187" t="s">
        <v>1054</v>
      </c>
      <c r="K4839" s="187" t="s">
        <v>116</v>
      </c>
    </row>
    <row r="4840" spans="1:11" x14ac:dyDescent="0.2">
      <c r="A4840" s="183">
        <v>160</v>
      </c>
      <c r="B4840" s="232" t="str">
        <f>IF(AND(A4840&lt;&gt;"",ISNUMBER(A4840)),VLOOKUP(A4840,Studies!A:BR,2,FALSE),"")</f>
        <v>Furesz 1970</v>
      </c>
      <c r="C4840" s="232" t="str">
        <f>IF(AND(A4840&lt;&gt;"",ISNUMBER(A4840)),VLOOKUP(A4840,Studies!A:BR,3,FALSE),"")</f>
        <v>https://www.ncbi.nlm.nih.gov/pubmed/5002304</v>
      </c>
      <c r="D4840" s="232" t="str">
        <f>IF(AND(A4840&lt;&gt;"",ISNUMBER(A4840)),VLOOKUP(A4840,Studies!A:BR,4,FALSE),"")</f>
        <v>300 mg</v>
      </c>
      <c r="E4840" s="206" t="str">
        <f>IF(AND(A4840&lt;&gt;"",ISNUMBER(A4840)),VLOOKUP(A4840,Studies!A:BR,5,FALSE),"")</f>
        <v>Rifampicin</v>
      </c>
      <c r="F4840" s="207" t="str">
        <f>IF(AND(A4840&lt;&gt;"",ISNUMBER(A4840)),VLOOKUP(A4840,Studies!A:BR,6,FALSE),"")</f>
        <v>Serum</v>
      </c>
      <c r="G4840" s="50">
        <v>12</v>
      </c>
      <c r="H4840" s="194" t="s">
        <v>60</v>
      </c>
      <c r="I4840" s="41">
        <v>0.41</v>
      </c>
      <c r="J4840" s="187" t="s">
        <v>1054</v>
      </c>
      <c r="K4840" s="187" t="s">
        <v>116</v>
      </c>
    </row>
    <row r="4841" spans="1:11" x14ac:dyDescent="0.2">
      <c r="A4841" s="30">
        <v>161</v>
      </c>
      <c r="B4841" s="232" t="str">
        <f>IF(AND(A4841&lt;&gt;"",ISNUMBER(A4841)),VLOOKUP(A4841,Studies!A:BR,2,FALSE),"")</f>
        <v>Furesz 1970</v>
      </c>
      <c r="C4841" s="232" t="str">
        <f>IF(AND(A4841&lt;&gt;"",ISNUMBER(A4841)),VLOOKUP(A4841,Studies!A:BR,3,FALSE),"")</f>
        <v>https://www.ncbi.nlm.nih.gov/pubmed/5002304</v>
      </c>
      <c r="D4841" s="232" t="str">
        <f>IF(AND(A4841&lt;&gt;"",ISNUMBER(A4841)),VLOOKUP(A4841,Studies!A:BR,4,FALSE),"")</f>
        <v>450 mg</v>
      </c>
      <c r="E4841" s="206" t="str">
        <f>IF(AND(A4841&lt;&gt;"",ISNUMBER(A4841)),VLOOKUP(A4841,Studies!A:BR,5,FALSE),"")</f>
        <v>Rifampicin</v>
      </c>
      <c r="F4841" s="207" t="str">
        <f>IF(AND(A4841&lt;&gt;"",ISNUMBER(A4841)),VLOOKUP(A4841,Studies!A:BR,6,FALSE),"")</f>
        <v>Serum</v>
      </c>
      <c r="G4841" s="50">
        <v>2</v>
      </c>
      <c r="H4841" s="194" t="s">
        <v>60</v>
      </c>
      <c r="I4841" s="41">
        <v>7.92</v>
      </c>
      <c r="J4841" s="187" t="s">
        <v>1054</v>
      </c>
      <c r="K4841" s="187" t="s">
        <v>116</v>
      </c>
    </row>
    <row r="4842" spans="1:11" x14ac:dyDescent="0.2">
      <c r="A4842" s="183">
        <v>161</v>
      </c>
      <c r="B4842" s="232" t="str">
        <f>IF(AND(A4842&lt;&gt;"",ISNUMBER(A4842)),VLOOKUP(A4842,Studies!A:BR,2,FALSE),"")</f>
        <v>Furesz 1970</v>
      </c>
      <c r="C4842" s="232" t="str">
        <f>IF(AND(A4842&lt;&gt;"",ISNUMBER(A4842)),VLOOKUP(A4842,Studies!A:BR,3,FALSE),"")</f>
        <v>https://www.ncbi.nlm.nih.gov/pubmed/5002304</v>
      </c>
      <c r="D4842" s="232" t="str">
        <f>IF(AND(A4842&lt;&gt;"",ISNUMBER(A4842)),VLOOKUP(A4842,Studies!A:BR,4,FALSE),"")</f>
        <v>450 mg</v>
      </c>
      <c r="E4842" s="206" t="str">
        <f>IF(AND(A4842&lt;&gt;"",ISNUMBER(A4842)),VLOOKUP(A4842,Studies!A:BR,5,FALSE),"")</f>
        <v>Rifampicin</v>
      </c>
      <c r="F4842" s="207" t="str">
        <f>IF(AND(A4842&lt;&gt;"",ISNUMBER(A4842)),VLOOKUP(A4842,Studies!A:BR,6,FALSE),"")</f>
        <v>Serum</v>
      </c>
      <c r="G4842" s="50">
        <v>4</v>
      </c>
      <c r="H4842" s="194" t="s">
        <v>60</v>
      </c>
      <c r="I4842" s="41">
        <v>6.84</v>
      </c>
      <c r="J4842" s="187" t="s">
        <v>1054</v>
      </c>
      <c r="K4842" s="187" t="s">
        <v>116</v>
      </c>
    </row>
    <row r="4843" spans="1:11" x14ac:dyDescent="0.2">
      <c r="A4843" s="183">
        <v>161</v>
      </c>
      <c r="B4843" s="232" t="str">
        <f>IF(AND(A4843&lt;&gt;"",ISNUMBER(A4843)),VLOOKUP(A4843,Studies!A:BR,2,FALSE),"")</f>
        <v>Furesz 1970</v>
      </c>
      <c r="C4843" s="232" t="str">
        <f>IF(AND(A4843&lt;&gt;"",ISNUMBER(A4843)),VLOOKUP(A4843,Studies!A:BR,3,FALSE),"")</f>
        <v>https://www.ncbi.nlm.nih.gov/pubmed/5002304</v>
      </c>
      <c r="D4843" s="232" t="str">
        <f>IF(AND(A4843&lt;&gt;"",ISNUMBER(A4843)),VLOOKUP(A4843,Studies!A:BR,4,FALSE),"")</f>
        <v>450 mg</v>
      </c>
      <c r="E4843" s="206" t="str">
        <f>IF(AND(A4843&lt;&gt;"",ISNUMBER(A4843)),VLOOKUP(A4843,Studies!A:BR,5,FALSE),"")</f>
        <v>Rifampicin</v>
      </c>
      <c r="F4843" s="207" t="str">
        <f>IF(AND(A4843&lt;&gt;"",ISNUMBER(A4843)),VLOOKUP(A4843,Studies!A:BR,6,FALSE),"")</f>
        <v>Serum</v>
      </c>
      <c r="G4843" s="50">
        <v>8</v>
      </c>
      <c r="H4843" s="194" t="s">
        <v>60</v>
      </c>
      <c r="I4843" s="41">
        <v>5.39</v>
      </c>
      <c r="J4843" s="187" t="s">
        <v>1054</v>
      </c>
      <c r="K4843" s="187" t="s">
        <v>116</v>
      </c>
    </row>
    <row r="4844" spans="1:11" x14ac:dyDescent="0.2">
      <c r="A4844" s="183">
        <v>161</v>
      </c>
      <c r="B4844" s="232" t="str">
        <f>IF(AND(A4844&lt;&gt;"",ISNUMBER(A4844)),VLOOKUP(A4844,Studies!A:BR,2,FALSE),"")</f>
        <v>Furesz 1970</v>
      </c>
      <c r="C4844" s="232" t="str">
        <f>IF(AND(A4844&lt;&gt;"",ISNUMBER(A4844)),VLOOKUP(A4844,Studies!A:BR,3,FALSE),"")</f>
        <v>https://www.ncbi.nlm.nih.gov/pubmed/5002304</v>
      </c>
      <c r="D4844" s="232" t="str">
        <f>IF(AND(A4844&lt;&gt;"",ISNUMBER(A4844)),VLOOKUP(A4844,Studies!A:BR,4,FALSE),"")</f>
        <v>450 mg</v>
      </c>
      <c r="E4844" s="206" t="str">
        <f>IF(AND(A4844&lt;&gt;"",ISNUMBER(A4844)),VLOOKUP(A4844,Studies!A:BR,5,FALSE),"")</f>
        <v>Rifampicin</v>
      </c>
      <c r="F4844" s="207" t="str">
        <f>IF(AND(A4844&lt;&gt;"",ISNUMBER(A4844)),VLOOKUP(A4844,Studies!A:BR,6,FALSE),"")</f>
        <v>Serum</v>
      </c>
      <c r="G4844" s="50">
        <v>12</v>
      </c>
      <c r="H4844" s="194" t="s">
        <v>60</v>
      </c>
      <c r="I4844" s="41">
        <v>2.13</v>
      </c>
      <c r="J4844" s="187" t="s">
        <v>1054</v>
      </c>
      <c r="K4844" s="187" t="s">
        <v>116</v>
      </c>
    </row>
    <row r="4845" spans="1:11" x14ac:dyDescent="0.2">
      <c r="A4845" s="183">
        <v>161</v>
      </c>
      <c r="B4845" s="232" t="str">
        <f>IF(AND(A4845&lt;&gt;"",ISNUMBER(A4845)),VLOOKUP(A4845,Studies!A:BR,2,FALSE),"")</f>
        <v>Furesz 1970</v>
      </c>
      <c r="C4845" s="232" t="str">
        <f>IF(AND(A4845&lt;&gt;"",ISNUMBER(A4845)),VLOOKUP(A4845,Studies!A:BR,3,FALSE),"")</f>
        <v>https://www.ncbi.nlm.nih.gov/pubmed/5002304</v>
      </c>
      <c r="D4845" s="232" t="str">
        <f>IF(AND(A4845&lt;&gt;"",ISNUMBER(A4845)),VLOOKUP(A4845,Studies!A:BR,4,FALSE),"")</f>
        <v>450 mg</v>
      </c>
      <c r="E4845" s="206" t="str">
        <f>IF(AND(A4845&lt;&gt;"",ISNUMBER(A4845)),VLOOKUP(A4845,Studies!A:BR,5,FALSE),"")</f>
        <v>Rifampicin</v>
      </c>
      <c r="F4845" s="207" t="str">
        <f>IF(AND(A4845&lt;&gt;"",ISNUMBER(A4845)),VLOOKUP(A4845,Studies!A:BR,6,FALSE),"")</f>
        <v>Serum</v>
      </c>
      <c r="G4845" s="50">
        <v>16</v>
      </c>
      <c r="H4845" s="194" t="s">
        <v>60</v>
      </c>
      <c r="I4845" s="41">
        <v>0.6</v>
      </c>
      <c r="J4845" s="187" t="s">
        <v>1054</v>
      </c>
      <c r="K4845" s="187" t="s">
        <v>116</v>
      </c>
    </row>
    <row r="4846" spans="1:11" x14ac:dyDescent="0.2">
      <c r="A4846" s="183">
        <v>161</v>
      </c>
      <c r="B4846" s="232" t="str">
        <f>IF(AND(A4846&lt;&gt;"",ISNUMBER(A4846)),VLOOKUP(A4846,Studies!A:BR,2,FALSE),"")</f>
        <v>Furesz 1970</v>
      </c>
      <c r="C4846" s="232" t="str">
        <f>IF(AND(A4846&lt;&gt;"",ISNUMBER(A4846)),VLOOKUP(A4846,Studies!A:BR,3,FALSE),"")</f>
        <v>https://www.ncbi.nlm.nih.gov/pubmed/5002304</v>
      </c>
      <c r="D4846" s="232" t="str">
        <f>IF(AND(A4846&lt;&gt;"",ISNUMBER(A4846)),VLOOKUP(A4846,Studies!A:BR,4,FALSE),"")</f>
        <v>450 mg</v>
      </c>
      <c r="E4846" s="206" t="str">
        <f>IF(AND(A4846&lt;&gt;"",ISNUMBER(A4846)),VLOOKUP(A4846,Studies!A:BR,5,FALSE),"")</f>
        <v>Rifampicin</v>
      </c>
      <c r="F4846" s="207" t="str">
        <f>IF(AND(A4846&lt;&gt;"",ISNUMBER(A4846)),VLOOKUP(A4846,Studies!A:BR,6,FALSE),"")</f>
        <v>Serum</v>
      </c>
      <c r="G4846" s="50">
        <v>24</v>
      </c>
      <c r="H4846" s="194" t="s">
        <v>60</v>
      </c>
      <c r="I4846" s="41">
        <v>0.13</v>
      </c>
      <c r="J4846" s="187" t="s">
        <v>1054</v>
      </c>
      <c r="K4846" s="187" t="s">
        <v>116</v>
      </c>
    </row>
    <row r="4847" spans="1:11" x14ac:dyDescent="0.2">
      <c r="A4847" s="30">
        <v>162</v>
      </c>
      <c r="B4847" s="232" t="str">
        <f>IF(AND(A4847&lt;&gt;"",ISNUMBER(A4847)),VLOOKUP(A4847,Studies!A:BR,2,FALSE),"")</f>
        <v>Furesz 1970</v>
      </c>
      <c r="C4847" s="232" t="str">
        <f>IF(AND(A4847&lt;&gt;"",ISNUMBER(A4847)),VLOOKUP(A4847,Studies!A:BR,3,FALSE),"")</f>
        <v>https://www.ncbi.nlm.nih.gov/pubmed/5002304</v>
      </c>
      <c r="D4847" s="232" t="str">
        <f>IF(AND(A4847&lt;&gt;"",ISNUMBER(A4847)),VLOOKUP(A4847,Studies!A:BR,4,FALSE),"")</f>
        <v>600 mg</v>
      </c>
      <c r="E4847" s="206" t="str">
        <f>IF(AND(A4847&lt;&gt;"",ISNUMBER(A4847)),VLOOKUP(A4847,Studies!A:BR,5,FALSE),"")</f>
        <v>Rifampicin</v>
      </c>
      <c r="F4847" s="207" t="str">
        <f>IF(AND(A4847&lt;&gt;"",ISNUMBER(A4847)),VLOOKUP(A4847,Studies!A:BR,6,FALSE),"")</f>
        <v>Serum</v>
      </c>
      <c r="G4847" s="50">
        <v>2</v>
      </c>
      <c r="H4847" s="194" t="s">
        <v>60</v>
      </c>
      <c r="I4847" s="41">
        <v>8.8000000000000007</v>
      </c>
      <c r="J4847" s="187" t="s">
        <v>1054</v>
      </c>
      <c r="K4847" s="187" t="s">
        <v>116</v>
      </c>
    </row>
    <row r="4848" spans="1:11" x14ac:dyDescent="0.2">
      <c r="A4848" s="183">
        <v>162</v>
      </c>
      <c r="B4848" s="232" t="str">
        <f>IF(AND(A4848&lt;&gt;"",ISNUMBER(A4848)),VLOOKUP(A4848,Studies!A:BR,2,FALSE),"")</f>
        <v>Furesz 1970</v>
      </c>
      <c r="C4848" s="232" t="str">
        <f>IF(AND(A4848&lt;&gt;"",ISNUMBER(A4848)),VLOOKUP(A4848,Studies!A:BR,3,FALSE),"")</f>
        <v>https://www.ncbi.nlm.nih.gov/pubmed/5002304</v>
      </c>
      <c r="D4848" s="232" t="str">
        <f>IF(AND(A4848&lt;&gt;"",ISNUMBER(A4848)),VLOOKUP(A4848,Studies!A:BR,4,FALSE),"")</f>
        <v>600 mg</v>
      </c>
      <c r="E4848" s="206" t="str">
        <f>IF(AND(A4848&lt;&gt;"",ISNUMBER(A4848)),VLOOKUP(A4848,Studies!A:BR,5,FALSE),"")</f>
        <v>Rifampicin</v>
      </c>
      <c r="F4848" s="207" t="str">
        <f>IF(AND(A4848&lt;&gt;"",ISNUMBER(A4848)),VLOOKUP(A4848,Studies!A:BR,6,FALSE),"")</f>
        <v>Serum</v>
      </c>
      <c r="G4848" s="50">
        <v>4</v>
      </c>
      <c r="H4848" s="194" t="s">
        <v>60</v>
      </c>
      <c r="I4848" s="41">
        <v>7.43</v>
      </c>
      <c r="J4848" s="187" t="s">
        <v>1054</v>
      </c>
      <c r="K4848" s="187" t="s">
        <v>116</v>
      </c>
    </row>
    <row r="4849" spans="1:11" x14ac:dyDescent="0.2">
      <c r="A4849" s="183">
        <v>162</v>
      </c>
      <c r="B4849" s="232" t="str">
        <f>IF(AND(A4849&lt;&gt;"",ISNUMBER(A4849)),VLOOKUP(A4849,Studies!A:BR,2,FALSE),"")</f>
        <v>Furesz 1970</v>
      </c>
      <c r="C4849" s="232" t="str">
        <f>IF(AND(A4849&lt;&gt;"",ISNUMBER(A4849)),VLOOKUP(A4849,Studies!A:BR,3,FALSE),"")</f>
        <v>https://www.ncbi.nlm.nih.gov/pubmed/5002304</v>
      </c>
      <c r="D4849" s="232" t="str">
        <f>IF(AND(A4849&lt;&gt;"",ISNUMBER(A4849)),VLOOKUP(A4849,Studies!A:BR,4,FALSE),"")</f>
        <v>600 mg</v>
      </c>
      <c r="E4849" s="206" t="str">
        <f>IF(AND(A4849&lt;&gt;"",ISNUMBER(A4849)),VLOOKUP(A4849,Studies!A:BR,5,FALSE),"")</f>
        <v>Rifampicin</v>
      </c>
      <c r="F4849" s="207" t="str">
        <f>IF(AND(A4849&lt;&gt;"",ISNUMBER(A4849)),VLOOKUP(A4849,Studies!A:BR,6,FALSE),"")</f>
        <v>Serum</v>
      </c>
      <c r="G4849" s="50">
        <v>16</v>
      </c>
      <c r="H4849" s="194" t="s">
        <v>60</v>
      </c>
      <c r="I4849" s="41">
        <v>1.2</v>
      </c>
      <c r="J4849" s="187" t="s">
        <v>1054</v>
      </c>
      <c r="K4849" s="187" t="s">
        <v>116</v>
      </c>
    </row>
    <row r="4850" spans="1:11" x14ac:dyDescent="0.2">
      <c r="A4850" s="183">
        <v>162</v>
      </c>
      <c r="B4850" s="232" t="str">
        <f>IF(AND(A4850&lt;&gt;"",ISNUMBER(A4850)),VLOOKUP(A4850,Studies!A:BR,2,FALSE),"")</f>
        <v>Furesz 1970</v>
      </c>
      <c r="C4850" s="232" t="str">
        <f>IF(AND(A4850&lt;&gt;"",ISNUMBER(A4850)),VLOOKUP(A4850,Studies!A:BR,3,FALSE),"")</f>
        <v>https://www.ncbi.nlm.nih.gov/pubmed/5002304</v>
      </c>
      <c r="D4850" s="232" t="str">
        <f>IF(AND(A4850&lt;&gt;"",ISNUMBER(A4850)),VLOOKUP(A4850,Studies!A:BR,4,FALSE),"")</f>
        <v>600 mg</v>
      </c>
      <c r="E4850" s="206" t="str">
        <f>IF(AND(A4850&lt;&gt;"",ISNUMBER(A4850)),VLOOKUP(A4850,Studies!A:BR,5,FALSE),"")</f>
        <v>Rifampicin</v>
      </c>
      <c r="F4850" s="207" t="str">
        <f>IF(AND(A4850&lt;&gt;"",ISNUMBER(A4850)),VLOOKUP(A4850,Studies!A:BR,6,FALSE),"")</f>
        <v>Serum</v>
      </c>
      <c r="G4850" s="50">
        <v>24</v>
      </c>
      <c r="H4850" s="194" t="s">
        <v>60</v>
      </c>
      <c r="I4850" s="41">
        <v>0.19</v>
      </c>
      <c r="J4850" s="187" t="s">
        <v>1054</v>
      </c>
      <c r="K4850" s="187" t="s">
        <v>116</v>
      </c>
    </row>
    <row r="4851" spans="1:11" x14ac:dyDescent="0.2">
      <c r="A4851" s="30">
        <v>163</v>
      </c>
      <c r="B4851" s="232" t="str">
        <f>IF(AND(A4851&lt;&gt;"",ISNUMBER(A4851)),VLOOKUP(A4851,Studies!A:BR,2,FALSE),"")</f>
        <v>Furesz 1970</v>
      </c>
      <c r="C4851" s="232" t="str">
        <f>IF(AND(A4851&lt;&gt;"",ISNUMBER(A4851)),VLOOKUP(A4851,Studies!A:BR,3,FALSE),"")</f>
        <v>https://www.ncbi.nlm.nih.gov/pubmed/5002304</v>
      </c>
      <c r="D4851" s="232" t="str">
        <f>IF(AND(A4851&lt;&gt;"",ISNUMBER(A4851)),VLOOKUP(A4851,Studies!A:BR,4,FALSE),"")</f>
        <v>750 mg</v>
      </c>
      <c r="E4851" s="206" t="str">
        <f>IF(AND(A4851&lt;&gt;"",ISNUMBER(A4851)),VLOOKUP(A4851,Studies!A:BR,5,FALSE),"")</f>
        <v>Rifampicin</v>
      </c>
      <c r="F4851" s="207" t="str">
        <f>IF(AND(A4851&lt;&gt;"",ISNUMBER(A4851)),VLOOKUP(A4851,Studies!A:BR,6,FALSE),"")</f>
        <v>Serum</v>
      </c>
      <c r="G4851" s="50">
        <v>2</v>
      </c>
      <c r="H4851" s="194" t="s">
        <v>60</v>
      </c>
      <c r="I4851" s="41">
        <v>20.87</v>
      </c>
      <c r="J4851" s="187" t="s">
        <v>1054</v>
      </c>
      <c r="K4851" s="187" t="s">
        <v>116</v>
      </c>
    </row>
    <row r="4852" spans="1:11" x14ac:dyDescent="0.2">
      <c r="A4852" s="183">
        <v>163</v>
      </c>
      <c r="B4852" s="232" t="str">
        <f>IF(AND(A4852&lt;&gt;"",ISNUMBER(A4852)),VLOOKUP(A4852,Studies!A:BR,2,FALSE),"")</f>
        <v>Furesz 1970</v>
      </c>
      <c r="C4852" s="232" t="str">
        <f>IF(AND(A4852&lt;&gt;"",ISNUMBER(A4852)),VLOOKUP(A4852,Studies!A:BR,3,FALSE),"")</f>
        <v>https://www.ncbi.nlm.nih.gov/pubmed/5002304</v>
      </c>
      <c r="D4852" s="232" t="str">
        <f>IF(AND(A4852&lt;&gt;"",ISNUMBER(A4852)),VLOOKUP(A4852,Studies!A:BR,4,FALSE),"")</f>
        <v>750 mg</v>
      </c>
      <c r="E4852" s="206" t="str">
        <f>IF(AND(A4852&lt;&gt;"",ISNUMBER(A4852)),VLOOKUP(A4852,Studies!A:BR,5,FALSE),"")</f>
        <v>Rifampicin</v>
      </c>
      <c r="F4852" s="207" t="str">
        <f>IF(AND(A4852&lt;&gt;"",ISNUMBER(A4852)),VLOOKUP(A4852,Studies!A:BR,6,FALSE),"")</f>
        <v>Serum</v>
      </c>
      <c r="G4852" s="50">
        <v>4</v>
      </c>
      <c r="H4852" s="194" t="s">
        <v>60</v>
      </c>
      <c r="I4852" s="41">
        <v>17.559999999999999</v>
      </c>
      <c r="J4852" s="187" t="s">
        <v>1054</v>
      </c>
      <c r="K4852" s="187" t="s">
        <v>116</v>
      </c>
    </row>
    <row r="4853" spans="1:11" x14ac:dyDescent="0.2">
      <c r="A4853" s="183">
        <v>163</v>
      </c>
      <c r="B4853" s="232" t="str">
        <f>IF(AND(A4853&lt;&gt;"",ISNUMBER(A4853)),VLOOKUP(A4853,Studies!A:BR,2,FALSE),"")</f>
        <v>Furesz 1970</v>
      </c>
      <c r="C4853" s="232" t="str">
        <f>IF(AND(A4853&lt;&gt;"",ISNUMBER(A4853)),VLOOKUP(A4853,Studies!A:BR,3,FALSE),"")</f>
        <v>https://www.ncbi.nlm.nih.gov/pubmed/5002304</v>
      </c>
      <c r="D4853" s="232" t="str">
        <f>IF(AND(A4853&lt;&gt;"",ISNUMBER(A4853)),VLOOKUP(A4853,Studies!A:BR,4,FALSE),"")</f>
        <v>750 mg</v>
      </c>
      <c r="E4853" s="206" t="str">
        <f>IF(AND(A4853&lt;&gt;"",ISNUMBER(A4853)),VLOOKUP(A4853,Studies!A:BR,5,FALSE),"")</f>
        <v>Rifampicin</v>
      </c>
      <c r="F4853" s="207" t="str">
        <f>IF(AND(A4853&lt;&gt;"",ISNUMBER(A4853)),VLOOKUP(A4853,Studies!A:BR,6,FALSE),"")</f>
        <v>Serum</v>
      </c>
      <c r="G4853" s="50">
        <v>8</v>
      </c>
      <c r="H4853" s="194" t="s">
        <v>60</v>
      </c>
      <c r="I4853" s="41">
        <v>10.34</v>
      </c>
      <c r="J4853" s="187" t="s">
        <v>1054</v>
      </c>
      <c r="K4853" s="187" t="s">
        <v>116</v>
      </c>
    </row>
    <row r="4854" spans="1:11" x14ac:dyDescent="0.2">
      <c r="A4854" s="183">
        <v>163</v>
      </c>
      <c r="B4854" s="232" t="str">
        <f>IF(AND(A4854&lt;&gt;"",ISNUMBER(A4854)),VLOOKUP(A4854,Studies!A:BR,2,FALSE),"")</f>
        <v>Furesz 1970</v>
      </c>
      <c r="C4854" s="232" t="str">
        <f>IF(AND(A4854&lt;&gt;"",ISNUMBER(A4854)),VLOOKUP(A4854,Studies!A:BR,3,FALSE),"")</f>
        <v>https://www.ncbi.nlm.nih.gov/pubmed/5002304</v>
      </c>
      <c r="D4854" s="232" t="str">
        <f>IF(AND(A4854&lt;&gt;"",ISNUMBER(A4854)),VLOOKUP(A4854,Studies!A:BR,4,FALSE),"")</f>
        <v>750 mg</v>
      </c>
      <c r="E4854" s="206" t="str">
        <f>IF(AND(A4854&lt;&gt;"",ISNUMBER(A4854)),VLOOKUP(A4854,Studies!A:BR,5,FALSE),"")</f>
        <v>Rifampicin</v>
      </c>
      <c r="F4854" s="207" t="str">
        <f>IF(AND(A4854&lt;&gt;"",ISNUMBER(A4854)),VLOOKUP(A4854,Studies!A:BR,6,FALSE),"")</f>
        <v>Serum</v>
      </c>
      <c r="G4854" s="50">
        <v>12</v>
      </c>
      <c r="H4854" s="194" t="s">
        <v>60</v>
      </c>
      <c r="I4854" s="41">
        <v>4.9000000000000004</v>
      </c>
      <c r="J4854" s="187" t="s">
        <v>1054</v>
      </c>
      <c r="K4854" s="187" t="s">
        <v>116</v>
      </c>
    </row>
    <row r="4855" spans="1:11" x14ac:dyDescent="0.2">
      <c r="A4855" s="183">
        <v>163</v>
      </c>
      <c r="B4855" s="232" t="str">
        <f>IF(AND(A4855&lt;&gt;"",ISNUMBER(A4855)),VLOOKUP(A4855,Studies!A:BR,2,FALSE),"")</f>
        <v>Furesz 1970</v>
      </c>
      <c r="C4855" s="232" t="str">
        <f>IF(AND(A4855&lt;&gt;"",ISNUMBER(A4855)),VLOOKUP(A4855,Studies!A:BR,3,FALSE),"")</f>
        <v>https://www.ncbi.nlm.nih.gov/pubmed/5002304</v>
      </c>
      <c r="D4855" s="232" t="str">
        <f>IF(AND(A4855&lt;&gt;"",ISNUMBER(A4855)),VLOOKUP(A4855,Studies!A:BR,4,FALSE),"")</f>
        <v>750 mg</v>
      </c>
      <c r="E4855" s="206" t="str">
        <f>IF(AND(A4855&lt;&gt;"",ISNUMBER(A4855)),VLOOKUP(A4855,Studies!A:BR,5,FALSE),"")</f>
        <v>Rifampicin</v>
      </c>
      <c r="F4855" s="207" t="str">
        <f>IF(AND(A4855&lt;&gt;"",ISNUMBER(A4855)),VLOOKUP(A4855,Studies!A:BR,6,FALSE),"")</f>
        <v>Serum</v>
      </c>
      <c r="G4855" s="50">
        <v>24</v>
      </c>
      <c r="H4855" s="194" t="s">
        <v>60</v>
      </c>
      <c r="I4855" s="41">
        <v>0.42</v>
      </c>
      <c r="J4855" s="187" t="s">
        <v>1054</v>
      </c>
      <c r="K4855" s="187" t="s">
        <v>116</v>
      </c>
    </row>
    <row r="4856" spans="1:11" x14ac:dyDescent="0.2">
      <c r="A4856" s="30">
        <v>164</v>
      </c>
      <c r="B4856" s="232" t="str">
        <f>IF(AND(A4856&lt;&gt;"",ISNUMBER(A4856)),VLOOKUP(A4856,Studies!A:BR,2,FALSE),"")</f>
        <v>Furesz 1970</v>
      </c>
      <c r="C4856" s="232" t="str">
        <f>IF(AND(A4856&lt;&gt;"",ISNUMBER(A4856)),VLOOKUP(A4856,Studies!A:BR,3,FALSE),"")</f>
        <v>https://www.ncbi.nlm.nih.gov/pubmed/5002304</v>
      </c>
      <c r="D4856" s="232" t="str">
        <f>IF(AND(A4856&lt;&gt;"",ISNUMBER(A4856)),VLOOKUP(A4856,Studies!A:BR,4,FALSE),"")</f>
        <v>900 mg</v>
      </c>
      <c r="E4856" s="206" t="str">
        <f>IF(AND(A4856&lt;&gt;"",ISNUMBER(A4856)),VLOOKUP(A4856,Studies!A:BR,5,FALSE),"")</f>
        <v>Rifampicin</v>
      </c>
      <c r="F4856" s="207" t="str">
        <f>IF(AND(A4856&lt;&gt;"",ISNUMBER(A4856)),VLOOKUP(A4856,Studies!A:BR,6,FALSE),"")</f>
        <v>Serum</v>
      </c>
      <c r="G4856" s="50">
        <v>2</v>
      </c>
      <c r="H4856" s="194" t="s">
        <v>60</v>
      </c>
      <c r="I4856" s="41">
        <v>27.7</v>
      </c>
      <c r="J4856" s="187" t="s">
        <v>1054</v>
      </c>
      <c r="K4856" s="187" t="s">
        <v>116</v>
      </c>
    </row>
    <row r="4857" spans="1:11" x14ac:dyDescent="0.2">
      <c r="A4857" s="183">
        <v>164</v>
      </c>
      <c r="B4857" s="232" t="str">
        <f>IF(AND(A4857&lt;&gt;"",ISNUMBER(A4857)),VLOOKUP(A4857,Studies!A:BR,2,FALSE),"")</f>
        <v>Furesz 1970</v>
      </c>
      <c r="C4857" s="232" t="str">
        <f>IF(AND(A4857&lt;&gt;"",ISNUMBER(A4857)),VLOOKUP(A4857,Studies!A:BR,3,FALSE),"")</f>
        <v>https://www.ncbi.nlm.nih.gov/pubmed/5002304</v>
      </c>
      <c r="D4857" s="232" t="str">
        <f>IF(AND(A4857&lt;&gt;"",ISNUMBER(A4857)),VLOOKUP(A4857,Studies!A:BR,4,FALSE),"")</f>
        <v>900 mg</v>
      </c>
      <c r="E4857" s="206" t="str">
        <f>IF(AND(A4857&lt;&gt;"",ISNUMBER(A4857)),VLOOKUP(A4857,Studies!A:BR,5,FALSE),"")</f>
        <v>Rifampicin</v>
      </c>
      <c r="F4857" s="207" t="str">
        <f>IF(AND(A4857&lt;&gt;"",ISNUMBER(A4857)),VLOOKUP(A4857,Studies!A:BR,6,FALSE),"")</f>
        <v>Serum</v>
      </c>
      <c r="G4857" s="50">
        <v>4</v>
      </c>
      <c r="H4857" s="194" t="s">
        <v>60</v>
      </c>
      <c r="I4857" s="41">
        <v>22.51</v>
      </c>
      <c r="J4857" s="187" t="s">
        <v>1054</v>
      </c>
      <c r="K4857" s="187" t="s">
        <v>116</v>
      </c>
    </row>
    <row r="4858" spans="1:11" x14ac:dyDescent="0.2">
      <c r="A4858" s="183">
        <v>164</v>
      </c>
      <c r="B4858" s="232" t="str">
        <f>IF(AND(A4858&lt;&gt;"",ISNUMBER(A4858)),VLOOKUP(A4858,Studies!A:BR,2,FALSE),"")</f>
        <v>Furesz 1970</v>
      </c>
      <c r="C4858" s="232" t="str">
        <f>IF(AND(A4858&lt;&gt;"",ISNUMBER(A4858)),VLOOKUP(A4858,Studies!A:BR,3,FALSE),"")</f>
        <v>https://www.ncbi.nlm.nih.gov/pubmed/5002304</v>
      </c>
      <c r="D4858" s="232" t="str">
        <f>IF(AND(A4858&lt;&gt;"",ISNUMBER(A4858)),VLOOKUP(A4858,Studies!A:BR,4,FALSE),"")</f>
        <v>900 mg</v>
      </c>
      <c r="E4858" s="206" t="str">
        <f>IF(AND(A4858&lt;&gt;"",ISNUMBER(A4858)),VLOOKUP(A4858,Studies!A:BR,5,FALSE),"")</f>
        <v>Rifampicin</v>
      </c>
      <c r="F4858" s="207" t="str">
        <f>IF(AND(A4858&lt;&gt;"",ISNUMBER(A4858)),VLOOKUP(A4858,Studies!A:BR,6,FALSE),"")</f>
        <v>Serum</v>
      </c>
      <c r="G4858" s="50">
        <v>8</v>
      </c>
      <c r="H4858" s="194" t="s">
        <v>60</v>
      </c>
      <c r="I4858" s="41">
        <v>15.44</v>
      </c>
      <c r="J4858" s="187" t="s">
        <v>1054</v>
      </c>
      <c r="K4858" s="187" t="s">
        <v>116</v>
      </c>
    </row>
    <row r="4859" spans="1:11" x14ac:dyDescent="0.2">
      <c r="A4859" s="183">
        <v>164</v>
      </c>
      <c r="B4859" s="232" t="str">
        <f>IF(AND(A4859&lt;&gt;"",ISNUMBER(A4859)),VLOOKUP(A4859,Studies!A:BR,2,FALSE),"")</f>
        <v>Furesz 1970</v>
      </c>
      <c r="C4859" s="232" t="str">
        <f>IF(AND(A4859&lt;&gt;"",ISNUMBER(A4859)),VLOOKUP(A4859,Studies!A:BR,3,FALSE),"")</f>
        <v>https://www.ncbi.nlm.nih.gov/pubmed/5002304</v>
      </c>
      <c r="D4859" s="232" t="str">
        <f>IF(AND(A4859&lt;&gt;"",ISNUMBER(A4859)),VLOOKUP(A4859,Studies!A:BR,4,FALSE),"")</f>
        <v>900 mg</v>
      </c>
      <c r="E4859" s="206" t="str">
        <f>IF(AND(A4859&lt;&gt;"",ISNUMBER(A4859)),VLOOKUP(A4859,Studies!A:BR,5,FALSE),"")</f>
        <v>Rifampicin</v>
      </c>
      <c r="F4859" s="207" t="str">
        <f>IF(AND(A4859&lt;&gt;"",ISNUMBER(A4859)),VLOOKUP(A4859,Studies!A:BR,6,FALSE),"")</f>
        <v>Serum</v>
      </c>
      <c r="G4859" s="50">
        <v>12</v>
      </c>
      <c r="H4859" s="194" t="s">
        <v>60</v>
      </c>
      <c r="I4859" s="41">
        <v>8.33</v>
      </c>
      <c r="J4859" s="187" t="s">
        <v>1054</v>
      </c>
      <c r="K4859" s="187" t="s">
        <v>116</v>
      </c>
    </row>
    <row r="4860" spans="1:11" x14ac:dyDescent="0.2">
      <c r="A4860" s="183">
        <v>164</v>
      </c>
      <c r="B4860" s="232" t="str">
        <f>IF(AND(A4860&lt;&gt;"",ISNUMBER(A4860)),VLOOKUP(A4860,Studies!A:BR,2,FALSE),"")</f>
        <v>Furesz 1970</v>
      </c>
      <c r="C4860" s="232" t="str">
        <f>IF(AND(A4860&lt;&gt;"",ISNUMBER(A4860)),VLOOKUP(A4860,Studies!A:BR,3,FALSE),"")</f>
        <v>https://www.ncbi.nlm.nih.gov/pubmed/5002304</v>
      </c>
      <c r="D4860" s="232" t="str">
        <f>IF(AND(A4860&lt;&gt;"",ISNUMBER(A4860)),VLOOKUP(A4860,Studies!A:BR,4,FALSE),"")</f>
        <v>900 mg</v>
      </c>
      <c r="E4860" s="206" t="str">
        <f>IF(AND(A4860&lt;&gt;"",ISNUMBER(A4860)),VLOOKUP(A4860,Studies!A:BR,5,FALSE),"")</f>
        <v>Rifampicin</v>
      </c>
      <c r="F4860" s="207" t="str">
        <f>IF(AND(A4860&lt;&gt;"",ISNUMBER(A4860)),VLOOKUP(A4860,Studies!A:BR,6,FALSE),"")</f>
        <v>Serum</v>
      </c>
      <c r="G4860" s="50">
        <v>24</v>
      </c>
      <c r="H4860" s="194" t="s">
        <v>60</v>
      </c>
      <c r="I4860" s="41">
        <v>1.64</v>
      </c>
      <c r="J4860" s="187" t="s">
        <v>1054</v>
      </c>
      <c r="K4860" s="187" t="s">
        <v>116</v>
      </c>
    </row>
  </sheetData>
  <autoFilter ref="A1:Q4860"/>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Lists!$N$3:$N$6</xm:f>
          </x14:formula1>
          <xm:sqref>I875:I997 I2147:I2153 I2421:I2582 H1:H1048576</xm:sqref>
        </x14:dataValidation>
        <x14:dataValidation type="list" allowBlank="1" showInputMessage="1" showErrorMessage="1">
          <x14:formula1>
            <xm:f>Lists!$E$3:$E$36</xm:f>
          </x14:formula1>
          <xm:sqref>L2159:L2175 L2333:L2361</xm:sqref>
        </x14:dataValidation>
        <x14:dataValidation type="list" allowBlank="1" showInputMessage="1" showErrorMessage="1">
          <x14:formula1>
            <xm:f>Lists!$F$3:$F$36</xm:f>
          </x14:formula1>
          <xm:sqref>M1:M1048576</xm:sqref>
        </x14:dataValidation>
        <x14:dataValidation type="list" allowBlank="1" showInputMessage="1" showErrorMessage="1">
          <x14:formula1>
            <xm:f>Lists!$E$1:$E$99</xm:f>
          </x14:formula1>
          <xm:sqref>J1:J1048576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9"/>
  <sheetViews>
    <sheetView zoomScale="120" zoomScaleNormal="120" workbookViewId="0">
      <pane xSplit="4" ySplit="1" topLeftCell="E29" activePane="bottomRight" state="frozen"/>
      <selection pane="topRight" activeCell="E1" sqref="E1"/>
      <selection pane="bottomLeft" activeCell="A2" sqref="A2"/>
      <selection pane="bottomRight" activeCell="A85" sqref="A85"/>
    </sheetView>
  </sheetViews>
  <sheetFormatPr baseColWidth="10" defaultColWidth="11" defaultRowHeight="12.75" x14ac:dyDescent="0.2"/>
  <cols>
    <col min="1" max="1" width="4.375" style="30" bestFit="1" customWidth="1"/>
    <col min="2" max="2" width="14.125" style="97" customWidth="1"/>
    <col min="3" max="3" width="35.5" style="97" customWidth="1"/>
    <col min="4" max="4" width="34.375" style="97" customWidth="1"/>
    <col min="5" max="5" width="17" style="103" customWidth="1"/>
    <col min="6" max="6" width="14.625" style="42" customWidth="1"/>
    <col min="7" max="7" width="15.5" style="105" bestFit="1" customWidth="1"/>
    <col min="8" max="8" width="17" style="68" bestFit="1" customWidth="1"/>
    <col min="9" max="9" width="13.625" style="105" bestFit="1" customWidth="1"/>
    <col min="10" max="10" width="11" style="43" bestFit="1" customWidth="1"/>
    <col min="11" max="11" width="10.875" style="43" customWidth="1"/>
    <col min="12" max="12" width="10.625" style="76" bestFit="1" customWidth="1"/>
    <col min="13" max="13" width="14.5" style="76" bestFit="1" customWidth="1"/>
    <col min="14" max="14" width="12.25" style="52" bestFit="1" customWidth="1"/>
    <col min="15" max="15" width="12.125" style="52" customWidth="1"/>
    <col min="16" max="16" width="11.875" style="84" bestFit="1" customWidth="1"/>
    <col min="17" max="17" width="15.75" style="84" bestFit="1" customWidth="1"/>
    <col min="18" max="18" width="12.5" style="38" bestFit="1" customWidth="1"/>
    <col min="19" max="19" width="14.5" style="39" bestFit="1" customWidth="1"/>
    <col min="20" max="20" width="13.75" style="40" bestFit="1" customWidth="1"/>
    <col min="21" max="21" width="15.75" style="41" bestFit="1" customWidth="1"/>
    <col min="22" max="22" width="7" style="42" bestFit="1" customWidth="1"/>
    <col min="23" max="23" width="9.25" style="30" bestFit="1" customWidth="1"/>
    <col min="24" max="24" width="7.125" style="22" bestFit="1" customWidth="1"/>
    <col min="25" max="25" width="13.75" style="28" bestFit="1" customWidth="1"/>
    <col min="26" max="26" width="10.5" style="28" bestFit="1" customWidth="1"/>
    <col min="27" max="27" width="7.625" style="22" bestFit="1" customWidth="1"/>
    <col min="28" max="28" width="26.5" style="22" bestFit="1" customWidth="1"/>
    <col min="29" max="29" width="11.375" style="22" bestFit="1" customWidth="1"/>
    <col min="30" max="30" width="28.375" style="22" bestFit="1" customWidth="1"/>
    <col min="31" max="31" width="23.625" style="23" bestFit="1" customWidth="1"/>
    <col min="32" max="32" width="27.75" style="23" bestFit="1" customWidth="1"/>
    <col min="33" max="33" width="19" style="24" bestFit="1" customWidth="1"/>
    <col min="34" max="34" width="38" style="23" bestFit="1" customWidth="1"/>
    <col min="35" max="35" width="38" style="23" customWidth="1"/>
    <col min="36" max="36" width="13.875" style="52" bestFit="1" customWidth="1"/>
    <col min="37" max="37" width="40.125" style="52" bestFit="1" customWidth="1"/>
    <col min="38" max="38" width="38.625" style="52" bestFit="1" customWidth="1"/>
    <col min="39" max="39" width="23.625" style="52" bestFit="1" customWidth="1"/>
    <col min="40" max="16384" width="11" style="30"/>
  </cols>
  <sheetData>
    <row r="1" spans="1:40" s="29" customFormat="1" x14ac:dyDescent="0.2">
      <c r="A1" s="29" t="s">
        <v>11</v>
      </c>
      <c r="B1" s="95" t="s">
        <v>1176</v>
      </c>
      <c r="C1" s="96" t="s">
        <v>13</v>
      </c>
      <c r="D1" s="95" t="s">
        <v>14</v>
      </c>
      <c r="E1" s="102" t="s">
        <v>1177</v>
      </c>
      <c r="F1" s="36" t="s">
        <v>1178</v>
      </c>
      <c r="G1" s="104" t="s">
        <v>1179</v>
      </c>
      <c r="H1" s="67" t="s">
        <v>1180</v>
      </c>
      <c r="I1" s="104" t="s">
        <v>16</v>
      </c>
      <c r="J1" s="31" t="s">
        <v>1181</v>
      </c>
      <c r="K1" s="31" t="s">
        <v>1182</v>
      </c>
      <c r="L1" s="203" t="s">
        <v>1183</v>
      </c>
      <c r="M1" s="203" t="s">
        <v>1184</v>
      </c>
      <c r="N1" s="51" t="s">
        <v>1185</v>
      </c>
      <c r="O1" s="51" t="s">
        <v>1186</v>
      </c>
      <c r="P1" s="63" t="s">
        <v>1187</v>
      </c>
      <c r="Q1" s="63" t="s">
        <v>1188</v>
      </c>
      <c r="R1" s="32" t="s">
        <v>1189</v>
      </c>
      <c r="S1" s="33" t="s">
        <v>1190</v>
      </c>
      <c r="T1" s="34" t="s">
        <v>1191</v>
      </c>
      <c r="U1" s="35" t="s">
        <v>1192</v>
      </c>
      <c r="V1" s="36" t="s">
        <v>1000</v>
      </c>
      <c r="W1" s="29" t="s">
        <v>1022</v>
      </c>
      <c r="X1" s="10" t="s">
        <v>20</v>
      </c>
      <c r="Y1" s="11" t="s">
        <v>21</v>
      </c>
      <c r="Z1" s="11" t="s">
        <v>22</v>
      </c>
      <c r="AA1" s="10" t="s">
        <v>23</v>
      </c>
      <c r="AB1" s="10" t="s">
        <v>24</v>
      </c>
      <c r="AC1" s="10" t="s">
        <v>25</v>
      </c>
      <c r="AD1" s="10" t="s">
        <v>26</v>
      </c>
      <c r="AE1" s="12" t="s">
        <v>27</v>
      </c>
      <c r="AF1" s="12" t="s">
        <v>28</v>
      </c>
      <c r="AG1" s="13" t="s">
        <v>29</v>
      </c>
      <c r="AH1" s="12" t="s">
        <v>30</v>
      </c>
      <c r="AI1" s="12" t="s">
        <v>31</v>
      </c>
      <c r="AJ1" s="14" t="s">
        <v>32</v>
      </c>
      <c r="AK1" s="74" t="s">
        <v>33</v>
      </c>
      <c r="AL1" s="74" t="s">
        <v>34</v>
      </c>
      <c r="AM1" s="14" t="s">
        <v>35</v>
      </c>
      <c r="AN1" s="29" t="s">
        <v>50</v>
      </c>
    </row>
    <row r="2" spans="1:40" x14ac:dyDescent="0.2">
      <c r="A2" s="183">
        <v>320</v>
      </c>
      <c r="B2" s="206" t="str">
        <f>IF(AND(A2&lt;&gt;"",ISNUMBER(A2)),VLOOKUP(A2,Studies!A:BR,2,FALSE),"")</f>
        <v>Kivistö 1997</v>
      </c>
      <c r="C2" s="206" t="str">
        <f>IF(AND(A2&lt;&gt;"",ISNUMBER(A2)),VLOOKUP(A2,Studies!A:BR,3,FALSE),"")</f>
        <v>https://www.ncbi.nlm.nih.gov/pubmed/9333111</v>
      </c>
      <c r="D2" s="206" t="str">
        <f>IF(AND(A2&lt;&gt;"",ISNUMBER(A2)),VLOOKUP(A2,Studies!A:BR,4,FALSE),"")</f>
        <v>with Perpetrator (Itraconazole)</v>
      </c>
      <c r="E2" s="141" t="str">
        <f>IF(AND(A2&lt;&gt;"",ISNUMBER(A2)),VLOOKUP(A2,Studies!A:BR,5,FALSE),"")</f>
        <v>Buspirone</v>
      </c>
      <c r="F2" s="188" t="s">
        <v>149</v>
      </c>
      <c r="G2" s="208" t="str">
        <f>IF(AND(A2&lt;&gt;"",ISNUMBER(A2)),VLOOKUP(A2,Studies!A:BR,13,FALSE),"")</f>
        <v>PO</v>
      </c>
      <c r="H2" s="140" t="str">
        <f t="shared" ref="H2:H65" si="0">AA2</f>
        <v>PO</v>
      </c>
      <c r="I2" s="208" t="str">
        <f>IF(AND(A2&lt;&gt;"",ISNUMBER(A2)),VLOOKUP(A2,Studies!A:BR,6,FALSE),"")</f>
        <v>Plasma</v>
      </c>
      <c r="J2" s="37">
        <v>19.2</v>
      </c>
      <c r="K2" s="37"/>
      <c r="L2" s="203"/>
      <c r="M2" s="203"/>
      <c r="N2" s="64">
        <v>13.4</v>
      </c>
      <c r="O2" s="64"/>
      <c r="P2" s="66"/>
      <c r="Q2" s="66"/>
      <c r="R2" s="184">
        <v>0</v>
      </c>
      <c r="S2" s="185" t="s">
        <v>1023</v>
      </c>
      <c r="T2" s="186">
        <v>79</v>
      </c>
      <c r="U2" s="187" t="s">
        <v>1023</v>
      </c>
      <c r="V2" s="188" t="s">
        <v>60</v>
      </c>
      <c r="W2" s="183"/>
      <c r="X2" s="178">
        <v>100</v>
      </c>
      <c r="Y2" s="139"/>
      <c r="Z2" s="139" t="s">
        <v>58</v>
      </c>
      <c r="AA2" s="178" t="s">
        <v>59</v>
      </c>
      <c r="AB2" s="27" t="s">
        <v>415</v>
      </c>
      <c r="AC2" s="138" t="s">
        <v>60</v>
      </c>
      <c r="AD2" s="178" t="s">
        <v>92</v>
      </c>
      <c r="AE2" s="176"/>
      <c r="AF2" s="179" t="s">
        <v>416</v>
      </c>
      <c r="AG2" s="180"/>
      <c r="AH2" s="180">
        <v>150</v>
      </c>
      <c r="AI2" s="180"/>
      <c r="AJ2" s="19" t="s">
        <v>62</v>
      </c>
      <c r="AK2" s="168">
        <v>2</v>
      </c>
      <c r="AL2" s="168">
        <v>3</v>
      </c>
      <c r="AM2" s="167" t="s">
        <v>407</v>
      </c>
      <c r="AN2" s="183">
        <f>IF(ISNUMBER(VLOOKUP(A2,NotghiID!A:A,1,FALSE)),1,0)</f>
        <v>0</v>
      </c>
    </row>
    <row r="3" spans="1:40" x14ac:dyDescent="0.2">
      <c r="A3" s="183">
        <v>318</v>
      </c>
      <c r="B3" s="206" t="str">
        <f>IF(AND(A3&lt;&gt;"",ISNUMBER(A3)),VLOOKUP(A3,Studies!A:BR,2,FALSE),"")</f>
        <v>Kivistö 1997</v>
      </c>
      <c r="C3" s="206" t="str">
        <f>IF(AND(A3&lt;&gt;"",ISNUMBER(A3)),VLOOKUP(A3,Studies!A:BR,3,FALSE),"")</f>
        <v>https://www.ncbi.nlm.nih.gov/pubmed/9333111</v>
      </c>
      <c r="D3" s="206" t="str">
        <f>IF(AND(A3&lt;&gt;"",ISNUMBER(A3)),VLOOKUP(A3,Studies!A:BR,4,FALSE),"")</f>
        <v>with Perpetrator (Erythromycin)</v>
      </c>
      <c r="E3" s="141" t="str">
        <f>IF(AND(A3&lt;&gt;"",ISNUMBER(A3)),VLOOKUP(A3,Studies!A:BR,5,FALSE),"")</f>
        <v>Buspirone</v>
      </c>
      <c r="F3" s="188" t="s">
        <v>410</v>
      </c>
      <c r="G3" s="208" t="str">
        <f>IF(AND(A3&lt;&gt;"",ISNUMBER(A3)),VLOOKUP(A3,Studies!A:BR,13,FALSE),"")</f>
        <v>PO</v>
      </c>
      <c r="H3" s="140" t="str">
        <f t="shared" si="0"/>
        <v>PO</v>
      </c>
      <c r="I3" s="208" t="str">
        <f>IF(AND(A3&lt;&gt;"",ISNUMBER(A3)),VLOOKUP(A3,Studies!A:BR,6,FALSE),"")</f>
        <v>Plasma</v>
      </c>
      <c r="J3" s="189">
        <v>5.9</v>
      </c>
      <c r="K3" s="189"/>
      <c r="L3" s="203"/>
      <c r="M3" s="203"/>
      <c r="N3" s="168">
        <v>5</v>
      </c>
      <c r="O3" s="168"/>
      <c r="P3" s="180"/>
      <c r="Q3" s="180"/>
      <c r="R3" s="184">
        <v>0</v>
      </c>
      <c r="S3" s="185" t="s">
        <v>1023</v>
      </c>
      <c r="T3" s="186">
        <v>79</v>
      </c>
      <c r="U3" s="187" t="s">
        <v>1023</v>
      </c>
      <c r="V3" s="188" t="s">
        <v>60</v>
      </c>
      <c r="W3" s="183"/>
      <c r="X3" s="178">
        <v>500</v>
      </c>
      <c r="Y3" s="139"/>
      <c r="Z3" s="139" t="s">
        <v>58</v>
      </c>
      <c r="AA3" s="178" t="s">
        <v>59</v>
      </c>
      <c r="AB3" s="178" t="s">
        <v>411</v>
      </c>
      <c r="AC3" s="138" t="s">
        <v>60</v>
      </c>
      <c r="AD3" s="178" t="s">
        <v>92</v>
      </c>
      <c r="AE3" s="176" t="s">
        <v>412</v>
      </c>
      <c r="AF3" s="179" t="s">
        <v>413</v>
      </c>
      <c r="AG3" s="180"/>
      <c r="AH3" s="180">
        <v>150</v>
      </c>
      <c r="AI3" s="180"/>
      <c r="AJ3" s="19" t="s">
        <v>62</v>
      </c>
      <c r="AK3" s="168">
        <v>2</v>
      </c>
      <c r="AL3" s="168">
        <v>3</v>
      </c>
      <c r="AM3" s="167" t="s">
        <v>407</v>
      </c>
      <c r="AN3" s="183">
        <f>IF(ISNUMBER(VLOOKUP(A3,NotghiID!A:A,1,FALSE)),1,0)</f>
        <v>0</v>
      </c>
    </row>
    <row r="4" spans="1:40" x14ac:dyDescent="0.2">
      <c r="A4" s="183">
        <v>327</v>
      </c>
      <c r="B4" s="206" t="str">
        <f>IF(AND(A4&lt;&gt;"",ISNUMBER(A4)),VLOOKUP(A4,Studies!A:BR,2,FALSE),"")</f>
        <v>Lamberg 1998a</v>
      </c>
      <c r="C4" s="206" t="str">
        <f>IF(AND(A4&lt;&gt;"",ISNUMBER(A4)),VLOOKUP(A4,Studies!A:BR,3,FALSE),"")</f>
        <v>https://www.ncbi.nlm.nih.gov/pubmed/9923581</v>
      </c>
      <c r="D4" s="206" t="str">
        <f>IF(AND(A4&lt;&gt;"",ISNUMBER(A4)),VLOOKUP(A4,Studies!A:BR,4,FALSE),"")</f>
        <v>with Perpetrator (Fluvoxamine)</v>
      </c>
      <c r="E4" s="141" t="str">
        <f>IF(AND(A4&lt;&gt;"",ISNUMBER(A4)),VLOOKUP(A4,Studies!A:BR,5,FALSE),"")</f>
        <v>Buspirone</v>
      </c>
      <c r="F4" s="188" t="s">
        <v>1193</v>
      </c>
      <c r="G4" s="208" t="str">
        <f>IF(AND(A4&lt;&gt;"",ISNUMBER(A4)),VLOOKUP(A4,Studies!A:BR,13,FALSE),"")</f>
        <v>PO</v>
      </c>
      <c r="H4" s="140" t="str">
        <f t="shared" si="0"/>
        <v>PO</v>
      </c>
      <c r="I4" s="208" t="str">
        <f>IF(AND(A4&lt;&gt;"",ISNUMBER(A4)),VLOOKUP(A4,Studies!A:BR,6,FALSE),"")</f>
        <v>Plasma</v>
      </c>
      <c r="J4" s="189">
        <v>2.35</v>
      </c>
      <c r="K4" s="189"/>
      <c r="L4" s="203" t="s">
        <v>1194</v>
      </c>
      <c r="M4" s="203" t="s">
        <v>1069</v>
      </c>
      <c r="N4" s="168">
        <v>2.0099999999999998</v>
      </c>
      <c r="O4" s="168"/>
      <c r="P4" s="180" t="s">
        <v>1195</v>
      </c>
      <c r="Q4" s="180" t="s">
        <v>1069</v>
      </c>
      <c r="R4" s="184">
        <v>0</v>
      </c>
      <c r="S4" s="185" t="s">
        <v>1023</v>
      </c>
      <c r="T4" s="186">
        <v>114</v>
      </c>
      <c r="U4" s="187" t="s">
        <v>1023</v>
      </c>
      <c r="V4" s="188" t="s">
        <v>60</v>
      </c>
      <c r="W4" s="183"/>
      <c r="X4" s="178">
        <v>100</v>
      </c>
      <c r="Y4" s="139"/>
      <c r="Z4" s="139" t="s">
        <v>58</v>
      </c>
      <c r="AA4" s="178" t="s">
        <v>59</v>
      </c>
      <c r="AB4" s="178" t="s">
        <v>186</v>
      </c>
      <c r="AC4" s="138" t="s">
        <v>60</v>
      </c>
      <c r="AD4" s="178" t="s">
        <v>79</v>
      </c>
      <c r="AE4" s="176"/>
      <c r="AF4" s="179" t="s">
        <v>1196</v>
      </c>
      <c r="AG4" s="180"/>
      <c r="AH4" s="180">
        <v>150</v>
      </c>
      <c r="AI4" s="180"/>
      <c r="AJ4" s="19" t="s">
        <v>62</v>
      </c>
      <c r="AK4" s="168">
        <v>2</v>
      </c>
      <c r="AL4" s="168">
        <v>3</v>
      </c>
      <c r="AM4" s="167" t="s">
        <v>407</v>
      </c>
      <c r="AN4" s="183">
        <f>IF(ISNUMBER(VLOOKUP(A4,NotghiID!A:A,1,FALSE)),1,0)</f>
        <v>0</v>
      </c>
    </row>
    <row r="5" spans="1:40" x14ac:dyDescent="0.2">
      <c r="A5" s="183">
        <v>329</v>
      </c>
      <c r="B5" s="206" t="str">
        <f>IF(AND(A5&lt;&gt;"",ISNUMBER(A5)),VLOOKUP(A5,Studies!A:BR,2,FALSE),"")</f>
        <v>Lamberg 1998b</v>
      </c>
      <c r="C5" s="206" t="str">
        <f>IF(AND(A5&lt;&gt;"",ISNUMBER(A5)),VLOOKUP(A5,Studies!A:BR,3,FALSE),"")</f>
        <v>https://www.ncbi.nlm.nih.gov/pubmed/9578186</v>
      </c>
      <c r="D5" s="206" t="str">
        <f>IF(AND(A5&lt;&gt;"",ISNUMBER(A5)),VLOOKUP(A5,Studies!A:BR,4,FALSE),"")</f>
        <v>with Perpetrator (Rifampicin)</v>
      </c>
      <c r="E5" s="141" t="str">
        <f>IF(AND(A5&lt;&gt;"",ISNUMBER(A5)),VLOOKUP(A5,Studies!A:BR,5,FALSE),"")</f>
        <v>Buspirone</v>
      </c>
      <c r="F5" s="188" t="s">
        <v>54</v>
      </c>
      <c r="G5" s="208" t="str">
        <f>IF(AND(A5&lt;&gt;"",ISNUMBER(A5)),VLOOKUP(A5,Studies!A:BR,13,FALSE),"")</f>
        <v>PO</v>
      </c>
      <c r="H5" s="140" t="str">
        <f t="shared" si="0"/>
        <v>PO</v>
      </c>
      <c r="I5" s="208" t="str">
        <f>IF(AND(A5&lt;&gt;"",ISNUMBER(A5)),VLOOKUP(A5,Studies!A:BR,6,FALSE),"")</f>
        <v>Plasma</v>
      </c>
      <c r="J5" s="189">
        <v>0.104</v>
      </c>
      <c r="K5" s="189"/>
      <c r="L5" s="203" t="s">
        <v>1197</v>
      </c>
      <c r="M5" s="203" t="s">
        <v>1198</v>
      </c>
      <c r="N5" s="168">
        <v>0.16300000000000001</v>
      </c>
      <c r="O5" s="168"/>
      <c r="P5" s="180" t="s">
        <v>1199</v>
      </c>
      <c r="Q5" s="180" t="s">
        <v>1198</v>
      </c>
      <c r="R5" s="184">
        <v>0</v>
      </c>
      <c r="S5" s="185" t="s">
        <v>1023</v>
      </c>
      <c r="T5" s="186">
        <v>113</v>
      </c>
      <c r="U5" s="187" t="s">
        <v>1023</v>
      </c>
      <c r="V5" s="188" t="s">
        <v>60</v>
      </c>
      <c r="W5" s="183"/>
      <c r="X5" s="178">
        <v>30</v>
      </c>
      <c r="Y5" s="139"/>
      <c r="Z5" s="139" t="s">
        <v>58</v>
      </c>
      <c r="AA5" s="178" t="s">
        <v>59</v>
      </c>
      <c r="AB5" s="178" t="s">
        <v>186</v>
      </c>
      <c r="AC5" s="138" t="s">
        <v>60</v>
      </c>
      <c r="AD5" s="178" t="s">
        <v>79</v>
      </c>
      <c r="AE5" s="176"/>
      <c r="AF5" s="179" t="s">
        <v>1200</v>
      </c>
      <c r="AG5" s="180"/>
      <c r="AH5" s="180">
        <v>150</v>
      </c>
      <c r="AI5" s="180"/>
      <c r="AJ5" s="167" t="s">
        <v>62</v>
      </c>
      <c r="AK5" s="168">
        <v>2</v>
      </c>
      <c r="AL5" s="168">
        <v>3</v>
      </c>
      <c r="AM5" s="167" t="s">
        <v>407</v>
      </c>
      <c r="AN5" s="183">
        <f>IF(ISNUMBER(VLOOKUP(A5,NotghiID!A:A,1,FALSE)),1,0)</f>
        <v>0</v>
      </c>
    </row>
    <row r="6" spans="1:40" x14ac:dyDescent="0.2">
      <c r="A6" s="183">
        <v>331</v>
      </c>
      <c r="B6" s="206" t="str">
        <f>IF(AND(A6&lt;&gt;"",ISNUMBER(A6)),VLOOKUP(A6,Studies!A:BR,2,FALSE),"")</f>
        <v>Lamberg 1998c</v>
      </c>
      <c r="C6" s="206" t="str">
        <f>IF(AND(A6&lt;&gt;"",ISNUMBER(A6)),VLOOKUP(A6,Studies!A:BR,3,FALSE),"")</f>
        <v>https://www.ncbi.nlm.nih.gov/pubmed/9663178</v>
      </c>
      <c r="D6" s="206" t="str">
        <f>IF(AND(A6&lt;&gt;"",ISNUMBER(A6)),VLOOKUP(A6,Studies!A:BR,4,FALSE),"")</f>
        <v>with Perpetrator (Verapamil)</v>
      </c>
      <c r="E6" s="141" t="str">
        <f>IF(AND(A6&lt;&gt;"",ISNUMBER(A6)),VLOOKUP(A6,Studies!A:BR,5,FALSE),"")</f>
        <v>Buspirone</v>
      </c>
      <c r="F6" s="188" t="s">
        <v>437</v>
      </c>
      <c r="G6" s="208" t="str">
        <f>IF(AND(A6&lt;&gt;"",ISNUMBER(A6)),VLOOKUP(A6,Studies!A:BR,13,FALSE),"")</f>
        <v>PO</v>
      </c>
      <c r="H6" s="140" t="str">
        <f t="shared" si="0"/>
        <v>PO</v>
      </c>
      <c r="I6" s="208" t="str">
        <f>IF(AND(A6&lt;&gt;"",ISNUMBER(A6)),VLOOKUP(A6,Studies!A:BR,6,FALSE),"")</f>
        <v>Plasma</v>
      </c>
      <c r="J6" s="189">
        <v>3.4</v>
      </c>
      <c r="K6" s="189"/>
      <c r="L6" s="203"/>
      <c r="M6" s="203"/>
      <c r="N6" s="168">
        <v>3.4</v>
      </c>
      <c r="O6" s="168"/>
      <c r="P6" s="180"/>
      <c r="Q6" s="180"/>
      <c r="R6" s="184">
        <v>0</v>
      </c>
      <c r="S6" s="185" t="s">
        <v>1023</v>
      </c>
      <c r="T6" s="186">
        <v>30</v>
      </c>
      <c r="U6" s="187" t="s">
        <v>1023</v>
      </c>
      <c r="V6" s="188" t="s">
        <v>60</v>
      </c>
      <c r="W6" s="183"/>
      <c r="X6" s="178">
        <v>80</v>
      </c>
      <c r="Y6" s="139"/>
      <c r="Z6" s="139" t="s">
        <v>58</v>
      </c>
      <c r="AA6" s="178" t="s">
        <v>59</v>
      </c>
      <c r="AB6" s="178" t="s">
        <v>438</v>
      </c>
      <c r="AC6" s="138" t="s">
        <v>60</v>
      </c>
      <c r="AD6" s="178" t="s">
        <v>79</v>
      </c>
      <c r="AE6" s="176"/>
      <c r="AF6" s="179" t="s">
        <v>439</v>
      </c>
      <c r="AG6" s="180"/>
      <c r="AH6" s="180">
        <v>150</v>
      </c>
      <c r="AI6" s="180"/>
      <c r="AJ6" s="167" t="s">
        <v>62</v>
      </c>
      <c r="AK6" s="168">
        <v>2</v>
      </c>
      <c r="AL6" s="168">
        <v>3</v>
      </c>
      <c r="AM6" s="167" t="s">
        <v>407</v>
      </c>
      <c r="AN6" s="183">
        <f>IF(ISNUMBER(VLOOKUP(A6,NotghiID!A:A,1,FALSE)),1,0)</f>
        <v>0</v>
      </c>
    </row>
    <row r="7" spans="1:40" x14ac:dyDescent="0.2">
      <c r="A7" s="183">
        <v>333</v>
      </c>
      <c r="B7" s="206" t="str">
        <f>IF(AND(A7&lt;&gt;"",ISNUMBER(A7)),VLOOKUP(A7,Studies!A:BR,2,FALSE),"")</f>
        <v>Lamberg 1998c</v>
      </c>
      <c r="C7" s="206" t="str">
        <f>IF(AND(A7&lt;&gt;"",ISNUMBER(A7)),VLOOKUP(A7,Studies!A:BR,3,FALSE),"")</f>
        <v>https://www.ncbi.nlm.nih.gov/pubmed/9663178</v>
      </c>
      <c r="D7" s="206" t="str">
        <f>IF(AND(A7&lt;&gt;"",ISNUMBER(A7)),VLOOKUP(A7,Studies!A:BR,4,FALSE),"")</f>
        <v>with Perpetrator (Diltiazem)</v>
      </c>
      <c r="E7" s="141" t="str">
        <f>IF(AND(A7&lt;&gt;"",ISNUMBER(A7)),VLOOKUP(A7,Studies!A:BR,5,FALSE),"")</f>
        <v>Buspirone</v>
      </c>
      <c r="F7" s="188" t="s">
        <v>441</v>
      </c>
      <c r="G7" s="208" t="str">
        <f>IF(AND(A7&lt;&gt;"",ISNUMBER(A7)),VLOOKUP(A7,Studies!A:BR,13,FALSE),"")</f>
        <v>PO</v>
      </c>
      <c r="H7" s="140" t="str">
        <f t="shared" si="0"/>
        <v>PO</v>
      </c>
      <c r="I7" s="208" t="str">
        <f>IF(AND(A7&lt;&gt;"",ISNUMBER(A7)),VLOOKUP(A7,Studies!A:BR,6,FALSE),"")</f>
        <v>Plasma</v>
      </c>
      <c r="J7" s="189">
        <v>5.5</v>
      </c>
      <c r="K7" s="189"/>
      <c r="L7" s="203"/>
      <c r="M7" s="203"/>
      <c r="N7" s="168">
        <v>4.0999999999999996</v>
      </c>
      <c r="O7" s="168"/>
      <c r="P7" s="180"/>
      <c r="Q7" s="180"/>
      <c r="R7" s="184">
        <v>0</v>
      </c>
      <c r="S7" s="185" t="s">
        <v>1023</v>
      </c>
      <c r="T7" s="186">
        <v>30</v>
      </c>
      <c r="U7" s="187" t="s">
        <v>1023</v>
      </c>
      <c r="V7" s="188" t="s">
        <v>60</v>
      </c>
      <c r="W7" s="183"/>
      <c r="X7" s="178">
        <v>60</v>
      </c>
      <c r="Y7" s="139"/>
      <c r="Z7" s="139" t="s">
        <v>58</v>
      </c>
      <c r="AA7" s="178" t="s">
        <v>59</v>
      </c>
      <c r="AB7" s="178" t="s">
        <v>438</v>
      </c>
      <c r="AC7" s="138" t="s">
        <v>60</v>
      </c>
      <c r="AD7" s="178" t="s">
        <v>79</v>
      </c>
      <c r="AE7" s="176"/>
      <c r="AF7" s="179" t="s">
        <v>442</v>
      </c>
      <c r="AG7" s="180"/>
      <c r="AH7" s="180">
        <v>150</v>
      </c>
      <c r="AI7" s="180"/>
      <c r="AJ7" s="167" t="s">
        <v>62</v>
      </c>
      <c r="AK7" s="168">
        <v>2</v>
      </c>
      <c r="AL7" s="168">
        <v>3</v>
      </c>
      <c r="AM7" s="167" t="s">
        <v>407</v>
      </c>
      <c r="AN7" s="183">
        <f>IF(ISNUMBER(VLOOKUP(A7,NotghiID!A:A,1,FALSE)),1,0)</f>
        <v>0</v>
      </c>
    </row>
    <row r="8" spans="1:40" x14ac:dyDescent="0.2">
      <c r="A8" s="183">
        <v>113</v>
      </c>
      <c r="B8" s="206" t="str">
        <f>IF(AND(A8&lt;&gt;"",ISNUMBER(A8)),VLOOKUP(A8,Studies!A:BR,2,FALSE),"")</f>
        <v>Chung 2006</v>
      </c>
      <c r="C8" s="206" t="str">
        <f>IF(AND(A8&lt;&gt;"",ISNUMBER(A8)),VLOOKUP(A8,Studies!A:BR,3,FALSE),"")</f>
        <v>https://www.ncbi.nlm.nih.gov/pubmed/16580903</v>
      </c>
      <c r="D8" s="206" t="str">
        <f>IF(AND(A8&lt;&gt;"",ISNUMBER(A8)),VLOOKUP(A8,Studies!A:BR,4,FALSE),"")</f>
        <v>with Perpetrator (Rifampicin)</v>
      </c>
      <c r="E8" s="141" t="str">
        <f>IF(AND(A8&lt;&gt;"",ISNUMBER(A8)),VLOOKUP(A8,Studies!A:BR,5,FALSE),"")</f>
        <v>Midazolam</v>
      </c>
      <c r="F8" s="188" t="s">
        <v>54</v>
      </c>
      <c r="G8" s="208" t="str">
        <f>IF(AND(A8&lt;&gt;"",ISNUMBER(A8)),VLOOKUP(A8,Studies!A:BR,13,FALSE),"")</f>
        <v>PO</v>
      </c>
      <c r="H8" s="140" t="str">
        <f t="shared" si="0"/>
        <v>PO</v>
      </c>
      <c r="I8" s="208" t="str">
        <f>IF(AND(A8&lt;&gt;"",ISNUMBER(A8)),VLOOKUP(A8,Studies!A:BR,6,FALSE),"")</f>
        <v>Plasma</v>
      </c>
      <c r="J8" s="189">
        <f>6.1/49</f>
        <v>0.12448979591836734</v>
      </c>
      <c r="K8" s="189" t="s">
        <v>1201</v>
      </c>
      <c r="L8" s="203"/>
      <c r="M8" s="203"/>
      <c r="N8" s="195">
        <f>3.9/23</f>
        <v>0.16956521739130434</v>
      </c>
      <c r="O8" s="195" t="s">
        <v>1202</v>
      </c>
      <c r="P8" s="204"/>
      <c r="Q8" s="204"/>
      <c r="R8" s="184">
        <v>0</v>
      </c>
      <c r="S8" s="185" t="s">
        <v>1023</v>
      </c>
      <c r="T8" s="186">
        <v>166</v>
      </c>
      <c r="U8" s="187" t="s">
        <v>1023</v>
      </c>
      <c r="V8" s="188" t="s">
        <v>60</v>
      </c>
      <c r="W8" s="183"/>
      <c r="X8" s="178">
        <v>600</v>
      </c>
      <c r="Y8" s="182"/>
      <c r="Z8" s="182" t="s">
        <v>58</v>
      </c>
      <c r="AA8" s="178" t="s">
        <v>59</v>
      </c>
      <c r="AB8" s="178" t="s">
        <v>1203</v>
      </c>
      <c r="AC8" s="178" t="s">
        <v>60</v>
      </c>
      <c r="AD8" s="178"/>
      <c r="AE8" s="179" t="s">
        <v>1204</v>
      </c>
      <c r="AF8" s="179"/>
      <c r="AG8" s="180"/>
      <c r="AH8" s="179"/>
      <c r="AI8" s="179" t="s">
        <v>1205</v>
      </c>
      <c r="AJ8" s="195"/>
      <c r="AK8" s="195"/>
      <c r="AL8" s="195"/>
      <c r="AM8" s="195"/>
      <c r="AN8" s="183">
        <f>IF(ISNUMBER(VLOOKUP(A8,NotghiID!A:A,1,FALSE)),1,0)</f>
        <v>0</v>
      </c>
    </row>
    <row r="9" spans="1:40" x14ac:dyDescent="0.2">
      <c r="A9" s="183">
        <v>114</v>
      </c>
      <c r="B9" s="206" t="str">
        <f>IF(AND(A9&lt;&gt;"",ISNUMBER(A9)),VLOOKUP(A9,Studies!A:BR,2,FALSE),"")</f>
        <v>Chung 2006</v>
      </c>
      <c r="C9" s="206" t="str">
        <f>IF(AND(A9&lt;&gt;"",ISNUMBER(A9)),VLOOKUP(A9,Studies!A:BR,3,FALSE),"")</f>
        <v>https://www.ncbi.nlm.nih.gov/pubmed/16580903</v>
      </c>
      <c r="D9" s="206" t="str">
        <f>IF(AND(A9&lt;&gt;"",ISNUMBER(A9)),VLOOKUP(A9,Studies!A:BR,4,FALSE),"")</f>
        <v>with Perpetrator (Ketoconazole)</v>
      </c>
      <c r="E9" s="141" t="str">
        <f>IF(AND(A9&lt;&gt;"",ISNUMBER(A9)),VLOOKUP(A9,Studies!A:BR,5,FALSE),"")</f>
        <v>Midazolam</v>
      </c>
      <c r="F9" s="188" t="s">
        <v>921</v>
      </c>
      <c r="G9" s="208" t="str">
        <f>IF(AND(A9&lt;&gt;"",ISNUMBER(A9)),VLOOKUP(A9,Studies!A:BR,13,FALSE),"")</f>
        <v>PO</v>
      </c>
      <c r="H9" s="140" t="str">
        <f t="shared" si="0"/>
        <v>PO</v>
      </c>
      <c r="I9" s="208" t="str">
        <f>IF(AND(A9&lt;&gt;"",ISNUMBER(A9)),VLOOKUP(A9,Studies!A:BR,6,FALSE),"")</f>
        <v>Plasma</v>
      </c>
      <c r="J9" s="189">
        <f>466/49</f>
        <v>9.5102040816326525</v>
      </c>
      <c r="K9" s="189" t="s">
        <v>1201</v>
      </c>
      <c r="L9" s="203"/>
      <c r="M9" s="203"/>
      <c r="N9" s="195">
        <f>55/23</f>
        <v>2.3913043478260869</v>
      </c>
      <c r="O9" s="195" t="s">
        <v>1202</v>
      </c>
      <c r="P9" s="204"/>
      <c r="Q9" s="204"/>
      <c r="R9" s="184">
        <v>0</v>
      </c>
      <c r="S9" s="185" t="s">
        <v>1023</v>
      </c>
      <c r="T9" s="186">
        <v>118</v>
      </c>
      <c r="U9" s="187" t="s">
        <v>1023</v>
      </c>
      <c r="V9" s="188" t="s">
        <v>60</v>
      </c>
      <c r="W9" s="183"/>
      <c r="X9" s="178">
        <v>400</v>
      </c>
      <c r="Y9" s="182"/>
      <c r="Z9" s="182" t="s">
        <v>58</v>
      </c>
      <c r="AA9" s="178" t="s">
        <v>59</v>
      </c>
      <c r="AB9" s="178" t="s">
        <v>593</v>
      </c>
      <c r="AC9" s="178" t="s">
        <v>60</v>
      </c>
      <c r="AD9" s="178"/>
      <c r="AE9" s="179" t="s">
        <v>1206</v>
      </c>
      <c r="AF9" s="179"/>
      <c r="AG9" s="180"/>
      <c r="AH9" s="179"/>
      <c r="AI9" s="179" t="s">
        <v>1207</v>
      </c>
      <c r="AJ9" s="195"/>
      <c r="AK9" s="195"/>
      <c r="AL9" s="195"/>
      <c r="AM9" s="195"/>
      <c r="AN9" s="183">
        <f>IF(ISNUMBER(VLOOKUP(A9,NotghiID!A:A,1,FALSE)),1,0)</f>
        <v>0</v>
      </c>
    </row>
    <row r="10" spans="1:40" x14ac:dyDescent="0.2">
      <c r="A10" s="183">
        <v>116</v>
      </c>
      <c r="B10" s="206" t="str">
        <f>IF(AND(A10&lt;&gt;"",ISNUMBER(A10)),VLOOKUP(A10,Studies!A:BR,2,FALSE),"")</f>
        <v>Chung 2006</v>
      </c>
      <c r="C10" s="206" t="str">
        <f>IF(AND(A10&lt;&gt;"",ISNUMBER(A10)),VLOOKUP(A10,Studies!A:BR,3,FALSE),"")</f>
        <v>https://www.ncbi.nlm.nih.gov/pubmed/16580903</v>
      </c>
      <c r="D10" s="206" t="str">
        <f>IF(AND(A10&lt;&gt;"",ISNUMBER(A10)),VLOOKUP(A10,Studies!A:BR,4,FALSE),"")</f>
        <v>with Perpetrator (Rifampicin)</v>
      </c>
      <c r="E10" s="141" t="str">
        <f>IF(AND(A10&lt;&gt;"",ISNUMBER(A10)),VLOOKUP(A10,Studies!A:BR,5,FALSE),"")</f>
        <v>Simvastatin</v>
      </c>
      <c r="F10" s="188" t="s">
        <v>54</v>
      </c>
      <c r="G10" s="208" t="str">
        <f>IF(AND(A10&lt;&gt;"",ISNUMBER(A10)),VLOOKUP(A10,Studies!A:BR,13,FALSE),"")</f>
        <v>PO</v>
      </c>
      <c r="H10" s="140" t="str">
        <f t="shared" si="0"/>
        <v>PO</v>
      </c>
      <c r="I10" s="208" t="str">
        <f>IF(AND(A10&lt;&gt;"",ISNUMBER(A10)),VLOOKUP(A10,Studies!A:BR,6,FALSE),"")</f>
        <v>Plasma</v>
      </c>
      <c r="J10" s="189">
        <f>2.6/29</f>
        <v>8.9655172413793102E-2</v>
      </c>
      <c r="K10" s="189" t="s">
        <v>1201</v>
      </c>
      <c r="L10" s="203"/>
      <c r="M10" s="203"/>
      <c r="N10" s="195">
        <f>1.1/7.4</f>
        <v>0.14864864864864866</v>
      </c>
      <c r="O10" s="195" t="s">
        <v>1202</v>
      </c>
      <c r="P10" s="204"/>
      <c r="Q10" s="204"/>
      <c r="R10" s="184">
        <v>0</v>
      </c>
      <c r="S10" s="185" t="s">
        <v>1023</v>
      </c>
      <c r="T10" s="186">
        <v>190</v>
      </c>
      <c r="U10" s="187" t="s">
        <v>1023</v>
      </c>
      <c r="V10" s="188" t="s">
        <v>60</v>
      </c>
      <c r="W10" s="183"/>
      <c r="X10" s="178">
        <v>600</v>
      </c>
      <c r="Y10" s="182"/>
      <c r="Z10" s="182" t="s">
        <v>58</v>
      </c>
      <c r="AA10" s="178" t="s">
        <v>59</v>
      </c>
      <c r="AB10" s="178" t="s">
        <v>1203</v>
      </c>
      <c r="AC10" s="178" t="s">
        <v>60</v>
      </c>
      <c r="AD10" s="178"/>
      <c r="AE10" s="179" t="s">
        <v>1204</v>
      </c>
      <c r="AF10" s="179"/>
      <c r="AG10" s="180"/>
      <c r="AH10" s="179"/>
      <c r="AI10" s="179" t="s">
        <v>1205</v>
      </c>
      <c r="AJ10" s="195"/>
      <c r="AK10" s="195"/>
      <c r="AL10" s="195"/>
      <c r="AM10" s="195"/>
      <c r="AN10" s="183">
        <f>IF(ISNUMBER(VLOOKUP(A10,NotghiID!A:A,1,FALSE)),1,0)</f>
        <v>0</v>
      </c>
    </row>
    <row r="11" spans="1:40" x14ac:dyDescent="0.2">
      <c r="A11" s="183">
        <v>117</v>
      </c>
      <c r="B11" s="206" t="str">
        <f>IF(AND(A11&lt;&gt;"",ISNUMBER(A11)),VLOOKUP(A11,Studies!A:BR,2,FALSE),"")</f>
        <v>Chung 2006</v>
      </c>
      <c r="C11" s="206" t="str">
        <f>IF(AND(A11&lt;&gt;"",ISNUMBER(A11)),VLOOKUP(A11,Studies!A:BR,3,FALSE),"")</f>
        <v>https://www.ncbi.nlm.nih.gov/pubmed/16580903</v>
      </c>
      <c r="D11" s="206" t="str">
        <f>IF(AND(A11&lt;&gt;"",ISNUMBER(A11)),VLOOKUP(A11,Studies!A:BR,4,FALSE),"")</f>
        <v>with Perpetrator (Ketoconazole)</v>
      </c>
      <c r="E11" s="141" t="str">
        <f>IF(AND(A11&lt;&gt;"",ISNUMBER(A11)),VLOOKUP(A11,Studies!A:BR,5,FALSE),"")</f>
        <v>Simvastatin</v>
      </c>
      <c r="F11" s="188" t="s">
        <v>921</v>
      </c>
      <c r="G11" s="208" t="str">
        <f>IF(AND(A11&lt;&gt;"",ISNUMBER(A11)),VLOOKUP(A11,Studies!A:BR,13,FALSE),"")</f>
        <v>PO</v>
      </c>
      <c r="H11" s="140" t="str">
        <f t="shared" si="0"/>
        <v>PO</v>
      </c>
      <c r="I11" s="208" t="str">
        <f>IF(AND(A11&lt;&gt;"",ISNUMBER(A11)),VLOOKUP(A11,Studies!A:BR,6,FALSE),"")</f>
        <v>Plasma</v>
      </c>
      <c r="J11" s="189">
        <f>364/29</f>
        <v>12.551724137931034</v>
      </c>
      <c r="K11" s="189" t="s">
        <v>1201</v>
      </c>
      <c r="L11" s="203"/>
      <c r="M11" s="203"/>
      <c r="N11" s="195">
        <f>55/7.4</f>
        <v>7.4324324324324325</v>
      </c>
      <c r="O11" s="195" t="s">
        <v>1202</v>
      </c>
      <c r="P11" s="204"/>
      <c r="Q11" s="204"/>
      <c r="R11" s="184">
        <v>0</v>
      </c>
      <c r="S11" s="185" t="s">
        <v>1023</v>
      </c>
      <c r="T11" s="186">
        <v>190</v>
      </c>
      <c r="U11" s="187" t="s">
        <v>1023</v>
      </c>
      <c r="V11" s="188" t="s">
        <v>60</v>
      </c>
      <c r="W11" s="183"/>
      <c r="X11" s="178">
        <v>400</v>
      </c>
      <c r="Y11" s="182"/>
      <c r="Z11" s="182" t="s">
        <v>58</v>
      </c>
      <c r="AA11" s="178" t="s">
        <v>59</v>
      </c>
      <c r="AB11" s="178" t="s">
        <v>593</v>
      </c>
      <c r="AC11" s="178" t="s">
        <v>60</v>
      </c>
      <c r="AD11" s="178"/>
      <c r="AE11" s="179" t="s">
        <v>1206</v>
      </c>
      <c r="AF11" s="179"/>
      <c r="AG11" s="180"/>
      <c r="AH11" s="179"/>
      <c r="AI11" s="179" t="s">
        <v>1207</v>
      </c>
      <c r="AJ11" s="195"/>
      <c r="AK11" s="195"/>
      <c r="AL11" s="195"/>
      <c r="AM11" s="195"/>
      <c r="AN11" s="183">
        <f>IF(ISNUMBER(VLOOKUP(A11,NotghiID!A:A,1,FALSE)),1,0)</f>
        <v>0</v>
      </c>
    </row>
    <row r="12" spans="1:40" x14ac:dyDescent="0.2">
      <c r="A12" s="183">
        <v>280</v>
      </c>
      <c r="B12" s="206" t="str">
        <f>IF(AND(A12&lt;&gt;"",ISNUMBER(A12)),VLOOKUP(A12,Studies!A:BR,2,FALSE),"")</f>
        <v>Kharasch 2004</v>
      </c>
      <c r="C12" s="206" t="str">
        <f>IF(AND(A12&lt;&gt;"",ISNUMBER(A12)),VLOOKUP(A12,Studies!A:BR,3,FALSE),"")</f>
        <v>https://www.ncbi.nlm.nih.gov/pubmed/15536460</v>
      </c>
      <c r="D12" s="206" t="str">
        <f>IF(AND(A12&lt;&gt;"",ISNUMBER(A12)),VLOOKUP(A12,Studies!A:BR,4,FALSE),"")</f>
        <v>iv with Perpetrator (Rifampicin)</v>
      </c>
      <c r="E12" s="141" t="str">
        <f>IF(AND(A12&lt;&gt;"",ISNUMBER(A12)),VLOOKUP(A12,Studies!A:BR,5,FALSE),"")</f>
        <v>Midazolam</v>
      </c>
      <c r="F12" s="188" t="s">
        <v>54</v>
      </c>
      <c r="G12" s="208" t="str">
        <f>IF(AND(A12&lt;&gt;"",ISNUMBER(A12)),VLOOKUP(A12,Studies!A:BR,13,FALSE),"")</f>
        <v>IV</v>
      </c>
      <c r="H12" s="140" t="str">
        <f t="shared" si="0"/>
        <v>PO</v>
      </c>
      <c r="I12" s="208" t="str">
        <f>IF(AND(A12&lt;&gt;"",ISNUMBER(A12)),VLOOKUP(A12,Studies!A:BR,6,FALSE),"")</f>
        <v>Plasma</v>
      </c>
      <c r="J12" s="189">
        <f>14.8/28.4</f>
        <v>0.52112676056338036</v>
      </c>
      <c r="K12" s="189" t="s">
        <v>1201</v>
      </c>
      <c r="L12" s="203"/>
      <c r="M12" s="203"/>
      <c r="N12" s="195">
        <f>50.7/50.2</f>
        <v>1.0099601593625498</v>
      </c>
      <c r="O12" s="195" t="s">
        <v>1202</v>
      </c>
      <c r="P12" s="204"/>
      <c r="Q12" s="204"/>
      <c r="R12" s="184">
        <v>0</v>
      </c>
      <c r="S12" s="185" t="s">
        <v>1023</v>
      </c>
      <c r="T12" s="186">
        <v>104</v>
      </c>
      <c r="U12" s="187">
        <v>128</v>
      </c>
      <c r="V12" s="188" t="s">
        <v>60</v>
      </c>
      <c r="W12" s="183"/>
      <c r="X12" s="178">
        <v>600</v>
      </c>
      <c r="Y12" s="182"/>
      <c r="Z12" s="182" t="s">
        <v>58</v>
      </c>
      <c r="AA12" s="178" t="s">
        <v>59</v>
      </c>
      <c r="AB12" s="178" t="s">
        <v>615</v>
      </c>
      <c r="AC12" s="178" t="s">
        <v>60</v>
      </c>
      <c r="AD12" s="178" t="s">
        <v>545</v>
      </c>
      <c r="AE12" s="179"/>
      <c r="AF12" s="179"/>
      <c r="AG12" s="180"/>
      <c r="AH12" s="179"/>
      <c r="AI12" s="179"/>
      <c r="AJ12" s="195"/>
      <c r="AK12" s="195"/>
      <c r="AL12" s="195"/>
      <c r="AM12" s="195"/>
      <c r="AN12" s="183">
        <f>IF(ISNUMBER(VLOOKUP(A12,NotghiID!A:A,1,FALSE)),1,0)</f>
        <v>0</v>
      </c>
    </row>
    <row r="13" spans="1:40" x14ac:dyDescent="0.2">
      <c r="A13" s="183">
        <v>283</v>
      </c>
      <c r="B13" s="206" t="str">
        <f>IF(AND(A13&lt;&gt;"",ISNUMBER(A13)),VLOOKUP(A13,Studies!A:BR,2,FALSE),"")</f>
        <v>Kharasch 2004</v>
      </c>
      <c r="C13" s="206" t="str">
        <f>IF(AND(A13&lt;&gt;"",ISNUMBER(A13)),VLOOKUP(A13,Studies!A:BR,3,FALSE),"")</f>
        <v>https://www.ncbi.nlm.nih.gov/pubmed/15536460</v>
      </c>
      <c r="D13" s="206" t="str">
        <f>IF(AND(A13&lt;&gt;"",ISNUMBER(A13)),VLOOKUP(A13,Studies!A:BR,4,FALSE),"")</f>
        <v>iv with Perpetrator (Rifampicin)</v>
      </c>
      <c r="E13" s="141" t="str">
        <f>IF(AND(A13&lt;&gt;"",ISNUMBER(A13)),VLOOKUP(A13,Studies!A:BR,5,FALSE),"")</f>
        <v>Alfentanil</v>
      </c>
      <c r="F13" s="188" t="s">
        <v>54</v>
      </c>
      <c r="G13" s="208" t="str">
        <f>IF(AND(A13&lt;&gt;"",ISNUMBER(A13)),VLOOKUP(A13,Studies!A:BR,13,FALSE),"")</f>
        <v>IV</v>
      </c>
      <c r="H13" s="140" t="str">
        <f t="shared" si="0"/>
        <v>PO</v>
      </c>
      <c r="I13" s="208" t="str">
        <f>IF(AND(A13&lt;&gt;"",ISNUMBER(A13)),VLOOKUP(A13,Studies!A:BR,6,FALSE),"")</f>
        <v>Plasma</v>
      </c>
      <c r="J13" s="189">
        <f>24.3/64.8</f>
        <v>0.375</v>
      </c>
      <c r="K13" s="189" t="s">
        <v>1201</v>
      </c>
      <c r="L13" s="203"/>
      <c r="M13" s="203"/>
      <c r="N13" s="195">
        <f>90.5/90.2</f>
        <v>1.0033259423503325</v>
      </c>
      <c r="O13" s="195" t="s">
        <v>1202</v>
      </c>
      <c r="P13" s="204"/>
      <c r="Q13" s="204"/>
      <c r="R13" s="184">
        <v>0</v>
      </c>
      <c r="S13" s="185" t="s">
        <v>1023</v>
      </c>
      <c r="T13" s="186">
        <v>105</v>
      </c>
      <c r="U13" s="187">
        <v>129</v>
      </c>
      <c r="V13" s="188" t="s">
        <v>60</v>
      </c>
      <c r="W13" s="183"/>
      <c r="X13" s="178">
        <v>600</v>
      </c>
      <c r="Y13" s="182"/>
      <c r="Z13" s="182" t="s">
        <v>58</v>
      </c>
      <c r="AA13" s="178" t="s">
        <v>59</v>
      </c>
      <c r="AB13" s="178" t="s">
        <v>615</v>
      </c>
      <c r="AC13" s="178" t="s">
        <v>60</v>
      </c>
      <c r="AD13" s="178" t="s">
        <v>545</v>
      </c>
      <c r="AE13" s="179"/>
      <c r="AF13" s="179"/>
      <c r="AG13" s="180"/>
      <c r="AH13" s="179"/>
      <c r="AI13" s="179"/>
      <c r="AJ13" s="195"/>
      <c r="AK13" s="195"/>
      <c r="AL13" s="195"/>
      <c r="AM13" s="195"/>
      <c r="AN13" s="183">
        <f>IF(ISNUMBER(VLOOKUP(A13,NotghiID!A:A,1,FALSE)),1,0)</f>
        <v>0</v>
      </c>
    </row>
    <row r="14" spans="1:40" x14ac:dyDescent="0.2">
      <c r="A14" s="183">
        <v>286</v>
      </c>
      <c r="B14" s="206" t="str">
        <f>IF(AND(A14&lt;&gt;"",ISNUMBER(A14)),VLOOKUP(A14,Studies!A:BR,2,FALSE),"")</f>
        <v>Kharasch 2004</v>
      </c>
      <c r="C14" s="206" t="str">
        <f>IF(AND(A14&lt;&gt;"",ISNUMBER(A14)),VLOOKUP(A14,Studies!A:BR,3,FALSE),"")</f>
        <v>https://www.ncbi.nlm.nih.gov/pubmed/15536460</v>
      </c>
      <c r="D14" s="206" t="str">
        <f>IF(AND(A14&lt;&gt;"",ISNUMBER(A14)),VLOOKUP(A14,Studies!A:BR,4,FALSE),"")</f>
        <v>po #1 with Perpetrator (Rifampicin)</v>
      </c>
      <c r="E14" s="141" t="str">
        <f>IF(AND(A14&lt;&gt;"",ISNUMBER(A14)),VLOOKUP(A14,Studies!A:BR,5,FALSE),"")</f>
        <v>Midazolam</v>
      </c>
      <c r="F14" s="188" t="s">
        <v>54</v>
      </c>
      <c r="G14" s="208" t="str">
        <f>IF(AND(A14&lt;&gt;"",ISNUMBER(A14)),VLOOKUP(A14,Studies!A:BR,13,FALSE),"")</f>
        <v>PO</v>
      </c>
      <c r="H14" s="140" t="str">
        <f t="shared" si="0"/>
        <v>PO</v>
      </c>
      <c r="I14" s="208" t="str">
        <f>IF(AND(A14&lt;&gt;"",ISNUMBER(A14)),VLOOKUP(A14,Studies!A:BR,6,FALSE),"")</f>
        <v>Plasma</v>
      </c>
      <c r="J14" s="189">
        <f>1.1/20.9</f>
        <v>5.2631578947368432E-2</v>
      </c>
      <c r="K14" s="189" t="s">
        <v>1201</v>
      </c>
      <c r="L14" s="203"/>
      <c r="M14" s="203"/>
      <c r="N14" s="195">
        <f>1/9.1</f>
        <v>0.10989010989010989</v>
      </c>
      <c r="O14" s="195" t="s">
        <v>1202</v>
      </c>
      <c r="P14" s="204"/>
      <c r="Q14" s="204"/>
      <c r="R14" s="184">
        <v>0</v>
      </c>
      <c r="S14" s="185" t="s">
        <v>1023</v>
      </c>
      <c r="T14" s="186">
        <v>128</v>
      </c>
      <c r="U14" s="187" t="s">
        <v>1023</v>
      </c>
      <c r="V14" s="188" t="s">
        <v>60</v>
      </c>
      <c r="W14" s="183"/>
      <c r="X14" s="178">
        <v>600</v>
      </c>
      <c r="Y14" s="182"/>
      <c r="Z14" s="182" t="s">
        <v>58</v>
      </c>
      <c r="AA14" s="178" t="s">
        <v>59</v>
      </c>
      <c r="AB14" s="178" t="s">
        <v>615</v>
      </c>
      <c r="AC14" s="178" t="s">
        <v>60</v>
      </c>
      <c r="AD14" s="178" t="s">
        <v>545</v>
      </c>
      <c r="AE14" s="179"/>
      <c r="AF14" s="179"/>
      <c r="AG14" s="180"/>
      <c r="AH14" s="179"/>
      <c r="AI14" s="179"/>
      <c r="AJ14" s="195"/>
      <c r="AK14" s="195"/>
      <c r="AL14" s="195"/>
      <c r="AM14" s="195"/>
      <c r="AN14" s="183">
        <f>IF(ISNUMBER(VLOOKUP(A14,NotghiID!A:A,1,FALSE)),1,0)</f>
        <v>0</v>
      </c>
    </row>
    <row r="15" spans="1:40" x14ac:dyDescent="0.2">
      <c r="A15" s="183">
        <v>288</v>
      </c>
      <c r="B15" s="206" t="str">
        <f>IF(AND(A15&lt;&gt;"",ISNUMBER(A15)),VLOOKUP(A15,Studies!A:BR,2,FALSE),"")</f>
        <v>Kharasch 2004</v>
      </c>
      <c r="C15" s="206" t="str">
        <f>IF(AND(A15&lt;&gt;"",ISNUMBER(A15)),VLOOKUP(A15,Studies!A:BR,3,FALSE),"")</f>
        <v>https://www.ncbi.nlm.nih.gov/pubmed/15536460</v>
      </c>
      <c r="D15" s="206" t="str">
        <f>IF(AND(A15&lt;&gt;"",ISNUMBER(A15)),VLOOKUP(A15,Studies!A:BR,4,FALSE),"")</f>
        <v>po #1 (60 µg/kg) with Perpetrator (Rifampicin)</v>
      </c>
      <c r="E15" s="141" t="str">
        <f>IF(AND(A15&lt;&gt;"",ISNUMBER(A15)),VLOOKUP(A15,Studies!A:BR,5,FALSE),"")</f>
        <v>Alfentanil</v>
      </c>
      <c r="F15" s="188" t="s">
        <v>54</v>
      </c>
      <c r="G15" s="208" t="str">
        <f>IF(AND(A15&lt;&gt;"",ISNUMBER(A15)),VLOOKUP(A15,Studies!A:BR,13,FALSE),"")</f>
        <v>PO</v>
      </c>
      <c r="H15" s="140" t="str">
        <f t="shared" si="0"/>
        <v>PO</v>
      </c>
      <c r="I15" s="208" t="str">
        <f>IF(AND(A15&lt;&gt;"",ISNUMBER(A15)),VLOOKUP(A15,Studies!A:BR,6,FALSE),"")</f>
        <v>Plasma</v>
      </c>
      <c r="J15" s="189">
        <f>4.7/103</f>
        <v>4.5631067961165048E-2</v>
      </c>
      <c r="K15" s="189" t="s">
        <v>1201</v>
      </c>
      <c r="L15" s="203"/>
      <c r="M15" s="203"/>
      <c r="N15" s="195">
        <f>5/45</f>
        <v>0.1111111111111111</v>
      </c>
      <c r="O15" s="195" t="s">
        <v>1202</v>
      </c>
      <c r="P15" s="204"/>
      <c r="Q15" s="204"/>
      <c r="R15" s="184">
        <v>0</v>
      </c>
      <c r="S15" s="185" t="s">
        <v>1023</v>
      </c>
      <c r="T15" s="186">
        <v>129</v>
      </c>
      <c r="U15" s="187" t="s">
        <v>1023</v>
      </c>
      <c r="V15" s="188" t="s">
        <v>60</v>
      </c>
      <c r="W15" s="183"/>
      <c r="X15" s="178">
        <v>600</v>
      </c>
      <c r="Y15" s="182"/>
      <c r="Z15" s="182" t="s">
        <v>58</v>
      </c>
      <c r="AA15" s="178" t="s">
        <v>59</v>
      </c>
      <c r="AB15" s="178" t="s">
        <v>615</v>
      </c>
      <c r="AC15" s="178" t="s">
        <v>60</v>
      </c>
      <c r="AD15" s="178" t="s">
        <v>545</v>
      </c>
      <c r="AE15" s="179"/>
      <c r="AF15" s="179"/>
      <c r="AG15" s="180"/>
      <c r="AH15" s="179"/>
      <c r="AI15" s="179"/>
      <c r="AJ15" s="195"/>
      <c r="AK15" s="195"/>
      <c r="AL15" s="195"/>
      <c r="AM15" s="195"/>
      <c r="AN15" s="183">
        <f>IF(ISNUMBER(VLOOKUP(A15,NotghiID!A:A,1,FALSE)),1,0)</f>
        <v>0</v>
      </c>
    </row>
    <row r="16" spans="1:40" x14ac:dyDescent="0.2">
      <c r="A16" s="183">
        <v>392</v>
      </c>
      <c r="B16" s="206" t="str">
        <f>IF(AND(A16&lt;&gt;"",ISNUMBER(A16)),VLOOKUP(A16,Studies!A:BR,2,FALSE),"")</f>
        <v>Reitman 2011</v>
      </c>
      <c r="C16" s="206" t="str">
        <f>IF(AND(A16&lt;&gt;"",ISNUMBER(A16)),VLOOKUP(A16,Studies!A:BR,3,FALSE),"")</f>
        <v>https://www.ncbi.nlm.nih.gov/pubmed/21191377</v>
      </c>
      <c r="D16" s="206" t="str">
        <f>IF(AND(A16&lt;&gt;"",ISNUMBER(A16)),VLOOKUP(A16,Studies!A:BR,4,FALSE),"")</f>
        <v>Week 0 after Perpetrator (Rifampicin)</v>
      </c>
      <c r="E16" s="141" t="str">
        <f>IF(AND(A16&lt;&gt;"",ISNUMBER(A16)),VLOOKUP(A16,Studies!A:BR,5,FALSE),"")</f>
        <v>Midazolam</v>
      </c>
      <c r="F16" s="188" t="s">
        <v>54</v>
      </c>
      <c r="G16" s="208" t="str">
        <f>IF(AND(A16&lt;&gt;"",ISNUMBER(A16)),VLOOKUP(A16,Studies!A:BR,13,FALSE),"")</f>
        <v>PO</v>
      </c>
      <c r="H16" s="140" t="str">
        <f t="shared" si="0"/>
        <v>PO</v>
      </c>
      <c r="I16" s="208" t="str">
        <f>IF(AND(A16&lt;&gt;"",ISNUMBER(A16)),VLOOKUP(A16,Studies!A:BR,6,FALSE),"")</f>
        <v>Plasma</v>
      </c>
      <c r="J16" s="189">
        <v>0.123</v>
      </c>
      <c r="K16" s="189" t="s">
        <v>116</v>
      </c>
      <c r="L16" s="203"/>
      <c r="M16" s="203"/>
      <c r="N16" s="195">
        <v>0.16200000000000001</v>
      </c>
      <c r="O16" s="195" t="s">
        <v>116</v>
      </c>
      <c r="P16" s="204"/>
      <c r="Q16" s="204"/>
      <c r="R16" s="184">
        <v>1320</v>
      </c>
      <c r="S16" s="185" t="s">
        <v>1023</v>
      </c>
      <c r="T16" s="186">
        <v>648</v>
      </c>
      <c r="U16" s="187">
        <v>816</v>
      </c>
      <c r="V16" s="188" t="s">
        <v>60</v>
      </c>
      <c r="W16" s="183" t="s">
        <v>1208</v>
      </c>
      <c r="X16" s="178">
        <v>600</v>
      </c>
      <c r="Y16" s="182"/>
      <c r="Z16" s="182" t="s">
        <v>58</v>
      </c>
      <c r="AA16" s="178" t="s">
        <v>59</v>
      </c>
      <c r="AB16" s="178" t="s">
        <v>1209</v>
      </c>
      <c r="AC16" s="178" t="s">
        <v>60</v>
      </c>
      <c r="AD16" s="178"/>
      <c r="AE16" s="179"/>
      <c r="AF16" s="179" t="s">
        <v>1210</v>
      </c>
      <c r="AG16" s="180"/>
      <c r="AH16" s="179"/>
      <c r="AI16" s="179" t="s">
        <v>1211</v>
      </c>
      <c r="AJ16" s="195" t="s">
        <v>62</v>
      </c>
      <c r="AK16" s="195"/>
      <c r="AL16" s="195"/>
      <c r="AM16" s="195"/>
      <c r="AN16" s="183">
        <f>IF(ISNUMBER(VLOOKUP(A16,NotghiID!A:A,1,FALSE)),1,0)</f>
        <v>0</v>
      </c>
    </row>
    <row r="17" spans="1:40" x14ac:dyDescent="0.2">
      <c r="A17" s="183">
        <v>393</v>
      </c>
      <c r="B17" s="206" t="str">
        <f>IF(AND(A17&lt;&gt;"",ISNUMBER(A17)),VLOOKUP(A17,Studies!A:BR,2,FALSE),"")</f>
        <v>Reitman 2011</v>
      </c>
      <c r="C17" s="206" t="str">
        <f>IF(AND(A17&lt;&gt;"",ISNUMBER(A17)),VLOOKUP(A17,Studies!A:BR,3,FALSE),"")</f>
        <v>https://www.ncbi.nlm.nih.gov/pubmed/21191377</v>
      </c>
      <c r="D17" s="206" t="str">
        <f>IF(AND(A17&lt;&gt;"",ISNUMBER(A17)),VLOOKUP(A17,Studies!A:BR,4,FALSE),"")</f>
        <v>Week 1 after Perpetrator (Rifampicin)</v>
      </c>
      <c r="E17" s="141" t="str">
        <f>IF(AND(A17&lt;&gt;"",ISNUMBER(A17)),VLOOKUP(A17,Studies!A:BR,5,FALSE),"")</f>
        <v>Midazolam</v>
      </c>
      <c r="F17" s="188" t="s">
        <v>54</v>
      </c>
      <c r="G17" s="208" t="str">
        <f>IF(AND(A17&lt;&gt;"",ISNUMBER(A17)),VLOOKUP(A17,Studies!A:BR,13,FALSE),"")</f>
        <v>PO</v>
      </c>
      <c r="H17" s="140" t="str">
        <f t="shared" si="0"/>
        <v>PO</v>
      </c>
      <c r="I17" s="208" t="str">
        <f>IF(AND(A17&lt;&gt;"",ISNUMBER(A17)),VLOOKUP(A17,Studies!A:BR,6,FALSE),"")</f>
        <v>Plasma</v>
      </c>
      <c r="J17" s="189">
        <v>0.38300000000000001</v>
      </c>
      <c r="K17" s="189" t="s">
        <v>116</v>
      </c>
      <c r="L17" s="203"/>
      <c r="M17" s="203"/>
      <c r="N17" s="195">
        <v>0.40300000000000002</v>
      </c>
      <c r="O17" s="195" t="s">
        <v>116</v>
      </c>
      <c r="P17" s="204"/>
      <c r="Q17" s="204"/>
      <c r="R17" s="184">
        <v>1320</v>
      </c>
      <c r="S17" s="185" t="s">
        <v>1023</v>
      </c>
      <c r="T17" s="186">
        <v>816</v>
      </c>
      <c r="U17" s="187">
        <v>984</v>
      </c>
      <c r="V17" s="188" t="s">
        <v>60</v>
      </c>
      <c r="W17" s="183" t="s">
        <v>1208</v>
      </c>
      <c r="X17" s="178">
        <v>600</v>
      </c>
      <c r="Y17" s="182"/>
      <c r="Z17" s="182" t="s">
        <v>58</v>
      </c>
      <c r="AA17" s="178" t="s">
        <v>59</v>
      </c>
      <c r="AB17" s="178" t="s">
        <v>1209</v>
      </c>
      <c r="AC17" s="178" t="s">
        <v>60</v>
      </c>
      <c r="AD17" s="178"/>
      <c r="AE17" s="179"/>
      <c r="AF17" s="179" t="s">
        <v>1210</v>
      </c>
      <c r="AG17" s="180"/>
      <c r="AH17" s="179"/>
      <c r="AI17" s="179" t="s">
        <v>1211</v>
      </c>
      <c r="AJ17" s="195" t="s">
        <v>62</v>
      </c>
      <c r="AK17" s="195"/>
      <c r="AL17" s="195"/>
      <c r="AM17" s="195"/>
      <c r="AN17" s="183">
        <f>IF(ISNUMBER(VLOOKUP(A17,NotghiID!A:A,1,FALSE)),1,0)</f>
        <v>0</v>
      </c>
    </row>
    <row r="18" spans="1:40" x14ac:dyDescent="0.2">
      <c r="A18" s="183">
        <v>394</v>
      </c>
      <c r="B18" s="206" t="str">
        <f>IF(AND(A18&lt;&gt;"",ISNUMBER(A18)),VLOOKUP(A18,Studies!A:BR,2,FALSE),"")</f>
        <v>Reitman 2011</v>
      </c>
      <c r="C18" s="206" t="str">
        <f>IF(AND(A18&lt;&gt;"",ISNUMBER(A18)),VLOOKUP(A18,Studies!A:BR,3,FALSE),"")</f>
        <v>https://www.ncbi.nlm.nih.gov/pubmed/21191377</v>
      </c>
      <c r="D18" s="206" t="str">
        <f>IF(AND(A18&lt;&gt;"",ISNUMBER(A18)),VLOOKUP(A18,Studies!A:BR,4,FALSE),"")</f>
        <v>Week 2 after Perpetrator (Rifampicin)</v>
      </c>
      <c r="E18" s="141" t="str">
        <f>IF(AND(A18&lt;&gt;"",ISNUMBER(A18)),VLOOKUP(A18,Studies!A:BR,5,FALSE),"")</f>
        <v>Midazolam</v>
      </c>
      <c r="F18" s="188" t="s">
        <v>54</v>
      </c>
      <c r="G18" s="208" t="str">
        <f>IF(AND(A18&lt;&gt;"",ISNUMBER(A18)),VLOOKUP(A18,Studies!A:BR,13,FALSE),"")</f>
        <v>PO</v>
      </c>
      <c r="H18" s="140" t="str">
        <f t="shared" si="0"/>
        <v>PO</v>
      </c>
      <c r="I18" s="208" t="str">
        <f>IF(AND(A18&lt;&gt;"",ISNUMBER(A18)),VLOOKUP(A18,Studies!A:BR,6,FALSE),"")</f>
        <v>Plasma</v>
      </c>
      <c r="J18" s="189">
        <v>0.81499999999999995</v>
      </c>
      <c r="K18" s="189" t="s">
        <v>116</v>
      </c>
      <c r="L18" s="203"/>
      <c r="M18" s="203"/>
      <c r="N18" s="195">
        <v>0.73099999999999998</v>
      </c>
      <c r="O18" s="195" t="s">
        <v>116</v>
      </c>
      <c r="P18" s="204"/>
      <c r="Q18" s="204"/>
      <c r="R18" s="184">
        <v>1320</v>
      </c>
      <c r="S18" s="185" t="s">
        <v>1023</v>
      </c>
      <c r="T18" s="186">
        <v>984</v>
      </c>
      <c r="U18" s="187">
        <v>1320</v>
      </c>
      <c r="V18" s="188" t="s">
        <v>60</v>
      </c>
      <c r="W18" s="183" t="s">
        <v>1208</v>
      </c>
      <c r="X18" s="178">
        <v>600</v>
      </c>
      <c r="Y18" s="182"/>
      <c r="Z18" s="182" t="s">
        <v>58</v>
      </c>
      <c r="AA18" s="178" t="s">
        <v>59</v>
      </c>
      <c r="AB18" s="178" t="s">
        <v>1209</v>
      </c>
      <c r="AC18" s="178" t="s">
        <v>60</v>
      </c>
      <c r="AD18" s="178"/>
      <c r="AE18" s="179"/>
      <c r="AF18" s="179" t="s">
        <v>1210</v>
      </c>
      <c r="AG18" s="180"/>
      <c r="AH18" s="179"/>
      <c r="AI18" s="179" t="s">
        <v>1211</v>
      </c>
      <c r="AJ18" s="195" t="s">
        <v>62</v>
      </c>
      <c r="AK18" s="195"/>
      <c r="AL18" s="195"/>
      <c r="AM18" s="195"/>
      <c r="AN18" s="183">
        <f>IF(ISNUMBER(VLOOKUP(A18,NotghiID!A:A,1,FALSE)),1,0)</f>
        <v>0</v>
      </c>
    </row>
    <row r="19" spans="1:40" x14ac:dyDescent="0.2">
      <c r="A19" s="183">
        <v>396</v>
      </c>
      <c r="B19" s="206" t="str">
        <f>IF(AND(A19&lt;&gt;"",ISNUMBER(A19)),VLOOKUP(A19,Studies!A:BR,2,FALSE),"")</f>
        <v>Reitman 2011</v>
      </c>
      <c r="C19" s="206" t="str">
        <f>IF(AND(A19&lt;&gt;"",ISNUMBER(A19)),VLOOKUP(A19,Studies!A:BR,3,FALSE),"")</f>
        <v>https://www.ncbi.nlm.nih.gov/pubmed/21191377</v>
      </c>
      <c r="D19" s="206" t="str">
        <f>IF(AND(A19&lt;&gt;"",ISNUMBER(A19)),VLOOKUP(A19,Studies!A:BR,4,FALSE),"")</f>
        <v>Week 0 after Perpetrator (Rifampicin)</v>
      </c>
      <c r="E19" s="141" t="str">
        <f>IF(AND(A19&lt;&gt;"",ISNUMBER(A19)),VLOOKUP(A19,Studies!A:BR,5,FALSE),"")</f>
        <v>Digoxin</v>
      </c>
      <c r="F19" s="188" t="s">
        <v>54</v>
      </c>
      <c r="G19" s="208" t="str">
        <f>IF(AND(A19&lt;&gt;"",ISNUMBER(A19)),VLOOKUP(A19,Studies!A:BR,13,FALSE),"")</f>
        <v>PO</v>
      </c>
      <c r="H19" s="140" t="str">
        <f t="shared" si="0"/>
        <v>PO</v>
      </c>
      <c r="I19" s="208" t="str">
        <f>IF(AND(A19&lt;&gt;"",ISNUMBER(A19)),VLOOKUP(A19,Studies!A:BR,6,FALSE),"")</f>
        <v>Plasma</v>
      </c>
      <c r="J19" s="189">
        <v>1.462</v>
      </c>
      <c r="K19" s="189" t="s">
        <v>116</v>
      </c>
      <c r="L19" s="203"/>
      <c r="M19" s="203"/>
      <c r="N19" s="195">
        <v>1.49</v>
      </c>
      <c r="O19" s="195" t="s">
        <v>116</v>
      </c>
      <c r="P19" s="204"/>
      <c r="Q19" s="204"/>
      <c r="R19" s="184">
        <v>1321</v>
      </c>
      <c r="S19" s="185" t="s">
        <v>1023</v>
      </c>
      <c r="T19" s="186">
        <v>649</v>
      </c>
      <c r="U19" s="187">
        <v>817</v>
      </c>
      <c r="V19" s="188" t="s">
        <v>60</v>
      </c>
      <c r="W19" s="183" t="s">
        <v>1208</v>
      </c>
      <c r="X19" s="178">
        <v>600</v>
      </c>
      <c r="Y19" s="182"/>
      <c r="Z19" s="182" t="s">
        <v>58</v>
      </c>
      <c r="AA19" s="178" t="s">
        <v>59</v>
      </c>
      <c r="AB19" s="178" t="s">
        <v>1209</v>
      </c>
      <c r="AC19" s="178" t="s">
        <v>60</v>
      </c>
      <c r="AD19" s="178"/>
      <c r="AE19" s="179"/>
      <c r="AF19" s="179" t="s">
        <v>1210</v>
      </c>
      <c r="AG19" s="180"/>
      <c r="AH19" s="179"/>
      <c r="AI19" s="179" t="s">
        <v>1211</v>
      </c>
      <c r="AJ19" s="195" t="s">
        <v>62</v>
      </c>
      <c r="AK19" s="195"/>
      <c r="AL19" s="195"/>
      <c r="AM19" s="195"/>
      <c r="AN19" s="183">
        <f>IF(ISNUMBER(VLOOKUP(A19,NotghiID!A:A,1,FALSE)),1,0)</f>
        <v>0</v>
      </c>
    </row>
    <row r="20" spans="1:40" x14ac:dyDescent="0.2">
      <c r="A20" s="183">
        <v>397</v>
      </c>
      <c r="B20" s="206" t="str">
        <f>IF(AND(A20&lt;&gt;"",ISNUMBER(A20)),VLOOKUP(A20,Studies!A:BR,2,FALSE),"")</f>
        <v>Reitman 2011</v>
      </c>
      <c r="C20" s="206" t="str">
        <f>IF(AND(A20&lt;&gt;"",ISNUMBER(A20)),VLOOKUP(A20,Studies!A:BR,3,FALSE),"")</f>
        <v>https://www.ncbi.nlm.nih.gov/pubmed/21191377</v>
      </c>
      <c r="D20" s="206" t="str">
        <f>IF(AND(A20&lt;&gt;"",ISNUMBER(A20)),VLOOKUP(A20,Studies!A:BR,4,FALSE),"")</f>
        <v>Week 1 after Perpetrator (Rifampicin)</v>
      </c>
      <c r="E20" s="141" t="str">
        <f>IF(AND(A20&lt;&gt;"",ISNUMBER(A20)),VLOOKUP(A20,Studies!A:BR,5,FALSE),"")</f>
        <v>Digoxin</v>
      </c>
      <c r="F20" s="188" t="s">
        <v>54</v>
      </c>
      <c r="G20" s="208" t="str">
        <f>IF(AND(A20&lt;&gt;"",ISNUMBER(A20)),VLOOKUP(A20,Studies!A:BR,13,FALSE),"")</f>
        <v>PO</v>
      </c>
      <c r="H20" s="140" t="str">
        <f t="shared" si="0"/>
        <v>PO</v>
      </c>
      <c r="I20" s="208" t="str">
        <f>IF(AND(A20&lt;&gt;"",ISNUMBER(A20)),VLOOKUP(A20,Studies!A:BR,6,FALSE),"")</f>
        <v>Plasma</v>
      </c>
      <c r="J20" s="189">
        <v>0.68300000000000005</v>
      </c>
      <c r="K20" s="189" t="s">
        <v>116</v>
      </c>
      <c r="L20" s="203"/>
      <c r="M20" s="203"/>
      <c r="N20" s="195">
        <v>69.3</v>
      </c>
      <c r="O20" s="195" t="s">
        <v>116</v>
      </c>
      <c r="P20" s="204"/>
      <c r="Q20" s="204"/>
      <c r="R20" s="184">
        <v>1321</v>
      </c>
      <c r="S20" s="185" t="s">
        <v>1023</v>
      </c>
      <c r="T20" s="186">
        <v>817</v>
      </c>
      <c r="U20" s="187">
        <v>985</v>
      </c>
      <c r="V20" s="188" t="s">
        <v>60</v>
      </c>
      <c r="W20" s="183" t="s">
        <v>1208</v>
      </c>
      <c r="X20" s="178">
        <v>600</v>
      </c>
      <c r="Y20" s="182"/>
      <c r="Z20" s="182" t="s">
        <v>58</v>
      </c>
      <c r="AA20" s="178" t="s">
        <v>59</v>
      </c>
      <c r="AB20" s="178" t="s">
        <v>1209</v>
      </c>
      <c r="AC20" s="178" t="s">
        <v>60</v>
      </c>
      <c r="AD20" s="178"/>
      <c r="AE20" s="179"/>
      <c r="AF20" s="179" t="s">
        <v>1210</v>
      </c>
      <c r="AG20" s="180"/>
      <c r="AH20" s="179"/>
      <c r="AI20" s="179" t="s">
        <v>1211</v>
      </c>
      <c r="AJ20" s="195" t="s">
        <v>62</v>
      </c>
      <c r="AK20" s="195"/>
      <c r="AL20" s="195"/>
      <c r="AM20" s="195"/>
      <c r="AN20" s="183">
        <f>IF(ISNUMBER(VLOOKUP(A20,NotghiID!A:A,1,FALSE)),1,0)</f>
        <v>0</v>
      </c>
    </row>
    <row r="21" spans="1:40" x14ac:dyDescent="0.2">
      <c r="A21" s="183">
        <v>398</v>
      </c>
      <c r="B21" s="206" t="str">
        <f>IF(AND(A21&lt;&gt;"",ISNUMBER(A21)),VLOOKUP(A21,Studies!A:BR,2,FALSE),"")</f>
        <v>Reitman 2011</v>
      </c>
      <c r="C21" s="206" t="str">
        <f>IF(AND(A21&lt;&gt;"",ISNUMBER(A21)),VLOOKUP(A21,Studies!A:BR,3,FALSE),"")</f>
        <v>https://www.ncbi.nlm.nih.gov/pubmed/21191377</v>
      </c>
      <c r="D21" s="206" t="str">
        <f>IF(AND(A21&lt;&gt;"",ISNUMBER(A21)),VLOOKUP(A21,Studies!A:BR,4,FALSE),"")</f>
        <v>Week 2 after Perpetrator (Rifampicin)</v>
      </c>
      <c r="E21" s="141" t="str">
        <f>IF(AND(A21&lt;&gt;"",ISNUMBER(A21)),VLOOKUP(A21,Studies!A:BR,5,FALSE),"")</f>
        <v>Digoxin</v>
      </c>
      <c r="F21" s="188" t="s">
        <v>54</v>
      </c>
      <c r="G21" s="208" t="str">
        <f>IF(AND(A21&lt;&gt;"",ISNUMBER(A21)),VLOOKUP(A21,Studies!A:BR,13,FALSE),"")</f>
        <v>PO</v>
      </c>
      <c r="H21" s="140" t="str">
        <f t="shared" si="0"/>
        <v>PO</v>
      </c>
      <c r="I21" s="208" t="str">
        <f>IF(AND(A21&lt;&gt;"",ISNUMBER(A21)),VLOOKUP(A21,Studies!A:BR,6,FALSE),"")</f>
        <v>Plasma</v>
      </c>
      <c r="J21" s="189">
        <v>0.97699999999999998</v>
      </c>
      <c r="K21" s="189" t="s">
        <v>116</v>
      </c>
      <c r="L21" s="203"/>
      <c r="M21" s="203"/>
      <c r="N21" s="195">
        <v>87.6</v>
      </c>
      <c r="O21" s="195" t="s">
        <v>116</v>
      </c>
      <c r="P21" s="204"/>
      <c r="Q21" s="204"/>
      <c r="R21" s="184">
        <v>1321</v>
      </c>
      <c r="S21" s="185" t="s">
        <v>1023</v>
      </c>
      <c r="T21" s="186">
        <v>985</v>
      </c>
      <c r="U21" s="187">
        <v>1321</v>
      </c>
      <c r="V21" s="188" t="s">
        <v>60</v>
      </c>
      <c r="W21" s="183" t="s">
        <v>1208</v>
      </c>
      <c r="X21" s="178">
        <v>600</v>
      </c>
      <c r="Y21" s="182"/>
      <c r="Z21" s="182" t="s">
        <v>58</v>
      </c>
      <c r="AA21" s="178" t="s">
        <v>59</v>
      </c>
      <c r="AB21" s="178" t="s">
        <v>1209</v>
      </c>
      <c r="AC21" s="178" t="s">
        <v>60</v>
      </c>
      <c r="AD21" s="178"/>
      <c r="AE21" s="179"/>
      <c r="AF21" s="179" t="s">
        <v>1210</v>
      </c>
      <c r="AG21" s="180"/>
      <c r="AH21" s="179"/>
      <c r="AI21" s="179" t="s">
        <v>1211</v>
      </c>
      <c r="AJ21" s="195" t="s">
        <v>62</v>
      </c>
      <c r="AK21" s="195"/>
      <c r="AL21" s="195"/>
      <c r="AM21" s="195"/>
      <c r="AN21" s="183">
        <f>IF(ISNUMBER(VLOOKUP(A21,NotghiID!A:A,1,FALSE)),1,0)</f>
        <v>0</v>
      </c>
    </row>
    <row r="22" spans="1:40" x14ac:dyDescent="0.2">
      <c r="A22" s="183">
        <v>354</v>
      </c>
      <c r="B22" s="206" t="str">
        <f>IF(AND(A22&lt;&gt;"",ISNUMBER(A22)),VLOOKUP(A22,Studies!A:BR,2,FALSE),"")</f>
        <v>Markert 2013</v>
      </c>
      <c r="C22" s="206" t="str">
        <f>IF(AND(A22&lt;&gt;"",ISNUMBER(A22)),VLOOKUP(A22,Studies!A:BR,3,FALSE),"")</f>
        <v>https://www.ncbi.nlm.nih.gov/pubmed/23748747</v>
      </c>
      <c r="D22" s="206" t="str">
        <f>IF(AND(A22&lt;&gt;"",ISNUMBER(A22)),VLOOKUP(A22,Studies!A:BR,4,FALSE),"")</f>
        <v>with Perpetrator (Clarithromycin)</v>
      </c>
      <c r="E22" s="141" t="str">
        <f>IF(AND(A22&lt;&gt;"",ISNUMBER(A22)),VLOOKUP(A22,Studies!A:BR,5,FALSE),"")</f>
        <v>Midazolam</v>
      </c>
      <c r="F22" s="188" t="s">
        <v>1212</v>
      </c>
      <c r="G22" s="208">
        <f>IF(AND(A22&lt;&gt;"",ISNUMBER(A22)),VLOOKUP(A22,Studies!A:BR,13,FALSE),"")</f>
        <v>0</v>
      </c>
      <c r="H22" s="140">
        <f t="shared" si="0"/>
        <v>0</v>
      </c>
      <c r="I22" s="208" t="str">
        <f>IF(AND(A22&lt;&gt;"",ISNUMBER(A22)),VLOOKUP(A22,Studies!A:BR,6,FALSE),"")</f>
        <v>Plasma</v>
      </c>
      <c r="J22" s="189"/>
      <c r="K22" s="189"/>
      <c r="L22" s="203"/>
      <c r="M22" s="203"/>
      <c r="N22" s="195"/>
      <c r="O22" s="195"/>
      <c r="P22" s="204"/>
      <c r="Q22" s="204"/>
      <c r="R22" s="184"/>
      <c r="S22" s="185"/>
      <c r="T22" s="186"/>
      <c r="U22" s="187"/>
      <c r="V22" s="188"/>
      <c r="W22" s="183"/>
      <c r="X22" s="178"/>
      <c r="Y22" s="182"/>
      <c r="Z22" s="182"/>
      <c r="AA22" s="178"/>
      <c r="AB22" s="138"/>
      <c r="AC22" s="178"/>
      <c r="AD22" s="178"/>
      <c r="AE22" s="179"/>
      <c r="AF22" s="179"/>
      <c r="AG22" s="180"/>
      <c r="AH22" s="179"/>
      <c r="AI22" s="179"/>
      <c r="AJ22" s="195"/>
      <c r="AK22" s="195"/>
      <c r="AL22" s="195"/>
      <c r="AM22" s="195"/>
      <c r="AN22" s="183">
        <f>IF(ISNUMBER(VLOOKUP(A22,NotghiID!A:A,1,FALSE)),1,0)</f>
        <v>0</v>
      </c>
    </row>
    <row r="23" spans="1:40" x14ac:dyDescent="0.2">
      <c r="A23" s="183">
        <v>469</v>
      </c>
      <c r="B23" s="206" t="str">
        <f>IF(AND(A23&lt;&gt;"",ISNUMBER(A23)),VLOOKUP(A23,Studies!A:BR,2,FALSE),"")</f>
        <v>Yeates 1996</v>
      </c>
      <c r="C23" s="206" t="str">
        <f>IF(AND(A23&lt;&gt;"",ISNUMBER(A23)),VLOOKUP(A23,Studies!A:BR,3,FALSE),"")</f>
        <v>http://www.ncbi.nlm.nih.gov/pubmed/8880291</v>
      </c>
      <c r="D23" s="206" t="str">
        <f>IF(AND(A23&lt;&gt;"",ISNUMBER(A23)),VLOOKUP(A23,Studies!A:BR,4,FALSE),"")</f>
        <v>with Perpetrator (Clarithromycin)</v>
      </c>
      <c r="E23" s="141" t="str">
        <f>IF(AND(A23&lt;&gt;"",ISNUMBER(A23)),VLOOKUP(A23,Studies!A:BR,5,FALSE),"")</f>
        <v>Midazolam</v>
      </c>
      <c r="F23" s="188" t="s">
        <v>1212</v>
      </c>
      <c r="G23" s="208" t="str">
        <f>IF(AND(A23&lt;&gt;"",ISNUMBER(A23)),VLOOKUP(A23,Studies!A:BR,13,FALSE),"")</f>
        <v>PO</v>
      </c>
      <c r="H23" s="140" t="str">
        <f t="shared" si="0"/>
        <v>PO</v>
      </c>
      <c r="I23" s="208" t="str">
        <f>IF(AND(A23&lt;&gt;"",ISNUMBER(A23)),VLOOKUP(A23,Studies!A:BR,6,FALSE),"")</f>
        <v>Plasma</v>
      </c>
      <c r="J23" s="189">
        <f>888.75/248.84</f>
        <v>3.5715720945185661</v>
      </c>
      <c r="K23" s="189" t="s">
        <v>1201</v>
      </c>
      <c r="L23" s="203"/>
      <c r="M23" s="203"/>
      <c r="N23" s="195">
        <f>187.61/76.89</f>
        <v>2.4399791910521524</v>
      </c>
      <c r="O23" s="195" t="s">
        <v>1202</v>
      </c>
      <c r="P23" s="204"/>
      <c r="Q23" s="204"/>
      <c r="R23" s="184">
        <v>0</v>
      </c>
      <c r="S23" s="185" t="s">
        <v>1023</v>
      </c>
      <c r="T23" s="186">
        <v>97.5</v>
      </c>
      <c r="U23" s="187" t="s">
        <v>1023</v>
      </c>
      <c r="V23" s="188" t="s">
        <v>60</v>
      </c>
      <c r="W23" s="183"/>
      <c r="X23" s="178">
        <v>250</v>
      </c>
      <c r="Y23" s="182"/>
      <c r="Z23" s="182" t="s">
        <v>58</v>
      </c>
      <c r="AA23" s="178" t="s">
        <v>59</v>
      </c>
      <c r="AB23" s="178" t="s">
        <v>1213</v>
      </c>
      <c r="AC23" s="178" t="s">
        <v>60</v>
      </c>
      <c r="AD23" s="178" t="s">
        <v>1214</v>
      </c>
      <c r="AE23" s="179"/>
      <c r="AF23" s="179" t="s">
        <v>1215</v>
      </c>
      <c r="AG23" s="180"/>
      <c r="AH23" s="179"/>
      <c r="AI23" s="179" t="s">
        <v>1216</v>
      </c>
      <c r="AJ23" s="195" t="s">
        <v>62</v>
      </c>
      <c r="AK23" s="195"/>
      <c r="AL23" s="195">
        <v>2</v>
      </c>
      <c r="AM23" s="195"/>
      <c r="AN23" s="183">
        <f>IF(ISNUMBER(VLOOKUP(A23,NotghiID!A:A,1,FALSE)),1,0)</f>
        <v>0</v>
      </c>
    </row>
    <row r="24" spans="1:40" x14ac:dyDescent="0.2">
      <c r="A24" s="183">
        <v>471</v>
      </c>
      <c r="B24" s="206" t="str">
        <f>IF(AND(A24&lt;&gt;"",ISNUMBER(A24)),VLOOKUP(A24,Studies!A:BR,2,FALSE),"")</f>
        <v>Zimmermann 1996</v>
      </c>
      <c r="C24" s="206" t="str">
        <f>IF(AND(A24&lt;&gt;"",ISNUMBER(A24)),VLOOKUP(A24,Studies!A:BR,3,FALSE),"")</f>
        <v>https://www.ncbi.nlm.nih.gov/pubmed/8720318</v>
      </c>
      <c r="D24" s="206" t="str">
        <f>IF(AND(A24&lt;&gt;"",ISNUMBER(A24)),VLOOKUP(A24,Studies!A:BR,4,FALSE),"")</f>
        <v>with Perpetrator (Erythromycin)</v>
      </c>
      <c r="E24" s="141" t="str">
        <f>IF(AND(A24&lt;&gt;"",ISNUMBER(A24)),VLOOKUP(A24,Studies!A:BR,5,FALSE),"")</f>
        <v>Midazolam</v>
      </c>
      <c r="F24" s="188" t="s">
        <v>410</v>
      </c>
      <c r="G24" s="208" t="str">
        <f>IF(AND(A24&lt;&gt;"",ISNUMBER(A24)),VLOOKUP(A24,Studies!A:BR,13,FALSE),"")</f>
        <v>PO</v>
      </c>
      <c r="H24" s="140" t="str">
        <f t="shared" si="0"/>
        <v>PO</v>
      </c>
      <c r="I24" s="208" t="str">
        <f>IF(AND(A24&lt;&gt;"",ISNUMBER(A24)),VLOOKUP(A24,Studies!A:BR,6,FALSE),"")</f>
        <v>Plasma</v>
      </c>
      <c r="J24" s="189">
        <f>662.71/173.77</f>
        <v>3.8137192841111816</v>
      </c>
      <c r="K24" s="189" t="s">
        <v>1201</v>
      </c>
      <c r="L24" s="203"/>
      <c r="M24" s="203"/>
      <c r="N24" s="195">
        <f>182.29/67.23</f>
        <v>2.7114383459764984</v>
      </c>
      <c r="O24" s="195" t="s">
        <v>1202</v>
      </c>
      <c r="P24" s="204"/>
      <c r="Q24" s="204"/>
      <c r="R24" s="184">
        <v>0</v>
      </c>
      <c r="S24" s="185" t="s">
        <v>1023</v>
      </c>
      <c r="T24" s="186">
        <v>97.5</v>
      </c>
      <c r="U24" s="187" t="s">
        <v>1023</v>
      </c>
      <c r="V24" s="188" t="s">
        <v>60</v>
      </c>
      <c r="W24" s="183"/>
      <c r="X24" s="178">
        <v>500</v>
      </c>
      <c r="Y24" s="182"/>
      <c r="Z24" s="182" t="s">
        <v>58</v>
      </c>
      <c r="AA24" s="178" t="s">
        <v>59</v>
      </c>
      <c r="AB24" s="178" t="s">
        <v>1217</v>
      </c>
      <c r="AC24" s="178" t="s">
        <v>60</v>
      </c>
      <c r="AD24" s="178" t="s">
        <v>1218</v>
      </c>
      <c r="AE24" s="179"/>
      <c r="AF24" s="179" t="s">
        <v>1219</v>
      </c>
      <c r="AG24" s="180"/>
      <c r="AH24" s="179">
        <v>100</v>
      </c>
      <c r="AI24" s="179" t="s">
        <v>1220</v>
      </c>
      <c r="AJ24" s="195" t="s">
        <v>62</v>
      </c>
      <c r="AK24" s="195">
        <v>10</v>
      </c>
      <c r="AL24" s="195">
        <v>3.5</v>
      </c>
      <c r="AM24" s="195"/>
      <c r="AN24" s="183">
        <f>IF(ISNUMBER(VLOOKUP(A24,NotghiID!A:A,1,FALSE)),1,0)</f>
        <v>0</v>
      </c>
    </row>
    <row r="25" spans="1:40" s="137" customFormat="1" ht="14.25" x14ac:dyDescent="0.2">
      <c r="A25" s="189">
        <v>54</v>
      </c>
      <c r="B25" s="206" t="str">
        <f>IF(AND(A25&lt;&gt;"",ISNUMBER(A25)),VLOOKUP(A25,Studies!A:BR,2,FALSE),"")</f>
        <v>Backman 1996</v>
      </c>
      <c r="C25" s="206" t="str">
        <f>IF(AND(A25&lt;&gt;"",ISNUMBER(A25)),VLOOKUP(A25,Studies!A:BR,3,FALSE),"")</f>
        <v>https://www.ncbi.nlm.nih.gov/pubmed/8549036</v>
      </c>
      <c r="D25" s="206" t="str">
        <f>IF(AND(A25&lt;&gt;"",ISNUMBER(A25)),VLOOKUP(A25,Studies!A:BR,4,FALSE),"")</f>
        <v>with Perpetrator (Rifampicin)</v>
      </c>
      <c r="E25" s="141" t="str">
        <f>IF(AND(A25&lt;&gt;"",ISNUMBER(A25)),VLOOKUP(A25,Studies!A:BR,5,FALSE),"")</f>
        <v>Midazolam</v>
      </c>
      <c r="F25" s="188" t="s">
        <v>54</v>
      </c>
      <c r="G25" s="208" t="str">
        <f>IF(AND(A25&lt;&gt;"",ISNUMBER(A25)),VLOOKUP(A25,Studies!A:BR,13,FALSE),"")</f>
        <v>PO</v>
      </c>
      <c r="H25" s="140" t="str">
        <f t="shared" si="0"/>
        <v>PO</v>
      </c>
      <c r="I25" s="208" t="str">
        <f>IF(AND(A25&lt;&gt;"",ISNUMBER(A25)),VLOOKUP(A25,Studies!A:BR,6,FALSE),"")</f>
        <v>Plasma</v>
      </c>
      <c r="J25" s="189">
        <v>4.1000000000000002E-2</v>
      </c>
      <c r="K25" s="189" t="s">
        <v>1221</v>
      </c>
      <c r="L25" s="203"/>
      <c r="M25" s="203"/>
      <c r="N25" s="195">
        <f>3.4/55</f>
        <v>6.1818181818181814E-2</v>
      </c>
      <c r="O25" s="195" t="s">
        <v>1202</v>
      </c>
      <c r="P25" s="204"/>
      <c r="Q25" s="204"/>
      <c r="R25" s="184">
        <v>0</v>
      </c>
      <c r="S25" s="185" t="s">
        <v>1023</v>
      </c>
      <c r="T25" s="186">
        <v>113</v>
      </c>
      <c r="U25" s="187" t="s">
        <v>1023</v>
      </c>
      <c r="V25" s="188" t="s">
        <v>60</v>
      </c>
      <c r="W25" s="183"/>
      <c r="X25" s="178">
        <v>600</v>
      </c>
      <c r="Y25" s="182"/>
      <c r="Z25" s="182" t="s">
        <v>58</v>
      </c>
      <c r="AA25" s="178" t="s">
        <v>59</v>
      </c>
      <c r="AB25" s="178" t="s">
        <v>186</v>
      </c>
      <c r="AC25" s="178" t="s">
        <v>60</v>
      </c>
      <c r="AD25" s="178"/>
      <c r="AE25" s="179"/>
      <c r="AF25" s="179" t="s">
        <v>1222</v>
      </c>
      <c r="AG25" s="180"/>
      <c r="AH25" s="179"/>
      <c r="AI25" s="179"/>
      <c r="AJ25" s="195"/>
      <c r="AK25" s="195"/>
      <c r="AL25" s="195"/>
      <c r="AM25" s="195"/>
      <c r="AN25" s="183">
        <f>IF(ISNUMBER(VLOOKUP(A25,NotghiID!A:A,1,FALSE)),1,0)</f>
        <v>1</v>
      </c>
    </row>
    <row r="26" spans="1:40" s="137" customFormat="1" ht="14.25" x14ac:dyDescent="0.2">
      <c r="A26" s="189">
        <v>56</v>
      </c>
      <c r="B26" s="206" t="str">
        <f>IF(AND(A26&lt;&gt;"",ISNUMBER(A26)),VLOOKUP(A26,Studies!A:BR,2,FALSE),"")</f>
        <v>Backman 1998</v>
      </c>
      <c r="C26" s="206" t="str">
        <f>IF(AND(A26&lt;&gt;"",ISNUMBER(A26)),VLOOKUP(A26,Studies!A:BR,3,FALSE),"")</f>
        <v>https://www.ncbi.nlm.nih.gov/pubmed/9591931</v>
      </c>
      <c r="D26" s="206" t="str">
        <f>IF(AND(A26&lt;&gt;"",ISNUMBER(A26)),VLOOKUP(A26,Studies!A:BR,4,FALSE),"")</f>
        <v>Phase IV (during Perpetrator (Rifampicin))</v>
      </c>
      <c r="E26" s="141" t="str">
        <f>IF(AND(A26&lt;&gt;"",ISNUMBER(A26)),VLOOKUP(A26,Studies!A:BR,5,FALSE),"")</f>
        <v>Midazolam</v>
      </c>
      <c r="F26" s="188" t="s">
        <v>54</v>
      </c>
      <c r="G26" s="208" t="str">
        <f>IF(AND(A26&lt;&gt;"",ISNUMBER(A26)),VLOOKUP(A26,Studies!A:BR,13,FALSE),"")</f>
        <v>PO</v>
      </c>
      <c r="H26" s="140" t="str">
        <f t="shared" si="0"/>
        <v>PO</v>
      </c>
      <c r="I26" s="208" t="str">
        <f>IF(AND(A26&lt;&gt;"",ISNUMBER(A26)),VLOOKUP(A26,Studies!A:BR,6,FALSE),"")</f>
        <v>Plasma</v>
      </c>
      <c r="J26" s="189">
        <v>2.3E-2</v>
      </c>
      <c r="K26" s="189" t="s">
        <v>116</v>
      </c>
      <c r="L26" s="203">
        <v>6.0000000000000001E-3</v>
      </c>
      <c r="M26" s="203" t="s">
        <v>1223</v>
      </c>
      <c r="N26" s="195">
        <v>5.3999999999999999E-2</v>
      </c>
      <c r="O26" s="195" t="s">
        <v>1224</v>
      </c>
      <c r="P26" s="204">
        <v>1.2E-2</v>
      </c>
      <c r="Q26" s="204" t="s">
        <v>1223</v>
      </c>
      <c r="R26" s="184">
        <v>0</v>
      </c>
      <c r="S26" s="185" t="s">
        <v>1023</v>
      </c>
      <c r="T26" s="186">
        <v>113</v>
      </c>
      <c r="U26" s="187">
        <v>185</v>
      </c>
      <c r="V26" s="188" t="s">
        <v>60</v>
      </c>
      <c r="W26" s="183"/>
      <c r="X26" s="178">
        <v>600</v>
      </c>
      <c r="Y26" s="182"/>
      <c r="Z26" s="182" t="s">
        <v>58</v>
      </c>
      <c r="AA26" s="178" t="s">
        <v>59</v>
      </c>
      <c r="AB26" s="178" t="s">
        <v>186</v>
      </c>
      <c r="AC26" s="178" t="s">
        <v>60</v>
      </c>
      <c r="AD26" s="178"/>
      <c r="AE26" s="179"/>
      <c r="AF26" s="179" t="s">
        <v>1222</v>
      </c>
      <c r="AG26" s="180"/>
      <c r="AH26" s="179"/>
      <c r="AI26" s="179"/>
      <c r="AJ26" s="195" t="s">
        <v>62</v>
      </c>
      <c r="AK26" s="195"/>
      <c r="AL26" s="195"/>
      <c r="AM26" s="195"/>
      <c r="AN26" s="183">
        <f>IF(ISNUMBER(VLOOKUP(A26,NotghiID!A:A,1,FALSE)),1,0)</f>
        <v>1</v>
      </c>
    </row>
    <row r="27" spans="1:40" s="137" customFormat="1" ht="14.25" x14ac:dyDescent="0.2">
      <c r="A27" s="189">
        <v>57</v>
      </c>
      <c r="B27" s="206" t="str">
        <f>IF(AND(A27&lt;&gt;"",ISNUMBER(A27)),VLOOKUP(A27,Studies!A:BR,2,FALSE),"")</f>
        <v>Backman 1998</v>
      </c>
      <c r="C27" s="206" t="str">
        <f>IF(AND(A27&lt;&gt;"",ISNUMBER(A27)),VLOOKUP(A27,Studies!A:BR,3,FALSE),"")</f>
        <v>https://www.ncbi.nlm.nih.gov/pubmed/9591931</v>
      </c>
      <c r="D27" s="206" t="str">
        <f>IF(AND(A27&lt;&gt;"",ISNUMBER(A27)),VLOOKUP(A27,Studies!A:BR,4,FALSE),"")</f>
        <v>Phase V (4 days after Perpetrator (Rifampicin))</v>
      </c>
      <c r="E27" s="141" t="str">
        <f>IF(AND(A27&lt;&gt;"",ISNUMBER(A27)),VLOOKUP(A27,Studies!A:BR,5,FALSE),"")</f>
        <v>Midazolam</v>
      </c>
      <c r="F27" s="188" t="s">
        <v>54</v>
      </c>
      <c r="G27" s="208" t="str">
        <f>IF(AND(A27&lt;&gt;"",ISNUMBER(A27)),VLOOKUP(A27,Studies!A:BR,13,FALSE),"")</f>
        <v>PO</v>
      </c>
      <c r="H27" s="140" t="str">
        <f t="shared" si="0"/>
        <v>PO</v>
      </c>
      <c r="I27" s="208" t="str">
        <f>IF(AND(A27&lt;&gt;"",ISNUMBER(A27)),VLOOKUP(A27,Studies!A:BR,6,FALSE),"")</f>
        <v>Plasma</v>
      </c>
      <c r="J27" s="189">
        <v>0.13200000000000001</v>
      </c>
      <c r="K27" s="189" t="s">
        <v>116</v>
      </c>
      <c r="L27" s="203">
        <v>2.8000000000000001E-2</v>
      </c>
      <c r="M27" s="203" t="s">
        <v>1223</v>
      </c>
      <c r="N27" s="195">
        <v>0.20200000000000001</v>
      </c>
      <c r="O27" s="195" t="s">
        <v>1224</v>
      </c>
      <c r="P27" s="204">
        <v>4.2000000000000003E-2</v>
      </c>
      <c r="Q27" s="204" t="s">
        <v>1223</v>
      </c>
      <c r="R27" s="184">
        <v>0</v>
      </c>
      <c r="S27" s="185" t="s">
        <v>1023</v>
      </c>
      <c r="T27" s="186">
        <v>185</v>
      </c>
      <c r="U27" s="187" t="s">
        <v>1023</v>
      </c>
      <c r="V27" s="188" t="s">
        <v>60</v>
      </c>
      <c r="W27" s="183"/>
      <c r="X27" s="178">
        <v>600</v>
      </c>
      <c r="Y27" s="182"/>
      <c r="Z27" s="182" t="s">
        <v>58</v>
      </c>
      <c r="AA27" s="178" t="s">
        <v>59</v>
      </c>
      <c r="AB27" s="178" t="s">
        <v>186</v>
      </c>
      <c r="AC27" s="178" t="s">
        <v>60</v>
      </c>
      <c r="AD27" s="178"/>
      <c r="AE27" s="179"/>
      <c r="AF27" s="179" t="s">
        <v>1222</v>
      </c>
      <c r="AG27" s="180"/>
      <c r="AH27" s="179"/>
      <c r="AI27" s="179"/>
      <c r="AJ27" s="195" t="s">
        <v>62</v>
      </c>
      <c r="AK27" s="195"/>
      <c r="AL27" s="195"/>
      <c r="AM27" s="195"/>
      <c r="AN27" s="183">
        <f>IF(ISNUMBER(VLOOKUP(A27,NotghiID!A:A,1,FALSE)),1,0)</f>
        <v>1</v>
      </c>
    </row>
    <row r="28" spans="1:40" s="137" customFormat="1" ht="14.25" x14ac:dyDescent="0.2">
      <c r="A28" s="189">
        <v>58</v>
      </c>
      <c r="B28" s="206" t="str">
        <f>IF(AND(A28&lt;&gt;"",ISNUMBER(A28)),VLOOKUP(A28,Studies!A:BR,2,FALSE),"")</f>
        <v>Backman 1998</v>
      </c>
      <c r="C28" s="206" t="str">
        <f>IF(AND(A28&lt;&gt;"",ISNUMBER(A28)),VLOOKUP(A28,Studies!A:BR,3,FALSE),"")</f>
        <v>https://www.ncbi.nlm.nih.gov/pubmed/9591931</v>
      </c>
      <c r="D28" s="206" t="str">
        <f>IF(AND(A28&lt;&gt;"",ISNUMBER(A28)),VLOOKUP(A28,Studies!A:BR,4,FALSE),"")</f>
        <v>Phase II (during Perpetrator (Itraconazole))</v>
      </c>
      <c r="E28" s="141" t="str">
        <f>IF(AND(A28&lt;&gt;"",ISNUMBER(A28)),VLOOKUP(A28,Studies!A:BR,5,FALSE),"")</f>
        <v>Midazolam</v>
      </c>
      <c r="F28" s="188" t="s">
        <v>149</v>
      </c>
      <c r="G28" s="208" t="str">
        <f>IF(AND(A28&lt;&gt;"",ISNUMBER(A28)),VLOOKUP(A28,Studies!A:BR,13,FALSE),"")</f>
        <v>PO</v>
      </c>
      <c r="H28" s="140" t="str">
        <f t="shared" si="0"/>
        <v>PO</v>
      </c>
      <c r="I28" s="208" t="str">
        <f>IF(AND(A28&lt;&gt;"",ISNUMBER(A28)),VLOOKUP(A28,Studies!A:BR,6,FALSE),"")</f>
        <v>Plasma</v>
      </c>
      <c r="J28" s="189">
        <v>7.97</v>
      </c>
      <c r="K28" s="189" t="s">
        <v>116</v>
      </c>
      <c r="L28" s="203">
        <v>1.1399999999999999</v>
      </c>
      <c r="M28" s="203" t="s">
        <v>1223</v>
      </c>
      <c r="N28" s="195">
        <v>3.12</v>
      </c>
      <c r="O28" s="195" t="s">
        <v>1224</v>
      </c>
      <c r="P28" s="204">
        <v>0.37</v>
      </c>
      <c r="Q28" s="204" t="s">
        <v>1223</v>
      </c>
      <c r="R28" s="184">
        <v>0</v>
      </c>
      <c r="S28" s="185" t="s">
        <v>1023</v>
      </c>
      <c r="T28" s="186">
        <v>74</v>
      </c>
      <c r="U28" s="187">
        <v>170</v>
      </c>
      <c r="V28" s="188" t="s">
        <v>60</v>
      </c>
      <c r="W28" s="183"/>
      <c r="X28" s="178">
        <v>200</v>
      </c>
      <c r="Y28" s="182"/>
      <c r="Z28" s="182" t="s">
        <v>58</v>
      </c>
      <c r="AA28" s="178" t="s">
        <v>59</v>
      </c>
      <c r="AB28" s="178" t="s">
        <v>918</v>
      </c>
      <c r="AC28" s="178" t="s">
        <v>60</v>
      </c>
      <c r="AD28" s="178"/>
      <c r="AE28" s="179"/>
      <c r="AF28" s="179" t="s">
        <v>1225</v>
      </c>
      <c r="AG28" s="180"/>
      <c r="AH28" s="179"/>
      <c r="AI28" s="179"/>
      <c r="AJ28" s="195" t="s">
        <v>62</v>
      </c>
      <c r="AK28" s="195"/>
      <c r="AL28" s="195"/>
      <c r="AM28" s="195"/>
      <c r="AN28" s="183">
        <f>IF(ISNUMBER(VLOOKUP(A28,NotghiID!A:A,1,FALSE)),1,0)</f>
        <v>1</v>
      </c>
    </row>
    <row r="29" spans="1:40" s="137" customFormat="1" ht="14.25" x14ac:dyDescent="0.2">
      <c r="A29" s="189">
        <v>59</v>
      </c>
      <c r="B29" s="206" t="str">
        <f>IF(AND(A29&lt;&gt;"",ISNUMBER(A29)),VLOOKUP(A29,Studies!A:BR,2,FALSE),"")</f>
        <v>Backman 1998</v>
      </c>
      <c r="C29" s="206" t="str">
        <f>IF(AND(A29&lt;&gt;"",ISNUMBER(A29)),VLOOKUP(A29,Studies!A:BR,3,FALSE),"")</f>
        <v>https://www.ncbi.nlm.nih.gov/pubmed/9591931</v>
      </c>
      <c r="D29" s="206" t="str">
        <f>IF(AND(A29&lt;&gt;"",ISNUMBER(A29)),VLOOKUP(A29,Studies!A:BR,4,FALSE),"")</f>
        <v>Phase III (4 days after Perpetrator (Itraconazole))</v>
      </c>
      <c r="E29" s="141" t="str">
        <f>IF(AND(A29&lt;&gt;"",ISNUMBER(A29)),VLOOKUP(A29,Studies!A:BR,5,FALSE),"")</f>
        <v>Midazolam</v>
      </c>
      <c r="F29" s="188" t="s">
        <v>149</v>
      </c>
      <c r="G29" s="208" t="str">
        <f>IF(AND(A29&lt;&gt;"",ISNUMBER(A29)),VLOOKUP(A29,Studies!A:BR,13,FALSE),"")</f>
        <v>PO</v>
      </c>
      <c r="H29" s="140" t="str">
        <f t="shared" si="0"/>
        <v>PO</v>
      </c>
      <c r="I29" s="208" t="str">
        <f>IF(AND(A29&lt;&gt;"",ISNUMBER(A29)),VLOOKUP(A29,Studies!A:BR,6,FALSE),"")</f>
        <v>Plasma</v>
      </c>
      <c r="J29" s="189">
        <v>2.63</v>
      </c>
      <c r="K29" s="189" t="s">
        <v>116</v>
      </c>
      <c r="L29" s="203">
        <v>0.4</v>
      </c>
      <c r="M29" s="203" t="s">
        <v>1223</v>
      </c>
      <c r="N29" s="195">
        <v>1.92</v>
      </c>
      <c r="O29" s="195" t="s">
        <v>1224</v>
      </c>
      <c r="P29" s="204">
        <v>0.31</v>
      </c>
      <c r="Q29" s="204" t="s">
        <v>1223</v>
      </c>
      <c r="R29" s="184">
        <v>0</v>
      </c>
      <c r="S29" s="185" t="s">
        <v>1023</v>
      </c>
      <c r="T29" s="186">
        <v>170</v>
      </c>
      <c r="U29" s="187" t="s">
        <v>1023</v>
      </c>
      <c r="V29" s="188" t="s">
        <v>60</v>
      </c>
      <c r="W29" s="183"/>
      <c r="X29" s="178">
        <v>200</v>
      </c>
      <c r="Y29" s="182"/>
      <c r="Z29" s="182" t="s">
        <v>58</v>
      </c>
      <c r="AA29" s="178" t="s">
        <v>59</v>
      </c>
      <c r="AB29" s="178" t="s">
        <v>918</v>
      </c>
      <c r="AC29" s="178" t="s">
        <v>60</v>
      </c>
      <c r="AD29" s="178"/>
      <c r="AE29" s="179"/>
      <c r="AF29" s="179" t="s">
        <v>1225</v>
      </c>
      <c r="AG29" s="180"/>
      <c r="AH29" s="179"/>
      <c r="AI29" s="179"/>
      <c r="AJ29" s="195" t="s">
        <v>62</v>
      </c>
      <c r="AK29" s="195"/>
      <c r="AL29" s="195"/>
      <c r="AM29" s="195"/>
      <c r="AN29" s="183">
        <f>IF(ISNUMBER(VLOOKUP(A29,NotghiID!A:A,1,FALSE)),1,0)</f>
        <v>1</v>
      </c>
    </row>
    <row r="30" spans="1:40" s="137" customFormat="1" ht="14.25" x14ac:dyDescent="0.2">
      <c r="A30" s="189">
        <v>129</v>
      </c>
      <c r="B30" s="206" t="str">
        <f>IF(AND(A30&lt;&gt;"",ISNUMBER(A30)),VLOOKUP(A30,Studies!A:BR,2,FALSE),"")</f>
        <v>Eap 2004</v>
      </c>
      <c r="C30" s="206" t="str">
        <f>IF(AND(A30&lt;&gt;"",ISNUMBER(A30)),VLOOKUP(A30,Studies!A:BR,3,FALSE),"")</f>
        <v>https://www.ncbi.nlm.nih.gov/pubmed/15114429</v>
      </c>
      <c r="D30" s="206" t="str">
        <f>IF(AND(A30&lt;&gt;"",ISNUMBER(A30)),VLOOKUP(A30,Studies!A:BR,4,FALSE),"")</f>
        <v>0.075 mg with Perpetrator (Rifampicin)</v>
      </c>
      <c r="E30" s="141" t="str">
        <f>IF(AND(A30&lt;&gt;"",ISNUMBER(A30)),VLOOKUP(A30,Studies!A:BR,5,FALSE),"")</f>
        <v>Midazolam</v>
      </c>
      <c r="F30" s="188" t="s">
        <v>54</v>
      </c>
      <c r="G30" s="208" t="str">
        <f>IF(AND(A30&lt;&gt;"",ISNUMBER(A30)),VLOOKUP(A30,Studies!A:BR,13,FALSE),"")</f>
        <v>PO</v>
      </c>
      <c r="H30" s="140" t="str">
        <f t="shared" si="0"/>
        <v>PO</v>
      </c>
      <c r="I30" s="208" t="str">
        <f>IF(AND(A30&lt;&gt;"",ISNUMBER(A30)),VLOOKUP(A30,Studies!A:BR,6,FALSE),"")</f>
        <v>Plasma</v>
      </c>
      <c r="J30" s="189">
        <v>0.44117647058823523</v>
      </c>
      <c r="K30" s="189" t="s">
        <v>1201</v>
      </c>
      <c r="L30" s="203"/>
      <c r="M30" s="203"/>
      <c r="N30" s="195">
        <v>0.22580645161290325</v>
      </c>
      <c r="O30" s="195" t="s">
        <v>1201</v>
      </c>
      <c r="P30" s="204"/>
      <c r="Q30" s="204"/>
      <c r="R30" s="184">
        <v>0</v>
      </c>
      <c r="S30" s="185" t="s">
        <v>1023</v>
      </c>
      <c r="T30" s="186">
        <v>90</v>
      </c>
      <c r="U30" s="187" t="s">
        <v>1023</v>
      </c>
      <c r="V30" s="188" t="s">
        <v>60</v>
      </c>
      <c r="W30" s="183"/>
      <c r="X30" s="178">
        <v>450</v>
      </c>
      <c r="Y30" s="182"/>
      <c r="Z30" s="182" t="s">
        <v>58</v>
      </c>
      <c r="AA30" s="178" t="s">
        <v>59</v>
      </c>
      <c r="AB30" s="178" t="s">
        <v>1428</v>
      </c>
      <c r="AC30" s="178" t="s">
        <v>60</v>
      </c>
      <c r="AD30" s="178" t="s">
        <v>1429</v>
      </c>
      <c r="AE30" s="179"/>
      <c r="AF30" s="179"/>
      <c r="AG30" s="180"/>
      <c r="AH30" s="179"/>
      <c r="AI30" s="179"/>
      <c r="AJ30" s="195"/>
      <c r="AK30" s="195"/>
      <c r="AL30" s="195"/>
      <c r="AM30" s="195"/>
      <c r="AN30" s="183">
        <f>IF(ISNUMBER(VLOOKUP(A30,NotghiID!A:A,1,FALSE)),1,0)</f>
        <v>1</v>
      </c>
    </row>
    <row r="31" spans="1:40" s="137" customFormat="1" ht="14.25" x14ac:dyDescent="0.2">
      <c r="A31" s="189">
        <v>130</v>
      </c>
      <c r="B31" s="206" t="str">
        <f>IF(AND(A31&lt;&gt;"",ISNUMBER(A31)),VLOOKUP(A31,Studies!A:BR,2,FALSE),"")</f>
        <v>Eap 2004</v>
      </c>
      <c r="C31" s="206" t="str">
        <f>IF(AND(A31&lt;&gt;"",ISNUMBER(A31)),VLOOKUP(A31,Studies!A:BR,3,FALSE),"")</f>
        <v>https://www.ncbi.nlm.nih.gov/pubmed/15114429</v>
      </c>
      <c r="D31" s="206" t="str">
        <f>IF(AND(A31&lt;&gt;"",ISNUMBER(A31)),VLOOKUP(A31,Studies!A:BR,4,FALSE),"")</f>
        <v>0.075 mg with Perpetrator (Ketoconazole)</v>
      </c>
      <c r="E31" s="141" t="str">
        <f>IF(AND(A31&lt;&gt;"",ISNUMBER(A31)),VLOOKUP(A31,Studies!A:BR,5,FALSE),"")</f>
        <v>Midazolam</v>
      </c>
      <c r="F31" s="188" t="s">
        <v>921</v>
      </c>
      <c r="G31" s="208" t="str">
        <f>IF(AND(A31&lt;&gt;"",ISNUMBER(A31)),VLOOKUP(A31,Studies!A:BR,13,FALSE),"")</f>
        <v>PO</v>
      </c>
      <c r="H31" s="140" t="str">
        <f t="shared" si="0"/>
        <v>PO</v>
      </c>
      <c r="I31" s="208" t="str">
        <f>IF(AND(A31&lt;&gt;"",ISNUMBER(A31)),VLOOKUP(A31,Studies!A:BR,6,FALSE),"")</f>
        <v>Plasma</v>
      </c>
      <c r="J31" s="189">
        <v>6.4705882352941178</v>
      </c>
      <c r="K31" s="189" t="s">
        <v>1201</v>
      </c>
      <c r="L31" s="203"/>
      <c r="M31" s="203"/>
      <c r="N31" s="195">
        <v>3.7419354838709675</v>
      </c>
      <c r="O31" s="195" t="s">
        <v>1201</v>
      </c>
      <c r="P31" s="204"/>
      <c r="Q31" s="204"/>
      <c r="R31" s="184">
        <v>0</v>
      </c>
      <c r="S31" s="185" t="s">
        <v>1023</v>
      </c>
      <c r="T31" s="186">
        <v>48</v>
      </c>
      <c r="U31" s="187" t="s">
        <v>1023</v>
      </c>
      <c r="V31" s="188" t="s">
        <v>60</v>
      </c>
      <c r="W31" s="183"/>
      <c r="X31" s="178">
        <v>200</v>
      </c>
      <c r="Y31" s="182"/>
      <c r="Z31" s="182" t="s">
        <v>58</v>
      </c>
      <c r="AA31" s="178" t="s">
        <v>59</v>
      </c>
      <c r="AB31" s="178" t="s">
        <v>1430</v>
      </c>
      <c r="AC31" s="178" t="s">
        <v>60</v>
      </c>
      <c r="AD31" s="178" t="s">
        <v>112</v>
      </c>
      <c r="AE31" s="179"/>
      <c r="AF31" s="179"/>
      <c r="AG31" s="180"/>
      <c r="AH31" s="179"/>
      <c r="AI31" s="179"/>
      <c r="AJ31" s="195"/>
      <c r="AK31" s="195"/>
      <c r="AL31" s="195"/>
      <c r="AM31" s="195"/>
      <c r="AN31" s="183">
        <f>IF(ISNUMBER(VLOOKUP(A31,NotghiID!A:A,1,FALSE)),1,0)</f>
        <v>1</v>
      </c>
    </row>
    <row r="32" spans="1:40" s="137" customFormat="1" ht="14.25" x14ac:dyDescent="0.2">
      <c r="A32" s="189">
        <v>132</v>
      </c>
      <c r="B32" s="206" t="str">
        <f>IF(AND(A32&lt;&gt;"",ISNUMBER(A32)),VLOOKUP(A32,Studies!A:BR,2,FALSE),"")</f>
        <v>Eap 2004</v>
      </c>
      <c r="C32" s="206" t="str">
        <f>IF(AND(A32&lt;&gt;"",ISNUMBER(A32)),VLOOKUP(A32,Studies!A:BR,3,FALSE),"")</f>
        <v>https://www.ncbi.nlm.nih.gov/pubmed/15114429</v>
      </c>
      <c r="D32" s="206" t="str">
        <f>IF(AND(A32&lt;&gt;"",ISNUMBER(A32)),VLOOKUP(A32,Studies!A:BR,4,FALSE),"")</f>
        <v>7.5 mg with Perpetrator (Rifampicin)</v>
      </c>
      <c r="E32" s="141" t="str">
        <f>IF(AND(A32&lt;&gt;"",ISNUMBER(A32)),VLOOKUP(A32,Studies!A:BR,5,FALSE),"")</f>
        <v>Midazolam</v>
      </c>
      <c r="F32" s="188" t="s">
        <v>54</v>
      </c>
      <c r="G32" s="208" t="str">
        <f>IF(AND(A32&lt;&gt;"",ISNUMBER(A32)),VLOOKUP(A32,Studies!A:BR,13,FALSE),"")</f>
        <v>PO</v>
      </c>
      <c r="H32" s="140" t="str">
        <f t="shared" si="0"/>
        <v>PO</v>
      </c>
      <c r="I32" s="208" t="str">
        <f>IF(AND(A32&lt;&gt;"",ISNUMBER(A32)),VLOOKUP(A32,Studies!A:BR,6,FALSE),"")</f>
        <v>Plasma</v>
      </c>
      <c r="J32" s="189">
        <v>5.2238805970149252E-2</v>
      </c>
      <c r="K32" s="189" t="s">
        <v>1201</v>
      </c>
      <c r="L32" s="203"/>
      <c r="M32" s="203"/>
      <c r="N32" s="195">
        <v>0.11153846153846153</v>
      </c>
      <c r="O32" s="195" t="s">
        <v>1201</v>
      </c>
      <c r="P32" s="204"/>
      <c r="Q32" s="204"/>
      <c r="R32" s="184">
        <v>0</v>
      </c>
      <c r="S32" s="185" t="s">
        <v>1023</v>
      </c>
      <c r="T32" s="186">
        <v>114</v>
      </c>
      <c r="U32" s="187" t="s">
        <v>1023</v>
      </c>
      <c r="V32" s="188" t="s">
        <v>60</v>
      </c>
      <c r="W32" s="183"/>
      <c r="X32" s="178">
        <v>450</v>
      </c>
      <c r="Y32" s="182"/>
      <c r="Z32" s="182" t="s">
        <v>58</v>
      </c>
      <c r="AA32" s="178" t="s">
        <v>59</v>
      </c>
      <c r="AB32" s="178" t="s">
        <v>1428</v>
      </c>
      <c r="AC32" s="178" t="s">
        <v>60</v>
      </c>
      <c r="AD32" s="178" t="s">
        <v>1429</v>
      </c>
      <c r="AE32" s="179"/>
      <c r="AF32" s="179"/>
      <c r="AG32" s="180"/>
      <c r="AH32" s="179"/>
      <c r="AI32" s="179"/>
      <c r="AJ32" s="195"/>
      <c r="AK32" s="195"/>
      <c r="AL32" s="195"/>
      <c r="AM32" s="195"/>
      <c r="AN32" s="183">
        <f>IF(ISNUMBER(VLOOKUP(A32,NotghiID!A:A,1,FALSE)),1,0)</f>
        <v>1</v>
      </c>
    </row>
    <row r="33" spans="1:40" s="137" customFormat="1" ht="14.25" x14ac:dyDescent="0.2">
      <c r="A33" s="189">
        <v>177</v>
      </c>
      <c r="B33" s="206" t="str">
        <f>IF(AND(A33&lt;&gt;"",ISNUMBER(A33)),VLOOKUP(A33,Studies!A:BR,2,FALSE),"")</f>
        <v>Gorski 2003</v>
      </c>
      <c r="C33" s="206" t="str">
        <f>IF(AND(A33&lt;&gt;"",ISNUMBER(A33)),VLOOKUP(A33,Studies!A:BR,3,FALSE),"")</f>
        <v>https://www.ncbi.nlm.nih.gov/pubmed/12966371</v>
      </c>
      <c r="D33" s="206" t="str">
        <f>IF(AND(A33&lt;&gt;"",ISNUMBER(A33)),VLOOKUP(A33,Studies!A:BR,4,FALSE),"")</f>
        <v>po with Perpetrator (Rifampicin)</v>
      </c>
      <c r="E33" s="141" t="str">
        <f>IF(AND(A33&lt;&gt;"",ISNUMBER(A33)),VLOOKUP(A33,Studies!A:BR,5,FALSE),"")</f>
        <v>Midazolam</v>
      </c>
      <c r="F33" s="188" t="s">
        <v>54</v>
      </c>
      <c r="G33" s="208" t="str">
        <f>IF(AND(A33&lt;&gt;"",ISNUMBER(A33)),VLOOKUP(A33,Studies!A:BR,13,FALSE),"")</f>
        <v>PO</v>
      </c>
      <c r="H33" s="140" t="str">
        <f t="shared" si="0"/>
        <v>PO</v>
      </c>
      <c r="I33" s="208" t="str">
        <f>IF(AND(A33&lt;&gt;"",ISNUMBER(A33)),VLOOKUP(A33,Studies!A:BR,6,FALSE),"")</f>
        <v>Whole Blood</v>
      </c>
      <c r="J33" s="189">
        <f>1.56/34.4</f>
        <v>4.5348837209302328E-2</v>
      </c>
      <c r="K33" s="189" t="s">
        <v>1201</v>
      </c>
      <c r="L33" s="203"/>
      <c r="M33" s="203"/>
      <c r="N33" s="195">
        <f>(1.8*4/6)/17.9</f>
        <v>6.7039106145251395E-2</v>
      </c>
      <c r="O33" s="195" t="s">
        <v>389</v>
      </c>
      <c r="P33" s="204"/>
      <c r="Q33" s="204"/>
      <c r="R33" s="184">
        <v>0</v>
      </c>
      <c r="S33" s="185" t="s">
        <v>1023</v>
      </c>
      <c r="T33" s="186">
        <v>132</v>
      </c>
      <c r="U33" s="187" t="s">
        <v>1023</v>
      </c>
      <c r="V33" s="188" t="s">
        <v>60</v>
      </c>
      <c r="W33" s="183" t="s">
        <v>1226</v>
      </c>
      <c r="X33" s="178">
        <v>600</v>
      </c>
      <c r="Y33" s="182"/>
      <c r="Z33" s="182" t="s">
        <v>58</v>
      </c>
      <c r="AA33" s="178" t="s">
        <v>59</v>
      </c>
      <c r="AB33" s="178" t="s">
        <v>1227</v>
      </c>
      <c r="AC33" s="178" t="s">
        <v>60</v>
      </c>
      <c r="AD33" s="178" t="s">
        <v>92</v>
      </c>
      <c r="AE33" s="179"/>
      <c r="AF33" s="162" t="s">
        <v>1228</v>
      </c>
      <c r="AG33" s="180"/>
      <c r="AH33" s="179"/>
      <c r="AI33" s="179"/>
      <c r="AJ33" s="195"/>
      <c r="AK33" s="195"/>
      <c r="AL33" s="195"/>
      <c r="AM33" s="195"/>
      <c r="AN33" s="183">
        <f>IF(ISNUMBER(VLOOKUP(A33,NotghiID!A:A,1,FALSE)),1,0)</f>
        <v>1</v>
      </c>
    </row>
    <row r="34" spans="1:40" s="137" customFormat="1" ht="14.25" x14ac:dyDescent="0.2">
      <c r="A34" s="189">
        <v>179</v>
      </c>
      <c r="B34" s="206" t="str">
        <f>IF(AND(A34&lt;&gt;"",ISNUMBER(A34)),VLOOKUP(A34,Studies!A:BR,2,FALSE),"")</f>
        <v>Gorski 2003</v>
      </c>
      <c r="C34" s="206" t="str">
        <f>IF(AND(A34&lt;&gt;"",ISNUMBER(A34)),VLOOKUP(A34,Studies!A:BR,3,FALSE),"")</f>
        <v>https://www.ncbi.nlm.nih.gov/pubmed/12966371</v>
      </c>
      <c r="D34" s="206" t="str">
        <f>IF(AND(A34&lt;&gt;"",ISNUMBER(A34)),VLOOKUP(A34,Studies!A:BR,4,FALSE),"")</f>
        <v>iv with Perpetrator (Rifampicin)</v>
      </c>
      <c r="E34" s="141" t="str">
        <f>IF(AND(A34&lt;&gt;"",ISNUMBER(A34)),VLOOKUP(A34,Studies!A:BR,5,FALSE),"")</f>
        <v>Midazolam</v>
      </c>
      <c r="F34" s="188" t="s">
        <v>54</v>
      </c>
      <c r="G34" s="208" t="str">
        <f>IF(AND(A34&lt;&gt;"",ISNUMBER(A34)),VLOOKUP(A34,Studies!A:BR,13,FALSE),"")</f>
        <v>IV</v>
      </c>
      <c r="H34" s="140" t="str">
        <f t="shared" si="0"/>
        <v>PO</v>
      </c>
      <c r="I34" s="208" t="str">
        <f>IF(AND(A34&lt;&gt;"",ISNUMBER(A34)),VLOOKUP(A34,Studies!A:BR,6,FALSE),"")</f>
        <v>Whole Blood</v>
      </c>
      <c r="J34" s="189">
        <f>0.44/0.96</f>
        <v>0.45833333333333337</v>
      </c>
      <c r="K34" s="189" t="s">
        <v>1201</v>
      </c>
      <c r="L34" s="203"/>
      <c r="M34" s="203"/>
      <c r="N34" s="195"/>
      <c r="O34" s="195"/>
      <c r="P34" s="204"/>
      <c r="Q34" s="204"/>
      <c r="R34" s="184">
        <v>0</v>
      </c>
      <c r="S34" s="185" t="s">
        <v>1023</v>
      </c>
      <c r="T34" s="186">
        <v>132</v>
      </c>
      <c r="U34" s="187" t="s">
        <v>1023</v>
      </c>
      <c r="V34" s="188" t="s">
        <v>60</v>
      </c>
      <c r="W34" s="183" t="s">
        <v>1229</v>
      </c>
      <c r="X34" s="178">
        <v>600</v>
      </c>
      <c r="Y34" s="182"/>
      <c r="Z34" s="182" t="s">
        <v>58</v>
      </c>
      <c r="AA34" s="178" t="s">
        <v>59</v>
      </c>
      <c r="AB34" s="178" t="s">
        <v>1227</v>
      </c>
      <c r="AC34" s="178" t="s">
        <v>60</v>
      </c>
      <c r="AD34" s="178" t="s">
        <v>92</v>
      </c>
      <c r="AE34" s="179"/>
      <c r="AF34" s="162" t="s">
        <v>1228</v>
      </c>
      <c r="AG34" s="180"/>
      <c r="AH34" s="179"/>
      <c r="AI34" s="179"/>
      <c r="AJ34" s="195"/>
      <c r="AK34" s="195"/>
      <c r="AL34" s="195"/>
      <c r="AM34" s="195"/>
      <c r="AN34" s="183">
        <f>IF(ISNUMBER(VLOOKUP(A34,NotghiID!A:A,1,FALSE)),1,0)</f>
        <v>1</v>
      </c>
    </row>
    <row r="35" spans="1:40" s="137" customFormat="1" ht="14.25" x14ac:dyDescent="0.2">
      <c r="A35" s="189">
        <v>215</v>
      </c>
      <c r="B35" s="206" t="str">
        <f>IF(AND(A35&lt;&gt;"",ISNUMBER(A35)),VLOOKUP(A35,Studies!A:BR,2,FALSE),"")</f>
        <v>Gurley 2006</v>
      </c>
      <c r="C35" s="206" t="str">
        <f>IF(AND(A35&lt;&gt;"",ISNUMBER(A35)),VLOOKUP(A35,Studies!A:BR,3,FALSE),"")</f>
        <v>https://www.ncbi.nlm.nih.gov/pubmed/16432272</v>
      </c>
      <c r="D35" s="206" t="str">
        <f>IF(AND(A35&lt;&gt;"",ISNUMBER(A35)),VLOOKUP(A35,Studies!A:BR,4,FALSE),"")</f>
        <v>with Perpetrator (Rifampicin)</v>
      </c>
      <c r="E35" s="141" t="str">
        <f>IF(AND(A35&lt;&gt;"",ISNUMBER(A35)),VLOOKUP(A35,Studies!A:BR,5,FALSE),"")</f>
        <v>Midazolam</v>
      </c>
      <c r="F35" s="188" t="s">
        <v>54</v>
      </c>
      <c r="G35" s="208" t="str">
        <f>IF(AND(A35&lt;&gt;"",ISNUMBER(A35)),VLOOKUP(A35,Studies!A:BR,13,FALSE),"")</f>
        <v>PO</v>
      </c>
      <c r="H35" s="140" t="str">
        <f t="shared" si="0"/>
        <v>PO</v>
      </c>
      <c r="I35" s="208" t="str">
        <f>IF(AND(A35&lt;&gt;"",ISNUMBER(A35)),VLOOKUP(A35,Studies!A:BR,6,FALSE),"")</f>
        <v>Plasma</v>
      </c>
      <c r="J35" s="214">
        <v>5.7160804000000003E-2</v>
      </c>
      <c r="K35" s="214" t="s">
        <v>1201</v>
      </c>
      <c r="L35" s="203"/>
      <c r="M35" s="203"/>
      <c r="N35" s="216">
        <v>0.1209150326797</v>
      </c>
      <c r="O35" s="216" t="s">
        <v>389</v>
      </c>
      <c r="P35" s="204"/>
      <c r="Q35" s="204"/>
      <c r="R35" s="184">
        <v>0</v>
      </c>
      <c r="S35" s="185" t="s">
        <v>1023</v>
      </c>
      <c r="T35" s="186">
        <v>144</v>
      </c>
      <c r="U35" s="187" t="s">
        <v>1023</v>
      </c>
      <c r="V35" s="222" t="s">
        <v>60</v>
      </c>
      <c r="W35" s="223"/>
      <c r="X35" s="209">
        <v>300</v>
      </c>
      <c r="Y35" s="210"/>
      <c r="Z35" s="210" t="s">
        <v>58</v>
      </c>
      <c r="AA35" s="209" t="s">
        <v>59</v>
      </c>
      <c r="AB35" s="178" t="s">
        <v>1230</v>
      </c>
      <c r="AC35" s="209" t="s">
        <v>60</v>
      </c>
      <c r="AD35" s="209" t="s">
        <v>92</v>
      </c>
      <c r="AE35" s="211" t="s">
        <v>1231</v>
      </c>
      <c r="AF35" s="211" t="s">
        <v>1232</v>
      </c>
      <c r="AG35" s="212"/>
      <c r="AH35" s="211"/>
      <c r="AI35" s="211" t="s">
        <v>1233</v>
      </c>
      <c r="AJ35" s="195"/>
      <c r="AK35" s="195"/>
      <c r="AL35" s="195"/>
      <c r="AM35" s="195"/>
      <c r="AN35" s="183">
        <f>IF(ISNUMBER(VLOOKUP(A35,NotghiID!A:A,1,FALSE)),1,0)</f>
        <v>1</v>
      </c>
    </row>
    <row r="36" spans="1:40" s="137" customFormat="1" ht="14.25" x14ac:dyDescent="0.2">
      <c r="A36" s="189">
        <v>217</v>
      </c>
      <c r="B36" s="206" t="str">
        <f>IF(AND(A36&lt;&gt;"",ISNUMBER(A36)),VLOOKUP(A36,Studies!A:BR,2,FALSE),"")</f>
        <v>Gurley 2006</v>
      </c>
      <c r="C36" s="206" t="str">
        <f>IF(AND(A36&lt;&gt;"",ISNUMBER(A36)),VLOOKUP(A36,Studies!A:BR,3,FALSE),"")</f>
        <v>https://www.ncbi.nlm.nih.gov/pubmed/16432272</v>
      </c>
      <c r="D36" s="206" t="str">
        <f>IF(AND(A36&lt;&gt;"",ISNUMBER(A36)),VLOOKUP(A36,Studies!A:BR,4,FALSE),"")</f>
        <v>with Perpetrator (Clarithomycin)</v>
      </c>
      <c r="E36" s="141" t="str">
        <f>IF(AND(A36&lt;&gt;"",ISNUMBER(A36)),VLOOKUP(A36,Studies!A:BR,5,FALSE),"")</f>
        <v>Midazolam</v>
      </c>
      <c r="F36" s="188" t="s">
        <v>1212</v>
      </c>
      <c r="G36" s="208" t="str">
        <f>IF(AND(A36&lt;&gt;"",ISNUMBER(A36)),VLOOKUP(A36,Studies!A:BR,13,FALSE),"")</f>
        <v>PO</v>
      </c>
      <c r="H36" s="140" t="str">
        <f t="shared" si="0"/>
        <v>PO</v>
      </c>
      <c r="I36" s="208" t="str">
        <f>IF(AND(A36&lt;&gt;"",ISNUMBER(A36)),VLOOKUP(A36,Studies!A:BR,6,FALSE),"")</f>
        <v>Plasma</v>
      </c>
      <c r="J36" s="214">
        <v>8.3928571400000003</v>
      </c>
      <c r="K36" s="214" t="s">
        <v>1201</v>
      </c>
      <c r="L36" s="203"/>
      <c r="M36" s="203"/>
      <c r="N36" s="216">
        <v>3.795597484</v>
      </c>
      <c r="O36" s="216" t="s">
        <v>389</v>
      </c>
      <c r="P36" s="204"/>
      <c r="Q36" s="204"/>
      <c r="R36" s="184">
        <v>0</v>
      </c>
      <c r="S36" s="185" t="s">
        <v>1023</v>
      </c>
      <c r="T36" s="186">
        <v>144</v>
      </c>
      <c r="U36" s="187" t="s">
        <v>1023</v>
      </c>
      <c r="V36" s="222" t="s">
        <v>60</v>
      </c>
      <c r="W36" s="223"/>
      <c r="X36" s="209">
        <v>500</v>
      </c>
      <c r="Y36" s="210"/>
      <c r="Z36" s="210" t="s">
        <v>58</v>
      </c>
      <c r="AA36" s="209" t="s">
        <v>59</v>
      </c>
      <c r="AB36" s="178" t="s">
        <v>1230</v>
      </c>
      <c r="AC36" s="209" t="s">
        <v>60</v>
      </c>
      <c r="AD36" s="209" t="s">
        <v>92</v>
      </c>
      <c r="AE36" s="211" t="s">
        <v>1234</v>
      </c>
      <c r="AF36" s="211" t="s">
        <v>1235</v>
      </c>
      <c r="AG36" s="212"/>
      <c r="AH36" s="211"/>
      <c r="AI36" s="211" t="s">
        <v>1233</v>
      </c>
      <c r="AJ36" s="195"/>
      <c r="AK36" s="195"/>
      <c r="AL36" s="195"/>
      <c r="AM36" s="195"/>
      <c r="AN36" s="183">
        <f>IF(ISNUMBER(VLOOKUP(A36,NotghiID!A:A,1,FALSE)),1,0)</f>
        <v>1</v>
      </c>
    </row>
    <row r="37" spans="1:40" s="137" customFormat="1" ht="14.25" x14ac:dyDescent="0.2">
      <c r="A37" s="189">
        <v>221</v>
      </c>
      <c r="B37" s="206" t="str">
        <f>IF(AND(A37&lt;&gt;"",ISNUMBER(A37)),VLOOKUP(A37,Studies!A:BR,2,FALSE),"")</f>
        <v>Gurley 2008a</v>
      </c>
      <c r="C37" s="206" t="str">
        <f>IF(AND(A37&lt;&gt;"",ISNUMBER(A37)),VLOOKUP(A37,Studies!A:BR,3,FALSE),"")</f>
        <v>https://www.ncbi.nlm.nih.gov/pubmed/17495878</v>
      </c>
      <c r="D37" s="206" t="str">
        <f>IF(AND(A37&lt;&gt;"",ISNUMBER(A37)),VLOOKUP(A37,Studies!A:BR,4,FALSE),"")</f>
        <v>with Perpetrator (Rifampicin)</v>
      </c>
      <c r="E37" s="141" t="str">
        <f>IF(AND(A37&lt;&gt;"",ISNUMBER(A37)),VLOOKUP(A37,Studies!A:BR,5,FALSE),"")</f>
        <v>Midazolam</v>
      </c>
      <c r="F37" s="188" t="s">
        <v>54</v>
      </c>
      <c r="G37" s="208" t="str">
        <f>IF(AND(A37&lt;&gt;"",ISNUMBER(A37)),VLOOKUP(A37,Studies!A:BR,13,FALSE),"")</f>
        <v>PO</v>
      </c>
      <c r="H37" s="140" t="str">
        <f t="shared" si="0"/>
        <v>PO</v>
      </c>
      <c r="I37" s="208" t="str">
        <f>IF(AND(A37&lt;&gt;"",ISNUMBER(A37)),VLOOKUP(A37,Studies!A:BR,6,FALSE),"")</f>
        <v>Plasma</v>
      </c>
      <c r="J37" s="214">
        <v>6.0317460316999999E-2</v>
      </c>
      <c r="K37" s="214" t="s">
        <v>1201</v>
      </c>
      <c r="L37" s="203"/>
      <c r="M37" s="203"/>
      <c r="N37" s="216">
        <v>0.107623318</v>
      </c>
      <c r="O37" s="216" t="s">
        <v>389</v>
      </c>
      <c r="P37" s="204"/>
      <c r="Q37" s="204"/>
      <c r="R37" s="184">
        <v>0</v>
      </c>
      <c r="S37" s="185" t="s">
        <v>1023</v>
      </c>
      <c r="T37" s="186">
        <v>146</v>
      </c>
      <c r="U37" s="187" t="s">
        <v>1023</v>
      </c>
      <c r="V37" s="222" t="s">
        <v>60</v>
      </c>
      <c r="W37" s="223"/>
      <c r="X37" s="209">
        <v>300</v>
      </c>
      <c r="Y37" s="210"/>
      <c r="Z37" s="210" t="s">
        <v>58</v>
      </c>
      <c r="AA37" s="209" t="s">
        <v>59</v>
      </c>
      <c r="AB37" s="178" t="s">
        <v>1230</v>
      </c>
      <c r="AC37" s="209" t="s">
        <v>60</v>
      </c>
      <c r="AD37" s="209" t="s">
        <v>92</v>
      </c>
      <c r="AE37" s="211" t="s">
        <v>1231</v>
      </c>
      <c r="AF37" s="211" t="s">
        <v>1232</v>
      </c>
      <c r="AG37" s="212"/>
      <c r="AH37" s="211"/>
      <c r="AI37" s="211" t="s">
        <v>1233</v>
      </c>
      <c r="AJ37" s="195"/>
      <c r="AK37" s="195"/>
      <c r="AL37" s="195"/>
      <c r="AM37" s="195"/>
      <c r="AN37" s="183">
        <f>IF(ISNUMBER(VLOOKUP(A37,NotghiID!A:A,1,FALSE)),1,0)</f>
        <v>1</v>
      </c>
    </row>
    <row r="38" spans="1:40" s="137" customFormat="1" ht="14.25" x14ac:dyDescent="0.2">
      <c r="A38" s="189">
        <v>223</v>
      </c>
      <c r="B38" s="206" t="str">
        <f>IF(AND(A38&lt;&gt;"",ISNUMBER(A38)),VLOOKUP(A38,Studies!A:BR,2,FALSE),"")</f>
        <v>Gurley 2008a</v>
      </c>
      <c r="C38" s="206" t="str">
        <f>IF(AND(A38&lt;&gt;"",ISNUMBER(A38)),VLOOKUP(A38,Studies!A:BR,3,FALSE),"")</f>
        <v>https://www.ncbi.nlm.nih.gov/pubmed/17495878</v>
      </c>
      <c r="D38" s="206" t="str">
        <f>IF(AND(A38&lt;&gt;"",ISNUMBER(A38)),VLOOKUP(A38,Studies!A:BR,4,FALSE),"")</f>
        <v>with Perpetrator (Clarithomycin)</v>
      </c>
      <c r="E38" s="141" t="str">
        <f>IF(AND(A38&lt;&gt;"",ISNUMBER(A38)),VLOOKUP(A38,Studies!A:BR,5,FALSE),"")</f>
        <v>Midazolam</v>
      </c>
      <c r="F38" s="188" t="s">
        <v>1212</v>
      </c>
      <c r="G38" s="208" t="str">
        <f>IF(AND(A38&lt;&gt;"",ISNUMBER(A38)),VLOOKUP(A38,Studies!A:BR,13,FALSE),"")</f>
        <v>PO</v>
      </c>
      <c r="H38" s="140" t="str">
        <f t="shared" si="0"/>
        <v>PO</v>
      </c>
      <c r="I38" s="208" t="str">
        <f>IF(AND(A38&lt;&gt;"",ISNUMBER(A38)),VLOOKUP(A38,Studies!A:BR,6,FALSE),"")</f>
        <v>Plasma</v>
      </c>
      <c r="J38" s="214">
        <v>5.4833983999999996</v>
      </c>
      <c r="K38" s="214" t="s">
        <v>1201</v>
      </c>
      <c r="L38" s="203"/>
      <c r="M38" s="203"/>
      <c r="N38" s="216">
        <v>2.1743295019</v>
      </c>
      <c r="O38" s="216" t="s">
        <v>389</v>
      </c>
      <c r="P38" s="204"/>
      <c r="Q38" s="204"/>
      <c r="R38" s="184">
        <v>0</v>
      </c>
      <c r="S38" s="185" t="s">
        <v>1023</v>
      </c>
      <c r="T38" s="186">
        <v>146</v>
      </c>
      <c r="U38" s="187" t="s">
        <v>1023</v>
      </c>
      <c r="V38" s="222" t="s">
        <v>60</v>
      </c>
      <c r="W38" s="223"/>
      <c r="X38" s="209">
        <v>500</v>
      </c>
      <c r="Y38" s="210"/>
      <c r="Z38" s="210" t="s">
        <v>58</v>
      </c>
      <c r="AA38" s="209" t="s">
        <v>59</v>
      </c>
      <c r="AB38" s="178" t="s">
        <v>1230</v>
      </c>
      <c r="AC38" s="209" t="s">
        <v>60</v>
      </c>
      <c r="AD38" s="209" t="s">
        <v>92</v>
      </c>
      <c r="AE38" s="211" t="s">
        <v>1234</v>
      </c>
      <c r="AF38" s="211" t="s">
        <v>1235</v>
      </c>
      <c r="AG38" s="212"/>
      <c r="AH38" s="211"/>
      <c r="AI38" s="211" t="s">
        <v>1233</v>
      </c>
      <c r="AJ38" s="195"/>
      <c r="AK38" s="195"/>
      <c r="AL38" s="195"/>
      <c r="AM38" s="195"/>
      <c r="AN38" s="183">
        <f>IF(ISNUMBER(VLOOKUP(A38,NotghiID!A:A,1,FALSE)),1,0)</f>
        <v>1</v>
      </c>
    </row>
    <row r="39" spans="1:40" s="137" customFormat="1" ht="14.25" x14ac:dyDescent="0.2">
      <c r="A39" s="189">
        <v>227</v>
      </c>
      <c r="B39" s="206" t="str">
        <f>IF(AND(A39&lt;&gt;"",ISNUMBER(A39)),VLOOKUP(A39,Studies!A:BR,2,FALSE),"")</f>
        <v>Gurley 2008b</v>
      </c>
      <c r="C39" s="206" t="str">
        <f>IF(AND(A39&lt;&gt;"",ISNUMBER(A39)),VLOOKUP(A39,Studies!A:BR,3,FALSE),"")</f>
        <v>https://www.ncbi.nlm.nih.gov/pubmed/18214850</v>
      </c>
      <c r="D39" s="206" t="str">
        <f>IF(AND(A39&lt;&gt;"",ISNUMBER(A39)),VLOOKUP(A39,Studies!A:BR,4,FALSE),"")</f>
        <v>with Perpetrator (Rifampicin)</v>
      </c>
      <c r="E39" s="141" t="str">
        <f>IF(AND(A39&lt;&gt;"",ISNUMBER(A39)),VLOOKUP(A39,Studies!A:BR,5,FALSE),"")</f>
        <v>Digoxin</v>
      </c>
      <c r="F39" s="188" t="s">
        <v>54</v>
      </c>
      <c r="G39" s="208" t="str">
        <f>IF(AND(A39&lt;&gt;"",ISNUMBER(A39)),VLOOKUP(A39,Studies!A:BR,13,FALSE),"")</f>
        <v>PO</v>
      </c>
      <c r="H39" s="140" t="str">
        <f t="shared" si="0"/>
        <v>PO</v>
      </c>
      <c r="I39" s="208" t="str">
        <f>IF(AND(A39&lt;&gt;"",ISNUMBER(A39)),VLOOKUP(A39,Studies!A:BR,6,FALSE),"")</f>
        <v>Serum</v>
      </c>
      <c r="J39" s="189">
        <v>0.69565217000000001</v>
      </c>
      <c r="K39" s="214" t="s">
        <v>1201</v>
      </c>
      <c r="L39" s="203"/>
      <c r="M39" s="203"/>
      <c r="N39" s="195">
        <v>0.61538461499999997</v>
      </c>
      <c r="O39" s="195" t="s">
        <v>389</v>
      </c>
      <c r="P39" s="204"/>
      <c r="Q39" s="204"/>
      <c r="R39" s="184">
        <v>0</v>
      </c>
      <c r="S39" s="185" t="s">
        <v>1023</v>
      </c>
      <c r="T39" s="186">
        <v>144</v>
      </c>
      <c r="U39" s="187" t="s">
        <v>1023</v>
      </c>
      <c r="V39" s="188" t="s">
        <v>60</v>
      </c>
      <c r="W39" s="183"/>
      <c r="X39" s="178">
        <v>300</v>
      </c>
      <c r="Y39" s="182"/>
      <c r="Z39" s="182" t="s">
        <v>58</v>
      </c>
      <c r="AA39" s="209" t="s">
        <v>59</v>
      </c>
      <c r="AB39" s="178" t="s">
        <v>1230</v>
      </c>
      <c r="AC39" s="178" t="s">
        <v>60</v>
      </c>
      <c r="AD39" s="178" t="s">
        <v>92</v>
      </c>
      <c r="AE39" s="179" t="s">
        <v>1231</v>
      </c>
      <c r="AF39" s="179" t="s">
        <v>1236</v>
      </c>
      <c r="AG39" s="180"/>
      <c r="AH39" s="179"/>
      <c r="AI39" s="179" t="s">
        <v>1233</v>
      </c>
      <c r="AJ39" s="195"/>
      <c r="AK39" s="195"/>
      <c r="AL39" s="195"/>
      <c r="AM39" s="195"/>
      <c r="AN39" s="183">
        <f>IF(ISNUMBER(VLOOKUP(A39,NotghiID!A:A,1,FALSE)),1,0)</f>
        <v>1</v>
      </c>
    </row>
    <row r="40" spans="1:40" s="137" customFormat="1" ht="14.25" x14ac:dyDescent="0.2">
      <c r="A40" s="189">
        <v>229</v>
      </c>
      <c r="B40" s="206" t="str">
        <f>IF(AND(A40&lt;&gt;"",ISNUMBER(A40)),VLOOKUP(A40,Studies!A:BR,2,FALSE),"")</f>
        <v>Gurley 2008b</v>
      </c>
      <c r="C40" s="206" t="str">
        <f>IF(AND(A40&lt;&gt;"",ISNUMBER(A40)),VLOOKUP(A40,Studies!A:BR,3,FALSE),"")</f>
        <v>https://www.ncbi.nlm.nih.gov/pubmed/18214850</v>
      </c>
      <c r="D40" s="206" t="str">
        <f>IF(AND(A40&lt;&gt;"",ISNUMBER(A40)),VLOOKUP(A40,Studies!A:BR,4,FALSE),"")</f>
        <v>with Perpetrator (Clarithomycin)</v>
      </c>
      <c r="E40" s="141" t="str">
        <f>IF(AND(A40&lt;&gt;"",ISNUMBER(A40)),VLOOKUP(A40,Studies!A:BR,5,FALSE),"")</f>
        <v>Digoxin</v>
      </c>
      <c r="F40" s="188" t="s">
        <v>1212</v>
      </c>
      <c r="G40" s="208" t="str">
        <f>IF(AND(A40&lt;&gt;"",ISNUMBER(A40)),VLOOKUP(A40,Studies!A:BR,13,FALSE),"")</f>
        <v>PO</v>
      </c>
      <c r="H40" s="140" t="str">
        <f t="shared" si="0"/>
        <v>PO</v>
      </c>
      <c r="I40" s="208" t="str">
        <f>IF(AND(A40&lt;&gt;"",ISNUMBER(A40)),VLOOKUP(A40,Studies!A:BR,6,FALSE),"")</f>
        <v>Serum</v>
      </c>
      <c r="J40" s="189">
        <v>1.46575342</v>
      </c>
      <c r="K40" s="214" t="s">
        <v>1201</v>
      </c>
      <c r="L40" s="203"/>
      <c r="M40" s="203"/>
      <c r="N40" s="195">
        <v>1.75</v>
      </c>
      <c r="O40" s="195" t="s">
        <v>389</v>
      </c>
      <c r="P40" s="204"/>
      <c r="Q40" s="204"/>
      <c r="R40" s="184">
        <v>0</v>
      </c>
      <c r="S40" s="185" t="s">
        <v>1023</v>
      </c>
      <c r="T40" s="186">
        <v>144</v>
      </c>
      <c r="U40" s="187" t="s">
        <v>1023</v>
      </c>
      <c r="V40" s="188" t="s">
        <v>60</v>
      </c>
      <c r="W40" s="183"/>
      <c r="X40" s="178">
        <v>500</v>
      </c>
      <c r="Y40" s="182"/>
      <c r="Z40" s="182" t="s">
        <v>58</v>
      </c>
      <c r="AA40" s="209" t="s">
        <v>59</v>
      </c>
      <c r="AB40" s="178" t="s">
        <v>1230</v>
      </c>
      <c r="AC40" s="178" t="s">
        <v>60</v>
      </c>
      <c r="AD40" s="178" t="s">
        <v>92</v>
      </c>
      <c r="AE40" s="179" t="s">
        <v>1234</v>
      </c>
      <c r="AF40" s="179" t="s">
        <v>1237</v>
      </c>
      <c r="AG40" s="180"/>
      <c r="AH40" s="179"/>
      <c r="AI40" s="179" t="s">
        <v>1233</v>
      </c>
      <c r="AJ40" s="195"/>
      <c r="AK40" s="195"/>
      <c r="AL40" s="195"/>
      <c r="AM40" s="195"/>
      <c r="AN40" s="183">
        <f>IF(ISNUMBER(VLOOKUP(A40,NotghiID!A:A,1,FALSE)),1,0)</f>
        <v>1</v>
      </c>
    </row>
    <row r="41" spans="1:40" s="137" customFormat="1" ht="14.25" x14ac:dyDescent="0.2">
      <c r="A41" s="189">
        <v>294</v>
      </c>
      <c r="B41" s="206" t="str">
        <f>IF(AND(A41&lt;&gt;"",ISNUMBER(A41)),VLOOKUP(A41,Studies!A:BR,2,FALSE),"")</f>
        <v>Kharasch 2011</v>
      </c>
      <c r="C41" s="206" t="str">
        <f>IF(AND(A41&lt;&gt;"",ISNUMBER(A41)),VLOOKUP(A41,Studies!A:BR,3,FALSE),"")</f>
        <v>https://www.ncbi.nlm.nih.gov/pubmed/21562488</v>
      </c>
      <c r="D41" s="206" t="str">
        <f>IF(AND(A41&lt;&gt;"",ISNUMBER(A41)),VLOOKUP(A41,Studies!A:BR,4,FALSE),"")</f>
        <v>iv with Perpetrator (Rifampicin @ 5 mg)</v>
      </c>
      <c r="E41" s="141" t="str">
        <f>IF(AND(A41&lt;&gt;"",ISNUMBER(A41)),VLOOKUP(A41,Studies!A:BR,5,FALSE),"")</f>
        <v>Midazolam</v>
      </c>
      <c r="F41" s="188" t="s">
        <v>54</v>
      </c>
      <c r="G41" s="208" t="str">
        <f>IF(AND(A41&lt;&gt;"",ISNUMBER(A41)),VLOOKUP(A41,Studies!A:BR,13,FALSE),"")</f>
        <v>IV</v>
      </c>
      <c r="H41" s="140" t="str">
        <f t="shared" si="0"/>
        <v>PO</v>
      </c>
      <c r="I41" s="208" t="str">
        <f>IF(AND(A41&lt;&gt;"",ISNUMBER(A41)),VLOOKUP(A41,Studies!A:BR,6,FALSE),"")</f>
        <v>Plasma</v>
      </c>
      <c r="J41" s="189">
        <v>0.84</v>
      </c>
      <c r="K41" s="189" t="s">
        <v>1098</v>
      </c>
      <c r="L41" s="203">
        <v>0.13</v>
      </c>
      <c r="M41" s="123" t="s">
        <v>1238</v>
      </c>
      <c r="N41" s="195">
        <v>1.03225806</v>
      </c>
      <c r="O41" s="195" t="s">
        <v>389</v>
      </c>
      <c r="P41" s="204"/>
      <c r="Q41" s="204"/>
      <c r="R41" s="184">
        <v>0</v>
      </c>
      <c r="S41" s="185" t="s">
        <v>1023</v>
      </c>
      <c r="T41" s="186">
        <v>108</v>
      </c>
      <c r="U41" s="187" t="s">
        <v>1023</v>
      </c>
      <c r="V41" s="188" t="s">
        <v>60</v>
      </c>
      <c r="W41" s="183"/>
      <c r="X41" s="178">
        <v>5</v>
      </c>
      <c r="Y41" s="182"/>
      <c r="Z41" s="182" t="s">
        <v>58</v>
      </c>
      <c r="AA41" s="178" t="s">
        <v>59</v>
      </c>
      <c r="AB41" s="178" t="s">
        <v>1239</v>
      </c>
      <c r="AC41" s="178" t="s">
        <v>60</v>
      </c>
      <c r="AD41" s="178" t="s">
        <v>92</v>
      </c>
      <c r="AE41" s="179" t="s">
        <v>1240</v>
      </c>
      <c r="AF41" s="179" t="s">
        <v>1241</v>
      </c>
      <c r="AG41" s="180"/>
      <c r="AH41" s="179"/>
      <c r="AI41" s="179" t="s">
        <v>1242</v>
      </c>
      <c r="AJ41" s="195"/>
      <c r="AK41" s="195"/>
      <c r="AL41" s="195"/>
      <c r="AM41" s="195"/>
      <c r="AN41" s="183">
        <f>IF(ISNUMBER(VLOOKUP(A41,NotghiID!A:A,1,FALSE)),1,0)</f>
        <v>1</v>
      </c>
    </row>
    <row r="42" spans="1:40" s="137" customFormat="1" ht="14.25" x14ac:dyDescent="0.2">
      <c r="A42" s="189">
        <v>295</v>
      </c>
      <c r="B42" s="206" t="str">
        <f>IF(AND(A42&lt;&gt;"",ISNUMBER(A42)),VLOOKUP(A42,Studies!A:BR,2,FALSE),"")</f>
        <v>Kharasch 2011</v>
      </c>
      <c r="C42" s="206" t="str">
        <f>IF(AND(A42&lt;&gt;"",ISNUMBER(A42)),VLOOKUP(A42,Studies!A:BR,3,FALSE),"")</f>
        <v>https://www.ncbi.nlm.nih.gov/pubmed/21562488</v>
      </c>
      <c r="D42" s="206" t="str">
        <f>IF(AND(A42&lt;&gt;"",ISNUMBER(A42)),VLOOKUP(A42,Studies!A:BR,4,FALSE),"")</f>
        <v>iv with Perpetrator (Rifampicin @ 10 mg)</v>
      </c>
      <c r="E42" s="141" t="str">
        <f>IF(AND(A42&lt;&gt;"",ISNUMBER(A42)),VLOOKUP(A42,Studies!A:BR,5,FALSE),"")</f>
        <v>Midazolam</v>
      </c>
      <c r="F42" s="188" t="s">
        <v>54</v>
      </c>
      <c r="G42" s="208" t="str">
        <f>IF(AND(A42&lt;&gt;"",ISNUMBER(A42)),VLOOKUP(A42,Studies!A:BR,13,FALSE),"")</f>
        <v>IV</v>
      </c>
      <c r="H42" s="140" t="str">
        <f t="shared" si="0"/>
        <v>PO</v>
      </c>
      <c r="I42" s="208" t="str">
        <f>IF(AND(A42&lt;&gt;"",ISNUMBER(A42)),VLOOKUP(A42,Studies!A:BR,6,FALSE),"")</f>
        <v>Plasma</v>
      </c>
      <c r="J42" s="189">
        <v>0.77</v>
      </c>
      <c r="K42" s="189" t="s">
        <v>1098</v>
      </c>
      <c r="L42" s="203">
        <v>0.12</v>
      </c>
      <c r="M42" s="123" t="s">
        <v>1238</v>
      </c>
      <c r="N42" s="195">
        <v>1.064516129</v>
      </c>
      <c r="O42" s="195" t="s">
        <v>389</v>
      </c>
      <c r="P42" s="204"/>
      <c r="Q42" s="204"/>
      <c r="R42" s="184">
        <v>0</v>
      </c>
      <c r="S42" s="185" t="s">
        <v>1023</v>
      </c>
      <c r="T42" s="186">
        <v>108</v>
      </c>
      <c r="U42" s="187" t="s">
        <v>1023</v>
      </c>
      <c r="V42" s="188" t="s">
        <v>60</v>
      </c>
      <c r="W42" s="183"/>
      <c r="X42" s="178">
        <v>10</v>
      </c>
      <c r="Y42" s="182"/>
      <c r="Z42" s="182" t="s">
        <v>58</v>
      </c>
      <c r="AA42" s="178" t="s">
        <v>59</v>
      </c>
      <c r="AB42" s="178" t="s">
        <v>1239</v>
      </c>
      <c r="AC42" s="178" t="s">
        <v>60</v>
      </c>
      <c r="AD42" s="178" t="s">
        <v>92</v>
      </c>
      <c r="AE42" s="179" t="s">
        <v>1240</v>
      </c>
      <c r="AF42" s="179" t="s">
        <v>1241</v>
      </c>
      <c r="AG42" s="180"/>
      <c r="AH42" s="179"/>
      <c r="AI42" s="179" t="s">
        <v>1242</v>
      </c>
      <c r="AJ42" s="195"/>
      <c r="AK42" s="195"/>
      <c r="AL42" s="195"/>
      <c r="AM42" s="195"/>
      <c r="AN42" s="183">
        <f>IF(ISNUMBER(VLOOKUP(A42,NotghiID!A:A,1,FALSE)),1,0)</f>
        <v>1</v>
      </c>
    </row>
    <row r="43" spans="1:40" s="137" customFormat="1" ht="14.25" x14ac:dyDescent="0.2">
      <c r="A43" s="189">
        <v>296</v>
      </c>
      <c r="B43" s="206" t="str">
        <f>IF(AND(A43&lt;&gt;"",ISNUMBER(A43)),VLOOKUP(A43,Studies!A:BR,2,FALSE),"")</f>
        <v>Kharasch 2011</v>
      </c>
      <c r="C43" s="206" t="str">
        <f>IF(AND(A43&lt;&gt;"",ISNUMBER(A43)),VLOOKUP(A43,Studies!A:BR,3,FALSE),"")</f>
        <v>https://www.ncbi.nlm.nih.gov/pubmed/21562488</v>
      </c>
      <c r="D43" s="206" t="str">
        <f>IF(AND(A43&lt;&gt;"",ISNUMBER(A43)),VLOOKUP(A43,Studies!A:BR,4,FALSE),"")</f>
        <v>iv with Perpetrator (Rifampicin @ 25 mg)</v>
      </c>
      <c r="E43" s="141" t="str">
        <f>IF(AND(A43&lt;&gt;"",ISNUMBER(A43)),VLOOKUP(A43,Studies!A:BR,5,FALSE),"")</f>
        <v>Midazolam</v>
      </c>
      <c r="F43" s="188" t="s">
        <v>54</v>
      </c>
      <c r="G43" s="208" t="str">
        <f>IF(AND(A43&lt;&gt;"",ISNUMBER(A43)),VLOOKUP(A43,Studies!A:BR,13,FALSE),"")</f>
        <v>IV</v>
      </c>
      <c r="H43" s="140" t="str">
        <f t="shared" si="0"/>
        <v>PO</v>
      </c>
      <c r="I43" s="208" t="str">
        <f>IF(AND(A43&lt;&gt;"",ISNUMBER(A43)),VLOOKUP(A43,Studies!A:BR,6,FALSE),"")</f>
        <v>Plasma</v>
      </c>
      <c r="J43" s="189">
        <v>0.63</v>
      </c>
      <c r="K43" s="189" t="s">
        <v>1098</v>
      </c>
      <c r="L43" s="203">
        <v>0.11</v>
      </c>
      <c r="M43" s="123" t="s">
        <v>1238</v>
      </c>
      <c r="N43" s="195">
        <v>0.83870967699999999</v>
      </c>
      <c r="O43" s="195" t="s">
        <v>389</v>
      </c>
      <c r="P43" s="204"/>
      <c r="Q43" s="204"/>
      <c r="R43" s="184">
        <v>0</v>
      </c>
      <c r="S43" s="185" t="s">
        <v>1023</v>
      </c>
      <c r="T43" s="186">
        <v>108</v>
      </c>
      <c r="U43" s="187" t="s">
        <v>1023</v>
      </c>
      <c r="V43" s="188" t="s">
        <v>60</v>
      </c>
      <c r="W43" s="183"/>
      <c r="X43" s="178">
        <v>25</v>
      </c>
      <c r="Y43" s="182"/>
      <c r="Z43" s="182" t="s">
        <v>58</v>
      </c>
      <c r="AA43" s="178" t="s">
        <v>59</v>
      </c>
      <c r="AB43" s="178" t="s">
        <v>1239</v>
      </c>
      <c r="AC43" s="178" t="s">
        <v>60</v>
      </c>
      <c r="AD43" s="178" t="s">
        <v>92</v>
      </c>
      <c r="AE43" s="179" t="s">
        <v>1240</v>
      </c>
      <c r="AF43" s="179" t="s">
        <v>1241</v>
      </c>
      <c r="AG43" s="180"/>
      <c r="AH43" s="179"/>
      <c r="AI43" s="179" t="s">
        <v>1242</v>
      </c>
      <c r="AJ43" s="195"/>
      <c r="AK43" s="195"/>
      <c r="AL43" s="195"/>
      <c r="AM43" s="195"/>
      <c r="AN43" s="183">
        <f>IF(ISNUMBER(VLOOKUP(A43,NotghiID!A:A,1,FALSE)),1,0)</f>
        <v>1</v>
      </c>
    </row>
    <row r="44" spans="1:40" s="137" customFormat="1" ht="14.25" x14ac:dyDescent="0.2">
      <c r="A44" s="189">
        <v>297</v>
      </c>
      <c r="B44" s="206" t="str">
        <f>IF(AND(A44&lt;&gt;"",ISNUMBER(A44)),VLOOKUP(A44,Studies!A:BR,2,FALSE),"")</f>
        <v>Kharasch 2011</v>
      </c>
      <c r="C44" s="206" t="str">
        <f>IF(AND(A44&lt;&gt;"",ISNUMBER(A44)),VLOOKUP(A44,Studies!A:BR,3,FALSE),"")</f>
        <v>https://www.ncbi.nlm.nih.gov/pubmed/21562488</v>
      </c>
      <c r="D44" s="206" t="str">
        <f>IF(AND(A44&lt;&gt;"",ISNUMBER(A44)),VLOOKUP(A44,Studies!A:BR,4,FALSE),"")</f>
        <v>iv with Perpetrator (Rifampicin @ 75 mg)</v>
      </c>
      <c r="E44" s="141" t="str">
        <f>IF(AND(A44&lt;&gt;"",ISNUMBER(A44)),VLOOKUP(A44,Studies!A:BR,5,FALSE),"")</f>
        <v>Midazolam</v>
      </c>
      <c r="F44" s="188" t="s">
        <v>54</v>
      </c>
      <c r="G44" s="208" t="str">
        <f>IF(AND(A44&lt;&gt;"",ISNUMBER(A44)),VLOOKUP(A44,Studies!A:BR,13,FALSE),"")</f>
        <v>IV</v>
      </c>
      <c r="H44" s="140" t="str">
        <f t="shared" si="0"/>
        <v>PO</v>
      </c>
      <c r="I44" s="208" t="str">
        <f>IF(AND(A44&lt;&gt;"",ISNUMBER(A44)),VLOOKUP(A44,Studies!A:BR,6,FALSE),"")</f>
        <v>Plasma</v>
      </c>
      <c r="J44" s="189">
        <v>0.6</v>
      </c>
      <c r="K44" s="189" t="s">
        <v>1098</v>
      </c>
      <c r="L44" s="203">
        <v>0.12</v>
      </c>
      <c r="M44" s="123" t="s">
        <v>1238</v>
      </c>
      <c r="N44" s="195">
        <v>1.3225806449999999</v>
      </c>
      <c r="O44" s="195" t="s">
        <v>389</v>
      </c>
      <c r="P44" s="204"/>
      <c r="Q44" s="204"/>
      <c r="R44" s="184">
        <v>0</v>
      </c>
      <c r="S44" s="185" t="s">
        <v>1023</v>
      </c>
      <c r="T44" s="186">
        <v>108</v>
      </c>
      <c r="U44" s="187" t="s">
        <v>1023</v>
      </c>
      <c r="V44" s="188" t="s">
        <v>60</v>
      </c>
      <c r="W44" s="183"/>
      <c r="X44" s="178">
        <v>75</v>
      </c>
      <c r="Y44" s="182"/>
      <c r="Z44" s="182" t="s">
        <v>58</v>
      </c>
      <c r="AA44" s="178" t="s">
        <v>59</v>
      </c>
      <c r="AB44" s="178" t="s">
        <v>1239</v>
      </c>
      <c r="AC44" s="178" t="s">
        <v>60</v>
      </c>
      <c r="AD44" s="178" t="s">
        <v>92</v>
      </c>
      <c r="AE44" s="179" t="s">
        <v>1240</v>
      </c>
      <c r="AF44" s="179" t="s">
        <v>1241</v>
      </c>
      <c r="AG44" s="180"/>
      <c r="AH44" s="179"/>
      <c r="AI44" s="179" t="s">
        <v>1242</v>
      </c>
      <c r="AJ44" s="195"/>
      <c r="AK44" s="195"/>
      <c r="AL44" s="195"/>
      <c r="AM44" s="195"/>
      <c r="AN44" s="183">
        <f>IF(ISNUMBER(VLOOKUP(A44,NotghiID!A:A,1,FALSE)),1,0)</f>
        <v>1</v>
      </c>
    </row>
    <row r="45" spans="1:40" s="137" customFormat="1" ht="14.25" x14ac:dyDescent="0.2">
      <c r="A45" s="189">
        <v>299</v>
      </c>
      <c r="B45" s="206" t="str">
        <f>IF(AND(A45&lt;&gt;"",ISNUMBER(A45)),VLOOKUP(A45,Studies!A:BR,2,FALSE),"")</f>
        <v>Kharasch 2011</v>
      </c>
      <c r="C45" s="206" t="str">
        <f>IF(AND(A45&lt;&gt;"",ISNUMBER(A45)),VLOOKUP(A45,Studies!A:BR,3,FALSE),"")</f>
        <v>https://www.ncbi.nlm.nih.gov/pubmed/21562488</v>
      </c>
      <c r="D45" s="206" t="str">
        <f>IF(AND(A45&lt;&gt;"",ISNUMBER(A45)),VLOOKUP(A45,Studies!A:BR,4,FALSE),"")</f>
        <v>iv with Perpetrator (Rifampicin @ 5 mg)</v>
      </c>
      <c r="E45" s="141" t="str">
        <f>IF(AND(A45&lt;&gt;"",ISNUMBER(A45)),VLOOKUP(A45,Studies!A:BR,5,FALSE),"")</f>
        <v>Alfentanil</v>
      </c>
      <c r="F45" s="188" t="s">
        <v>54</v>
      </c>
      <c r="G45" s="208" t="str">
        <f>IF(AND(A45&lt;&gt;"",ISNUMBER(A45)),VLOOKUP(A45,Studies!A:BR,13,FALSE),"")</f>
        <v>IV</v>
      </c>
      <c r="H45" s="140" t="str">
        <f t="shared" si="0"/>
        <v>PO</v>
      </c>
      <c r="I45" s="208" t="str">
        <f>IF(AND(A45&lt;&gt;"",ISNUMBER(A45)),VLOOKUP(A45,Studies!A:BR,6,FALSE),"")</f>
        <v>Plasma</v>
      </c>
      <c r="J45" s="189">
        <v>0.83</v>
      </c>
      <c r="K45" s="189" t="s">
        <v>1098</v>
      </c>
      <c r="L45" s="203">
        <v>0.16</v>
      </c>
      <c r="M45" s="123" t="s">
        <v>1238</v>
      </c>
      <c r="N45" s="195">
        <v>1.0392156859999999</v>
      </c>
      <c r="O45" s="195" t="s">
        <v>389</v>
      </c>
      <c r="P45" s="204"/>
      <c r="Q45" s="204"/>
      <c r="R45" s="184">
        <v>0</v>
      </c>
      <c r="S45" s="185" t="s">
        <v>1023</v>
      </c>
      <c r="T45" s="186">
        <v>109</v>
      </c>
      <c r="U45" s="187" t="s">
        <v>1023</v>
      </c>
      <c r="V45" s="188" t="s">
        <v>60</v>
      </c>
      <c r="W45" s="183"/>
      <c r="X45" s="178">
        <v>5</v>
      </c>
      <c r="Y45" s="182"/>
      <c r="Z45" s="182" t="s">
        <v>58</v>
      </c>
      <c r="AA45" s="178" t="s">
        <v>59</v>
      </c>
      <c r="AB45" s="178" t="s">
        <v>1239</v>
      </c>
      <c r="AC45" s="178" t="s">
        <v>60</v>
      </c>
      <c r="AD45" s="178" t="s">
        <v>92</v>
      </c>
      <c r="AE45" s="179" t="s">
        <v>1240</v>
      </c>
      <c r="AF45" s="179" t="s">
        <v>1241</v>
      </c>
      <c r="AG45" s="180"/>
      <c r="AH45" s="179"/>
      <c r="AI45" s="179" t="s">
        <v>1242</v>
      </c>
      <c r="AJ45" s="195"/>
      <c r="AK45" s="195"/>
      <c r="AL45" s="195"/>
      <c r="AM45" s="195"/>
      <c r="AN45" s="183">
        <f>IF(ISNUMBER(VLOOKUP(A45,NotghiID!A:A,1,FALSE)),1,0)</f>
        <v>1</v>
      </c>
    </row>
    <row r="46" spans="1:40" s="137" customFormat="1" ht="14.25" x14ac:dyDescent="0.2">
      <c r="A46" s="189">
        <v>300</v>
      </c>
      <c r="B46" s="206" t="str">
        <f>IF(AND(A46&lt;&gt;"",ISNUMBER(A46)),VLOOKUP(A46,Studies!A:BR,2,FALSE),"")</f>
        <v>Kharasch 2011</v>
      </c>
      <c r="C46" s="206" t="str">
        <f>IF(AND(A46&lt;&gt;"",ISNUMBER(A46)),VLOOKUP(A46,Studies!A:BR,3,FALSE),"")</f>
        <v>https://www.ncbi.nlm.nih.gov/pubmed/21562488</v>
      </c>
      <c r="D46" s="206" t="str">
        <f>IF(AND(A46&lt;&gt;"",ISNUMBER(A46)),VLOOKUP(A46,Studies!A:BR,4,FALSE),"")</f>
        <v>iv with Perpetrator (Rifampicin @ 10 mg)</v>
      </c>
      <c r="E46" s="141" t="str">
        <f>IF(AND(A46&lt;&gt;"",ISNUMBER(A46)),VLOOKUP(A46,Studies!A:BR,5,FALSE),"")</f>
        <v>Alfentanil</v>
      </c>
      <c r="F46" s="188" t="s">
        <v>54</v>
      </c>
      <c r="G46" s="208" t="str">
        <f>IF(AND(A46&lt;&gt;"",ISNUMBER(A46)),VLOOKUP(A46,Studies!A:BR,13,FALSE),"")</f>
        <v>IV</v>
      </c>
      <c r="H46" s="140" t="str">
        <f t="shared" si="0"/>
        <v>PO</v>
      </c>
      <c r="I46" s="208" t="str">
        <f>IF(AND(A46&lt;&gt;"",ISNUMBER(A46)),VLOOKUP(A46,Studies!A:BR,6,FALSE),"")</f>
        <v>Plasma</v>
      </c>
      <c r="J46" s="189">
        <v>0.75</v>
      </c>
      <c r="K46" s="189" t="s">
        <v>1098</v>
      </c>
      <c r="L46" s="203">
        <v>0.15</v>
      </c>
      <c r="M46" s="123" t="s">
        <v>1238</v>
      </c>
      <c r="N46" s="195">
        <v>1.0490196078</v>
      </c>
      <c r="O46" s="195" t="s">
        <v>389</v>
      </c>
      <c r="P46" s="204"/>
      <c r="Q46" s="204"/>
      <c r="R46" s="184">
        <v>0</v>
      </c>
      <c r="S46" s="185" t="s">
        <v>1023</v>
      </c>
      <c r="T46" s="186">
        <v>109</v>
      </c>
      <c r="U46" s="187" t="s">
        <v>1023</v>
      </c>
      <c r="V46" s="188" t="s">
        <v>60</v>
      </c>
      <c r="W46" s="183"/>
      <c r="X46" s="178">
        <v>10</v>
      </c>
      <c r="Y46" s="182"/>
      <c r="Z46" s="182" t="s">
        <v>58</v>
      </c>
      <c r="AA46" s="178" t="s">
        <v>59</v>
      </c>
      <c r="AB46" s="178" t="s">
        <v>1239</v>
      </c>
      <c r="AC46" s="178" t="s">
        <v>60</v>
      </c>
      <c r="AD46" s="178" t="s">
        <v>92</v>
      </c>
      <c r="AE46" s="179" t="s">
        <v>1240</v>
      </c>
      <c r="AF46" s="179" t="s">
        <v>1241</v>
      </c>
      <c r="AG46" s="180"/>
      <c r="AH46" s="179"/>
      <c r="AI46" s="179" t="s">
        <v>1242</v>
      </c>
      <c r="AJ46" s="195"/>
      <c r="AK46" s="195"/>
      <c r="AL46" s="195"/>
      <c r="AM46" s="195"/>
      <c r="AN46" s="183">
        <f>IF(ISNUMBER(VLOOKUP(A46,NotghiID!A:A,1,FALSE)),1,0)</f>
        <v>1</v>
      </c>
    </row>
    <row r="47" spans="1:40" s="137" customFormat="1" ht="14.25" x14ac:dyDescent="0.2">
      <c r="A47" s="189">
        <v>301</v>
      </c>
      <c r="B47" s="206" t="str">
        <f>IF(AND(A47&lt;&gt;"",ISNUMBER(A47)),VLOOKUP(A47,Studies!A:BR,2,FALSE),"")</f>
        <v>Kharasch 2011</v>
      </c>
      <c r="C47" s="206" t="str">
        <f>IF(AND(A47&lt;&gt;"",ISNUMBER(A47)),VLOOKUP(A47,Studies!A:BR,3,FALSE),"")</f>
        <v>https://www.ncbi.nlm.nih.gov/pubmed/21562488</v>
      </c>
      <c r="D47" s="206" t="str">
        <f>IF(AND(A47&lt;&gt;"",ISNUMBER(A47)),VLOOKUP(A47,Studies!A:BR,4,FALSE),"")</f>
        <v>iv with Perpetrator (Rifampicin @ 25 mg)</v>
      </c>
      <c r="E47" s="141" t="str">
        <f>IF(AND(A47&lt;&gt;"",ISNUMBER(A47)),VLOOKUP(A47,Studies!A:BR,5,FALSE),"")</f>
        <v>Alfentanil</v>
      </c>
      <c r="F47" s="188" t="s">
        <v>54</v>
      </c>
      <c r="G47" s="208" t="str">
        <f>IF(AND(A47&lt;&gt;"",ISNUMBER(A47)),VLOOKUP(A47,Studies!A:BR,13,FALSE),"")</f>
        <v>IV</v>
      </c>
      <c r="H47" s="140" t="str">
        <f t="shared" si="0"/>
        <v>PO</v>
      </c>
      <c r="I47" s="208" t="str">
        <f>IF(AND(A47&lt;&gt;"",ISNUMBER(A47)),VLOOKUP(A47,Studies!A:BR,6,FALSE),"")</f>
        <v>Plasma</v>
      </c>
      <c r="J47" s="189">
        <v>0.59</v>
      </c>
      <c r="K47" s="189" t="s">
        <v>1098</v>
      </c>
      <c r="L47" s="203">
        <v>0.12</v>
      </c>
      <c r="M47" s="123" t="s">
        <v>1238</v>
      </c>
      <c r="N47" s="195">
        <v>1</v>
      </c>
      <c r="O47" s="195" t="s">
        <v>389</v>
      </c>
      <c r="P47" s="204"/>
      <c r="Q47" s="204"/>
      <c r="R47" s="184">
        <v>0</v>
      </c>
      <c r="S47" s="185" t="s">
        <v>1023</v>
      </c>
      <c r="T47" s="186">
        <v>109</v>
      </c>
      <c r="U47" s="187" t="s">
        <v>1023</v>
      </c>
      <c r="V47" s="188" t="s">
        <v>60</v>
      </c>
      <c r="W47" s="183"/>
      <c r="X47" s="178">
        <v>25</v>
      </c>
      <c r="Y47" s="182"/>
      <c r="Z47" s="182" t="s">
        <v>58</v>
      </c>
      <c r="AA47" s="178" t="s">
        <v>59</v>
      </c>
      <c r="AB47" s="178" t="s">
        <v>1239</v>
      </c>
      <c r="AC47" s="178" t="s">
        <v>60</v>
      </c>
      <c r="AD47" s="178" t="s">
        <v>92</v>
      </c>
      <c r="AE47" s="179" t="s">
        <v>1240</v>
      </c>
      <c r="AF47" s="179" t="s">
        <v>1241</v>
      </c>
      <c r="AG47" s="180"/>
      <c r="AH47" s="179"/>
      <c r="AI47" s="179" t="s">
        <v>1242</v>
      </c>
      <c r="AJ47" s="195"/>
      <c r="AK47" s="195"/>
      <c r="AL47" s="195"/>
      <c r="AM47" s="195"/>
      <c r="AN47" s="183">
        <f>IF(ISNUMBER(VLOOKUP(A47,NotghiID!A:A,1,FALSE)),1,0)</f>
        <v>1</v>
      </c>
    </row>
    <row r="48" spans="1:40" s="137" customFormat="1" ht="14.25" x14ac:dyDescent="0.2">
      <c r="A48" s="189">
        <v>302</v>
      </c>
      <c r="B48" s="206" t="str">
        <f>IF(AND(A48&lt;&gt;"",ISNUMBER(A48)),VLOOKUP(A48,Studies!A:BR,2,FALSE),"")</f>
        <v>Kharasch 2011</v>
      </c>
      <c r="C48" s="206" t="str">
        <f>IF(AND(A48&lt;&gt;"",ISNUMBER(A48)),VLOOKUP(A48,Studies!A:BR,3,FALSE),"")</f>
        <v>https://www.ncbi.nlm.nih.gov/pubmed/21562488</v>
      </c>
      <c r="D48" s="206" t="str">
        <f>IF(AND(A48&lt;&gt;"",ISNUMBER(A48)),VLOOKUP(A48,Studies!A:BR,4,FALSE),"")</f>
        <v>iv with Perpetrator (Rifampicin @ 75 mg)</v>
      </c>
      <c r="E48" s="141" t="str">
        <f>IF(AND(A48&lt;&gt;"",ISNUMBER(A48)),VLOOKUP(A48,Studies!A:BR,5,FALSE),"")</f>
        <v>Alfentanil</v>
      </c>
      <c r="F48" s="188" t="s">
        <v>54</v>
      </c>
      <c r="G48" s="208" t="str">
        <f>IF(AND(A48&lt;&gt;"",ISNUMBER(A48)),VLOOKUP(A48,Studies!A:BR,13,FALSE),"")</f>
        <v>IV</v>
      </c>
      <c r="H48" s="140" t="str">
        <f t="shared" si="0"/>
        <v>PO</v>
      </c>
      <c r="I48" s="208" t="str">
        <f>IF(AND(A48&lt;&gt;"",ISNUMBER(A48)),VLOOKUP(A48,Studies!A:BR,6,FALSE),"")</f>
        <v>Plasma</v>
      </c>
      <c r="J48" s="189">
        <v>0.51</v>
      </c>
      <c r="K48" s="189" t="s">
        <v>1098</v>
      </c>
      <c r="L48" s="203">
        <v>0.12</v>
      </c>
      <c r="M48" s="123" t="s">
        <v>1238</v>
      </c>
      <c r="N48" s="195">
        <v>1.0294117647000001</v>
      </c>
      <c r="O48" s="195" t="s">
        <v>389</v>
      </c>
      <c r="P48" s="204"/>
      <c r="Q48" s="204"/>
      <c r="R48" s="184">
        <v>0</v>
      </c>
      <c r="S48" s="185" t="s">
        <v>1023</v>
      </c>
      <c r="T48" s="186">
        <v>109</v>
      </c>
      <c r="U48" s="187" t="s">
        <v>1023</v>
      </c>
      <c r="V48" s="188" t="s">
        <v>60</v>
      </c>
      <c r="W48" s="183"/>
      <c r="X48" s="178">
        <v>75</v>
      </c>
      <c r="Y48" s="182"/>
      <c r="Z48" s="182" t="s">
        <v>58</v>
      </c>
      <c r="AA48" s="178" t="s">
        <v>59</v>
      </c>
      <c r="AB48" s="178" t="s">
        <v>1239</v>
      </c>
      <c r="AC48" s="178" t="s">
        <v>60</v>
      </c>
      <c r="AD48" s="178" t="s">
        <v>92</v>
      </c>
      <c r="AE48" s="179" t="s">
        <v>1240</v>
      </c>
      <c r="AF48" s="179" t="s">
        <v>1241</v>
      </c>
      <c r="AG48" s="180"/>
      <c r="AH48" s="179"/>
      <c r="AI48" s="179" t="s">
        <v>1242</v>
      </c>
      <c r="AJ48" s="195"/>
      <c r="AK48" s="195"/>
      <c r="AL48" s="195"/>
      <c r="AM48" s="195"/>
      <c r="AN48" s="183">
        <f>IF(ISNUMBER(VLOOKUP(A48,NotghiID!A:A,1,FALSE)),1,0)</f>
        <v>1</v>
      </c>
    </row>
    <row r="49" spans="1:40" s="137" customFormat="1" ht="14.25" x14ac:dyDescent="0.2">
      <c r="A49" s="189">
        <v>304</v>
      </c>
      <c r="B49" s="206" t="str">
        <f>IF(AND(A49&lt;&gt;"",ISNUMBER(A49)),VLOOKUP(A49,Studies!A:BR,2,FALSE),"")</f>
        <v>Kharasch 2011</v>
      </c>
      <c r="C49" s="206" t="str">
        <f>IF(AND(A49&lt;&gt;"",ISNUMBER(A49)),VLOOKUP(A49,Studies!A:BR,3,FALSE),"")</f>
        <v>https://www.ncbi.nlm.nih.gov/pubmed/21562488</v>
      </c>
      <c r="D49" s="206" t="str">
        <f>IF(AND(A49&lt;&gt;"",ISNUMBER(A49)),VLOOKUP(A49,Studies!A:BR,4,FALSE),"")</f>
        <v>po with Perpetrator (Rifampicin @ 5 mg)</v>
      </c>
      <c r="E49" s="141" t="str">
        <f>IF(AND(A49&lt;&gt;"",ISNUMBER(A49)),VLOOKUP(A49,Studies!A:BR,5,FALSE),"")</f>
        <v>Midazolam</v>
      </c>
      <c r="F49" s="188" t="s">
        <v>54</v>
      </c>
      <c r="G49" s="208" t="str">
        <f>IF(AND(A49&lt;&gt;"",ISNUMBER(A49)),VLOOKUP(A49,Studies!A:BR,13,FALSE),"")</f>
        <v>PO</v>
      </c>
      <c r="H49" s="140" t="str">
        <f t="shared" si="0"/>
        <v>PO</v>
      </c>
      <c r="I49" s="208" t="str">
        <f>IF(AND(A49&lt;&gt;"",ISNUMBER(A49)),VLOOKUP(A49,Studies!A:BR,6,FALSE),"")</f>
        <v>Plasma</v>
      </c>
      <c r="J49" s="189">
        <v>0.8</v>
      </c>
      <c r="K49" s="189" t="s">
        <v>1098</v>
      </c>
      <c r="L49" s="203">
        <v>0.19</v>
      </c>
      <c r="M49" s="123" t="s">
        <v>1238</v>
      </c>
      <c r="N49" s="195">
        <v>0.8</v>
      </c>
      <c r="O49" s="195" t="s">
        <v>389</v>
      </c>
      <c r="P49" s="204"/>
      <c r="Q49" s="204"/>
      <c r="R49" s="184">
        <v>0</v>
      </c>
      <c r="S49" s="185" t="s">
        <v>1023</v>
      </c>
      <c r="T49" s="186">
        <v>132</v>
      </c>
      <c r="U49" s="187" t="s">
        <v>1023</v>
      </c>
      <c r="V49" s="188" t="s">
        <v>60</v>
      </c>
      <c r="W49" s="183"/>
      <c r="X49" s="178">
        <v>5</v>
      </c>
      <c r="Y49" s="182"/>
      <c r="Z49" s="182" t="s">
        <v>58</v>
      </c>
      <c r="AA49" s="178" t="s">
        <v>59</v>
      </c>
      <c r="AB49" s="178" t="s">
        <v>1239</v>
      </c>
      <c r="AC49" s="178" t="s">
        <v>60</v>
      </c>
      <c r="AD49" s="178" t="s">
        <v>92</v>
      </c>
      <c r="AE49" s="179" t="s">
        <v>1240</v>
      </c>
      <c r="AF49" s="179" t="s">
        <v>1241</v>
      </c>
      <c r="AG49" s="180"/>
      <c r="AH49" s="179"/>
      <c r="AI49" s="179" t="s">
        <v>1242</v>
      </c>
      <c r="AJ49" s="195"/>
      <c r="AK49" s="195"/>
      <c r="AL49" s="195"/>
      <c r="AM49" s="195"/>
      <c r="AN49" s="183">
        <f>IF(ISNUMBER(VLOOKUP(A49,NotghiID!A:A,1,FALSE)),1,0)</f>
        <v>1</v>
      </c>
    </row>
    <row r="50" spans="1:40" s="137" customFormat="1" ht="14.25" x14ac:dyDescent="0.2">
      <c r="A50" s="189">
        <v>305</v>
      </c>
      <c r="B50" s="206" t="str">
        <f>IF(AND(A50&lt;&gt;"",ISNUMBER(A50)),VLOOKUP(A50,Studies!A:BR,2,FALSE),"")</f>
        <v>Kharasch 2011</v>
      </c>
      <c r="C50" s="206" t="str">
        <f>IF(AND(A50&lt;&gt;"",ISNUMBER(A50)),VLOOKUP(A50,Studies!A:BR,3,FALSE),"")</f>
        <v>https://www.ncbi.nlm.nih.gov/pubmed/21562488</v>
      </c>
      <c r="D50" s="206" t="str">
        <f>IF(AND(A50&lt;&gt;"",ISNUMBER(A50)),VLOOKUP(A50,Studies!A:BR,4,FALSE),"")</f>
        <v>po with Perpetrator (Rifampicin @ 10 mg)</v>
      </c>
      <c r="E50" s="141" t="str">
        <f>IF(AND(A50&lt;&gt;"",ISNUMBER(A50)),VLOOKUP(A50,Studies!A:BR,5,FALSE),"")</f>
        <v>Midazolam</v>
      </c>
      <c r="F50" s="188" t="s">
        <v>54</v>
      </c>
      <c r="G50" s="208" t="str">
        <f>IF(AND(A50&lt;&gt;"",ISNUMBER(A50)),VLOOKUP(A50,Studies!A:BR,13,FALSE),"")</f>
        <v>PO</v>
      </c>
      <c r="H50" s="140" t="str">
        <f t="shared" si="0"/>
        <v>PO</v>
      </c>
      <c r="I50" s="208" t="str">
        <f>IF(AND(A50&lt;&gt;"",ISNUMBER(A50)),VLOOKUP(A50,Studies!A:BR,6,FALSE),"")</f>
        <v>Plasma</v>
      </c>
      <c r="J50" s="189">
        <v>0.68</v>
      </c>
      <c r="K50" s="189" t="s">
        <v>1098</v>
      </c>
      <c r="L50" s="203">
        <v>0.17</v>
      </c>
      <c r="M50" s="123" t="s">
        <v>1238</v>
      </c>
      <c r="N50" s="195">
        <v>0.93333332999999996</v>
      </c>
      <c r="O50" s="195" t="s">
        <v>389</v>
      </c>
      <c r="P50" s="204"/>
      <c r="Q50" s="204"/>
      <c r="R50" s="184">
        <v>0</v>
      </c>
      <c r="S50" s="185" t="s">
        <v>1023</v>
      </c>
      <c r="T50" s="186">
        <v>132</v>
      </c>
      <c r="U50" s="187" t="s">
        <v>1023</v>
      </c>
      <c r="V50" s="188" t="s">
        <v>60</v>
      </c>
      <c r="W50" s="183"/>
      <c r="X50" s="178">
        <v>10</v>
      </c>
      <c r="Y50" s="182"/>
      <c r="Z50" s="182" t="s">
        <v>58</v>
      </c>
      <c r="AA50" s="178" t="s">
        <v>59</v>
      </c>
      <c r="AB50" s="178" t="s">
        <v>1239</v>
      </c>
      <c r="AC50" s="178" t="s">
        <v>60</v>
      </c>
      <c r="AD50" s="178" t="s">
        <v>92</v>
      </c>
      <c r="AE50" s="179" t="s">
        <v>1240</v>
      </c>
      <c r="AF50" s="179" t="s">
        <v>1241</v>
      </c>
      <c r="AG50" s="180"/>
      <c r="AH50" s="179"/>
      <c r="AI50" s="179" t="s">
        <v>1242</v>
      </c>
      <c r="AJ50" s="195"/>
      <c r="AK50" s="195"/>
      <c r="AL50" s="195"/>
      <c r="AM50" s="195"/>
      <c r="AN50" s="183">
        <f>IF(ISNUMBER(VLOOKUP(A50,NotghiID!A:A,1,FALSE)),1,0)</f>
        <v>1</v>
      </c>
    </row>
    <row r="51" spans="1:40" s="137" customFormat="1" ht="14.25" x14ac:dyDescent="0.2">
      <c r="A51" s="189">
        <v>306</v>
      </c>
      <c r="B51" s="206" t="str">
        <f>IF(AND(A51&lt;&gt;"",ISNUMBER(A51)),VLOOKUP(A51,Studies!A:BR,2,FALSE),"")</f>
        <v>Kharasch 2011</v>
      </c>
      <c r="C51" s="206" t="str">
        <f>IF(AND(A51&lt;&gt;"",ISNUMBER(A51)),VLOOKUP(A51,Studies!A:BR,3,FALSE),"")</f>
        <v>https://www.ncbi.nlm.nih.gov/pubmed/21562488</v>
      </c>
      <c r="D51" s="206" t="str">
        <f>IF(AND(A51&lt;&gt;"",ISNUMBER(A51)),VLOOKUP(A51,Studies!A:BR,4,FALSE),"")</f>
        <v>po with Perpetrator (Rifampicin @ 25 mg)</v>
      </c>
      <c r="E51" s="141" t="str">
        <f>IF(AND(A51&lt;&gt;"",ISNUMBER(A51)),VLOOKUP(A51,Studies!A:BR,5,FALSE),"")</f>
        <v>Midazolam</v>
      </c>
      <c r="F51" s="188" t="s">
        <v>54</v>
      </c>
      <c r="G51" s="208" t="str">
        <f>IF(AND(A51&lt;&gt;"",ISNUMBER(A51)),VLOOKUP(A51,Studies!A:BR,13,FALSE),"")</f>
        <v>PO</v>
      </c>
      <c r="H51" s="140" t="str">
        <f t="shared" si="0"/>
        <v>PO</v>
      </c>
      <c r="I51" s="208" t="str">
        <f>IF(AND(A51&lt;&gt;"",ISNUMBER(A51)),VLOOKUP(A51,Studies!A:BR,6,FALSE),"")</f>
        <v>Plasma</v>
      </c>
      <c r="J51" s="189">
        <v>0.4</v>
      </c>
      <c r="K51" s="189" t="s">
        <v>1098</v>
      </c>
      <c r="L51" s="203">
        <v>0.1</v>
      </c>
      <c r="M51" s="123" t="s">
        <v>1238</v>
      </c>
      <c r="N51" s="195">
        <v>0.50666666660000004</v>
      </c>
      <c r="O51" s="195" t="s">
        <v>389</v>
      </c>
      <c r="P51" s="204"/>
      <c r="Q51" s="204"/>
      <c r="R51" s="184">
        <v>0</v>
      </c>
      <c r="S51" s="185" t="s">
        <v>1023</v>
      </c>
      <c r="T51" s="186">
        <v>132</v>
      </c>
      <c r="U51" s="187" t="s">
        <v>1023</v>
      </c>
      <c r="V51" s="188" t="s">
        <v>60</v>
      </c>
      <c r="W51" s="183"/>
      <c r="X51" s="178">
        <v>25</v>
      </c>
      <c r="Y51" s="182"/>
      <c r="Z51" s="182" t="s">
        <v>58</v>
      </c>
      <c r="AA51" s="178" t="s">
        <v>59</v>
      </c>
      <c r="AB51" s="178" t="s">
        <v>1239</v>
      </c>
      <c r="AC51" s="178" t="s">
        <v>60</v>
      </c>
      <c r="AD51" s="178" t="s">
        <v>92</v>
      </c>
      <c r="AE51" s="179" t="s">
        <v>1240</v>
      </c>
      <c r="AF51" s="179" t="s">
        <v>1241</v>
      </c>
      <c r="AG51" s="180"/>
      <c r="AH51" s="179"/>
      <c r="AI51" s="179" t="s">
        <v>1242</v>
      </c>
      <c r="AJ51" s="195"/>
      <c r="AK51" s="195"/>
      <c r="AL51" s="195"/>
      <c r="AM51" s="195"/>
      <c r="AN51" s="183">
        <f>IF(ISNUMBER(VLOOKUP(A51,NotghiID!A:A,1,FALSE)),1,0)</f>
        <v>1</v>
      </c>
    </row>
    <row r="52" spans="1:40" s="137" customFormat="1" ht="14.25" x14ac:dyDescent="0.2">
      <c r="A52" s="189">
        <v>307</v>
      </c>
      <c r="B52" s="206" t="str">
        <f>IF(AND(A52&lt;&gt;"",ISNUMBER(A52)),VLOOKUP(A52,Studies!A:BR,2,FALSE),"")</f>
        <v>Kharasch 2011</v>
      </c>
      <c r="C52" s="206" t="str">
        <f>IF(AND(A52&lt;&gt;"",ISNUMBER(A52)),VLOOKUP(A52,Studies!A:BR,3,FALSE),"")</f>
        <v>https://www.ncbi.nlm.nih.gov/pubmed/21562488</v>
      </c>
      <c r="D52" s="206" t="str">
        <f>IF(AND(A52&lt;&gt;"",ISNUMBER(A52)),VLOOKUP(A52,Studies!A:BR,4,FALSE),"")</f>
        <v>po with Perpetrator (Rifampicin @ 75 mg)</v>
      </c>
      <c r="E52" s="141" t="str">
        <f>IF(AND(A52&lt;&gt;"",ISNUMBER(A52)),VLOOKUP(A52,Studies!A:BR,5,FALSE),"")</f>
        <v>Midazolam</v>
      </c>
      <c r="F52" s="188" t="s">
        <v>54</v>
      </c>
      <c r="G52" s="208" t="str">
        <f>IF(AND(A52&lt;&gt;"",ISNUMBER(A52)),VLOOKUP(A52,Studies!A:BR,13,FALSE),"")</f>
        <v>PO</v>
      </c>
      <c r="H52" s="140" t="str">
        <f t="shared" si="0"/>
        <v>PO</v>
      </c>
      <c r="I52" s="208" t="str">
        <f>IF(AND(A52&lt;&gt;"",ISNUMBER(A52)),VLOOKUP(A52,Studies!A:BR,6,FALSE),"")</f>
        <v>Plasma</v>
      </c>
      <c r="J52" s="189">
        <v>0.25</v>
      </c>
      <c r="K52" s="189" t="s">
        <v>1098</v>
      </c>
      <c r="L52" s="203">
        <v>0.09</v>
      </c>
      <c r="M52" s="123" t="s">
        <v>1238</v>
      </c>
      <c r="N52" s="195">
        <v>0.34</v>
      </c>
      <c r="O52" s="195" t="s">
        <v>389</v>
      </c>
      <c r="P52" s="204"/>
      <c r="Q52" s="204"/>
      <c r="R52" s="184">
        <v>0</v>
      </c>
      <c r="S52" s="185" t="s">
        <v>1023</v>
      </c>
      <c r="T52" s="186">
        <v>132</v>
      </c>
      <c r="U52" s="187" t="s">
        <v>1023</v>
      </c>
      <c r="V52" s="188" t="s">
        <v>60</v>
      </c>
      <c r="W52" s="183"/>
      <c r="X52" s="178">
        <v>75</v>
      </c>
      <c r="Y52" s="182"/>
      <c r="Z52" s="182" t="s">
        <v>58</v>
      </c>
      <c r="AA52" s="178" t="s">
        <v>59</v>
      </c>
      <c r="AB52" s="178" t="s">
        <v>1239</v>
      </c>
      <c r="AC52" s="178" t="s">
        <v>60</v>
      </c>
      <c r="AD52" s="178" t="s">
        <v>92</v>
      </c>
      <c r="AE52" s="179" t="s">
        <v>1240</v>
      </c>
      <c r="AF52" s="179" t="s">
        <v>1241</v>
      </c>
      <c r="AG52" s="180"/>
      <c r="AH52" s="179"/>
      <c r="AI52" s="179" t="s">
        <v>1242</v>
      </c>
      <c r="AJ52" s="195"/>
      <c r="AK52" s="195"/>
      <c r="AL52" s="195"/>
      <c r="AM52" s="195"/>
      <c r="AN52" s="183">
        <f>IF(ISNUMBER(VLOOKUP(A52,NotghiID!A:A,1,FALSE)),1,0)</f>
        <v>1</v>
      </c>
    </row>
    <row r="53" spans="1:40" s="137" customFormat="1" ht="14.25" x14ac:dyDescent="0.2">
      <c r="A53" s="189">
        <v>309</v>
      </c>
      <c r="B53" s="206" t="str">
        <f>IF(AND(A53&lt;&gt;"",ISNUMBER(A53)),VLOOKUP(A53,Studies!A:BR,2,FALSE),"")</f>
        <v>Kharasch 2011</v>
      </c>
      <c r="C53" s="206" t="str">
        <f>IF(AND(A53&lt;&gt;"",ISNUMBER(A53)),VLOOKUP(A53,Studies!A:BR,3,FALSE),"")</f>
        <v>https://www.ncbi.nlm.nih.gov/pubmed/21562488</v>
      </c>
      <c r="D53" s="206" t="str">
        <f>IF(AND(A53&lt;&gt;"",ISNUMBER(A53)),VLOOKUP(A53,Studies!A:BR,4,FALSE),"")</f>
        <v>po with Perpetrator (Rifampicin @ 5 mg)</v>
      </c>
      <c r="E53" s="141" t="str">
        <f>IF(AND(A53&lt;&gt;"",ISNUMBER(A53)),VLOOKUP(A53,Studies!A:BR,5,FALSE),"")</f>
        <v>Alfentanil</v>
      </c>
      <c r="F53" s="188" t="s">
        <v>54</v>
      </c>
      <c r="G53" s="208" t="str">
        <f>IF(AND(A53&lt;&gt;"",ISNUMBER(A53)),VLOOKUP(A53,Studies!A:BR,13,FALSE),"")</f>
        <v>PO</v>
      </c>
      <c r="H53" s="140" t="str">
        <f t="shared" si="0"/>
        <v>PO</v>
      </c>
      <c r="I53" s="208" t="str">
        <f>IF(AND(A53&lt;&gt;"",ISNUMBER(A53)),VLOOKUP(A53,Studies!A:BR,6,FALSE),"")</f>
        <v>Plasma</v>
      </c>
      <c r="J53" s="189">
        <v>0.74</v>
      </c>
      <c r="K53" s="189" t="s">
        <v>1098</v>
      </c>
      <c r="L53" s="203">
        <v>0.16</v>
      </c>
      <c r="M53" s="123" t="s">
        <v>1238</v>
      </c>
      <c r="N53" s="195">
        <v>0.86274509799999999</v>
      </c>
      <c r="O53" s="195" t="s">
        <v>389</v>
      </c>
      <c r="P53" s="204"/>
      <c r="Q53" s="204"/>
      <c r="R53" s="184">
        <v>0</v>
      </c>
      <c r="S53" s="185" t="s">
        <v>1023</v>
      </c>
      <c r="T53" s="186">
        <v>133</v>
      </c>
      <c r="U53" s="187" t="s">
        <v>1023</v>
      </c>
      <c r="V53" s="188" t="s">
        <v>60</v>
      </c>
      <c r="W53" s="183"/>
      <c r="X53" s="178">
        <v>5</v>
      </c>
      <c r="Y53" s="182"/>
      <c r="Z53" s="182" t="s">
        <v>58</v>
      </c>
      <c r="AA53" s="178" t="s">
        <v>59</v>
      </c>
      <c r="AB53" s="178" t="s">
        <v>1239</v>
      </c>
      <c r="AC53" s="178" t="s">
        <v>60</v>
      </c>
      <c r="AD53" s="178" t="s">
        <v>92</v>
      </c>
      <c r="AE53" s="179" t="s">
        <v>1240</v>
      </c>
      <c r="AF53" s="179" t="s">
        <v>1241</v>
      </c>
      <c r="AG53" s="180"/>
      <c r="AH53" s="179"/>
      <c r="AI53" s="179" t="s">
        <v>1242</v>
      </c>
      <c r="AJ53" s="195"/>
      <c r="AK53" s="195"/>
      <c r="AL53" s="195"/>
      <c r="AM53" s="195"/>
      <c r="AN53" s="183">
        <f>IF(ISNUMBER(VLOOKUP(A53,NotghiID!A:A,1,FALSE)),1,0)</f>
        <v>1</v>
      </c>
    </row>
    <row r="54" spans="1:40" s="137" customFormat="1" ht="14.25" x14ac:dyDescent="0.2">
      <c r="A54" s="189">
        <v>310</v>
      </c>
      <c r="B54" s="206" t="str">
        <f>IF(AND(A54&lt;&gt;"",ISNUMBER(A54)),VLOOKUP(A54,Studies!A:BR,2,FALSE),"")</f>
        <v>Kharasch 2011</v>
      </c>
      <c r="C54" s="206" t="str">
        <f>IF(AND(A54&lt;&gt;"",ISNUMBER(A54)),VLOOKUP(A54,Studies!A:BR,3,FALSE),"")</f>
        <v>https://www.ncbi.nlm.nih.gov/pubmed/21562488</v>
      </c>
      <c r="D54" s="206" t="str">
        <f>IF(AND(A54&lt;&gt;"",ISNUMBER(A54)),VLOOKUP(A54,Studies!A:BR,4,FALSE),"")</f>
        <v>po with Perpetrator (Rifampicin @ 10 mg)</v>
      </c>
      <c r="E54" s="141" t="str">
        <f>IF(AND(A54&lt;&gt;"",ISNUMBER(A54)),VLOOKUP(A54,Studies!A:BR,5,FALSE),"")</f>
        <v>Alfentanil</v>
      </c>
      <c r="F54" s="188" t="s">
        <v>54</v>
      </c>
      <c r="G54" s="208" t="str">
        <f>IF(AND(A54&lt;&gt;"",ISNUMBER(A54)),VLOOKUP(A54,Studies!A:BR,13,FALSE),"")</f>
        <v>PO</v>
      </c>
      <c r="H54" s="140" t="str">
        <f t="shared" si="0"/>
        <v>PO</v>
      </c>
      <c r="I54" s="208" t="str">
        <f>IF(AND(A54&lt;&gt;"",ISNUMBER(A54)),VLOOKUP(A54,Studies!A:BR,6,FALSE),"")</f>
        <v>Plasma</v>
      </c>
      <c r="J54" s="189">
        <v>0.61</v>
      </c>
      <c r="K54" s="189" t="s">
        <v>1098</v>
      </c>
      <c r="L54" s="203">
        <v>0.23</v>
      </c>
      <c r="M54" s="123" t="s">
        <v>1238</v>
      </c>
      <c r="N54" s="195">
        <v>0.86274509799999999</v>
      </c>
      <c r="O54" s="195" t="s">
        <v>389</v>
      </c>
      <c r="P54" s="204"/>
      <c r="Q54" s="204"/>
      <c r="R54" s="184">
        <v>0</v>
      </c>
      <c r="S54" s="185" t="s">
        <v>1023</v>
      </c>
      <c r="T54" s="186">
        <v>133</v>
      </c>
      <c r="U54" s="187" t="s">
        <v>1023</v>
      </c>
      <c r="V54" s="188" t="s">
        <v>60</v>
      </c>
      <c r="W54" s="183"/>
      <c r="X54" s="178">
        <v>10</v>
      </c>
      <c r="Y54" s="182"/>
      <c r="Z54" s="182" t="s">
        <v>58</v>
      </c>
      <c r="AA54" s="178" t="s">
        <v>59</v>
      </c>
      <c r="AB54" s="178" t="s">
        <v>1239</v>
      </c>
      <c r="AC54" s="178" t="s">
        <v>60</v>
      </c>
      <c r="AD54" s="178" t="s">
        <v>92</v>
      </c>
      <c r="AE54" s="179" t="s">
        <v>1240</v>
      </c>
      <c r="AF54" s="179" t="s">
        <v>1241</v>
      </c>
      <c r="AG54" s="180"/>
      <c r="AH54" s="179"/>
      <c r="AI54" s="179" t="s">
        <v>1242</v>
      </c>
      <c r="AJ54" s="195"/>
      <c r="AK54" s="195"/>
      <c r="AL54" s="195"/>
      <c r="AM54" s="195"/>
      <c r="AN54" s="183">
        <f>IF(ISNUMBER(VLOOKUP(A54,NotghiID!A:A,1,FALSE)),1,0)</f>
        <v>1</v>
      </c>
    </row>
    <row r="55" spans="1:40" s="137" customFormat="1" ht="14.25" x14ac:dyDescent="0.2">
      <c r="A55" s="189">
        <v>311</v>
      </c>
      <c r="B55" s="206" t="str">
        <f>IF(AND(A55&lt;&gt;"",ISNUMBER(A55)),VLOOKUP(A55,Studies!A:BR,2,FALSE),"")</f>
        <v>Kharasch 2011</v>
      </c>
      <c r="C55" s="206" t="str">
        <f>IF(AND(A55&lt;&gt;"",ISNUMBER(A55)),VLOOKUP(A55,Studies!A:BR,3,FALSE),"")</f>
        <v>https://www.ncbi.nlm.nih.gov/pubmed/21562488</v>
      </c>
      <c r="D55" s="206" t="str">
        <f>IF(AND(A55&lt;&gt;"",ISNUMBER(A55)),VLOOKUP(A55,Studies!A:BR,4,FALSE),"")</f>
        <v>po with Perpetrator (Rifampicin @ 25 mg)</v>
      </c>
      <c r="E55" s="141" t="str">
        <f>IF(AND(A55&lt;&gt;"",ISNUMBER(A55)),VLOOKUP(A55,Studies!A:BR,5,FALSE),"")</f>
        <v>Alfentanil</v>
      </c>
      <c r="F55" s="188" t="s">
        <v>54</v>
      </c>
      <c r="G55" s="208" t="str">
        <f>IF(AND(A55&lt;&gt;"",ISNUMBER(A55)),VLOOKUP(A55,Studies!A:BR,13,FALSE),"")</f>
        <v>PO</v>
      </c>
      <c r="H55" s="140" t="str">
        <f t="shared" si="0"/>
        <v>PO</v>
      </c>
      <c r="I55" s="208" t="str">
        <f>IF(AND(A55&lt;&gt;"",ISNUMBER(A55)),VLOOKUP(A55,Studies!A:BR,6,FALSE),"")</f>
        <v>Plasma</v>
      </c>
      <c r="J55" s="189">
        <v>0.3</v>
      </c>
      <c r="K55" s="189" t="s">
        <v>1098</v>
      </c>
      <c r="L55" s="203">
        <v>0.1</v>
      </c>
      <c r="M55" s="123" t="s">
        <v>1238</v>
      </c>
      <c r="N55" s="195">
        <v>0.49019607840000001</v>
      </c>
      <c r="O55" s="195" t="s">
        <v>389</v>
      </c>
      <c r="P55" s="204"/>
      <c r="Q55" s="204"/>
      <c r="R55" s="184">
        <v>0</v>
      </c>
      <c r="S55" s="185" t="s">
        <v>1023</v>
      </c>
      <c r="T55" s="186">
        <v>133</v>
      </c>
      <c r="U55" s="187" t="s">
        <v>1023</v>
      </c>
      <c r="V55" s="188" t="s">
        <v>60</v>
      </c>
      <c r="W55" s="183"/>
      <c r="X55" s="178">
        <v>25</v>
      </c>
      <c r="Y55" s="182"/>
      <c r="Z55" s="182" t="s">
        <v>58</v>
      </c>
      <c r="AA55" s="178" t="s">
        <v>59</v>
      </c>
      <c r="AB55" s="178" t="s">
        <v>1239</v>
      </c>
      <c r="AC55" s="178" t="s">
        <v>60</v>
      </c>
      <c r="AD55" s="178" t="s">
        <v>92</v>
      </c>
      <c r="AE55" s="179" t="s">
        <v>1240</v>
      </c>
      <c r="AF55" s="179" t="s">
        <v>1241</v>
      </c>
      <c r="AG55" s="180"/>
      <c r="AH55" s="179"/>
      <c r="AI55" s="179" t="s">
        <v>1242</v>
      </c>
      <c r="AJ55" s="195"/>
      <c r="AK55" s="195"/>
      <c r="AL55" s="195"/>
      <c r="AM55" s="195"/>
      <c r="AN55" s="183">
        <f>IF(ISNUMBER(VLOOKUP(A55,NotghiID!A:A,1,FALSE)),1,0)</f>
        <v>1</v>
      </c>
    </row>
    <row r="56" spans="1:40" s="137" customFormat="1" ht="14.25" x14ac:dyDescent="0.2">
      <c r="A56" s="189">
        <v>312</v>
      </c>
      <c r="B56" s="206" t="str">
        <f>IF(AND(A56&lt;&gt;"",ISNUMBER(A56)),VLOOKUP(A56,Studies!A:BR,2,FALSE),"")</f>
        <v>Kharasch 2011</v>
      </c>
      <c r="C56" s="206" t="str">
        <f>IF(AND(A56&lt;&gt;"",ISNUMBER(A56)),VLOOKUP(A56,Studies!A:BR,3,FALSE),"")</f>
        <v>https://www.ncbi.nlm.nih.gov/pubmed/21562488</v>
      </c>
      <c r="D56" s="206" t="str">
        <f>IF(AND(A56&lt;&gt;"",ISNUMBER(A56)),VLOOKUP(A56,Studies!A:BR,4,FALSE),"")</f>
        <v>po with Perpetrator (Rifampicin @ 75 mg)</v>
      </c>
      <c r="E56" s="141" t="str">
        <f>IF(AND(A56&lt;&gt;"",ISNUMBER(A56)),VLOOKUP(A56,Studies!A:BR,5,FALSE),"")</f>
        <v>Alfentanil</v>
      </c>
      <c r="F56" s="188" t="s">
        <v>54</v>
      </c>
      <c r="G56" s="208" t="str">
        <f>IF(AND(A56&lt;&gt;"",ISNUMBER(A56)),VLOOKUP(A56,Studies!A:BR,13,FALSE),"")</f>
        <v>PO</v>
      </c>
      <c r="H56" s="140" t="str">
        <f t="shared" si="0"/>
        <v>PO</v>
      </c>
      <c r="I56" s="208" t="str">
        <f>IF(AND(A56&lt;&gt;"",ISNUMBER(A56)),VLOOKUP(A56,Studies!A:BR,6,FALSE),"")</f>
        <v>Plasma</v>
      </c>
      <c r="J56" s="189">
        <v>0.13</v>
      </c>
      <c r="K56" s="189" t="s">
        <v>1098</v>
      </c>
      <c r="L56" s="203">
        <v>0.06</v>
      </c>
      <c r="M56" s="123" t="s">
        <v>1238</v>
      </c>
      <c r="N56" s="195">
        <v>0.25490196078400001</v>
      </c>
      <c r="O56" s="195" t="s">
        <v>389</v>
      </c>
      <c r="P56" s="204"/>
      <c r="Q56" s="204"/>
      <c r="R56" s="184">
        <v>0</v>
      </c>
      <c r="S56" s="185" t="s">
        <v>1023</v>
      </c>
      <c r="T56" s="186">
        <v>133</v>
      </c>
      <c r="U56" s="187" t="s">
        <v>1023</v>
      </c>
      <c r="V56" s="188" t="s">
        <v>60</v>
      </c>
      <c r="W56" s="183"/>
      <c r="X56" s="178">
        <v>75</v>
      </c>
      <c r="Y56" s="182"/>
      <c r="Z56" s="182" t="s">
        <v>58</v>
      </c>
      <c r="AA56" s="178" t="s">
        <v>59</v>
      </c>
      <c r="AB56" s="178" t="s">
        <v>1239</v>
      </c>
      <c r="AC56" s="178" t="s">
        <v>60</v>
      </c>
      <c r="AD56" s="178" t="s">
        <v>92</v>
      </c>
      <c r="AE56" s="179" t="s">
        <v>1240</v>
      </c>
      <c r="AF56" s="179" t="s">
        <v>1241</v>
      </c>
      <c r="AG56" s="180"/>
      <c r="AH56" s="179"/>
      <c r="AI56" s="179" t="s">
        <v>1242</v>
      </c>
      <c r="AJ56" s="195"/>
      <c r="AK56" s="195"/>
      <c r="AL56" s="195"/>
      <c r="AM56" s="195"/>
      <c r="AN56" s="183">
        <f>IF(ISNUMBER(VLOOKUP(A56,NotghiID!A:A,1,FALSE)),1,0)</f>
        <v>1</v>
      </c>
    </row>
    <row r="57" spans="1:40" s="137" customFormat="1" ht="14.25" x14ac:dyDescent="0.2">
      <c r="A57" s="189">
        <v>342</v>
      </c>
      <c r="B57" s="206" t="str">
        <f>IF(AND(A57&lt;&gt;"",ISNUMBER(A57)),VLOOKUP(A57,Studies!A:BR,2,FALSE),"")</f>
        <v>Link 2008</v>
      </c>
      <c r="C57" s="206" t="str">
        <f>IF(AND(A57&lt;&gt;"",ISNUMBER(A57)),VLOOKUP(A57,Studies!A:BR,3,FALSE),"")</f>
        <v>https://www.ncbi.nlm.nih.gov/pubmed/18537963</v>
      </c>
      <c r="D57" s="206" t="str">
        <f>IF(AND(A57&lt;&gt;"",ISNUMBER(A57)),VLOOKUP(A57,Studies!A:BR,4,FALSE),"")</f>
        <v>iv with Perpetrator (Rifampicin)</v>
      </c>
      <c r="E57" s="141" t="str">
        <f>IF(AND(A57&lt;&gt;"",ISNUMBER(A57)),VLOOKUP(A57,Studies!A:BR,5,FALSE),"")</f>
        <v>Midazolam</v>
      </c>
      <c r="F57" s="188" t="s">
        <v>54</v>
      </c>
      <c r="G57" s="208" t="str">
        <f>IF(AND(A57&lt;&gt;"",ISNUMBER(A57)),VLOOKUP(A57,Studies!A:BR,13,FALSE),"")</f>
        <v>IV</v>
      </c>
      <c r="H57" s="140" t="str">
        <f t="shared" si="0"/>
        <v>PO</v>
      </c>
      <c r="I57" s="208" t="str">
        <f>IF(AND(A57&lt;&gt;"",ISNUMBER(A57)),VLOOKUP(A57,Studies!A:BR,6,FALSE),"")</f>
        <v>Plasma</v>
      </c>
      <c r="J57" s="189">
        <v>0.65500794910000004</v>
      </c>
      <c r="K57" s="189" t="s">
        <v>1243</v>
      </c>
      <c r="L57" s="203"/>
      <c r="M57" s="203"/>
      <c r="N57" s="195">
        <v>1.1059602649</v>
      </c>
      <c r="O57" s="195" t="s">
        <v>1243</v>
      </c>
      <c r="P57" s="204"/>
      <c r="Q57" s="204"/>
      <c r="R57" s="184">
        <v>0</v>
      </c>
      <c r="S57" s="185" t="s">
        <v>1023</v>
      </c>
      <c r="T57" s="186">
        <v>144</v>
      </c>
      <c r="U57" s="187" t="s">
        <v>1023</v>
      </c>
      <c r="V57" s="188" t="s">
        <v>60</v>
      </c>
      <c r="W57" s="183"/>
      <c r="X57" s="178">
        <v>600</v>
      </c>
      <c r="Y57" s="182"/>
      <c r="Z57" s="182" t="s">
        <v>58</v>
      </c>
      <c r="AA57" s="178" t="s">
        <v>59</v>
      </c>
      <c r="AB57" s="178" t="s">
        <v>1239</v>
      </c>
      <c r="AC57" s="178" t="s">
        <v>60</v>
      </c>
      <c r="AD57" s="178" t="s">
        <v>92</v>
      </c>
      <c r="AE57" s="179" t="s">
        <v>1244</v>
      </c>
      <c r="AF57" s="179" t="s">
        <v>1245</v>
      </c>
      <c r="AG57" s="180"/>
      <c r="AH57" s="179"/>
      <c r="AI57" s="179" t="s">
        <v>1246</v>
      </c>
      <c r="AJ57" s="195"/>
      <c r="AK57" s="195"/>
      <c r="AL57" s="195"/>
      <c r="AM57" s="195"/>
      <c r="AN57" s="183">
        <f>IF(ISNUMBER(VLOOKUP(A57,NotghiID!A:A,1,FALSE)),1,0)</f>
        <v>1</v>
      </c>
    </row>
    <row r="58" spans="1:40" s="137" customFormat="1" ht="14.25" x14ac:dyDescent="0.2">
      <c r="A58" s="189">
        <v>344</v>
      </c>
      <c r="B58" s="206" t="str">
        <f>IF(AND(A58&lt;&gt;"",ISNUMBER(A58)),VLOOKUP(A58,Studies!A:BR,2,FALSE),"")</f>
        <v>Link 2008</v>
      </c>
      <c r="C58" s="206" t="str">
        <f>IF(AND(A58&lt;&gt;"",ISNUMBER(A58)),VLOOKUP(A58,Studies!A:BR,3,FALSE),"")</f>
        <v>https://www.ncbi.nlm.nih.gov/pubmed/18537963</v>
      </c>
      <c r="D58" s="206" t="str">
        <f>IF(AND(A58&lt;&gt;"",ISNUMBER(A58)),VLOOKUP(A58,Studies!A:BR,4,FALSE),"")</f>
        <v>po with Perpetrator (Rifampicin)</v>
      </c>
      <c r="E58" s="141" t="str">
        <f>IF(AND(A58&lt;&gt;"",ISNUMBER(A58)),VLOOKUP(A58,Studies!A:BR,5,FALSE),"")</f>
        <v>Midazolam</v>
      </c>
      <c r="F58" s="188" t="s">
        <v>54</v>
      </c>
      <c r="G58" s="208" t="str">
        <f>IF(AND(A58&lt;&gt;"",ISNUMBER(A58)),VLOOKUP(A58,Studies!A:BR,13,FALSE),"")</f>
        <v>PO</v>
      </c>
      <c r="H58" s="140" t="str">
        <f t="shared" si="0"/>
        <v>PO</v>
      </c>
      <c r="I58" s="208" t="str">
        <f>IF(AND(A58&lt;&gt;"",ISNUMBER(A58)),VLOOKUP(A58,Studies!A:BR,6,FALSE),"")</f>
        <v>Plasma</v>
      </c>
      <c r="J58" s="189">
        <v>1.554907677E-2</v>
      </c>
      <c r="K58" s="189" t="s">
        <v>1243</v>
      </c>
      <c r="L58" s="203"/>
      <c r="M58" s="203"/>
      <c r="N58" s="195">
        <v>3.4865292999999999E-2</v>
      </c>
      <c r="O58" s="195" t="s">
        <v>1243</v>
      </c>
      <c r="P58" s="204"/>
      <c r="Q58" s="204"/>
      <c r="R58" s="184">
        <v>0</v>
      </c>
      <c r="S58" s="185" t="s">
        <v>1023</v>
      </c>
      <c r="T58" s="186">
        <v>144</v>
      </c>
      <c r="U58" s="187" t="s">
        <v>1023</v>
      </c>
      <c r="V58" s="188" t="s">
        <v>60</v>
      </c>
      <c r="W58" s="183"/>
      <c r="X58" s="178">
        <v>600</v>
      </c>
      <c r="Y58" s="182"/>
      <c r="Z58" s="182" t="s">
        <v>58</v>
      </c>
      <c r="AA58" s="178" t="s">
        <v>59</v>
      </c>
      <c r="AB58" s="178" t="s">
        <v>1239</v>
      </c>
      <c r="AC58" s="178" t="s">
        <v>60</v>
      </c>
      <c r="AD58" s="178" t="s">
        <v>92</v>
      </c>
      <c r="AE58" s="179" t="s">
        <v>1244</v>
      </c>
      <c r="AF58" s="179" t="s">
        <v>1245</v>
      </c>
      <c r="AG58" s="180"/>
      <c r="AH58" s="179"/>
      <c r="AI58" s="179" t="s">
        <v>1246</v>
      </c>
      <c r="AJ58" s="195"/>
      <c r="AK58" s="195"/>
      <c r="AL58" s="195"/>
      <c r="AM58" s="195"/>
      <c r="AN58" s="183">
        <f>IF(ISNUMBER(VLOOKUP(A58,NotghiID!A:A,1,FALSE)),1,0)</f>
        <v>1</v>
      </c>
    </row>
    <row r="59" spans="1:40" s="137" customFormat="1" ht="14.25" x14ac:dyDescent="0.2">
      <c r="A59" s="189">
        <v>391</v>
      </c>
      <c r="B59" s="206" t="str">
        <f>IF(AND(A59&lt;&gt;"",ISNUMBER(A59)),VLOOKUP(A59,Studies!A:BR,2,FALSE),"")</f>
        <v>Phimmasone 2001</v>
      </c>
      <c r="C59" s="206" t="str">
        <f>IF(AND(A59&lt;&gt;"",ISNUMBER(A59)),VLOOKUP(A59,Studies!A:BR,3,FALSE),"")</f>
        <v>https://www.ncbi.nlm.nih.gov/pubmed/11753266</v>
      </c>
      <c r="D59" s="206" t="str">
        <f>IF(AND(A59&lt;&gt;"",ISNUMBER(A59)),VLOOKUP(A59,Studies!A:BR,4,FALSE),"")</f>
        <v>with Perpetrator (Rifampicin)</v>
      </c>
      <c r="E59" s="141" t="str">
        <f>IF(AND(A59&lt;&gt;"",ISNUMBER(A59)),VLOOKUP(A59,Studies!A:BR,5,FALSE),"")</f>
        <v>Alfentanil</v>
      </c>
      <c r="F59" s="188" t="s">
        <v>54</v>
      </c>
      <c r="G59" s="208" t="str">
        <f>IF(AND(A59&lt;&gt;"",ISNUMBER(A59)),VLOOKUP(A59,Studies!A:BR,13,FALSE),"")</f>
        <v>IV</v>
      </c>
      <c r="H59" s="140" t="str">
        <f t="shared" si="0"/>
        <v>PO</v>
      </c>
      <c r="I59" s="208" t="str">
        <f>IF(AND(A59&lt;&gt;"",ISNUMBER(A59)),VLOOKUP(A59,Studies!A:BR,6,FALSE),"")</f>
        <v>Plasma</v>
      </c>
      <c r="J59" s="214">
        <v>0.55000000000000004</v>
      </c>
      <c r="K59" s="214" t="s">
        <v>116</v>
      </c>
      <c r="L59" s="203"/>
      <c r="M59" s="203"/>
      <c r="N59" s="216"/>
      <c r="O59" s="216"/>
      <c r="P59" s="204"/>
      <c r="Q59" s="204"/>
      <c r="R59" s="184">
        <v>0</v>
      </c>
      <c r="S59" s="185" t="s">
        <v>1023</v>
      </c>
      <c r="T59" s="186">
        <v>107</v>
      </c>
      <c r="U59" s="187" t="s">
        <v>1023</v>
      </c>
      <c r="V59" s="222" t="s">
        <v>60</v>
      </c>
      <c r="W59" s="223"/>
      <c r="X59" s="209">
        <v>600</v>
      </c>
      <c r="Y59" s="210"/>
      <c r="Z59" s="210" t="s">
        <v>58</v>
      </c>
      <c r="AA59" s="209" t="s">
        <v>59</v>
      </c>
      <c r="AB59" s="178" t="s">
        <v>186</v>
      </c>
      <c r="AC59" s="209" t="s">
        <v>60</v>
      </c>
      <c r="AD59" s="209" t="s">
        <v>92</v>
      </c>
      <c r="AE59" s="211" t="s">
        <v>1240</v>
      </c>
      <c r="AF59" s="211"/>
      <c r="AG59" s="212"/>
      <c r="AH59" s="211"/>
      <c r="AI59" s="211" t="s">
        <v>1247</v>
      </c>
      <c r="AJ59" s="195"/>
      <c r="AK59" s="195"/>
      <c r="AL59" s="195"/>
      <c r="AM59" s="195"/>
      <c r="AN59" s="183">
        <f>IF(ISNUMBER(VLOOKUP(A59,NotghiID!A:A,1,FALSE)),1,0)</f>
        <v>1</v>
      </c>
    </row>
    <row r="60" spans="1:40" s="137" customFormat="1" ht="14.25" x14ac:dyDescent="0.2">
      <c r="A60" s="189">
        <v>389</v>
      </c>
      <c r="B60" s="206" t="str">
        <f>IF(AND(A60&lt;&gt;"",ISNUMBER(A60)),VLOOKUP(A60,Studies!A:BR,2,FALSE),"")</f>
        <v>Phimmasone 2001</v>
      </c>
      <c r="C60" s="206" t="str">
        <f>IF(AND(A60&lt;&gt;"",ISNUMBER(A60)),VLOOKUP(A60,Studies!A:BR,3,FALSE),"")</f>
        <v>https://www.ncbi.nlm.nih.gov/pubmed/11753266</v>
      </c>
      <c r="D60" s="206" t="str">
        <f>IF(AND(A60&lt;&gt;"",ISNUMBER(A60)),VLOOKUP(A60,Studies!A:BR,4,FALSE),"")</f>
        <v>with Perpetrator (Rifampicin)</v>
      </c>
      <c r="E60" s="141" t="str">
        <f>IF(AND(A60&lt;&gt;"",ISNUMBER(A60)),VLOOKUP(A60,Studies!A:BR,5,FALSE),"")</f>
        <v>Midazolam</v>
      </c>
      <c r="F60" s="188" t="s">
        <v>54</v>
      </c>
      <c r="G60" s="208" t="str">
        <f>IF(AND(A60&lt;&gt;"",ISNUMBER(A60)),VLOOKUP(A60,Studies!A:BR,13,FALSE),"")</f>
        <v>IV</v>
      </c>
      <c r="H60" s="140" t="str">
        <f t="shared" si="0"/>
        <v>PO</v>
      </c>
      <c r="I60" s="208" t="str">
        <f>IF(AND(A60&lt;&gt;"",ISNUMBER(A60)),VLOOKUP(A60,Studies!A:BR,6,FALSE),"")</f>
        <v>Plasma</v>
      </c>
      <c r="J60" s="214">
        <v>0.51</v>
      </c>
      <c r="K60" s="214" t="s">
        <v>116</v>
      </c>
      <c r="L60" s="203"/>
      <c r="M60" s="203"/>
      <c r="N60" s="216"/>
      <c r="O60" s="216"/>
      <c r="P60" s="204"/>
      <c r="Q60" s="204"/>
      <c r="R60" s="184">
        <v>0</v>
      </c>
      <c r="S60" s="185" t="s">
        <v>1023</v>
      </c>
      <c r="T60" s="186">
        <v>106</v>
      </c>
      <c r="U60" s="187" t="s">
        <v>1023</v>
      </c>
      <c r="V60" s="222" t="s">
        <v>60</v>
      </c>
      <c r="W60" s="223"/>
      <c r="X60" s="209">
        <v>600</v>
      </c>
      <c r="Y60" s="210"/>
      <c r="Z60" s="210" t="s">
        <v>58</v>
      </c>
      <c r="AA60" s="209" t="s">
        <v>59</v>
      </c>
      <c r="AB60" s="178" t="s">
        <v>186</v>
      </c>
      <c r="AC60" s="209" t="s">
        <v>60</v>
      </c>
      <c r="AD60" s="209" t="s">
        <v>92</v>
      </c>
      <c r="AE60" s="211" t="s">
        <v>1240</v>
      </c>
      <c r="AF60" s="211"/>
      <c r="AG60" s="212"/>
      <c r="AH60" s="211"/>
      <c r="AI60" s="211" t="s">
        <v>1247</v>
      </c>
      <c r="AJ60" s="195"/>
      <c r="AK60" s="195"/>
      <c r="AL60" s="195"/>
      <c r="AM60" s="195"/>
      <c r="AN60" s="183">
        <f>IF(ISNUMBER(VLOOKUP(A60,NotghiID!A:A,1,FALSE)),1,0)</f>
        <v>1</v>
      </c>
    </row>
    <row r="61" spans="1:40" s="137" customFormat="1" ht="14.25" x14ac:dyDescent="0.2">
      <c r="A61" s="189">
        <v>422</v>
      </c>
      <c r="B61" s="206" t="str">
        <f>IF(AND(A61&lt;&gt;"",ISNUMBER(A61)),VLOOKUP(A61,Studies!A:BR,2,FALSE),"")</f>
        <v>Szalat 2007</v>
      </c>
      <c r="C61" s="206" t="str">
        <f>IF(AND(A61&lt;&gt;"",ISNUMBER(A61)),VLOOKUP(A61,Studies!A:BR,3,FALSE),"")</f>
        <v>https://www.ncbi.nlm.nih.gov/pubmed/17553741</v>
      </c>
      <c r="D61" s="206" t="str">
        <f>IF(AND(A61&lt;&gt;"",ISNUMBER(A61)),VLOOKUP(A61,Studies!A:BR,4,FALSE),"")</f>
        <v>with Perpetrator (Rifampicin)</v>
      </c>
      <c r="E61" s="141" t="str">
        <f>IF(AND(A61&lt;&gt;"",ISNUMBER(A61)),VLOOKUP(A61,Studies!A:BR,5,FALSE),"")</f>
        <v>Midazolam</v>
      </c>
      <c r="F61" s="188" t="s">
        <v>54</v>
      </c>
      <c r="G61" s="208" t="str">
        <f>IF(AND(A61&lt;&gt;"",ISNUMBER(A61)),VLOOKUP(A61,Studies!A:BR,13,FALSE),"")</f>
        <v>IV</v>
      </c>
      <c r="H61" s="140" t="str">
        <f t="shared" si="0"/>
        <v>PO</v>
      </c>
      <c r="I61" s="208" t="str">
        <f>IF(AND(A61&lt;&gt;"",ISNUMBER(A61)),VLOOKUP(A61,Studies!A:BR,6,FALSE),"")</f>
        <v>Plasma</v>
      </c>
      <c r="J61" s="189">
        <f>3110/5367</f>
        <v>0.57946711384386063</v>
      </c>
      <c r="K61" s="189" t="s">
        <v>1201</v>
      </c>
      <c r="L61" s="203"/>
      <c r="M61" s="203"/>
      <c r="N61" s="195"/>
      <c r="O61" s="195"/>
      <c r="P61" s="204"/>
      <c r="Q61" s="204"/>
      <c r="R61" s="184">
        <v>0</v>
      </c>
      <c r="S61" s="185" t="s">
        <v>1023</v>
      </c>
      <c r="T61" s="186">
        <f>144-12</f>
        <v>132</v>
      </c>
      <c r="U61" s="187" t="s">
        <v>1023</v>
      </c>
      <c r="V61" s="188" t="s">
        <v>60</v>
      </c>
      <c r="W61" s="183"/>
      <c r="X61" s="178">
        <v>600</v>
      </c>
      <c r="Y61" s="182"/>
      <c r="Z61" s="182" t="s">
        <v>58</v>
      </c>
      <c r="AA61" s="178" t="s">
        <v>59</v>
      </c>
      <c r="AB61" s="178" t="s">
        <v>1248</v>
      </c>
      <c r="AC61" s="178" t="s">
        <v>60</v>
      </c>
      <c r="AD61" s="178" t="s">
        <v>92</v>
      </c>
      <c r="AE61" s="179" t="s">
        <v>1244</v>
      </c>
      <c r="AF61" s="179" t="s">
        <v>1249</v>
      </c>
      <c r="AG61" s="180"/>
      <c r="AH61" s="179"/>
      <c r="AI61" s="179"/>
      <c r="AJ61" s="195"/>
      <c r="AK61" s="195"/>
      <c r="AL61" s="195"/>
      <c r="AM61" s="195"/>
      <c r="AN61" s="183">
        <f>IF(ISNUMBER(VLOOKUP(A61,NotghiID!A:A,1,FALSE)),1,0)</f>
        <v>1</v>
      </c>
    </row>
    <row r="62" spans="1:40" s="137" customFormat="1" ht="14.25" x14ac:dyDescent="0.2">
      <c r="A62" s="189">
        <v>191</v>
      </c>
      <c r="B62" s="206" t="str">
        <f>IF(AND(A62&lt;&gt;"",ISNUMBER(A62)),VLOOKUP(A62,Studies!A:BR,2,FALSE),"")</f>
        <v>Greiner 1999</v>
      </c>
      <c r="C62" s="206" t="str">
        <f>IF(AND(A62&lt;&gt;"",ISNUMBER(A62)),VLOOKUP(A62,Studies!A:BR,3,FALSE),"")</f>
        <v>https://www.ncbi.nlm.nih.gov/pubmed/10411543</v>
      </c>
      <c r="D62" s="206" t="str">
        <f>IF(AND(A62&lt;&gt;"",ISNUMBER(A62)),VLOOKUP(A62,Studies!A:BR,4,FALSE),"")</f>
        <v>po with Perpetrator (Rifampicin)</v>
      </c>
      <c r="E62" s="141" t="str">
        <f>IF(AND(A62&lt;&gt;"",ISNUMBER(A62)),VLOOKUP(A62,Studies!A:BR,5,FALSE),"")</f>
        <v>Digoxin</v>
      </c>
      <c r="F62" s="188" t="s">
        <v>54</v>
      </c>
      <c r="G62" s="208" t="str">
        <f>IF(AND(A62&lt;&gt;"",ISNUMBER(A62)),VLOOKUP(A62,Studies!A:BR,13,FALSE),"")</f>
        <v>PO</v>
      </c>
      <c r="H62" s="140" t="str">
        <f t="shared" si="0"/>
        <v>PO</v>
      </c>
      <c r="I62" s="208" t="str">
        <f>IF(AND(A62&lt;&gt;"",ISNUMBER(A62)),VLOOKUP(A62,Studies!A:BR,6,FALSE),"")</f>
        <v>Plasma</v>
      </c>
      <c r="J62" s="189">
        <v>0.69708029197080301</v>
      </c>
      <c r="K62" s="189" t="s">
        <v>1201</v>
      </c>
      <c r="L62" s="203"/>
      <c r="M62" s="203"/>
      <c r="N62" s="195">
        <v>0.48148148148148145</v>
      </c>
      <c r="O62" s="195" t="s">
        <v>1201</v>
      </c>
      <c r="P62" s="204"/>
      <c r="Q62" s="204"/>
      <c r="R62" s="184">
        <v>0</v>
      </c>
      <c r="S62" s="185" t="s">
        <v>1023</v>
      </c>
      <c r="T62" s="186">
        <v>240</v>
      </c>
      <c r="U62" s="187" t="s">
        <v>1023</v>
      </c>
      <c r="V62" s="188" t="s">
        <v>60</v>
      </c>
      <c r="W62" s="183"/>
      <c r="X62" s="178">
        <v>600</v>
      </c>
      <c r="Y62" s="182"/>
      <c r="Z62" s="139" t="s">
        <v>58</v>
      </c>
      <c r="AA62" s="178" t="s">
        <v>59</v>
      </c>
      <c r="AB62" s="178" t="s">
        <v>1250</v>
      </c>
      <c r="AC62" s="178" t="s">
        <v>60</v>
      </c>
      <c r="AD62" s="178" t="s">
        <v>92</v>
      </c>
      <c r="AE62" s="179" t="s">
        <v>1240</v>
      </c>
      <c r="AF62" s="179" t="s">
        <v>1251</v>
      </c>
      <c r="AG62" s="180"/>
      <c r="AH62" s="179"/>
      <c r="AI62" s="179"/>
      <c r="AJ62" s="195"/>
      <c r="AK62" s="195"/>
      <c r="AL62" s="195"/>
      <c r="AM62" s="195"/>
      <c r="AN62" s="183">
        <f>IF(ISNUMBER(VLOOKUP(A62,NotghiID!A:A,1,FALSE)),1,0)</f>
        <v>1</v>
      </c>
    </row>
    <row r="63" spans="1:40" s="137" customFormat="1" ht="14.25" x14ac:dyDescent="0.2">
      <c r="A63" s="189">
        <v>193</v>
      </c>
      <c r="B63" s="206" t="str">
        <f>IF(AND(A63&lt;&gt;"",ISNUMBER(A63)),VLOOKUP(A63,Studies!A:BR,2,FALSE),"")</f>
        <v>Greiner 1999</v>
      </c>
      <c r="C63" s="206" t="str">
        <f>IF(AND(A63&lt;&gt;"",ISNUMBER(A63)),VLOOKUP(A63,Studies!A:BR,3,FALSE),"")</f>
        <v>https://www.ncbi.nlm.nih.gov/pubmed/10411543</v>
      </c>
      <c r="D63" s="206" t="str">
        <f>IF(AND(A63&lt;&gt;"",ISNUMBER(A63)),VLOOKUP(A63,Studies!A:BR,4,FALSE),"")</f>
        <v>iv with Perpetrator (Rifampicin)</v>
      </c>
      <c r="E63" s="141" t="str">
        <f>IF(AND(A63&lt;&gt;"",ISNUMBER(A63)),VLOOKUP(A63,Studies!A:BR,5,FALSE),"")</f>
        <v>Digoxin</v>
      </c>
      <c r="F63" s="188" t="s">
        <v>54</v>
      </c>
      <c r="G63" s="208" t="str">
        <f>IF(AND(A63&lt;&gt;"",ISNUMBER(A63)),VLOOKUP(A63,Studies!A:BR,13,FALSE),"")</f>
        <v>IV</v>
      </c>
      <c r="H63" s="140" t="str">
        <f t="shared" si="0"/>
        <v>PO</v>
      </c>
      <c r="I63" s="208" t="str">
        <f>IF(AND(A63&lt;&gt;"",ISNUMBER(A63)),VLOOKUP(A63,Studies!A:BR,6,FALSE),"")</f>
        <v>Plasma</v>
      </c>
      <c r="J63" s="189">
        <v>0.85337915234822459</v>
      </c>
      <c r="K63" s="189" t="s">
        <v>1201</v>
      </c>
      <c r="L63" s="203"/>
      <c r="M63" s="203"/>
      <c r="N63" s="195">
        <v>0.834008097165992</v>
      </c>
      <c r="O63" s="195" t="s">
        <v>1201</v>
      </c>
      <c r="P63" s="204"/>
      <c r="Q63" s="204"/>
      <c r="R63" s="184">
        <v>0</v>
      </c>
      <c r="S63" s="185" t="s">
        <v>1023</v>
      </c>
      <c r="T63" s="186">
        <v>240</v>
      </c>
      <c r="U63" s="187" t="s">
        <v>1023</v>
      </c>
      <c r="V63" s="188" t="s">
        <v>60</v>
      </c>
      <c r="W63" s="183"/>
      <c r="X63" s="138">
        <v>600</v>
      </c>
      <c r="Y63" s="139"/>
      <c r="Z63" s="139" t="s">
        <v>58</v>
      </c>
      <c r="AA63" s="178" t="s">
        <v>59</v>
      </c>
      <c r="AB63" s="178" t="s">
        <v>1250</v>
      </c>
      <c r="AC63" s="178" t="s">
        <v>60</v>
      </c>
      <c r="AD63" s="138" t="s">
        <v>92</v>
      </c>
      <c r="AE63" s="179" t="s">
        <v>1240</v>
      </c>
      <c r="AF63" s="179" t="s">
        <v>1251</v>
      </c>
      <c r="AG63" s="176"/>
      <c r="AH63" s="177"/>
      <c r="AI63" s="177"/>
      <c r="AJ63" s="195"/>
      <c r="AK63" s="195"/>
      <c r="AL63" s="195"/>
      <c r="AM63" s="195"/>
      <c r="AN63" s="183">
        <f>IF(ISNUMBER(VLOOKUP(A63,NotghiID!A:A,1,FALSE)),1,0)</f>
        <v>1</v>
      </c>
    </row>
    <row r="64" spans="1:40" s="137" customFormat="1" ht="14.25" x14ac:dyDescent="0.2">
      <c r="A64" s="189">
        <v>337</v>
      </c>
      <c r="B64" s="206" t="str">
        <f>IF(AND(A64&lt;&gt;"",ISNUMBER(A64)),VLOOKUP(A64,Studies!A:BR,2,FALSE),"")</f>
        <v>Larsen 2007</v>
      </c>
      <c r="C64" s="206" t="str">
        <f>IF(AND(A64&lt;&gt;"",ISNUMBER(A64)),VLOOKUP(A64,Studies!A:BR,3,FALSE),"")</f>
        <v>https://www.ncbi.nlm.nih.gov/pubmed/17365992</v>
      </c>
      <c r="D64" s="206" t="str">
        <f>IF(AND(A64&lt;&gt;"",ISNUMBER(A64)),VLOOKUP(A64,Studies!A:BR,4,FALSE),"")</f>
        <v>with Perpetrator (Rifampicin)</v>
      </c>
      <c r="E64" s="141" t="str">
        <f>IF(AND(A64&lt;&gt;"",ISNUMBER(A64)),VLOOKUP(A64,Studies!A:BR,5,FALSE),"")</f>
        <v>Digoxin</v>
      </c>
      <c r="F64" s="188" t="s">
        <v>54</v>
      </c>
      <c r="G64" s="208" t="str">
        <f>IF(AND(A64&lt;&gt;"",ISNUMBER(A64)),VLOOKUP(A64,Studies!A:BR,13,FALSE),"")</f>
        <v>PO</v>
      </c>
      <c r="H64" s="140">
        <f t="shared" si="0"/>
        <v>0</v>
      </c>
      <c r="I64" s="208" t="str">
        <f>IF(AND(A64&lt;&gt;"",ISNUMBER(A64)),VLOOKUP(A64,Studies!A:BR,6,FALSE),"")</f>
        <v>Serum</v>
      </c>
      <c r="J64" s="189">
        <v>0.81734693877551023</v>
      </c>
      <c r="K64" s="189" t="s">
        <v>1201</v>
      </c>
      <c r="L64" s="203"/>
      <c r="M64" s="203"/>
      <c r="N64" s="195"/>
      <c r="O64" s="195"/>
      <c r="P64" s="204"/>
      <c r="Q64" s="204"/>
      <c r="R64" s="184">
        <v>0</v>
      </c>
      <c r="S64" s="185" t="s">
        <v>1023</v>
      </c>
      <c r="T64" s="186">
        <v>144</v>
      </c>
      <c r="U64" s="187" t="s">
        <v>1023</v>
      </c>
      <c r="V64" s="188" t="s">
        <v>60</v>
      </c>
      <c r="W64" s="183"/>
      <c r="X64" s="138">
        <v>600</v>
      </c>
      <c r="Y64" s="139"/>
      <c r="Z64" s="139" t="s">
        <v>58</v>
      </c>
      <c r="AA64" s="138"/>
      <c r="AB64" s="138" t="s">
        <v>1239</v>
      </c>
      <c r="AC64" s="138" t="s">
        <v>60</v>
      </c>
      <c r="AD64" s="138" t="s">
        <v>92</v>
      </c>
      <c r="AE64" s="176"/>
      <c r="AF64" s="176"/>
      <c r="AG64" s="176"/>
      <c r="AH64" s="177"/>
      <c r="AI64" s="177"/>
      <c r="AJ64" s="195"/>
      <c r="AK64" s="195"/>
      <c r="AL64" s="195"/>
      <c r="AM64" s="195"/>
      <c r="AN64" s="183">
        <f>IF(ISNUMBER(VLOOKUP(A64,NotghiID!A:A,1,FALSE)),1,0)</f>
        <v>1</v>
      </c>
    </row>
    <row r="65" spans="1:40" s="137" customFormat="1" ht="14.25" x14ac:dyDescent="0.2">
      <c r="A65" s="189">
        <v>338</v>
      </c>
      <c r="B65" s="206" t="str">
        <f>IF(AND(A65&lt;&gt;"",ISNUMBER(A65)),VLOOKUP(A65,Studies!A:BR,2,FALSE),"")</f>
        <v>Larsen 2007</v>
      </c>
      <c r="C65" s="206" t="str">
        <f>IF(AND(A65&lt;&gt;"",ISNUMBER(A65)),VLOOKUP(A65,Studies!A:BR,3,FALSE),"")</f>
        <v>https://www.ncbi.nlm.nih.gov/pubmed/17365992</v>
      </c>
      <c r="D65" s="206" t="str">
        <f>IF(AND(A65&lt;&gt;"",ISNUMBER(A65)),VLOOKUP(A65,Studies!A:BR,4,FALSE),"")</f>
        <v>with Perpetrator (Ketoconazole)</v>
      </c>
      <c r="E65" s="141" t="str">
        <f>IF(AND(A65&lt;&gt;"",ISNUMBER(A65)),VLOOKUP(A65,Studies!A:BR,5,FALSE),"")</f>
        <v>Digoxin</v>
      </c>
      <c r="F65" s="188" t="s">
        <v>921</v>
      </c>
      <c r="G65" s="208" t="str">
        <f>IF(AND(A65&lt;&gt;"",ISNUMBER(A65)),VLOOKUP(A65,Studies!A:BR,13,FALSE),"")</f>
        <v>PO</v>
      </c>
      <c r="H65" s="140">
        <f t="shared" si="0"/>
        <v>0</v>
      </c>
      <c r="I65" s="208" t="str">
        <f>IF(AND(A65&lt;&gt;"",ISNUMBER(A65)),VLOOKUP(A65,Studies!A:BR,6,FALSE),"")</f>
        <v>Serum</v>
      </c>
      <c r="J65" s="189">
        <v>1.0918367346938775</v>
      </c>
      <c r="K65" s="189" t="s">
        <v>1201</v>
      </c>
      <c r="L65" s="203"/>
      <c r="M65" s="203"/>
      <c r="N65" s="195"/>
      <c r="O65" s="195"/>
      <c r="P65" s="204"/>
      <c r="Q65" s="204"/>
      <c r="R65" s="184">
        <v>0</v>
      </c>
      <c r="S65" s="185" t="s">
        <v>1023</v>
      </c>
      <c r="T65" s="186">
        <v>96</v>
      </c>
      <c r="U65" s="187" t="s">
        <v>1023</v>
      </c>
      <c r="V65" s="188" t="s">
        <v>60</v>
      </c>
      <c r="W65" s="183"/>
      <c r="X65" s="138">
        <v>200</v>
      </c>
      <c r="Y65" s="139"/>
      <c r="Z65" s="139" t="s">
        <v>58</v>
      </c>
      <c r="AA65" s="138"/>
      <c r="AB65" s="138" t="s">
        <v>918</v>
      </c>
      <c r="AC65" s="138" t="s">
        <v>60</v>
      </c>
      <c r="AD65" s="138" t="s">
        <v>92</v>
      </c>
      <c r="AE65" s="176"/>
      <c r="AF65" s="176"/>
      <c r="AG65" s="176"/>
      <c r="AH65" s="177"/>
      <c r="AI65" s="177"/>
      <c r="AJ65" s="195"/>
      <c r="AK65" s="195"/>
      <c r="AL65" s="195"/>
      <c r="AM65" s="195"/>
      <c r="AN65" s="183">
        <f>IF(ISNUMBER(VLOOKUP(A65,NotghiID!A:A,1,FALSE)),1,0)</f>
        <v>1</v>
      </c>
    </row>
    <row r="66" spans="1:40" s="137" customFormat="1" ht="14.25" x14ac:dyDescent="0.2">
      <c r="A66" s="189">
        <v>314</v>
      </c>
      <c r="B66" s="206" t="str">
        <f>IF(AND(A66&lt;&gt;"",ISNUMBER(A66)),VLOOKUP(A66,Studies!A:BR,2,FALSE),"")</f>
        <v>Kirby 2012</v>
      </c>
      <c r="C66" s="206" t="str">
        <f>IF(AND(A66&lt;&gt;"",ISNUMBER(A66)),VLOOKUP(A66,Studies!A:BR,3,FALSE),"")</f>
        <v>https://www.ncbi.nlm.nih.gov/pubmed/22190694</v>
      </c>
      <c r="D66" s="206" t="str">
        <f>IF(AND(A66&lt;&gt;"",ISNUMBER(A66)),VLOOKUP(A66,Studies!A:BR,4,FALSE),"")</f>
        <v>Study 1 - Staggered Administration with RIF</v>
      </c>
      <c r="E66" s="141" t="str">
        <f>IF(AND(A66&lt;&gt;"",ISNUMBER(A66)),VLOOKUP(A66,Studies!A:BR,5,FALSE),"")</f>
        <v>Digoxin</v>
      </c>
      <c r="F66" s="188" t="s">
        <v>54</v>
      </c>
      <c r="G66" s="208" t="str">
        <f>IF(AND(A66&lt;&gt;"",ISNUMBER(A66)),VLOOKUP(A66,Studies!A:BR,13,FALSE),"")</f>
        <v>PO</v>
      </c>
      <c r="H66" s="140" t="str">
        <f t="shared" ref="H66:H93" si="1">AA66</f>
        <v>PO</v>
      </c>
      <c r="I66" s="208" t="str">
        <f>IF(AND(A66&lt;&gt;"",ISNUMBER(A66)),VLOOKUP(A66,Studies!A:BR,6,FALSE),"")</f>
        <v>Plasma</v>
      </c>
      <c r="J66" s="189">
        <v>0.81</v>
      </c>
      <c r="K66" s="189" t="s">
        <v>1098</v>
      </c>
      <c r="L66" s="203"/>
      <c r="M66" s="203"/>
      <c r="N66" s="195">
        <v>0.78</v>
      </c>
      <c r="O66" s="195" t="s">
        <v>1098</v>
      </c>
      <c r="P66" s="204"/>
      <c r="Q66" s="204"/>
      <c r="R66" s="184">
        <v>0</v>
      </c>
      <c r="S66" s="185" t="s">
        <v>1023</v>
      </c>
      <c r="T66" s="186">
        <v>324</v>
      </c>
      <c r="U66" s="187" t="s">
        <v>1023</v>
      </c>
      <c r="V66" s="188" t="s">
        <v>60</v>
      </c>
      <c r="W66" s="183"/>
      <c r="X66" s="138">
        <v>600</v>
      </c>
      <c r="Y66" s="139"/>
      <c r="Z66" s="139" t="s">
        <v>58</v>
      </c>
      <c r="AA66" s="138" t="s">
        <v>59</v>
      </c>
      <c r="AB66" s="138" t="s">
        <v>501</v>
      </c>
      <c r="AC66" s="138" t="s">
        <v>60</v>
      </c>
      <c r="AD66" s="138" t="s">
        <v>1429</v>
      </c>
      <c r="AE66" s="176" t="s">
        <v>1240</v>
      </c>
      <c r="AF66" s="176" t="s">
        <v>1490</v>
      </c>
      <c r="AG66" s="176"/>
      <c r="AH66" s="177"/>
      <c r="AI66" s="177"/>
      <c r="AJ66" s="195"/>
      <c r="AK66" s="195"/>
      <c r="AL66" s="195"/>
      <c r="AM66" s="195"/>
      <c r="AN66" s="183">
        <f>IF(ISNUMBER(VLOOKUP(A66,NotghiID!A:A,1,FALSE)),1,0)</f>
        <v>1</v>
      </c>
    </row>
    <row r="67" spans="1:40" s="137" customFormat="1" ht="14.25" x14ac:dyDescent="0.2">
      <c r="A67" s="189">
        <v>316</v>
      </c>
      <c r="B67" s="206" t="str">
        <f>IF(AND(A67&lt;&gt;"",ISNUMBER(A67)),VLOOKUP(A67,Studies!A:BR,2,FALSE),"")</f>
        <v>Kirby 2012</v>
      </c>
      <c r="C67" s="206" t="str">
        <f>IF(AND(A67&lt;&gt;"",ISNUMBER(A67)),VLOOKUP(A67,Studies!A:BR,3,FALSE),"")</f>
        <v>https://www.ncbi.nlm.nih.gov/pubmed/22190694</v>
      </c>
      <c r="D67" s="206" t="str">
        <f>IF(AND(A67&lt;&gt;"",ISNUMBER(A67)),VLOOKUP(A67,Studies!A:BR,4,FALSE),"")</f>
        <v>Study 2 - Simultaneous Administration with RIF</v>
      </c>
      <c r="E67" s="141" t="str">
        <f>IF(AND(A67&lt;&gt;"",ISNUMBER(A67)),VLOOKUP(A67,Studies!A:BR,5,FALSE),"")</f>
        <v>Digoxin</v>
      </c>
      <c r="F67" s="188" t="s">
        <v>54</v>
      </c>
      <c r="G67" s="208" t="str">
        <f>IF(AND(A67&lt;&gt;"",ISNUMBER(A67)),VLOOKUP(A67,Studies!A:BR,13,FALSE),"")</f>
        <v>PO</v>
      </c>
      <c r="H67" s="140" t="str">
        <f t="shared" si="1"/>
        <v>PO</v>
      </c>
      <c r="I67" s="208" t="str">
        <f>IF(AND(A67&lt;&gt;"",ISNUMBER(A67)),VLOOKUP(A67,Studies!A:BR,6,FALSE),"")</f>
        <v>Plasma</v>
      </c>
      <c r="J67" s="189">
        <v>1.25</v>
      </c>
      <c r="K67" s="189" t="s">
        <v>1098</v>
      </c>
      <c r="L67" s="203"/>
      <c r="M67" s="203"/>
      <c r="N67" s="195">
        <v>1.55</v>
      </c>
      <c r="O67" s="195" t="s">
        <v>1098</v>
      </c>
      <c r="P67" s="204"/>
      <c r="Q67" s="204"/>
      <c r="R67" s="184">
        <v>0</v>
      </c>
      <c r="S67" s="185" t="s">
        <v>1023</v>
      </c>
      <c r="T67" s="186">
        <v>360</v>
      </c>
      <c r="U67" s="187" t="s">
        <v>1023</v>
      </c>
      <c r="V67" s="188" t="s">
        <v>60</v>
      </c>
      <c r="W67" s="183"/>
      <c r="X67" s="138">
        <v>600</v>
      </c>
      <c r="Y67" s="139"/>
      <c r="Z67" s="139" t="s">
        <v>58</v>
      </c>
      <c r="AA67" s="138" t="s">
        <v>59</v>
      </c>
      <c r="AB67" s="138" t="s">
        <v>501</v>
      </c>
      <c r="AC67" s="138" t="s">
        <v>60</v>
      </c>
      <c r="AD67" s="138" t="s">
        <v>1429</v>
      </c>
      <c r="AE67" s="176" t="s">
        <v>1240</v>
      </c>
      <c r="AF67" s="176" t="s">
        <v>1490</v>
      </c>
      <c r="AG67" s="176"/>
      <c r="AH67" s="177"/>
      <c r="AI67" s="177"/>
      <c r="AJ67" s="195"/>
      <c r="AK67" s="195"/>
      <c r="AL67" s="195"/>
      <c r="AM67" s="195"/>
      <c r="AN67" s="183">
        <f>IF(ISNUMBER(VLOOKUP(A67,NotghiID!A:A,1,FALSE)),1,0)</f>
        <v>1</v>
      </c>
    </row>
    <row r="68" spans="1:40" s="137" customFormat="1" ht="14.25" x14ac:dyDescent="0.2">
      <c r="A68" s="189">
        <v>271</v>
      </c>
      <c r="B68" s="206" t="str">
        <f>IF(AND(A68&lt;&gt;"",ISNUMBER(A68)),VLOOKUP(A68,Studies!A:BR,2,FALSE),"")</f>
        <v>Jalava 1997</v>
      </c>
      <c r="C68" s="206" t="str">
        <f>IF(AND(A68&lt;&gt;"",ISNUMBER(A68)),VLOOKUP(A68,Studies!A:BR,3,FALSE),"")</f>
        <v>https://www.ncbi.nlm.nih.gov/pubmed/9421099</v>
      </c>
      <c r="D68" s="206" t="str">
        <f>IF(AND(A68&lt;&gt;"",ISNUMBER(A68)),VLOOKUP(A68,Studies!A:BR,4,FALSE),"")</f>
        <v>po with Perpetrator (Itraconazole)</v>
      </c>
      <c r="E68" s="141" t="str">
        <f>IF(AND(A68&lt;&gt;"",ISNUMBER(A68)),VLOOKUP(A68,Studies!A:BR,5,FALSE),"")</f>
        <v>Digoxin</v>
      </c>
      <c r="F68" s="188" t="s">
        <v>149</v>
      </c>
      <c r="G68" s="208" t="str">
        <f>IF(AND(A68&lt;&gt;"",ISNUMBER(A68)),VLOOKUP(A68,Studies!A:BR,13,FALSE),"")</f>
        <v>PO</v>
      </c>
      <c r="H68" s="140" t="s">
        <v>59</v>
      </c>
      <c r="I68" s="208" t="str">
        <f>IF(AND(A68&lt;&gt;"",ISNUMBER(A68)),VLOOKUP(A68,Studies!A:BR,6,FALSE),"")</f>
        <v>Serum</v>
      </c>
      <c r="J68" s="189">
        <v>168</v>
      </c>
      <c r="K68" s="189" t="s">
        <v>389</v>
      </c>
      <c r="L68" s="203"/>
      <c r="M68" s="203"/>
      <c r="N68" s="195">
        <v>134</v>
      </c>
      <c r="O68" s="195" t="s">
        <v>389</v>
      </c>
      <c r="P68" s="204"/>
      <c r="Q68" s="204"/>
      <c r="R68" s="184">
        <v>0</v>
      </c>
      <c r="S68" s="185" t="s">
        <v>1023</v>
      </c>
      <c r="T68" s="186">
        <v>49</v>
      </c>
      <c r="U68" s="187" t="s">
        <v>1023</v>
      </c>
      <c r="V68" s="188" t="s">
        <v>60</v>
      </c>
      <c r="W68" s="183"/>
      <c r="X68" s="138">
        <v>200</v>
      </c>
      <c r="Y68" s="139"/>
      <c r="Z68" s="139" t="s">
        <v>58</v>
      </c>
      <c r="AA68" s="138"/>
      <c r="AB68" s="138" t="s">
        <v>186</v>
      </c>
      <c r="AC68" s="138"/>
      <c r="AD68" s="138"/>
      <c r="AE68" s="176"/>
      <c r="AF68" s="176" t="s">
        <v>1507</v>
      </c>
      <c r="AG68" s="176"/>
      <c r="AH68" s="177">
        <v>120</v>
      </c>
      <c r="AI68" s="177"/>
      <c r="AJ68" s="195"/>
      <c r="AK68" s="195"/>
      <c r="AL68" s="195"/>
      <c r="AM68" s="195"/>
      <c r="AN68" s="183"/>
    </row>
    <row r="69" spans="1:40" s="137" customFormat="1" ht="14.25" x14ac:dyDescent="0.2">
      <c r="A69" s="189">
        <v>173</v>
      </c>
      <c r="B69" s="206" t="str">
        <f>IF(AND(A69&lt;&gt;"",ISNUMBER(A69)),VLOOKUP(A69,Studies!A:BR,2,FALSE),"")</f>
        <v>Gorski 1998</v>
      </c>
      <c r="C69" s="206" t="str">
        <f>IF(AND(A69&lt;&gt;"",ISNUMBER(A69)),VLOOKUP(A69,Studies!A:BR,3,FALSE),"")</f>
        <v>https://www.ncbi.nlm.nih.gov/pubmed/9728893</v>
      </c>
      <c r="D69" s="206" t="str">
        <f>IF(AND(A69&lt;&gt;"",ISNUMBER(A69)),VLOOKUP(A69,Studies!A:BR,4,FALSE),"")</f>
        <v>po with Perpetrator (Clarithromycin)</v>
      </c>
      <c r="E69" s="141" t="str">
        <f>IF(AND(A69&lt;&gt;"",ISNUMBER(A69)),VLOOKUP(A69,Studies!A:BR,5,FALSE),"")</f>
        <v>Midazolam</v>
      </c>
      <c r="F69" s="188" t="s">
        <v>1212</v>
      </c>
      <c r="G69" s="208" t="str">
        <f>IF(AND(A69&lt;&gt;"",ISNUMBER(A69)),VLOOKUP(A69,Studies!A:BR,13,FALSE),"")</f>
        <v>PO</v>
      </c>
      <c r="H69" s="140" t="str">
        <f t="shared" si="1"/>
        <v>PO</v>
      </c>
      <c r="I69" s="208" t="str">
        <f>IF(AND(A69&lt;&gt;"",ISNUMBER(A69)),VLOOKUP(A69,Studies!A:BR,6,FALSE),"")</f>
        <v>Whole Blood</v>
      </c>
      <c r="J69" s="189">
        <f>1.5/0.21</f>
        <v>7.1428571428571432</v>
      </c>
      <c r="K69" s="189" t="s">
        <v>1201</v>
      </c>
      <c r="L69" s="203"/>
      <c r="M69" s="203"/>
      <c r="N69" s="195"/>
      <c r="O69" s="195"/>
      <c r="P69" s="204"/>
      <c r="Q69" s="204"/>
      <c r="R69" s="184">
        <v>0</v>
      </c>
      <c r="S69" s="185" t="s">
        <v>1023</v>
      </c>
      <c r="T69" s="186">
        <v>146</v>
      </c>
      <c r="U69" s="187" t="s">
        <v>1023</v>
      </c>
      <c r="V69" s="188" t="s">
        <v>60</v>
      </c>
      <c r="W69" s="183" t="s">
        <v>1229</v>
      </c>
      <c r="X69" s="160">
        <v>500</v>
      </c>
      <c r="Y69" s="161"/>
      <c r="Z69" s="161" t="s">
        <v>58</v>
      </c>
      <c r="AA69" s="160" t="s">
        <v>59</v>
      </c>
      <c r="AB69" s="178" t="s">
        <v>1252</v>
      </c>
      <c r="AC69" s="160" t="s">
        <v>60</v>
      </c>
      <c r="AD69" s="160" t="s">
        <v>92</v>
      </c>
      <c r="AE69" s="162"/>
      <c r="AF69" s="162" t="s">
        <v>1253</v>
      </c>
      <c r="AG69" s="176"/>
      <c r="AH69" s="177"/>
      <c r="AI69" s="177"/>
      <c r="AJ69" s="195"/>
      <c r="AK69" s="195"/>
      <c r="AL69" s="195"/>
      <c r="AM69" s="195"/>
      <c r="AN69" s="183">
        <f>IF(ISNUMBER(VLOOKUP(A69,NotghiID!A:A,1,FALSE)),1,0)</f>
        <v>1</v>
      </c>
    </row>
    <row r="70" spans="1:40" s="137" customFormat="1" ht="14.25" x14ac:dyDescent="0.2">
      <c r="A70" s="189">
        <v>175</v>
      </c>
      <c r="B70" s="206" t="str">
        <f>IF(AND(A70&lt;&gt;"",ISNUMBER(A70)),VLOOKUP(A70,Studies!A:BR,2,FALSE),"")</f>
        <v>Gorski 1998</v>
      </c>
      <c r="C70" s="206" t="str">
        <f>IF(AND(A70&lt;&gt;"",ISNUMBER(A70)),VLOOKUP(A70,Studies!A:BR,3,FALSE),"")</f>
        <v>https://www.ncbi.nlm.nih.gov/pubmed/9728893</v>
      </c>
      <c r="D70" s="206" t="str">
        <f>IF(AND(A70&lt;&gt;"",ISNUMBER(A70)),VLOOKUP(A70,Studies!A:BR,4,FALSE),"")</f>
        <v>iv with Perpetrator (Clarithromycin)</v>
      </c>
      <c r="E70" s="141" t="str">
        <f>IF(AND(A70&lt;&gt;"",ISNUMBER(A70)),VLOOKUP(A70,Studies!A:BR,5,FALSE),"")</f>
        <v>Midazolam</v>
      </c>
      <c r="F70" s="188" t="s">
        <v>1212</v>
      </c>
      <c r="G70" s="208" t="str">
        <f>IF(AND(A70&lt;&gt;"",ISNUMBER(A70)),VLOOKUP(A70,Studies!A:BR,13,FALSE),"")</f>
        <v>IV</v>
      </c>
      <c r="H70" s="140" t="str">
        <f t="shared" si="1"/>
        <v>PO</v>
      </c>
      <c r="I70" s="208" t="str">
        <f>IF(AND(A70&lt;&gt;"",ISNUMBER(A70)),VLOOKUP(A70,Studies!A:BR,6,FALSE),"")</f>
        <v>Whole Blood</v>
      </c>
      <c r="J70" s="189">
        <f>0.4/0.15</f>
        <v>2.666666666666667</v>
      </c>
      <c r="K70" s="189" t="s">
        <v>1201</v>
      </c>
      <c r="L70" s="203"/>
      <c r="M70" s="203"/>
      <c r="N70" s="195"/>
      <c r="O70" s="195"/>
      <c r="P70" s="204"/>
      <c r="Q70" s="204"/>
      <c r="R70" s="184">
        <v>0</v>
      </c>
      <c r="S70" s="185" t="s">
        <v>1023</v>
      </c>
      <c r="T70" s="186">
        <v>146</v>
      </c>
      <c r="U70" s="187" t="s">
        <v>1023</v>
      </c>
      <c r="V70" s="188" t="s">
        <v>60</v>
      </c>
      <c r="W70" s="183" t="s">
        <v>1229</v>
      </c>
      <c r="X70" s="160">
        <v>500</v>
      </c>
      <c r="Y70" s="161"/>
      <c r="Z70" s="161" t="s">
        <v>58</v>
      </c>
      <c r="AA70" s="160" t="s">
        <v>59</v>
      </c>
      <c r="AB70" s="178" t="s">
        <v>1252</v>
      </c>
      <c r="AC70" s="160" t="s">
        <v>60</v>
      </c>
      <c r="AD70" s="160" t="s">
        <v>92</v>
      </c>
      <c r="AE70" s="162"/>
      <c r="AF70" s="162" t="s">
        <v>1253</v>
      </c>
      <c r="AG70" s="176"/>
      <c r="AH70" s="177"/>
      <c r="AI70" s="177"/>
      <c r="AJ70" s="195"/>
      <c r="AK70" s="195"/>
      <c r="AL70" s="195"/>
      <c r="AM70" s="195"/>
      <c r="AN70" s="183">
        <f>IF(ISNUMBER(VLOOKUP(A70,NotghiID!A:A,1,FALSE)),1,0)</f>
        <v>1</v>
      </c>
    </row>
    <row r="71" spans="1:40" s="137" customFormat="1" ht="14.25" x14ac:dyDescent="0.2">
      <c r="A71" s="189">
        <v>276</v>
      </c>
      <c r="B71" s="206" t="str">
        <f>IF(AND(A71&lt;&gt;"",ISNUMBER(A71)),VLOOKUP(A71,Studies!A:BR,2,FALSE),"")</f>
        <v>Kharasch 1997</v>
      </c>
      <c r="C71" s="206" t="str">
        <f>IF(AND(A71&lt;&gt;"",ISNUMBER(A71)),VLOOKUP(A71,Studies!A:BR,3,FALSE),"")</f>
        <v>https://www.ncbi.nlm.nih.gov/pubmed/9232132</v>
      </c>
      <c r="D71" s="206" t="str">
        <f>IF(AND(A71&lt;&gt;"",ISNUMBER(A71)),VLOOKUP(A71,Studies!A:BR,4,FALSE),"")</f>
        <v>with Perpetrator (Rifampicin)</v>
      </c>
      <c r="E71" s="141" t="str">
        <f>IF(AND(A71&lt;&gt;"",ISNUMBER(A71)),VLOOKUP(A71,Studies!A:BR,5,FALSE),"")</f>
        <v>Midazolam</v>
      </c>
      <c r="F71" s="188" t="s">
        <v>54</v>
      </c>
      <c r="G71" s="208" t="str">
        <f>IF(AND(A71&lt;&gt;"",ISNUMBER(A71)),VLOOKUP(A71,Studies!A:BR,13,FALSE),"")</f>
        <v>IV</v>
      </c>
      <c r="H71" s="140" t="str">
        <f t="shared" si="1"/>
        <v>PO</v>
      </c>
      <c r="I71" s="208" t="str">
        <f>IF(AND(A71&lt;&gt;"",ISNUMBER(A71)),VLOOKUP(A71,Studies!A:BR,6,FALSE),"")</f>
        <v>Plasma</v>
      </c>
      <c r="J71" s="189">
        <f>3.3/8.7</f>
        <v>0.37931034482758624</v>
      </c>
      <c r="K71" s="189" t="s">
        <v>1201</v>
      </c>
      <c r="L71" s="203"/>
      <c r="M71" s="203"/>
      <c r="N71" s="195"/>
      <c r="O71" s="195"/>
      <c r="P71" s="204"/>
      <c r="Q71" s="204"/>
      <c r="R71" s="184">
        <v>0</v>
      </c>
      <c r="S71" s="185" t="s">
        <v>1023</v>
      </c>
      <c r="T71" s="186">
        <f>4*24+24</f>
        <v>120</v>
      </c>
      <c r="U71" s="187" t="s">
        <v>1023</v>
      </c>
      <c r="V71" s="188" t="s">
        <v>60</v>
      </c>
      <c r="W71" s="122" t="s">
        <v>1254</v>
      </c>
      <c r="X71" s="160">
        <v>600</v>
      </c>
      <c r="Y71" s="161"/>
      <c r="Z71" s="161" t="s">
        <v>58</v>
      </c>
      <c r="AA71" s="160" t="s">
        <v>59</v>
      </c>
      <c r="AB71" s="178" t="s">
        <v>186</v>
      </c>
      <c r="AC71" s="160" t="s">
        <v>60</v>
      </c>
      <c r="AD71" s="160" t="s">
        <v>92</v>
      </c>
      <c r="AE71" s="176"/>
      <c r="AF71" s="176"/>
      <c r="AG71" s="176"/>
      <c r="AH71" s="177"/>
      <c r="AI71" s="177"/>
      <c r="AJ71" s="195"/>
      <c r="AK71" s="195"/>
      <c r="AL71" s="195"/>
      <c r="AM71" s="195"/>
      <c r="AN71" s="183">
        <f>IF(ISNUMBER(VLOOKUP(A71,NotghiID!A:A,1,FALSE)),1,0)</f>
        <v>1</v>
      </c>
    </row>
    <row r="72" spans="1:40" s="137" customFormat="1" ht="14.25" x14ac:dyDescent="0.2">
      <c r="A72" s="189">
        <v>278</v>
      </c>
      <c r="B72" s="206" t="str">
        <f>IF(AND(A72&lt;&gt;"",ISNUMBER(A72)),VLOOKUP(A72,Studies!A:BR,2,FALSE),"")</f>
        <v>Kharasch 1997</v>
      </c>
      <c r="C72" s="206" t="str">
        <f>IF(AND(A72&lt;&gt;"",ISNUMBER(A72)),VLOOKUP(A72,Studies!A:BR,3,FALSE),"")</f>
        <v>https://www.ncbi.nlm.nih.gov/pubmed/9232132</v>
      </c>
      <c r="D72" s="206" t="str">
        <f>IF(AND(A72&lt;&gt;"",ISNUMBER(A72)),VLOOKUP(A72,Studies!A:BR,4,FALSE),"")</f>
        <v>with Perpetrator (Rifampicin)</v>
      </c>
      <c r="E72" s="141" t="str">
        <f>IF(AND(A72&lt;&gt;"",ISNUMBER(A72)),VLOOKUP(A72,Studies!A:BR,5,FALSE),"")</f>
        <v>Alfentanil</v>
      </c>
      <c r="F72" s="188" t="s">
        <v>54</v>
      </c>
      <c r="G72" s="208" t="str">
        <f>IF(AND(A72&lt;&gt;"",ISNUMBER(A72)),VLOOKUP(A72,Studies!A:BR,13,FALSE),"")</f>
        <v>IV</v>
      </c>
      <c r="H72" s="140" t="str">
        <f t="shared" si="1"/>
        <v>PO</v>
      </c>
      <c r="I72" s="208" t="str">
        <f>IF(AND(A72&lt;&gt;"",ISNUMBER(A72)),VLOOKUP(A72,Studies!A:BR,6,FALSE),"")</f>
        <v>Plasma</v>
      </c>
      <c r="J72" s="189">
        <f>5.3/14.6</f>
        <v>0.36301369863013699</v>
      </c>
      <c r="K72" s="189" t="s">
        <v>1201</v>
      </c>
      <c r="L72" s="203"/>
      <c r="M72" s="203"/>
      <c r="N72" s="195"/>
      <c r="O72" s="195"/>
      <c r="P72" s="204"/>
      <c r="Q72" s="204"/>
      <c r="R72" s="184">
        <v>0</v>
      </c>
      <c r="S72" s="185" t="s">
        <v>1023</v>
      </c>
      <c r="T72" s="186">
        <v>120.5</v>
      </c>
      <c r="U72" s="187" t="s">
        <v>1023</v>
      </c>
      <c r="V72" s="188" t="s">
        <v>60</v>
      </c>
      <c r="W72" s="122" t="s">
        <v>1254</v>
      </c>
      <c r="X72" s="160">
        <v>600</v>
      </c>
      <c r="Y72" s="161"/>
      <c r="Z72" s="161" t="s">
        <v>58</v>
      </c>
      <c r="AA72" s="160" t="s">
        <v>59</v>
      </c>
      <c r="AB72" s="178" t="s">
        <v>186</v>
      </c>
      <c r="AC72" s="160" t="s">
        <v>60</v>
      </c>
      <c r="AD72" s="160" t="s">
        <v>92</v>
      </c>
      <c r="AE72" s="176"/>
      <c r="AF72" s="176"/>
      <c r="AG72" s="176"/>
      <c r="AH72" s="177"/>
      <c r="AI72" s="177"/>
      <c r="AJ72" s="195"/>
      <c r="AK72" s="195"/>
      <c r="AL72" s="195"/>
      <c r="AM72" s="195"/>
      <c r="AN72" s="183">
        <f>IF(ISNUMBER(VLOOKUP(A72,NotghiID!A:A,1,FALSE)),1,0)</f>
        <v>1</v>
      </c>
    </row>
    <row r="73" spans="1:40" s="137" customFormat="1" ht="14.25" x14ac:dyDescent="0.2">
      <c r="A73" s="189">
        <v>377</v>
      </c>
      <c r="B73" s="206" t="str">
        <f>IF(AND(A73&lt;&gt;"",ISNUMBER(A73)),VLOOKUP(A73,Studies!A:BR,2,FALSE),"")</f>
        <v>Olkkola 1996</v>
      </c>
      <c r="C73" s="206" t="str">
        <f>IF(AND(A73&lt;&gt;"",ISNUMBER(A73)),VLOOKUP(A73,Studies!A:BR,3,FALSE),"")</f>
        <v>https://www.ncbi.nlm.nih.gov/pubmed/8623953</v>
      </c>
      <c r="D73" s="206" t="str">
        <f>IF(AND(A73&lt;&gt;"",ISNUMBER(A73)),VLOOKUP(A73,Studies!A:BR,4,FALSE),"")</f>
        <v>day 1 (po) with Perpetrator (Itraconazole)</v>
      </c>
      <c r="E73" s="141" t="str">
        <f>IF(AND(A73&lt;&gt;"",ISNUMBER(A73)),VLOOKUP(A73,Studies!A:BR,5,FALSE),"")</f>
        <v>Midazolam</v>
      </c>
      <c r="F73" s="188" t="s">
        <v>149</v>
      </c>
      <c r="G73" s="208" t="str">
        <f>IF(AND(A73&lt;&gt;"",ISNUMBER(A73)),VLOOKUP(A73,Studies!A:BR,13,FALSE),"")</f>
        <v>PO</v>
      </c>
      <c r="H73" s="140" t="str">
        <f t="shared" si="1"/>
        <v>PO</v>
      </c>
      <c r="I73" s="208" t="str">
        <f>IF(AND(A73&lt;&gt;"",ISNUMBER(A73)),VLOOKUP(A73,Studies!A:BR,6,FALSE),"")</f>
        <v>Plasma</v>
      </c>
      <c r="J73" s="214">
        <v>3.4</v>
      </c>
      <c r="K73" s="214" t="s">
        <v>116</v>
      </c>
      <c r="L73" s="215"/>
      <c r="M73" s="215"/>
      <c r="N73" s="216">
        <v>1.8</v>
      </c>
      <c r="O73" s="216" t="s">
        <v>389</v>
      </c>
      <c r="P73" s="217"/>
      <c r="Q73" s="217"/>
      <c r="R73" s="218">
        <v>0</v>
      </c>
      <c r="S73" s="219" t="s">
        <v>1023</v>
      </c>
      <c r="T73" s="220">
        <v>2</v>
      </c>
      <c r="U73" s="221" t="s">
        <v>1023</v>
      </c>
      <c r="V73" s="222" t="s">
        <v>60</v>
      </c>
      <c r="W73" s="223"/>
      <c r="X73" s="224">
        <v>200</v>
      </c>
      <c r="Y73" s="225"/>
      <c r="Z73" s="225" t="s">
        <v>58</v>
      </c>
      <c r="AA73" s="224" t="s">
        <v>59</v>
      </c>
      <c r="AB73" s="209">
        <v>0</v>
      </c>
      <c r="AC73" s="224" t="s">
        <v>60</v>
      </c>
      <c r="AD73" s="224" t="s">
        <v>79</v>
      </c>
      <c r="AE73" s="176"/>
      <c r="AF73" s="176"/>
      <c r="AG73" s="176"/>
      <c r="AH73" s="177"/>
      <c r="AI73" s="177"/>
      <c r="AJ73" s="195"/>
      <c r="AK73" s="195"/>
      <c r="AL73" s="195"/>
      <c r="AM73" s="195"/>
      <c r="AN73" s="183">
        <f>IF(ISNUMBER(VLOOKUP(A73,NotghiID!A:A,1,FALSE)),1,0)</f>
        <v>1</v>
      </c>
    </row>
    <row r="74" spans="1:40" s="137" customFormat="1" ht="14.25" x14ac:dyDescent="0.2">
      <c r="A74" s="189">
        <v>378</v>
      </c>
      <c r="B74" s="206" t="str">
        <f>IF(AND(A74&lt;&gt;"",ISNUMBER(A74)),VLOOKUP(A74,Studies!A:BR,2,FALSE),"")</f>
        <v>Olkkola 1996</v>
      </c>
      <c r="C74" s="206" t="str">
        <f>IF(AND(A74&lt;&gt;"",ISNUMBER(A74)),VLOOKUP(A74,Studies!A:BR,3,FALSE),"")</f>
        <v>https://www.ncbi.nlm.nih.gov/pubmed/8623953</v>
      </c>
      <c r="D74" s="206" t="str">
        <f>IF(AND(A74&lt;&gt;"",ISNUMBER(A74)),VLOOKUP(A74,Studies!A:BR,4,FALSE),"")</f>
        <v>day 4 (iv) with Perpetrator (Itraconazole)</v>
      </c>
      <c r="E74" s="141" t="str">
        <f>IF(AND(A74&lt;&gt;"",ISNUMBER(A74)),VLOOKUP(A74,Studies!A:BR,5,FALSE),"")</f>
        <v>Midazolam</v>
      </c>
      <c r="F74" s="188" t="s">
        <v>149</v>
      </c>
      <c r="G74" s="208" t="str">
        <f>IF(AND(A74&lt;&gt;"",ISNUMBER(A74)),VLOOKUP(A74,Studies!A:BR,13,FALSE),"")</f>
        <v>IV</v>
      </c>
      <c r="H74" s="140" t="str">
        <f t="shared" si="1"/>
        <v>PO</v>
      </c>
      <c r="I74" s="208" t="str">
        <f>IF(AND(A74&lt;&gt;"",ISNUMBER(A74)),VLOOKUP(A74,Studies!A:BR,6,FALSE),"")</f>
        <v>Plasma</v>
      </c>
      <c r="J74" s="214">
        <f>1/0.31</f>
        <v>3.2258064516129035</v>
      </c>
      <c r="K74" s="214" t="s">
        <v>1201</v>
      </c>
      <c r="L74" s="215"/>
      <c r="M74" s="215"/>
      <c r="N74" s="216"/>
      <c r="O74" s="216"/>
      <c r="P74" s="217"/>
      <c r="Q74" s="217"/>
      <c r="R74" s="218">
        <v>0</v>
      </c>
      <c r="S74" s="219" t="s">
        <v>1023</v>
      </c>
      <c r="T74" s="220">
        <v>74</v>
      </c>
      <c r="U74" s="221" t="s">
        <v>1023</v>
      </c>
      <c r="V74" s="222" t="s">
        <v>60</v>
      </c>
      <c r="W74" s="223"/>
      <c r="X74" s="224">
        <v>200</v>
      </c>
      <c r="Y74" s="225"/>
      <c r="Z74" s="225" t="s">
        <v>58</v>
      </c>
      <c r="AA74" s="224" t="s">
        <v>59</v>
      </c>
      <c r="AB74" s="209" t="s">
        <v>918</v>
      </c>
      <c r="AC74" s="224" t="s">
        <v>60</v>
      </c>
      <c r="AD74" s="224" t="s">
        <v>92</v>
      </c>
      <c r="AE74" s="176"/>
      <c r="AF74" s="176"/>
      <c r="AG74" s="176"/>
      <c r="AH74" s="177"/>
      <c r="AI74" s="177"/>
      <c r="AJ74" s="195"/>
      <c r="AK74" s="195"/>
      <c r="AL74" s="195"/>
      <c r="AM74" s="195"/>
      <c r="AN74" s="183">
        <f>IF(ISNUMBER(VLOOKUP(A74,NotghiID!A:A,1,FALSE)),1,0)</f>
        <v>1</v>
      </c>
    </row>
    <row r="75" spans="1:40" s="137" customFormat="1" ht="14.25" x14ac:dyDescent="0.2">
      <c r="A75" s="189">
        <v>379</v>
      </c>
      <c r="B75" s="206" t="str">
        <f>IF(AND(A75&lt;&gt;"",ISNUMBER(A75)),VLOOKUP(A75,Studies!A:BR,2,FALSE),"")</f>
        <v>Olkkola 1996</v>
      </c>
      <c r="C75" s="206" t="str">
        <f>IF(AND(A75&lt;&gt;"",ISNUMBER(A75)),VLOOKUP(A75,Studies!A:BR,3,FALSE),"")</f>
        <v>https://www.ncbi.nlm.nih.gov/pubmed/8623953</v>
      </c>
      <c r="D75" s="206" t="str">
        <f>IF(AND(A75&lt;&gt;"",ISNUMBER(A75)),VLOOKUP(A75,Studies!A:BR,4,FALSE),"")</f>
        <v>day 6 (po) with Perpetrator (Itraconazole)</v>
      </c>
      <c r="E75" s="141" t="str">
        <f>IF(AND(A75&lt;&gt;"",ISNUMBER(A75)),VLOOKUP(A75,Studies!A:BR,5,FALSE),"")</f>
        <v>Midazolam</v>
      </c>
      <c r="F75" s="188" t="s">
        <v>149</v>
      </c>
      <c r="G75" s="208" t="str">
        <f>IF(AND(A75&lt;&gt;"",ISNUMBER(A75)),VLOOKUP(A75,Studies!A:BR,13,FALSE),"")</f>
        <v>PO</v>
      </c>
      <c r="H75" s="140" t="str">
        <f t="shared" si="1"/>
        <v>PO</v>
      </c>
      <c r="I75" s="208" t="str">
        <f>IF(AND(A75&lt;&gt;"",ISNUMBER(A75)),VLOOKUP(A75,Studies!A:BR,6,FALSE),"")</f>
        <v>Plasma</v>
      </c>
      <c r="J75" s="214">
        <v>6.6</v>
      </c>
      <c r="K75" s="214" t="s">
        <v>116</v>
      </c>
      <c r="L75" s="215"/>
      <c r="M75" s="215"/>
      <c r="N75" s="216">
        <v>2.5</v>
      </c>
      <c r="O75" s="216" t="s">
        <v>389</v>
      </c>
      <c r="P75" s="217"/>
      <c r="Q75" s="217"/>
      <c r="R75" s="218">
        <v>0</v>
      </c>
      <c r="S75" s="219" t="s">
        <v>1023</v>
      </c>
      <c r="T75" s="220">
        <v>122</v>
      </c>
      <c r="U75" s="221" t="s">
        <v>1023</v>
      </c>
      <c r="V75" s="222" t="s">
        <v>60</v>
      </c>
      <c r="W75" s="223"/>
      <c r="X75" s="224">
        <v>200</v>
      </c>
      <c r="Y75" s="225"/>
      <c r="Z75" s="225" t="s">
        <v>58</v>
      </c>
      <c r="AA75" s="224" t="s">
        <v>59</v>
      </c>
      <c r="AB75" s="209" t="s">
        <v>1239</v>
      </c>
      <c r="AC75" s="224" t="s">
        <v>60</v>
      </c>
      <c r="AD75" s="224" t="s">
        <v>92</v>
      </c>
      <c r="AE75" s="176"/>
      <c r="AF75" s="176"/>
      <c r="AG75" s="176"/>
      <c r="AH75" s="177"/>
      <c r="AI75" s="177"/>
      <c r="AJ75" s="195"/>
      <c r="AK75" s="195"/>
      <c r="AL75" s="195"/>
      <c r="AM75" s="195"/>
      <c r="AN75" s="183">
        <f>IF(ISNUMBER(VLOOKUP(A75,NotghiID!A:A,1,FALSE)),1,0)</f>
        <v>1</v>
      </c>
    </row>
    <row r="76" spans="1:40" s="137" customFormat="1" ht="14.25" x14ac:dyDescent="0.2">
      <c r="A76" s="189">
        <v>380</v>
      </c>
      <c r="B76" s="206" t="str">
        <f>IF(AND(A76&lt;&gt;"",ISNUMBER(A76)),VLOOKUP(A76,Studies!A:BR,2,FALSE),"")</f>
        <v>Olkkola 1996</v>
      </c>
      <c r="C76" s="206" t="str">
        <f>IF(AND(A76&lt;&gt;"",ISNUMBER(A76)),VLOOKUP(A76,Studies!A:BR,3,FALSE),"")</f>
        <v>https://www.ncbi.nlm.nih.gov/pubmed/8623953</v>
      </c>
      <c r="D76" s="206" t="str">
        <f>IF(AND(A76&lt;&gt;"",ISNUMBER(A76)),VLOOKUP(A76,Studies!A:BR,4,FALSE),"")</f>
        <v>day 1 (po) with Perpetrator (Fluconazole)</v>
      </c>
      <c r="E76" s="141" t="str">
        <f>IF(AND(A76&lt;&gt;"",ISNUMBER(A76)),VLOOKUP(A76,Studies!A:BR,5,FALSE),"")</f>
        <v>Midazolam</v>
      </c>
      <c r="F76" s="188" t="s">
        <v>1255</v>
      </c>
      <c r="G76" s="208" t="str">
        <f>IF(AND(A76&lt;&gt;"",ISNUMBER(A76)),VLOOKUP(A76,Studies!A:BR,13,FALSE),"")</f>
        <v>PO</v>
      </c>
      <c r="H76" s="140" t="str">
        <f t="shared" si="1"/>
        <v>PO</v>
      </c>
      <c r="I76" s="208" t="str">
        <f>IF(AND(A76&lt;&gt;"",ISNUMBER(A76)),VLOOKUP(A76,Studies!A:BR,6,FALSE),"")</f>
        <v>Plasma</v>
      </c>
      <c r="J76" s="214">
        <v>2.5</v>
      </c>
      <c r="K76" s="214" t="s">
        <v>116</v>
      </c>
      <c r="L76" s="215"/>
      <c r="M76" s="215"/>
      <c r="N76" s="216">
        <v>2.5</v>
      </c>
      <c r="O76" s="216" t="s">
        <v>389</v>
      </c>
      <c r="P76" s="217"/>
      <c r="Q76" s="217"/>
      <c r="R76" s="218">
        <v>0</v>
      </c>
      <c r="S76" s="219" t="s">
        <v>1023</v>
      </c>
      <c r="T76" s="220">
        <v>2</v>
      </c>
      <c r="U76" s="221" t="s">
        <v>1023</v>
      </c>
      <c r="V76" s="222" t="s">
        <v>60</v>
      </c>
      <c r="W76" s="223"/>
      <c r="X76" s="224">
        <v>400</v>
      </c>
      <c r="Y76" s="225"/>
      <c r="Z76" s="225" t="s">
        <v>58</v>
      </c>
      <c r="AA76" s="224" t="s">
        <v>59</v>
      </c>
      <c r="AB76" s="209">
        <v>0</v>
      </c>
      <c r="AC76" s="224" t="s">
        <v>60</v>
      </c>
      <c r="AD76" s="224" t="s">
        <v>92</v>
      </c>
      <c r="AE76" s="176"/>
      <c r="AF76" s="176"/>
      <c r="AG76" s="176"/>
      <c r="AH76" s="177"/>
      <c r="AI76" s="177"/>
      <c r="AJ76" s="195"/>
      <c r="AK76" s="195"/>
      <c r="AL76" s="195"/>
      <c r="AM76" s="195"/>
      <c r="AN76" s="183">
        <f>IF(ISNUMBER(VLOOKUP(A76,NotghiID!A:A,1,FALSE)),1,0)</f>
        <v>1</v>
      </c>
    </row>
    <row r="77" spans="1:40" s="137" customFormat="1" ht="14.25" x14ac:dyDescent="0.2">
      <c r="A77" s="189">
        <v>381</v>
      </c>
      <c r="B77" s="206" t="str">
        <f>IF(AND(A77&lt;&gt;"",ISNUMBER(A77)),VLOOKUP(A77,Studies!A:BR,2,FALSE),"")</f>
        <v>Olkkola 1996</v>
      </c>
      <c r="C77" s="206" t="str">
        <f>IF(AND(A77&lt;&gt;"",ISNUMBER(A77)),VLOOKUP(A77,Studies!A:BR,3,FALSE),"")</f>
        <v>https://www.ncbi.nlm.nih.gov/pubmed/8623953</v>
      </c>
      <c r="D77" s="206" t="str">
        <f>IF(AND(A77&lt;&gt;"",ISNUMBER(A77)),VLOOKUP(A77,Studies!A:BR,4,FALSE),"")</f>
        <v>day 4 (iv) with Perpetrator (Fluconazole)</v>
      </c>
      <c r="E77" s="141" t="str">
        <f>IF(AND(A77&lt;&gt;"",ISNUMBER(A77)),VLOOKUP(A77,Studies!A:BR,5,FALSE),"")</f>
        <v>Midazolam</v>
      </c>
      <c r="F77" s="188" t="s">
        <v>1255</v>
      </c>
      <c r="G77" s="208" t="str">
        <f>IF(AND(A77&lt;&gt;"",ISNUMBER(A77)),VLOOKUP(A77,Studies!A:BR,13,FALSE),"")</f>
        <v>IV</v>
      </c>
      <c r="H77" s="140" t="str">
        <f t="shared" si="1"/>
        <v>PO</v>
      </c>
      <c r="I77" s="208" t="str">
        <f>IF(AND(A77&lt;&gt;"",ISNUMBER(A77)),VLOOKUP(A77,Studies!A:BR,6,FALSE),"")</f>
        <v>Plasma</v>
      </c>
      <c r="J77" s="214">
        <f>1/0.49</f>
        <v>2.0408163265306123</v>
      </c>
      <c r="K77" s="214" t="s">
        <v>1201</v>
      </c>
      <c r="L77" s="215"/>
      <c r="M77" s="215"/>
      <c r="N77" s="216"/>
      <c r="O77" s="216"/>
      <c r="P77" s="217"/>
      <c r="Q77" s="217"/>
      <c r="R77" s="218">
        <v>0</v>
      </c>
      <c r="S77" s="219" t="s">
        <v>1023</v>
      </c>
      <c r="T77" s="220">
        <v>74</v>
      </c>
      <c r="U77" s="221" t="s">
        <v>1023</v>
      </c>
      <c r="V77" s="222" t="s">
        <v>60</v>
      </c>
      <c r="W77" s="223"/>
      <c r="X77" s="224" t="s">
        <v>961</v>
      </c>
      <c r="Y77" s="225"/>
      <c r="Z77" s="225" t="s">
        <v>58</v>
      </c>
      <c r="AA77" s="224" t="s">
        <v>59</v>
      </c>
      <c r="AB77" s="209" t="s">
        <v>1256</v>
      </c>
      <c r="AC77" s="224" t="s">
        <v>60</v>
      </c>
      <c r="AD77" s="224" t="s">
        <v>92</v>
      </c>
      <c r="AE77" s="176"/>
      <c r="AF77" s="176"/>
      <c r="AG77" s="176"/>
      <c r="AH77" s="177"/>
      <c r="AI77" s="177"/>
      <c r="AJ77" s="195"/>
      <c r="AK77" s="195"/>
      <c r="AL77" s="195"/>
      <c r="AM77" s="195"/>
      <c r="AN77" s="183">
        <f>IF(ISNUMBER(VLOOKUP(A77,NotghiID!A:A,1,FALSE)),1,0)</f>
        <v>1</v>
      </c>
    </row>
    <row r="78" spans="1:40" s="137" customFormat="1" ht="14.25" x14ac:dyDescent="0.2">
      <c r="A78" s="189">
        <v>382</v>
      </c>
      <c r="B78" s="206" t="str">
        <f>IF(AND(A78&lt;&gt;"",ISNUMBER(A78)),VLOOKUP(A78,Studies!A:BR,2,FALSE),"")</f>
        <v>Olkkola 1996</v>
      </c>
      <c r="C78" s="206" t="str">
        <f>IF(AND(A78&lt;&gt;"",ISNUMBER(A78)),VLOOKUP(A78,Studies!A:BR,3,FALSE),"")</f>
        <v>https://www.ncbi.nlm.nih.gov/pubmed/8623953</v>
      </c>
      <c r="D78" s="206" t="str">
        <f>IF(AND(A78&lt;&gt;"",ISNUMBER(A78)),VLOOKUP(A78,Studies!A:BR,4,FALSE),"")</f>
        <v>day 6 (po) with Perpetrator (Fluconazole)</v>
      </c>
      <c r="E78" s="141" t="str">
        <f>IF(AND(A78&lt;&gt;"",ISNUMBER(A78)),VLOOKUP(A78,Studies!A:BR,5,FALSE),"")</f>
        <v>Midazolam</v>
      </c>
      <c r="F78" s="188" t="s">
        <v>1255</v>
      </c>
      <c r="G78" s="208" t="str">
        <f>IF(AND(A78&lt;&gt;"",ISNUMBER(A78)),VLOOKUP(A78,Studies!A:BR,13,FALSE),"")</f>
        <v>PO</v>
      </c>
      <c r="H78" s="140" t="str">
        <f t="shared" si="1"/>
        <v>PO</v>
      </c>
      <c r="I78" s="208" t="str">
        <f>IF(AND(A78&lt;&gt;"",ISNUMBER(A78)),VLOOKUP(A78,Studies!A:BR,6,FALSE),"")</f>
        <v>Plasma</v>
      </c>
      <c r="J78" s="214">
        <v>3.6</v>
      </c>
      <c r="K78" s="214" t="s">
        <v>116</v>
      </c>
      <c r="L78" s="215"/>
      <c r="M78" s="215"/>
      <c r="N78" s="216">
        <v>1.7</v>
      </c>
      <c r="O78" s="216" t="s">
        <v>389</v>
      </c>
      <c r="P78" s="217"/>
      <c r="Q78" s="217"/>
      <c r="R78" s="218">
        <v>0</v>
      </c>
      <c r="S78" s="219" t="s">
        <v>1023</v>
      </c>
      <c r="T78" s="220">
        <v>122</v>
      </c>
      <c r="U78" s="221" t="s">
        <v>1023</v>
      </c>
      <c r="V78" s="222" t="s">
        <v>60</v>
      </c>
      <c r="W78" s="223"/>
      <c r="X78" s="224" t="s">
        <v>961</v>
      </c>
      <c r="Y78" s="225"/>
      <c r="Z78" s="225" t="s">
        <v>58</v>
      </c>
      <c r="AA78" s="224" t="s">
        <v>59</v>
      </c>
      <c r="AB78" s="209" t="s">
        <v>1257</v>
      </c>
      <c r="AC78" s="224" t="s">
        <v>60</v>
      </c>
      <c r="AD78" s="224" t="s">
        <v>92</v>
      </c>
      <c r="AE78" s="176"/>
      <c r="AF78" s="176"/>
      <c r="AG78" s="176"/>
      <c r="AH78" s="177"/>
      <c r="AI78" s="177"/>
      <c r="AJ78" s="195"/>
      <c r="AK78" s="195"/>
      <c r="AL78" s="195"/>
      <c r="AM78" s="195"/>
      <c r="AN78" s="183">
        <f>IF(ISNUMBER(VLOOKUP(A78,NotghiID!A:A,1,FALSE)),1,0)</f>
        <v>1</v>
      </c>
    </row>
    <row r="79" spans="1:40" s="137" customFormat="1" ht="14.25" x14ac:dyDescent="0.2">
      <c r="A79" s="189">
        <v>370</v>
      </c>
      <c r="B79" s="206" t="str">
        <f>IF(AND(A79&lt;&gt;"",ISNUMBER(A79)),VLOOKUP(A79,Studies!A:BR,2,FALSE),"")</f>
        <v>Olkkola 1994</v>
      </c>
      <c r="C79" s="206" t="str">
        <f>IF(AND(A79&lt;&gt;"",ISNUMBER(A79)),VLOOKUP(A79,Studies!A:BR,3,FALSE),"")</f>
        <v>https://www.ncbi.nlm.nih.gov/pubmed/8181191</v>
      </c>
      <c r="D79" s="206" t="str">
        <f>IF(AND(A79&lt;&gt;"",ISNUMBER(A79)),VLOOKUP(A79,Studies!A:BR,4,FALSE),"")</f>
        <v>po with Perpetrator (Itraconazole)</v>
      </c>
      <c r="E79" s="141" t="str">
        <f>IF(AND(A79&lt;&gt;"",ISNUMBER(A79)),VLOOKUP(A79,Studies!A:BR,5,FALSE),"")</f>
        <v>Midazolam</v>
      </c>
      <c r="F79" s="188" t="s">
        <v>149</v>
      </c>
      <c r="G79" s="208" t="str">
        <f>IF(AND(A79&lt;&gt;"",ISNUMBER(A79)),VLOOKUP(A79,Studies!A:BR,13,FALSE),"")</f>
        <v>PO</v>
      </c>
      <c r="H79" s="140" t="str">
        <f t="shared" si="1"/>
        <v>PO</v>
      </c>
      <c r="I79" s="208" t="str">
        <f>IF(AND(A79&lt;&gt;"",ISNUMBER(A79)),VLOOKUP(A79,Studies!A:BR,6,FALSE),"")</f>
        <v>Plasma</v>
      </c>
      <c r="J79" s="214">
        <v>10.8</v>
      </c>
      <c r="K79" s="214" t="s">
        <v>116</v>
      </c>
      <c r="L79" s="215"/>
      <c r="M79" s="215"/>
      <c r="N79" s="216">
        <v>3.4</v>
      </c>
      <c r="O79" s="216" t="s">
        <v>389</v>
      </c>
      <c r="P79" s="217"/>
      <c r="Q79" s="217"/>
      <c r="R79" s="218">
        <v>0</v>
      </c>
      <c r="S79" s="219" t="s">
        <v>1023</v>
      </c>
      <c r="T79" s="220">
        <v>73</v>
      </c>
      <c r="U79" s="221" t="s">
        <v>1023</v>
      </c>
      <c r="V79" s="222" t="s">
        <v>60</v>
      </c>
      <c r="W79" s="223"/>
      <c r="X79" s="209">
        <v>200</v>
      </c>
      <c r="Y79" s="210"/>
      <c r="Z79" s="210" t="s">
        <v>58</v>
      </c>
      <c r="AA79" s="209" t="s">
        <v>59</v>
      </c>
      <c r="AB79" s="209" t="s">
        <v>918</v>
      </c>
      <c r="AC79" s="209" t="s">
        <v>60</v>
      </c>
      <c r="AD79" s="209" t="s">
        <v>92</v>
      </c>
      <c r="AE79" s="211" t="s">
        <v>919</v>
      </c>
      <c r="AF79" s="211" t="s">
        <v>920</v>
      </c>
      <c r="AG79" s="212"/>
      <c r="AH79" s="226"/>
      <c r="AI79" s="226"/>
      <c r="AJ79" s="195" t="s">
        <v>62</v>
      </c>
      <c r="AK79" s="195">
        <v>2</v>
      </c>
      <c r="AL79" s="195">
        <v>5</v>
      </c>
      <c r="AM79" s="195"/>
      <c r="AN79" s="183">
        <f>IF(ISNUMBER(VLOOKUP(A79,NotghiID!A:A,1,FALSE)),1,0)</f>
        <v>1</v>
      </c>
    </row>
    <row r="80" spans="1:40" s="137" customFormat="1" ht="14.25" x14ac:dyDescent="0.2">
      <c r="A80" s="189">
        <v>371</v>
      </c>
      <c r="B80" s="206" t="str">
        <f>IF(AND(A80&lt;&gt;"",ISNUMBER(A80)),VLOOKUP(A80,Studies!A:BR,2,FALSE),"")</f>
        <v>Olkkola 1994</v>
      </c>
      <c r="C80" s="206" t="str">
        <f>IF(AND(A80&lt;&gt;"",ISNUMBER(A80)),VLOOKUP(A80,Studies!A:BR,3,FALSE),"")</f>
        <v>https://www.ncbi.nlm.nih.gov/pubmed/8181191</v>
      </c>
      <c r="D80" s="206" t="str">
        <f>IF(AND(A80&lt;&gt;"",ISNUMBER(A80)),VLOOKUP(A80,Studies!A:BR,4,FALSE),"")</f>
        <v>po with Perpetrator (Ketoconazole</v>
      </c>
      <c r="E80" s="141" t="str">
        <f>IF(AND(A80&lt;&gt;"",ISNUMBER(A80)),VLOOKUP(A80,Studies!A:BR,5,FALSE),"")</f>
        <v>Midazolam</v>
      </c>
      <c r="F80" s="188" t="s">
        <v>921</v>
      </c>
      <c r="G80" s="208" t="str">
        <f>IF(AND(A80&lt;&gt;"",ISNUMBER(A80)),VLOOKUP(A80,Studies!A:BR,13,FALSE),"")</f>
        <v>PO</v>
      </c>
      <c r="H80" s="140" t="str">
        <f t="shared" si="1"/>
        <v>PO</v>
      </c>
      <c r="I80" s="208" t="str">
        <f>IF(AND(A80&lt;&gt;"",ISNUMBER(A80)),VLOOKUP(A80,Studies!A:BR,6,FALSE),"")</f>
        <v>Plasma</v>
      </c>
      <c r="J80" s="214">
        <v>15.9</v>
      </c>
      <c r="K80" s="214" t="s">
        <v>116</v>
      </c>
      <c r="L80" s="215"/>
      <c r="M80" s="215"/>
      <c r="N80" s="216">
        <v>4.0999999999999996</v>
      </c>
      <c r="O80" s="216" t="s">
        <v>389</v>
      </c>
      <c r="P80" s="217"/>
      <c r="Q80" s="217"/>
      <c r="R80" s="218">
        <v>0</v>
      </c>
      <c r="S80" s="219" t="s">
        <v>1023</v>
      </c>
      <c r="T80" s="220">
        <v>73</v>
      </c>
      <c r="U80" s="221" t="s">
        <v>1023</v>
      </c>
      <c r="V80" s="222" t="s">
        <v>60</v>
      </c>
      <c r="W80" s="223"/>
      <c r="X80" s="209">
        <v>400</v>
      </c>
      <c r="Y80" s="210"/>
      <c r="Z80" s="210" t="s">
        <v>58</v>
      </c>
      <c r="AA80" s="209" t="s">
        <v>59</v>
      </c>
      <c r="AB80" s="209" t="s">
        <v>918</v>
      </c>
      <c r="AC80" s="209" t="s">
        <v>60</v>
      </c>
      <c r="AD80" s="209" t="s">
        <v>92</v>
      </c>
      <c r="AE80" s="211" t="s">
        <v>922</v>
      </c>
      <c r="AF80" s="211" t="s">
        <v>923</v>
      </c>
      <c r="AG80" s="212"/>
      <c r="AH80" s="226"/>
      <c r="AI80" s="226"/>
      <c r="AJ80" s="195" t="s">
        <v>62</v>
      </c>
      <c r="AK80" s="195">
        <v>2</v>
      </c>
      <c r="AL80" s="195">
        <v>5</v>
      </c>
      <c r="AM80" s="195"/>
      <c r="AN80" s="183">
        <f>IF(ISNUMBER(VLOOKUP(A80,NotghiID!A:A,1,FALSE)),1,0)</f>
        <v>1</v>
      </c>
    </row>
    <row r="81" spans="1:40" s="137" customFormat="1" ht="14.25" x14ac:dyDescent="0.2">
      <c r="A81" s="189">
        <v>366</v>
      </c>
      <c r="B81" s="206" t="str">
        <f>IF(AND(A81&lt;&gt;"",ISNUMBER(A81)),VLOOKUP(A81,Studies!A:BR,2,FALSE),"")</f>
        <v>Olkkola 1993</v>
      </c>
      <c r="C81" s="206" t="str">
        <f>IF(AND(A81&lt;&gt;"",ISNUMBER(A81)),VLOOKUP(A81,Studies!A:BR,3,FALSE),"")</f>
        <v>https://www.ncbi.nlm.nih.gov/pubmed/8453848</v>
      </c>
      <c r="D81" s="206" t="str">
        <f>IF(AND(A81&lt;&gt;"",ISNUMBER(A81)),VLOOKUP(A81,Studies!A:BR,4,FALSE),"")</f>
        <v>po with Perpetrator (Erythromycin)</v>
      </c>
      <c r="E81" s="141" t="str">
        <f>IF(AND(A81&lt;&gt;"",ISNUMBER(A81)),VLOOKUP(A81,Studies!A:BR,5,FALSE),"")</f>
        <v>Midazolam</v>
      </c>
      <c r="F81" s="188" t="s">
        <v>410</v>
      </c>
      <c r="G81" s="208" t="str">
        <f>IF(AND(A81&lt;&gt;"",ISNUMBER(A81)),VLOOKUP(A81,Studies!A:BR,13,FALSE),"")</f>
        <v>PO</v>
      </c>
      <c r="H81" s="140" t="str">
        <f t="shared" si="1"/>
        <v>PO</v>
      </c>
      <c r="I81" s="208" t="str">
        <f>IF(AND(A81&lt;&gt;"",ISNUMBER(A81)),VLOOKUP(A81,Studies!A:BR,6,FALSE),"")</f>
        <v>Plasma</v>
      </c>
      <c r="J81" s="189">
        <f>53/12</f>
        <v>4.416666666666667</v>
      </c>
      <c r="K81" s="189" t="s">
        <v>1201</v>
      </c>
      <c r="L81" s="203"/>
      <c r="M81" s="203"/>
      <c r="N81" s="195">
        <f>189/70</f>
        <v>2.7</v>
      </c>
      <c r="O81" s="195" t="s">
        <v>1201</v>
      </c>
      <c r="P81" s="204"/>
      <c r="Q81" s="204"/>
      <c r="R81" s="184">
        <v>0</v>
      </c>
      <c r="S81" s="185" t="s">
        <v>1023</v>
      </c>
      <c r="T81" s="186">
        <v>128</v>
      </c>
      <c r="U81" s="187" t="s">
        <v>1023</v>
      </c>
      <c r="V81" s="188" t="s">
        <v>60</v>
      </c>
      <c r="W81" s="183"/>
      <c r="X81" s="178">
        <v>500</v>
      </c>
      <c r="Y81" s="182"/>
      <c r="Z81" s="182" t="s">
        <v>58</v>
      </c>
      <c r="AA81" s="178" t="s">
        <v>59</v>
      </c>
      <c r="AB81" s="178" t="s">
        <v>1258</v>
      </c>
      <c r="AC81" s="178" t="s">
        <v>60</v>
      </c>
      <c r="AD81" s="178" t="s">
        <v>1259</v>
      </c>
      <c r="AE81" s="179" t="s">
        <v>412</v>
      </c>
      <c r="AF81" s="179" t="s">
        <v>1260</v>
      </c>
      <c r="AG81" s="180"/>
      <c r="AH81" s="179">
        <v>200</v>
      </c>
      <c r="AI81" s="179"/>
      <c r="AJ81" s="195"/>
      <c r="AK81" s="195"/>
      <c r="AL81" s="195"/>
      <c r="AM81" s="195"/>
      <c r="AN81" s="183">
        <f>IF(ISNUMBER(VLOOKUP(A81,NotghiID!A:A,1,FALSE)),1,0)</f>
        <v>1</v>
      </c>
    </row>
    <row r="82" spans="1:40" s="137" customFormat="1" ht="14.25" x14ac:dyDescent="0.2">
      <c r="A82" s="189">
        <v>368</v>
      </c>
      <c r="B82" s="206" t="str">
        <f>IF(AND(A82&lt;&gt;"",ISNUMBER(A82)),VLOOKUP(A82,Studies!A:BR,2,FALSE),"")</f>
        <v>Olkkola 1993</v>
      </c>
      <c r="C82" s="206" t="str">
        <f>IF(AND(A82&lt;&gt;"",ISNUMBER(A82)),VLOOKUP(A82,Studies!A:BR,3,FALSE),"")</f>
        <v>https://www.ncbi.nlm.nih.gov/pubmed/8453848</v>
      </c>
      <c r="D82" s="206" t="str">
        <f>IF(AND(A82&lt;&gt;"",ISNUMBER(A82)),VLOOKUP(A82,Studies!A:BR,4,FALSE),"")</f>
        <v>iv with Perpetrator (Erythromycin)</v>
      </c>
      <c r="E82" s="141" t="str">
        <f>IF(AND(A82&lt;&gt;"",ISNUMBER(A82)),VLOOKUP(A82,Studies!A:BR,5,FALSE),"")</f>
        <v>Midazolam</v>
      </c>
      <c r="F82" s="188" t="s">
        <v>410</v>
      </c>
      <c r="G82" s="208" t="str">
        <f>IF(AND(A82&lt;&gt;"",ISNUMBER(A82)),VLOOKUP(A82,Studies!A:BR,13,FALSE),"")</f>
        <v>IV</v>
      </c>
      <c r="H82" s="140" t="str">
        <f t="shared" si="1"/>
        <v>PO</v>
      </c>
      <c r="I82" s="208" t="str">
        <f>IF(AND(A82&lt;&gt;"",ISNUMBER(A82)),VLOOKUP(A82,Studies!A:BR,6,FALSE),"")</f>
        <v>Plasma</v>
      </c>
      <c r="J82" s="189">
        <f>7.8/3.6</f>
        <v>2.1666666666666665</v>
      </c>
      <c r="K82" s="189" t="s">
        <v>1201</v>
      </c>
      <c r="L82" s="203"/>
      <c r="M82" s="203"/>
      <c r="N82" s="195"/>
      <c r="O82" s="195"/>
      <c r="P82" s="204"/>
      <c r="Q82" s="204"/>
      <c r="R82" s="184">
        <v>0</v>
      </c>
      <c r="S82" s="185" t="s">
        <v>1023</v>
      </c>
      <c r="T82" s="186">
        <v>128</v>
      </c>
      <c r="U82" s="187" t="s">
        <v>1023</v>
      </c>
      <c r="V82" s="188" t="s">
        <v>60</v>
      </c>
      <c r="W82" s="183"/>
      <c r="X82" s="178">
        <v>500</v>
      </c>
      <c r="Y82" s="182"/>
      <c r="Z82" s="182" t="s">
        <v>58</v>
      </c>
      <c r="AA82" s="178" t="s">
        <v>59</v>
      </c>
      <c r="AB82" s="178" t="s">
        <v>1258</v>
      </c>
      <c r="AC82" s="178" t="s">
        <v>60</v>
      </c>
      <c r="AD82" s="178" t="s">
        <v>1259</v>
      </c>
      <c r="AE82" s="179" t="s">
        <v>412</v>
      </c>
      <c r="AF82" s="179" t="s">
        <v>1260</v>
      </c>
      <c r="AG82" s="180"/>
      <c r="AH82" s="179">
        <v>200</v>
      </c>
      <c r="AI82" s="179"/>
      <c r="AJ82" s="195"/>
      <c r="AK82" s="195"/>
      <c r="AL82" s="195"/>
      <c r="AM82" s="195"/>
      <c r="AN82" s="183">
        <f>IF(ISNUMBER(VLOOKUP(A82,NotghiID!A:A,1,FALSE)),1,0)</f>
        <v>1</v>
      </c>
    </row>
    <row r="83" spans="1:40" s="137" customFormat="1" ht="14.25" x14ac:dyDescent="0.2">
      <c r="A83" s="189">
        <v>401</v>
      </c>
      <c r="B83" s="206" t="str">
        <f>IF(AND(A83&lt;&gt;"",ISNUMBER(A83)),VLOOKUP(A83,Studies!A:BR,2,FALSE),"")</f>
        <v>Saari 2006</v>
      </c>
      <c r="C83" s="206" t="str">
        <f>IF(AND(A83&lt;&gt;"",ISNUMBER(A83)),VLOOKUP(A83,Studies!A:BR,3,FALSE),"")</f>
        <v>https://www.ncbi.nlm.nih.gov/pubmed/16580904</v>
      </c>
      <c r="D83" s="206" t="str">
        <f>IF(AND(A83&lt;&gt;"",ISNUMBER(A83)),VLOOKUP(A83,Studies!A:BR,4,FALSE),"")</f>
        <v>po with Perpetrator (Voriconazole)</v>
      </c>
      <c r="E83" s="141" t="str">
        <f>IF(AND(A83&lt;&gt;"",ISNUMBER(A83)),VLOOKUP(A83,Studies!A:BR,5,FALSE),"")</f>
        <v>Midazolam</v>
      </c>
      <c r="F83" s="188" t="s">
        <v>960</v>
      </c>
      <c r="G83" s="208" t="str">
        <f>IF(AND(A83&lt;&gt;"",ISNUMBER(A83)),VLOOKUP(A83,Studies!A:BR,13,FALSE),"")</f>
        <v>PO</v>
      </c>
      <c r="H83" s="140" t="str">
        <f t="shared" si="1"/>
        <v>PO</v>
      </c>
      <c r="I83" s="208" t="str">
        <f>IF(AND(A83&lt;&gt;"",ISNUMBER(A83)),VLOOKUP(A83,Studies!A:BR,6,FALSE),"")</f>
        <v>Plasma</v>
      </c>
      <c r="J83" s="189">
        <v>9.85</v>
      </c>
      <c r="K83" s="189" t="s">
        <v>1098</v>
      </c>
      <c r="L83" s="203" t="s">
        <v>1261</v>
      </c>
      <c r="M83" s="203" t="s">
        <v>1262</v>
      </c>
      <c r="N83" s="216">
        <v>3.56</v>
      </c>
      <c r="O83" s="216" t="s">
        <v>1098</v>
      </c>
      <c r="P83" s="204" t="s">
        <v>1263</v>
      </c>
      <c r="Q83" s="204" t="s">
        <v>1262</v>
      </c>
      <c r="R83" s="184">
        <v>0</v>
      </c>
      <c r="S83" s="185" t="s">
        <v>1023</v>
      </c>
      <c r="T83" s="186">
        <v>37</v>
      </c>
      <c r="U83" s="187" t="s">
        <v>1023</v>
      </c>
      <c r="V83" s="222" t="s">
        <v>60</v>
      </c>
      <c r="W83" s="223"/>
      <c r="X83" s="209" t="s">
        <v>961</v>
      </c>
      <c r="Y83" s="210"/>
      <c r="Z83" s="178" t="s">
        <v>58</v>
      </c>
      <c r="AA83" s="178" t="s">
        <v>59</v>
      </c>
      <c r="AB83" s="178" t="s">
        <v>962</v>
      </c>
      <c r="AC83" s="178" t="s">
        <v>60</v>
      </c>
      <c r="AD83" s="178" t="s">
        <v>92</v>
      </c>
      <c r="AE83" s="179" t="s">
        <v>963</v>
      </c>
      <c r="AF83" s="179" t="s">
        <v>964</v>
      </c>
      <c r="AG83" s="212"/>
      <c r="AH83" s="211">
        <v>150</v>
      </c>
      <c r="AI83" s="179" t="s">
        <v>965</v>
      </c>
      <c r="AJ83" s="167" t="s">
        <v>62</v>
      </c>
      <c r="AK83" s="168">
        <v>11</v>
      </c>
      <c r="AL83" s="168">
        <v>5</v>
      </c>
      <c r="AM83" s="167"/>
      <c r="AN83" s="183">
        <f>IF(ISNUMBER(VLOOKUP(A83,NotghiID!A:A,1,FALSE)),1,0)</f>
        <v>1</v>
      </c>
    </row>
    <row r="84" spans="1:40" s="137" customFormat="1" ht="14.25" x14ac:dyDescent="0.2">
      <c r="A84" s="189">
        <v>404</v>
      </c>
      <c r="B84" s="206" t="str">
        <f>IF(AND(A84&lt;&gt;"",ISNUMBER(A84)),VLOOKUP(A84,Studies!A:BR,2,FALSE),"")</f>
        <v>Saari 2006</v>
      </c>
      <c r="C84" s="206" t="str">
        <f>IF(AND(A84&lt;&gt;"",ISNUMBER(A84)),VLOOKUP(A84,Studies!A:BR,3,FALSE),"")</f>
        <v>https://www.ncbi.nlm.nih.gov/pubmed/16580904</v>
      </c>
      <c r="D84" s="206" t="str">
        <f>IF(AND(A84&lt;&gt;"",ISNUMBER(A84)),VLOOKUP(A84,Studies!A:BR,4,FALSE),"")</f>
        <v>iv with Perpetrator (Voriconazole)</v>
      </c>
      <c r="E84" s="141" t="str">
        <f>IF(AND(A84&lt;&gt;"",ISNUMBER(A84)),VLOOKUP(A84,Studies!A:BR,5,FALSE),"")</f>
        <v>Midazolam</v>
      </c>
      <c r="F84" s="188" t="s">
        <v>960</v>
      </c>
      <c r="G84" s="208" t="str">
        <f>IF(AND(A84&lt;&gt;"",ISNUMBER(A84)),VLOOKUP(A84,Studies!A:BR,13,FALSE),"")</f>
        <v>IV</v>
      </c>
      <c r="H84" s="140" t="str">
        <f t="shared" si="1"/>
        <v>PO</v>
      </c>
      <c r="I84" s="208" t="str">
        <f>IF(AND(A84&lt;&gt;"",ISNUMBER(A84)),VLOOKUP(A84,Studies!A:BR,6,FALSE),"")</f>
        <v>Plasma</v>
      </c>
      <c r="J84" s="189">
        <v>3.61</v>
      </c>
      <c r="K84" s="189" t="s">
        <v>1098</v>
      </c>
      <c r="L84" s="203" t="s">
        <v>1264</v>
      </c>
      <c r="M84" s="203" t="s">
        <v>1262</v>
      </c>
      <c r="N84" s="216"/>
      <c r="O84" s="216"/>
      <c r="P84" s="204"/>
      <c r="Q84" s="204"/>
      <c r="R84" s="184">
        <v>0</v>
      </c>
      <c r="S84" s="185" t="s">
        <v>1023</v>
      </c>
      <c r="T84" s="186">
        <v>37</v>
      </c>
      <c r="U84" s="187" t="s">
        <v>1023</v>
      </c>
      <c r="V84" s="222" t="s">
        <v>60</v>
      </c>
      <c r="W84" s="223"/>
      <c r="X84" s="209" t="s">
        <v>961</v>
      </c>
      <c r="Y84" s="210"/>
      <c r="Z84" s="178" t="s">
        <v>58</v>
      </c>
      <c r="AA84" s="178" t="s">
        <v>59</v>
      </c>
      <c r="AB84" s="178" t="s">
        <v>962</v>
      </c>
      <c r="AC84" s="178" t="s">
        <v>60</v>
      </c>
      <c r="AD84" s="178" t="s">
        <v>92</v>
      </c>
      <c r="AE84" s="179" t="s">
        <v>963</v>
      </c>
      <c r="AF84" s="179" t="s">
        <v>964</v>
      </c>
      <c r="AG84" s="212"/>
      <c r="AH84" s="211">
        <v>150</v>
      </c>
      <c r="AI84" s="179" t="s">
        <v>965</v>
      </c>
      <c r="AJ84" s="167" t="s">
        <v>62</v>
      </c>
      <c r="AK84" s="168">
        <v>11</v>
      </c>
      <c r="AL84" s="168">
        <v>5</v>
      </c>
      <c r="AM84" s="167"/>
      <c r="AN84" s="183">
        <f>IF(ISNUMBER(VLOOKUP(A84,NotghiID!A:A,1,FALSE)),1,0)</f>
        <v>1</v>
      </c>
    </row>
    <row r="85" spans="1:40" s="137" customFormat="1" ht="14.25" x14ac:dyDescent="0.2">
      <c r="A85" s="189">
        <v>420</v>
      </c>
      <c r="B85" s="206" t="str">
        <f>IF(AND(A85&lt;&gt;"",ISNUMBER(A85)),VLOOKUP(A85,Studies!A:BR,2,FALSE),"")</f>
        <v>Swart 2002</v>
      </c>
      <c r="C85" s="206" t="str">
        <f>IF(AND(A85&lt;&gt;"",ISNUMBER(A85)),VLOOKUP(A85,Studies!A:BR,3,FALSE),"")</f>
        <v xml:space="preserve">https://www.ncbi.nlm.nih.gov/pubmed/11851636 </v>
      </c>
      <c r="D85" s="206" t="str">
        <f>IF(AND(A85&lt;&gt;"",ISNUMBER(A85)),VLOOKUP(A85,Studies!A:BR,4,FALSE),"")</f>
        <v>day 10 Control with Perpetrator (Erythromycin)</v>
      </c>
      <c r="E85" s="141" t="str">
        <f>IF(AND(A85&lt;&gt;"",ISNUMBER(A85)),VLOOKUP(A85,Studies!A:BR,5,FALSE),"")</f>
        <v>Midazolam</v>
      </c>
      <c r="F85" s="188" t="s">
        <v>410</v>
      </c>
      <c r="G85" s="208" t="str">
        <f>IF(AND(A85&lt;&gt;"",ISNUMBER(A85)),VLOOKUP(A85,Studies!A:BR,13,FALSE),"")</f>
        <v>IV</v>
      </c>
      <c r="H85" s="140" t="str">
        <f t="shared" si="1"/>
        <v>PO</v>
      </c>
      <c r="I85" s="208" t="str">
        <f>IF(AND(A85&lt;&gt;"",ISNUMBER(A85)),VLOOKUP(A85,Studies!A:BR,6,FALSE),"")</f>
        <v>Plasma</v>
      </c>
      <c r="J85" s="189">
        <v>1.52</v>
      </c>
      <c r="K85" s="189" t="s">
        <v>1201</v>
      </c>
      <c r="L85" s="203"/>
      <c r="M85" s="203"/>
      <c r="N85" s="216"/>
      <c r="O85" s="216"/>
      <c r="P85" s="204"/>
      <c r="Q85" s="204"/>
      <c r="R85" s="184">
        <v>0</v>
      </c>
      <c r="S85" s="185" t="s">
        <v>1023</v>
      </c>
      <c r="T85" s="186">
        <v>96</v>
      </c>
      <c r="U85" s="187" t="s">
        <v>1023</v>
      </c>
      <c r="V85" s="222" t="s">
        <v>60</v>
      </c>
      <c r="W85" s="223" t="s">
        <v>1491</v>
      </c>
      <c r="X85" s="209">
        <v>500</v>
      </c>
      <c r="Y85" s="210"/>
      <c r="Z85" s="182" t="s">
        <v>58</v>
      </c>
      <c r="AA85" s="178" t="s">
        <v>59</v>
      </c>
      <c r="AB85" s="138" t="s">
        <v>1492</v>
      </c>
      <c r="AC85" s="178" t="s">
        <v>60</v>
      </c>
      <c r="AD85" s="178" t="s">
        <v>1493</v>
      </c>
      <c r="AE85" s="179"/>
      <c r="AF85" s="179" t="s">
        <v>150</v>
      </c>
      <c r="AG85" s="212"/>
      <c r="AH85" s="211">
        <v>200</v>
      </c>
      <c r="AI85" s="179" t="s">
        <v>151</v>
      </c>
      <c r="AJ85" s="195"/>
      <c r="AK85" s="195"/>
      <c r="AL85" s="195"/>
      <c r="AM85" s="195"/>
      <c r="AN85" s="183">
        <f>IF(ISNUMBER(VLOOKUP(A85,NotghiID!A:A,1,FALSE)),1,0)</f>
        <v>1</v>
      </c>
    </row>
    <row r="86" spans="1:40" s="137" customFormat="1" ht="14.25" x14ac:dyDescent="0.2">
      <c r="A86" s="189">
        <v>362</v>
      </c>
      <c r="B86" s="206" t="str">
        <f>IF(AND(A86&lt;&gt;"",ISNUMBER(A86)),VLOOKUP(A86,Studies!A:BR,2,FALSE),"")</f>
        <v>Okudaira 2007</v>
      </c>
      <c r="C86" s="206" t="str">
        <f>IF(AND(A86&lt;&gt;"",ISNUMBER(A86)),VLOOKUP(A86,Studies!A:BR,3,FALSE),"")</f>
        <v>https://www.ncbi.nlm.nih.gov/pubmed/17585116</v>
      </c>
      <c r="D86" s="206" t="str">
        <f>IF(AND(A86&lt;&gt;"",ISNUMBER(A86)),VLOOKUP(A86,Studies!A:BR,4,FALSE),"")</f>
        <v>EM 2 with Perpetrator (Erythromycin)</v>
      </c>
      <c r="E86" s="141" t="str">
        <f>IF(AND(A86&lt;&gt;"",ISNUMBER(A86)),VLOOKUP(A86,Studies!A:BR,5,FALSE),"")</f>
        <v>Midazolam</v>
      </c>
      <c r="F86" s="188" t="s">
        <v>410</v>
      </c>
      <c r="G86" s="208" t="str">
        <f>IF(AND(A86&lt;&gt;"",ISNUMBER(A86)),VLOOKUP(A86,Studies!A:BR,13,FALSE),"")</f>
        <v>PO</v>
      </c>
      <c r="H86" s="140" t="str">
        <f t="shared" si="1"/>
        <v>PO</v>
      </c>
      <c r="I86" s="208" t="str">
        <f>IF(AND(A86&lt;&gt;"",ISNUMBER(A86)),VLOOKUP(A86,Studies!A:BR,6,FALSE),"")</f>
        <v>Plasma</v>
      </c>
      <c r="J86" s="189">
        <v>2.3199999999999998</v>
      </c>
      <c r="K86" s="189" t="s">
        <v>116</v>
      </c>
      <c r="L86" s="203">
        <v>0.9</v>
      </c>
      <c r="M86" s="203" t="s">
        <v>117</v>
      </c>
      <c r="N86" s="195">
        <f>20/11</f>
        <v>1.8181818181818181</v>
      </c>
      <c r="O86" s="195" t="s">
        <v>1201</v>
      </c>
      <c r="P86" s="204"/>
      <c r="Q86" s="204"/>
      <c r="R86" s="184">
        <v>0</v>
      </c>
      <c r="S86" s="185" t="s">
        <v>1023</v>
      </c>
      <c r="T86" s="186">
        <v>25</v>
      </c>
      <c r="U86" s="187">
        <v>73</v>
      </c>
      <c r="V86" s="188" t="s">
        <v>60</v>
      </c>
      <c r="W86" s="183"/>
      <c r="X86" s="178">
        <v>200</v>
      </c>
      <c r="Y86" s="182"/>
      <c r="Z86" s="182" t="s">
        <v>58</v>
      </c>
      <c r="AA86" s="178" t="s">
        <v>59</v>
      </c>
      <c r="AB86" s="178" t="s">
        <v>1265</v>
      </c>
      <c r="AC86" s="178" t="s">
        <v>60</v>
      </c>
      <c r="AD86" s="178" t="s">
        <v>92</v>
      </c>
      <c r="AE86" s="179" t="s">
        <v>1266</v>
      </c>
      <c r="AF86" s="179" t="s">
        <v>1267</v>
      </c>
      <c r="AG86" s="180"/>
      <c r="AH86" s="179">
        <v>150</v>
      </c>
      <c r="AI86" s="179"/>
      <c r="AJ86" s="195" t="s">
        <v>502</v>
      </c>
      <c r="AK86" s="195"/>
      <c r="AL86" s="195"/>
      <c r="AM86" s="195" t="s">
        <v>1268</v>
      </c>
      <c r="AN86" s="183">
        <f>IF(ISNUMBER(VLOOKUP(A86,NotghiID!A:A,1,FALSE)),1,0)</f>
        <v>1</v>
      </c>
    </row>
    <row r="87" spans="1:40" s="137" customFormat="1" ht="14.25" x14ac:dyDescent="0.2">
      <c r="A87" s="189">
        <v>363</v>
      </c>
      <c r="B87" s="206" t="str">
        <f>IF(AND(A87&lt;&gt;"",ISNUMBER(A87)),VLOOKUP(A87,Studies!A:BR,2,FALSE),"")</f>
        <v>Okudaira 2007</v>
      </c>
      <c r="C87" s="206" t="str">
        <f>IF(AND(A87&lt;&gt;"",ISNUMBER(A87)),VLOOKUP(A87,Studies!A:BR,3,FALSE),"")</f>
        <v>https://www.ncbi.nlm.nih.gov/pubmed/17585116</v>
      </c>
      <c r="D87" s="206" t="str">
        <f>IF(AND(A87&lt;&gt;"",ISNUMBER(A87)),VLOOKUP(A87,Studies!A:BR,4,FALSE),"")</f>
        <v>EM 4 with Perpetrator (Erythromycin)</v>
      </c>
      <c r="E87" s="141" t="str">
        <f>IF(AND(A87&lt;&gt;"",ISNUMBER(A87)),VLOOKUP(A87,Studies!A:BR,5,FALSE),"")</f>
        <v>Midazolam</v>
      </c>
      <c r="F87" s="188" t="s">
        <v>410</v>
      </c>
      <c r="G87" s="208" t="str">
        <f>IF(AND(A87&lt;&gt;"",ISNUMBER(A87)),VLOOKUP(A87,Studies!A:BR,13,FALSE),"")</f>
        <v>PO</v>
      </c>
      <c r="H87" s="140" t="str">
        <f t="shared" si="1"/>
        <v>PO</v>
      </c>
      <c r="I87" s="208" t="str">
        <f>IF(AND(A87&lt;&gt;"",ISNUMBER(A87)),VLOOKUP(A87,Studies!A:BR,6,FALSE),"")</f>
        <v>Plasma</v>
      </c>
      <c r="J87" s="189">
        <v>3.38</v>
      </c>
      <c r="K87" s="189" t="s">
        <v>116</v>
      </c>
      <c r="L87" s="203">
        <v>1.6</v>
      </c>
      <c r="M87" s="203" t="s">
        <v>117</v>
      </c>
      <c r="N87" s="195">
        <f>26.4/11</f>
        <v>2.4</v>
      </c>
      <c r="O87" s="195" t="s">
        <v>1201</v>
      </c>
      <c r="P87" s="204"/>
      <c r="Q87" s="204"/>
      <c r="R87" s="184">
        <v>0</v>
      </c>
      <c r="S87" s="185" t="s">
        <v>1023</v>
      </c>
      <c r="T87" s="186">
        <v>73</v>
      </c>
      <c r="U87" s="187">
        <v>145</v>
      </c>
      <c r="V87" s="188" t="s">
        <v>60</v>
      </c>
      <c r="W87" s="183"/>
      <c r="X87" s="178">
        <v>200</v>
      </c>
      <c r="Y87" s="182"/>
      <c r="Z87" s="182" t="s">
        <v>58</v>
      </c>
      <c r="AA87" s="178" t="s">
        <v>59</v>
      </c>
      <c r="AB87" s="178" t="s">
        <v>1269</v>
      </c>
      <c r="AC87" s="178" t="s">
        <v>60</v>
      </c>
      <c r="AD87" s="178" t="s">
        <v>92</v>
      </c>
      <c r="AE87" s="179" t="s">
        <v>1266</v>
      </c>
      <c r="AF87" s="179" t="s">
        <v>1267</v>
      </c>
      <c r="AG87" s="180"/>
      <c r="AH87" s="179">
        <v>150</v>
      </c>
      <c r="AI87" s="179"/>
      <c r="AJ87" s="195" t="s">
        <v>502</v>
      </c>
      <c r="AK87" s="195"/>
      <c r="AL87" s="195"/>
      <c r="AM87" s="195" t="s">
        <v>1268</v>
      </c>
      <c r="AN87" s="183">
        <f>IF(ISNUMBER(VLOOKUP(A87,NotghiID!A:A,1,FALSE)),1,0)</f>
        <v>1</v>
      </c>
    </row>
    <row r="88" spans="1:40" s="137" customFormat="1" ht="14.25" x14ac:dyDescent="0.2">
      <c r="A88" s="189">
        <v>364</v>
      </c>
      <c r="B88" s="206" t="str">
        <f>IF(AND(A88&lt;&gt;"",ISNUMBER(A88)),VLOOKUP(A88,Studies!A:BR,2,FALSE),"")</f>
        <v>Okudaira 2007</v>
      </c>
      <c r="C88" s="206" t="str">
        <f>IF(AND(A88&lt;&gt;"",ISNUMBER(A88)),VLOOKUP(A88,Studies!A:BR,3,FALSE),"")</f>
        <v>https://www.ncbi.nlm.nih.gov/pubmed/17585116</v>
      </c>
      <c r="D88" s="206" t="str">
        <f>IF(AND(A88&lt;&gt;"",ISNUMBER(A88)),VLOOKUP(A88,Studies!A:BR,4,FALSE),"")</f>
        <v>EM 7 with Perpetrator (Erythromycin)</v>
      </c>
      <c r="E88" s="141" t="str">
        <f>IF(AND(A88&lt;&gt;"",ISNUMBER(A88)),VLOOKUP(A88,Studies!A:BR,5,FALSE),"")</f>
        <v>Midazolam</v>
      </c>
      <c r="F88" s="188" t="s">
        <v>410</v>
      </c>
      <c r="G88" s="208" t="str">
        <f>IF(AND(A88&lt;&gt;"",ISNUMBER(A88)),VLOOKUP(A88,Studies!A:BR,13,FALSE),"")</f>
        <v>PO</v>
      </c>
      <c r="H88" s="140" t="str">
        <f t="shared" si="1"/>
        <v>PO</v>
      </c>
      <c r="I88" s="208" t="str">
        <f>IF(AND(A88&lt;&gt;"",ISNUMBER(A88)),VLOOKUP(A88,Studies!A:BR,6,FALSE),"")</f>
        <v>Plasma</v>
      </c>
      <c r="J88" s="189">
        <v>3.38</v>
      </c>
      <c r="K88" s="189" t="s">
        <v>116</v>
      </c>
      <c r="L88" s="203">
        <v>1.4</v>
      </c>
      <c r="M88" s="203" t="s">
        <v>117</v>
      </c>
      <c r="N88" s="195">
        <f>25.8/11</f>
        <v>2.3454545454545457</v>
      </c>
      <c r="O88" s="195" t="s">
        <v>1201</v>
      </c>
      <c r="P88" s="204"/>
      <c r="Q88" s="204"/>
      <c r="R88" s="184">
        <v>0</v>
      </c>
      <c r="S88" s="185" t="s">
        <v>1023</v>
      </c>
      <c r="T88" s="186">
        <v>145</v>
      </c>
      <c r="U88" s="187" t="s">
        <v>1023</v>
      </c>
      <c r="V88" s="188" t="s">
        <v>60</v>
      </c>
      <c r="W88" s="183"/>
      <c r="X88" s="178">
        <v>200</v>
      </c>
      <c r="Y88" s="182"/>
      <c r="Z88" s="182" t="s">
        <v>58</v>
      </c>
      <c r="AA88" s="178" t="s">
        <v>59</v>
      </c>
      <c r="AB88" s="178" t="s">
        <v>1270</v>
      </c>
      <c r="AC88" s="178" t="s">
        <v>60</v>
      </c>
      <c r="AD88" s="178" t="s">
        <v>92</v>
      </c>
      <c r="AE88" s="179" t="s">
        <v>1266</v>
      </c>
      <c r="AF88" s="179" t="s">
        <v>1267</v>
      </c>
      <c r="AG88" s="180"/>
      <c r="AH88" s="179">
        <v>150</v>
      </c>
      <c r="AI88" s="179"/>
      <c r="AJ88" s="195" t="s">
        <v>502</v>
      </c>
      <c r="AK88" s="195"/>
      <c r="AL88" s="195"/>
      <c r="AM88" s="195" t="s">
        <v>1268</v>
      </c>
      <c r="AN88" s="183">
        <f>IF(ISNUMBER(VLOOKUP(A88,NotghiID!A:A,1,FALSE)),1,0)</f>
        <v>1</v>
      </c>
    </row>
    <row r="89" spans="1:40" s="137" customFormat="1" ht="14.25" x14ac:dyDescent="0.2">
      <c r="A89" s="189">
        <v>424</v>
      </c>
      <c r="B89" s="206" t="str">
        <f>IF(AND(A89&lt;&gt;"",ISNUMBER(A89)),VLOOKUP(A89,Studies!A:BR,2,FALSE),"")</f>
        <v>Templeton 2010</v>
      </c>
      <c r="C89" s="206" t="str">
        <f>IF(AND(A89&lt;&gt;"",ISNUMBER(A89)),VLOOKUP(A89,Studies!A:BR,3,FALSE),"")</f>
        <v>https://www.ncbi.nlm.nih.gov/pubmed/20739919</v>
      </c>
      <c r="D89" s="206" t="str">
        <f>IF(AND(A89&lt;&gt;"",ISNUMBER(A89)),VLOOKUP(A89,Studies!A:BR,4,FALSE),"")</f>
        <v>with Perpetrator (Itraconazole @ 50 mg)</v>
      </c>
      <c r="E89" s="141" t="str">
        <f>IF(AND(A89&lt;&gt;"",ISNUMBER(A89)),VLOOKUP(A89,Studies!A:BR,5,FALSE),"")</f>
        <v>Midazolam</v>
      </c>
      <c r="F89" s="188" t="s">
        <v>149</v>
      </c>
      <c r="G89" s="208" t="str">
        <f>IF(AND(A89&lt;&gt;"",ISNUMBER(A89)),VLOOKUP(A89,Studies!A:BR,13,FALSE),"")</f>
        <v>PO</v>
      </c>
      <c r="H89" s="140" t="str">
        <f t="shared" si="1"/>
        <v>PO</v>
      </c>
      <c r="I89" s="208" t="str">
        <f>IF(AND(A89&lt;&gt;"",ISNUMBER(A89)),VLOOKUP(A89,Studies!A:BR,6,FALSE),"")</f>
        <v>Plasma</v>
      </c>
      <c r="J89" s="189">
        <v>2</v>
      </c>
      <c r="K89" s="189" t="s">
        <v>389</v>
      </c>
      <c r="L89" s="203">
        <v>0.6</v>
      </c>
      <c r="M89" s="203" t="s">
        <v>117</v>
      </c>
      <c r="N89" s="216"/>
      <c r="O89" s="216"/>
      <c r="P89" s="204"/>
      <c r="Q89" s="204"/>
      <c r="R89" s="184">
        <v>0</v>
      </c>
      <c r="S89" s="185" t="s">
        <v>1023</v>
      </c>
      <c r="T89" s="186">
        <v>4</v>
      </c>
      <c r="U89" s="187" t="s">
        <v>1023</v>
      </c>
      <c r="V89" s="222" t="s">
        <v>60</v>
      </c>
      <c r="W89" s="223"/>
      <c r="X89" s="209">
        <v>50</v>
      </c>
      <c r="Y89" s="210"/>
      <c r="Z89" s="139" t="s">
        <v>58</v>
      </c>
      <c r="AA89" s="178" t="s">
        <v>59</v>
      </c>
      <c r="AB89" s="178">
        <v>0</v>
      </c>
      <c r="AC89" s="178" t="s">
        <v>60</v>
      </c>
      <c r="AD89" s="178" t="s">
        <v>79</v>
      </c>
      <c r="AE89" s="179"/>
      <c r="AF89" s="179" t="s">
        <v>844</v>
      </c>
      <c r="AG89" s="212"/>
      <c r="AH89" s="211"/>
      <c r="AI89" s="179"/>
      <c r="AJ89" s="195" t="s">
        <v>62</v>
      </c>
      <c r="AK89" s="195"/>
      <c r="AL89" s="195">
        <v>0.5</v>
      </c>
      <c r="AM89" s="195" t="s">
        <v>1271</v>
      </c>
      <c r="AN89" s="183">
        <f>IF(ISNUMBER(VLOOKUP(A89,NotghiID!A:A,1,FALSE)),1,0)</f>
        <v>1</v>
      </c>
    </row>
    <row r="90" spans="1:40" s="137" customFormat="1" ht="14.25" x14ac:dyDescent="0.2">
      <c r="A90" s="189">
        <v>425</v>
      </c>
      <c r="B90" s="206" t="str">
        <f>IF(AND(A90&lt;&gt;"",ISNUMBER(A90)),VLOOKUP(A90,Studies!A:BR,2,FALSE),"")</f>
        <v>Templeton 2010</v>
      </c>
      <c r="C90" s="206" t="str">
        <f>IF(AND(A90&lt;&gt;"",ISNUMBER(A90)),VLOOKUP(A90,Studies!A:BR,3,FALSE),"")</f>
        <v>https://www.ncbi.nlm.nih.gov/pubmed/20739919</v>
      </c>
      <c r="D90" s="206" t="str">
        <f>IF(AND(A90&lt;&gt;"",ISNUMBER(A90)),VLOOKUP(A90,Studies!A:BR,4,FALSE),"")</f>
        <v>with Perpetrator (Itraconazole @ 200 mg)</v>
      </c>
      <c r="E90" s="141" t="str">
        <f>IF(AND(A90&lt;&gt;"",ISNUMBER(A90)),VLOOKUP(A90,Studies!A:BR,5,FALSE),"")</f>
        <v>Midazolam</v>
      </c>
      <c r="F90" s="188" t="s">
        <v>149</v>
      </c>
      <c r="G90" s="208" t="str">
        <f>IF(AND(A90&lt;&gt;"",ISNUMBER(A90)),VLOOKUP(A90,Studies!A:BR,13,FALSE),"")</f>
        <v>PO</v>
      </c>
      <c r="H90" s="140" t="str">
        <f t="shared" si="1"/>
        <v>PO</v>
      </c>
      <c r="I90" s="208" t="str">
        <f>IF(AND(A90&lt;&gt;"",ISNUMBER(A90)),VLOOKUP(A90,Studies!A:BR,6,FALSE),"")</f>
        <v>Plasma</v>
      </c>
      <c r="J90" s="189">
        <v>4.7</v>
      </c>
      <c r="K90" s="189" t="s">
        <v>389</v>
      </c>
      <c r="L90" s="203">
        <v>1.4</v>
      </c>
      <c r="M90" s="203" t="s">
        <v>117</v>
      </c>
      <c r="N90" s="216"/>
      <c r="O90" s="216"/>
      <c r="P90" s="204"/>
      <c r="Q90" s="204"/>
      <c r="R90" s="184">
        <v>0</v>
      </c>
      <c r="S90" s="185" t="s">
        <v>1023</v>
      </c>
      <c r="T90" s="186">
        <v>4</v>
      </c>
      <c r="U90" s="187" t="s">
        <v>1023</v>
      </c>
      <c r="V90" s="222" t="s">
        <v>60</v>
      </c>
      <c r="W90" s="223"/>
      <c r="X90" s="209">
        <v>200</v>
      </c>
      <c r="Y90" s="210"/>
      <c r="Z90" s="139" t="s">
        <v>58</v>
      </c>
      <c r="AA90" s="178" t="s">
        <v>59</v>
      </c>
      <c r="AB90" s="178">
        <v>0</v>
      </c>
      <c r="AC90" s="178" t="s">
        <v>60</v>
      </c>
      <c r="AD90" s="178" t="s">
        <v>79</v>
      </c>
      <c r="AE90" s="179"/>
      <c r="AF90" s="179" t="s">
        <v>844</v>
      </c>
      <c r="AG90" s="212"/>
      <c r="AH90" s="211"/>
      <c r="AI90" s="179"/>
      <c r="AJ90" s="195" t="s">
        <v>62</v>
      </c>
      <c r="AK90" s="195"/>
      <c r="AL90" s="195">
        <v>0.5</v>
      </c>
      <c r="AM90" s="195" t="s">
        <v>1271</v>
      </c>
      <c r="AN90" s="183">
        <f>IF(ISNUMBER(VLOOKUP(A90,NotghiID!A:A,1,FALSE)),1,0)</f>
        <v>1</v>
      </c>
    </row>
    <row r="91" spans="1:40" s="137" customFormat="1" ht="14.25" x14ac:dyDescent="0.2">
      <c r="A91" s="189">
        <v>426</v>
      </c>
      <c r="B91" s="206" t="str">
        <f>IF(AND(A91&lt;&gt;"",ISNUMBER(A91)),VLOOKUP(A91,Studies!A:BR,2,FALSE),"")</f>
        <v>Templeton 2010</v>
      </c>
      <c r="C91" s="206" t="str">
        <f>IF(AND(A91&lt;&gt;"",ISNUMBER(A91)),VLOOKUP(A91,Studies!A:BR,3,FALSE),"")</f>
        <v>https://www.ncbi.nlm.nih.gov/pubmed/20739919</v>
      </c>
      <c r="D91" s="206" t="str">
        <f>IF(AND(A91&lt;&gt;"",ISNUMBER(A91)),VLOOKUP(A91,Studies!A:BR,4,FALSE),"")</f>
        <v>with Perpetrator (Itraconazole @ 400 mg)</v>
      </c>
      <c r="E91" s="141" t="str">
        <f>IF(AND(A91&lt;&gt;"",ISNUMBER(A91)),VLOOKUP(A91,Studies!A:BR,5,FALSE),"")</f>
        <v>Midazolam</v>
      </c>
      <c r="F91" s="188" t="s">
        <v>149</v>
      </c>
      <c r="G91" s="208" t="str">
        <f>IF(AND(A91&lt;&gt;"",ISNUMBER(A91)),VLOOKUP(A91,Studies!A:BR,13,FALSE),"")</f>
        <v>PO</v>
      </c>
      <c r="H91" s="140" t="str">
        <f t="shared" si="1"/>
        <v>PO</v>
      </c>
      <c r="I91" s="208" t="str">
        <f>IF(AND(A91&lt;&gt;"",ISNUMBER(A91)),VLOOKUP(A91,Studies!A:BR,6,FALSE),"")</f>
        <v>Plasma</v>
      </c>
      <c r="J91" s="189">
        <v>5.4</v>
      </c>
      <c r="K91" s="189" t="s">
        <v>389</v>
      </c>
      <c r="L91" s="203">
        <v>1.5</v>
      </c>
      <c r="M91" s="203" t="s">
        <v>117</v>
      </c>
      <c r="N91" s="216"/>
      <c r="O91" s="216"/>
      <c r="P91" s="204"/>
      <c r="Q91" s="204"/>
      <c r="R91" s="184">
        <v>0</v>
      </c>
      <c r="S91" s="185" t="s">
        <v>1023</v>
      </c>
      <c r="T91" s="186">
        <v>4</v>
      </c>
      <c r="U91" s="187" t="s">
        <v>1023</v>
      </c>
      <c r="V91" s="222" t="s">
        <v>60</v>
      </c>
      <c r="W91" s="223"/>
      <c r="X91" s="209">
        <v>400</v>
      </c>
      <c r="Y91" s="210"/>
      <c r="Z91" s="139" t="s">
        <v>58</v>
      </c>
      <c r="AA91" s="178" t="s">
        <v>59</v>
      </c>
      <c r="AB91" s="178">
        <v>0</v>
      </c>
      <c r="AC91" s="178" t="s">
        <v>60</v>
      </c>
      <c r="AD91" s="178" t="s">
        <v>79</v>
      </c>
      <c r="AE91" s="179"/>
      <c r="AF91" s="179" t="s">
        <v>844</v>
      </c>
      <c r="AG91" s="212"/>
      <c r="AH91" s="211"/>
      <c r="AI91" s="179"/>
      <c r="AJ91" s="195" t="s">
        <v>62</v>
      </c>
      <c r="AK91" s="195"/>
      <c r="AL91" s="195">
        <v>0.5</v>
      </c>
      <c r="AM91" s="195" t="s">
        <v>1271</v>
      </c>
      <c r="AN91" s="183">
        <f>IF(ISNUMBER(VLOOKUP(A91,NotghiID!A:A,1,FALSE)),1,0)</f>
        <v>1</v>
      </c>
    </row>
    <row r="92" spans="1:40" s="137" customFormat="1" ht="14.25" x14ac:dyDescent="0.2">
      <c r="A92" s="189">
        <v>428</v>
      </c>
      <c r="B92" s="206" t="str">
        <f>IF(AND(A92&lt;&gt;"",ISNUMBER(A92)),VLOOKUP(A92,Studies!A:BR,2,FALSE),"")</f>
        <v>Tham 2006</v>
      </c>
      <c r="C92" s="206" t="str">
        <f>IF(AND(A92&lt;&gt;"",ISNUMBER(A92)),VLOOKUP(A92,Studies!A:BR,3,FALSE),"")</f>
        <v>https://www.ncbi.nlm.nih.gov/pubmed/16628140</v>
      </c>
      <c r="D92" s="206" t="str">
        <f>IF(AND(A92&lt;&gt;"",ISNUMBER(A92)),VLOOKUP(A92,Studies!A:BR,4,FALSE),"")</f>
        <v>with Perpetrator (Ketoconazole 50 mg)</v>
      </c>
      <c r="E92" s="141" t="str">
        <f>IF(AND(A92&lt;&gt;"",ISNUMBER(A92)),VLOOKUP(A92,Studies!A:BR,5,FALSE),"")</f>
        <v>Midazolam</v>
      </c>
      <c r="F92" s="188" t="s">
        <v>921</v>
      </c>
      <c r="G92" s="208" t="str">
        <f>IF(AND(A92&lt;&gt;"",ISNUMBER(A92)),VLOOKUP(A92,Studies!A:BR,13,FALSE),"")</f>
        <v>IV</v>
      </c>
      <c r="H92" s="140" t="str">
        <f t="shared" si="1"/>
        <v>PO</v>
      </c>
      <c r="I92" s="208" t="str">
        <f>IF(AND(A92&lt;&gt;"",ISNUMBER(A92)),VLOOKUP(A92,Studies!A:BR,6,FALSE),"")</f>
        <v>Plasma</v>
      </c>
      <c r="J92" s="189">
        <f>0.27/0.17</f>
        <v>1.588235294117647</v>
      </c>
      <c r="K92" s="189" t="s">
        <v>1201</v>
      </c>
      <c r="L92" s="203"/>
      <c r="M92" s="203"/>
      <c r="N92" s="216"/>
      <c r="O92" s="216"/>
      <c r="P92" s="204"/>
      <c r="Q92" s="204"/>
      <c r="R92" s="184">
        <v>0</v>
      </c>
      <c r="S92" s="185" t="s">
        <v>1023</v>
      </c>
      <c r="T92" s="186">
        <v>47</v>
      </c>
      <c r="U92" s="187" t="s">
        <v>1023</v>
      </c>
      <c r="V92" s="222" t="s">
        <v>60</v>
      </c>
      <c r="W92" s="223"/>
      <c r="X92" s="209">
        <v>200</v>
      </c>
      <c r="Y92" s="210"/>
      <c r="Z92" s="182" t="s">
        <v>58</v>
      </c>
      <c r="AA92" s="178" t="s">
        <v>59</v>
      </c>
      <c r="AB92" s="178" t="s">
        <v>1272</v>
      </c>
      <c r="AC92" s="178" t="s">
        <v>60</v>
      </c>
      <c r="AD92" s="178" t="s">
        <v>92</v>
      </c>
      <c r="AE92" s="179" t="s">
        <v>922</v>
      </c>
      <c r="AF92" s="179" t="s">
        <v>1273</v>
      </c>
      <c r="AG92" s="212"/>
      <c r="AH92" s="211"/>
      <c r="AI92" s="179" t="s">
        <v>1274</v>
      </c>
      <c r="AJ92" s="195"/>
      <c r="AK92" s="195"/>
      <c r="AL92" s="195"/>
      <c r="AM92" s="195"/>
      <c r="AN92" s="183">
        <f>IF(ISNUMBER(VLOOKUP(A92,NotghiID!A:A,1,FALSE)),1,0)</f>
        <v>1</v>
      </c>
    </row>
    <row r="93" spans="1:40" s="137" customFormat="1" ht="14.25" x14ac:dyDescent="0.2">
      <c r="A93" s="189">
        <v>50</v>
      </c>
      <c r="B93" s="206" t="str">
        <f>IF(AND(A93&lt;&gt;"",ISNUMBER(A93)),VLOOKUP(A93,Studies!A:BR,2,FALSE),"")</f>
        <v>Ahonen 1995</v>
      </c>
      <c r="C93" s="206" t="str">
        <f>IF(AND(A93&lt;&gt;"",ISNUMBER(A93)),VLOOKUP(A93,Studies!A:BR,3,FALSE),"")</f>
        <v>http://www.ncbi.nlm.nih.gov/pubmed/6138081</v>
      </c>
      <c r="D93" s="206" t="str">
        <f>IF(AND(A93&lt;&gt;"",ISNUMBER(A93)),VLOOKUP(A93,Studies!A:BR,4,FALSE),"")</f>
        <v>with Perpetrator (Itraconazole)</v>
      </c>
      <c r="E93" s="141" t="str">
        <f>IF(AND(A93&lt;&gt;"",ISNUMBER(A93)),VLOOKUP(A93,Studies!A:BR,5,FALSE),"")</f>
        <v>Midazolam</v>
      </c>
      <c r="F93" s="188" t="s">
        <v>149</v>
      </c>
      <c r="G93" s="208" t="str">
        <f>IF(AND(A93&lt;&gt;"",ISNUMBER(A93)),VLOOKUP(A93,Studies!A:BR,13,FALSE),"")</f>
        <v>PO</v>
      </c>
      <c r="H93" s="140" t="str">
        <f t="shared" si="1"/>
        <v>PO</v>
      </c>
      <c r="I93" s="208" t="str">
        <f>IF(AND(A93&lt;&gt;"",ISNUMBER(A93)),VLOOKUP(A93,Studies!A:BR,6,FALSE),"")</f>
        <v>Plasma</v>
      </c>
      <c r="J93" s="189">
        <v>5.7450980392156863</v>
      </c>
      <c r="K93" s="189" t="s">
        <v>1201</v>
      </c>
      <c r="L93" s="203"/>
      <c r="M93" s="203"/>
      <c r="N93" s="195">
        <v>2.5588235294117645</v>
      </c>
      <c r="O93" s="195" t="s">
        <v>1201</v>
      </c>
      <c r="P93" s="204"/>
      <c r="Q93" s="204"/>
      <c r="R93" s="184">
        <v>0</v>
      </c>
      <c r="S93" s="185" t="s">
        <v>1023</v>
      </c>
      <c r="T93" s="186">
        <v>74</v>
      </c>
      <c r="U93" s="187" t="s">
        <v>1023</v>
      </c>
      <c r="V93" s="188" t="s">
        <v>60</v>
      </c>
      <c r="W93" s="183"/>
      <c r="X93" s="178">
        <v>100</v>
      </c>
      <c r="Y93" s="182"/>
      <c r="Z93" s="182" t="s">
        <v>58</v>
      </c>
      <c r="AA93" s="178" t="s">
        <v>59</v>
      </c>
      <c r="AB93" s="178" t="s">
        <v>1431</v>
      </c>
      <c r="AC93" s="178" t="s">
        <v>60</v>
      </c>
      <c r="AD93" s="178" t="s">
        <v>167</v>
      </c>
      <c r="AE93" s="179"/>
      <c r="AF93" s="179" t="s">
        <v>416</v>
      </c>
      <c r="AG93" s="180"/>
      <c r="AH93" s="179"/>
      <c r="AI93" s="179" t="s">
        <v>1432</v>
      </c>
      <c r="AJ93" s="195"/>
      <c r="AK93" s="195"/>
      <c r="AL93" s="195"/>
      <c r="AM93" s="195"/>
      <c r="AN93" s="183">
        <f>IF(ISNUMBER(VLOOKUP(A93,NotghiID!A:A,1,FALSE)),1,0)</f>
        <v>1</v>
      </c>
    </row>
    <row r="94" spans="1:40" x14ac:dyDescent="0.2">
      <c r="A94" s="183"/>
      <c r="B94" s="206"/>
      <c r="C94" s="206"/>
      <c r="D94" s="206"/>
      <c r="E94" s="141"/>
      <c r="F94" s="188"/>
      <c r="G94" s="208"/>
      <c r="H94" s="140"/>
      <c r="I94" s="208"/>
      <c r="J94" s="189"/>
      <c r="K94" s="189"/>
      <c r="L94" s="203"/>
      <c r="M94" s="203"/>
      <c r="N94" s="195"/>
      <c r="O94" s="195"/>
      <c r="P94" s="204"/>
      <c r="Q94" s="204"/>
      <c r="R94" s="184"/>
      <c r="S94" s="185"/>
      <c r="T94" s="186"/>
      <c r="U94" s="187"/>
      <c r="V94" s="188"/>
      <c r="W94" s="183"/>
      <c r="X94" s="178"/>
      <c r="Y94" s="139"/>
      <c r="Z94" s="139"/>
      <c r="AA94" s="178"/>
      <c r="AB94" s="178"/>
      <c r="AC94" s="138"/>
      <c r="AD94" s="178"/>
      <c r="AE94" s="176"/>
      <c r="AF94" s="179"/>
      <c r="AG94" s="180"/>
      <c r="AH94" s="180"/>
      <c r="AI94" s="180"/>
      <c r="AJ94" s="195"/>
      <c r="AK94" s="195"/>
      <c r="AL94" s="195"/>
      <c r="AM94" s="195"/>
      <c r="AN94" s="183"/>
    </row>
    <row r="95" spans="1:40" x14ac:dyDescent="0.2">
      <c r="A95" s="183"/>
      <c r="B95" s="206"/>
      <c r="C95" s="206"/>
      <c r="D95" s="206"/>
      <c r="E95" s="141"/>
      <c r="F95" s="188"/>
      <c r="G95" s="208"/>
      <c r="H95" s="140"/>
      <c r="I95" s="208"/>
      <c r="J95" s="189"/>
      <c r="K95" s="189"/>
      <c r="L95" s="203"/>
      <c r="M95" s="203"/>
      <c r="N95" s="195"/>
      <c r="O95" s="195"/>
      <c r="P95" s="204"/>
      <c r="Q95" s="204"/>
      <c r="R95" s="184"/>
      <c r="S95" s="185"/>
      <c r="T95" s="186"/>
      <c r="U95" s="187"/>
      <c r="V95" s="188"/>
      <c r="W95" s="183"/>
      <c r="X95" s="178"/>
      <c r="Y95" s="139"/>
      <c r="Z95" s="139"/>
      <c r="AA95" s="178"/>
      <c r="AB95" s="178"/>
      <c r="AC95" s="138"/>
      <c r="AD95" s="178"/>
      <c r="AE95" s="176"/>
      <c r="AF95" s="179"/>
      <c r="AG95" s="180"/>
      <c r="AH95" s="180"/>
      <c r="AI95" s="180"/>
      <c r="AJ95" s="195"/>
      <c r="AK95" s="195"/>
      <c r="AL95" s="195"/>
      <c r="AM95" s="195"/>
      <c r="AN95" s="183"/>
    </row>
    <row r="96" spans="1:40" x14ac:dyDescent="0.2">
      <c r="Y96" s="139"/>
      <c r="Z96" s="139"/>
      <c r="AA96" s="178"/>
      <c r="AB96" s="178"/>
      <c r="AC96" s="138"/>
      <c r="AD96" s="178"/>
      <c r="AE96" s="176"/>
      <c r="AF96" s="179"/>
      <c r="AG96" s="180"/>
      <c r="AH96" s="180"/>
      <c r="AI96" s="180"/>
    </row>
    <row r="97" spans="25:35" x14ac:dyDescent="0.2">
      <c r="Y97" s="139"/>
      <c r="Z97" s="139"/>
      <c r="AA97" s="178"/>
      <c r="AB97" s="178"/>
      <c r="AC97" s="138"/>
      <c r="AD97" s="178"/>
      <c r="AE97" s="179"/>
      <c r="AF97" s="179"/>
      <c r="AG97" s="180"/>
      <c r="AH97" s="180"/>
      <c r="AI97" s="180"/>
    </row>
    <row r="98" spans="25:35" x14ac:dyDescent="0.2">
      <c r="Y98" s="139"/>
      <c r="Z98" s="139"/>
      <c r="AA98" s="178"/>
      <c r="AB98" s="178"/>
      <c r="AC98" s="138"/>
      <c r="AD98" s="178"/>
      <c r="AE98" s="179"/>
      <c r="AF98" s="179"/>
      <c r="AG98" s="180"/>
      <c r="AH98" s="180"/>
      <c r="AI98" s="180"/>
    </row>
    <row r="99" spans="25:35" x14ac:dyDescent="0.2">
      <c r="Y99" s="139"/>
      <c r="Z99" s="139"/>
      <c r="AA99" s="178"/>
      <c r="AB99" s="178"/>
      <c r="AC99" s="138"/>
      <c r="AD99" s="178"/>
      <c r="AE99" s="176"/>
      <c r="AF99" s="179"/>
      <c r="AG99" s="180"/>
      <c r="AH99" s="180"/>
      <c r="AI99" s="180"/>
    </row>
    <row r="100" spans="25:35" x14ac:dyDescent="0.2">
      <c r="Y100" s="139"/>
      <c r="Z100" s="139"/>
      <c r="AA100" s="178"/>
      <c r="AB100" s="178"/>
      <c r="AC100" s="138"/>
      <c r="AD100" s="178"/>
      <c r="AE100" s="176"/>
      <c r="AF100" s="179"/>
      <c r="AG100" s="180"/>
      <c r="AH100" s="180"/>
      <c r="AI100" s="180"/>
    </row>
    <row r="159" spans="25:35" x14ac:dyDescent="0.2">
      <c r="Y159" s="139"/>
      <c r="Z159" s="139"/>
      <c r="AA159" s="178"/>
      <c r="AB159" s="178"/>
      <c r="AC159" s="138"/>
      <c r="AD159" s="178"/>
      <c r="AE159" s="176"/>
      <c r="AF159" s="179"/>
      <c r="AG159" s="180"/>
      <c r="AH159" s="180"/>
      <c r="AI159" s="180"/>
    </row>
    <row r="160" spans="25:35" x14ac:dyDescent="0.2">
      <c r="Y160" s="139"/>
      <c r="Z160" s="139"/>
      <c r="AA160" s="178"/>
      <c r="AB160" s="178"/>
      <c r="AC160" s="138"/>
      <c r="AD160" s="178"/>
      <c r="AE160" s="176"/>
      <c r="AF160" s="179"/>
      <c r="AG160" s="180"/>
      <c r="AH160" s="180"/>
      <c r="AI160" s="180"/>
    </row>
    <row r="246" spans="25:35" x14ac:dyDescent="0.2">
      <c r="Y246" s="139"/>
      <c r="Z246" s="139"/>
      <c r="AA246" s="178"/>
      <c r="AB246" s="178"/>
      <c r="AC246" s="138"/>
      <c r="AD246" s="178"/>
      <c r="AE246" s="176"/>
      <c r="AF246" s="179"/>
      <c r="AG246" s="180"/>
      <c r="AH246" s="180"/>
      <c r="AI246" s="180"/>
    </row>
    <row r="247" spans="25:35" x14ac:dyDescent="0.2">
      <c r="Y247" s="139"/>
      <c r="Z247" s="139"/>
      <c r="AA247" s="178"/>
      <c r="AB247" s="178"/>
      <c r="AC247" s="138"/>
      <c r="AD247" s="178"/>
      <c r="AE247" s="176"/>
      <c r="AF247" s="179"/>
      <c r="AG247" s="180"/>
      <c r="AH247" s="180"/>
      <c r="AI247" s="180"/>
    </row>
    <row r="248" spans="25:35" x14ac:dyDescent="0.2">
      <c r="Y248" s="139"/>
      <c r="Z248" s="139"/>
      <c r="AA248" s="178"/>
      <c r="AB248" s="178"/>
      <c r="AC248" s="138"/>
      <c r="AD248" s="178"/>
      <c r="AE248" s="176"/>
      <c r="AF248" s="179"/>
      <c r="AG248" s="180"/>
      <c r="AH248" s="180"/>
      <c r="AI248" s="180"/>
    </row>
    <row r="249" spans="25:35" x14ac:dyDescent="0.2">
      <c r="Y249" s="139"/>
      <c r="Z249" s="139"/>
      <c r="AA249" s="178"/>
      <c r="AB249" s="178"/>
      <c r="AC249" s="138"/>
      <c r="AD249" s="178"/>
      <c r="AE249" s="176"/>
      <c r="AF249" s="179"/>
      <c r="AG249" s="180"/>
      <c r="AH249" s="180"/>
      <c r="AI249" s="180"/>
    </row>
    <row r="250" spans="25:35" x14ac:dyDescent="0.2">
      <c r="Y250" s="139"/>
      <c r="Z250" s="139"/>
      <c r="AA250" s="178"/>
      <c r="AB250" s="27"/>
      <c r="AC250" s="138"/>
      <c r="AD250" s="178"/>
      <c r="AE250" s="176"/>
      <c r="AF250" s="179"/>
      <c r="AG250" s="180"/>
      <c r="AH250" s="180"/>
      <c r="AI250" s="180"/>
    </row>
    <row r="251" spans="25:35" x14ac:dyDescent="0.2">
      <c r="Y251" s="139"/>
      <c r="Z251" s="139"/>
      <c r="AA251" s="178"/>
      <c r="AB251" s="178"/>
      <c r="AC251" s="138"/>
      <c r="AD251" s="178"/>
      <c r="AE251" s="176"/>
      <c r="AF251" s="179"/>
      <c r="AG251" s="180"/>
      <c r="AH251" s="180"/>
      <c r="AI251" s="180"/>
    </row>
    <row r="252" spans="25:35" x14ac:dyDescent="0.2">
      <c r="Y252" s="139"/>
      <c r="Z252" s="139"/>
      <c r="AA252" s="178"/>
      <c r="AB252" s="178"/>
      <c r="AC252" s="138"/>
      <c r="AD252" s="178"/>
      <c r="AE252" s="176"/>
      <c r="AF252" s="179"/>
      <c r="AG252" s="180"/>
      <c r="AH252" s="180"/>
      <c r="AI252" s="180"/>
    </row>
    <row r="253" spans="25:35" x14ac:dyDescent="0.2">
      <c r="Y253" s="139"/>
      <c r="Z253" s="139"/>
      <c r="AA253" s="178"/>
      <c r="AB253" s="178"/>
      <c r="AC253" s="138"/>
      <c r="AD253" s="178"/>
      <c r="AE253" s="176"/>
      <c r="AF253" s="179"/>
      <c r="AG253" s="180"/>
      <c r="AH253" s="180"/>
      <c r="AI253" s="180"/>
    </row>
    <row r="254" spans="25:35" x14ac:dyDescent="0.2">
      <c r="Y254" s="139"/>
      <c r="Z254" s="139"/>
      <c r="AA254" s="178"/>
      <c r="AB254" s="178"/>
      <c r="AC254" s="138"/>
      <c r="AD254" s="178"/>
      <c r="AE254" s="176"/>
      <c r="AF254" s="179"/>
      <c r="AG254" s="180"/>
      <c r="AH254" s="180"/>
      <c r="AI254" s="180"/>
    </row>
    <row r="255" spans="25:35" x14ac:dyDescent="0.2">
      <c r="Y255" s="139"/>
      <c r="Z255" s="139"/>
      <c r="AA255" s="178"/>
      <c r="AB255" s="178"/>
      <c r="AC255" s="138"/>
      <c r="AD255" s="178"/>
      <c r="AE255" s="176"/>
      <c r="AF255" s="179"/>
      <c r="AG255" s="180"/>
      <c r="AH255" s="180"/>
      <c r="AI255" s="180"/>
    </row>
    <row r="256" spans="25:35" x14ac:dyDescent="0.2">
      <c r="Y256" s="139"/>
      <c r="Z256" s="139"/>
      <c r="AA256" s="178"/>
      <c r="AB256" s="178"/>
      <c r="AC256" s="138"/>
      <c r="AD256" s="178"/>
      <c r="AE256" s="176"/>
      <c r="AF256" s="179"/>
      <c r="AG256" s="180"/>
      <c r="AH256" s="180"/>
      <c r="AI256" s="180"/>
    </row>
    <row r="257" spans="25:35" x14ac:dyDescent="0.2">
      <c r="Y257" s="139"/>
      <c r="Z257" s="139"/>
      <c r="AA257" s="178"/>
      <c r="AB257" s="178"/>
      <c r="AC257" s="138"/>
      <c r="AD257" s="178"/>
      <c r="AE257" s="176"/>
      <c r="AF257" s="179"/>
      <c r="AG257" s="180"/>
      <c r="AH257" s="180"/>
      <c r="AI257" s="180"/>
    </row>
    <row r="258" spans="25:35" x14ac:dyDescent="0.2">
      <c r="Y258" s="139"/>
      <c r="Z258" s="139"/>
      <c r="AA258" s="178"/>
      <c r="AB258" s="178"/>
      <c r="AC258" s="138"/>
      <c r="AD258" s="178"/>
      <c r="AE258" s="176"/>
      <c r="AF258" s="179"/>
      <c r="AG258" s="180"/>
      <c r="AH258" s="180"/>
      <c r="AI258" s="180"/>
    </row>
    <row r="259" spans="25:35" x14ac:dyDescent="0.2">
      <c r="Y259" s="139"/>
      <c r="Z259" s="139"/>
      <c r="AA259" s="178"/>
      <c r="AB259" s="178"/>
      <c r="AC259" s="138"/>
      <c r="AD259" s="178"/>
      <c r="AE259" s="176"/>
      <c r="AF259" s="179"/>
      <c r="AG259" s="180"/>
      <c r="AH259" s="180"/>
      <c r="AI259" s="180"/>
    </row>
    <row r="260" spans="25:35" x14ac:dyDescent="0.2">
      <c r="Y260" s="139"/>
      <c r="Z260" s="139"/>
      <c r="AA260" s="178"/>
      <c r="AB260" s="178"/>
      <c r="AC260" s="138"/>
      <c r="AD260" s="178"/>
      <c r="AE260" s="176"/>
      <c r="AF260" s="179"/>
      <c r="AG260" s="180"/>
      <c r="AH260" s="180"/>
      <c r="AI260" s="180"/>
    </row>
    <row r="261" spans="25:35" x14ac:dyDescent="0.2">
      <c r="Y261" s="139"/>
      <c r="Z261" s="139"/>
      <c r="AA261" s="178"/>
      <c r="AB261" s="178"/>
      <c r="AC261" s="138"/>
      <c r="AD261" s="178"/>
      <c r="AE261" s="176"/>
      <c r="AF261" s="179"/>
      <c r="AG261" s="180"/>
      <c r="AH261" s="180"/>
      <c r="AI261" s="180"/>
    </row>
    <row r="262" spans="25:35" x14ac:dyDescent="0.2">
      <c r="Y262" s="139"/>
      <c r="Z262" s="139"/>
      <c r="AA262" s="178"/>
      <c r="AB262" s="178"/>
      <c r="AC262" s="138"/>
      <c r="AD262" s="178"/>
      <c r="AE262" s="176"/>
      <c r="AF262" s="179"/>
      <c r="AG262" s="180"/>
      <c r="AH262" s="180"/>
      <c r="AI262" s="180"/>
    </row>
    <row r="263" spans="25:35" x14ac:dyDescent="0.2">
      <c r="Y263" s="139"/>
      <c r="Z263" s="139"/>
      <c r="AA263" s="178"/>
      <c r="AB263" s="178"/>
      <c r="AC263" s="138"/>
      <c r="AD263" s="178"/>
      <c r="AE263" s="176"/>
      <c r="AF263" s="179"/>
      <c r="AG263" s="180"/>
      <c r="AH263" s="180"/>
      <c r="AI263" s="180"/>
    </row>
    <row r="264" spans="25:35" x14ac:dyDescent="0.2">
      <c r="Y264" s="139"/>
      <c r="Z264" s="139"/>
      <c r="AA264" s="178"/>
      <c r="AB264" s="178"/>
      <c r="AC264" s="138"/>
      <c r="AD264" s="178"/>
      <c r="AE264" s="176"/>
      <c r="AF264" s="179"/>
      <c r="AG264" s="180"/>
      <c r="AH264" s="180"/>
      <c r="AI264" s="180"/>
    </row>
    <row r="268" spans="25:35" x14ac:dyDescent="0.2">
      <c r="Y268" s="139"/>
      <c r="Z268" s="139"/>
      <c r="AA268" s="178"/>
      <c r="AB268" s="178"/>
      <c r="AC268" s="138"/>
      <c r="AD268" s="178"/>
      <c r="AE268" s="176"/>
      <c r="AF268" s="179"/>
      <c r="AG268" s="180"/>
      <c r="AH268" s="180"/>
      <c r="AI268" s="180"/>
    </row>
    <row r="269" spans="25:35" x14ac:dyDescent="0.2">
      <c r="Y269" s="139"/>
      <c r="Z269" s="139"/>
      <c r="AA269" s="178"/>
      <c r="AB269" s="178"/>
      <c r="AC269" s="138"/>
      <c r="AD269" s="178"/>
      <c r="AE269" s="176"/>
      <c r="AF269" s="179"/>
      <c r="AG269" s="180"/>
      <c r="AH269" s="180"/>
      <c r="AI269" s="180"/>
    </row>
  </sheetData>
  <autoFilter ref="A1:AN93"/>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23" sqref="A23:B23"/>
    </sheetView>
  </sheetViews>
  <sheetFormatPr baseColWidth="10" defaultColWidth="11" defaultRowHeight="14.25" x14ac:dyDescent="0.2"/>
  <cols>
    <col min="1" max="1" width="21.75" bestFit="1" customWidth="1"/>
    <col min="2" max="2" width="22.75" bestFit="1" customWidth="1"/>
  </cols>
  <sheetData>
    <row r="1" spans="1:2" ht="15" x14ac:dyDescent="0.25">
      <c r="A1" s="1" t="s">
        <v>1275</v>
      </c>
      <c r="B1" s="1" t="s">
        <v>1276</v>
      </c>
    </row>
    <row r="2" spans="1:2" x14ac:dyDescent="0.2">
      <c r="A2" s="174" t="s">
        <v>111</v>
      </c>
      <c r="B2" s="174">
        <v>385.512</v>
      </c>
    </row>
    <row r="3" spans="1:2" x14ac:dyDescent="0.2">
      <c r="A3" s="174" t="s">
        <v>149</v>
      </c>
      <c r="B3" s="174">
        <v>705.63300000000004</v>
      </c>
    </row>
    <row r="4" spans="1:2" x14ac:dyDescent="0.2">
      <c r="A4" s="174" t="s">
        <v>152</v>
      </c>
      <c r="B4" s="174">
        <v>721.63300000000004</v>
      </c>
    </row>
    <row r="5" spans="1:2" x14ac:dyDescent="0.2">
      <c r="A5" s="174" t="s">
        <v>553</v>
      </c>
      <c r="B5" s="174">
        <v>719.61699999999996</v>
      </c>
    </row>
    <row r="6" spans="1:2" x14ac:dyDescent="0.2">
      <c r="A6" s="174" t="s">
        <v>556</v>
      </c>
      <c r="B6" s="174">
        <v>649.52700000000004</v>
      </c>
    </row>
    <row r="7" spans="1:2" x14ac:dyDescent="0.2">
      <c r="A7" s="174" t="s">
        <v>410</v>
      </c>
      <c r="B7" s="174">
        <v>733.92700000000002</v>
      </c>
    </row>
    <row r="8" spans="1:2" x14ac:dyDescent="0.2">
      <c r="A8" s="174" t="s">
        <v>184</v>
      </c>
      <c r="B8" s="174">
        <v>588.6</v>
      </c>
    </row>
    <row r="9" spans="1:2" x14ac:dyDescent="0.2">
      <c r="A9" s="174" t="s">
        <v>1277</v>
      </c>
      <c r="B9" s="174">
        <v>1449.3</v>
      </c>
    </row>
    <row r="10" spans="1:2" x14ac:dyDescent="0.2">
      <c r="A10" s="174" t="s">
        <v>393</v>
      </c>
      <c r="B10" s="174">
        <v>416.52</v>
      </c>
    </row>
    <row r="11" spans="1:2" x14ac:dyDescent="0.2">
      <c r="A11" s="174" t="s">
        <v>213</v>
      </c>
      <c r="B11" s="174">
        <v>386.6</v>
      </c>
    </row>
    <row r="12" spans="1:2" x14ac:dyDescent="0.2">
      <c r="A12" s="174" t="s">
        <v>466</v>
      </c>
      <c r="B12" s="174">
        <v>780.93</v>
      </c>
    </row>
    <row r="13" spans="1:2" x14ac:dyDescent="0.2">
      <c r="A13" s="174" t="s">
        <v>1278</v>
      </c>
      <c r="B13" s="174">
        <v>178.27070000000001</v>
      </c>
    </row>
    <row r="14" spans="1:2" x14ac:dyDescent="0.2">
      <c r="A14" s="174" t="s">
        <v>1279</v>
      </c>
      <c r="B14" s="174">
        <v>444.41629999999998</v>
      </c>
    </row>
    <row r="15" spans="1:2" x14ac:dyDescent="0.2">
      <c r="A15" s="174" t="s">
        <v>1280</v>
      </c>
      <c r="B15" s="174">
        <v>853.92</v>
      </c>
    </row>
    <row r="16" spans="1:2" x14ac:dyDescent="0.2">
      <c r="A16" s="174" t="s">
        <v>102</v>
      </c>
      <c r="B16" s="174">
        <v>325.77</v>
      </c>
    </row>
    <row r="17" spans="1:2" x14ac:dyDescent="0.2">
      <c r="A17" s="174" t="s">
        <v>54</v>
      </c>
      <c r="B17" s="174">
        <v>822.94</v>
      </c>
    </row>
    <row r="18" spans="1:2" x14ac:dyDescent="0.2">
      <c r="A18" s="174" t="s">
        <v>1281</v>
      </c>
      <c r="B18" s="174">
        <v>502.899</v>
      </c>
    </row>
    <row r="19" spans="1:2" x14ac:dyDescent="0.2">
      <c r="A19" s="174" t="s">
        <v>657</v>
      </c>
      <c r="B19" s="174">
        <v>241.29</v>
      </c>
    </row>
    <row r="20" spans="1:2" x14ac:dyDescent="0.2">
      <c r="A20" s="174" t="s">
        <v>921</v>
      </c>
      <c r="B20" s="174">
        <v>531.43100000000004</v>
      </c>
    </row>
    <row r="21" spans="1:2" x14ac:dyDescent="0.2">
      <c r="A21" s="174" t="s">
        <v>747</v>
      </c>
      <c r="B21" s="174">
        <v>194.19</v>
      </c>
    </row>
    <row r="22" spans="1:2" x14ac:dyDescent="0.2">
      <c r="A22" s="174" t="s">
        <v>960</v>
      </c>
      <c r="B22" s="174">
        <v>349.31099999999998</v>
      </c>
    </row>
    <row r="23" spans="1:2" x14ac:dyDescent="0.2">
      <c r="A23" s="174" t="s">
        <v>228</v>
      </c>
      <c r="B23" s="174">
        <v>418.56599999999997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topLeftCell="A3" workbookViewId="0">
      <selection activeCell="K12" sqref="K12"/>
    </sheetView>
  </sheetViews>
  <sheetFormatPr baseColWidth="10" defaultColWidth="11" defaultRowHeight="14.25" x14ac:dyDescent="0.2"/>
  <cols>
    <col min="5" max="6" width="14.125" style="72" customWidth="1"/>
    <col min="7" max="7" width="14.125" customWidth="1"/>
    <col min="8" max="9" width="14.125" style="72" customWidth="1"/>
  </cols>
  <sheetData>
    <row r="1" spans="1:16" ht="15" x14ac:dyDescent="0.25">
      <c r="A1" s="1" t="s">
        <v>1282</v>
      </c>
      <c r="B1" s="174"/>
      <c r="C1" s="174"/>
      <c r="D1" s="174"/>
      <c r="E1" s="1" t="s">
        <v>1283</v>
      </c>
      <c r="F1" s="1"/>
      <c r="G1" s="174"/>
      <c r="H1" s="1"/>
      <c r="I1" s="1"/>
      <c r="J1" s="174"/>
      <c r="K1" s="174"/>
      <c r="L1" s="174"/>
      <c r="M1" s="174"/>
      <c r="N1" s="174"/>
      <c r="O1" s="174"/>
      <c r="P1" s="174"/>
    </row>
    <row r="2" spans="1:16" ht="15" x14ac:dyDescent="0.25">
      <c r="A2" s="1" t="s">
        <v>1284</v>
      </c>
      <c r="B2" s="1" t="s">
        <v>1027</v>
      </c>
      <c r="C2" s="1" t="s">
        <v>1285</v>
      </c>
      <c r="D2" s="174"/>
      <c r="E2" s="1" t="s">
        <v>1286</v>
      </c>
      <c r="F2" s="1" t="s">
        <v>1287</v>
      </c>
      <c r="G2" s="1" t="s">
        <v>1288</v>
      </c>
      <c r="H2" s="1" t="s">
        <v>1289</v>
      </c>
      <c r="I2" s="1" t="s">
        <v>1290</v>
      </c>
      <c r="J2" s="1" t="s">
        <v>1291</v>
      </c>
      <c r="K2" s="1" t="s">
        <v>1292</v>
      </c>
      <c r="L2" s="1" t="s">
        <v>1293</v>
      </c>
      <c r="M2" s="1" t="s">
        <v>1294</v>
      </c>
      <c r="N2" s="1" t="s">
        <v>1110</v>
      </c>
      <c r="O2" s="174"/>
      <c r="P2" s="1" t="s">
        <v>1295</v>
      </c>
    </row>
    <row r="3" spans="1:16" x14ac:dyDescent="0.2">
      <c r="A3" s="174" t="s">
        <v>1025</v>
      </c>
      <c r="B3" s="174" t="s">
        <v>1027</v>
      </c>
      <c r="C3" s="174" t="s">
        <v>1064</v>
      </c>
      <c r="D3" s="174"/>
      <c r="E3" s="174" t="s">
        <v>1057</v>
      </c>
      <c r="F3" s="174" t="s">
        <v>1057</v>
      </c>
      <c r="G3" s="174" t="s">
        <v>1057</v>
      </c>
      <c r="H3" s="174" t="s">
        <v>1057</v>
      </c>
      <c r="I3" s="174"/>
      <c r="J3" s="174" t="s">
        <v>1055</v>
      </c>
      <c r="K3" s="174" t="s">
        <v>1055</v>
      </c>
      <c r="L3" s="174" t="s">
        <v>1061</v>
      </c>
      <c r="M3" s="174" t="s">
        <v>1061</v>
      </c>
      <c r="N3" s="174" t="s">
        <v>60</v>
      </c>
      <c r="O3" s="174"/>
      <c r="P3" s="174" t="s">
        <v>56</v>
      </c>
    </row>
    <row r="4" spans="1:16" x14ac:dyDescent="0.2">
      <c r="A4" s="174" t="s">
        <v>1052</v>
      </c>
      <c r="B4" s="174" t="s">
        <v>1296</v>
      </c>
      <c r="C4" s="174" t="s">
        <v>1033</v>
      </c>
      <c r="D4" s="174"/>
      <c r="E4" s="174" t="s">
        <v>1063</v>
      </c>
      <c r="F4" s="174" t="s">
        <v>1063</v>
      </c>
      <c r="G4" s="174" t="s">
        <v>1063</v>
      </c>
      <c r="H4" s="174" t="s">
        <v>1063</v>
      </c>
      <c r="I4" s="174"/>
      <c r="J4" s="174" t="s">
        <v>1062</v>
      </c>
      <c r="K4" s="174" t="s">
        <v>1062</v>
      </c>
      <c r="L4" s="174" t="s">
        <v>1036</v>
      </c>
      <c r="M4" s="174" t="s">
        <v>1036</v>
      </c>
      <c r="N4" s="174" t="s">
        <v>1041</v>
      </c>
      <c r="O4" s="174"/>
      <c r="P4" s="174" t="s">
        <v>76</v>
      </c>
    </row>
    <row r="5" spans="1:16" x14ac:dyDescent="0.2">
      <c r="A5" s="174" t="s">
        <v>1028</v>
      </c>
      <c r="B5" s="174"/>
      <c r="C5" s="174" t="s">
        <v>1297</v>
      </c>
      <c r="D5" s="174"/>
      <c r="E5" s="174" t="s">
        <v>1298</v>
      </c>
      <c r="F5" s="174" t="s">
        <v>1298</v>
      </c>
      <c r="G5" s="174" t="s">
        <v>1298</v>
      </c>
      <c r="H5" s="174" t="s">
        <v>1298</v>
      </c>
      <c r="I5" s="174"/>
      <c r="J5" s="174" t="s">
        <v>1299</v>
      </c>
      <c r="K5" s="174" t="s">
        <v>1299</v>
      </c>
      <c r="L5" s="174" t="s">
        <v>1108</v>
      </c>
      <c r="M5" s="174" t="s">
        <v>1108</v>
      </c>
      <c r="N5" s="174" t="s">
        <v>420</v>
      </c>
      <c r="O5" s="174"/>
      <c r="P5" s="174" t="s">
        <v>790</v>
      </c>
    </row>
    <row r="6" spans="1:16" x14ac:dyDescent="0.2">
      <c r="A6" s="174" t="s">
        <v>1300</v>
      </c>
      <c r="B6" s="174"/>
      <c r="C6" s="174" t="s">
        <v>1301</v>
      </c>
      <c r="D6" s="174"/>
      <c r="E6" s="174" t="s">
        <v>1302</v>
      </c>
      <c r="F6" s="174" t="s">
        <v>1302</v>
      </c>
      <c r="G6" s="174" t="s">
        <v>1302</v>
      </c>
      <c r="H6" s="174" t="s">
        <v>1302</v>
      </c>
      <c r="I6" s="174"/>
      <c r="J6" s="174" t="s">
        <v>1303</v>
      </c>
      <c r="K6" s="174" t="s">
        <v>1303</v>
      </c>
      <c r="L6" s="174" t="s">
        <v>1043</v>
      </c>
      <c r="M6" s="174" t="s">
        <v>1043</v>
      </c>
      <c r="N6" s="174"/>
      <c r="O6" s="174"/>
      <c r="P6" s="174"/>
    </row>
    <row r="7" spans="1:16" x14ac:dyDescent="0.2">
      <c r="A7" s="174" t="s">
        <v>1304</v>
      </c>
      <c r="B7" s="174"/>
      <c r="C7" s="174"/>
      <c r="D7" s="174"/>
      <c r="E7" s="174" t="s">
        <v>1305</v>
      </c>
      <c r="F7" s="174" t="s">
        <v>1305</v>
      </c>
      <c r="G7" s="174" t="s">
        <v>1305</v>
      </c>
      <c r="H7" s="174" t="s">
        <v>1305</v>
      </c>
      <c r="I7" s="174"/>
      <c r="J7" s="174" t="s">
        <v>1306</v>
      </c>
      <c r="K7" s="174" t="s">
        <v>1306</v>
      </c>
      <c r="L7" s="174" t="s">
        <v>1032</v>
      </c>
      <c r="M7" s="174" t="s">
        <v>1032</v>
      </c>
      <c r="N7" s="174"/>
      <c r="O7" s="174"/>
      <c r="P7" s="174"/>
    </row>
    <row r="8" spans="1:16" x14ac:dyDescent="0.2">
      <c r="A8" s="174" t="s">
        <v>1307</v>
      </c>
      <c r="B8" s="174"/>
      <c r="C8" s="174"/>
      <c r="D8" s="174"/>
      <c r="E8" s="174" t="s">
        <v>1308</v>
      </c>
      <c r="F8" s="174" t="s">
        <v>1308</v>
      </c>
      <c r="G8" s="174" t="s">
        <v>1308</v>
      </c>
      <c r="H8" s="174" t="s">
        <v>1308</v>
      </c>
      <c r="I8" s="174"/>
      <c r="J8" s="174" t="s">
        <v>1309</v>
      </c>
      <c r="K8" s="174" t="s">
        <v>1309</v>
      </c>
      <c r="L8" s="174" t="s">
        <v>1310</v>
      </c>
      <c r="M8" s="174" t="s">
        <v>1310</v>
      </c>
      <c r="N8" s="174"/>
      <c r="O8" s="174"/>
      <c r="P8" s="174"/>
    </row>
    <row r="9" spans="1:16" x14ac:dyDescent="0.2">
      <c r="A9" s="174"/>
      <c r="B9" s="174"/>
      <c r="C9" s="174"/>
      <c r="D9" s="174"/>
      <c r="E9" s="174" t="s">
        <v>1311</v>
      </c>
      <c r="F9" s="174" t="s">
        <v>1311</v>
      </c>
      <c r="G9" s="174" t="s">
        <v>1311</v>
      </c>
      <c r="H9" s="174" t="s">
        <v>1311</v>
      </c>
      <c r="I9" s="174"/>
      <c r="J9" s="174" t="s">
        <v>1312</v>
      </c>
      <c r="K9" s="174" t="s">
        <v>1312</v>
      </c>
      <c r="L9" s="174" t="s">
        <v>1313</v>
      </c>
      <c r="M9" s="174" t="s">
        <v>1313</v>
      </c>
      <c r="N9" s="174"/>
      <c r="O9" s="174"/>
      <c r="P9" s="174"/>
    </row>
    <row r="10" spans="1:16" x14ac:dyDescent="0.2">
      <c r="A10" s="174"/>
      <c r="B10" s="174"/>
      <c r="C10" s="174"/>
      <c r="D10" s="174"/>
      <c r="E10" s="174" t="s">
        <v>1314</v>
      </c>
      <c r="F10" s="174" t="s">
        <v>1314</v>
      </c>
      <c r="G10" s="174" t="s">
        <v>1314</v>
      </c>
      <c r="H10" s="174" t="s">
        <v>1314</v>
      </c>
      <c r="I10" s="174"/>
      <c r="J10" s="174" t="s">
        <v>1315</v>
      </c>
      <c r="K10" s="174" t="s">
        <v>1315</v>
      </c>
      <c r="L10" s="174" t="s">
        <v>1071</v>
      </c>
      <c r="M10" s="174" t="s">
        <v>1071</v>
      </c>
      <c r="N10" s="174"/>
      <c r="O10" s="174"/>
      <c r="P10" s="174"/>
    </row>
    <row r="11" spans="1:16" x14ac:dyDescent="0.2">
      <c r="A11" s="174"/>
      <c r="B11" s="174"/>
      <c r="C11" s="174"/>
      <c r="D11" s="174"/>
      <c r="E11" s="174" t="s">
        <v>1316</v>
      </c>
      <c r="F11" s="174" t="s">
        <v>1316</v>
      </c>
      <c r="G11" s="174" t="s">
        <v>1316</v>
      </c>
      <c r="H11" s="174" t="s">
        <v>1316</v>
      </c>
      <c r="I11" s="174"/>
      <c r="J11" s="174" t="s">
        <v>1060</v>
      </c>
      <c r="K11" s="174" t="s">
        <v>1060</v>
      </c>
      <c r="L11" s="174"/>
      <c r="M11" s="174" t="s">
        <v>517</v>
      </c>
      <c r="N11" s="174"/>
      <c r="O11" s="174"/>
      <c r="P11" s="174"/>
    </row>
    <row r="12" spans="1:16" x14ac:dyDescent="0.2">
      <c r="A12" s="174"/>
      <c r="B12" s="174"/>
      <c r="C12" s="174"/>
      <c r="D12" s="174"/>
      <c r="E12" s="174" t="s">
        <v>1054</v>
      </c>
      <c r="F12" s="174" t="s">
        <v>1054</v>
      </c>
      <c r="G12" s="174" t="s">
        <v>1054</v>
      </c>
      <c r="H12" s="174" t="s">
        <v>1054</v>
      </c>
      <c r="I12" s="174"/>
      <c r="J12" s="174" t="s">
        <v>1051</v>
      </c>
      <c r="K12" s="174" t="s">
        <v>1051</v>
      </c>
      <c r="L12" s="174"/>
      <c r="M12" s="174"/>
      <c r="N12" s="174"/>
      <c r="O12" s="174"/>
      <c r="P12" s="174"/>
    </row>
    <row r="13" spans="1:16" x14ac:dyDescent="0.2">
      <c r="A13" s="174"/>
      <c r="B13" s="174"/>
      <c r="C13" s="174"/>
      <c r="D13" s="174"/>
      <c r="E13" s="174" t="s">
        <v>1026</v>
      </c>
      <c r="F13" s="174" t="s">
        <v>1026</v>
      </c>
      <c r="G13" s="174" t="s">
        <v>1026</v>
      </c>
      <c r="H13" s="174" t="s">
        <v>1026</v>
      </c>
      <c r="I13" s="174"/>
      <c r="J13" s="174" t="s">
        <v>1024</v>
      </c>
      <c r="K13" s="174" t="s">
        <v>1024</v>
      </c>
      <c r="L13" s="174"/>
      <c r="M13" s="174"/>
      <c r="N13" s="174"/>
      <c r="O13" s="174"/>
      <c r="P13" s="174"/>
    </row>
    <row r="14" spans="1:16" x14ac:dyDescent="0.2">
      <c r="A14" s="174"/>
      <c r="B14" s="174"/>
      <c r="C14" s="174"/>
      <c r="D14" s="174"/>
      <c r="E14" s="174" t="s">
        <v>1031</v>
      </c>
      <c r="F14" s="174" t="s">
        <v>1031</v>
      </c>
      <c r="G14" s="174" t="s">
        <v>1031</v>
      </c>
      <c r="H14" s="174" t="s">
        <v>1031</v>
      </c>
      <c r="I14" s="174"/>
      <c r="J14" s="174" t="s">
        <v>1048</v>
      </c>
      <c r="K14" s="174" t="s">
        <v>1048</v>
      </c>
      <c r="L14" s="174"/>
      <c r="M14" s="174"/>
      <c r="N14" s="174"/>
      <c r="O14" s="174"/>
      <c r="P14" s="174"/>
    </row>
    <row r="15" spans="1:16" x14ac:dyDescent="0.2">
      <c r="A15" s="174"/>
      <c r="B15" s="174"/>
      <c r="C15" s="174"/>
      <c r="D15" s="174"/>
      <c r="E15" s="174" t="s">
        <v>1317</v>
      </c>
      <c r="F15" s="174" t="s">
        <v>1317</v>
      </c>
      <c r="G15" s="174" t="s">
        <v>1317</v>
      </c>
      <c r="H15" s="174" t="s">
        <v>1317</v>
      </c>
      <c r="I15" s="174"/>
      <c r="J15" s="174" t="s">
        <v>1318</v>
      </c>
      <c r="K15" s="174" t="s">
        <v>1318</v>
      </c>
      <c r="L15" s="174"/>
      <c r="M15" s="174"/>
      <c r="N15" s="174"/>
      <c r="O15" s="174"/>
      <c r="P15" s="174"/>
    </row>
    <row r="16" spans="1:16" x14ac:dyDescent="0.2">
      <c r="A16" s="174"/>
      <c r="B16" s="174"/>
      <c r="C16" s="174"/>
      <c r="D16" s="174"/>
      <c r="E16" s="174" t="s">
        <v>1319</v>
      </c>
      <c r="F16" s="174" t="s">
        <v>1319</v>
      </c>
      <c r="G16" s="174" t="s">
        <v>1319</v>
      </c>
      <c r="H16" s="174" t="s">
        <v>1319</v>
      </c>
      <c r="I16" s="174"/>
      <c r="J16" s="174" t="s">
        <v>1320</v>
      </c>
      <c r="K16" s="174" t="s">
        <v>1320</v>
      </c>
      <c r="L16" s="174"/>
      <c r="M16" s="174"/>
      <c r="N16" s="174"/>
      <c r="O16" s="174"/>
      <c r="P16" s="174"/>
    </row>
    <row r="17" spans="5:11" x14ac:dyDescent="0.2">
      <c r="E17" s="174" t="s">
        <v>1059</v>
      </c>
      <c r="F17" s="174" t="s">
        <v>1059</v>
      </c>
      <c r="G17" s="174" t="s">
        <v>1059</v>
      </c>
      <c r="H17" s="174" t="s">
        <v>1059</v>
      </c>
      <c r="I17" s="174"/>
      <c r="J17" s="174" t="s">
        <v>1058</v>
      </c>
      <c r="K17" s="174" t="s">
        <v>1058</v>
      </c>
    </row>
    <row r="18" spans="5:11" x14ac:dyDescent="0.2">
      <c r="E18" s="174" t="s">
        <v>1321</v>
      </c>
      <c r="F18" s="174" t="s">
        <v>1321</v>
      </c>
      <c r="G18" s="174" t="s">
        <v>1321</v>
      </c>
      <c r="H18" s="174" t="s">
        <v>1321</v>
      </c>
      <c r="I18" s="174"/>
      <c r="J18" s="174" t="s">
        <v>1322</v>
      </c>
      <c r="K18" s="174" t="s">
        <v>1322</v>
      </c>
    </row>
    <row r="19" spans="5:11" x14ac:dyDescent="0.2">
      <c r="E19" s="174" t="s">
        <v>1323</v>
      </c>
      <c r="F19" s="174" t="s">
        <v>1323</v>
      </c>
      <c r="G19" s="174" t="s">
        <v>1323</v>
      </c>
      <c r="H19" s="174" t="s">
        <v>1323</v>
      </c>
      <c r="I19" s="174"/>
      <c r="J19" s="174" t="s">
        <v>1324</v>
      </c>
      <c r="K19" s="174" t="s">
        <v>1324</v>
      </c>
    </row>
    <row r="20" spans="5:11" x14ac:dyDescent="0.2">
      <c r="E20" s="174" t="s">
        <v>1325</v>
      </c>
      <c r="F20" s="174" t="s">
        <v>1325</v>
      </c>
      <c r="G20" s="174" t="s">
        <v>1325</v>
      </c>
      <c r="H20" s="174" t="s">
        <v>1325</v>
      </c>
      <c r="I20" s="174"/>
      <c r="J20" s="174" t="s">
        <v>1326</v>
      </c>
      <c r="K20" s="174" t="s">
        <v>1326</v>
      </c>
    </row>
    <row r="21" spans="5:11" x14ac:dyDescent="0.2">
      <c r="E21" s="174" t="s">
        <v>1327</v>
      </c>
      <c r="F21" s="174" t="s">
        <v>1327</v>
      </c>
      <c r="G21" s="174" t="s">
        <v>1327</v>
      </c>
      <c r="H21" s="174" t="s">
        <v>1327</v>
      </c>
      <c r="I21" s="174"/>
      <c r="J21" s="174" t="s">
        <v>1328</v>
      </c>
      <c r="K21" s="174" t="s">
        <v>1328</v>
      </c>
    </row>
    <row r="22" spans="5:11" x14ac:dyDescent="0.2">
      <c r="E22" s="174" t="s">
        <v>1329</v>
      </c>
      <c r="F22" s="174" t="s">
        <v>1329</v>
      </c>
      <c r="G22" s="174" t="s">
        <v>1329</v>
      </c>
      <c r="H22" s="174" t="s">
        <v>1329</v>
      </c>
      <c r="I22" s="174"/>
      <c r="J22" s="174" t="s">
        <v>1330</v>
      </c>
      <c r="K22" s="174" t="s">
        <v>1330</v>
      </c>
    </row>
    <row r="23" spans="5:11" x14ac:dyDescent="0.2">
      <c r="E23" s="174" t="s">
        <v>1331</v>
      </c>
      <c r="F23" s="174" t="s">
        <v>1331</v>
      </c>
      <c r="G23" s="174" t="s">
        <v>1331</v>
      </c>
      <c r="H23" s="174" t="s">
        <v>1331</v>
      </c>
      <c r="I23" s="174"/>
      <c r="J23" s="174" t="s">
        <v>1332</v>
      </c>
      <c r="K23" s="174" t="s">
        <v>1332</v>
      </c>
    </row>
    <row r="24" spans="5:11" x14ac:dyDescent="0.2">
      <c r="E24" s="174" t="s">
        <v>1333</v>
      </c>
      <c r="F24" s="174" t="s">
        <v>1333</v>
      </c>
      <c r="G24" s="174" t="s">
        <v>1333</v>
      </c>
      <c r="H24" s="174" t="s">
        <v>1333</v>
      </c>
      <c r="I24" s="174"/>
      <c r="J24" s="174" t="s">
        <v>1334</v>
      </c>
      <c r="K24" s="174" t="s">
        <v>1334</v>
      </c>
    </row>
    <row r="25" spans="5:11" x14ac:dyDescent="0.2">
      <c r="E25" s="174" t="s">
        <v>1335</v>
      </c>
      <c r="F25" s="174" t="s">
        <v>1335</v>
      </c>
      <c r="G25" s="174" t="s">
        <v>1335</v>
      </c>
      <c r="H25" s="174" t="s">
        <v>1335</v>
      </c>
      <c r="I25" s="174"/>
      <c r="J25" s="174" t="s">
        <v>1336</v>
      </c>
      <c r="K25" s="174" t="s">
        <v>1336</v>
      </c>
    </row>
    <row r="26" spans="5:11" x14ac:dyDescent="0.2">
      <c r="E26" s="174" t="s">
        <v>1337</v>
      </c>
      <c r="F26" s="174" t="s">
        <v>1337</v>
      </c>
      <c r="G26" s="174" t="s">
        <v>1337</v>
      </c>
      <c r="H26" s="174" t="s">
        <v>1337</v>
      </c>
      <c r="I26" s="174"/>
      <c r="J26" s="174" t="s">
        <v>1338</v>
      </c>
      <c r="K26" s="174" t="s">
        <v>1338</v>
      </c>
    </row>
    <row r="27" spans="5:11" x14ac:dyDescent="0.2">
      <c r="E27" s="174" t="s">
        <v>58</v>
      </c>
      <c r="F27" s="174" t="s">
        <v>58</v>
      </c>
      <c r="G27" s="174"/>
      <c r="H27" s="174" t="s">
        <v>517</v>
      </c>
      <c r="I27" s="174"/>
      <c r="J27" s="174" t="s">
        <v>1339</v>
      </c>
      <c r="K27" s="174" t="s">
        <v>1339</v>
      </c>
    </row>
    <row r="28" spans="5:11" x14ac:dyDescent="0.2">
      <c r="E28" s="174" t="s">
        <v>531</v>
      </c>
      <c r="F28" s="174" t="s">
        <v>531</v>
      </c>
      <c r="G28" s="174"/>
      <c r="H28" s="174"/>
      <c r="I28" s="174"/>
      <c r="J28" s="174" t="s">
        <v>1340</v>
      </c>
      <c r="K28" s="174" t="s">
        <v>1340</v>
      </c>
    </row>
    <row r="29" spans="5:11" x14ac:dyDescent="0.2">
      <c r="E29" s="174" t="s">
        <v>1341</v>
      </c>
      <c r="F29" s="174" t="s">
        <v>1341</v>
      </c>
      <c r="G29" s="174"/>
      <c r="H29" s="174"/>
      <c r="I29" s="174"/>
      <c r="J29" s="174" t="s">
        <v>1342</v>
      </c>
      <c r="K29" s="174" t="s">
        <v>1342</v>
      </c>
    </row>
    <row r="30" spans="5:11" x14ac:dyDescent="0.2">
      <c r="E30" s="174" t="s">
        <v>1343</v>
      </c>
      <c r="F30" s="174" t="s">
        <v>1343</v>
      </c>
      <c r="G30" s="174"/>
      <c r="H30" s="174"/>
      <c r="I30" s="174"/>
      <c r="J30" s="174" t="s">
        <v>1344</v>
      </c>
      <c r="K30" s="174" t="s">
        <v>1344</v>
      </c>
    </row>
    <row r="31" spans="5:11" x14ac:dyDescent="0.2">
      <c r="E31" s="174" t="s">
        <v>1345</v>
      </c>
      <c r="F31" s="174" t="s">
        <v>1345</v>
      </c>
      <c r="G31" s="174"/>
      <c r="H31" s="174"/>
      <c r="I31" s="174"/>
      <c r="J31" s="174" t="s">
        <v>1346</v>
      </c>
      <c r="K31" s="174" t="s">
        <v>1346</v>
      </c>
    </row>
    <row r="32" spans="5:11" x14ac:dyDescent="0.2">
      <c r="E32" s="174" t="s">
        <v>1347</v>
      </c>
      <c r="F32" s="174" t="s">
        <v>1347</v>
      </c>
      <c r="G32" s="174"/>
      <c r="H32" s="174"/>
      <c r="I32" s="174"/>
      <c r="J32" s="174" t="s">
        <v>1348</v>
      </c>
      <c r="K32" s="174" t="s">
        <v>1348</v>
      </c>
    </row>
    <row r="33" spans="5:11" x14ac:dyDescent="0.2">
      <c r="E33" s="174" t="s">
        <v>1349</v>
      </c>
      <c r="F33" s="174" t="s">
        <v>1349</v>
      </c>
      <c r="G33" s="174"/>
      <c r="H33" s="174"/>
      <c r="I33" s="174"/>
      <c r="J33" s="174" t="s">
        <v>1350</v>
      </c>
      <c r="K33" s="174" t="s">
        <v>1350</v>
      </c>
    </row>
    <row r="34" spans="5:11" x14ac:dyDescent="0.2">
      <c r="E34" s="174" t="s">
        <v>1351</v>
      </c>
      <c r="F34" s="174" t="s">
        <v>1351</v>
      </c>
      <c r="G34" s="174"/>
      <c r="H34" s="174"/>
      <c r="I34" s="174"/>
      <c r="J34" s="174" t="s">
        <v>1352</v>
      </c>
      <c r="K34" s="174" t="s">
        <v>1352</v>
      </c>
    </row>
    <row r="35" spans="5:11" x14ac:dyDescent="0.2">
      <c r="E35" s="174" t="s">
        <v>517</v>
      </c>
      <c r="F35" s="174" t="s">
        <v>517</v>
      </c>
      <c r="G35" s="174"/>
      <c r="H35" s="174"/>
      <c r="I35" s="174"/>
      <c r="J35" s="174" t="s">
        <v>1353</v>
      </c>
      <c r="K35" s="174" t="s">
        <v>1353</v>
      </c>
    </row>
    <row r="36" spans="5:11" x14ac:dyDescent="0.2">
      <c r="E36" s="174"/>
      <c r="F36" s="174"/>
      <c r="G36" s="174"/>
      <c r="H36" s="174"/>
      <c r="I36" s="174"/>
      <c r="J36" s="174" t="s">
        <v>1107</v>
      </c>
      <c r="K36" s="174" t="s">
        <v>1107</v>
      </c>
    </row>
    <row r="37" spans="5:11" x14ac:dyDescent="0.2">
      <c r="E37" s="174"/>
      <c r="F37" s="174"/>
      <c r="G37" s="174"/>
      <c r="H37" s="174"/>
      <c r="I37" s="174"/>
      <c r="J37" s="174" t="s">
        <v>1099</v>
      </c>
      <c r="K37" s="174" t="s">
        <v>1099</v>
      </c>
    </row>
    <row r="38" spans="5:11" x14ac:dyDescent="0.2">
      <c r="E38" s="174"/>
      <c r="F38" s="174"/>
      <c r="G38" s="174"/>
      <c r="H38" s="174"/>
      <c r="I38" s="174"/>
      <c r="J38" s="174" t="s">
        <v>1354</v>
      </c>
      <c r="K38" s="174" t="s">
        <v>1354</v>
      </c>
    </row>
    <row r="39" spans="5:11" x14ac:dyDescent="0.2">
      <c r="E39" s="174"/>
      <c r="F39" s="174"/>
      <c r="G39" s="174"/>
      <c r="H39" s="174"/>
      <c r="I39" s="174"/>
      <c r="J39" s="174" t="s">
        <v>1355</v>
      </c>
      <c r="K39" s="174" t="s">
        <v>1355</v>
      </c>
    </row>
    <row r="40" spans="5:11" x14ac:dyDescent="0.2">
      <c r="E40" s="174"/>
      <c r="F40" s="174"/>
      <c r="G40" s="174"/>
      <c r="H40" s="174"/>
      <c r="I40" s="174"/>
      <c r="J40" s="174" t="s">
        <v>1356</v>
      </c>
      <c r="K40" s="174" t="s">
        <v>1356</v>
      </c>
    </row>
    <row r="41" spans="5:11" x14ac:dyDescent="0.2">
      <c r="E41" s="174"/>
      <c r="F41" s="174"/>
      <c r="G41" s="174"/>
      <c r="H41" s="174"/>
      <c r="I41" s="174"/>
      <c r="J41" s="174" t="s">
        <v>1357</v>
      </c>
      <c r="K41" s="174" t="s">
        <v>1357</v>
      </c>
    </row>
    <row r="42" spans="5:11" x14ac:dyDescent="0.2">
      <c r="E42" s="174"/>
      <c r="F42" s="174"/>
      <c r="G42" s="174"/>
      <c r="H42" s="174"/>
      <c r="I42" s="174"/>
      <c r="J42" s="174" t="s">
        <v>1358</v>
      </c>
      <c r="K42" s="174" t="s">
        <v>1358</v>
      </c>
    </row>
    <row r="43" spans="5:11" x14ac:dyDescent="0.2">
      <c r="E43" s="174"/>
      <c r="F43" s="174"/>
      <c r="G43" s="174"/>
      <c r="H43" s="174"/>
      <c r="I43" s="174"/>
      <c r="J43" s="174" t="s">
        <v>1359</v>
      </c>
      <c r="K43" s="174" t="s">
        <v>1359</v>
      </c>
    </row>
    <row r="44" spans="5:11" x14ac:dyDescent="0.2">
      <c r="E44" s="174"/>
      <c r="F44" s="174"/>
      <c r="G44" s="174"/>
      <c r="H44" s="174"/>
      <c r="I44" s="174"/>
      <c r="J44" s="174" t="s">
        <v>1360</v>
      </c>
      <c r="K44" s="174" t="s">
        <v>1360</v>
      </c>
    </row>
    <row r="45" spans="5:11" x14ac:dyDescent="0.2">
      <c r="E45" s="174"/>
      <c r="F45" s="174"/>
      <c r="G45" s="174"/>
      <c r="H45" s="174"/>
      <c r="I45" s="174"/>
      <c r="J45" s="174" t="s">
        <v>1361</v>
      </c>
      <c r="K45" s="174" t="s">
        <v>1361</v>
      </c>
    </row>
    <row r="46" spans="5:11" x14ac:dyDescent="0.2">
      <c r="E46" s="174"/>
      <c r="F46" s="174"/>
      <c r="G46" s="174"/>
      <c r="H46" s="174"/>
      <c r="I46" s="174"/>
      <c r="J46" s="174" t="s">
        <v>1362</v>
      </c>
      <c r="K46" s="174" t="s">
        <v>1362</v>
      </c>
    </row>
    <row r="47" spans="5:11" x14ac:dyDescent="0.2">
      <c r="E47" s="174"/>
      <c r="F47" s="174"/>
      <c r="G47" s="174"/>
      <c r="H47" s="174"/>
      <c r="I47" s="174"/>
      <c r="J47" s="174" t="s">
        <v>1363</v>
      </c>
      <c r="K47" s="174" t="s">
        <v>1363</v>
      </c>
    </row>
    <row r="48" spans="5:11" x14ac:dyDescent="0.2">
      <c r="E48" s="174"/>
      <c r="F48" s="174"/>
      <c r="G48" s="174"/>
      <c r="H48" s="174"/>
      <c r="I48" s="174"/>
      <c r="J48" s="174" t="s">
        <v>1364</v>
      </c>
      <c r="K48" s="174" t="s">
        <v>1364</v>
      </c>
    </row>
    <row r="49" spans="10:13" x14ac:dyDescent="0.2">
      <c r="J49" s="174" t="s">
        <v>1365</v>
      </c>
      <c r="K49" s="174" t="s">
        <v>1365</v>
      </c>
      <c r="L49" s="174"/>
      <c r="M49" s="174"/>
    </row>
    <row r="50" spans="10:13" x14ac:dyDescent="0.2">
      <c r="J50" s="174" t="s">
        <v>1366</v>
      </c>
      <c r="K50" s="174" t="s">
        <v>1366</v>
      </c>
      <c r="L50" s="174"/>
      <c r="M50" s="174"/>
    </row>
    <row r="51" spans="10:13" x14ac:dyDescent="0.2">
      <c r="J51" s="174" t="s">
        <v>1367</v>
      </c>
      <c r="K51" s="174" t="s">
        <v>1367</v>
      </c>
      <c r="L51" s="174"/>
      <c r="M51" s="174"/>
    </row>
    <row r="52" spans="10:13" x14ac:dyDescent="0.2">
      <c r="J52" s="174" t="s">
        <v>1062</v>
      </c>
      <c r="K52" s="174" t="s">
        <v>1062</v>
      </c>
      <c r="L52" s="174"/>
      <c r="M52" s="174"/>
    </row>
    <row r="53" spans="10:13" x14ac:dyDescent="0.2">
      <c r="J53" s="174" t="s">
        <v>1299</v>
      </c>
      <c r="K53" s="174" t="s">
        <v>1299</v>
      </c>
      <c r="L53" s="174"/>
      <c r="M53" s="174"/>
    </row>
    <row r="54" spans="10:13" x14ac:dyDescent="0.2">
      <c r="J54" s="174" t="s">
        <v>1303</v>
      </c>
      <c r="K54" s="174" t="s">
        <v>1303</v>
      </c>
      <c r="L54" s="174"/>
      <c r="M54" s="174"/>
    </row>
    <row r="55" spans="10:13" x14ac:dyDescent="0.2">
      <c r="J55" s="174" t="s">
        <v>1306</v>
      </c>
      <c r="K55" s="174" t="s">
        <v>1306</v>
      </c>
      <c r="L55" s="174"/>
      <c r="M55" s="174"/>
    </row>
    <row r="56" spans="10:13" x14ac:dyDescent="0.2">
      <c r="J56" s="174" t="s">
        <v>1309</v>
      </c>
      <c r="K56" s="174" t="s">
        <v>1309</v>
      </c>
      <c r="L56" s="174"/>
      <c r="M56" s="174"/>
    </row>
    <row r="57" spans="10:13" x14ac:dyDescent="0.2">
      <c r="J57" s="174" t="s">
        <v>1312</v>
      </c>
      <c r="K57" s="174" t="s">
        <v>1312</v>
      </c>
      <c r="L57" s="174"/>
      <c r="M57" s="174"/>
    </row>
    <row r="58" spans="10:13" x14ac:dyDescent="0.2">
      <c r="J58" s="174" t="s">
        <v>1315</v>
      </c>
      <c r="K58" s="174" t="s">
        <v>1315</v>
      </c>
      <c r="L58" s="174"/>
      <c r="M58" s="174"/>
    </row>
    <row r="59" spans="10:13" x14ac:dyDescent="0.2">
      <c r="J59" s="174" t="s">
        <v>1060</v>
      </c>
      <c r="K59" s="174" t="s">
        <v>1060</v>
      </c>
      <c r="L59" s="174"/>
      <c r="M59" s="174"/>
    </row>
    <row r="60" spans="10:13" x14ac:dyDescent="0.2">
      <c r="J60" s="174" t="s">
        <v>1051</v>
      </c>
      <c r="K60" s="174" t="s">
        <v>1051</v>
      </c>
      <c r="L60" s="174"/>
      <c r="M60" s="174"/>
    </row>
    <row r="61" spans="10:13" x14ac:dyDescent="0.2">
      <c r="J61" s="174" t="s">
        <v>1024</v>
      </c>
      <c r="K61" s="174" t="s">
        <v>1024</v>
      </c>
      <c r="L61" s="174"/>
      <c r="M61" s="174"/>
    </row>
    <row r="62" spans="10:13" x14ac:dyDescent="0.2">
      <c r="J62" s="174" t="s">
        <v>1048</v>
      </c>
      <c r="K62" s="174" t="s">
        <v>1048</v>
      </c>
      <c r="L62" s="174"/>
      <c r="M62" s="174"/>
    </row>
    <row r="63" spans="10:13" x14ac:dyDescent="0.2">
      <c r="J63" s="174" t="s">
        <v>1318</v>
      </c>
      <c r="K63" s="174" t="s">
        <v>1318</v>
      </c>
      <c r="L63" s="174"/>
      <c r="M63" s="174"/>
    </row>
    <row r="64" spans="10:13" x14ac:dyDescent="0.2">
      <c r="J64" s="174" t="s">
        <v>1320</v>
      </c>
      <c r="K64" s="174" t="s">
        <v>1320</v>
      </c>
      <c r="L64" s="174"/>
      <c r="M64" s="174"/>
    </row>
    <row r="65" spans="10:13" x14ac:dyDescent="0.2">
      <c r="J65" s="174" t="s">
        <v>1058</v>
      </c>
      <c r="K65" s="174" t="s">
        <v>1058</v>
      </c>
      <c r="L65" s="174"/>
      <c r="M65" s="174"/>
    </row>
    <row r="66" spans="10:13" x14ac:dyDescent="0.2">
      <c r="J66" s="174" t="s">
        <v>1322</v>
      </c>
      <c r="K66" s="174" t="s">
        <v>1322</v>
      </c>
      <c r="L66" s="174"/>
      <c r="M66" s="174"/>
    </row>
    <row r="67" spans="10:13" x14ac:dyDescent="0.2">
      <c r="J67" s="174" t="s">
        <v>1324</v>
      </c>
      <c r="K67" s="174" t="s">
        <v>1324</v>
      </c>
      <c r="L67" s="174"/>
      <c r="M67" s="174"/>
    </row>
    <row r="68" spans="10:13" x14ac:dyDescent="0.2">
      <c r="J68" s="174" t="s">
        <v>1326</v>
      </c>
      <c r="K68" s="174" t="s">
        <v>1326</v>
      </c>
      <c r="L68" s="174"/>
      <c r="M68" s="174"/>
    </row>
    <row r="69" spans="10:13" x14ac:dyDescent="0.2">
      <c r="J69" s="174" t="s">
        <v>1328</v>
      </c>
      <c r="K69" s="174" t="s">
        <v>1328</v>
      </c>
      <c r="L69" s="174"/>
      <c r="M69" s="174"/>
    </row>
    <row r="70" spans="10:13" x14ac:dyDescent="0.2">
      <c r="J70" s="174" t="s">
        <v>1330</v>
      </c>
      <c r="K70" s="174" t="s">
        <v>1330</v>
      </c>
      <c r="L70" s="174"/>
      <c r="M70" s="174"/>
    </row>
    <row r="71" spans="10:13" x14ac:dyDescent="0.2">
      <c r="J71" s="174" t="s">
        <v>1332</v>
      </c>
      <c r="K71" s="174" t="s">
        <v>1332</v>
      </c>
      <c r="L71" s="174"/>
      <c r="M71" s="174"/>
    </row>
    <row r="72" spans="10:13" x14ac:dyDescent="0.2">
      <c r="J72" s="174" t="s">
        <v>1334</v>
      </c>
      <c r="K72" s="174" t="s">
        <v>1334</v>
      </c>
      <c r="L72" s="174"/>
      <c r="M72" s="174"/>
    </row>
    <row r="73" spans="10:13" x14ac:dyDescent="0.2">
      <c r="J73" s="174" t="s">
        <v>1336</v>
      </c>
      <c r="K73" s="174" t="s">
        <v>1336</v>
      </c>
      <c r="L73" s="174"/>
      <c r="M73" s="174"/>
    </row>
    <row r="74" spans="10:13" x14ac:dyDescent="0.2">
      <c r="J74" s="174" t="s">
        <v>1338</v>
      </c>
      <c r="K74" s="174" t="s">
        <v>1338</v>
      </c>
      <c r="L74" s="174"/>
      <c r="M74" s="174"/>
    </row>
    <row r="75" spans="10:13" x14ac:dyDescent="0.2">
      <c r="J75" s="174" t="s">
        <v>1339</v>
      </c>
      <c r="K75" s="174" t="s">
        <v>1339</v>
      </c>
      <c r="L75" s="174"/>
      <c r="M75" s="174"/>
    </row>
    <row r="76" spans="10:13" x14ac:dyDescent="0.2">
      <c r="J76" s="174" t="s">
        <v>1340</v>
      </c>
      <c r="K76" s="174" t="s">
        <v>1340</v>
      </c>
      <c r="L76" s="174"/>
      <c r="M76" s="174"/>
    </row>
    <row r="77" spans="10:13" x14ac:dyDescent="0.2">
      <c r="J77" s="174" t="s">
        <v>1342</v>
      </c>
      <c r="K77" s="174" t="s">
        <v>1342</v>
      </c>
      <c r="L77" s="174"/>
      <c r="M77" s="174"/>
    </row>
    <row r="78" spans="10:13" x14ac:dyDescent="0.2">
      <c r="J78" s="174" t="s">
        <v>1344</v>
      </c>
      <c r="K78" s="174" t="s">
        <v>1344</v>
      </c>
      <c r="L78" s="174"/>
      <c r="M78" s="174"/>
    </row>
    <row r="79" spans="10:13" x14ac:dyDescent="0.2">
      <c r="J79" s="174" t="s">
        <v>1346</v>
      </c>
      <c r="K79" s="174" t="s">
        <v>1346</v>
      </c>
      <c r="L79" s="174"/>
      <c r="M79" s="174"/>
    </row>
    <row r="80" spans="10:13" x14ac:dyDescent="0.2">
      <c r="J80" s="174" t="s">
        <v>1348</v>
      </c>
      <c r="K80" s="174" t="s">
        <v>1348</v>
      </c>
      <c r="L80" s="174"/>
      <c r="M80" s="174"/>
    </row>
    <row r="81" spans="10:13" x14ac:dyDescent="0.2">
      <c r="J81" s="174" t="s">
        <v>1350</v>
      </c>
      <c r="K81" s="174" t="s">
        <v>1350</v>
      </c>
      <c r="L81" s="174"/>
      <c r="M81" s="174"/>
    </row>
    <row r="82" spans="10:13" x14ac:dyDescent="0.2">
      <c r="J82" s="174" t="s">
        <v>1352</v>
      </c>
      <c r="K82" s="174" t="s">
        <v>1352</v>
      </c>
      <c r="L82" s="174"/>
      <c r="M82" s="174"/>
    </row>
    <row r="83" spans="10:13" x14ac:dyDescent="0.2">
      <c r="J83" s="174" t="s">
        <v>1353</v>
      </c>
      <c r="K83" s="174" t="s">
        <v>1353</v>
      </c>
      <c r="L83" s="174"/>
      <c r="M83" s="174"/>
    </row>
    <row r="84" spans="10:13" x14ac:dyDescent="0.2">
      <c r="J84" s="174" t="s">
        <v>1107</v>
      </c>
      <c r="K84" s="174" t="s">
        <v>1107</v>
      </c>
      <c r="L84" s="174"/>
      <c r="M84" s="174"/>
    </row>
    <row r="85" spans="10:13" x14ac:dyDescent="0.2">
      <c r="J85" s="174" t="s">
        <v>1099</v>
      </c>
      <c r="K85" s="174" t="s">
        <v>1099</v>
      </c>
      <c r="L85" s="174"/>
      <c r="M85" s="174"/>
    </row>
    <row r="86" spans="10:13" x14ac:dyDescent="0.2">
      <c r="J86" s="174" t="s">
        <v>1354</v>
      </c>
      <c r="K86" s="174" t="s">
        <v>1354</v>
      </c>
      <c r="L86" s="174"/>
      <c r="M86" s="174"/>
    </row>
    <row r="87" spans="10:13" x14ac:dyDescent="0.2">
      <c r="J87" s="174" t="s">
        <v>1355</v>
      </c>
      <c r="K87" s="174" t="s">
        <v>1355</v>
      </c>
      <c r="L87" s="174"/>
      <c r="M87" s="174"/>
    </row>
    <row r="88" spans="10:13" x14ac:dyDescent="0.2">
      <c r="J88" s="174" t="s">
        <v>1356</v>
      </c>
      <c r="K88" s="174" t="s">
        <v>1356</v>
      </c>
      <c r="L88" s="174"/>
      <c r="M88" s="174"/>
    </row>
    <row r="89" spans="10:13" x14ac:dyDescent="0.2">
      <c r="J89" s="174" t="s">
        <v>1357</v>
      </c>
      <c r="K89" s="174" t="s">
        <v>1357</v>
      </c>
      <c r="L89" s="174"/>
      <c r="M89" s="174"/>
    </row>
    <row r="90" spans="10:13" x14ac:dyDescent="0.2">
      <c r="J90" s="174" t="s">
        <v>1358</v>
      </c>
      <c r="K90" s="174" t="s">
        <v>1358</v>
      </c>
      <c r="L90" s="174"/>
      <c r="M90" s="174"/>
    </row>
    <row r="91" spans="10:13" x14ac:dyDescent="0.2">
      <c r="J91" s="174" t="s">
        <v>1359</v>
      </c>
      <c r="K91" s="174" t="s">
        <v>1359</v>
      </c>
      <c r="L91" s="174"/>
      <c r="M91" s="174"/>
    </row>
    <row r="92" spans="10:13" x14ac:dyDescent="0.2">
      <c r="J92" s="174" t="s">
        <v>1360</v>
      </c>
      <c r="K92" s="174" t="s">
        <v>1360</v>
      </c>
      <c r="L92" s="174"/>
      <c r="M92" s="174"/>
    </row>
    <row r="93" spans="10:13" x14ac:dyDescent="0.2">
      <c r="J93" s="174" t="s">
        <v>1361</v>
      </c>
      <c r="K93" s="174" t="s">
        <v>1361</v>
      </c>
      <c r="L93" s="174"/>
      <c r="M93" s="174"/>
    </row>
    <row r="94" spans="10:13" x14ac:dyDescent="0.2">
      <c r="J94" s="174" t="s">
        <v>1362</v>
      </c>
      <c r="K94" s="174" t="s">
        <v>1362</v>
      </c>
      <c r="L94" s="174"/>
      <c r="M94" s="174"/>
    </row>
    <row r="95" spans="10:13" x14ac:dyDescent="0.2">
      <c r="J95" s="174" t="s">
        <v>1363</v>
      </c>
      <c r="K95" s="174" t="s">
        <v>1363</v>
      </c>
      <c r="L95" s="174"/>
      <c r="M95" s="174"/>
    </row>
    <row r="96" spans="10:13" x14ac:dyDescent="0.2">
      <c r="J96" s="174" t="s">
        <v>1364</v>
      </c>
      <c r="K96" s="174" t="s">
        <v>1364</v>
      </c>
      <c r="L96" s="174"/>
      <c r="M96" s="174"/>
    </row>
    <row r="97" spans="10:13" x14ac:dyDescent="0.2">
      <c r="J97" s="174" t="s">
        <v>1365</v>
      </c>
      <c r="K97" s="174" t="s">
        <v>1365</v>
      </c>
      <c r="L97" s="174"/>
      <c r="M97" s="174"/>
    </row>
    <row r="98" spans="10:13" x14ac:dyDescent="0.2">
      <c r="J98" s="174" t="s">
        <v>1366</v>
      </c>
      <c r="K98" s="174" t="s">
        <v>1366</v>
      </c>
      <c r="L98" s="174"/>
      <c r="M98" s="174"/>
    </row>
    <row r="99" spans="10:13" x14ac:dyDescent="0.2">
      <c r="J99" s="174"/>
      <c r="K99" s="174" t="s">
        <v>517</v>
      </c>
      <c r="L99" s="174"/>
      <c r="M99" s="174"/>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3"/>
  <sheetViews>
    <sheetView topLeftCell="A252" workbookViewId="0">
      <selection activeCell="F272" sqref="F272"/>
    </sheetView>
  </sheetViews>
  <sheetFormatPr baseColWidth="10" defaultColWidth="11" defaultRowHeight="14.25" x14ac:dyDescent="0.2"/>
  <cols>
    <col min="1" max="1" width="11" style="78"/>
    <col min="2" max="2" width="11" style="88"/>
    <col min="3" max="3" width="24.5" style="88" customWidth="1"/>
    <col min="4" max="4" width="44.625" style="230" bestFit="1" customWidth="1"/>
    <col min="5" max="5" width="19.625" style="88" bestFit="1" customWidth="1"/>
    <col min="6" max="6" width="99.5" style="78" customWidth="1"/>
    <col min="7" max="16384" width="11" style="78"/>
  </cols>
  <sheetData>
    <row r="1" spans="1:7" x14ac:dyDescent="0.2">
      <c r="A1" s="109" t="s">
        <v>11</v>
      </c>
      <c r="B1" s="86" t="s">
        <v>12</v>
      </c>
      <c r="C1" s="87" t="s">
        <v>13</v>
      </c>
      <c r="D1" s="229" t="s">
        <v>14</v>
      </c>
      <c r="E1" s="86" t="s">
        <v>997</v>
      </c>
      <c r="F1" s="77" t="s">
        <v>1368</v>
      </c>
    </row>
    <row r="2" spans="1:7" x14ac:dyDescent="0.2">
      <c r="A2" s="110">
        <v>1</v>
      </c>
      <c r="B2" s="188" t="str">
        <f>IF(AND(A2&lt;&gt;"",ISNUMBER(A2)),VLOOKUP(A2,Studies!A:BR,2,FALSE),"")</f>
        <v>Acocella 1972a</v>
      </c>
      <c r="C2" s="188" t="str">
        <f>IF(AND(A2&lt;&gt;"",ISNUMBER(A2)),VLOOKUP(A2,Studies!A:BR,3,FALSE),"")</f>
        <v>https://doi.org/10.1007/BF00561755</v>
      </c>
      <c r="D2" s="228" t="str">
        <f>IF(AND(A2&lt;&gt;"",ISNUMBER(A2)),VLOOKUP(A2,Studies!A:BR,4,FALSE),"")</f>
        <v>day 1</v>
      </c>
      <c r="E2" s="188" t="str">
        <f>IF(AND(A2&lt;&gt;"",ISNUMBER(A2)),VLOOKUP(A2,Studies!A:BR,5,FALSE),"")</f>
        <v>Rifampicin</v>
      </c>
      <c r="F2" s="79" t="s">
        <v>54</v>
      </c>
    </row>
    <row r="3" spans="1:7" x14ac:dyDescent="0.2">
      <c r="A3" s="110">
        <v>2</v>
      </c>
      <c r="B3" s="188" t="str">
        <f>IF(AND(A3&lt;&gt;"",ISNUMBER(A3)),VLOOKUP(A3,Studies!A:BR,2,FALSE),"")</f>
        <v>Acocella 1972a</v>
      </c>
      <c r="C3" s="188" t="str">
        <f>IF(AND(A3&lt;&gt;"",ISNUMBER(A3)),VLOOKUP(A3,Studies!A:BR,3,FALSE),"")</f>
        <v>https://doi.org/10.1007/BF00561755</v>
      </c>
      <c r="D3" s="228" t="str">
        <f>IF(AND(A3&lt;&gt;"",ISNUMBER(A3)),VLOOKUP(A3,Studies!A:BR,4,FALSE),"")</f>
        <v>day 7</v>
      </c>
      <c r="E3" s="188" t="str">
        <f>IF(AND(A3&lt;&gt;"",ISNUMBER(A3)),VLOOKUP(A3,Studies!A:BR,5,FALSE),"")</f>
        <v>Rifampicin</v>
      </c>
      <c r="F3" s="79" t="s">
        <v>54</v>
      </c>
      <c r="G3" s="78">
        <f>A3-A2</f>
        <v>1</v>
      </c>
    </row>
    <row r="4" spans="1:7" x14ac:dyDescent="0.2">
      <c r="A4" s="110">
        <v>3</v>
      </c>
      <c r="B4" s="188" t="str">
        <f>IF(AND(A4&lt;&gt;"",ISNUMBER(A4)),VLOOKUP(A4,Studies!A:BR,2,FALSE),"")</f>
        <v>Acocella 1972a</v>
      </c>
      <c r="C4" s="188" t="str">
        <f>IF(AND(A4&lt;&gt;"",ISNUMBER(A4)),VLOOKUP(A4,Studies!A:BR,3,FALSE),"")</f>
        <v>https://doi.org/10.1007/BF00561755</v>
      </c>
      <c r="D4" s="228" t="str">
        <f>IF(AND(A4&lt;&gt;"",ISNUMBER(A4)),VLOOKUP(A4,Studies!A:BR,4,FALSE),"")</f>
        <v>day 1</v>
      </c>
      <c r="E4" s="188" t="str">
        <f>IF(AND(A4&lt;&gt;"",ISNUMBER(A4)),VLOOKUP(A4,Studies!A:BR,5,FALSE),"")</f>
        <v>Rifampicin</v>
      </c>
      <c r="F4" s="79" t="s">
        <v>54</v>
      </c>
      <c r="G4" s="78">
        <f t="shared" ref="G4:G67" si="0">A4-A3</f>
        <v>1</v>
      </c>
    </row>
    <row r="5" spans="1:7" x14ac:dyDescent="0.2">
      <c r="A5" s="110">
        <v>4</v>
      </c>
      <c r="B5" s="188" t="str">
        <f>IF(AND(A5&lt;&gt;"",ISNUMBER(A5)),VLOOKUP(A5,Studies!A:BR,2,FALSE),"")</f>
        <v>Acocella 1972a</v>
      </c>
      <c r="C5" s="188" t="str">
        <f>IF(AND(A5&lt;&gt;"",ISNUMBER(A5)),VLOOKUP(A5,Studies!A:BR,3,FALSE),"")</f>
        <v>https://doi.org/10.1007/BF00561755</v>
      </c>
      <c r="D5" s="228" t="str">
        <f>IF(AND(A5&lt;&gt;"",ISNUMBER(A5)),VLOOKUP(A5,Studies!A:BR,4,FALSE),"")</f>
        <v>day 1</v>
      </c>
      <c r="E5" s="188" t="str">
        <f>IF(AND(A5&lt;&gt;"",ISNUMBER(A5)),VLOOKUP(A5,Studies!A:BR,5,FALSE),"")</f>
        <v>Rifampicin</v>
      </c>
      <c r="F5" s="79" t="s">
        <v>54</v>
      </c>
      <c r="G5" s="78">
        <f t="shared" si="0"/>
        <v>1</v>
      </c>
    </row>
    <row r="6" spans="1:7" x14ac:dyDescent="0.2">
      <c r="A6" s="110">
        <v>5</v>
      </c>
      <c r="B6" s="188" t="str">
        <f>IF(AND(A6&lt;&gt;"",ISNUMBER(A6)),VLOOKUP(A6,Studies!A:BR,2,FALSE),"")</f>
        <v>Acocella 1972b</v>
      </c>
      <c r="C6" s="188" t="str">
        <f>IF(AND(A6&lt;&gt;"",ISNUMBER(A6)),VLOOKUP(A6,Studies!A:BR,3,FALSE),"")</f>
        <v>https://www.ncbi.nlm.nih.gov/pubmed/5060669</v>
      </c>
      <c r="D6" s="228" t="str">
        <f>IF(AND(A6&lt;&gt;"",ISNUMBER(A6)),VLOOKUP(A6,Studies!A:BR,4,FALSE),"")</f>
        <v>normal subjects</v>
      </c>
      <c r="E6" s="188" t="str">
        <f>IF(AND(A6&lt;&gt;"",ISNUMBER(A6)),VLOOKUP(A6,Studies!A:BR,5,FALSE),"")</f>
        <v>Rifampicin</v>
      </c>
      <c r="F6" s="79" t="s">
        <v>54</v>
      </c>
      <c r="G6" s="78">
        <f t="shared" si="0"/>
        <v>1</v>
      </c>
    </row>
    <row r="7" spans="1:7" x14ac:dyDescent="0.2">
      <c r="A7" s="110">
        <v>6</v>
      </c>
      <c r="B7" s="188" t="str">
        <f>IF(AND(A7&lt;&gt;"",ISNUMBER(A7)),VLOOKUP(A7,Studies!A:BR,2,FALSE),"")</f>
        <v>Acocella 1972b</v>
      </c>
      <c r="C7" s="188" t="str">
        <f>IF(AND(A7&lt;&gt;"",ISNUMBER(A7)),VLOOKUP(A7,Studies!A:BR,3,FALSE),"")</f>
        <v>https://www.ncbi.nlm.nih.gov/pubmed/5060669</v>
      </c>
      <c r="D7" s="228" t="str">
        <f>IF(AND(A7&lt;&gt;"",ISNUMBER(A7)),VLOOKUP(A7,Studies!A:BR,4,FALSE),"")</f>
        <v>patients with liver disease</v>
      </c>
      <c r="E7" s="188" t="str">
        <f>IF(AND(A7&lt;&gt;"",ISNUMBER(A7)),VLOOKUP(A7,Studies!A:BR,5,FALSE),"")</f>
        <v>Rifampicin</v>
      </c>
      <c r="F7" s="79" t="s">
        <v>54</v>
      </c>
      <c r="G7" s="78">
        <f t="shared" si="0"/>
        <v>1</v>
      </c>
    </row>
    <row r="8" spans="1:7" x14ac:dyDescent="0.2">
      <c r="A8" s="110">
        <v>7</v>
      </c>
      <c r="B8" s="188" t="str">
        <f>IF(AND(A8&lt;&gt;"",ISNUMBER(A8)),VLOOKUP(A8,Studies!A:BR,2,FALSE),"")</f>
        <v>Acocella 1972b</v>
      </c>
      <c r="C8" s="188" t="str">
        <f>IF(AND(A8&lt;&gt;"",ISNUMBER(A8)),VLOOKUP(A8,Studies!A:BR,3,FALSE),"")</f>
        <v>https://www.ncbi.nlm.nih.gov/pubmed/5060669</v>
      </c>
      <c r="D8" s="228" t="str">
        <f>IF(AND(A8&lt;&gt;"",ISNUMBER(A8)),VLOOKUP(A8,Studies!A:BR,4,FALSE),"")</f>
        <v>normal subjects</v>
      </c>
      <c r="E8" s="188" t="str">
        <f>IF(AND(A8&lt;&gt;"",ISNUMBER(A8)),VLOOKUP(A8,Studies!A:BR,5,FALSE),"")</f>
        <v>Rifampicin</v>
      </c>
      <c r="F8" s="79" t="s">
        <v>54</v>
      </c>
      <c r="G8" s="78">
        <f t="shared" si="0"/>
        <v>1</v>
      </c>
    </row>
    <row r="9" spans="1:7" x14ac:dyDescent="0.2">
      <c r="A9" s="110">
        <v>8</v>
      </c>
      <c r="B9" s="188" t="str">
        <f>IF(AND(A9&lt;&gt;"",ISNUMBER(A9)),VLOOKUP(A9,Studies!A:BR,2,FALSE),"")</f>
        <v>Acocella 1972b</v>
      </c>
      <c r="C9" s="188" t="str">
        <f>IF(AND(A9&lt;&gt;"",ISNUMBER(A9)),VLOOKUP(A9,Studies!A:BR,3,FALSE),"")</f>
        <v>https://www.ncbi.nlm.nih.gov/pubmed/5060669</v>
      </c>
      <c r="D9" s="228" t="str">
        <f>IF(AND(A9&lt;&gt;"",ISNUMBER(A9)),VLOOKUP(A9,Studies!A:BR,4,FALSE),"")</f>
        <v>patients with liver disease</v>
      </c>
      <c r="E9" s="188" t="str">
        <f>IF(AND(A9&lt;&gt;"",ISNUMBER(A9)),VLOOKUP(A9,Studies!A:BR,5,FALSE),"")</f>
        <v>Rifampicin</v>
      </c>
      <c r="F9" s="79" t="s">
        <v>54</v>
      </c>
      <c r="G9" s="78">
        <f t="shared" si="0"/>
        <v>1</v>
      </c>
    </row>
    <row r="10" spans="1:7" x14ac:dyDescent="0.2">
      <c r="A10" s="110">
        <v>9</v>
      </c>
      <c r="B10" s="188" t="str">
        <f>IF(AND(A10&lt;&gt;"",ISNUMBER(A10)),VLOOKUP(A10,Studies!A:BR,2,FALSE),"")</f>
        <v>Acocella 1977</v>
      </c>
      <c r="C10" s="188" t="str">
        <f>IF(AND(A10&lt;&gt;"",ISNUMBER(A10)),VLOOKUP(A10,Studies!A:BR,3,FALSE),"")</f>
        <v>https://www.ncbi.nlm.nih.gov/pubmed/578447</v>
      </c>
      <c r="D10" s="228" t="str">
        <f>IF(AND(A10&lt;&gt;"",ISNUMBER(A10)),VLOOKUP(A10,Studies!A:BR,4,FALSE),"")</f>
        <v>Subject 1 (150 mg)</v>
      </c>
      <c r="E10" s="188" t="str">
        <f>IF(AND(A10&lt;&gt;"",ISNUMBER(A10)),VLOOKUP(A10,Studies!A:BR,5,FALSE),"")</f>
        <v>Rifampicin</v>
      </c>
      <c r="F10" s="79" t="s">
        <v>54</v>
      </c>
      <c r="G10" s="78">
        <f t="shared" si="0"/>
        <v>1</v>
      </c>
    </row>
    <row r="11" spans="1:7" x14ac:dyDescent="0.2">
      <c r="A11" s="110">
        <v>10</v>
      </c>
      <c r="B11" s="188" t="str">
        <f>IF(AND(A11&lt;&gt;"",ISNUMBER(A11)),VLOOKUP(A11,Studies!A:BR,2,FALSE),"")</f>
        <v>Acocella 1977</v>
      </c>
      <c r="C11" s="188" t="str">
        <f>IF(AND(A11&lt;&gt;"",ISNUMBER(A11)),VLOOKUP(A11,Studies!A:BR,3,FALSE),"")</f>
        <v>https://www.ncbi.nlm.nih.gov/pubmed/578447</v>
      </c>
      <c r="D11" s="228" t="str">
        <f>IF(AND(A11&lt;&gt;"",ISNUMBER(A11)),VLOOKUP(A11,Studies!A:BR,4,FALSE),"")</f>
        <v>Subject 2 (150 mg)</v>
      </c>
      <c r="E11" s="188" t="str">
        <f>IF(AND(A11&lt;&gt;"",ISNUMBER(A11)),VLOOKUP(A11,Studies!A:BR,5,FALSE),"")</f>
        <v>Rifampicin</v>
      </c>
      <c r="F11" s="79" t="s">
        <v>54</v>
      </c>
      <c r="G11" s="78">
        <f t="shared" si="0"/>
        <v>1</v>
      </c>
    </row>
    <row r="12" spans="1:7" x14ac:dyDescent="0.2">
      <c r="A12" s="110">
        <v>11</v>
      </c>
      <c r="B12" s="188" t="str">
        <f>IF(AND(A12&lt;&gt;"",ISNUMBER(A12)),VLOOKUP(A12,Studies!A:BR,2,FALSE),"")</f>
        <v>Acocella 1977</v>
      </c>
      <c r="C12" s="188" t="str">
        <f>IF(AND(A12&lt;&gt;"",ISNUMBER(A12)),VLOOKUP(A12,Studies!A:BR,3,FALSE),"")</f>
        <v>https://www.ncbi.nlm.nih.gov/pubmed/578447</v>
      </c>
      <c r="D12" s="228" t="str">
        <f>IF(AND(A12&lt;&gt;"",ISNUMBER(A12)),VLOOKUP(A12,Studies!A:BR,4,FALSE),"")</f>
        <v>Subject 3 (300 mg)</v>
      </c>
      <c r="E12" s="188" t="str">
        <f>IF(AND(A12&lt;&gt;"",ISNUMBER(A12)),VLOOKUP(A12,Studies!A:BR,5,FALSE),"")</f>
        <v>Rifampicin</v>
      </c>
      <c r="F12" s="79" t="s">
        <v>54</v>
      </c>
      <c r="G12" s="78">
        <f t="shared" si="0"/>
        <v>1</v>
      </c>
    </row>
    <row r="13" spans="1:7" x14ac:dyDescent="0.2">
      <c r="A13" s="110">
        <v>12</v>
      </c>
      <c r="B13" s="188" t="str">
        <f>IF(AND(A13&lt;&gt;"",ISNUMBER(A13)),VLOOKUP(A13,Studies!A:BR,2,FALSE),"")</f>
        <v>Acocella 1977</v>
      </c>
      <c r="C13" s="188" t="str">
        <f>IF(AND(A13&lt;&gt;"",ISNUMBER(A13)),VLOOKUP(A13,Studies!A:BR,3,FALSE),"")</f>
        <v>https://www.ncbi.nlm.nih.gov/pubmed/578447</v>
      </c>
      <c r="D13" s="228" t="str">
        <f>IF(AND(A13&lt;&gt;"",ISNUMBER(A13)),VLOOKUP(A13,Studies!A:BR,4,FALSE),"")</f>
        <v>Subject 4 (300 mg)</v>
      </c>
      <c r="E13" s="188" t="str">
        <f>IF(AND(A13&lt;&gt;"",ISNUMBER(A13)),VLOOKUP(A13,Studies!A:BR,5,FALSE),"")</f>
        <v>Rifampicin</v>
      </c>
      <c r="F13" s="79" t="s">
        <v>54</v>
      </c>
      <c r="G13" s="78">
        <f t="shared" si="0"/>
        <v>1</v>
      </c>
    </row>
    <row r="14" spans="1:7" x14ac:dyDescent="0.2">
      <c r="A14" s="110">
        <v>13</v>
      </c>
      <c r="B14" s="188" t="str">
        <f>IF(AND(A14&lt;&gt;"",ISNUMBER(A14)),VLOOKUP(A14,Studies!A:BR,2,FALSE),"")</f>
        <v>Acocella 1977</v>
      </c>
      <c r="C14" s="188" t="str">
        <f>IF(AND(A14&lt;&gt;"",ISNUMBER(A14)),VLOOKUP(A14,Studies!A:BR,3,FALSE),"")</f>
        <v>https://www.ncbi.nlm.nih.gov/pubmed/578447</v>
      </c>
      <c r="D14" s="228" t="str">
        <f>IF(AND(A14&lt;&gt;"",ISNUMBER(A14)),VLOOKUP(A14,Studies!A:BR,4,FALSE),"")</f>
        <v>Subject 5 (450 mg)</v>
      </c>
      <c r="E14" s="188" t="str">
        <f>IF(AND(A14&lt;&gt;"",ISNUMBER(A14)),VLOOKUP(A14,Studies!A:BR,5,FALSE),"")</f>
        <v>Rifampicin</v>
      </c>
      <c r="F14" s="79" t="s">
        <v>54</v>
      </c>
      <c r="G14" s="78">
        <f t="shared" si="0"/>
        <v>1</v>
      </c>
    </row>
    <row r="15" spans="1:7" x14ac:dyDescent="0.2">
      <c r="A15" s="110">
        <v>14</v>
      </c>
      <c r="B15" s="188" t="str">
        <f>IF(AND(A15&lt;&gt;"",ISNUMBER(A15)),VLOOKUP(A15,Studies!A:BR,2,FALSE),"")</f>
        <v>Acocella 1977</v>
      </c>
      <c r="C15" s="188" t="str">
        <f>IF(AND(A15&lt;&gt;"",ISNUMBER(A15)),VLOOKUP(A15,Studies!A:BR,3,FALSE),"")</f>
        <v>https://www.ncbi.nlm.nih.gov/pubmed/578447</v>
      </c>
      <c r="D15" s="228" t="str">
        <f>IF(AND(A15&lt;&gt;"",ISNUMBER(A15)),VLOOKUP(A15,Studies!A:BR,4,FALSE),"")</f>
        <v>Subject 6 (450 mg)</v>
      </c>
      <c r="E15" s="188" t="str">
        <f>IF(AND(A15&lt;&gt;"",ISNUMBER(A15)),VLOOKUP(A15,Studies!A:BR,5,FALSE),"")</f>
        <v>Rifampicin</v>
      </c>
      <c r="F15" s="79" t="s">
        <v>54</v>
      </c>
      <c r="G15" s="78">
        <f t="shared" si="0"/>
        <v>1</v>
      </c>
    </row>
    <row r="16" spans="1:7" x14ac:dyDescent="0.2">
      <c r="A16" s="110">
        <v>15</v>
      </c>
      <c r="B16" s="188" t="str">
        <f>IF(AND(A16&lt;&gt;"",ISNUMBER(A16)),VLOOKUP(A16,Studies!A:BR,2,FALSE),"")</f>
        <v>Acocella 1977</v>
      </c>
      <c r="C16" s="188" t="str">
        <f>IF(AND(A16&lt;&gt;"",ISNUMBER(A16)),VLOOKUP(A16,Studies!A:BR,3,FALSE),"")</f>
        <v>https://www.ncbi.nlm.nih.gov/pubmed/578447</v>
      </c>
      <c r="D16" s="228" t="str">
        <f>IF(AND(A16&lt;&gt;"",ISNUMBER(A16)),VLOOKUP(A16,Studies!A:BR,4,FALSE),"")</f>
        <v>Subject 7 (600 mg)</v>
      </c>
      <c r="E16" s="188" t="str">
        <f>IF(AND(A16&lt;&gt;"",ISNUMBER(A16)),VLOOKUP(A16,Studies!A:BR,5,FALSE),"")</f>
        <v>Rifampicin</v>
      </c>
      <c r="F16" s="79" t="s">
        <v>54</v>
      </c>
      <c r="G16" s="78">
        <f t="shared" si="0"/>
        <v>1</v>
      </c>
    </row>
    <row r="17" spans="1:7" x14ac:dyDescent="0.2">
      <c r="A17" s="110">
        <v>16</v>
      </c>
      <c r="B17" s="188" t="str">
        <f>IF(AND(A17&lt;&gt;"",ISNUMBER(A17)),VLOOKUP(A17,Studies!A:BR,2,FALSE),"")</f>
        <v>Acocella 1977</v>
      </c>
      <c r="C17" s="188" t="str">
        <f>IF(AND(A17&lt;&gt;"",ISNUMBER(A17)),VLOOKUP(A17,Studies!A:BR,3,FALSE),"")</f>
        <v>https://www.ncbi.nlm.nih.gov/pubmed/578447</v>
      </c>
      <c r="D17" s="228" t="str">
        <f>IF(AND(A17&lt;&gt;"",ISNUMBER(A17)),VLOOKUP(A17,Studies!A:BR,4,FALSE),"")</f>
        <v>Subject 8 (600 mg)</v>
      </c>
      <c r="E17" s="188" t="str">
        <f>IF(AND(A17&lt;&gt;"",ISNUMBER(A17)),VLOOKUP(A17,Studies!A:BR,5,FALSE),"")</f>
        <v>Rifampicin</v>
      </c>
      <c r="F17" s="79" t="s">
        <v>54</v>
      </c>
      <c r="G17" s="78">
        <f t="shared" si="0"/>
        <v>1</v>
      </c>
    </row>
    <row r="18" spans="1:7" x14ac:dyDescent="0.2">
      <c r="A18" s="110">
        <v>17</v>
      </c>
      <c r="B18" s="188" t="str">
        <f>IF(AND(A18&lt;&gt;"",ISNUMBER(A18)),VLOOKUP(A18,Studies!A:BR,2,FALSE),"")</f>
        <v>Acocella 1977</v>
      </c>
      <c r="C18" s="188" t="str">
        <f>IF(AND(A18&lt;&gt;"",ISNUMBER(A18)),VLOOKUP(A18,Studies!A:BR,3,FALSE),"")</f>
        <v>https://www.ncbi.nlm.nih.gov/pubmed/578447</v>
      </c>
      <c r="D18" s="228" t="str">
        <f>IF(AND(A18&lt;&gt;"",ISNUMBER(A18)),VLOOKUP(A18,Studies!A:BR,4,FALSE),"")</f>
        <v>Subject 9 (600 mg)</v>
      </c>
      <c r="E18" s="188" t="str">
        <f>IF(AND(A18&lt;&gt;"",ISNUMBER(A18)),VLOOKUP(A18,Studies!A:BR,5,FALSE),"")</f>
        <v>Rifampicin</v>
      </c>
      <c r="F18" s="79" t="s">
        <v>54</v>
      </c>
      <c r="G18" s="78">
        <f t="shared" si="0"/>
        <v>1</v>
      </c>
    </row>
    <row r="19" spans="1:7" x14ac:dyDescent="0.2">
      <c r="A19" s="110">
        <v>18</v>
      </c>
      <c r="B19" s="188" t="str">
        <f>IF(AND(A19&lt;&gt;"",ISNUMBER(A19)),VLOOKUP(A19,Studies!A:BR,2,FALSE),"")</f>
        <v>Acocella 1977</v>
      </c>
      <c r="C19" s="188" t="str">
        <f>IF(AND(A19&lt;&gt;"",ISNUMBER(A19)),VLOOKUP(A19,Studies!A:BR,3,FALSE),"")</f>
        <v>https://www.ncbi.nlm.nih.gov/pubmed/578447</v>
      </c>
      <c r="D19" s="228" t="str">
        <f>IF(AND(A19&lt;&gt;"",ISNUMBER(A19)),VLOOKUP(A19,Studies!A:BR,4,FALSE),"")</f>
        <v>Subject 10 (600 mg MD)</v>
      </c>
      <c r="E19" s="188" t="str">
        <f>IF(AND(A19&lt;&gt;"",ISNUMBER(A19)),VLOOKUP(A19,Studies!A:BR,5,FALSE),"")</f>
        <v>Rifampicin</v>
      </c>
      <c r="F19" s="79" t="s">
        <v>54</v>
      </c>
      <c r="G19" s="78">
        <f t="shared" si="0"/>
        <v>1</v>
      </c>
    </row>
    <row r="20" spans="1:7" x14ac:dyDescent="0.2">
      <c r="A20" s="110">
        <v>19</v>
      </c>
      <c r="B20" s="188" t="str">
        <f>IF(AND(A20&lt;&gt;"",ISNUMBER(A20)),VLOOKUP(A20,Studies!A:BR,2,FALSE),"")</f>
        <v>Acocella 1977</v>
      </c>
      <c r="C20" s="188" t="str">
        <f>IF(AND(A20&lt;&gt;"",ISNUMBER(A20)),VLOOKUP(A20,Studies!A:BR,3,FALSE),"")</f>
        <v>https://www.ncbi.nlm.nih.gov/pubmed/578447</v>
      </c>
      <c r="D20" s="228" t="str">
        <f>IF(AND(A20&lt;&gt;"",ISNUMBER(A20)),VLOOKUP(A20,Studies!A:BR,4,FALSE),"")</f>
        <v>Subject 11 (600 mg MD)</v>
      </c>
      <c r="E20" s="188" t="str">
        <f>IF(AND(A20&lt;&gt;"",ISNUMBER(A20)),VLOOKUP(A20,Studies!A:BR,5,FALSE),"")</f>
        <v>Rifampicin</v>
      </c>
      <c r="F20" s="79" t="s">
        <v>54</v>
      </c>
      <c r="G20" s="78">
        <f t="shared" si="0"/>
        <v>1</v>
      </c>
    </row>
    <row r="21" spans="1:7" x14ac:dyDescent="0.2">
      <c r="A21" s="110">
        <v>20</v>
      </c>
      <c r="B21" s="188" t="str">
        <f>IF(AND(A21&lt;&gt;"",ISNUMBER(A21)),VLOOKUP(A21,Studies!A:BR,2,FALSE),"")</f>
        <v>Acocella 1977</v>
      </c>
      <c r="C21" s="188" t="str">
        <f>IF(AND(A21&lt;&gt;"",ISNUMBER(A21)),VLOOKUP(A21,Studies!A:BR,3,FALSE),"")</f>
        <v>https://www.ncbi.nlm.nih.gov/pubmed/578447</v>
      </c>
      <c r="D21" s="228" t="str">
        <f>IF(AND(A21&lt;&gt;"",ISNUMBER(A21)),VLOOKUP(A21,Studies!A:BR,4,FALSE),"")</f>
        <v>Subject 12 (600 mg MD)</v>
      </c>
      <c r="E21" s="188" t="str">
        <f>IF(AND(A21&lt;&gt;"",ISNUMBER(A21)),VLOOKUP(A21,Studies!A:BR,5,FALSE),"")</f>
        <v>Rifampicin</v>
      </c>
      <c r="F21" s="79" t="s">
        <v>54</v>
      </c>
      <c r="G21" s="78">
        <f t="shared" si="0"/>
        <v>1</v>
      </c>
    </row>
    <row r="22" spans="1:7" x14ac:dyDescent="0.2">
      <c r="A22" s="110">
        <v>21</v>
      </c>
      <c r="B22" s="188" t="str">
        <f>IF(AND(A22&lt;&gt;"",ISNUMBER(A22)),VLOOKUP(A22,Studies!A:BR,2,FALSE),"")</f>
        <v>Acocella 1977</v>
      </c>
      <c r="C22" s="188" t="str">
        <f>IF(AND(A22&lt;&gt;"",ISNUMBER(A22)),VLOOKUP(A22,Studies!A:BR,3,FALSE),"")</f>
        <v>https://www.ncbi.nlm.nih.gov/pubmed/578447</v>
      </c>
      <c r="D22" s="228" t="str">
        <f>IF(AND(A22&lt;&gt;"",ISNUMBER(A22)),VLOOKUP(A22,Studies!A:BR,4,FALSE),"")</f>
        <v>Subject 13 (600 mg MD)</v>
      </c>
      <c r="E22" s="188" t="str">
        <f>IF(AND(A22&lt;&gt;"",ISNUMBER(A22)),VLOOKUP(A22,Studies!A:BR,5,FALSE),"")</f>
        <v>Rifampicin</v>
      </c>
      <c r="F22" s="79" t="s">
        <v>54</v>
      </c>
      <c r="G22" s="78">
        <f t="shared" si="0"/>
        <v>1</v>
      </c>
    </row>
    <row r="23" spans="1:7" x14ac:dyDescent="0.2">
      <c r="A23" s="110">
        <v>22</v>
      </c>
      <c r="B23" s="188" t="str">
        <f>IF(AND(A23&lt;&gt;"",ISNUMBER(A23)),VLOOKUP(A23,Studies!A:BR,2,FALSE),"")</f>
        <v>Acocella 1977</v>
      </c>
      <c r="C23" s="188" t="str">
        <f>IF(AND(A23&lt;&gt;"",ISNUMBER(A23)),VLOOKUP(A23,Studies!A:BR,3,FALSE),"")</f>
        <v>https://www.ncbi.nlm.nih.gov/pubmed/578447</v>
      </c>
      <c r="D23" s="228" t="str">
        <f>IF(AND(A23&lt;&gt;"",ISNUMBER(A23)),VLOOKUP(A23,Studies!A:BR,4,FALSE),"")</f>
        <v>Subject 14 (600 mg MD)</v>
      </c>
      <c r="E23" s="188" t="str">
        <f>IF(AND(A23&lt;&gt;"",ISNUMBER(A23)),VLOOKUP(A23,Studies!A:BR,5,FALSE),"")</f>
        <v>Rifampicin</v>
      </c>
      <c r="F23" s="79" t="s">
        <v>54</v>
      </c>
      <c r="G23" s="78">
        <f t="shared" si="0"/>
        <v>1</v>
      </c>
    </row>
    <row r="24" spans="1:7" x14ac:dyDescent="0.2">
      <c r="A24" s="110">
        <v>23</v>
      </c>
      <c r="B24" s="188" t="str">
        <f>IF(AND(A24&lt;&gt;"",ISNUMBER(A24)),VLOOKUP(A24,Studies!A:BR,2,FALSE),"")</f>
        <v>Acocella 1977</v>
      </c>
      <c r="C24" s="188" t="str">
        <f>IF(AND(A24&lt;&gt;"",ISNUMBER(A24)),VLOOKUP(A24,Studies!A:BR,3,FALSE),"")</f>
        <v>https://www.ncbi.nlm.nih.gov/pubmed/578447</v>
      </c>
      <c r="D24" s="228" t="str">
        <f>IF(AND(A24&lt;&gt;"",ISNUMBER(A24)),VLOOKUP(A24,Studies!A:BR,4,FALSE),"")</f>
        <v>mean 600 mg MD</v>
      </c>
      <c r="E24" s="188" t="str">
        <f>IF(AND(A24&lt;&gt;"",ISNUMBER(A24)),VLOOKUP(A24,Studies!A:BR,5,FALSE),"")</f>
        <v>Rifampicin</v>
      </c>
      <c r="F24" s="79" t="s">
        <v>54</v>
      </c>
      <c r="G24" s="78">
        <f t="shared" si="0"/>
        <v>1</v>
      </c>
    </row>
    <row r="25" spans="1:7" x14ac:dyDescent="0.2">
      <c r="A25" s="110">
        <v>24</v>
      </c>
      <c r="B25" s="188" t="str">
        <f>IF(AND(A25&lt;&gt;"",ISNUMBER(A25)),VLOOKUP(A25,Studies!A:BR,2,FALSE),"")</f>
        <v>Acocella 1977</v>
      </c>
      <c r="C25" s="188" t="str">
        <f>IF(AND(A25&lt;&gt;"",ISNUMBER(A25)),VLOOKUP(A25,Studies!A:BR,3,FALSE),"")</f>
        <v>https://www.ncbi.nlm.nih.gov/pubmed/578447</v>
      </c>
      <c r="D25" s="228" t="str">
        <f>IF(AND(A25&lt;&gt;"",ISNUMBER(A25)),VLOOKUP(A25,Studies!A:BR,4,FALSE),"")</f>
        <v>Subject 10 (600 mg MD)</v>
      </c>
      <c r="E25" s="188" t="str">
        <f>IF(AND(A25&lt;&gt;"",ISNUMBER(A25)),VLOOKUP(A25,Studies!A:BR,5,FALSE),"")</f>
        <v>Rifampicin</v>
      </c>
      <c r="F25" s="79" t="s">
        <v>54</v>
      </c>
      <c r="G25" s="78">
        <f t="shared" si="0"/>
        <v>1</v>
      </c>
    </row>
    <row r="26" spans="1:7" x14ac:dyDescent="0.2">
      <c r="A26" s="110">
        <v>25</v>
      </c>
      <c r="B26" s="188" t="str">
        <f>IF(AND(A26&lt;&gt;"",ISNUMBER(A26)),VLOOKUP(A26,Studies!A:BR,2,FALSE),"")</f>
        <v>Acocella 1977</v>
      </c>
      <c r="C26" s="188" t="str">
        <f>IF(AND(A26&lt;&gt;"",ISNUMBER(A26)),VLOOKUP(A26,Studies!A:BR,3,FALSE),"")</f>
        <v>https://www.ncbi.nlm.nih.gov/pubmed/578447</v>
      </c>
      <c r="D26" s="228" t="str">
        <f>IF(AND(A26&lt;&gt;"",ISNUMBER(A26)),VLOOKUP(A26,Studies!A:BR,4,FALSE),"")</f>
        <v>Subject 11 (600 mg MD)</v>
      </c>
      <c r="E26" s="188" t="str">
        <f>IF(AND(A26&lt;&gt;"",ISNUMBER(A26)),VLOOKUP(A26,Studies!A:BR,5,FALSE),"")</f>
        <v>Rifampicin</v>
      </c>
      <c r="F26" s="79" t="s">
        <v>54</v>
      </c>
      <c r="G26" s="78">
        <f t="shared" si="0"/>
        <v>1</v>
      </c>
    </row>
    <row r="27" spans="1:7" x14ac:dyDescent="0.2">
      <c r="A27" s="110">
        <v>26</v>
      </c>
      <c r="B27" s="188" t="str">
        <f>IF(AND(A27&lt;&gt;"",ISNUMBER(A27)),VLOOKUP(A27,Studies!A:BR,2,FALSE),"")</f>
        <v>Acocella 1977</v>
      </c>
      <c r="C27" s="188" t="str">
        <f>IF(AND(A27&lt;&gt;"",ISNUMBER(A27)),VLOOKUP(A27,Studies!A:BR,3,FALSE),"")</f>
        <v>https://www.ncbi.nlm.nih.gov/pubmed/578447</v>
      </c>
      <c r="D27" s="228" t="str">
        <f>IF(AND(A27&lt;&gt;"",ISNUMBER(A27)),VLOOKUP(A27,Studies!A:BR,4,FALSE),"")</f>
        <v>Subject 12 (600 mg MD)</v>
      </c>
      <c r="E27" s="188" t="str">
        <f>IF(AND(A27&lt;&gt;"",ISNUMBER(A27)),VLOOKUP(A27,Studies!A:BR,5,FALSE),"")</f>
        <v>Rifampicin</v>
      </c>
      <c r="F27" s="79" t="s">
        <v>54</v>
      </c>
      <c r="G27" s="78">
        <f t="shared" si="0"/>
        <v>1</v>
      </c>
    </row>
    <row r="28" spans="1:7" x14ac:dyDescent="0.2">
      <c r="A28" s="110">
        <v>27</v>
      </c>
      <c r="B28" s="188" t="str">
        <f>IF(AND(A28&lt;&gt;"",ISNUMBER(A28)),VLOOKUP(A28,Studies!A:BR,2,FALSE),"")</f>
        <v>Acocella 1977</v>
      </c>
      <c r="C28" s="188" t="str">
        <f>IF(AND(A28&lt;&gt;"",ISNUMBER(A28)),VLOOKUP(A28,Studies!A:BR,3,FALSE),"")</f>
        <v>https://www.ncbi.nlm.nih.gov/pubmed/578447</v>
      </c>
      <c r="D28" s="228" t="str">
        <f>IF(AND(A28&lt;&gt;"",ISNUMBER(A28)),VLOOKUP(A28,Studies!A:BR,4,FALSE),"")</f>
        <v>Subject 13 (600 mg MD)</v>
      </c>
      <c r="E28" s="188" t="str">
        <f>IF(AND(A28&lt;&gt;"",ISNUMBER(A28)),VLOOKUP(A28,Studies!A:BR,5,FALSE),"")</f>
        <v>Rifampicin</v>
      </c>
      <c r="F28" s="79" t="s">
        <v>54</v>
      </c>
      <c r="G28" s="78">
        <f t="shared" si="0"/>
        <v>1</v>
      </c>
    </row>
    <row r="29" spans="1:7" x14ac:dyDescent="0.2">
      <c r="A29" s="110">
        <v>28</v>
      </c>
      <c r="B29" s="188" t="str">
        <f>IF(AND(A29&lt;&gt;"",ISNUMBER(A29)),VLOOKUP(A29,Studies!A:BR,2,FALSE),"")</f>
        <v>Acocella 1977</v>
      </c>
      <c r="C29" s="188" t="str">
        <f>IF(AND(A29&lt;&gt;"",ISNUMBER(A29)),VLOOKUP(A29,Studies!A:BR,3,FALSE),"")</f>
        <v>https://www.ncbi.nlm.nih.gov/pubmed/578447</v>
      </c>
      <c r="D29" s="228" t="str">
        <f>IF(AND(A29&lt;&gt;"",ISNUMBER(A29)),VLOOKUP(A29,Studies!A:BR,4,FALSE),"")</f>
        <v>Subject 14 (600 mg MD)</v>
      </c>
      <c r="E29" s="188" t="str">
        <f>IF(AND(A29&lt;&gt;"",ISNUMBER(A29)),VLOOKUP(A29,Studies!A:BR,5,FALSE),"")</f>
        <v>Rifampicin</v>
      </c>
      <c r="F29" s="79" t="s">
        <v>54</v>
      </c>
      <c r="G29" s="78">
        <f t="shared" si="0"/>
        <v>1</v>
      </c>
    </row>
    <row r="30" spans="1:7" x14ac:dyDescent="0.2">
      <c r="A30" s="110">
        <v>29</v>
      </c>
      <c r="B30" s="188" t="str">
        <f>IF(AND(A30&lt;&gt;"",ISNUMBER(A30)),VLOOKUP(A30,Studies!A:BR,2,FALSE),"")</f>
        <v>Acocella 1977</v>
      </c>
      <c r="C30" s="188" t="str">
        <f>IF(AND(A30&lt;&gt;"",ISNUMBER(A30)),VLOOKUP(A30,Studies!A:BR,3,FALSE),"")</f>
        <v>https://www.ncbi.nlm.nih.gov/pubmed/578447</v>
      </c>
      <c r="D30" s="228" t="str">
        <f>IF(AND(A30&lt;&gt;"",ISNUMBER(A30)),VLOOKUP(A30,Studies!A:BR,4,FALSE),"")</f>
        <v>mean 600 mg MD</v>
      </c>
      <c r="E30" s="188" t="str">
        <f>IF(AND(A30&lt;&gt;"",ISNUMBER(A30)),VLOOKUP(A30,Studies!A:BR,5,FALSE),"")</f>
        <v>Rifampicin</v>
      </c>
      <c r="F30" s="79" t="s">
        <v>54</v>
      </c>
      <c r="G30" s="78">
        <f t="shared" si="0"/>
        <v>1</v>
      </c>
    </row>
    <row r="31" spans="1:7" x14ac:dyDescent="0.2">
      <c r="A31" s="110">
        <v>30</v>
      </c>
      <c r="B31" s="188" t="str">
        <f>IF(AND(A31&lt;&gt;"",ISNUMBER(A31)),VLOOKUP(A31,Studies!A:BR,2,FALSE),"")</f>
        <v>Acocella 1984</v>
      </c>
      <c r="C31" s="188" t="str">
        <f>IF(AND(A31&lt;&gt;"",ISNUMBER(A31)),VLOOKUP(A31,Studies!A:BR,3,FALSE),"")</f>
        <v>https://www.ncbi.nlm.nih.gov/pubmed/6473487</v>
      </c>
      <c r="D31" s="228" t="str">
        <f>IF(AND(A31&lt;&gt;"",ISNUMBER(A31)),VLOOKUP(A31,Studies!A:BR,4,FALSE),"")</f>
        <v>Individual 1 (600 mg, 3 h infusion)</v>
      </c>
      <c r="E31" s="188" t="str">
        <f>IF(AND(A31&lt;&gt;"",ISNUMBER(A31)),VLOOKUP(A31,Studies!A:BR,5,FALSE),"")</f>
        <v>Rifampicin</v>
      </c>
      <c r="F31" s="79" t="s">
        <v>54</v>
      </c>
      <c r="G31" s="78">
        <f t="shared" si="0"/>
        <v>1</v>
      </c>
    </row>
    <row r="32" spans="1:7" x14ac:dyDescent="0.2">
      <c r="A32" s="110">
        <v>31</v>
      </c>
      <c r="B32" s="188" t="str">
        <f>IF(AND(A32&lt;&gt;"",ISNUMBER(A32)),VLOOKUP(A32,Studies!A:BR,2,FALSE),"")</f>
        <v>Acocella 1984</v>
      </c>
      <c r="C32" s="188" t="str">
        <f>IF(AND(A32&lt;&gt;"",ISNUMBER(A32)),VLOOKUP(A32,Studies!A:BR,3,FALSE),"")</f>
        <v>https://www.ncbi.nlm.nih.gov/pubmed/6473487</v>
      </c>
      <c r="D32" s="228" t="str">
        <f>IF(AND(A32&lt;&gt;"",ISNUMBER(A32)),VLOOKUP(A32,Studies!A:BR,4,FALSE),"")</f>
        <v>Individual 2 (600 mg, 3 h infusion)</v>
      </c>
      <c r="E32" s="188" t="str">
        <f>IF(AND(A32&lt;&gt;"",ISNUMBER(A32)),VLOOKUP(A32,Studies!A:BR,5,FALSE),"")</f>
        <v>Rifampicin</v>
      </c>
      <c r="F32" s="79" t="s">
        <v>54</v>
      </c>
      <c r="G32" s="78">
        <f t="shared" si="0"/>
        <v>1</v>
      </c>
    </row>
    <row r="33" spans="1:7" x14ac:dyDescent="0.2">
      <c r="A33" s="110">
        <v>32</v>
      </c>
      <c r="B33" s="188" t="str">
        <f>IF(AND(A33&lt;&gt;"",ISNUMBER(A33)),VLOOKUP(A33,Studies!A:BR,2,FALSE),"")</f>
        <v>Acocella 1984</v>
      </c>
      <c r="C33" s="188" t="str">
        <f>IF(AND(A33&lt;&gt;"",ISNUMBER(A33)),VLOOKUP(A33,Studies!A:BR,3,FALSE),"")</f>
        <v>https://www.ncbi.nlm.nih.gov/pubmed/6473487</v>
      </c>
      <c r="D33" s="228" t="str">
        <f>IF(AND(A33&lt;&gt;"",ISNUMBER(A33)),VLOOKUP(A33,Studies!A:BR,4,FALSE),"")</f>
        <v>Individual 3 (600 mg, 2 h infusion)</v>
      </c>
      <c r="E33" s="188" t="str">
        <f>IF(AND(A33&lt;&gt;"",ISNUMBER(A33)),VLOOKUP(A33,Studies!A:BR,5,FALSE),"")</f>
        <v>Rifampicin</v>
      </c>
      <c r="F33" s="79" t="s">
        <v>54</v>
      </c>
      <c r="G33" s="78">
        <f t="shared" si="0"/>
        <v>1</v>
      </c>
    </row>
    <row r="34" spans="1:7" x14ac:dyDescent="0.2">
      <c r="A34" s="110">
        <v>33</v>
      </c>
      <c r="B34" s="188" t="str">
        <f>IF(AND(A34&lt;&gt;"",ISNUMBER(A34)),VLOOKUP(A34,Studies!A:BR,2,FALSE),"")</f>
        <v>Acocella 1984</v>
      </c>
      <c r="C34" s="188" t="str">
        <f>IF(AND(A34&lt;&gt;"",ISNUMBER(A34)),VLOOKUP(A34,Studies!A:BR,3,FALSE),"")</f>
        <v>https://www.ncbi.nlm.nih.gov/pubmed/6473487</v>
      </c>
      <c r="D34" s="228" t="str">
        <f>IF(AND(A34&lt;&gt;"",ISNUMBER(A34)),VLOOKUP(A34,Studies!A:BR,4,FALSE),"")</f>
        <v>Individual 4 (600 mg, 2 h infusion)</v>
      </c>
      <c r="E34" s="188" t="str">
        <f>IF(AND(A34&lt;&gt;"",ISNUMBER(A34)),VLOOKUP(A34,Studies!A:BR,5,FALSE),"")</f>
        <v>Rifampicin</v>
      </c>
      <c r="F34" s="79" t="s">
        <v>54</v>
      </c>
      <c r="G34" s="78">
        <f t="shared" si="0"/>
        <v>1</v>
      </c>
    </row>
    <row r="35" spans="1:7" x14ac:dyDescent="0.2">
      <c r="A35" s="110">
        <v>34</v>
      </c>
      <c r="B35" s="188" t="str">
        <f>IF(AND(A35&lt;&gt;"",ISNUMBER(A35)),VLOOKUP(A35,Studies!A:BR,2,FALSE),"")</f>
        <v>Acocella 1984</v>
      </c>
      <c r="C35" s="188" t="str">
        <f>IF(AND(A35&lt;&gt;"",ISNUMBER(A35)),VLOOKUP(A35,Studies!A:BR,3,FALSE),"")</f>
        <v>https://www.ncbi.nlm.nih.gov/pubmed/6473487</v>
      </c>
      <c r="D35" s="228" t="str">
        <f>IF(AND(A35&lt;&gt;"",ISNUMBER(A35)),VLOOKUP(A35,Studies!A:BR,4,FALSE),"")</f>
        <v>Individual 5 (600 mg, 1 h infusion)</v>
      </c>
      <c r="E35" s="188" t="str">
        <f>IF(AND(A35&lt;&gt;"",ISNUMBER(A35)),VLOOKUP(A35,Studies!A:BR,5,FALSE),"")</f>
        <v>Rifampicin</v>
      </c>
      <c r="F35" s="79" t="s">
        <v>54</v>
      </c>
      <c r="G35" s="78">
        <f t="shared" si="0"/>
        <v>1</v>
      </c>
    </row>
    <row r="36" spans="1:7" x14ac:dyDescent="0.2">
      <c r="A36" s="110">
        <v>35</v>
      </c>
      <c r="B36" s="188" t="str">
        <f>IF(AND(A36&lt;&gt;"",ISNUMBER(A36)),VLOOKUP(A36,Studies!A:BR,2,FALSE),"")</f>
        <v>Acocella 1984</v>
      </c>
      <c r="C36" s="188" t="str">
        <f>IF(AND(A36&lt;&gt;"",ISNUMBER(A36)),VLOOKUP(A36,Studies!A:BR,3,FALSE),"")</f>
        <v>https://www.ncbi.nlm.nih.gov/pubmed/6473487</v>
      </c>
      <c r="D36" s="228" t="str">
        <f>IF(AND(A36&lt;&gt;"",ISNUMBER(A36)),VLOOKUP(A36,Studies!A:BR,4,FALSE),"")</f>
        <v>Individual 6 (600 mg, 1 h infusion)</v>
      </c>
      <c r="E36" s="188" t="str">
        <f>IF(AND(A36&lt;&gt;"",ISNUMBER(A36)),VLOOKUP(A36,Studies!A:BR,5,FALSE),"")</f>
        <v>Rifampicin</v>
      </c>
      <c r="F36" s="79" t="s">
        <v>54</v>
      </c>
      <c r="G36" s="78">
        <f t="shared" si="0"/>
        <v>1</v>
      </c>
    </row>
    <row r="37" spans="1:7" x14ac:dyDescent="0.2">
      <c r="A37" s="110">
        <v>36</v>
      </c>
      <c r="B37" s="188" t="str">
        <f>IF(AND(A37&lt;&gt;"",ISNUMBER(A37)),VLOOKUP(A37,Studies!A:BR,2,FALSE),"")</f>
        <v>Acocella 1984</v>
      </c>
      <c r="C37" s="188" t="str">
        <f>IF(AND(A37&lt;&gt;"",ISNUMBER(A37)),VLOOKUP(A37,Studies!A:BR,3,FALSE),"")</f>
        <v>https://www.ncbi.nlm.nih.gov/pubmed/6473487</v>
      </c>
      <c r="D37" s="228" t="str">
        <f>IF(AND(A37&lt;&gt;"",ISNUMBER(A37)),VLOOKUP(A37,Studies!A:BR,4,FALSE),"")</f>
        <v>Individual 7 (900 mg, 3 h infusion)</v>
      </c>
      <c r="E37" s="188" t="str">
        <f>IF(AND(A37&lt;&gt;"",ISNUMBER(A37)),VLOOKUP(A37,Studies!A:BR,5,FALSE),"")</f>
        <v>Rifampicin</v>
      </c>
      <c r="F37" s="79" t="s">
        <v>54</v>
      </c>
      <c r="G37" s="78">
        <f t="shared" si="0"/>
        <v>1</v>
      </c>
    </row>
    <row r="38" spans="1:7" x14ac:dyDescent="0.2">
      <c r="A38" s="110">
        <v>37</v>
      </c>
      <c r="B38" s="188" t="str">
        <f>IF(AND(A38&lt;&gt;"",ISNUMBER(A38)),VLOOKUP(A38,Studies!A:BR,2,FALSE),"")</f>
        <v>Acocella 1984</v>
      </c>
      <c r="C38" s="188" t="str">
        <f>IF(AND(A38&lt;&gt;"",ISNUMBER(A38)),VLOOKUP(A38,Studies!A:BR,3,FALSE),"")</f>
        <v>https://www.ncbi.nlm.nih.gov/pubmed/6473487</v>
      </c>
      <c r="D38" s="228" t="str">
        <f>IF(AND(A38&lt;&gt;"",ISNUMBER(A38)),VLOOKUP(A38,Studies!A:BR,4,FALSE),"")</f>
        <v>Individual 8 (900 mg, 3 h infusion)</v>
      </c>
      <c r="E38" s="188" t="str">
        <f>IF(AND(A38&lt;&gt;"",ISNUMBER(A38)),VLOOKUP(A38,Studies!A:BR,5,FALSE),"")</f>
        <v>Rifampicin</v>
      </c>
      <c r="F38" s="79" t="s">
        <v>54</v>
      </c>
      <c r="G38" s="78">
        <f t="shared" si="0"/>
        <v>1</v>
      </c>
    </row>
    <row r="39" spans="1:7" x14ac:dyDescent="0.2">
      <c r="A39" s="110">
        <v>38</v>
      </c>
      <c r="B39" s="188" t="str">
        <f>IF(AND(A39&lt;&gt;"",ISNUMBER(A39)),VLOOKUP(A39,Studies!A:BR,2,FALSE),"")</f>
        <v>Acocella 1984</v>
      </c>
      <c r="C39" s="188" t="str">
        <f>IF(AND(A39&lt;&gt;"",ISNUMBER(A39)),VLOOKUP(A39,Studies!A:BR,3,FALSE),"")</f>
        <v>https://www.ncbi.nlm.nih.gov/pubmed/6473487</v>
      </c>
      <c r="D39" s="228" t="str">
        <f>IF(AND(A39&lt;&gt;"",ISNUMBER(A39)),VLOOKUP(A39,Studies!A:BR,4,FALSE),"")</f>
        <v>Individual 9 (900 mg, 2 h infusion)</v>
      </c>
      <c r="E39" s="188" t="str">
        <f>IF(AND(A39&lt;&gt;"",ISNUMBER(A39)),VLOOKUP(A39,Studies!A:BR,5,FALSE),"")</f>
        <v>Rifampicin</v>
      </c>
      <c r="F39" s="79" t="s">
        <v>54</v>
      </c>
      <c r="G39" s="78">
        <f t="shared" si="0"/>
        <v>1</v>
      </c>
    </row>
    <row r="40" spans="1:7" x14ac:dyDescent="0.2">
      <c r="A40" s="110">
        <v>39</v>
      </c>
      <c r="B40" s="188" t="str">
        <f>IF(AND(A40&lt;&gt;"",ISNUMBER(A40)),VLOOKUP(A40,Studies!A:BR,2,FALSE),"")</f>
        <v>Acocella 1984</v>
      </c>
      <c r="C40" s="188" t="str">
        <f>IF(AND(A40&lt;&gt;"",ISNUMBER(A40)),VLOOKUP(A40,Studies!A:BR,3,FALSE),"")</f>
        <v>https://www.ncbi.nlm.nih.gov/pubmed/6473487</v>
      </c>
      <c r="D40" s="228" t="str">
        <f>IF(AND(A40&lt;&gt;"",ISNUMBER(A40)),VLOOKUP(A40,Studies!A:BR,4,FALSE),"")</f>
        <v>Individual 10 (900 mg, 2 h infusion)</v>
      </c>
      <c r="E40" s="188" t="str">
        <f>IF(AND(A40&lt;&gt;"",ISNUMBER(A40)),VLOOKUP(A40,Studies!A:BR,5,FALSE),"")</f>
        <v>Rifampicin</v>
      </c>
      <c r="F40" s="79" t="s">
        <v>54</v>
      </c>
      <c r="G40" s="78">
        <f t="shared" si="0"/>
        <v>1</v>
      </c>
    </row>
    <row r="41" spans="1:7" x14ac:dyDescent="0.2">
      <c r="A41" s="110">
        <v>40</v>
      </c>
      <c r="B41" s="188" t="str">
        <f>IF(AND(A41&lt;&gt;"",ISNUMBER(A41)),VLOOKUP(A41,Studies!A:BR,2,FALSE),"")</f>
        <v>Acocella 1984</v>
      </c>
      <c r="C41" s="188" t="str">
        <f>IF(AND(A41&lt;&gt;"",ISNUMBER(A41)),VLOOKUP(A41,Studies!A:BR,3,FALSE),"")</f>
        <v>https://www.ncbi.nlm.nih.gov/pubmed/6473487</v>
      </c>
      <c r="D41" s="228" t="str">
        <f>IF(AND(A41&lt;&gt;"",ISNUMBER(A41)),VLOOKUP(A41,Studies!A:BR,4,FALSE),"")</f>
        <v>Individual 11 (900 mg, 1 h infusion)</v>
      </c>
      <c r="E41" s="188" t="str">
        <f>IF(AND(A41&lt;&gt;"",ISNUMBER(A41)),VLOOKUP(A41,Studies!A:BR,5,FALSE),"")</f>
        <v>Rifampicin</v>
      </c>
      <c r="F41" s="79" t="s">
        <v>54</v>
      </c>
      <c r="G41" s="78">
        <f t="shared" si="0"/>
        <v>1</v>
      </c>
    </row>
    <row r="42" spans="1:7" x14ac:dyDescent="0.2">
      <c r="A42" s="110">
        <v>41</v>
      </c>
      <c r="B42" s="188" t="str">
        <f>IF(AND(A42&lt;&gt;"",ISNUMBER(A42)),VLOOKUP(A42,Studies!A:BR,2,FALSE),"")</f>
        <v>Acocella 1984</v>
      </c>
      <c r="C42" s="188" t="str">
        <f>IF(AND(A42&lt;&gt;"",ISNUMBER(A42)),VLOOKUP(A42,Studies!A:BR,3,FALSE),"")</f>
        <v>https://www.ncbi.nlm.nih.gov/pubmed/6473487</v>
      </c>
      <c r="D42" s="228" t="str">
        <f>IF(AND(A42&lt;&gt;"",ISNUMBER(A42)),VLOOKUP(A42,Studies!A:BR,4,FALSE),"")</f>
        <v>Individual 12 (900 mg, 1 h infusion)</v>
      </c>
      <c r="E42" s="188" t="str">
        <f>IF(AND(A42&lt;&gt;"",ISNUMBER(A42)),VLOOKUP(A42,Studies!A:BR,5,FALSE),"")</f>
        <v>Rifampicin</v>
      </c>
      <c r="F42" s="79" t="s">
        <v>54</v>
      </c>
      <c r="G42" s="78">
        <f t="shared" si="0"/>
        <v>1</v>
      </c>
    </row>
    <row r="43" spans="1:7" x14ac:dyDescent="0.2">
      <c r="A43" s="110">
        <v>42</v>
      </c>
      <c r="B43" s="188" t="str">
        <f>IF(AND(A43&lt;&gt;"",ISNUMBER(A43)),VLOOKUP(A43,Studies!A:BR,2,FALSE),"")</f>
        <v>Acocella 1984</v>
      </c>
      <c r="C43" s="188" t="str">
        <f>IF(AND(A43&lt;&gt;"",ISNUMBER(A43)),VLOOKUP(A43,Studies!A:BR,3,FALSE),"")</f>
        <v>https://www.ncbi.nlm.nih.gov/pubmed/6473487</v>
      </c>
      <c r="D43" s="228" t="str">
        <f>IF(AND(A43&lt;&gt;"",ISNUMBER(A43)),VLOOKUP(A43,Studies!A:BR,4,FALSE),"")</f>
        <v>Individual 13 (1200 mg, 3 h infusion)</v>
      </c>
      <c r="E43" s="188" t="str">
        <f>IF(AND(A43&lt;&gt;"",ISNUMBER(A43)),VLOOKUP(A43,Studies!A:BR,5,FALSE),"")</f>
        <v>Rifampicin</v>
      </c>
      <c r="F43" s="79" t="s">
        <v>54</v>
      </c>
      <c r="G43" s="78">
        <f t="shared" si="0"/>
        <v>1</v>
      </c>
    </row>
    <row r="44" spans="1:7" x14ac:dyDescent="0.2">
      <c r="A44" s="110">
        <v>43</v>
      </c>
      <c r="B44" s="188" t="str">
        <f>IF(AND(A44&lt;&gt;"",ISNUMBER(A44)),VLOOKUP(A44,Studies!A:BR,2,FALSE),"")</f>
        <v>Acocella 1984</v>
      </c>
      <c r="C44" s="188" t="str">
        <f>IF(AND(A44&lt;&gt;"",ISNUMBER(A44)),VLOOKUP(A44,Studies!A:BR,3,FALSE),"")</f>
        <v>https://www.ncbi.nlm.nih.gov/pubmed/6473487</v>
      </c>
      <c r="D44" s="228" t="str">
        <f>IF(AND(A44&lt;&gt;"",ISNUMBER(A44)),VLOOKUP(A44,Studies!A:BR,4,FALSE),"")</f>
        <v>Individual 14 (1200 mg, 3 h infusion)</v>
      </c>
      <c r="E44" s="188" t="str">
        <f>IF(AND(A44&lt;&gt;"",ISNUMBER(A44)),VLOOKUP(A44,Studies!A:BR,5,FALSE),"")</f>
        <v>Rifampicin</v>
      </c>
      <c r="F44" s="79" t="s">
        <v>54</v>
      </c>
      <c r="G44" s="78">
        <f t="shared" si="0"/>
        <v>1</v>
      </c>
    </row>
    <row r="45" spans="1:7" x14ac:dyDescent="0.2">
      <c r="A45" s="110">
        <v>44</v>
      </c>
      <c r="B45" s="188" t="str">
        <f>IF(AND(A45&lt;&gt;"",ISNUMBER(A45)),VLOOKUP(A45,Studies!A:BR,2,FALSE),"")</f>
        <v>Acocella 1984</v>
      </c>
      <c r="C45" s="188" t="str">
        <f>IF(AND(A45&lt;&gt;"",ISNUMBER(A45)),VLOOKUP(A45,Studies!A:BR,3,FALSE),"")</f>
        <v>https://www.ncbi.nlm.nih.gov/pubmed/6473487</v>
      </c>
      <c r="D45" s="228" t="str">
        <f>IF(AND(A45&lt;&gt;"",ISNUMBER(A45)),VLOOKUP(A45,Studies!A:BR,4,FALSE),"")</f>
        <v>Individual 15 (1200 mg, 2 h infusion)</v>
      </c>
      <c r="E45" s="188" t="str">
        <f>IF(AND(A45&lt;&gt;"",ISNUMBER(A45)),VLOOKUP(A45,Studies!A:BR,5,FALSE),"")</f>
        <v>Rifampicin</v>
      </c>
      <c r="F45" s="79" t="s">
        <v>54</v>
      </c>
      <c r="G45" s="78">
        <f t="shared" si="0"/>
        <v>1</v>
      </c>
    </row>
    <row r="46" spans="1:7" x14ac:dyDescent="0.2">
      <c r="A46" s="110">
        <v>45</v>
      </c>
      <c r="B46" s="188" t="str">
        <f>IF(AND(A46&lt;&gt;"",ISNUMBER(A46)),VLOOKUP(A46,Studies!A:BR,2,FALSE),"")</f>
        <v>Acocella 1984</v>
      </c>
      <c r="C46" s="188" t="str">
        <f>IF(AND(A46&lt;&gt;"",ISNUMBER(A46)),VLOOKUP(A46,Studies!A:BR,3,FALSE),"")</f>
        <v>https://www.ncbi.nlm.nih.gov/pubmed/6473487</v>
      </c>
      <c r="D46" s="228" t="str">
        <f>IF(AND(A46&lt;&gt;"",ISNUMBER(A46)),VLOOKUP(A46,Studies!A:BR,4,FALSE),"")</f>
        <v>Individual 16 (1200 mg, 2 h infusion)</v>
      </c>
      <c r="E46" s="188" t="str">
        <f>IF(AND(A46&lt;&gt;"",ISNUMBER(A46)),VLOOKUP(A46,Studies!A:BR,5,FALSE),"")</f>
        <v>Rifampicin</v>
      </c>
      <c r="F46" s="79" t="s">
        <v>54</v>
      </c>
      <c r="G46" s="78">
        <f t="shared" si="0"/>
        <v>1</v>
      </c>
    </row>
    <row r="47" spans="1:7" x14ac:dyDescent="0.2">
      <c r="A47" s="110">
        <v>46</v>
      </c>
      <c r="B47" s="188" t="str">
        <f>IF(AND(A47&lt;&gt;"",ISNUMBER(A47)),VLOOKUP(A47,Studies!A:BR,2,FALSE),"")</f>
        <v>Acocella 1984</v>
      </c>
      <c r="C47" s="188" t="str">
        <f>IF(AND(A47&lt;&gt;"",ISNUMBER(A47)),VLOOKUP(A47,Studies!A:BR,3,FALSE),"")</f>
        <v>https://www.ncbi.nlm.nih.gov/pubmed/6473487</v>
      </c>
      <c r="D47" s="228" t="str">
        <f>IF(AND(A47&lt;&gt;"",ISNUMBER(A47)),VLOOKUP(A47,Studies!A:BR,4,FALSE),"")</f>
        <v>Individual 17 (1200 mg, 1 h infusion)</v>
      </c>
      <c r="E47" s="188" t="str">
        <f>IF(AND(A47&lt;&gt;"",ISNUMBER(A47)),VLOOKUP(A47,Studies!A:BR,5,FALSE),"")</f>
        <v>Rifampicin</v>
      </c>
      <c r="F47" s="79" t="s">
        <v>54</v>
      </c>
      <c r="G47" s="78">
        <f t="shared" si="0"/>
        <v>1</v>
      </c>
    </row>
    <row r="48" spans="1:7" x14ac:dyDescent="0.2">
      <c r="A48" s="110">
        <v>47</v>
      </c>
      <c r="B48" s="188" t="str">
        <f>IF(AND(A48&lt;&gt;"",ISNUMBER(A48)),VLOOKUP(A48,Studies!A:BR,2,FALSE),"")</f>
        <v>Acocella 1984</v>
      </c>
      <c r="C48" s="188" t="str">
        <f>IF(AND(A48&lt;&gt;"",ISNUMBER(A48)),VLOOKUP(A48,Studies!A:BR,3,FALSE),"")</f>
        <v>https://www.ncbi.nlm.nih.gov/pubmed/6473487</v>
      </c>
      <c r="D48" s="228" t="str">
        <f>IF(AND(A48&lt;&gt;"",ISNUMBER(A48)),VLOOKUP(A48,Studies!A:BR,4,FALSE),"")</f>
        <v>Individual 18 (1200 mg, 1 h infusion)</v>
      </c>
      <c r="E48" s="188" t="str">
        <f>IF(AND(A48&lt;&gt;"",ISNUMBER(A48)),VLOOKUP(A48,Studies!A:BR,5,FALSE),"")</f>
        <v>Rifampicin</v>
      </c>
      <c r="F48" s="79" t="s">
        <v>54</v>
      </c>
      <c r="G48" s="78">
        <f t="shared" si="0"/>
        <v>1</v>
      </c>
    </row>
    <row r="49" spans="1:7" x14ac:dyDescent="0.2">
      <c r="A49" s="110">
        <v>48</v>
      </c>
      <c r="B49" s="188" t="str">
        <f>IF(AND(A49&lt;&gt;"",ISNUMBER(A49)),VLOOKUP(A49,Studies!A:BR,2,FALSE),"")</f>
        <v>Acocella 1985</v>
      </c>
      <c r="C49" s="188" t="str">
        <f>IF(AND(A49&lt;&gt;"",ISNUMBER(A49)),VLOOKUP(A49,Studies!A:BR,3,FALSE),"")</f>
        <v>https://www.ncbi.nlm.nih.gov/pubmed/4037525</v>
      </c>
      <c r="D49" s="228" t="str">
        <f>IF(AND(A49&lt;&gt;"",ISNUMBER(A49)),VLOOKUP(A49,Studies!A:BR,4,FALSE),"")</f>
        <v>R alone</v>
      </c>
      <c r="E49" s="188" t="str">
        <f>IF(AND(A49&lt;&gt;"",ISNUMBER(A49)),VLOOKUP(A49,Studies!A:BR,5,FALSE),"")</f>
        <v>Rifampicin</v>
      </c>
      <c r="F49" s="79" t="s">
        <v>54</v>
      </c>
      <c r="G49" s="78">
        <f t="shared" si="0"/>
        <v>1</v>
      </c>
    </row>
    <row r="50" spans="1:7" x14ac:dyDescent="0.2">
      <c r="A50" s="110">
        <v>49</v>
      </c>
      <c r="B50" s="188" t="str">
        <f>IF(AND(A50&lt;&gt;"",ISNUMBER(A50)),VLOOKUP(A50,Studies!A:BR,2,FALSE),"")</f>
        <v>Ahonen 1995</v>
      </c>
      <c r="C50" s="188" t="str">
        <f>IF(AND(A50&lt;&gt;"",ISNUMBER(A50)),VLOOKUP(A50,Studies!A:BR,3,FALSE),"")</f>
        <v>http://www.ncbi.nlm.nih.gov/pubmed/6138081</v>
      </c>
      <c r="D50" s="228" t="str">
        <f>IF(AND(A50&lt;&gt;"",ISNUMBER(A50)),VLOOKUP(A50,Studies!A:BR,4,FALSE),"")</f>
        <v>Control (Perpetrator Placebo)</v>
      </c>
      <c r="E50" s="188" t="str">
        <f>IF(AND(A50&lt;&gt;"",ISNUMBER(A50)),VLOOKUP(A50,Studies!A:BR,5,FALSE),"")</f>
        <v>Midazolam</v>
      </c>
      <c r="F50" s="79" t="s">
        <v>1369</v>
      </c>
      <c r="G50" s="78">
        <f t="shared" si="0"/>
        <v>1</v>
      </c>
    </row>
    <row r="51" spans="1:7" x14ac:dyDescent="0.2">
      <c r="A51" s="110">
        <v>50</v>
      </c>
      <c r="B51" s="188" t="str">
        <f>IF(AND(A51&lt;&gt;"",ISNUMBER(A51)),VLOOKUP(A51,Studies!A:BR,2,FALSE),"")</f>
        <v>Ahonen 1995</v>
      </c>
      <c r="C51" s="188" t="str">
        <f>IF(AND(A51&lt;&gt;"",ISNUMBER(A51)),VLOOKUP(A51,Studies!A:BR,3,FALSE),"")</f>
        <v>http://www.ncbi.nlm.nih.gov/pubmed/6138081</v>
      </c>
      <c r="D51" s="228" t="str">
        <f>IF(AND(A51&lt;&gt;"",ISNUMBER(A51)),VLOOKUP(A51,Studies!A:BR,4,FALSE),"")</f>
        <v>with Perpetrator (Itraconazole)</v>
      </c>
      <c r="E51" s="188" t="str">
        <f>IF(AND(A51&lt;&gt;"",ISNUMBER(A51)),VLOOKUP(A51,Studies!A:BR,5,FALSE),"")</f>
        <v>Midazolam</v>
      </c>
      <c r="F51" s="79" t="s">
        <v>1370</v>
      </c>
      <c r="G51" s="78">
        <f t="shared" si="0"/>
        <v>1</v>
      </c>
    </row>
    <row r="52" spans="1:7" x14ac:dyDescent="0.2">
      <c r="A52" s="110">
        <v>51</v>
      </c>
      <c r="B52" s="188" t="str">
        <f>IF(AND(A52&lt;&gt;"",ISNUMBER(A52)),VLOOKUP(A52,Studies!A:BR,2,FALSE),"")</f>
        <v>Allonen 1981</v>
      </c>
      <c r="C52" s="188" t="str">
        <f>IF(AND(A52&lt;&gt;"",ISNUMBER(A52)),VLOOKUP(A52,Studies!A:BR,3,FALSE),"")</f>
        <v>https://www.ncbi.nlm.nih.gov/pubmed/6117393</v>
      </c>
      <c r="D52" s="228" t="str">
        <f>IF(AND(A52&lt;&gt;"",ISNUMBER(A52)),VLOOKUP(A52,Studies!A:BR,4,FALSE),"")</f>
        <v>oral</v>
      </c>
      <c r="E52" s="188" t="str">
        <f>IF(AND(A52&lt;&gt;"",ISNUMBER(A52)),VLOOKUP(A52,Studies!A:BR,5,FALSE),"")</f>
        <v>Midazolam</v>
      </c>
      <c r="F52" s="79" t="s">
        <v>102</v>
      </c>
      <c r="G52" s="78">
        <f t="shared" si="0"/>
        <v>1</v>
      </c>
    </row>
    <row r="53" spans="1:7" x14ac:dyDescent="0.2">
      <c r="A53" s="110">
        <v>52</v>
      </c>
      <c r="B53" s="188" t="str">
        <f>IF(AND(A53&lt;&gt;"",ISNUMBER(A53)),VLOOKUP(A53,Studies!A:BR,2,FALSE),"")</f>
        <v>Allonen 1981</v>
      </c>
      <c r="C53" s="188" t="str">
        <f>IF(AND(A53&lt;&gt;"",ISNUMBER(A53)),VLOOKUP(A53,Studies!A:BR,3,FALSE),"")</f>
        <v>https://www.ncbi.nlm.nih.gov/pubmed/6117393</v>
      </c>
      <c r="D53" s="228" t="str">
        <f>IF(AND(A53&lt;&gt;"",ISNUMBER(A53)),VLOOKUP(A53,Studies!A:BR,4,FALSE),"")</f>
        <v>iv</v>
      </c>
      <c r="E53" s="188" t="str">
        <f>IF(AND(A53&lt;&gt;"",ISNUMBER(A53)),VLOOKUP(A53,Studies!A:BR,5,FALSE),"")</f>
        <v>Midazolam</v>
      </c>
      <c r="F53" s="79" t="s">
        <v>102</v>
      </c>
      <c r="G53" s="78">
        <f t="shared" si="0"/>
        <v>1</v>
      </c>
    </row>
    <row r="54" spans="1:7" x14ac:dyDescent="0.2">
      <c r="A54" s="110">
        <v>53</v>
      </c>
      <c r="B54" s="188" t="str">
        <f>IF(AND(A54&lt;&gt;"",ISNUMBER(A54)),VLOOKUP(A54,Studies!A:BR,2,FALSE),"")</f>
        <v>Backman 1996</v>
      </c>
      <c r="C54" s="188" t="str">
        <f>IF(AND(A54&lt;&gt;"",ISNUMBER(A54)),VLOOKUP(A54,Studies!A:BR,3,FALSE),"")</f>
        <v>https://www.ncbi.nlm.nih.gov/pubmed/8549036</v>
      </c>
      <c r="D54" s="228" t="str">
        <f>IF(AND(A54&lt;&gt;"",ISNUMBER(A54)),VLOOKUP(A54,Studies!A:BR,4,FALSE),"")</f>
        <v>Control (Perpetrator Placebo)</v>
      </c>
      <c r="E54" s="188" t="str">
        <f>IF(AND(A54&lt;&gt;"",ISNUMBER(A54)),VLOOKUP(A54,Studies!A:BR,5,FALSE),"")</f>
        <v>Midazolam</v>
      </c>
      <c r="F54" s="79" t="s">
        <v>1371</v>
      </c>
      <c r="G54" s="78">
        <f t="shared" si="0"/>
        <v>1</v>
      </c>
    </row>
    <row r="55" spans="1:7" x14ac:dyDescent="0.2">
      <c r="A55" s="110">
        <v>54</v>
      </c>
      <c r="B55" s="188" t="str">
        <f>IF(AND(A55&lt;&gt;"",ISNUMBER(A55)),VLOOKUP(A55,Studies!A:BR,2,FALSE),"")</f>
        <v>Backman 1996</v>
      </c>
      <c r="C55" s="188" t="str">
        <f>IF(AND(A55&lt;&gt;"",ISNUMBER(A55)),VLOOKUP(A55,Studies!A:BR,3,FALSE),"")</f>
        <v>https://www.ncbi.nlm.nih.gov/pubmed/8549036</v>
      </c>
      <c r="D55" s="228" t="str">
        <f>IF(AND(A55&lt;&gt;"",ISNUMBER(A55)),VLOOKUP(A55,Studies!A:BR,4,FALSE),"")</f>
        <v>with Perpetrator (Rifampicin)</v>
      </c>
      <c r="E55" s="188" t="str">
        <f>IF(AND(A55&lt;&gt;"",ISNUMBER(A55)),VLOOKUP(A55,Studies!A:BR,5,FALSE),"")</f>
        <v>Midazolam</v>
      </c>
      <c r="F55" s="79" t="s">
        <v>1372</v>
      </c>
      <c r="G55" s="78">
        <f t="shared" si="0"/>
        <v>1</v>
      </c>
    </row>
    <row r="56" spans="1:7" x14ac:dyDescent="0.2">
      <c r="A56" s="110">
        <v>55</v>
      </c>
      <c r="B56" s="188" t="str">
        <f>IF(AND(A56&lt;&gt;"",ISNUMBER(A56)),VLOOKUP(A56,Studies!A:BR,2,FALSE),"")</f>
        <v>Backman 1998</v>
      </c>
      <c r="C56" s="188" t="str">
        <f>IF(AND(A56&lt;&gt;"",ISNUMBER(A56)),VLOOKUP(A56,Studies!A:BR,3,FALSE),"")</f>
        <v>https://www.ncbi.nlm.nih.gov/pubmed/9591931</v>
      </c>
      <c r="D56" s="228" t="str">
        <f>IF(AND(A56&lt;&gt;"",ISNUMBER(A56)),VLOOKUP(A56,Studies!A:BR,4,FALSE),"")</f>
        <v>Phase I (Control (Perpetrator Placebo))</v>
      </c>
      <c r="E56" s="188" t="str">
        <f>IF(AND(A56&lt;&gt;"",ISNUMBER(A56)),VLOOKUP(A56,Studies!A:BR,5,FALSE),"")</f>
        <v>Midazolam</v>
      </c>
      <c r="F56" s="79" t="s">
        <v>1373</v>
      </c>
      <c r="G56" s="78">
        <f t="shared" si="0"/>
        <v>1</v>
      </c>
    </row>
    <row r="57" spans="1:7" x14ac:dyDescent="0.2">
      <c r="A57" s="110">
        <v>56</v>
      </c>
      <c r="B57" s="188" t="str">
        <f>IF(AND(A57&lt;&gt;"",ISNUMBER(A57)),VLOOKUP(A57,Studies!A:BR,2,FALSE),"")</f>
        <v>Backman 1998</v>
      </c>
      <c r="C57" s="188" t="str">
        <f>IF(AND(A57&lt;&gt;"",ISNUMBER(A57)),VLOOKUP(A57,Studies!A:BR,3,FALSE),"")</f>
        <v>https://www.ncbi.nlm.nih.gov/pubmed/9591931</v>
      </c>
      <c r="D57" s="228" t="str">
        <f>IF(AND(A57&lt;&gt;"",ISNUMBER(A57)),VLOOKUP(A57,Studies!A:BR,4,FALSE),"")</f>
        <v>Phase IV (during Perpetrator (Rifampicin))</v>
      </c>
      <c r="E57" s="188" t="str">
        <f>IF(AND(A57&lt;&gt;"",ISNUMBER(A57)),VLOOKUP(A57,Studies!A:BR,5,FALSE),"")</f>
        <v>Midazolam</v>
      </c>
      <c r="F57" s="79" t="s">
        <v>1372</v>
      </c>
      <c r="G57" s="78">
        <f t="shared" si="0"/>
        <v>1</v>
      </c>
    </row>
    <row r="58" spans="1:7" x14ac:dyDescent="0.2">
      <c r="A58" s="110">
        <v>57</v>
      </c>
      <c r="B58" s="188" t="str">
        <f>IF(AND(A58&lt;&gt;"",ISNUMBER(A58)),VLOOKUP(A58,Studies!A:BR,2,FALSE),"")</f>
        <v>Backman 1998</v>
      </c>
      <c r="C58" s="188" t="str">
        <f>IF(AND(A58&lt;&gt;"",ISNUMBER(A58)),VLOOKUP(A58,Studies!A:BR,3,FALSE),"")</f>
        <v>https://www.ncbi.nlm.nih.gov/pubmed/9591931</v>
      </c>
      <c r="D58" s="228" t="str">
        <f>IF(AND(A58&lt;&gt;"",ISNUMBER(A58)),VLOOKUP(A58,Studies!A:BR,4,FALSE),"")</f>
        <v>Phase V (4 days after Perpetrator (Rifampicin))</v>
      </c>
      <c r="E58" s="188" t="str">
        <f>IF(AND(A58&lt;&gt;"",ISNUMBER(A58)),VLOOKUP(A58,Studies!A:BR,5,FALSE),"")</f>
        <v>Midazolam</v>
      </c>
      <c r="F58" s="79" t="s">
        <v>1372</v>
      </c>
      <c r="G58" s="78">
        <f t="shared" si="0"/>
        <v>1</v>
      </c>
    </row>
    <row r="59" spans="1:7" x14ac:dyDescent="0.2">
      <c r="A59" s="110">
        <v>58</v>
      </c>
      <c r="B59" s="188" t="str">
        <f>IF(AND(A59&lt;&gt;"",ISNUMBER(A59)),VLOOKUP(A59,Studies!A:BR,2,FALSE),"")</f>
        <v>Backman 1998</v>
      </c>
      <c r="C59" s="188" t="str">
        <f>IF(AND(A59&lt;&gt;"",ISNUMBER(A59)),VLOOKUP(A59,Studies!A:BR,3,FALSE),"")</f>
        <v>https://www.ncbi.nlm.nih.gov/pubmed/9591931</v>
      </c>
      <c r="D59" s="228" t="str">
        <f>IF(AND(A59&lt;&gt;"",ISNUMBER(A59)),VLOOKUP(A59,Studies!A:BR,4,FALSE),"")</f>
        <v>Phase II (during Perpetrator (Itraconazole))</v>
      </c>
      <c r="E59" s="188" t="str">
        <f>IF(AND(A59&lt;&gt;"",ISNUMBER(A59)),VLOOKUP(A59,Studies!A:BR,5,FALSE),"")</f>
        <v>Midazolam</v>
      </c>
      <c r="F59" s="79" t="s">
        <v>1370</v>
      </c>
      <c r="G59" s="78">
        <f t="shared" si="0"/>
        <v>1</v>
      </c>
    </row>
    <row r="60" spans="1:7" x14ac:dyDescent="0.2">
      <c r="A60" s="110">
        <v>59</v>
      </c>
      <c r="B60" s="188" t="str">
        <f>IF(AND(A60&lt;&gt;"",ISNUMBER(A60)),VLOOKUP(A60,Studies!A:BR,2,FALSE),"")</f>
        <v>Backman 1998</v>
      </c>
      <c r="C60" s="188" t="str">
        <f>IF(AND(A60&lt;&gt;"",ISNUMBER(A60)),VLOOKUP(A60,Studies!A:BR,3,FALSE),"")</f>
        <v>https://www.ncbi.nlm.nih.gov/pubmed/9591931</v>
      </c>
      <c r="D60" s="228" t="str">
        <f>IF(AND(A60&lt;&gt;"",ISNUMBER(A60)),VLOOKUP(A60,Studies!A:BR,4,FALSE),"")</f>
        <v>Phase III (4 days after Perpetrator (Itraconazole))</v>
      </c>
      <c r="E60" s="188" t="str">
        <f>IF(AND(A60&lt;&gt;"",ISNUMBER(A60)),VLOOKUP(A60,Studies!A:BR,5,FALSE),"")</f>
        <v>Midazolam</v>
      </c>
      <c r="F60" s="79" t="s">
        <v>1370</v>
      </c>
      <c r="G60" s="78">
        <f t="shared" si="0"/>
        <v>1</v>
      </c>
    </row>
    <row r="61" spans="1:7" x14ac:dyDescent="0.2">
      <c r="A61" s="110">
        <v>60</v>
      </c>
      <c r="B61" s="188" t="str">
        <f>IF(AND(A61&lt;&gt;"",ISNUMBER(A61)),VLOOKUP(A61,Studies!A:BR,2,FALSE),"")</f>
        <v>Baneyx 2014</v>
      </c>
      <c r="C61" s="188" t="str">
        <f>IF(AND(A61&lt;&gt;"",ISNUMBER(A61)),VLOOKUP(A61,Studies!A:BR,3,FALSE),"")</f>
        <v>https://www.ncbi.nlm.nih.gov/pubmed/24530864</v>
      </c>
      <c r="D61" s="228" t="str">
        <f>IF(AND(A61&lt;&gt;"",ISNUMBER(A61)),VLOOKUP(A61,Studies!A:BR,4,FALSE),"")</f>
        <v>Day 4 - 600 mg po MD</v>
      </c>
      <c r="E61" s="188" t="str">
        <f>IF(AND(A61&lt;&gt;"",ISNUMBER(A61)),VLOOKUP(A61,Studies!A:BR,5,FALSE),"")</f>
        <v>Rifampicin</v>
      </c>
      <c r="F61" s="79" t="s">
        <v>54</v>
      </c>
      <c r="G61" s="78">
        <f t="shared" si="0"/>
        <v>1</v>
      </c>
    </row>
    <row r="62" spans="1:7" x14ac:dyDescent="0.2">
      <c r="A62" s="80">
        <v>61</v>
      </c>
      <c r="B62" s="188" t="str">
        <f>IF(AND(A62&lt;&gt;"",ISNUMBER(A62)),VLOOKUP(A62,Studies!A:BR,2,FALSE),"")</f>
        <v>Barbhaiya 1993</v>
      </c>
      <c r="C62" s="188" t="str">
        <f>IF(AND(A62&lt;&gt;"",ISNUMBER(A62)),VLOOKUP(A62,Studies!A:BR,3,FALSE),"")</f>
        <v>https://www.ncbi.nlm.nih.gov/pubmed/7911763</v>
      </c>
      <c r="D62" s="228" t="str">
        <f>IF(AND(A62&lt;&gt;"",ISNUMBER(A62)),VLOOKUP(A62,Studies!A:BR,4,FALSE),"")</f>
        <v>Day 1 Normal</v>
      </c>
      <c r="E62" s="188" t="str">
        <f>IF(AND(A62&lt;&gt;"",ISNUMBER(A62)),VLOOKUP(A62,Studies!A:BR,5,FALSE),"")</f>
        <v>Buspirone</v>
      </c>
      <c r="F62" s="79" t="s">
        <v>111</v>
      </c>
      <c r="G62" s="78">
        <f t="shared" si="0"/>
        <v>1</v>
      </c>
    </row>
    <row r="63" spans="1:7" x14ac:dyDescent="0.2">
      <c r="A63" s="80">
        <v>62</v>
      </c>
      <c r="B63" s="188" t="str">
        <f>IF(AND(A63&lt;&gt;"",ISNUMBER(A63)),VLOOKUP(A63,Studies!A:BR,2,FALSE),"")</f>
        <v>Barbhaiya 1993</v>
      </c>
      <c r="C63" s="188" t="str">
        <f>IF(AND(A63&lt;&gt;"",ISNUMBER(A63)),VLOOKUP(A63,Studies!A:BR,3,FALSE),"")</f>
        <v>https://www.ncbi.nlm.nih.gov/pubmed/7911763</v>
      </c>
      <c r="D63" s="228" t="str">
        <f>IF(AND(A63&lt;&gt;"",ISNUMBER(A63)),VLOOKUP(A63,Studies!A:BR,4,FALSE),"")</f>
        <v>Day 1 Renal mild</v>
      </c>
      <c r="E63" s="188" t="str">
        <f>IF(AND(A63&lt;&gt;"",ISNUMBER(A63)),VLOOKUP(A63,Studies!A:BR,5,FALSE),"")</f>
        <v>Buspirone</v>
      </c>
      <c r="F63" s="79" t="s">
        <v>111</v>
      </c>
      <c r="G63" s="78">
        <f t="shared" si="0"/>
        <v>1</v>
      </c>
    </row>
    <row r="64" spans="1:7" x14ac:dyDescent="0.2">
      <c r="A64" s="80">
        <v>63</v>
      </c>
      <c r="B64" s="188" t="str">
        <f>IF(AND(A64&lt;&gt;"",ISNUMBER(A64)),VLOOKUP(A64,Studies!A:BR,2,FALSE),"")</f>
        <v>Barbhaiya 1993</v>
      </c>
      <c r="C64" s="188" t="str">
        <f>IF(AND(A64&lt;&gt;"",ISNUMBER(A64)),VLOOKUP(A64,Studies!A:BR,3,FALSE),"")</f>
        <v>https://www.ncbi.nlm.nih.gov/pubmed/7911763</v>
      </c>
      <c r="D64" s="228" t="str">
        <f>IF(AND(A64&lt;&gt;"",ISNUMBER(A64)),VLOOKUP(A64,Studies!A:BR,4,FALSE),"")</f>
        <v>Day 1 Renal moderate</v>
      </c>
      <c r="E64" s="188" t="str">
        <f>IF(AND(A64&lt;&gt;"",ISNUMBER(A64)),VLOOKUP(A64,Studies!A:BR,5,FALSE),"")</f>
        <v>Buspirone</v>
      </c>
      <c r="F64" s="79" t="s">
        <v>111</v>
      </c>
      <c r="G64" s="78">
        <f t="shared" si="0"/>
        <v>1</v>
      </c>
    </row>
    <row r="65" spans="1:7" x14ac:dyDescent="0.2">
      <c r="A65" s="80">
        <v>64</v>
      </c>
      <c r="B65" s="188" t="str">
        <f>IF(AND(A65&lt;&gt;"",ISNUMBER(A65)),VLOOKUP(A65,Studies!A:BR,2,FALSE),"")</f>
        <v>Barbhaiya 1993</v>
      </c>
      <c r="C65" s="188" t="str">
        <f>IF(AND(A65&lt;&gt;"",ISNUMBER(A65)),VLOOKUP(A65,Studies!A:BR,3,FALSE),"")</f>
        <v>https://www.ncbi.nlm.nih.gov/pubmed/7911763</v>
      </c>
      <c r="D65" s="228" t="str">
        <f>IF(AND(A65&lt;&gt;"",ISNUMBER(A65)),VLOOKUP(A65,Studies!A:BR,4,FALSE),"")</f>
        <v>Day 1 Renal severe</v>
      </c>
      <c r="E65" s="188" t="str">
        <f>IF(AND(A65&lt;&gt;"",ISNUMBER(A65)),VLOOKUP(A65,Studies!A:BR,5,FALSE),"")</f>
        <v>Buspirone</v>
      </c>
      <c r="F65" s="79" t="s">
        <v>111</v>
      </c>
      <c r="G65" s="78">
        <f t="shared" si="0"/>
        <v>1</v>
      </c>
    </row>
    <row r="66" spans="1:7" x14ac:dyDescent="0.2">
      <c r="A66" s="80">
        <v>65</v>
      </c>
      <c r="B66" s="188" t="str">
        <f>IF(AND(A66&lt;&gt;"",ISNUMBER(A66)),VLOOKUP(A66,Studies!A:BR,2,FALSE),"")</f>
        <v>Barbhaiya 1993</v>
      </c>
      <c r="C66" s="188" t="str">
        <f>IF(AND(A66&lt;&gt;"",ISNUMBER(A66)),VLOOKUP(A66,Studies!A:BR,3,FALSE),"")</f>
        <v>https://www.ncbi.nlm.nih.gov/pubmed/7911763</v>
      </c>
      <c r="D66" s="228" t="str">
        <f>IF(AND(A66&lt;&gt;"",ISNUMBER(A66)),VLOOKUP(A66,Studies!A:BR,4,FALSE),"")</f>
        <v>Day 1 Hepatic compensated</v>
      </c>
      <c r="E66" s="188" t="str">
        <f>IF(AND(A66&lt;&gt;"",ISNUMBER(A66)),VLOOKUP(A66,Studies!A:BR,5,FALSE),"")</f>
        <v>Buspirone</v>
      </c>
      <c r="F66" s="79" t="s">
        <v>111</v>
      </c>
      <c r="G66" s="78">
        <f t="shared" si="0"/>
        <v>1</v>
      </c>
    </row>
    <row r="67" spans="1:7" x14ac:dyDescent="0.2">
      <c r="A67" s="80">
        <v>66</v>
      </c>
      <c r="B67" s="188" t="str">
        <f>IF(AND(A67&lt;&gt;"",ISNUMBER(A67)),VLOOKUP(A67,Studies!A:BR,2,FALSE),"")</f>
        <v>Barbhaiya 1993</v>
      </c>
      <c r="C67" s="188" t="str">
        <f>IF(AND(A67&lt;&gt;"",ISNUMBER(A67)),VLOOKUP(A67,Studies!A:BR,3,FALSE),"")</f>
        <v>https://www.ncbi.nlm.nih.gov/pubmed/7911763</v>
      </c>
      <c r="D67" s="228" t="str">
        <f>IF(AND(A67&lt;&gt;"",ISNUMBER(A67)),VLOOKUP(A67,Studies!A:BR,4,FALSE),"")</f>
        <v>Day 1 Hepatic decompensated</v>
      </c>
      <c r="E67" s="188" t="str">
        <f>IF(AND(A67&lt;&gt;"",ISNUMBER(A67)),VLOOKUP(A67,Studies!A:BR,5,FALSE),"")</f>
        <v>Buspirone</v>
      </c>
      <c r="F67" s="79" t="s">
        <v>111</v>
      </c>
      <c r="G67" s="78">
        <f t="shared" si="0"/>
        <v>1</v>
      </c>
    </row>
    <row r="68" spans="1:7" x14ac:dyDescent="0.2">
      <c r="A68" s="80">
        <v>67</v>
      </c>
      <c r="B68" s="188" t="str">
        <f>IF(AND(A68&lt;&gt;"",ISNUMBER(A68)),VLOOKUP(A68,Studies!A:BR,2,FALSE),"")</f>
        <v>Barbhaiya 1993</v>
      </c>
      <c r="C68" s="188" t="str">
        <f>IF(AND(A68&lt;&gt;"",ISNUMBER(A68)),VLOOKUP(A68,Studies!A:BR,3,FALSE),"")</f>
        <v>https://www.ncbi.nlm.nih.gov/pubmed/7911763</v>
      </c>
      <c r="D68" s="228" t="str">
        <f>IF(AND(A68&lt;&gt;"",ISNUMBER(A68)),VLOOKUP(A68,Studies!A:BR,4,FALSE),"")</f>
        <v>Day 5 Normal</v>
      </c>
      <c r="E68" s="188" t="str">
        <f>IF(AND(A68&lt;&gt;"",ISNUMBER(A68)),VLOOKUP(A68,Studies!A:BR,5,FALSE),"")</f>
        <v>Buspirone</v>
      </c>
      <c r="F68" s="79" t="s">
        <v>111</v>
      </c>
      <c r="G68" s="78">
        <f t="shared" ref="G68:G136" si="1">A68-A67</f>
        <v>1</v>
      </c>
    </row>
    <row r="69" spans="1:7" x14ac:dyDescent="0.2">
      <c r="A69" s="80">
        <v>68</v>
      </c>
      <c r="B69" s="188" t="str">
        <f>IF(AND(A69&lt;&gt;"",ISNUMBER(A69)),VLOOKUP(A69,Studies!A:BR,2,FALSE),"")</f>
        <v>Barbhaiya 1993</v>
      </c>
      <c r="C69" s="188" t="str">
        <f>IF(AND(A69&lt;&gt;"",ISNUMBER(A69)),VLOOKUP(A69,Studies!A:BR,3,FALSE),"")</f>
        <v>https://www.ncbi.nlm.nih.gov/pubmed/7911763</v>
      </c>
      <c r="D69" s="228" t="str">
        <f>IF(AND(A69&lt;&gt;"",ISNUMBER(A69)),VLOOKUP(A69,Studies!A:BR,4,FALSE),"")</f>
        <v>Day 5 Renal mild</v>
      </c>
      <c r="E69" s="188" t="str">
        <f>IF(AND(A69&lt;&gt;"",ISNUMBER(A69)),VLOOKUP(A69,Studies!A:BR,5,FALSE),"")</f>
        <v>Buspirone</v>
      </c>
      <c r="F69" s="79" t="s">
        <v>111</v>
      </c>
      <c r="G69" s="78">
        <f t="shared" si="1"/>
        <v>1</v>
      </c>
    </row>
    <row r="70" spans="1:7" x14ac:dyDescent="0.2">
      <c r="A70" s="80">
        <v>69</v>
      </c>
      <c r="B70" s="188" t="str">
        <f>IF(AND(A70&lt;&gt;"",ISNUMBER(A70)),VLOOKUP(A70,Studies!A:BR,2,FALSE),"")</f>
        <v>Barbhaiya 1993</v>
      </c>
      <c r="C70" s="188" t="str">
        <f>IF(AND(A70&lt;&gt;"",ISNUMBER(A70)),VLOOKUP(A70,Studies!A:BR,3,FALSE),"")</f>
        <v>https://www.ncbi.nlm.nih.gov/pubmed/7911763</v>
      </c>
      <c r="D70" s="228" t="str">
        <f>IF(AND(A70&lt;&gt;"",ISNUMBER(A70)),VLOOKUP(A70,Studies!A:BR,4,FALSE),"")</f>
        <v>Day 5 Renal moderate</v>
      </c>
      <c r="E70" s="188" t="str">
        <f>IF(AND(A70&lt;&gt;"",ISNUMBER(A70)),VLOOKUP(A70,Studies!A:BR,5,FALSE),"")</f>
        <v>Buspirone</v>
      </c>
      <c r="F70" s="79" t="s">
        <v>111</v>
      </c>
      <c r="G70" s="78">
        <f t="shared" si="1"/>
        <v>1</v>
      </c>
    </row>
    <row r="71" spans="1:7" x14ac:dyDescent="0.2">
      <c r="A71" s="80">
        <v>70</v>
      </c>
      <c r="B71" s="188" t="str">
        <f>IF(AND(A71&lt;&gt;"",ISNUMBER(A71)),VLOOKUP(A71,Studies!A:BR,2,FALSE),"")</f>
        <v>Barbhaiya 1993</v>
      </c>
      <c r="C71" s="188" t="str">
        <f>IF(AND(A71&lt;&gt;"",ISNUMBER(A71)),VLOOKUP(A71,Studies!A:BR,3,FALSE),"")</f>
        <v>https://www.ncbi.nlm.nih.gov/pubmed/7911763</v>
      </c>
      <c r="D71" s="228" t="str">
        <f>IF(AND(A71&lt;&gt;"",ISNUMBER(A71)),VLOOKUP(A71,Studies!A:BR,4,FALSE),"")</f>
        <v>Day 5 Renal severe</v>
      </c>
      <c r="E71" s="188" t="str">
        <f>IF(AND(A71&lt;&gt;"",ISNUMBER(A71)),VLOOKUP(A71,Studies!A:BR,5,FALSE),"")</f>
        <v>Buspirone</v>
      </c>
      <c r="F71" s="79" t="s">
        <v>111</v>
      </c>
      <c r="G71" s="78">
        <f t="shared" si="1"/>
        <v>1</v>
      </c>
    </row>
    <row r="72" spans="1:7" x14ac:dyDescent="0.2">
      <c r="A72" s="80">
        <v>71</v>
      </c>
      <c r="B72" s="188" t="str">
        <f>IF(AND(A72&lt;&gt;"",ISNUMBER(A72)),VLOOKUP(A72,Studies!A:BR,2,FALSE),"")</f>
        <v>Barbhaiya 1993</v>
      </c>
      <c r="C72" s="188" t="str">
        <f>IF(AND(A72&lt;&gt;"",ISNUMBER(A72)),VLOOKUP(A72,Studies!A:BR,3,FALSE),"")</f>
        <v>https://www.ncbi.nlm.nih.gov/pubmed/7911763</v>
      </c>
      <c r="D72" s="228" t="str">
        <f>IF(AND(A72&lt;&gt;"",ISNUMBER(A72)),VLOOKUP(A72,Studies!A:BR,4,FALSE),"")</f>
        <v>Day 5 Hepatic compensated</v>
      </c>
      <c r="E72" s="188" t="str">
        <f>IF(AND(A72&lt;&gt;"",ISNUMBER(A72)),VLOOKUP(A72,Studies!A:BR,5,FALSE),"")</f>
        <v>Buspirone</v>
      </c>
      <c r="F72" s="79" t="s">
        <v>111</v>
      </c>
      <c r="G72" s="78">
        <f t="shared" si="1"/>
        <v>1</v>
      </c>
    </row>
    <row r="73" spans="1:7" x14ac:dyDescent="0.2">
      <c r="A73" s="80">
        <v>72</v>
      </c>
      <c r="B73" s="188" t="str">
        <f>IF(AND(A73&lt;&gt;"",ISNUMBER(A73)),VLOOKUP(A73,Studies!A:BR,2,FALSE),"")</f>
        <v>Barbhaiya 1993</v>
      </c>
      <c r="C73" s="188" t="str">
        <f>IF(AND(A73&lt;&gt;"",ISNUMBER(A73)),VLOOKUP(A73,Studies!A:BR,3,FALSE),"")</f>
        <v>https://www.ncbi.nlm.nih.gov/pubmed/7911763</v>
      </c>
      <c r="D73" s="228" t="str">
        <f>IF(AND(A73&lt;&gt;"",ISNUMBER(A73)),VLOOKUP(A73,Studies!A:BR,4,FALSE),"")</f>
        <v>Day 5 Hepatic decompensated</v>
      </c>
      <c r="E73" s="188" t="str">
        <f>IF(AND(A73&lt;&gt;"",ISNUMBER(A73)),VLOOKUP(A73,Studies!A:BR,5,FALSE),"")</f>
        <v>Buspirone</v>
      </c>
      <c r="F73" s="79" t="s">
        <v>111</v>
      </c>
      <c r="G73" s="78">
        <f t="shared" si="1"/>
        <v>1</v>
      </c>
    </row>
    <row r="74" spans="1:7" x14ac:dyDescent="0.2">
      <c r="A74" s="80">
        <v>73</v>
      </c>
      <c r="B74" s="188" t="str">
        <f>IF(AND(A74&lt;&gt;"",ISNUMBER(A74)),VLOOKUP(A74,Studies!A:BR,2,FALSE),"")</f>
        <v>Barbhaiya 1993</v>
      </c>
      <c r="C74" s="188" t="str">
        <f>IF(AND(A74&lt;&gt;"",ISNUMBER(A74)),VLOOKUP(A74,Studies!A:BR,3,FALSE),"")</f>
        <v>https://www.ncbi.nlm.nih.gov/pubmed/7911763</v>
      </c>
      <c r="D74" s="228" t="str">
        <f>IF(AND(A74&lt;&gt;"",ISNUMBER(A74)),VLOOKUP(A74,Studies!A:BR,4,FALSE),"")</f>
        <v>Day 10 Normal</v>
      </c>
      <c r="E74" s="188" t="str">
        <f>IF(AND(A74&lt;&gt;"",ISNUMBER(A74)),VLOOKUP(A74,Studies!A:BR,5,FALSE),"")</f>
        <v>Buspirone</v>
      </c>
      <c r="F74" s="79" t="s">
        <v>111</v>
      </c>
      <c r="G74" s="78">
        <f t="shared" si="1"/>
        <v>1</v>
      </c>
    </row>
    <row r="75" spans="1:7" x14ac:dyDescent="0.2">
      <c r="A75" s="80">
        <v>74</v>
      </c>
      <c r="B75" s="188" t="str">
        <f>IF(AND(A75&lt;&gt;"",ISNUMBER(A75)),VLOOKUP(A75,Studies!A:BR,2,FALSE),"")</f>
        <v>Barbhaiya 1993</v>
      </c>
      <c r="C75" s="188" t="str">
        <f>IF(AND(A75&lt;&gt;"",ISNUMBER(A75)),VLOOKUP(A75,Studies!A:BR,3,FALSE),"")</f>
        <v>https://www.ncbi.nlm.nih.gov/pubmed/7911763</v>
      </c>
      <c r="D75" s="228" t="str">
        <f>IF(AND(A75&lt;&gt;"",ISNUMBER(A75)),VLOOKUP(A75,Studies!A:BR,4,FALSE),"")</f>
        <v>Day 10 Renal mild</v>
      </c>
      <c r="E75" s="188" t="str">
        <f>IF(AND(A75&lt;&gt;"",ISNUMBER(A75)),VLOOKUP(A75,Studies!A:BR,5,FALSE),"")</f>
        <v>Buspirone</v>
      </c>
      <c r="F75" s="79" t="s">
        <v>111</v>
      </c>
      <c r="G75" s="78">
        <f t="shared" si="1"/>
        <v>1</v>
      </c>
    </row>
    <row r="76" spans="1:7" x14ac:dyDescent="0.2">
      <c r="A76" s="80">
        <v>75</v>
      </c>
      <c r="B76" s="188" t="str">
        <f>IF(AND(A76&lt;&gt;"",ISNUMBER(A76)),VLOOKUP(A76,Studies!A:BR,2,FALSE),"")</f>
        <v>Barbhaiya 1993</v>
      </c>
      <c r="C76" s="188" t="str">
        <f>IF(AND(A76&lt;&gt;"",ISNUMBER(A76)),VLOOKUP(A76,Studies!A:BR,3,FALSE),"")</f>
        <v>https://www.ncbi.nlm.nih.gov/pubmed/7911763</v>
      </c>
      <c r="D76" s="228" t="str">
        <f>IF(AND(A76&lt;&gt;"",ISNUMBER(A76)),VLOOKUP(A76,Studies!A:BR,4,FALSE),"")</f>
        <v>Day 10 Renal moderate</v>
      </c>
      <c r="E76" s="188" t="str">
        <f>IF(AND(A76&lt;&gt;"",ISNUMBER(A76)),VLOOKUP(A76,Studies!A:BR,5,FALSE),"")</f>
        <v>Buspirone</v>
      </c>
      <c r="F76" s="79" t="s">
        <v>111</v>
      </c>
      <c r="G76" s="78">
        <f t="shared" si="1"/>
        <v>1</v>
      </c>
    </row>
    <row r="77" spans="1:7" x14ac:dyDescent="0.2">
      <c r="A77" s="80">
        <v>76</v>
      </c>
      <c r="B77" s="188" t="str">
        <f>IF(AND(A77&lt;&gt;"",ISNUMBER(A77)),VLOOKUP(A77,Studies!A:BR,2,FALSE),"")</f>
        <v>Barbhaiya 1993</v>
      </c>
      <c r="C77" s="188" t="str">
        <f>IF(AND(A77&lt;&gt;"",ISNUMBER(A77)),VLOOKUP(A77,Studies!A:BR,3,FALSE),"")</f>
        <v>https://www.ncbi.nlm.nih.gov/pubmed/7911763</v>
      </c>
      <c r="D77" s="228" t="str">
        <f>IF(AND(A77&lt;&gt;"",ISNUMBER(A77)),VLOOKUP(A77,Studies!A:BR,4,FALSE),"")</f>
        <v>Day 10 Renal severe</v>
      </c>
      <c r="E77" s="188" t="str">
        <f>IF(AND(A77&lt;&gt;"",ISNUMBER(A77)),VLOOKUP(A77,Studies!A:BR,5,FALSE),"")</f>
        <v>Buspirone</v>
      </c>
      <c r="F77" s="79" t="s">
        <v>111</v>
      </c>
      <c r="G77" s="78">
        <f t="shared" si="1"/>
        <v>1</v>
      </c>
    </row>
    <row r="78" spans="1:7" x14ac:dyDescent="0.2">
      <c r="A78" s="80">
        <v>77</v>
      </c>
      <c r="B78" s="188" t="str">
        <f>IF(AND(A78&lt;&gt;"",ISNUMBER(A78)),VLOOKUP(A78,Studies!A:BR,2,FALSE),"")</f>
        <v>Barbhaiya 1993</v>
      </c>
      <c r="C78" s="188" t="str">
        <f>IF(AND(A78&lt;&gt;"",ISNUMBER(A78)),VLOOKUP(A78,Studies!A:BR,3,FALSE),"")</f>
        <v>https://www.ncbi.nlm.nih.gov/pubmed/7911763</v>
      </c>
      <c r="D78" s="228" t="str">
        <f>IF(AND(A78&lt;&gt;"",ISNUMBER(A78)),VLOOKUP(A78,Studies!A:BR,4,FALSE),"")</f>
        <v>Day 10 Hepatic compensated</v>
      </c>
      <c r="E78" s="188" t="str">
        <f>IF(AND(A78&lt;&gt;"",ISNUMBER(A78)),VLOOKUP(A78,Studies!A:BR,5,FALSE),"")</f>
        <v>Buspirone</v>
      </c>
      <c r="F78" s="79" t="s">
        <v>111</v>
      </c>
      <c r="G78" s="78">
        <f t="shared" si="1"/>
        <v>1</v>
      </c>
    </row>
    <row r="79" spans="1:7" x14ac:dyDescent="0.2">
      <c r="A79" s="80">
        <v>78</v>
      </c>
      <c r="B79" s="188" t="str">
        <f>IF(AND(A79&lt;&gt;"",ISNUMBER(A79)),VLOOKUP(A79,Studies!A:BR,2,FALSE),"")</f>
        <v>Barbhaiya 1993</v>
      </c>
      <c r="C79" s="188" t="str">
        <f>IF(AND(A79&lt;&gt;"",ISNUMBER(A79)),VLOOKUP(A79,Studies!A:BR,3,FALSE),"")</f>
        <v>https://www.ncbi.nlm.nih.gov/pubmed/7911763</v>
      </c>
      <c r="D79" s="228" t="str">
        <f>IF(AND(A79&lt;&gt;"",ISNUMBER(A79)),VLOOKUP(A79,Studies!A:BR,4,FALSE),"")</f>
        <v>Day 10 Hepatic decompensated</v>
      </c>
      <c r="E79" s="188" t="str">
        <f>IF(AND(A79&lt;&gt;"",ISNUMBER(A79)),VLOOKUP(A79,Studies!A:BR,5,FALSE),"")</f>
        <v>Buspirone</v>
      </c>
      <c r="F79" s="79" t="s">
        <v>111</v>
      </c>
      <c r="G79" s="78">
        <f t="shared" si="1"/>
        <v>1</v>
      </c>
    </row>
    <row r="80" spans="1:7" x14ac:dyDescent="0.2">
      <c r="A80" s="110">
        <v>79</v>
      </c>
      <c r="B80" s="188" t="str">
        <f>IF(AND(A80&lt;&gt;"",ISNUMBER(A80)),VLOOKUP(A80,Studies!A:BR,2,FALSE),"")</f>
        <v>Barone 1993</v>
      </c>
      <c r="C80" s="188" t="str">
        <f>IF(AND(A80&lt;&gt;"",ISNUMBER(A80)),VLOOKUP(A80,Studies!A:BR,3,FALSE),"")</f>
        <v>https://www.ncbi.nlm.nih.gov/pubmed/8388198</v>
      </c>
      <c r="D80" s="228" t="str">
        <f>IF(AND(A80&lt;&gt;"",ISNUMBER(A80)),VLOOKUP(A80,Studies!A:BR,4,FALSE),"")</f>
        <v>day 1 fasted</v>
      </c>
      <c r="E80" s="188" t="str">
        <f>IF(AND(A80&lt;&gt;"",ISNUMBER(A80)),VLOOKUP(A80,Studies!A:BR,5,FALSE),"")</f>
        <v>Itraconazole</v>
      </c>
      <c r="F80" s="79" t="s">
        <v>149</v>
      </c>
      <c r="G80" s="78">
        <f t="shared" si="1"/>
        <v>1</v>
      </c>
    </row>
    <row r="81" spans="1:7" x14ac:dyDescent="0.2">
      <c r="A81" s="110">
        <v>80</v>
      </c>
      <c r="B81" s="188" t="str">
        <f>IF(AND(A81&lt;&gt;"",ISNUMBER(A81)),VLOOKUP(A81,Studies!A:BR,2,FALSE),"")</f>
        <v>Barone 1993</v>
      </c>
      <c r="C81" s="188" t="str">
        <f>IF(AND(A81&lt;&gt;"",ISNUMBER(A81)),VLOOKUP(A81,Studies!A:BR,3,FALSE),"")</f>
        <v>https://www.ncbi.nlm.nih.gov/pubmed/8388198</v>
      </c>
      <c r="D81" s="228" t="str">
        <f>IF(AND(A81&lt;&gt;"",ISNUMBER(A81)),VLOOKUP(A81,Studies!A:BR,4,FALSE),"")</f>
        <v>day 1 fasted</v>
      </c>
      <c r="E81" s="188" t="str">
        <f>IF(AND(A81&lt;&gt;"",ISNUMBER(A81)),VLOOKUP(A81,Studies!A:BR,5,FALSE),"")</f>
        <v>Hydroxy-Itraconazole</v>
      </c>
      <c r="F81" s="79" t="s">
        <v>149</v>
      </c>
      <c r="G81" s="78">
        <f t="shared" si="1"/>
        <v>1</v>
      </c>
    </row>
    <row r="82" spans="1:7" x14ac:dyDescent="0.2">
      <c r="A82" s="110">
        <v>81</v>
      </c>
      <c r="B82" s="188" t="str">
        <f>IF(AND(A82&lt;&gt;"",ISNUMBER(A82)),VLOOKUP(A82,Studies!A:BR,2,FALSE),"")</f>
        <v>Barone 1993</v>
      </c>
      <c r="C82" s="188" t="str">
        <f>IF(AND(A82&lt;&gt;"",ISNUMBER(A82)),VLOOKUP(A82,Studies!A:BR,3,FALSE),"")</f>
        <v>https://www.ncbi.nlm.nih.gov/pubmed/8388198</v>
      </c>
      <c r="D82" s="228" t="str">
        <f>IF(AND(A82&lt;&gt;"",ISNUMBER(A82)),VLOOKUP(A82,Studies!A:BR,4,FALSE),"")</f>
        <v>day 1 fed</v>
      </c>
      <c r="E82" s="188" t="str">
        <f>IF(AND(A82&lt;&gt;"",ISNUMBER(A82)),VLOOKUP(A82,Studies!A:BR,5,FALSE),"")</f>
        <v>Itraconazole</v>
      </c>
      <c r="F82" s="79" t="s">
        <v>149</v>
      </c>
      <c r="G82" s="78">
        <f t="shared" si="1"/>
        <v>1</v>
      </c>
    </row>
    <row r="83" spans="1:7" x14ac:dyDescent="0.2">
      <c r="A83" s="110">
        <v>82</v>
      </c>
      <c r="B83" s="188" t="str">
        <f>IF(AND(A83&lt;&gt;"",ISNUMBER(A83)),VLOOKUP(A83,Studies!A:BR,2,FALSE),"")</f>
        <v>Barone 1993</v>
      </c>
      <c r="C83" s="188" t="str">
        <f>IF(AND(A83&lt;&gt;"",ISNUMBER(A83)),VLOOKUP(A83,Studies!A:BR,3,FALSE),"")</f>
        <v>https://www.ncbi.nlm.nih.gov/pubmed/8388198</v>
      </c>
      <c r="D83" s="228" t="str">
        <f>IF(AND(A83&lt;&gt;"",ISNUMBER(A83)),VLOOKUP(A83,Studies!A:BR,4,FALSE),"")</f>
        <v>day 1 fed</v>
      </c>
      <c r="E83" s="188" t="str">
        <f>IF(AND(A83&lt;&gt;"",ISNUMBER(A83)),VLOOKUP(A83,Studies!A:BR,5,FALSE),"")</f>
        <v>Hydroxy-Itraconazole</v>
      </c>
      <c r="F83" s="79" t="s">
        <v>149</v>
      </c>
      <c r="G83" s="78">
        <f t="shared" si="1"/>
        <v>1</v>
      </c>
    </row>
    <row r="84" spans="1:7" x14ac:dyDescent="0.2">
      <c r="A84" s="110">
        <v>83</v>
      </c>
      <c r="B84" s="188" t="str">
        <f>IF(AND(A84&lt;&gt;"",ISNUMBER(A84)),VLOOKUP(A84,Studies!A:BR,2,FALSE),"")</f>
        <v>Barone 1993</v>
      </c>
      <c r="C84" s="188" t="str">
        <f>IF(AND(A84&lt;&gt;"",ISNUMBER(A84)),VLOOKUP(A84,Studies!A:BR,3,FALSE),"")</f>
        <v>https://www.ncbi.nlm.nih.gov/pubmed/8388198</v>
      </c>
      <c r="D84" s="228" t="str">
        <f>IF(AND(A84&lt;&gt;"",ISNUMBER(A84)),VLOOKUP(A84,Studies!A:BR,4,FALSE),"")</f>
        <v>day 15 fed</v>
      </c>
      <c r="E84" s="188" t="str">
        <f>IF(AND(A84&lt;&gt;"",ISNUMBER(A84)),VLOOKUP(A84,Studies!A:BR,5,FALSE),"")</f>
        <v>Itraconazole</v>
      </c>
      <c r="F84" s="79" t="s">
        <v>149</v>
      </c>
      <c r="G84" s="78">
        <f t="shared" si="1"/>
        <v>1</v>
      </c>
    </row>
    <row r="85" spans="1:7" x14ac:dyDescent="0.2">
      <c r="A85" s="110">
        <v>84</v>
      </c>
      <c r="B85" s="188" t="str">
        <f>IF(AND(A85&lt;&gt;"",ISNUMBER(A85)),VLOOKUP(A85,Studies!A:BR,2,FALSE),"")</f>
        <v>Barone 1993</v>
      </c>
      <c r="C85" s="188" t="str">
        <f>IF(AND(A85&lt;&gt;"",ISNUMBER(A85)),VLOOKUP(A85,Studies!A:BR,3,FALSE),"")</f>
        <v>https://www.ncbi.nlm.nih.gov/pubmed/8388198</v>
      </c>
      <c r="D85" s="228" t="str">
        <f>IF(AND(A85&lt;&gt;"",ISNUMBER(A85)),VLOOKUP(A85,Studies!A:BR,4,FALSE),"")</f>
        <v>day 15 fed</v>
      </c>
      <c r="E85" s="188" t="str">
        <f>IF(AND(A85&lt;&gt;"",ISNUMBER(A85)),VLOOKUP(A85,Studies!A:BR,5,FALSE),"")</f>
        <v>Hydroxy-Itraconazole</v>
      </c>
      <c r="F85" s="79" t="s">
        <v>149</v>
      </c>
      <c r="G85" s="78">
        <f t="shared" si="1"/>
        <v>1</v>
      </c>
    </row>
    <row r="86" spans="1:7" x14ac:dyDescent="0.2">
      <c r="A86" s="110">
        <v>85</v>
      </c>
      <c r="B86" s="188" t="str">
        <f>IF(AND(A86&lt;&gt;"",ISNUMBER(A86)),VLOOKUP(A86,Studies!A:BR,2,FALSE),"")</f>
        <v>Barone 1998a</v>
      </c>
      <c r="C86" s="188" t="str">
        <f>IF(AND(A86&lt;&gt;"",ISNUMBER(A86)),VLOOKUP(A86,Studies!A:BR,3,FALSE),"")</f>
        <v>https://www.ncbi.nlm.nih.gov/pubmed/9545149</v>
      </c>
      <c r="D86" s="228" t="str">
        <f>IF(AND(A86&lt;&gt;"",ISNUMBER(A86)),VLOOKUP(A86,Studies!A:BR,4,FALSE),"")</f>
        <v>day 1 fasted</v>
      </c>
      <c r="E86" s="188" t="str">
        <f>IF(AND(A86&lt;&gt;"",ISNUMBER(A86)),VLOOKUP(A86,Studies!A:BR,5,FALSE),"")</f>
        <v>Itraconazole</v>
      </c>
      <c r="F86" s="79" t="s">
        <v>149</v>
      </c>
      <c r="G86" s="78">
        <f t="shared" si="1"/>
        <v>1</v>
      </c>
    </row>
    <row r="87" spans="1:7" x14ac:dyDescent="0.2">
      <c r="A87" s="110">
        <v>86</v>
      </c>
      <c r="B87" s="188" t="str">
        <f>IF(AND(A87&lt;&gt;"",ISNUMBER(A87)),VLOOKUP(A87,Studies!A:BR,2,FALSE),"")</f>
        <v>Barone 1998a</v>
      </c>
      <c r="C87" s="188" t="str">
        <f>IF(AND(A87&lt;&gt;"",ISNUMBER(A87)),VLOOKUP(A87,Studies!A:BR,3,FALSE),"")</f>
        <v>https://www.ncbi.nlm.nih.gov/pubmed/9545149</v>
      </c>
      <c r="D87" s="228" t="str">
        <f>IF(AND(A87&lt;&gt;"",ISNUMBER(A87)),VLOOKUP(A87,Studies!A:BR,4,FALSE),"")</f>
        <v>day 1 fasted</v>
      </c>
      <c r="E87" s="188" t="str">
        <f>IF(AND(A87&lt;&gt;"",ISNUMBER(A87)),VLOOKUP(A87,Studies!A:BR,5,FALSE),"")</f>
        <v>Hydroxy-Itraconazole</v>
      </c>
      <c r="F87" s="79" t="s">
        <v>149</v>
      </c>
      <c r="G87" s="78">
        <f t="shared" si="1"/>
        <v>1</v>
      </c>
    </row>
    <row r="88" spans="1:7" x14ac:dyDescent="0.2">
      <c r="A88" s="110">
        <v>87</v>
      </c>
      <c r="B88" s="188" t="str">
        <f>IF(AND(A88&lt;&gt;"",ISNUMBER(A88)),VLOOKUP(A88,Studies!A:BR,2,FALSE),"")</f>
        <v>Barone 1998a</v>
      </c>
      <c r="C88" s="188" t="str">
        <f>IF(AND(A88&lt;&gt;"",ISNUMBER(A88)),VLOOKUP(A88,Studies!A:BR,3,FALSE),"")</f>
        <v>https://www.ncbi.nlm.nih.gov/pubmed/9545149</v>
      </c>
      <c r="D88" s="228" t="str">
        <f>IF(AND(A88&lt;&gt;"",ISNUMBER(A88)),VLOOKUP(A88,Studies!A:BR,4,FALSE),"")</f>
        <v>day 15 fasted</v>
      </c>
      <c r="E88" s="188" t="str">
        <f>IF(AND(A88&lt;&gt;"",ISNUMBER(A88)),VLOOKUP(A88,Studies!A:BR,5,FALSE),"")</f>
        <v>Itraconazole</v>
      </c>
      <c r="F88" s="79" t="s">
        <v>149</v>
      </c>
      <c r="G88" s="78">
        <f t="shared" si="1"/>
        <v>1</v>
      </c>
    </row>
    <row r="89" spans="1:7" x14ac:dyDescent="0.2">
      <c r="A89" s="110">
        <v>88</v>
      </c>
      <c r="B89" s="188" t="str">
        <f>IF(AND(A89&lt;&gt;"",ISNUMBER(A89)),VLOOKUP(A89,Studies!A:BR,2,FALSE),"")</f>
        <v>Barone 1998a</v>
      </c>
      <c r="C89" s="188" t="str">
        <f>IF(AND(A89&lt;&gt;"",ISNUMBER(A89)),VLOOKUP(A89,Studies!A:BR,3,FALSE),"")</f>
        <v>https://www.ncbi.nlm.nih.gov/pubmed/9545149</v>
      </c>
      <c r="D89" s="228" t="str">
        <f>IF(AND(A89&lt;&gt;"",ISNUMBER(A89)),VLOOKUP(A89,Studies!A:BR,4,FALSE),"")</f>
        <v>day 15 fasted</v>
      </c>
      <c r="E89" s="188" t="str">
        <f>IF(AND(A89&lt;&gt;"",ISNUMBER(A89)),VLOOKUP(A89,Studies!A:BR,5,FALSE),"")</f>
        <v>Hydroxy-Itraconazole</v>
      </c>
      <c r="F89" s="79" t="s">
        <v>149</v>
      </c>
      <c r="G89" s="78">
        <f t="shared" si="1"/>
        <v>1</v>
      </c>
    </row>
    <row r="90" spans="1:7" x14ac:dyDescent="0.2">
      <c r="A90" s="110">
        <v>89</v>
      </c>
      <c r="B90" s="188" t="str">
        <f>IF(AND(A90&lt;&gt;"",ISNUMBER(A90)),VLOOKUP(A90,Studies!A:BR,2,FALSE),"")</f>
        <v>Barone 1998a</v>
      </c>
      <c r="C90" s="188" t="str">
        <f>IF(AND(A90&lt;&gt;"",ISNUMBER(A90)),VLOOKUP(A90,Studies!A:BR,3,FALSE),"")</f>
        <v>https://www.ncbi.nlm.nih.gov/pubmed/9545149</v>
      </c>
      <c r="D90" s="228" t="str">
        <f>IF(AND(A90&lt;&gt;"",ISNUMBER(A90)),VLOOKUP(A90,Studies!A:BR,4,FALSE),"")</f>
        <v>day 1 fed</v>
      </c>
      <c r="E90" s="188" t="str">
        <f>IF(AND(A90&lt;&gt;"",ISNUMBER(A90)),VLOOKUP(A90,Studies!A:BR,5,FALSE),"")</f>
        <v>Itraconazole</v>
      </c>
      <c r="F90" s="79" t="s">
        <v>149</v>
      </c>
      <c r="G90" s="78">
        <f t="shared" si="1"/>
        <v>1</v>
      </c>
    </row>
    <row r="91" spans="1:7" x14ac:dyDescent="0.2">
      <c r="A91" s="110">
        <v>90</v>
      </c>
      <c r="B91" s="188" t="str">
        <f>IF(AND(A91&lt;&gt;"",ISNUMBER(A91)),VLOOKUP(A91,Studies!A:BR,2,FALSE),"")</f>
        <v>Barone 1998a</v>
      </c>
      <c r="C91" s="188" t="str">
        <f>IF(AND(A91&lt;&gt;"",ISNUMBER(A91)),VLOOKUP(A91,Studies!A:BR,3,FALSE),"")</f>
        <v>https://www.ncbi.nlm.nih.gov/pubmed/9545149</v>
      </c>
      <c r="D91" s="228" t="str">
        <f>IF(AND(A91&lt;&gt;"",ISNUMBER(A91)),VLOOKUP(A91,Studies!A:BR,4,FALSE),"")</f>
        <v>day 1 fed</v>
      </c>
      <c r="E91" s="188" t="str">
        <f>IF(AND(A91&lt;&gt;"",ISNUMBER(A91)),VLOOKUP(A91,Studies!A:BR,5,FALSE),"")</f>
        <v>Hydroxy-Itraconazole</v>
      </c>
      <c r="F91" s="79" t="s">
        <v>149</v>
      </c>
      <c r="G91" s="78">
        <f t="shared" si="1"/>
        <v>1</v>
      </c>
    </row>
    <row r="92" spans="1:7" x14ac:dyDescent="0.2">
      <c r="A92" s="110">
        <v>91</v>
      </c>
      <c r="B92" s="188" t="str">
        <f>IF(AND(A92&lt;&gt;"",ISNUMBER(A92)),VLOOKUP(A92,Studies!A:BR,2,FALSE),"")</f>
        <v>Barone 1998a</v>
      </c>
      <c r="C92" s="188" t="str">
        <f>IF(AND(A92&lt;&gt;"",ISNUMBER(A92)),VLOOKUP(A92,Studies!A:BR,3,FALSE),"")</f>
        <v>https://www.ncbi.nlm.nih.gov/pubmed/9545149</v>
      </c>
      <c r="D92" s="228" t="str">
        <f>IF(AND(A92&lt;&gt;"",ISNUMBER(A92)),VLOOKUP(A92,Studies!A:BR,4,FALSE),"")</f>
        <v>day 15 fed</v>
      </c>
      <c r="E92" s="188" t="str">
        <f>IF(AND(A92&lt;&gt;"",ISNUMBER(A92)),VLOOKUP(A92,Studies!A:BR,5,FALSE),"")</f>
        <v>Itraconazole</v>
      </c>
      <c r="F92" s="79" t="s">
        <v>149</v>
      </c>
      <c r="G92" s="78">
        <f t="shared" si="1"/>
        <v>1</v>
      </c>
    </row>
    <row r="93" spans="1:7" x14ac:dyDescent="0.2">
      <c r="A93" s="110">
        <v>92</v>
      </c>
      <c r="B93" s="188" t="str">
        <f>IF(AND(A93&lt;&gt;"",ISNUMBER(A93)),VLOOKUP(A93,Studies!A:BR,2,FALSE),"")</f>
        <v>Barone 1998a</v>
      </c>
      <c r="C93" s="188" t="str">
        <f>IF(AND(A93&lt;&gt;"",ISNUMBER(A93)),VLOOKUP(A93,Studies!A:BR,3,FALSE),"")</f>
        <v>https://www.ncbi.nlm.nih.gov/pubmed/9545149</v>
      </c>
      <c r="D93" s="228" t="str">
        <f>IF(AND(A93&lt;&gt;"",ISNUMBER(A93)),VLOOKUP(A93,Studies!A:BR,4,FALSE),"")</f>
        <v>day 15 fed</v>
      </c>
      <c r="E93" s="188" t="str">
        <f>IF(AND(A93&lt;&gt;"",ISNUMBER(A93)),VLOOKUP(A93,Studies!A:BR,5,FALSE),"")</f>
        <v>Hydroxy-Itraconazole</v>
      </c>
      <c r="F93" s="79" t="s">
        <v>149</v>
      </c>
      <c r="G93" s="78">
        <f t="shared" si="1"/>
        <v>1</v>
      </c>
    </row>
    <row r="94" spans="1:7" x14ac:dyDescent="0.2">
      <c r="A94" s="110">
        <v>93</v>
      </c>
      <c r="B94" s="188" t="str">
        <f>IF(AND(A94&lt;&gt;"",ISNUMBER(A94)),VLOOKUP(A94,Studies!A:BR,2,FALSE),"")</f>
        <v>Barone 1998b</v>
      </c>
      <c r="C94" s="188" t="str">
        <f>IF(AND(A94&lt;&gt;"",ISNUMBER(A94)),VLOOKUP(A94,Studies!A:BR,3,FALSE),"")</f>
        <v>https://www.ncbi.nlm.nih.gov/pubmed/9661037</v>
      </c>
      <c r="D94" s="228" t="str">
        <f>IF(AND(A94&lt;&gt;"",ISNUMBER(A94)),VLOOKUP(A94,Studies!A:BR,4,FALSE),"")</f>
        <v>Solution</v>
      </c>
      <c r="E94" s="188" t="str">
        <f>IF(AND(A94&lt;&gt;"",ISNUMBER(A94)),VLOOKUP(A94,Studies!A:BR,5,FALSE),"")</f>
        <v>Itraconazole</v>
      </c>
      <c r="F94" s="79" t="s">
        <v>149</v>
      </c>
      <c r="G94" s="78">
        <f t="shared" ref="G94:G101" si="2">A94-A93</f>
        <v>1</v>
      </c>
    </row>
    <row r="95" spans="1:7" x14ac:dyDescent="0.2">
      <c r="A95" s="110">
        <v>94</v>
      </c>
      <c r="B95" s="188" t="str">
        <f>IF(AND(A95&lt;&gt;"",ISNUMBER(A95)),VLOOKUP(A95,Studies!A:BR,2,FALSE),"")</f>
        <v>Barone 1998b</v>
      </c>
      <c r="C95" s="188" t="str">
        <f>IF(AND(A95&lt;&gt;"",ISNUMBER(A95)),VLOOKUP(A95,Studies!A:BR,3,FALSE),"")</f>
        <v>https://www.ncbi.nlm.nih.gov/pubmed/9661037</v>
      </c>
      <c r="D95" s="228" t="str">
        <f>IF(AND(A95&lt;&gt;"",ISNUMBER(A95)),VLOOKUP(A95,Studies!A:BR,4,FALSE),"")</f>
        <v>Solution</v>
      </c>
      <c r="E95" s="188" t="str">
        <f>IF(AND(A95&lt;&gt;"",ISNUMBER(A95)),VLOOKUP(A95,Studies!A:BR,5,FALSE),"")</f>
        <v>Hydroxy-Itraconazole</v>
      </c>
      <c r="F95" s="79" t="s">
        <v>149</v>
      </c>
      <c r="G95" s="78">
        <f t="shared" si="2"/>
        <v>1</v>
      </c>
    </row>
    <row r="96" spans="1:7" x14ac:dyDescent="0.2">
      <c r="A96" s="110">
        <v>95</v>
      </c>
      <c r="B96" s="188" t="str">
        <f>IF(AND(A96&lt;&gt;"",ISNUMBER(A96)),VLOOKUP(A96,Studies!A:BR,2,FALSE),"")</f>
        <v>Barone 1998b</v>
      </c>
      <c r="C96" s="188" t="str">
        <f>IF(AND(A96&lt;&gt;"",ISNUMBER(A96)),VLOOKUP(A96,Studies!A:BR,3,FALSE),"")</f>
        <v>https://www.ncbi.nlm.nih.gov/pubmed/9661037</v>
      </c>
      <c r="D96" s="228" t="str">
        <f>IF(AND(A96&lt;&gt;"",ISNUMBER(A96)),VLOOKUP(A96,Studies!A:BR,4,FALSE),"")</f>
        <v>F05 Capsule</v>
      </c>
      <c r="E96" s="188" t="str">
        <f>IF(AND(A96&lt;&gt;"",ISNUMBER(A96)),VLOOKUP(A96,Studies!A:BR,5,FALSE),"")</f>
        <v>Itraconazole</v>
      </c>
      <c r="F96" s="79" t="s">
        <v>149</v>
      </c>
      <c r="G96" s="78">
        <f t="shared" si="2"/>
        <v>1</v>
      </c>
    </row>
    <row r="97" spans="1:7" x14ac:dyDescent="0.2">
      <c r="A97" s="110">
        <v>96</v>
      </c>
      <c r="B97" s="188" t="str">
        <f>IF(AND(A97&lt;&gt;"",ISNUMBER(A97)),VLOOKUP(A97,Studies!A:BR,2,FALSE),"")</f>
        <v>Barone 1998b</v>
      </c>
      <c r="C97" s="188" t="str">
        <f>IF(AND(A97&lt;&gt;"",ISNUMBER(A97)),VLOOKUP(A97,Studies!A:BR,3,FALSE),"")</f>
        <v>https://www.ncbi.nlm.nih.gov/pubmed/9661037</v>
      </c>
      <c r="D97" s="228" t="str">
        <f>IF(AND(A97&lt;&gt;"",ISNUMBER(A97)),VLOOKUP(A97,Studies!A:BR,4,FALSE),"")</f>
        <v>F05 Capsule</v>
      </c>
      <c r="E97" s="188" t="str">
        <f>IF(AND(A97&lt;&gt;"",ISNUMBER(A97)),VLOOKUP(A97,Studies!A:BR,5,FALSE),"")</f>
        <v>Hydroxy-Itraconazole</v>
      </c>
      <c r="F97" s="79" t="s">
        <v>149</v>
      </c>
      <c r="G97" s="78">
        <f t="shared" si="2"/>
        <v>1</v>
      </c>
    </row>
    <row r="98" spans="1:7" x14ac:dyDescent="0.2">
      <c r="A98" s="110">
        <v>97</v>
      </c>
      <c r="B98" s="188" t="str">
        <f>IF(AND(A98&lt;&gt;"",ISNUMBER(A98)),VLOOKUP(A98,Studies!A:BR,2,FALSE),"")</f>
        <v>Barone 1998b</v>
      </c>
      <c r="C98" s="188" t="str">
        <f>IF(AND(A98&lt;&gt;"",ISNUMBER(A98)),VLOOKUP(A98,Studies!A:BR,3,FALSE),"")</f>
        <v>https://www.ncbi.nlm.nih.gov/pubmed/9661037</v>
      </c>
      <c r="D98" s="228" t="str">
        <f>IF(AND(A98&lt;&gt;"",ISNUMBER(A98)),VLOOKUP(A98,Studies!A:BR,4,FALSE),"")</f>
        <v>F12 Capsule</v>
      </c>
      <c r="E98" s="188" t="str">
        <f>IF(AND(A98&lt;&gt;"",ISNUMBER(A98)),VLOOKUP(A98,Studies!A:BR,5,FALSE),"")</f>
        <v>Itraconazole</v>
      </c>
      <c r="F98" s="79" t="s">
        <v>149</v>
      </c>
      <c r="G98" s="78">
        <f t="shared" si="2"/>
        <v>1</v>
      </c>
    </row>
    <row r="99" spans="1:7" x14ac:dyDescent="0.2">
      <c r="A99" s="110">
        <v>98</v>
      </c>
      <c r="B99" s="188" t="str">
        <f>IF(AND(A99&lt;&gt;"",ISNUMBER(A99)),VLOOKUP(A99,Studies!A:BR,2,FALSE),"")</f>
        <v>Barone 1998b</v>
      </c>
      <c r="C99" s="188" t="str">
        <f>IF(AND(A99&lt;&gt;"",ISNUMBER(A99)),VLOOKUP(A99,Studies!A:BR,3,FALSE),"")</f>
        <v>https://www.ncbi.nlm.nih.gov/pubmed/9661037</v>
      </c>
      <c r="D99" s="228" t="str">
        <f>IF(AND(A99&lt;&gt;"",ISNUMBER(A99)),VLOOKUP(A99,Studies!A:BR,4,FALSE),"")</f>
        <v>F12 Capsule</v>
      </c>
      <c r="E99" s="188" t="str">
        <f>IF(AND(A99&lt;&gt;"",ISNUMBER(A99)),VLOOKUP(A99,Studies!A:BR,5,FALSE),"")</f>
        <v>Hydroxy-Itraconazole</v>
      </c>
      <c r="F99" s="79" t="s">
        <v>149</v>
      </c>
      <c r="G99" s="78">
        <f t="shared" si="2"/>
        <v>1</v>
      </c>
    </row>
    <row r="100" spans="1:7" x14ac:dyDescent="0.2">
      <c r="A100" s="111">
        <v>99</v>
      </c>
      <c r="B100" s="188" t="str">
        <f>IF(AND(A100&lt;&gt;"",ISNUMBER(A100)),VLOOKUP(A100,Studies!A:BR,2,FALSE),"")</f>
        <v>Belfayol 1996</v>
      </c>
      <c r="C100" s="188" t="str">
        <f>IF(AND(A100&lt;&gt;"",ISNUMBER(A100)),VLOOKUP(A100,Studies!A:BR,3,FALSE),"")</f>
        <v>https://www.ncbi.nlm.nih.gov/pubmed/11866842</v>
      </c>
      <c r="D100" s="228" t="str">
        <f>IF(AND(A100&lt;&gt;"",ISNUMBER(A100)),VLOOKUP(A100,Studies!A:BR,4,FALSE),"")</f>
        <v>mean</v>
      </c>
      <c r="E100" s="188" t="str">
        <f>IF(AND(A100&lt;&gt;"",ISNUMBER(A100)),VLOOKUP(A100,Studies!A:BR,5,FALSE),"")</f>
        <v>Amikacin</v>
      </c>
      <c r="F100" s="79" t="s">
        <v>184</v>
      </c>
      <c r="G100" s="78">
        <f t="shared" si="2"/>
        <v>1</v>
      </c>
    </row>
    <row r="101" spans="1:7" x14ac:dyDescent="0.2">
      <c r="A101" s="110">
        <v>100</v>
      </c>
      <c r="B101" s="188" t="str">
        <f>IF(AND(A101&lt;&gt;"",ISNUMBER(A101)),VLOOKUP(A101,Studies!A:BR,2,FALSE),"")</f>
        <v>Blume 1989</v>
      </c>
      <c r="C101" s="188" t="str">
        <f>IF(AND(A101&lt;&gt;"",ISNUMBER(A101)),VLOOKUP(A101,Studies!A:BR,3,FALSE),"")</f>
        <v>https://doi.org/10.1002/pauz.19900190516</v>
      </c>
      <c r="D101" s="228" t="str">
        <f>IF(AND(A101&lt;&gt;"",ISNUMBER(A101)),VLOOKUP(A101,Studies!A:BR,4,FALSE),"")</f>
        <v>450 mg REFERENZ</v>
      </c>
      <c r="E101" s="188" t="str">
        <f>IF(AND(A101&lt;&gt;"",ISNUMBER(A101)),VLOOKUP(A101,Studies!A:BR,5,FALSE),"")</f>
        <v>Rifampicin</v>
      </c>
      <c r="F101" s="79" t="s">
        <v>54</v>
      </c>
      <c r="G101" s="78">
        <f t="shared" si="2"/>
        <v>1</v>
      </c>
    </row>
    <row r="102" spans="1:7" x14ac:dyDescent="0.2">
      <c r="A102" s="110">
        <v>101</v>
      </c>
      <c r="B102" s="188" t="str">
        <f>IF(AND(A102&lt;&gt;"",ISNUMBER(A102)),VLOOKUP(A102,Studies!A:BR,2,FALSE),"")</f>
        <v>Blume 1989</v>
      </c>
      <c r="C102" s="188" t="str">
        <f>IF(AND(A102&lt;&gt;"",ISNUMBER(A102)),VLOOKUP(A102,Studies!A:BR,3,FALSE),"")</f>
        <v>https://doi.org/10.1002/pauz.19900190516</v>
      </c>
      <c r="D102" s="228" t="str">
        <f>IF(AND(A102&lt;&gt;"",ISNUMBER(A102)),VLOOKUP(A102,Studies!A:BR,4,FALSE),"")</f>
        <v>600 mg REFERENZ</v>
      </c>
      <c r="E102" s="188" t="str">
        <f>IF(AND(A102&lt;&gt;"",ISNUMBER(A102)),VLOOKUP(A102,Studies!A:BR,5,FALSE),"")</f>
        <v>Rifampicin</v>
      </c>
      <c r="F102" s="79" t="s">
        <v>54</v>
      </c>
      <c r="G102" s="78">
        <f t="shared" si="1"/>
        <v>1</v>
      </c>
    </row>
    <row r="103" spans="1:7" x14ac:dyDescent="0.2">
      <c r="A103" s="112">
        <v>102</v>
      </c>
      <c r="B103" s="188" t="str">
        <f>IF(AND(A103&lt;&gt;"",ISNUMBER(A103)),VLOOKUP(A103,Studies!A:BR,2,FALSE),"")</f>
        <v>Boekh 1988</v>
      </c>
      <c r="C103" s="188" t="str">
        <f>IF(AND(A103&lt;&gt;"",ISNUMBER(A103)),VLOOKUP(A103,Studies!A:BR,3,FALSE),"")</f>
        <v>https://www.ncbi.nlm.nih.gov/pubmed/3279907</v>
      </c>
      <c r="D103" s="228" t="str">
        <f>IF(AND(A103&lt;&gt;"",ISNUMBER(A103)),VLOOKUP(A103,Studies!A:BR,4,FALSE),"")</f>
        <v>mean 0.5g</v>
      </c>
      <c r="E103" s="188" t="str">
        <f>IF(AND(A103&lt;&gt;"",ISNUMBER(A103)),VLOOKUP(A103,Studies!A:BR,5,FALSE),"")</f>
        <v>vancomycin</v>
      </c>
      <c r="F103" s="79" t="s">
        <v>1277</v>
      </c>
      <c r="G103" s="78">
        <f t="shared" si="1"/>
        <v>1</v>
      </c>
    </row>
    <row r="104" spans="1:7" x14ac:dyDescent="0.2">
      <c r="A104" s="112">
        <v>103</v>
      </c>
      <c r="B104" s="188" t="str">
        <f>IF(AND(A104&lt;&gt;"",ISNUMBER(A104)),VLOOKUP(A104,Studies!A:BR,2,FALSE),"")</f>
        <v>Boekh 1988</v>
      </c>
      <c r="C104" s="188" t="str">
        <f>IF(AND(A104&lt;&gt;"",ISNUMBER(A104)),VLOOKUP(A104,Studies!A:BR,3,FALSE),"")</f>
        <v>https://www.ncbi.nlm.nih.gov/pubmed/3279907</v>
      </c>
      <c r="D104" s="228" t="str">
        <f>IF(AND(A104&lt;&gt;"",ISNUMBER(A104)),VLOOKUP(A104,Studies!A:BR,4,FALSE),"")</f>
        <v>mean 1g</v>
      </c>
      <c r="E104" s="188" t="str">
        <f>IF(AND(A104&lt;&gt;"",ISNUMBER(A104)),VLOOKUP(A104,Studies!A:BR,5,FALSE),"")</f>
        <v>vancomycin</v>
      </c>
      <c r="F104" s="79" t="s">
        <v>1277</v>
      </c>
      <c r="G104" s="78">
        <f t="shared" si="1"/>
        <v>1</v>
      </c>
    </row>
    <row r="105" spans="1:7" x14ac:dyDescent="0.2">
      <c r="A105" s="110">
        <v>104</v>
      </c>
      <c r="B105" s="188" t="str">
        <f>IF(AND(A105&lt;&gt;"",ISNUMBER(A105)),VLOOKUP(A105,Studies!A:BR,2,FALSE),"")</f>
        <v>Bornemann 1986</v>
      </c>
      <c r="C105" s="188" t="str">
        <f>IF(AND(A105&lt;&gt;"",ISNUMBER(A105)),VLOOKUP(A105,Studies!A:BR,3,FALSE),"")</f>
        <v>https://www.ncbi.nlm.nih.gov/pubmed/2936766</v>
      </c>
      <c r="D105" s="228" t="str">
        <f>IF(AND(A105&lt;&gt;"",ISNUMBER(A105)),VLOOKUP(A105,Studies!A:BR,4,FALSE),"")</f>
        <v>1 h after a meal</v>
      </c>
      <c r="E105" s="188" t="str">
        <f>IF(AND(A105&lt;&gt;"",ISNUMBER(A105)),VLOOKUP(A105,Studies!A:BR,5,FALSE),"")</f>
        <v>Midazolam</v>
      </c>
      <c r="F105" s="79" t="s">
        <v>102</v>
      </c>
      <c r="G105" s="78">
        <f t="shared" si="1"/>
        <v>1</v>
      </c>
    </row>
    <row r="106" spans="1:7" x14ac:dyDescent="0.2">
      <c r="A106" s="110">
        <v>105</v>
      </c>
      <c r="B106" s="188" t="str">
        <f>IF(AND(A106&lt;&gt;"",ISNUMBER(A106)),VLOOKUP(A106,Studies!A:BR,2,FALSE),"")</f>
        <v>Bornemann 1986</v>
      </c>
      <c r="C106" s="188" t="str">
        <f>IF(AND(A106&lt;&gt;"",ISNUMBER(A106)),VLOOKUP(A106,Studies!A:BR,3,FALSE),"")</f>
        <v>https://www.ncbi.nlm.nih.gov/pubmed/2936766</v>
      </c>
      <c r="D106" s="228" t="str">
        <f>IF(AND(A106&lt;&gt;"",ISNUMBER(A106)),VLOOKUP(A106,Studies!A:BR,4,FALSE),"")</f>
        <v>1 h before a meal</v>
      </c>
      <c r="E106" s="188" t="str">
        <f>IF(AND(A106&lt;&gt;"",ISNUMBER(A106)),VLOOKUP(A106,Studies!A:BR,5,FALSE),"")</f>
        <v>Midazolam</v>
      </c>
      <c r="F106" s="79" t="s">
        <v>102</v>
      </c>
      <c r="G106" s="78">
        <f t="shared" si="1"/>
        <v>1</v>
      </c>
    </row>
    <row r="107" spans="1:7" x14ac:dyDescent="0.2">
      <c r="A107" s="110">
        <v>106</v>
      </c>
      <c r="B107" s="188" t="str">
        <f>IF(AND(A107&lt;&gt;"",ISNUMBER(A107)),VLOOKUP(A107,Studies!A:BR,2,FALSE),"")</f>
        <v>Bornemann 1986</v>
      </c>
      <c r="C107" s="188" t="str">
        <f>IF(AND(A107&lt;&gt;"",ISNUMBER(A107)),VLOOKUP(A107,Studies!A:BR,3,FALSE),"")</f>
        <v>https://www.ncbi.nlm.nih.gov/pubmed/2936766</v>
      </c>
      <c r="D107" s="228" t="str">
        <f>IF(AND(A107&lt;&gt;"",ISNUMBER(A107)),VLOOKUP(A107,Studies!A:BR,4,FALSE),"")</f>
        <v>with a meal</v>
      </c>
      <c r="E107" s="188" t="str">
        <f>IF(AND(A107&lt;&gt;"",ISNUMBER(A107)),VLOOKUP(A107,Studies!A:BR,5,FALSE),"")</f>
        <v>Midazolam</v>
      </c>
      <c r="F107" s="79" t="s">
        <v>102</v>
      </c>
      <c r="G107" s="78">
        <f t="shared" si="1"/>
        <v>1</v>
      </c>
    </row>
    <row r="108" spans="1:7" x14ac:dyDescent="0.2">
      <c r="A108" s="110">
        <v>107</v>
      </c>
      <c r="B108" s="188" t="str">
        <f>IF(AND(A108&lt;&gt;"",ISNUMBER(A108)),VLOOKUP(A108,Studies!A:BR,2,FALSE),"")</f>
        <v>Bornemann 1986</v>
      </c>
      <c r="C108" s="188" t="str">
        <f>IF(AND(A108&lt;&gt;"",ISNUMBER(A108)),VLOOKUP(A108,Studies!A:BR,3,FALSE),"")</f>
        <v>https://www.ncbi.nlm.nih.gov/pubmed/2936766</v>
      </c>
      <c r="D108" s="228" t="str">
        <f>IF(AND(A108&lt;&gt;"",ISNUMBER(A108)),VLOOKUP(A108,Studies!A:BR,4,FALSE),"")</f>
        <v>fasting condition</v>
      </c>
      <c r="E108" s="188" t="str">
        <f>IF(AND(A108&lt;&gt;"",ISNUMBER(A108)),VLOOKUP(A108,Studies!A:BR,5,FALSE),"")</f>
        <v>Midazolam</v>
      </c>
      <c r="F108" s="79" t="s">
        <v>102</v>
      </c>
      <c r="G108" s="78">
        <f t="shared" si="1"/>
        <v>1</v>
      </c>
    </row>
    <row r="109" spans="1:7" x14ac:dyDescent="0.2">
      <c r="A109" s="111">
        <v>108</v>
      </c>
      <c r="B109" s="188" t="str">
        <f>IF(AND(A109&lt;&gt;"",ISNUMBER(A109)),VLOOKUP(A109,Studies!A:BR,2,FALSE),"")</f>
        <v>Bovill 1984</v>
      </c>
      <c r="C109" s="188" t="str">
        <f>IF(AND(A109&lt;&gt;"",ISNUMBER(A109)),VLOOKUP(A109,Studies!A:BR,3,FALSE),"")</f>
        <v>https://www.ncbi.nlm.nih.gov/pubmed/6238552</v>
      </c>
      <c r="D109" s="228" t="str">
        <f>IF(AND(A109&lt;&gt;"",ISNUMBER(A109)),VLOOKUP(A109,Studies!A:BR,4,FALSE),"")</f>
        <v>mean</v>
      </c>
      <c r="E109" s="188" t="str">
        <f>IF(AND(A109&lt;&gt;"",ISNUMBER(A109)),VLOOKUP(A109,Studies!A:BR,5,FALSE),"")</f>
        <v>Sufentanil</v>
      </c>
      <c r="F109" s="79" t="s">
        <v>213</v>
      </c>
      <c r="G109" s="78">
        <f t="shared" si="1"/>
        <v>1</v>
      </c>
    </row>
    <row r="110" spans="1:7" x14ac:dyDescent="0.2">
      <c r="A110" s="110">
        <v>109</v>
      </c>
      <c r="B110" s="188" t="str">
        <f>IF(AND(A110&lt;&gt;"",ISNUMBER(A110)),VLOOKUP(A110,Studies!A:BR,2,FALSE),"")</f>
        <v>Burger 2006</v>
      </c>
      <c r="C110" s="188" t="str">
        <f>IF(AND(A110&lt;&gt;"",ISNUMBER(A110)),VLOOKUP(A110,Studies!A:BR,3,FALSE),"")</f>
        <v>https://www.ncbi.nlm.nih.gov/pubmed/17005814</v>
      </c>
      <c r="D110" s="228" t="str">
        <f>IF(AND(A110&lt;&gt;"",ISNUMBER(A110)),VLOOKUP(A110,Studies!A:BR,4,FALSE),"")</f>
        <v>Rifampin alone</v>
      </c>
      <c r="E110" s="188" t="str">
        <f>IF(AND(A110&lt;&gt;"",ISNUMBER(A110)),VLOOKUP(A110,Studies!A:BR,5,FALSE),"")</f>
        <v>Rifampicin</v>
      </c>
      <c r="F110" s="79" t="s">
        <v>54</v>
      </c>
      <c r="G110" s="78">
        <f t="shared" si="1"/>
        <v>1</v>
      </c>
    </row>
    <row r="111" spans="1:7" x14ac:dyDescent="0.2">
      <c r="A111" s="110">
        <v>110</v>
      </c>
      <c r="B111" s="188" t="str">
        <f>IF(AND(A111&lt;&gt;"",ISNUMBER(A111)),VLOOKUP(A111,Studies!A:BR,2,FALSE),"")</f>
        <v>Chouchane 1995</v>
      </c>
      <c r="C111" s="188" t="str">
        <f>IF(AND(A111&lt;&gt;"",ISNUMBER(A111)),VLOOKUP(A111,Studies!A:BR,3,FALSE),"")</f>
        <v>https://www.ncbi.nlm.nih.gov/pubmed/8983939</v>
      </c>
      <c r="D111" s="228" t="str">
        <f>IF(AND(A111&lt;&gt;"",ISNUMBER(A111)),VLOOKUP(A111,Studies!A:BR,4,FALSE),"")</f>
        <v>Rimactan</v>
      </c>
      <c r="E111" s="188" t="str">
        <f>IF(AND(A111&lt;&gt;"",ISNUMBER(A111)),VLOOKUP(A111,Studies!A:BR,5,FALSE),"")</f>
        <v>Rifampicin</v>
      </c>
      <c r="F111" s="79" t="s">
        <v>54</v>
      </c>
      <c r="G111" s="78">
        <f t="shared" si="1"/>
        <v>1</v>
      </c>
    </row>
    <row r="112" spans="1:7" x14ac:dyDescent="0.2">
      <c r="A112" s="110">
        <v>111</v>
      </c>
      <c r="B112" s="188" t="str">
        <f>IF(AND(A112&lt;&gt;"",ISNUMBER(A112)),VLOOKUP(A112,Studies!A:BR,2,FALSE),"")</f>
        <v>Chouchane 1995</v>
      </c>
      <c r="C112" s="188" t="str">
        <f>IF(AND(A112&lt;&gt;"",ISNUMBER(A112)),VLOOKUP(A112,Studies!A:BR,3,FALSE),"")</f>
        <v>https://www.ncbi.nlm.nih.gov/pubmed/8983939</v>
      </c>
      <c r="D112" s="228" t="str">
        <f>IF(AND(A112&lt;&gt;"",ISNUMBER(A112)),VLOOKUP(A112,Studies!A:BR,4,FALSE),"")</f>
        <v>Rifampicin Generic</v>
      </c>
      <c r="E112" s="188" t="str">
        <f>IF(AND(A112&lt;&gt;"",ISNUMBER(A112)),VLOOKUP(A112,Studies!A:BR,5,FALSE),"")</f>
        <v>Rifampicin</v>
      </c>
      <c r="F112" s="79" t="s">
        <v>54</v>
      </c>
      <c r="G112" s="78">
        <f t="shared" si="1"/>
        <v>1</v>
      </c>
    </row>
    <row r="113" spans="1:7" x14ac:dyDescent="0.2">
      <c r="A113" s="110">
        <v>112</v>
      </c>
      <c r="B113" s="188" t="str">
        <f>IF(AND(A113&lt;&gt;"",ISNUMBER(A113)),VLOOKUP(A113,Studies!A:BR,2,FALSE),"")</f>
        <v>Chung 2006</v>
      </c>
      <c r="C113" s="188" t="str">
        <f>IF(AND(A113&lt;&gt;"",ISNUMBER(A113)),VLOOKUP(A113,Studies!A:BR,3,FALSE),"")</f>
        <v>https://www.ncbi.nlm.nih.gov/pubmed/16580903</v>
      </c>
      <c r="D113" s="228" t="str">
        <f>IF(AND(A113&lt;&gt;"",ISNUMBER(A113)),VLOOKUP(A113,Studies!A:BR,4,FALSE),"")</f>
        <v>Control (Perpetrator Placebo)</v>
      </c>
      <c r="E113" s="188" t="str">
        <f>IF(AND(A113&lt;&gt;"",ISNUMBER(A113)),VLOOKUP(A113,Studies!A:BR,5,FALSE),"")</f>
        <v>Midazolam</v>
      </c>
      <c r="F113" s="79" t="s">
        <v>1374</v>
      </c>
      <c r="G113" s="78">
        <f t="shared" si="1"/>
        <v>1</v>
      </c>
    </row>
    <row r="114" spans="1:7" x14ac:dyDescent="0.2">
      <c r="A114" s="110">
        <v>113</v>
      </c>
      <c r="B114" s="188" t="str">
        <f>IF(AND(A114&lt;&gt;"",ISNUMBER(A114)),VLOOKUP(A114,Studies!A:BR,2,FALSE),"")</f>
        <v>Chung 2006</v>
      </c>
      <c r="C114" s="188" t="str">
        <f>IF(AND(A114&lt;&gt;"",ISNUMBER(A114)),VLOOKUP(A114,Studies!A:BR,3,FALSE),"")</f>
        <v>https://www.ncbi.nlm.nih.gov/pubmed/16580903</v>
      </c>
      <c r="D114" s="228" t="str">
        <f>IF(AND(A114&lt;&gt;"",ISNUMBER(A114)),VLOOKUP(A114,Studies!A:BR,4,FALSE),"")</f>
        <v>with Perpetrator (Rifampicin)</v>
      </c>
      <c r="E114" s="188" t="str">
        <f>IF(AND(A114&lt;&gt;"",ISNUMBER(A114)),VLOOKUP(A114,Studies!A:BR,5,FALSE),"")</f>
        <v>Midazolam</v>
      </c>
      <c r="F114" s="79" t="s">
        <v>1372</v>
      </c>
      <c r="G114" s="78">
        <f t="shared" si="1"/>
        <v>1</v>
      </c>
    </row>
    <row r="115" spans="1:7" x14ac:dyDescent="0.2">
      <c r="A115" s="110">
        <v>114</v>
      </c>
      <c r="B115" s="188" t="str">
        <f>IF(AND(A115&lt;&gt;"",ISNUMBER(A115)),VLOOKUP(A115,Studies!A:BR,2,FALSE),"")</f>
        <v>Chung 2006</v>
      </c>
      <c r="C115" s="188" t="str">
        <f>IF(AND(A115&lt;&gt;"",ISNUMBER(A115)),VLOOKUP(A115,Studies!A:BR,3,FALSE),"")</f>
        <v>https://www.ncbi.nlm.nih.gov/pubmed/16580903</v>
      </c>
      <c r="D115" s="228" t="str">
        <f>IF(AND(A115&lt;&gt;"",ISNUMBER(A115)),VLOOKUP(A115,Studies!A:BR,4,FALSE),"")</f>
        <v>with Perpetrator (Ketoconazole)</v>
      </c>
      <c r="E115" s="188" t="str">
        <f>IF(AND(A115&lt;&gt;"",ISNUMBER(A115)),VLOOKUP(A115,Studies!A:BR,5,FALSE),"")</f>
        <v>Midazolam</v>
      </c>
      <c r="F115" s="79" t="s">
        <v>1375</v>
      </c>
      <c r="G115" s="78">
        <f t="shared" si="1"/>
        <v>1</v>
      </c>
    </row>
    <row r="116" spans="1:7" x14ac:dyDescent="0.2">
      <c r="A116" s="110">
        <v>115</v>
      </c>
      <c r="B116" s="188" t="str">
        <f>IF(AND(A116&lt;&gt;"",ISNUMBER(A116)),VLOOKUP(A116,Studies!A:BR,2,FALSE),"")</f>
        <v>Chung 2006</v>
      </c>
      <c r="C116" s="188" t="str">
        <f>IF(AND(A116&lt;&gt;"",ISNUMBER(A116)),VLOOKUP(A116,Studies!A:BR,3,FALSE),"")</f>
        <v>https://www.ncbi.nlm.nih.gov/pubmed/16580903</v>
      </c>
      <c r="D116" s="228" t="str">
        <f>IF(AND(A116&lt;&gt;"",ISNUMBER(A116)),VLOOKUP(A116,Studies!A:BR,4,FALSE),"")</f>
        <v>Control (Perpetrator Placebo)</v>
      </c>
      <c r="E116" s="188" t="str">
        <f>IF(AND(A116&lt;&gt;"",ISNUMBER(A116)),VLOOKUP(A116,Studies!A:BR,5,FALSE),"")</f>
        <v>Simvastatin</v>
      </c>
      <c r="F116" s="79" t="s">
        <v>228</v>
      </c>
      <c r="G116" s="78">
        <f t="shared" si="1"/>
        <v>1</v>
      </c>
    </row>
    <row r="117" spans="1:7" x14ac:dyDescent="0.2">
      <c r="A117" s="110">
        <v>116</v>
      </c>
      <c r="B117" s="188" t="str">
        <f>IF(AND(A117&lt;&gt;"",ISNUMBER(A117)),VLOOKUP(A117,Studies!A:BR,2,FALSE),"")</f>
        <v>Chung 2006</v>
      </c>
      <c r="C117" s="188" t="str">
        <f>IF(AND(A117&lt;&gt;"",ISNUMBER(A117)),VLOOKUP(A117,Studies!A:BR,3,FALSE),"")</f>
        <v>https://www.ncbi.nlm.nih.gov/pubmed/16580903</v>
      </c>
      <c r="D117" s="228" t="str">
        <f>IF(AND(A117&lt;&gt;"",ISNUMBER(A117)),VLOOKUP(A117,Studies!A:BR,4,FALSE),"")</f>
        <v>with Perpetrator (Rifampicin)</v>
      </c>
      <c r="E117" s="188" t="str">
        <f>IF(AND(A117&lt;&gt;"",ISNUMBER(A117)),VLOOKUP(A117,Studies!A:BR,5,FALSE),"")</f>
        <v>Simvastatin</v>
      </c>
      <c r="F117" s="79" t="s">
        <v>228</v>
      </c>
      <c r="G117" s="78">
        <f t="shared" si="1"/>
        <v>1</v>
      </c>
    </row>
    <row r="118" spans="1:7" x14ac:dyDescent="0.2">
      <c r="A118" s="110">
        <v>117</v>
      </c>
      <c r="B118" s="188" t="str">
        <f>IF(AND(A118&lt;&gt;"",ISNUMBER(A118)),VLOOKUP(A118,Studies!A:BR,2,FALSE),"")</f>
        <v>Chung 2006</v>
      </c>
      <c r="C118" s="188" t="str">
        <f>IF(AND(A118&lt;&gt;"",ISNUMBER(A118)),VLOOKUP(A118,Studies!A:BR,3,FALSE),"")</f>
        <v>https://www.ncbi.nlm.nih.gov/pubmed/16580903</v>
      </c>
      <c r="D118" s="228" t="str">
        <f>IF(AND(A118&lt;&gt;"",ISNUMBER(A118)),VLOOKUP(A118,Studies!A:BR,4,FALSE),"")</f>
        <v>with Perpetrator (Ketoconazole)</v>
      </c>
      <c r="E118" s="188" t="str">
        <f>IF(AND(A118&lt;&gt;"",ISNUMBER(A118)),VLOOKUP(A118,Studies!A:BR,5,FALSE),"")</f>
        <v>Simvastatin</v>
      </c>
      <c r="F118" s="79" t="s">
        <v>228</v>
      </c>
      <c r="G118" s="78">
        <f t="shared" si="1"/>
        <v>1</v>
      </c>
    </row>
    <row r="119" spans="1:7" x14ac:dyDescent="0.2">
      <c r="A119" s="110">
        <v>118</v>
      </c>
      <c r="B119" s="188" t="str">
        <f>IF(AND(A119&lt;&gt;"",ISNUMBER(A119)),VLOOKUP(A119,Studies!A:BR,2,FALSE),"")</f>
        <v>Darwish 2008</v>
      </c>
      <c r="C119" s="188" t="str">
        <f>IF(AND(A119&lt;&gt;"",ISNUMBER(A119)),VLOOKUP(A119,Studies!A:BR,3,FALSE),"")</f>
        <v>https://www.ncbi.nlm.nih.gov/pubmed/18076219</v>
      </c>
      <c r="D119" s="228" t="str">
        <f>IF(AND(A119&lt;&gt;"",ISNUMBER(A119)),VLOOKUP(A119,Studies!A:BR,4,FALSE),"")</f>
        <v>oral</v>
      </c>
      <c r="E119" s="188" t="str">
        <f>IF(AND(A119&lt;&gt;"",ISNUMBER(A119)),VLOOKUP(A119,Studies!A:BR,5,FALSE),"")</f>
        <v>Midazolam</v>
      </c>
      <c r="F119" s="79" t="s">
        <v>102</v>
      </c>
      <c r="G119" s="78">
        <f t="shared" si="1"/>
        <v>1</v>
      </c>
    </row>
    <row r="120" spans="1:7" x14ac:dyDescent="0.2">
      <c r="A120" s="110">
        <v>119</v>
      </c>
      <c r="B120" s="188" t="str">
        <f>IF(AND(A120&lt;&gt;"",ISNUMBER(A120)),VLOOKUP(A120,Studies!A:BR,2,FALSE),"")</f>
        <v>Darwish 2008</v>
      </c>
      <c r="C120" s="188" t="str">
        <f>IF(AND(A120&lt;&gt;"",ISNUMBER(A120)),VLOOKUP(A120,Studies!A:BR,3,FALSE),"")</f>
        <v xml:space="preserve">https://www.ncbi.nlm.nih.gov/pubmed/18076219 </v>
      </c>
      <c r="D120" s="228" t="str">
        <f>IF(AND(A120&lt;&gt;"",ISNUMBER(A120)),VLOOKUP(A120,Studies!A:BR,4,FALSE),"")</f>
        <v>iv</v>
      </c>
      <c r="E120" s="188" t="str">
        <f>IF(AND(A120&lt;&gt;"",ISNUMBER(A120)),VLOOKUP(A120,Studies!A:BR,5,FALSE),"")</f>
        <v>Midazolam</v>
      </c>
      <c r="F120" s="79" t="s">
        <v>102</v>
      </c>
      <c r="G120" s="78">
        <f t="shared" si="1"/>
        <v>1</v>
      </c>
    </row>
    <row r="121" spans="1:7" x14ac:dyDescent="0.2">
      <c r="A121" s="110">
        <v>120</v>
      </c>
      <c r="B121" s="188" t="str">
        <f>IF(AND(A121&lt;&gt;"",ISNUMBER(A121)),VLOOKUP(A121,Studies!A:BR,2,FALSE),"")</f>
        <v>Darwish 2008</v>
      </c>
      <c r="C121" s="188" t="str">
        <f>IF(AND(A121&lt;&gt;"",ISNUMBER(A121)),VLOOKUP(A121,Studies!A:BR,3,FALSE),"")</f>
        <v xml:space="preserve">https://www.ncbi.nlm.nih.gov/pubmed/18076219 </v>
      </c>
      <c r="D121" s="228" t="str">
        <f>IF(AND(A121&lt;&gt;"",ISNUMBER(A121)),VLOOKUP(A121,Studies!A:BR,4,FALSE),"")</f>
        <v>oral</v>
      </c>
      <c r="E121" s="188" t="str">
        <f>IF(AND(A121&lt;&gt;"",ISNUMBER(A121)),VLOOKUP(A121,Studies!A:BR,5,FALSE),"")</f>
        <v>Caffeine</v>
      </c>
      <c r="F121" s="79" t="s">
        <v>747</v>
      </c>
      <c r="G121" s="78">
        <f t="shared" si="1"/>
        <v>1</v>
      </c>
    </row>
    <row r="122" spans="1:7" x14ac:dyDescent="0.2">
      <c r="A122" s="111">
        <v>121</v>
      </c>
      <c r="B122" s="188" t="str">
        <f>IF(AND(A122&lt;&gt;"",ISNUMBER(A122)),VLOOKUP(A122,Studies!A:BR,2,FALSE),"")</f>
        <v>Davis 1987</v>
      </c>
      <c r="C122" s="188" t="str">
        <f>IF(AND(A122&lt;&gt;"",ISNUMBER(A122)),VLOOKUP(A122,Studies!A:BR,3,FALSE),"")</f>
        <v>https://www.ncbi.nlm.nih.gov/pubmed/2950809</v>
      </c>
      <c r="D122" s="228" t="str">
        <f>IF(AND(A122&lt;&gt;"",ISNUMBER(A122)),VLOOKUP(A122,Studies!A:BR,4,FALSE),"")</f>
        <v>mean</v>
      </c>
      <c r="E122" s="188" t="str">
        <f>IF(AND(A122&lt;&gt;"",ISNUMBER(A122)),VLOOKUP(A122,Studies!A:BR,5,FALSE),"")</f>
        <v>Sufentanil</v>
      </c>
      <c r="F122" s="79" t="s">
        <v>213</v>
      </c>
      <c r="G122" s="78">
        <f t="shared" si="1"/>
        <v>1</v>
      </c>
    </row>
    <row r="123" spans="1:7" x14ac:dyDescent="0.2">
      <c r="A123" s="111">
        <v>122</v>
      </c>
      <c r="B123" s="188" t="str">
        <f>IF(AND(A123&lt;&gt;"",ISNUMBER(A123)),VLOOKUP(A123,Studies!A:BR,2,FALSE),"")</f>
        <v>Davis 1987</v>
      </c>
      <c r="C123" s="188" t="str">
        <f>IF(AND(A123&lt;&gt;"",ISNUMBER(A123)),VLOOKUP(A123,Studies!A:BR,3,FALSE),"")</f>
        <v>https://www.ncbi.nlm.nih.gov/pubmed/2950809</v>
      </c>
      <c r="D123" s="228" t="str">
        <f>IF(AND(A123&lt;&gt;"",ISNUMBER(A123)),VLOOKUP(A123,Studies!A:BR,4,FALSE),"")</f>
        <v>mean</v>
      </c>
      <c r="E123" s="188" t="str">
        <f>IF(AND(A123&lt;&gt;"",ISNUMBER(A123)),VLOOKUP(A123,Studies!A:BR,5,FALSE),"")</f>
        <v>Sufentanil</v>
      </c>
      <c r="F123" s="79" t="s">
        <v>213</v>
      </c>
      <c r="G123" s="78">
        <f t="shared" si="1"/>
        <v>1</v>
      </c>
    </row>
    <row r="124" spans="1:7" x14ac:dyDescent="0.2">
      <c r="A124" s="80">
        <v>123</v>
      </c>
      <c r="B124" s="188" t="str">
        <f>IF(AND(A124&lt;&gt;"",ISNUMBER(A124)),VLOOKUP(A124,Studies!A:BR,2,FALSE),"")</f>
        <v>Dockens 2006</v>
      </c>
      <c r="C124" s="188" t="str">
        <f>IF(AND(A124&lt;&gt;"",ISNUMBER(A124)),VLOOKUP(A124,Studies!A:BR,3,FALSE),"")</f>
        <v>https://www.ncbi.nlm.nih.gov/pubmed/17050795</v>
      </c>
      <c r="D124" s="228" t="str">
        <f>IF(AND(A124&lt;&gt;"",ISNUMBER(A124)),VLOOKUP(A124,Studies!A:BR,4,FALSE),"")</f>
        <v>Day 5</v>
      </c>
      <c r="E124" s="188" t="str">
        <f>IF(AND(A124&lt;&gt;"",ISNUMBER(A124)),VLOOKUP(A124,Studies!A:BR,5,FALSE),"")</f>
        <v>Buspirone</v>
      </c>
      <c r="F124" s="79" t="s">
        <v>111</v>
      </c>
      <c r="G124" s="78">
        <f t="shared" si="1"/>
        <v>1</v>
      </c>
    </row>
    <row r="125" spans="1:7" x14ac:dyDescent="0.2">
      <c r="A125" s="80">
        <v>124</v>
      </c>
      <c r="B125" s="188" t="str">
        <f>IF(AND(A125&lt;&gt;"",ISNUMBER(A125)),VLOOKUP(A125,Studies!A:BR,2,FALSE),"")</f>
        <v>Dockens 2006</v>
      </c>
      <c r="C125" s="188" t="str">
        <f>IF(AND(A125&lt;&gt;"",ISNUMBER(A125)),VLOOKUP(A125,Studies!A:BR,3,FALSE),"")</f>
        <v>https://www.ncbi.nlm.nih.gov/pubmed/17050795</v>
      </c>
      <c r="D125" s="228" t="str">
        <f>IF(AND(A125&lt;&gt;"",ISNUMBER(A125)),VLOOKUP(A125,Studies!A:BR,4,FALSE),"")</f>
        <v>Day 10</v>
      </c>
      <c r="E125" s="188" t="str">
        <f>IF(AND(A125&lt;&gt;"",ISNUMBER(A125)),VLOOKUP(A125,Studies!A:BR,5,FALSE),"")</f>
        <v>Buspirone</v>
      </c>
      <c r="F125" s="79" t="s">
        <v>111</v>
      </c>
      <c r="G125" s="78">
        <f t="shared" si="1"/>
        <v>1</v>
      </c>
    </row>
    <row r="126" spans="1:7" x14ac:dyDescent="0.2">
      <c r="A126" s="80">
        <v>125</v>
      </c>
      <c r="B126" s="188" t="str">
        <f>IF(AND(A126&lt;&gt;"",ISNUMBER(A126)),VLOOKUP(A126,Studies!A:BR,2,FALSE),"")</f>
        <v>Dockens 2006</v>
      </c>
      <c r="C126" s="188" t="str">
        <f>IF(AND(A126&lt;&gt;"",ISNUMBER(A126)),VLOOKUP(A126,Studies!A:BR,3,FALSE),"")</f>
        <v>https://www.ncbi.nlm.nih.gov/pubmed/17050795</v>
      </c>
      <c r="D126" s="228" t="str">
        <f>IF(AND(A126&lt;&gt;"",ISNUMBER(A126)),VLOOKUP(A126,Studies!A:BR,4,FALSE),"")</f>
        <v>Day 15</v>
      </c>
      <c r="E126" s="188" t="str">
        <f>IF(AND(A126&lt;&gt;"",ISNUMBER(A126)),VLOOKUP(A126,Studies!A:BR,5,FALSE),"")</f>
        <v>Buspirone</v>
      </c>
      <c r="F126" s="79" t="s">
        <v>111</v>
      </c>
      <c r="G126" s="78">
        <f t="shared" si="1"/>
        <v>1</v>
      </c>
    </row>
    <row r="127" spans="1:7" x14ac:dyDescent="0.2">
      <c r="A127" s="80">
        <v>126</v>
      </c>
      <c r="B127" s="188" t="str">
        <f>IF(AND(A127&lt;&gt;"",ISNUMBER(A127)),VLOOKUP(A127,Studies!A:BR,2,FALSE),"")</f>
        <v>Dockens 2006</v>
      </c>
      <c r="C127" s="188" t="str">
        <f>IF(AND(A127&lt;&gt;"",ISNUMBER(A127)),VLOOKUP(A127,Studies!A:BR,3,FALSE),"")</f>
        <v>https://www.ncbi.nlm.nih.gov/pubmed/17050795</v>
      </c>
      <c r="D127" s="228" t="str">
        <f>IF(AND(A127&lt;&gt;"",ISNUMBER(A127)),VLOOKUP(A127,Studies!A:BR,4,FALSE),"")</f>
        <v>Day 20</v>
      </c>
      <c r="E127" s="188" t="str">
        <f>IF(AND(A127&lt;&gt;"",ISNUMBER(A127)),VLOOKUP(A127,Studies!A:BR,5,FALSE),"")</f>
        <v>Buspirone</v>
      </c>
      <c r="F127" s="79" t="s">
        <v>111</v>
      </c>
      <c r="G127" s="78">
        <f t="shared" si="1"/>
        <v>1</v>
      </c>
    </row>
    <row r="128" spans="1:7" x14ac:dyDescent="0.2">
      <c r="A128" s="80">
        <v>127</v>
      </c>
      <c r="B128" s="188" t="str">
        <f>IF(AND(A128&lt;&gt;"",ISNUMBER(A128)),VLOOKUP(A128,Studies!A:BR,2,FALSE),"")</f>
        <v>Dockens 2006</v>
      </c>
      <c r="C128" s="188" t="str">
        <f>IF(AND(A128&lt;&gt;"",ISNUMBER(A128)),VLOOKUP(A128,Studies!A:BR,3,FALSE),"")</f>
        <v>https://www.ncbi.nlm.nih.gov/pubmed/17050795</v>
      </c>
      <c r="D128" s="228" t="str">
        <f>IF(AND(A128&lt;&gt;"",ISNUMBER(A128)),VLOOKUP(A128,Studies!A:BR,4,FALSE),"")</f>
        <v>Day 25</v>
      </c>
      <c r="E128" s="188" t="str">
        <f>IF(AND(A128&lt;&gt;"",ISNUMBER(A128)),VLOOKUP(A128,Studies!A:BR,5,FALSE),"")</f>
        <v>Buspirone</v>
      </c>
      <c r="F128" s="79" t="s">
        <v>111</v>
      </c>
      <c r="G128" s="78">
        <f t="shared" si="1"/>
        <v>1</v>
      </c>
    </row>
    <row r="129" spans="1:7" x14ac:dyDescent="0.2">
      <c r="A129" s="110">
        <v>128</v>
      </c>
      <c r="B129" s="188" t="str">
        <f>IF(AND(A129&lt;&gt;"",ISNUMBER(A129)),VLOOKUP(A129,Studies!A:BR,2,FALSE),"")</f>
        <v>Eap 2004</v>
      </c>
      <c r="C129" s="188" t="str">
        <f>IF(AND(A129&lt;&gt;"",ISNUMBER(A129)),VLOOKUP(A129,Studies!A:BR,3,FALSE),"")</f>
        <v>https://www.ncbi.nlm.nih.gov/pubmed/15114429</v>
      </c>
      <c r="D129" s="228" t="str">
        <f>IF(AND(A129&lt;&gt;"",ISNUMBER(A129)),VLOOKUP(A129,Studies!A:BR,4,FALSE),"")</f>
        <v>0.075 mg Control (Perpetrator Placebo)</v>
      </c>
      <c r="E129" s="188" t="str">
        <f>IF(AND(A129&lt;&gt;"",ISNUMBER(A129)),VLOOKUP(A129,Studies!A:BR,5,FALSE),"")</f>
        <v>Midazolam</v>
      </c>
      <c r="F129" s="79" t="s">
        <v>1374</v>
      </c>
      <c r="G129" s="78">
        <f t="shared" si="1"/>
        <v>1</v>
      </c>
    </row>
    <row r="130" spans="1:7" x14ac:dyDescent="0.2">
      <c r="A130" s="110">
        <v>129</v>
      </c>
      <c r="B130" s="188" t="str">
        <f>IF(AND(A130&lt;&gt;"",ISNUMBER(A130)),VLOOKUP(A130,Studies!A:BR,2,FALSE),"")</f>
        <v>Eap 2004</v>
      </c>
      <c r="C130" s="188" t="str">
        <f>IF(AND(A130&lt;&gt;"",ISNUMBER(A130)),VLOOKUP(A130,Studies!A:BR,3,FALSE),"")</f>
        <v>https://www.ncbi.nlm.nih.gov/pubmed/15114429</v>
      </c>
      <c r="D130" s="228" t="str">
        <f>IF(AND(A130&lt;&gt;"",ISNUMBER(A130)),VLOOKUP(A130,Studies!A:BR,4,FALSE),"")</f>
        <v>0.075 mg with Perpetrator (Rifampicin)</v>
      </c>
      <c r="E130" s="188" t="str">
        <f>IF(AND(A130&lt;&gt;"",ISNUMBER(A130)),VLOOKUP(A130,Studies!A:BR,5,FALSE),"")</f>
        <v>Midazolam</v>
      </c>
      <c r="F130" s="79" t="s">
        <v>1372</v>
      </c>
      <c r="G130" s="78">
        <f t="shared" si="1"/>
        <v>1</v>
      </c>
    </row>
    <row r="131" spans="1:7" x14ac:dyDescent="0.2">
      <c r="A131" s="110">
        <v>130</v>
      </c>
      <c r="B131" s="188" t="str">
        <f>IF(AND(A131&lt;&gt;"",ISNUMBER(A131)),VLOOKUP(A131,Studies!A:BR,2,FALSE),"")</f>
        <v>Eap 2004</v>
      </c>
      <c r="C131" s="188" t="str">
        <f>IF(AND(A131&lt;&gt;"",ISNUMBER(A131)),VLOOKUP(A131,Studies!A:BR,3,FALSE),"")</f>
        <v>https://www.ncbi.nlm.nih.gov/pubmed/15114429</v>
      </c>
      <c r="D131" s="228" t="str">
        <f>IF(AND(A131&lt;&gt;"",ISNUMBER(A131)),VLOOKUP(A131,Studies!A:BR,4,FALSE),"")</f>
        <v>0.075 mg with Perpetrator (Ketoconazole)</v>
      </c>
      <c r="E131" s="188" t="str">
        <f>IF(AND(A131&lt;&gt;"",ISNUMBER(A131)),VLOOKUP(A131,Studies!A:BR,5,FALSE),"")</f>
        <v>Midazolam</v>
      </c>
      <c r="F131" s="79" t="s">
        <v>1375</v>
      </c>
      <c r="G131" s="78">
        <f t="shared" si="1"/>
        <v>1</v>
      </c>
    </row>
    <row r="132" spans="1:7" x14ac:dyDescent="0.2">
      <c r="A132" s="110">
        <v>131</v>
      </c>
      <c r="B132" s="188" t="str">
        <f>IF(AND(A132&lt;&gt;"",ISNUMBER(A132)),VLOOKUP(A132,Studies!A:BR,2,FALSE),"")</f>
        <v>Eap 2004</v>
      </c>
      <c r="C132" s="188" t="str">
        <f>IF(AND(A132&lt;&gt;"",ISNUMBER(A132)),VLOOKUP(A132,Studies!A:BR,3,FALSE),"")</f>
        <v>https://www.ncbi.nlm.nih.gov/pubmed/15114429</v>
      </c>
      <c r="D132" s="228" t="str">
        <f>IF(AND(A132&lt;&gt;"",ISNUMBER(A132)),VLOOKUP(A132,Studies!A:BR,4,FALSE),"")</f>
        <v>7.5 mg Control (Perpetrator Placebo)</v>
      </c>
      <c r="E132" s="188" t="str">
        <f>IF(AND(A132&lt;&gt;"",ISNUMBER(A132)),VLOOKUP(A132,Studies!A:BR,5,FALSE),"")</f>
        <v>Midazolam</v>
      </c>
      <c r="F132" s="79" t="s">
        <v>1374</v>
      </c>
      <c r="G132" s="78">
        <f t="shared" si="1"/>
        <v>1</v>
      </c>
    </row>
    <row r="133" spans="1:7" x14ac:dyDescent="0.2">
      <c r="A133" s="110">
        <v>132</v>
      </c>
      <c r="B133" s="188" t="str">
        <f>IF(AND(A133&lt;&gt;"",ISNUMBER(A133)),VLOOKUP(A133,Studies!A:BR,2,FALSE),"")</f>
        <v>Eap 2004</v>
      </c>
      <c r="C133" s="188" t="str">
        <f>IF(AND(A133&lt;&gt;"",ISNUMBER(A133)),VLOOKUP(A133,Studies!A:BR,3,FALSE),"")</f>
        <v>https://www.ncbi.nlm.nih.gov/pubmed/15114429</v>
      </c>
      <c r="D133" s="228" t="str">
        <f>IF(AND(A133&lt;&gt;"",ISNUMBER(A133)),VLOOKUP(A133,Studies!A:BR,4,FALSE),"")</f>
        <v>7.5 mg with Perpetrator (Rifampicin)</v>
      </c>
      <c r="E133" s="188" t="str">
        <f>IF(AND(A133&lt;&gt;"",ISNUMBER(A133)),VLOOKUP(A133,Studies!A:BR,5,FALSE),"")</f>
        <v>Midazolam</v>
      </c>
      <c r="F133" s="79" t="s">
        <v>1372</v>
      </c>
      <c r="G133" s="78">
        <f t="shared" si="1"/>
        <v>1</v>
      </c>
    </row>
    <row r="134" spans="1:7" x14ac:dyDescent="0.2">
      <c r="A134" s="80">
        <v>134</v>
      </c>
      <c r="B134" s="188" t="str">
        <f>IF(AND(A134&lt;&gt;"",ISNUMBER(A134)),VLOOKUP(A134,Studies!A:BR,2,FALSE),"")</f>
        <v>Edwards 2006</v>
      </c>
      <c r="C134" s="188" t="str">
        <f>IF(AND(A134&lt;&gt;"",ISNUMBER(A134)),VLOOKUP(A134,Studies!A:BR,3,FALSE),"")</f>
        <v>https://www.ncbi.nlm.nih.gov/pubmed/16638734</v>
      </c>
      <c r="D134" s="228" t="str">
        <f>IF(AND(A134&lt;&gt;"",ISNUMBER(A134)),VLOOKUP(A134,Studies!A:BR,4,FALSE),"")</f>
        <v>Autistic children</v>
      </c>
      <c r="E134" s="188" t="str">
        <f>IF(AND(A134&lt;&gt;"",ISNUMBER(A134)),VLOOKUP(A134,Studies!A:BR,5,FALSE),"")</f>
        <v>Buspirone</v>
      </c>
      <c r="F134" s="79" t="s">
        <v>111</v>
      </c>
      <c r="G134" s="78">
        <f t="shared" si="1"/>
        <v>2</v>
      </c>
    </row>
    <row r="135" spans="1:7" x14ac:dyDescent="0.2">
      <c r="A135" s="80">
        <v>135</v>
      </c>
      <c r="B135" s="188" t="str">
        <f>IF(AND(A135&lt;&gt;"",ISNUMBER(A135)),VLOOKUP(A135,Studies!A:BR,2,FALSE),"")</f>
        <v>Edwards 2006</v>
      </c>
      <c r="C135" s="188" t="str">
        <f>IF(AND(A135&lt;&gt;"",ISNUMBER(A135)),VLOOKUP(A135,Studies!A:BR,3,FALSE),"")</f>
        <v>https://www.ncbi.nlm.nih.gov/pubmed/16638734</v>
      </c>
      <c r="D135" s="228" t="str">
        <f>IF(AND(A135&lt;&gt;"",ISNUMBER(A135)),VLOOKUP(A135,Studies!A:BR,4,FALSE),"")</f>
        <v>Subject 1</v>
      </c>
      <c r="E135" s="188" t="str">
        <f>IF(AND(A135&lt;&gt;"",ISNUMBER(A135)),VLOOKUP(A135,Studies!A:BR,5,FALSE),"")</f>
        <v>Buspirone</v>
      </c>
      <c r="F135" s="79" t="s">
        <v>111</v>
      </c>
      <c r="G135" s="78">
        <f t="shared" si="1"/>
        <v>1</v>
      </c>
    </row>
    <row r="136" spans="1:7" x14ac:dyDescent="0.2">
      <c r="A136" s="80">
        <v>136</v>
      </c>
      <c r="B136" s="188" t="str">
        <f>IF(AND(A136&lt;&gt;"",ISNUMBER(A136)),VLOOKUP(A136,Studies!A:BR,2,FALSE),"")</f>
        <v>Edwards 2006</v>
      </c>
      <c r="C136" s="188" t="str">
        <f>IF(AND(A136&lt;&gt;"",ISNUMBER(A136)),VLOOKUP(A136,Studies!A:BR,3,FALSE),"")</f>
        <v>https://www.ncbi.nlm.nih.gov/pubmed/16638734</v>
      </c>
      <c r="D136" s="228" t="str">
        <f>IF(AND(A136&lt;&gt;"",ISNUMBER(A136)),VLOOKUP(A136,Studies!A:BR,4,FALSE),"")</f>
        <v>Subject 2</v>
      </c>
      <c r="E136" s="188" t="str">
        <f>IF(AND(A136&lt;&gt;"",ISNUMBER(A136)),VLOOKUP(A136,Studies!A:BR,5,FALSE),"")</f>
        <v>Buspirone</v>
      </c>
      <c r="F136" s="79" t="s">
        <v>111</v>
      </c>
      <c r="G136" s="78">
        <f t="shared" si="1"/>
        <v>1</v>
      </c>
    </row>
    <row r="137" spans="1:7" x14ac:dyDescent="0.2">
      <c r="A137" s="80">
        <v>137</v>
      </c>
      <c r="B137" s="188" t="str">
        <f>IF(AND(A137&lt;&gt;"",ISNUMBER(A137)),VLOOKUP(A137,Studies!A:BR,2,FALSE),"")</f>
        <v>Edwards 2006</v>
      </c>
      <c r="C137" s="188" t="str">
        <f>IF(AND(A137&lt;&gt;"",ISNUMBER(A137)),VLOOKUP(A137,Studies!A:BR,3,FALSE),"")</f>
        <v>https://www.ncbi.nlm.nih.gov/pubmed/16638734</v>
      </c>
      <c r="D137" s="228" t="str">
        <f>IF(AND(A137&lt;&gt;"",ISNUMBER(A137)),VLOOKUP(A137,Studies!A:BR,4,FALSE),"")</f>
        <v>Subject 3</v>
      </c>
      <c r="E137" s="188" t="str">
        <f>IF(AND(A137&lt;&gt;"",ISNUMBER(A137)),VLOOKUP(A137,Studies!A:BR,5,FALSE),"")</f>
        <v>Buspirone</v>
      </c>
      <c r="F137" s="79" t="s">
        <v>111</v>
      </c>
      <c r="G137" s="78">
        <f t="shared" ref="G137:G139" si="3">A137-A136</f>
        <v>1</v>
      </c>
    </row>
    <row r="138" spans="1:7" x14ac:dyDescent="0.2">
      <c r="A138" s="80">
        <v>138</v>
      </c>
      <c r="B138" s="188" t="str">
        <f>IF(AND(A138&lt;&gt;"",ISNUMBER(A138)),VLOOKUP(A138,Studies!A:BR,2,FALSE),"")</f>
        <v>Edwards 2006</v>
      </c>
      <c r="C138" s="188" t="str">
        <f>IF(AND(A138&lt;&gt;"",ISNUMBER(A138)),VLOOKUP(A138,Studies!A:BR,3,FALSE),"")</f>
        <v>https://www.ncbi.nlm.nih.gov/pubmed/16638734</v>
      </c>
      <c r="D138" s="228" t="str">
        <f>IF(AND(A138&lt;&gt;"",ISNUMBER(A138)),VLOOKUP(A138,Studies!A:BR,4,FALSE),"")</f>
        <v>Subject 5</v>
      </c>
      <c r="E138" s="188" t="str">
        <f>IF(AND(A138&lt;&gt;"",ISNUMBER(A138)),VLOOKUP(A138,Studies!A:BR,5,FALSE),"")</f>
        <v>Buspirone</v>
      </c>
      <c r="F138" s="79" t="s">
        <v>111</v>
      </c>
      <c r="G138" s="78">
        <f t="shared" si="3"/>
        <v>1</v>
      </c>
    </row>
    <row r="139" spans="1:7" x14ac:dyDescent="0.2">
      <c r="A139" s="80">
        <v>139</v>
      </c>
      <c r="B139" s="188" t="str">
        <f>IF(AND(A139&lt;&gt;"",ISNUMBER(A139)),VLOOKUP(A139,Studies!A:BR,2,FALSE),"")</f>
        <v>Edwards 2006</v>
      </c>
      <c r="C139" s="188" t="str">
        <f>IF(AND(A139&lt;&gt;"",ISNUMBER(A139)),VLOOKUP(A139,Studies!A:BR,3,FALSE),"")</f>
        <v>https://www.ncbi.nlm.nih.gov/pubmed/16638734</v>
      </c>
      <c r="D139" s="228" t="str">
        <f>IF(AND(A139&lt;&gt;"",ISNUMBER(A139)),VLOOKUP(A139,Studies!A:BR,4,FALSE),"")</f>
        <v>Subject 7</v>
      </c>
      <c r="E139" s="188" t="str">
        <f>IF(AND(A139&lt;&gt;"",ISNUMBER(A139)),VLOOKUP(A139,Studies!A:BR,5,FALSE),"")</f>
        <v>Buspirone</v>
      </c>
      <c r="F139" s="79" t="s">
        <v>111</v>
      </c>
      <c r="G139" s="78">
        <f t="shared" si="3"/>
        <v>1</v>
      </c>
    </row>
    <row r="140" spans="1:7" x14ac:dyDescent="0.2">
      <c r="A140" s="80">
        <v>140</v>
      </c>
      <c r="B140" s="188" t="str">
        <f>IF(AND(A140&lt;&gt;"",ISNUMBER(A140)),VLOOKUP(A140,Studies!A:BR,2,FALSE),"")</f>
        <v>Edwards 2006</v>
      </c>
      <c r="C140" s="188" t="str">
        <f>IF(AND(A140&lt;&gt;"",ISNUMBER(A140)),VLOOKUP(A140,Studies!A:BR,3,FALSE),"")</f>
        <v>https://www.ncbi.nlm.nih.gov/pubmed/16638734</v>
      </c>
      <c r="D140" s="228" t="str">
        <f>IF(AND(A140&lt;&gt;"",ISNUMBER(A140)),VLOOKUP(A140,Studies!A:BR,4,FALSE),"")</f>
        <v>Subject 8</v>
      </c>
      <c r="E140" s="188" t="str">
        <f>IF(AND(A140&lt;&gt;"",ISNUMBER(A140)),VLOOKUP(A140,Studies!A:BR,5,FALSE),"")</f>
        <v>Buspirone</v>
      </c>
      <c r="F140" s="79" t="s">
        <v>111</v>
      </c>
      <c r="G140" s="78">
        <f t="shared" ref="G140:G200" si="4">A140-A139</f>
        <v>1</v>
      </c>
    </row>
    <row r="141" spans="1:7" x14ac:dyDescent="0.2">
      <c r="A141" s="80">
        <v>141</v>
      </c>
      <c r="B141" s="188" t="str">
        <f>IF(AND(A141&lt;&gt;"",ISNUMBER(A141)),VLOOKUP(A141,Studies!A:BR,2,FALSE),"")</f>
        <v>Edwards 2006</v>
      </c>
      <c r="C141" s="188" t="str">
        <f>IF(AND(A141&lt;&gt;"",ISNUMBER(A141)),VLOOKUP(A141,Studies!A:BR,3,FALSE),"")</f>
        <v>https://www.ncbi.nlm.nih.gov/pubmed/16638734</v>
      </c>
      <c r="D141" s="228" t="str">
        <f>IF(AND(A141&lt;&gt;"",ISNUMBER(A141)),VLOOKUP(A141,Studies!A:BR,4,FALSE),"")</f>
        <v>Subject 9</v>
      </c>
      <c r="E141" s="188" t="str">
        <f>IF(AND(A141&lt;&gt;"",ISNUMBER(A141)),VLOOKUP(A141,Studies!A:BR,5,FALSE),"")</f>
        <v>Buspirone</v>
      </c>
      <c r="F141" s="79" t="s">
        <v>111</v>
      </c>
      <c r="G141" s="78">
        <f t="shared" si="4"/>
        <v>1</v>
      </c>
    </row>
    <row r="142" spans="1:7" x14ac:dyDescent="0.2">
      <c r="A142" s="80">
        <v>142</v>
      </c>
      <c r="B142" s="188" t="str">
        <f>IF(AND(A142&lt;&gt;"",ISNUMBER(A142)),VLOOKUP(A142,Studies!A:BR,2,FALSE),"")</f>
        <v>Edwards 2006</v>
      </c>
      <c r="C142" s="188" t="str">
        <f>IF(AND(A142&lt;&gt;"",ISNUMBER(A142)),VLOOKUP(A142,Studies!A:BR,3,FALSE),"")</f>
        <v>https://www.ncbi.nlm.nih.gov/pubmed/16638734</v>
      </c>
      <c r="D142" s="228" t="str">
        <f>IF(AND(A142&lt;&gt;"",ISNUMBER(A142)),VLOOKUP(A142,Studies!A:BR,4,FALSE),"")</f>
        <v>Subject 10</v>
      </c>
      <c r="E142" s="188" t="str">
        <f>IF(AND(A142&lt;&gt;"",ISNUMBER(A142)),VLOOKUP(A142,Studies!A:BR,5,FALSE),"")</f>
        <v>Buspirone</v>
      </c>
      <c r="F142" s="79" t="s">
        <v>111</v>
      </c>
      <c r="G142" s="78">
        <f t="shared" si="4"/>
        <v>1</v>
      </c>
    </row>
    <row r="143" spans="1:7" x14ac:dyDescent="0.2">
      <c r="A143" s="80">
        <v>143</v>
      </c>
      <c r="B143" s="188" t="str">
        <f>IF(AND(A143&lt;&gt;"",ISNUMBER(A143)),VLOOKUP(A143,Studies!A:BR,2,FALSE),"")</f>
        <v>Edwards 2006</v>
      </c>
      <c r="C143" s="188" t="str">
        <f>IF(AND(A143&lt;&gt;"",ISNUMBER(A143)),VLOOKUP(A143,Studies!A:BR,3,FALSE),"")</f>
        <v>https://www.ncbi.nlm.nih.gov/pubmed/16638734</v>
      </c>
      <c r="D143" s="228" t="str">
        <f>IF(AND(A143&lt;&gt;"",ISNUMBER(A143)),VLOOKUP(A143,Studies!A:BR,4,FALSE),"")</f>
        <v>Subject 12</v>
      </c>
      <c r="E143" s="188" t="str">
        <f>IF(AND(A143&lt;&gt;"",ISNUMBER(A143)),VLOOKUP(A143,Studies!A:BR,5,FALSE),"")</f>
        <v>Buspirone</v>
      </c>
      <c r="F143" s="79" t="s">
        <v>111</v>
      </c>
      <c r="G143" s="78">
        <f t="shared" si="4"/>
        <v>1</v>
      </c>
    </row>
    <row r="144" spans="1:7" x14ac:dyDescent="0.2">
      <c r="A144" s="80">
        <v>144</v>
      </c>
      <c r="B144" s="188" t="str">
        <f>IF(AND(A144&lt;&gt;"",ISNUMBER(A144)),VLOOKUP(A144,Studies!A:BR,2,FALSE),"")</f>
        <v>Edwards 2006</v>
      </c>
      <c r="C144" s="188" t="str">
        <f>IF(AND(A144&lt;&gt;"",ISNUMBER(A144)),VLOOKUP(A144,Studies!A:BR,3,FALSE),"")</f>
        <v>https://www.ncbi.nlm.nih.gov/pubmed/16638734</v>
      </c>
      <c r="D144" s="228" t="str">
        <f>IF(AND(A144&lt;&gt;"",ISNUMBER(A144)),VLOOKUP(A144,Studies!A:BR,4,FALSE),"")</f>
        <v>Subject 13</v>
      </c>
      <c r="E144" s="188" t="str">
        <f>IF(AND(A144&lt;&gt;"",ISNUMBER(A144)),VLOOKUP(A144,Studies!A:BR,5,FALSE),"")</f>
        <v>Buspirone</v>
      </c>
      <c r="F144" s="79" t="s">
        <v>111</v>
      </c>
      <c r="G144" s="78">
        <f t="shared" si="4"/>
        <v>1</v>
      </c>
    </row>
    <row r="145" spans="1:7" x14ac:dyDescent="0.2">
      <c r="A145" s="80">
        <v>145</v>
      </c>
      <c r="B145" s="188" t="str">
        <f>IF(AND(A145&lt;&gt;"",ISNUMBER(A145)),VLOOKUP(A145,Studies!A:BR,2,FALSE),"")</f>
        <v>Edwards 2006</v>
      </c>
      <c r="C145" s="188" t="str">
        <f>IF(AND(A145&lt;&gt;"",ISNUMBER(A145)),VLOOKUP(A145,Studies!A:BR,3,FALSE),"")</f>
        <v>https://www.ncbi.nlm.nih.gov/pubmed/16638734</v>
      </c>
      <c r="D145" s="228" t="str">
        <f>IF(AND(A145&lt;&gt;"",ISNUMBER(A145)),VLOOKUP(A145,Studies!A:BR,4,FALSE),"")</f>
        <v>Subject 14</v>
      </c>
      <c r="E145" s="188" t="str">
        <f>IF(AND(A145&lt;&gt;"",ISNUMBER(A145)),VLOOKUP(A145,Studies!A:BR,5,FALSE),"")</f>
        <v>Buspirone</v>
      </c>
      <c r="F145" s="79" t="s">
        <v>111</v>
      </c>
      <c r="G145" s="78">
        <f t="shared" si="4"/>
        <v>1</v>
      </c>
    </row>
    <row r="146" spans="1:7" x14ac:dyDescent="0.2">
      <c r="A146" s="80">
        <v>146</v>
      </c>
      <c r="B146" s="188" t="str">
        <f>IF(AND(A146&lt;&gt;"",ISNUMBER(A146)),VLOOKUP(A146,Studies!A:BR,2,FALSE),"")</f>
        <v>Edwards 2006</v>
      </c>
      <c r="C146" s="188" t="str">
        <f>IF(AND(A146&lt;&gt;"",ISNUMBER(A146)),VLOOKUP(A146,Studies!A:BR,3,FALSE),"")</f>
        <v>https://www.ncbi.nlm.nih.gov/pubmed/16638734</v>
      </c>
      <c r="D146" s="228" t="str">
        <f>IF(AND(A146&lt;&gt;"",ISNUMBER(A146)),VLOOKUP(A146,Studies!A:BR,4,FALSE),"")</f>
        <v>Subject 15</v>
      </c>
      <c r="E146" s="188" t="str">
        <f>IF(AND(A146&lt;&gt;"",ISNUMBER(A146)),VLOOKUP(A146,Studies!A:BR,5,FALSE),"")</f>
        <v>Buspirone</v>
      </c>
      <c r="F146" s="79" t="s">
        <v>111</v>
      </c>
      <c r="G146" s="78">
        <f t="shared" si="4"/>
        <v>1</v>
      </c>
    </row>
    <row r="147" spans="1:7" x14ac:dyDescent="0.2">
      <c r="A147" s="80">
        <v>147</v>
      </c>
      <c r="B147" s="188" t="str">
        <f>IF(AND(A147&lt;&gt;"",ISNUMBER(A147)),VLOOKUP(A147,Studies!A:BR,2,FALSE),"")</f>
        <v>Edwards 2006</v>
      </c>
      <c r="C147" s="188" t="str">
        <f>IF(AND(A147&lt;&gt;"",ISNUMBER(A147)),VLOOKUP(A147,Studies!A:BR,3,FALSE),"")</f>
        <v>https://www.ncbi.nlm.nih.gov/pubmed/16638734</v>
      </c>
      <c r="D147" s="228" t="str">
        <f>IF(AND(A147&lt;&gt;"",ISNUMBER(A147)),VLOOKUP(A147,Studies!A:BR,4,FALSE),"")</f>
        <v>Subject 16</v>
      </c>
      <c r="E147" s="188" t="str">
        <f>IF(AND(A147&lt;&gt;"",ISNUMBER(A147)),VLOOKUP(A147,Studies!A:BR,5,FALSE),"")</f>
        <v>Buspirone</v>
      </c>
      <c r="F147" s="79" t="s">
        <v>111</v>
      </c>
      <c r="G147" s="78">
        <f t="shared" si="4"/>
        <v>1</v>
      </c>
    </row>
    <row r="148" spans="1:7" x14ac:dyDescent="0.2">
      <c r="A148" s="80">
        <v>148</v>
      </c>
      <c r="B148" s="188" t="str">
        <f>IF(AND(A148&lt;&gt;"",ISNUMBER(A148)),VLOOKUP(A148,Studies!A:BR,2,FALSE),"")</f>
        <v>Edwards 2006</v>
      </c>
      <c r="C148" s="188" t="str">
        <f>IF(AND(A148&lt;&gt;"",ISNUMBER(A148)),VLOOKUP(A148,Studies!A:BR,3,FALSE),"")</f>
        <v>https://www.ncbi.nlm.nih.gov/pubmed/16638734</v>
      </c>
      <c r="D148" s="228" t="str">
        <f>IF(AND(A148&lt;&gt;"",ISNUMBER(A148)),VLOOKUP(A148,Studies!A:BR,4,FALSE),"")</f>
        <v>Subject 17</v>
      </c>
      <c r="E148" s="188" t="str">
        <f>IF(AND(A148&lt;&gt;"",ISNUMBER(A148)),VLOOKUP(A148,Studies!A:BR,5,FALSE),"")</f>
        <v>Buspirone</v>
      </c>
      <c r="F148" s="79" t="s">
        <v>111</v>
      </c>
      <c r="G148" s="78">
        <f t="shared" si="4"/>
        <v>1</v>
      </c>
    </row>
    <row r="149" spans="1:7" x14ac:dyDescent="0.2">
      <c r="A149" s="80">
        <v>149</v>
      </c>
      <c r="B149" s="188" t="str">
        <f>IF(AND(A149&lt;&gt;"",ISNUMBER(A149)),VLOOKUP(A149,Studies!A:BR,2,FALSE),"")</f>
        <v>Edwards 2006</v>
      </c>
      <c r="C149" s="188" t="str">
        <f>IF(AND(A149&lt;&gt;"",ISNUMBER(A149)),VLOOKUP(A149,Studies!A:BR,3,FALSE),"")</f>
        <v>https://www.ncbi.nlm.nih.gov/pubmed/16638734</v>
      </c>
      <c r="D149" s="228" t="str">
        <f>IF(AND(A149&lt;&gt;"",ISNUMBER(A149)),VLOOKUP(A149,Studies!A:BR,4,FALSE),"")</f>
        <v>Subject 18</v>
      </c>
      <c r="E149" s="188" t="str">
        <f>IF(AND(A149&lt;&gt;"",ISNUMBER(A149)),VLOOKUP(A149,Studies!A:BR,5,FALSE),"")</f>
        <v>Buspirone</v>
      </c>
      <c r="F149" s="79" t="s">
        <v>111</v>
      </c>
      <c r="G149" s="78">
        <f t="shared" si="4"/>
        <v>1</v>
      </c>
    </row>
    <row r="150" spans="1:7" x14ac:dyDescent="0.2">
      <c r="A150" s="80">
        <v>150</v>
      </c>
      <c r="B150" s="188" t="str">
        <f>IF(AND(A150&lt;&gt;"",ISNUMBER(A150)),VLOOKUP(A150,Studies!A:BR,2,FALSE),"")</f>
        <v>Edwards 2006</v>
      </c>
      <c r="C150" s="188" t="str">
        <f>IF(AND(A150&lt;&gt;"",ISNUMBER(A150)),VLOOKUP(A150,Studies!A:BR,3,FALSE),"")</f>
        <v>https://www.ncbi.nlm.nih.gov/pubmed/16638734</v>
      </c>
      <c r="D150" s="228" t="str">
        <f>IF(AND(A150&lt;&gt;"",ISNUMBER(A150)),VLOOKUP(A150,Studies!A:BR,4,FALSE),"")</f>
        <v>Subject 19</v>
      </c>
      <c r="E150" s="188" t="str">
        <f>IF(AND(A150&lt;&gt;"",ISNUMBER(A150)),VLOOKUP(A150,Studies!A:BR,5,FALSE),"")</f>
        <v>Buspirone</v>
      </c>
      <c r="F150" s="79" t="s">
        <v>111</v>
      </c>
      <c r="G150" s="78">
        <f t="shared" si="4"/>
        <v>1</v>
      </c>
    </row>
    <row r="151" spans="1:7" x14ac:dyDescent="0.2">
      <c r="A151" s="80">
        <v>151</v>
      </c>
      <c r="B151" s="188" t="str">
        <f>IF(AND(A151&lt;&gt;"",ISNUMBER(A151)),VLOOKUP(A151,Studies!A:BR,2,FALSE),"")</f>
        <v>Edwards 2006</v>
      </c>
      <c r="C151" s="188" t="str">
        <f>IF(AND(A151&lt;&gt;"",ISNUMBER(A151)),VLOOKUP(A151,Studies!A:BR,3,FALSE),"")</f>
        <v>https://www.ncbi.nlm.nih.gov/pubmed/16638734</v>
      </c>
      <c r="D151" s="228" t="str">
        <f>IF(AND(A151&lt;&gt;"",ISNUMBER(A151)),VLOOKUP(A151,Studies!A:BR,4,FALSE),"")</f>
        <v>Subject 20</v>
      </c>
      <c r="E151" s="188" t="str">
        <f>IF(AND(A151&lt;&gt;"",ISNUMBER(A151)),VLOOKUP(A151,Studies!A:BR,5,FALSE),"")</f>
        <v>Buspirone</v>
      </c>
      <c r="F151" s="79" t="s">
        <v>111</v>
      </c>
      <c r="G151" s="78">
        <f t="shared" si="4"/>
        <v>1</v>
      </c>
    </row>
    <row r="152" spans="1:7" x14ac:dyDescent="0.2">
      <c r="A152" s="80">
        <v>152</v>
      </c>
      <c r="B152" s="188" t="str">
        <f>IF(AND(A152&lt;&gt;"",ISNUMBER(A152)),VLOOKUP(A152,Studies!A:BR,2,FALSE),"")</f>
        <v>Edwards 2006</v>
      </c>
      <c r="C152" s="188" t="str">
        <f>IF(AND(A152&lt;&gt;"",ISNUMBER(A152)),VLOOKUP(A152,Studies!A:BR,3,FALSE),"")</f>
        <v>https://www.ncbi.nlm.nih.gov/pubmed/16638734</v>
      </c>
      <c r="D152" s="228" t="str">
        <f>IF(AND(A152&lt;&gt;"",ISNUMBER(A152)),VLOOKUP(A152,Studies!A:BR,4,FALSE),"")</f>
        <v>Subject 21</v>
      </c>
      <c r="E152" s="188" t="str">
        <f>IF(AND(A152&lt;&gt;"",ISNUMBER(A152)),VLOOKUP(A152,Studies!A:BR,5,FALSE),"")</f>
        <v>Buspirone</v>
      </c>
      <c r="F152" s="79" t="s">
        <v>111</v>
      </c>
      <c r="G152" s="78">
        <f t="shared" si="4"/>
        <v>1</v>
      </c>
    </row>
    <row r="153" spans="1:7" x14ac:dyDescent="0.2">
      <c r="A153" s="80">
        <v>153</v>
      </c>
      <c r="B153" s="188" t="str">
        <f>IF(AND(A153&lt;&gt;"",ISNUMBER(A153)),VLOOKUP(A153,Studies!A:BR,2,FALSE),"")</f>
        <v>Edwards 2006</v>
      </c>
      <c r="C153" s="188" t="str">
        <f>IF(AND(A153&lt;&gt;"",ISNUMBER(A153)),VLOOKUP(A153,Studies!A:BR,3,FALSE),"")</f>
        <v>https://www.ncbi.nlm.nih.gov/pubmed/16638734</v>
      </c>
      <c r="D153" s="228" t="str">
        <f>IF(AND(A153&lt;&gt;"",ISNUMBER(A153)),VLOOKUP(A153,Studies!A:BR,4,FALSE),"")</f>
        <v>Subject 23</v>
      </c>
      <c r="E153" s="188" t="str">
        <f>IF(AND(A153&lt;&gt;"",ISNUMBER(A153)),VLOOKUP(A153,Studies!A:BR,5,FALSE),"")</f>
        <v>Buspirone</v>
      </c>
      <c r="F153" s="79" t="s">
        <v>111</v>
      </c>
      <c r="G153" s="78">
        <f t="shared" si="4"/>
        <v>1</v>
      </c>
    </row>
    <row r="154" spans="1:7" x14ac:dyDescent="0.2">
      <c r="A154" s="80">
        <v>154</v>
      </c>
      <c r="B154" s="188" t="str">
        <f>IF(AND(A154&lt;&gt;"",ISNUMBER(A154)),VLOOKUP(A154,Studies!A:BR,2,FALSE),"")</f>
        <v>Edwards 2006</v>
      </c>
      <c r="C154" s="188" t="str">
        <f>IF(AND(A154&lt;&gt;"",ISNUMBER(A154)),VLOOKUP(A154,Studies!A:BR,3,FALSE),"")</f>
        <v>https://www.ncbi.nlm.nih.gov/pubmed/16638734</v>
      </c>
      <c r="D154" s="228" t="str">
        <f>IF(AND(A154&lt;&gt;"",ISNUMBER(A154)),VLOOKUP(A154,Studies!A:BR,4,FALSE),"")</f>
        <v>Subject 24</v>
      </c>
      <c r="E154" s="188" t="str">
        <f>IF(AND(A154&lt;&gt;"",ISNUMBER(A154)),VLOOKUP(A154,Studies!A:BR,5,FALSE),"")</f>
        <v>Buspirone</v>
      </c>
      <c r="F154" s="79" t="s">
        <v>111</v>
      </c>
      <c r="G154" s="78">
        <f t="shared" si="4"/>
        <v>1</v>
      </c>
    </row>
    <row r="155" spans="1:7" x14ac:dyDescent="0.2">
      <c r="A155" s="110">
        <v>155</v>
      </c>
      <c r="B155" s="188" t="str">
        <f>IF(AND(A155&lt;&gt;"",ISNUMBER(A155)),VLOOKUP(A155,Studies!A:BR,2,FALSE),"")</f>
        <v>Eon Labs Manufacturing, Inc. 1997</v>
      </c>
      <c r="C155" s="188" t="str">
        <f>IF(AND(A155&lt;&gt;"",ISNUMBER(A155)),VLOOKUP(A155,Studies!A:BR,3,FALSE),"")</f>
        <v>https://www.accessdata.fda.gov/drugsatfda_docs/anda/97/064150review.pdf</v>
      </c>
      <c r="D155" s="228" t="str">
        <f>IF(AND(A155&lt;&gt;"",ISNUMBER(A155)),VLOOKUP(A155,Studies!A:BR,4,FALSE),"")</f>
        <v>2X300mg Tab (Eon)</v>
      </c>
      <c r="E155" s="188" t="str">
        <f>IF(AND(A155&lt;&gt;"",ISNUMBER(A155)),VLOOKUP(A155,Studies!A:BR,5,FALSE),"")</f>
        <v>Rifampicin</v>
      </c>
      <c r="F155" s="79" t="s">
        <v>54</v>
      </c>
      <c r="G155" s="78">
        <f t="shared" si="4"/>
        <v>1</v>
      </c>
    </row>
    <row r="156" spans="1:7" x14ac:dyDescent="0.2">
      <c r="A156" s="110">
        <v>156</v>
      </c>
      <c r="B156" s="188" t="str">
        <f>IF(AND(A156&lt;&gt;"",ISNUMBER(A156)),VLOOKUP(A156,Studies!A:BR,2,FALSE),"")</f>
        <v>Eon Labs Manufacturing, Inc. 1997</v>
      </c>
      <c r="C156" s="188" t="str">
        <f>IF(AND(A156&lt;&gt;"",ISNUMBER(A156)),VLOOKUP(A156,Studies!A:BR,3,FALSE),"")</f>
        <v>https://www.accessdata.fda.gov/drugsatfda_docs/anda/97/064150review.pdf</v>
      </c>
      <c r="D156" s="228" t="str">
        <f>IF(AND(A156&lt;&gt;"",ISNUMBER(A156)),VLOOKUP(A156,Studies!A:BR,4,FALSE),"")</f>
        <v>2X300mg Rifadine Tab</v>
      </c>
      <c r="E156" s="188" t="str">
        <f>IF(AND(A156&lt;&gt;"",ISNUMBER(A156)),VLOOKUP(A156,Studies!A:BR,5,FALSE),"")</f>
        <v>Rifampicin</v>
      </c>
      <c r="F156" s="79" t="s">
        <v>54</v>
      </c>
      <c r="G156" s="78">
        <f t="shared" si="4"/>
        <v>1</v>
      </c>
    </row>
    <row r="157" spans="1:7" x14ac:dyDescent="0.2">
      <c r="A157" s="110">
        <v>157</v>
      </c>
      <c r="B157" s="188" t="str">
        <f>IF(AND(A157&lt;&gt;"",ISNUMBER(A157)),VLOOKUP(A157,Studies!A:BR,2,FALSE),"")</f>
        <v>Furesz 1970</v>
      </c>
      <c r="C157" s="188" t="str">
        <f>IF(AND(A157&lt;&gt;"",ISNUMBER(A157)),VLOOKUP(A157,Studies!A:BR,3,FALSE),"")</f>
        <v>https://www.ncbi.nlm.nih.gov/pubmed/5002304</v>
      </c>
      <c r="D157" s="228" t="str">
        <f>IF(AND(A157&lt;&gt;"",ISNUMBER(A157)),VLOOKUP(A157,Studies!A:BR,4,FALSE),"")</f>
        <v>100 mg</v>
      </c>
      <c r="E157" s="188" t="str">
        <f>IF(AND(A157&lt;&gt;"",ISNUMBER(A157)),VLOOKUP(A157,Studies!A:BR,5,FALSE),"")</f>
        <v>Rifampicin</v>
      </c>
      <c r="F157" s="79" t="s">
        <v>54</v>
      </c>
      <c r="G157" s="78">
        <f t="shared" si="4"/>
        <v>1</v>
      </c>
    </row>
    <row r="158" spans="1:7" x14ac:dyDescent="0.2">
      <c r="A158" s="110">
        <v>158</v>
      </c>
      <c r="B158" s="188" t="str">
        <f>IF(AND(A158&lt;&gt;"",ISNUMBER(A158)),VLOOKUP(A158,Studies!A:BR,2,FALSE),"")</f>
        <v>Furesz 1970</v>
      </c>
      <c r="C158" s="188" t="str">
        <f>IF(AND(A158&lt;&gt;"",ISNUMBER(A158)),VLOOKUP(A158,Studies!A:BR,3,FALSE),"")</f>
        <v>https://www.ncbi.nlm.nih.gov/pubmed/5002304</v>
      </c>
      <c r="D158" s="228" t="str">
        <f>IF(AND(A158&lt;&gt;"",ISNUMBER(A158)),VLOOKUP(A158,Studies!A:BR,4,FALSE),"")</f>
        <v>150 mg</v>
      </c>
      <c r="E158" s="188" t="str">
        <f>IF(AND(A158&lt;&gt;"",ISNUMBER(A158)),VLOOKUP(A158,Studies!A:BR,5,FALSE),"")</f>
        <v>Rifampicin</v>
      </c>
      <c r="F158" s="79" t="s">
        <v>54</v>
      </c>
      <c r="G158" s="78">
        <f t="shared" si="4"/>
        <v>1</v>
      </c>
    </row>
    <row r="159" spans="1:7" x14ac:dyDescent="0.2">
      <c r="A159" s="110">
        <v>159</v>
      </c>
      <c r="B159" s="188" t="str">
        <f>IF(AND(A159&lt;&gt;"",ISNUMBER(A159)),VLOOKUP(A159,Studies!A:BR,2,FALSE),"")</f>
        <v>Furesz 1970</v>
      </c>
      <c r="C159" s="188" t="str">
        <f>IF(AND(A159&lt;&gt;"",ISNUMBER(A159)),VLOOKUP(A159,Studies!A:BR,3,FALSE),"")</f>
        <v>https://www.ncbi.nlm.nih.gov/pubmed/5002304</v>
      </c>
      <c r="D159" s="228" t="str">
        <f>IF(AND(A159&lt;&gt;"",ISNUMBER(A159)),VLOOKUP(A159,Studies!A:BR,4,FALSE),"")</f>
        <v>250 mg</v>
      </c>
      <c r="E159" s="188" t="str">
        <f>IF(AND(A159&lt;&gt;"",ISNUMBER(A159)),VLOOKUP(A159,Studies!A:BR,5,FALSE),"")</f>
        <v>Rifampicin</v>
      </c>
      <c r="F159" s="79" t="s">
        <v>54</v>
      </c>
      <c r="G159" s="78">
        <f t="shared" si="4"/>
        <v>1</v>
      </c>
    </row>
    <row r="160" spans="1:7" x14ac:dyDescent="0.2">
      <c r="A160" s="110">
        <v>160</v>
      </c>
      <c r="B160" s="188" t="str">
        <f>IF(AND(A160&lt;&gt;"",ISNUMBER(A160)),VLOOKUP(A160,Studies!A:BR,2,FALSE),"")</f>
        <v>Furesz 1970</v>
      </c>
      <c r="C160" s="188" t="str">
        <f>IF(AND(A160&lt;&gt;"",ISNUMBER(A160)),VLOOKUP(A160,Studies!A:BR,3,FALSE),"")</f>
        <v>https://www.ncbi.nlm.nih.gov/pubmed/5002304</v>
      </c>
      <c r="D160" s="228" t="str">
        <f>IF(AND(A160&lt;&gt;"",ISNUMBER(A160)),VLOOKUP(A160,Studies!A:BR,4,FALSE),"")</f>
        <v>300 mg</v>
      </c>
      <c r="E160" s="188" t="str">
        <f>IF(AND(A160&lt;&gt;"",ISNUMBER(A160)),VLOOKUP(A160,Studies!A:BR,5,FALSE),"")</f>
        <v>Rifampicin</v>
      </c>
      <c r="F160" s="79" t="s">
        <v>54</v>
      </c>
      <c r="G160" s="78">
        <f t="shared" si="4"/>
        <v>1</v>
      </c>
    </row>
    <row r="161" spans="1:7" x14ac:dyDescent="0.2">
      <c r="A161" s="110">
        <v>161</v>
      </c>
      <c r="B161" s="188" t="str">
        <f>IF(AND(A161&lt;&gt;"",ISNUMBER(A161)),VLOOKUP(A161,Studies!A:BR,2,FALSE),"")</f>
        <v>Furesz 1970</v>
      </c>
      <c r="C161" s="188" t="str">
        <f>IF(AND(A161&lt;&gt;"",ISNUMBER(A161)),VLOOKUP(A161,Studies!A:BR,3,FALSE),"")</f>
        <v>https://www.ncbi.nlm.nih.gov/pubmed/5002304</v>
      </c>
      <c r="D161" s="228" t="str">
        <f>IF(AND(A161&lt;&gt;"",ISNUMBER(A161)),VLOOKUP(A161,Studies!A:BR,4,FALSE),"")</f>
        <v>450 mg</v>
      </c>
      <c r="E161" s="188" t="str">
        <f>IF(AND(A161&lt;&gt;"",ISNUMBER(A161)),VLOOKUP(A161,Studies!A:BR,5,FALSE),"")</f>
        <v>Rifampicin</v>
      </c>
      <c r="F161" s="79" t="s">
        <v>54</v>
      </c>
      <c r="G161" s="78">
        <f t="shared" si="4"/>
        <v>1</v>
      </c>
    </row>
    <row r="162" spans="1:7" x14ac:dyDescent="0.2">
      <c r="A162" s="110">
        <v>162</v>
      </c>
      <c r="B162" s="188" t="str">
        <f>IF(AND(A162&lt;&gt;"",ISNUMBER(A162)),VLOOKUP(A162,Studies!A:BR,2,FALSE),"")</f>
        <v>Furesz 1970</v>
      </c>
      <c r="C162" s="188" t="str">
        <f>IF(AND(A162&lt;&gt;"",ISNUMBER(A162)),VLOOKUP(A162,Studies!A:BR,3,FALSE),"")</f>
        <v>https://www.ncbi.nlm.nih.gov/pubmed/5002304</v>
      </c>
      <c r="D162" s="228" t="str">
        <f>IF(AND(A162&lt;&gt;"",ISNUMBER(A162)),VLOOKUP(A162,Studies!A:BR,4,FALSE),"")</f>
        <v>600 mg</v>
      </c>
      <c r="E162" s="188" t="str">
        <f>IF(AND(A162&lt;&gt;"",ISNUMBER(A162)),VLOOKUP(A162,Studies!A:BR,5,FALSE),"")</f>
        <v>Rifampicin</v>
      </c>
      <c r="F162" s="79" t="s">
        <v>54</v>
      </c>
      <c r="G162" s="78">
        <f t="shared" si="4"/>
        <v>1</v>
      </c>
    </row>
    <row r="163" spans="1:7" x14ac:dyDescent="0.2">
      <c r="A163" s="110">
        <v>163</v>
      </c>
      <c r="B163" s="188" t="str">
        <f>IF(AND(A163&lt;&gt;"",ISNUMBER(A163)),VLOOKUP(A163,Studies!A:BR,2,FALSE),"")</f>
        <v>Furesz 1970</v>
      </c>
      <c r="C163" s="188" t="str">
        <f>IF(AND(A163&lt;&gt;"",ISNUMBER(A163)),VLOOKUP(A163,Studies!A:BR,3,FALSE),"")</f>
        <v>https://www.ncbi.nlm.nih.gov/pubmed/5002304</v>
      </c>
      <c r="D163" s="228" t="str">
        <f>IF(AND(A163&lt;&gt;"",ISNUMBER(A163)),VLOOKUP(A163,Studies!A:BR,4,FALSE),"")</f>
        <v>750 mg</v>
      </c>
      <c r="E163" s="188" t="str">
        <f>IF(AND(A163&lt;&gt;"",ISNUMBER(A163)),VLOOKUP(A163,Studies!A:BR,5,FALSE),"")</f>
        <v>Rifampicin</v>
      </c>
      <c r="F163" s="79" t="s">
        <v>54</v>
      </c>
      <c r="G163" s="78">
        <f t="shared" si="4"/>
        <v>1</v>
      </c>
    </row>
    <row r="164" spans="1:7" x14ac:dyDescent="0.2">
      <c r="A164" s="110">
        <v>164</v>
      </c>
      <c r="B164" s="188" t="str">
        <f>IF(AND(A164&lt;&gt;"",ISNUMBER(A164)),VLOOKUP(A164,Studies!A:BR,2,FALSE),"")</f>
        <v>Furesz 1970</v>
      </c>
      <c r="C164" s="188" t="str">
        <f>IF(AND(A164&lt;&gt;"",ISNUMBER(A164)),VLOOKUP(A164,Studies!A:BR,3,FALSE),"")</f>
        <v>https://www.ncbi.nlm.nih.gov/pubmed/5002304</v>
      </c>
      <c r="D164" s="228" t="str">
        <f>IF(AND(A164&lt;&gt;"",ISNUMBER(A164)),VLOOKUP(A164,Studies!A:BR,4,FALSE),"")</f>
        <v>900 mg</v>
      </c>
      <c r="E164" s="188" t="str">
        <f>IF(AND(A164&lt;&gt;"",ISNUMBER(A164)),VLOOKUP(A164,Studies!A:BR,5,FALSE),"")</f>
        <v>Rifampicin</v>
      </c>
      <c r="F164" s="79" t="s">
        <v>54</v>
      </c>
      <c r="G164" s="78">
        <f t="shared" si="4"/>
        <v>1</v>
      </c>
    </row>
    <row r="165" spans="1:7" x14ac:dyDescent="0.2">
      <c r="A165" s="80">
        <v>165</v>
      </c>
      <c r="B165" s="188" t="str">
        <f>IF(AND(A165&lt;&gt;"",ISNUMBER(A165)),VLOOKUP(A165,Studies!A:BR,2,FALSE),"")</f>
        <v>Gammans 1985</v>
      </c>
      <c r="C165" s="188" t="str">
        <f>IF(AND(A165&lt;&gt;"",ISNUMBER(A165)),VLOOKUP(A165,Studies!A:BR,3,FALSE),"")</f>
        <v>https://www.ncbi.nlm.nih.gov/pubmed/2860931</v>
      </c>
      <c r="D165" s="228" t="str">
        <f>IF(AND(A165&lt;&gt;"",ISNUMBER(A165)),VLOOKUP(A165,Studies!A:BR,4,FALSE),"")</f>
        <v>10 mg</v>
      </c>
      <c r="E165" s="188" t="str">
        <f>IF(AND(A165&lt;&gt;"",ISNUMBER(A165)),VLOOKUP(A165,Studies!A:BR,5,FALSE),"")</f>
        <v>Buspirone</v>
      </c>
      <c r="F165" s="79" t="s">
        <v>111</v>
      </c>
      <c r="G165" s="78">
        <f t="shared" si="4"/>
        <v>1</v>
      </c>
    </row>
    <row r="166" spans="1:7" x14ac:dyDescent="0.2">
      <c r="A166" s="80">
        <v>166</v>
      </c>
      <c r="B166" s="188" t="str">
        <f>IF(AND(A166&lt;&gt;"",ISNUMBER(A166)),VLOOKUP(A166,Studies!A:BR,2,FALSE),"")</f>
        <v>Gammans 1985</v>
      </c>
      <c r="C166" s="188" t="str">
        <f>IF(AND(A166&lt;&gt;"",ISNUMBER(A166)),VLOOKUP(A166,Studies!A:BR,3,FALSE),"")</f>
        <v>https://www.ncbi.nlm.nih.gov/pubmed/2860931</v>
      </c>
      <c r="D166" s="228" t="str">
        <f>IF(AND(A166&lt;&gt;"",ISNUMBER(A166)),VLOOKUP(A166,Studies!A:BR,4,FALSE),"")</f>
        <v>20 mg</v>
      </c>
      <c r="E166" s="188" t="str">
        <f>IF(AND(A166&lt;&gt;"",ISNUMBER(A166)),VLOOKUP(A166,Studies!A:BR,5,FALSE),"")</f>
        <v>Buspirone</v>
      </c>
      <c r="F166" s="79" t="s">
        <v>111</v>
      </c>
      <c r="G166" s="78">
        <f t="shared" si="4"/>
        <v>1</v>
      </c>
    </row>
    <row r="167" spans="1:7" x14ac:dyDescent="0.2">
      <c r="A167" s="80">
        <v>167</v>
      </c>
      <c r="B167" s="188" t="str">
        <f>IF(AND(A167&lt;&gt;"",ISNUMBER(A167)),VLOOKUP(A167,Studies!A:BR,2,FALSE),"")</f>
        <v>Gammans 1985</v>
      </c>
      <c r="C167" s="188" t="str">
        <f>IF(AND(A167&lt;&gt;"",ISNUMBER(A167)),VLOOKUP(A167,Studies!A:BR,3,FALSE),"")</f>
        <v>https://www.ncbi.nlm.nih.gov/pubmed/2860931</v>
      </c>
      <c r="D167" s="228" t="str">
        <f>IF(AND(A167&lt;&gt;"",ISNUMBER(A167)),VLOOKUP(A167,Studies!A:BR,4,FALSE),"")</f>
        <v>40 mg</v>
      </c>
      <c r="E167" s="188" t="str">
        <f>IF(AND(A167&lt;&gt;"",ISNUMBER(A167)),VLOOKUP(A167,Studies!A:BR,5,FALSE),"")</f>
        <v>Buspirone</v>
      </c>
      <c r="F167" s="79" t="s">
        <v>111</v>
      </c>
      <c r="G167" s="78">
        <f t="shared" si="4"/>
        <v>1</v>
      </c>
    </row>
    <row r="168" spans="1:7" x14ac:dyDescent="0.2">
      <c r="A168" s="80">
        <v>168</v>
      </c>
      <c r="B168" s="188" t="str">
        <f>IF(AND(A168&lt;&gt;"",ISNUMBER(A168)),VLOOKUP(A168,Studies!A:BR,2,FALSE),"")</f>
        <v>Gammans 1986</v>
      </c>
      <c r="C168" s="188" t="str">
        <f>IF(AND(A168&lt;&gt;"",ISNUMBER(A168)),VLOOKUP(A168,Studies!A:BR,3,FALSE),"")</f>
        <v>https://www.ncbi.nlm.nih.gov/pubmed/16638734</v>
      </c>
      <c r="D168" s="228" t="str">
        <f>IF(AND(A168&lt;&gt;"",ISNUMBER(A168)),VLOOKUP(A168,Studies!A:BR,4,FALSE),"")</f>
        <v>Intravenous 1mg (n=8)</v>
      </c>
      <c r="E168" s="188" t="str">
        <f>IF(AND(A168&lt;&gt;"",ISNUMBER(A168)),VLOOKUP(A168,Studies!A:BR,5,FALSE),"")</f>
        <v>Buspirone</v>
      </c>
      <c r="F168" s="79" t="s">
        <v>111</v>
      </c>
      <c r="G168" s="78">
        <f t="shared" si="4"/>
        <v>1</v>
      </c>
    </row>
    <row r="169" spans="1:7" x14ac:dyDescent="0.2">
      <c r="A169" s="80">
        <v>169</v>
      </c>
      <c r="B169" s="188" t="str">
        <f>IF(AND(A169&lt;&gt;"",ISNUMBER(A169)),VLOOKUP(A169,Studies!A:BR,2,FALSE),"")</f>
        <v>Gammans 1986</v>
      </c>
      <c r="C169" s="188" t="str">
        <f>IF(AND(A169&lt;&gt;"",ISNUMBER(A169)),VLOOKUP(A169,Studies!A:BR,3,FALSE),"")</f>
        <v>https://www.ncbi.nlm.nih.gov/pubmed/16638734</v>
      </c>
      <c r="D169" s="228" t="str">
        <f>IF(AND(A169&lt;&gt;"",ISNUMBER(A169)),VLOOKUP(A169,Studies!A:BR,4,FALSE),"")</f>
        <v>Oral 20 mg (n=8)</v>
      </c>
      <c r="E169" s="188" t="str">
        <f>IF(AND(A169&lt;&gt;"",ISNUMBER(A169)),VLOOKUP(A169,Studies!A:BR,5,FALSE),"")</f>
        <v>Buspirone</v>
      </c>
      <c r="F169" s="79" t="s">
        <v>111</v>
      </c>
      <c r="G169" s="78">
        <f t="shared" si="4"/>
        <v>1</v>
      </c>
    </row>
    <row r="170" spans="1:7" x14ac:dyDescent="0.2">
      <c r="A170" s="80">
        <v>170</v>
      </c>
      <c r="B170" s="188" t="str">
        <f>IF(AND(A170&lt;&gt;"",ISNUMBER(A170)),VLOOKUP(A170,Studies!A:BR,2,FALSE),"")</f>
        <v>Gammans 1986</v>
      </c>
      <c r="C170" s="188" t="str">
        <f>IF(AND(A170&lt;&gt;"",ISNUMBER(A170)),VLOOKUP(A170,Studies!A:BR,3,FALSE),"")</f>
        <v>https://www.ncbi.nlm.nih.gov/pubmed/16638734</v>
      </c>
      <c r="D170" s="228" t="str">
        <f>IF(AND(A170&lt;&gt;"",ISNUMBER(A170)),VLOOKUP(A170,Studies!A:BR,4,FALSE),"")</f>
        <v>Fig 3</v>
      </c>
      <c r="E170" s="188" t="str">
        <f>IF(AND(A170&lt;&gt;"",ISNUMBER(A170)),VLOOKUP(A170,Studies!A:BR,5,FALSE),"")</f>
        <v>Buspirone</v>
      </c>
      <c r="F170" s="79" t="s">
        <v>111</v>
      </c>
      <c r="G170" s="78">
        <f t="shared" si="4"/>
        <v>1</v>
      </c>
    </row>
    <row r="171" spans="1:7" x14ac:dyDescent="0.2">
      <c r="A171" s="80">
        <v>171</v>
      </c>
      <c r="B171" s="188" t="str">
        <f>IF(AND(A171&lt;&gt;"",ISNUMBER(A171)),VLOOKUP(A171,Studies!A:BR,2,FALSE),"")</f>
        <v>Gammans 1986</v>
      </c>
      <c r="C171" s="188" t="str">
        <f>IF(AND(A171&lt;&gt;"",ISNUMBER(A171)),VLOOKUP(A171,Studies!A:BR,3,FALSE),"")</f>
        <v>https://www.ncbi.nlm.nih.gov/pubmed/16638734</v>
      </c>
      <c r="D171" s="228" t="str">
        <f>IF(AND(A171&lt;&gt;"",ISNUMBER(A171)),VLOOKUP(A171,Studies!A:BR,4,FALSE),"")</f>
        <v>Fig 4</v>
      </c>
      <c r="E171" s="188" t="str">
        <f>IF(AND(A171&lt;&gt;"",ISNUMBER(A171)),VLOOKUP(A171,Studies!A:BR,5,FALSE),"")</f>
        <v>Buspirone</v>
      </c>
      <c r="F171" s="79" t="s">
        <v>111</v>
      </c>
      <c r="G171" s="78">
        <f t="shared" si="4"/>
        <v>1</v>
      </c>
    </row>
    <row r="172" spans="1:7" x14ac:dyDescent="0.2">
      <c r="A172" s="110">
        <v>172</v>
      </c>
      <c r="B172" s="188" t="str">
        <f>IF(AND(A172&lt;&gt;"",ISNUMBER(A172)),VLOOKUP(A172,Studies!A:BR,2,FALSE),"")</f>
        <v>Gorski 1998</v>
      </c>
      <c r="C172" s="188" t="str">
        <f>IF(AND(A172&lt;&gt;"",ISNUMBER(A172)),VLOOKUP(A172,Studies!A:BR,3,FALSE),"")</f>
        <v>https://www.ncbi.nlm.nih.gov/pubmed/9728893</v>
      </c>
      <c r="D172" s="228" t="str">
        <f>IF(AND(A172&lt;&gt;"",ISNUMBER(A172)),VLOOKUP(A172,Studies!A:BR,4,FALSE),"")</f>
        <v>po Control (Perpetrator Placebo)</v>
      </c>
      <c r="E172" s="188" t="str">
        <f>IF(AND(A172&lt;&gt;"",ISNUMBER(A172)),VLOOKUP(A172,Studies!A:BR,5,FALSE),"")</f>
        <v>Midazolam</v>
      </c>
      <c r="F172" s="79" t="s">
        <v>102</v>
      </c>
      <c r="G172" s="78">
        <f t="shared" si="4"/>
        <v>1</v>
      </c>
    </row>
    <row r="173" spans="1:7" x14ac:dyDescent="0.2">
      <c r="A173" s="110">
        <v>173</v>
      </c>
      <c r="B173" s="188" t="str">
        <f>IF(AND(A173&lt;&gt;"",ISNUMBER(A173)),VLOOKUP(A173,Studies!A:BR,2,FALSE),"")</f>
        <v>Gorski 1998</v>
      </c>
      <c r="C173" s="188" t="str">
        <f>IF(AND(A173&lt;&gt;"",ISNUMBER(A173)),VLOOKUP(A173,Studies!A:BR,3,FALSE),"")</f>
        <v>https://www.ncbi.nlm.nih.gov/pubmed/9728893</v>
      </c>
      <c r="D173" s="228" t="str">
        <f>IF(AND(A173&lt;&gt;"",ISNUMBER(A173)),VLOOKUP(A173,Studies!A:BR,4,FALSE),"")</f>
        <v>po with Perpetrator (Clarithromycin)</v>
      </c>
      <c r="E173" s="188" t="str">
        <f>IF(AND(A173&lt;&gt;"",ISNUMBER(A173)),VLOOKUP(A173,Studies!A:BR,5,FALSE),"")</f>
        <v>Midazolam</v>
      </c>
      <c r="F173" s="79" t="s">
        <v>102</v>
      </c>
      <c r="G173" s="78">
        <f t="shared" si="4"/>
        <v>1</v>
      </c>
    </row>
    <row r="174" spans="1:7" x14ac:dyDescent="0.2">
      <c r="A174" s="110">
        <v>174</v>
      </c>
      <c r="B174" s="188" t="str">
        <f>IF(AND(A174&lt;&gt;"",ISNUMBER(A174)),VLOOKUP(A174,Studies!A:BR,2,FALSE),"")</f>
        <v>Gorski 1998</v>
      </c>
      <c r="C174" s="188" t="str">
        <f>IF(AND(A174&lt;&gt;"",ISNUMBER(A174)),VLOOKUP(A174,Studies!A:BR,3,FALSE),"")</f>
        <v>https://www.ncbi.nlm.nih.gov/pubmed/9728893</v>
      </c>
      <c r="D174" s="228" t="str">
        <f>IF(AND(A174&lt;&gt;"",ISNUMBER(A174)),VLOOKUP(A174,Studies!A:BR,4,FALSE),"")</f>
        <v>iv Control (Perpetrator Placebo)</v>
      </c>
      <c r="E174" s="188" t="str">
        <f>IF(AND(A174&lt;&gt;"",ISNUMBER(A174)),VLOOKUP(A174,Studies!A:BR,5,FALSE),"")</f>
        <v>Midazolam</v>
      </c>
      <c r="F174" s="79" t="s">
        <v>102</v>
      </c>
      <c r="G174" s="78">
        <f t="shared" si="4"/>
        <v>1</v>
      </c>
    </row>
    <row r="175" spans="1:7" x14ac:dyDescent="0.2">
      <c r="A175" s="110">
        <v>175</v>
      </c>
      <c r="B175" s="188" t="str">
        <f>IF(AND(A175&lt;&gt;"",ISNUMBER(A175)),VLOOKUP(A175,Studies!A:BR,2,FALSE),"")</f>
        <v>Gorski 1998</v>
      </c>
      <c r="C175" s="188" t="str">
        <f>IF(AND(A175&lt;&gt;"",ISNUMBER(A175)),VLOOKUP(A175,Studies!A:BR,3,FALSE),"")</f>
        <v>https://www.ncbi.nlm.nih.gov/pubmed/9728893</v>
      </c>
      <c r="D175" s="228" t="str">
        <f>IF(AND(A175&lt;&gt;"",ISNUMBER(A175)),VLOOKUP(A175,Studies!A:BR,4,FALSE),"")</f>
        <v>iv with Perpetrator (Clarithromycin)</v>
      </c>
      <c r="E175" s="188" t="str">
        <f>IF(AND(A175&lt;&gt;"",ISNUMBER(A175)),VLOOKUP(A175,Studies!A:BR,5,FALSE),"")</f>
        <v>Midazolam</v>
      </c>
      <c r="F175" s="79" t="s">
        <v>102</v>
      </c>
      <c r="G175" s="78">
        <f t="shared" si="4"/>
        <v>1</v>
      </c>
    </row>
    <row r="176" spans="1:7" x14ac:dyDescent="0.2">
      <c r="A176" s="110">
        <v>176</v>
      </c>
      <c r="B176" s="188" t="str">
        <f>IF(AND(A176&lt;&gt;"",ISNUMBER(A176)),VLOOKUP(A176,Studies!A:BR,2,FALSE),"")</f>
        <v>Gorski 2003</v>
      </c>
      <c r="C176" s="188" t="str">
        <f>IF(AND(A176&lt;&gt;"",ISNUMBER(A176)),VLOOKUP(A176,Studies!A:BR,3,FALSE),"")</f>
        <v>https://www.ncbi.nlm.nih.gov/pubmed/12966371</v>
      </c>
      <c r="D176" s="228" t="str">
        <f>IF(AND(A176&lt;&gt;"",ISNUMBER(A176)),VLOOKUP(A176,Studies!A:BR,4,FALSE),"")</f>
        <v>po Control (Perpetrator Placebo)</v>
      </c>
      <c r="E176" s="188" t="str">
        <f>IF(AND(A176&lt;&gt;"",ISNUMBER(A176)),VLOOKUP(A176,Studies!A:BR,5,FALSE),"")</f>
        <v>Midazolam</v>
      </c>
      <c r="F176" s="79" t="s">
        <v>1371</v>
      </c>
      <c r="G176" s="78">
        <f t="shared" si="4"/>
        <v>1</v>
      </c>
    </row>
    <row r="177" spans="1:7" x14ac:dyDescent="0.2">
      <c r="A177" s="110">
        <v>177</v>
      </c>
      <c r="B177" s="188" t="str">
        <f>IF(AND(A177&lt;&gt;"",ISNUMBER(A177)),VLOOKUP(A177,Studies!A:BR,2,FALSE),"")</f>
        <v>Gorski 2003</v>
      </c>
      <c r="C177" s="188" t="str">
        <f>IF(AND(A177&lt;&gt;"",ISNUMBER(A177)),VLOOKUP(A177,Studies!A:BR,3,FALSE),"")</f>
        <v>https://www.ncbi.nlm.nih.gov/pubmed/12966371</v>
      </c>
      <c r="D177" s="228" t="str">
        <f>IF(AND(A177&lt;&gt;"",ISNUMBER(A177)),VLOOKUP(A177,Studies!A:BR,4,FALSE),"")</f>
        <v>po with Perpetrator (Rifampicin)</v>
      </c>
      <c r="E177" s="188" t="str">
        <f>IF(AND(A177&lt;&gt;"",ISNUMBER(A177)),VLOOKUP(A177,Studies!A:BR,5,FALSE),"")</f>
        <v>Midazolam</v>
      </c>
      <c r="F177" s="79" t="s">
        <v>1372</v>
      </c>
      <c r="G177" s="78">
        <f t="shared" si="4"/>
        <v>1</v>
      </c>
    </row>
    <row r="178" spans="1:7" x14ac:dyDescent="0.2">
      <c r="A178" s="110">
        <v>178</v>
      </c>
      <c r="B178" s="188" t="str">
        <f>IF(AND(A178&lt;&gt;"",ISNUMBER(A178)),VLOOKUP(A178,Studies!A:BR,2,FALSE),"")</f>
        <v>Gorski 2003</v>
      </c>
      <c r="C178" s="188" t="str">
        <f>IF(AND(A178&lt;&gt;"",ISNUMBER(A178)),VLOOKUP(A178,Studies!A:BR,3,FALSE),"")</f>
        <v>https://www.ncbi.nlm.nih.gov/pubmed/12966371</v>
      </c>
      <c r="D178" s="228" t="str">
        <f>IF(AND(A178&lt;&gt;"",ISNUMBER(A178)),VLOOKUP(A178,Studies!A:BR,4,FALSE),"")</f>
        <v>iv Control (Perpetrator Placebo)</v>
      </c>
      <c r="E178" s="188" t="str">
        <f>IF(AND(A178&lt;&gt;"",ISNUMBER(A178)),VLOOKUP(A178,Studies!A:BR,5,FALSE),"")</f>
        <v>Midazolam</v>
      </c>
      <c r="F178" s="79" t="s">
        <v>1371</v>
      </c>
      <c r="G178" s="78">
        <f t="shared" si="4"/>
        <v>1</v>
      </c>
    </row>
    <row r="179" spans="1:7" x14ac:dyDescent="0.2">
      <c r="A179" s="110">
        <v>179</v>
      </c>
      <c r="B179" s="188" t="str">
        <f>IF(AND(A179&lt;&gt;"",ISNUMBER(A179)),VLOOKUP(A179,Studies!A:BR,2,FALSE),"")</f>
        <v>Gorski 2003</v>
      </c>
      <c r="C179" s="188" t="str">
        <f>IF(AND(A179&lt;&gt;"",ISNUMBER(A179)),VLOOKUP(A179,Studies!A:BR,3,FALSE),"")</f>
        <v>https://www.ncbi.nlm.nih.gov/pubmed/12966371</v>
      </c>
      <c r="D179" s="228" t="str">
        <f>IF(AND(A179&lt;&gt;"",ISNUMBER(A179)),VLOOKUP(A179,Studies!A:BR,4,FALSE),"")</f>
        <v>iv with Perpetrator (Rifampicin)</v>
      </c>
      <c r="E179" s="188" t="str">
        <f>IF(AND(A179&lt;&gt;"",ISNUMBER(A179)),VLOOKUP(A179,Studies!A:BR,5,FALSE),"")</f>
        <v>Midazolam</v>
      </c>
      <c r="F179" s="79" t="s">
        <v>1372</v>
      </c>
      <c r="G179" s="78">
        <f t="shared" si="4"/>
        <v>1</v>
      </c>
    </row>
    <row r="180" spans="1:7" x14ac:dyDescent="0.2">
      <c r="A180" s="110">
        <v>180</v>
      </c>
      <c r="B180" s="188" t="str">
        <f>IF(AND(A180&lt;&gt;"",ISNUMBER(A180)),VLOOKUP(A180,Studies!A:BR,2,FALSE),"")</f>
        <v>Greenblat 1984</v>
      </c>
      <c r="C180" s="188" t="str">
        <f>IF(AND(A180&lt;&gt;"",ISNUMBER(A180)),VLOOKUP(A180,Studies!A:BR,3,FALSE),"")</f>
        <v>https://www.ncbi.nlm.nih.gov/pubmed/6742481</v>
      </c>
      <c r="D180" s="228" t="str">
        <f>IF(AND(A180&lt;&gt;"",ISNUMBER(A180)),VLOOKUP(A180,Studies!A:BR,4,FALSE),"")</f>
        <v>iv - f, 136kg, 36y (obese female)</v>
      </c>
      <c r="E180" s="188" t="str">
        <f>IF(AND(A180&lt;&gt;"",ISNUMBER(A180)),VLOOKUP(A180,Studies!A:BR,5,FALSE),"")</f>
        <v>Midazolam</v>
      </c>
      <c r="F180" s="79" t="s">
        <v>102</v>
      </c>
      <c r="G180" s="78">
        <f t="shared" si="4"/>
        <v>1</v>
      </c>
    </row>
    <row r="181" spans="1:7" x14ac:dyDescent="0.2">
      <c r="A181" s="110">
        <v>181</v>
      </c>
      <c r="B181" s="188" t="str">
        <f>IF(AND(A181&lt;&gt;"",ISNUMBER(A181)),VLOOKUP(A181,Studies!A:BR,2,FALSE),"")</f>
        <v>Greenblat 1984</v>
      </c>
      <c r="C181" s="188" t="str">
        <f>IF(AND(A181&lt;&gt;"",ISNUMBER(A181)),VLOOKUP(A181,Studies!A:BR,3,FALSE),"")</f>
        <v>https://www.ncbi.nlm.nih.gov/pubmed/6742481</v>
      </c>
      <c r="D181" s="228" t="str">
        <f>IF(AND(A181&lt;&gt;"",ISNUMBER(A181)),VLOOKUP(A181,Studies!A:BR,4,FALSE),"")</f>
        <v>iv - f, 61kg, 37y (normal female)</v>
      </c>
      <c r="E181" s="188" t="str">
        <f>IF(AND(A181&lt;&gt;"",ISNUMBER(A181)),VLOOKUP(A181,Studies!A:BR,5,FALSE),"")</f>
        <v>Midazolam</v>
      </c>
      <c r="F181" s="79" t="s">
        <v>102</v>
      </c>
      <c r="G181" s="78">
        <f t="shared" si="4"/>
        <v>1</v>
      </c>
    </row>
    <row r="182" spans="1:7" x14ac:dyDescent="0.2">
      <c r="A182" s="110">
        <v>182</v>
      </c>
      <c r="B182" s="188" t="str">
        <f>IF(AND(A182&lt;&gt;"",ISNUMBER(A182)),VLOOKUP(A182,Studies!A:BR,2,FALSE),"")</f>
        <v>Greenblat 1984</v>
      </c>
      <c r="C182" s="188" t="str">
        <f>IF(AND(A182&lt;&gt;"",ISNUMBER(A182)),VLOOKUP(A182,Studies!A:BR,3,FALSE),"")</f>
        <v>https://www.ncbi.nlm.nih.gov/pubmed/6742481</v>
      </c>
      <c r="D182" s="228" t="str">
        <f>IF(AND(A182&lt;&gt;"",ISNUMBER(A182)),VLOOKUP(A182,Studies!A:BR,4,FALSE),"")</f>
        <v>iv - m, 70kg, 32y (young male)</v>
      </c>
      <c r="E182" s="188" t="str">
        <f>IF(AND(A182&lt;&gt;"",ISNUMBER(A182)),VLOOKUP(A182,Studies!A:BR,5,FALSE),"")</f>
        <v>Midazolam</v>
      </c>
      <c r="F182" s="79" t="s">
        <v>102</v>
      </c>
      <c r="G182" s="78">
        <f t="shared" si="4"/>
        <v>1</v>
      </c>
    </row>
    <row r="183" spans="1:7" x14ac:dyDescent="0.2">
      <c r="A183" s="110">
        <v>183</v>
      </c>
      <c r="B183" s="188" t="str">
        <f>IF(AND(A183&lt;&gt;"",ISNUMBER(A183)),VLOOKUP(A183,Studies!A:BR,2,FALSE),"")</f>
        <v>Greenblat 1984</v>
      </c>
      <c r="C183" s="188" t="str">
        <f>IF(AND(A183&lt;&gt;"",ISNUMBER(A183)),VLOOKUP(A183,Studies!A:BR,3,FALSE),"")</f>
        <v>https://www.ncbi.nlm.nih.gov/pubmed/6742481</v>
      </c>
      <c r="D183" s="228" t="str">
        <f>IF(AND(A183&lt;&gt;"",ISNUMBER(A183)),VLOOKUP(A183,Studies!A:BR,4,FALSE),"")</f>
        <v>iv - m, 80kg, 70y (elderly male)</v>
      </c>
      <c r="E183" s="188" t="str">
        <f>IF(AND(A183&lt;&gt;"",ISNUMBER(A183)),VLOOKUP(A183,Studies!A:BR,5,FALSE),"")</f>
        <v>Midazolam</v>
      </c>
      <c r="F183" s="79" t="s">
        <v>102</v>
      </c>
      <c r="G183" s="78">
        <f t="shared" si="4"/>
        <v>1</v>
      </c>
    </row>
    <row r="184" spans="1:7" x14ac:dyDescent="0.2">
      <c r="A184" s="110">
        <v>184</v>
      </c>
      <c r="B184" s="188" t="str">
        <f>IF(AND(A184&lt;&gt;"",ISNUMBER(A184)),VLOOKUP(A184,Studies!A:BR,2,FALSE),"")</f>
        <v>Greenblat 1984</v>
      </c>
      <c r="C184" s="188" t="str">
        <f>IF(AND(A184&lt;&gt;"",ISNUMBER(A184)),VLOOKUP(A184,Studies!A:BR,3,FALSE),"")</f>
        <v>https://www.ncbi.nlm.nih.gov/pubmed/6742481</v>
      </c>
      <c r="D184" s="228" t="str">
        <f>IF(AND(A184&lt;&gt;"",ISNUMBER(A184)),VLOOKUP(A184,Studies!A:BR,4,FALSE),"")</f>
        <v>po - f, 136kg, 36y (obese female)</v>
      </c>
      <c r="E184" s="188" t="str">
        <f>IF(AND(A184&lt;&gt;"",ISNUMBER(A184)),VLOOKUP(A184,Studies!A:BR,5,FALSE),"")</f>
        <v>Midazolam</v>
      </c>
      <c r="F184" s="79" t="s">
        <v>102</v>
      </c>
      <c r="G184" s="78">
        <f t="shared" si="4"/>
        <v>1</v>
      </c>
    </row>
    <row r="185" spans="1:7" x14ac:dyDescent="0.2">
      <c r="A185" s="110">
        <v>185</v>
      </c>
      <c r="B185" s="188" t="str">
        <f>IF(AND(A185&lt;&gt;"",ISNUMBER(A185)),VLOOKUP(A185,Studies!A:BR,2,FALSE),"")</f>
        <v>Greenblat 1984</v>
      </c>
      <c r="C185" s="188" t="str">
        <f>IF(AND(A185&lt;&gt;"",ISNUMBER(A185)),VLOOKUP(A185,Studies!A:BR,3,FALSE),"")</f>
        <v>https://www.ncbi.nlm.nih.gov/pubmed/6742481</v>
      </c>
      <c r="D185" s="228" t="str">
        <f>IF(AND(A185&lt;&gt;"",ISNUMBER(A185)),VLOOKUP(A185,Studies!A:BR,4,FALSE),"")</f>
        <v>po - f, 61kg, 37y (normal female)</v>
      </c>
      <c r="E185" s="188" t="str">
        <f>IF(AND(A185&lt;&gt;"",ISNUMBER(A185)),VLOOKUP(A185,Studies!A:BR,5,FALSE),"")</f>
        <v>Midazolam</v>
      </c>
      <c r="F185" s="79" t="s">
        <v>102</v>
      </c>
      <c r="G185" s="78">
        <f t="shared" si="4"/>
        <v>1</v>
      </c>
    </row>
    <row r="186" spans="1:7" x14ac:dyDescent="0.2">
      <c r="A186" s="110">
        <v>186</v>
      </c>
      <c r="B186" s="188" t="str">
        <f>IF(AND(A186&lt;&gt;"",ISNUMBER(A186)),VLOOKUP(A186,Studies!A:BR,2,FALSE),"")</f>
        <v>Greenblat 1984</v>
      </c>
      <c r="C186" s="188" t="str">
        <f>IF(AND(A186&lt;&gt;"",ISNUMBER(A186)),VLOOKUP(A186,Studies!A:BR,3,FALSE),"")</f>
        <v>https://www.ncbi.nlm.nih.gov/pubmed/6742481</v>
      </c>
      <c r="D186" s="228" t="str">
        <f>IF(AND(A186&lt;&gt;"",ISNUMBER(A186)),VLOOKUP(A186,Studies!A:BR,4,FALSE),"")</f>
        <v>po - m, 70kg, 32y (young male)</v>
      </c>
      <c r="E186" s="188" t="str">
        <f>IF(AND(A186&lt;&gt;"",ISNUMBER(A186)),VLOOKUP(A186,Studies!A:BR,5,FALSE),"")</f>
        <v>Midazolam</v>
      </c>
      <c r="F186" s="79" t="s">
        <v>102</v>
      </c>
      <c r="G186" s="78">
        <f t="shared" si="4"/>
        <v>1</v>
      </c>
    </row>
    <row r="187" spans="1:7" x14ac:dyDescent="0.2">
      <c r="A187" s="110">
        <v>187</v>
      </c>
      <c r="B187" s="188" t="str">
        <f>IF(AND(A187&lt;&gt;"",ISNUMBER(A187)),VLOOKUP(A187,Studies!A:BR,2,FALSE),"")</f>
        <v>Greenblat 1984</v>
      </c>
      <c r="C187" s="188" t="str">
        <f>IF(AND(A187&lt;&gt;"",ISNUMBER(A187)),VLOOKUP(A187,Studies!A:BR,3,FALSE),"")</f>
        <v>https://www.ncbi.nlm.nih.gov/pubmed/6742481</v>
      </c>
      <c r="D187" s="228" t="str">
        <f>IF(AND(A187&lt;&gt;"",ISNUMBER(A187)),VLOOKUP(A187,Studies!A:BR,4,FALSE),"")</f>
        <v>po - m, 80kg, 70y (elderly male)</v>
      </c>
      <c r="E187" s="188" t="str">
        <f>IF(AND(A187&lt;&gt;"",ISNUMBER(A187)),VLOOKUP(A187,Studies!A:BR,5,FALSE),"")</f>
        <v>Midazolam</v>
      </c>
      <c r="F187" s="79" t="s">
        <v>102</v>
      </c>
      <c r="G187" s="78">
        <f t="shared" si="4"/>
        <v>1</v>
      </c>
    </row>
    <row r="188" spans="1:7" x14ac:dyDescent="0.2">
      <c r="A188" s="110">
        <v>188</v>
      </c>
      <c r="B188" s="188" t="str">
        <f>IF(AND(A188&lt;&gt;"",ISNUMBER(A188)),VLOOKUP(A188,Studies!A:BR,2,FALSE),"")</f>
        <v>Greenblat 2003</v>
      </c>
      <c r="C188" s="188" t="str">
        <f>IF(AND(A188&lt;&gt;"",ISNUMBER(A188)),VLOOKUP(A188,Studies!A:BR,3,FALSE),"")</f>
        <v>https://www.ncbi.nlm.nih.gov/pubmed/12891222</v>
      </c>
      <c r="D188" s="228" t="str">
        <f>IF(AND(A188&lt;&gt;"",ISNUMBER(A188)),VLOOKUP(A188,Studies!A:BR,4,FALSE),"")</f>
        <v>Control (Perpetrator Placebo)</v>
      </c>
      <c r="E188" s="188" t="str">
        <f>IF(AND(A188&lt;&gt;"",ISNUMBER(A188)),VLOOKUP(A188,Studies!A:BR,5,FALSE),"")</f>
        <v>Midazolam</v>
      </c>
      <c r="F188" s="79" t="s">
        <v>102</v>
      </c>
      <c r="G188" s="78">
        <f t="shared" si="4"/>
        <v>1</v>
      </c>
    </row>
    <row r="189" spans="1:7" x14ac:dyDescent="0.2">
      <c r="A189" s="110">
        <v>189</v>
      </c>
      <c r="B189" s="188" t="str">
        <f>IF(AND(A189&lt;&gt;"",ISNUMBER(A189)),VLOOKUP(A189,Studies!A:BR,2,FALSE),"")</f>
        <v>Greenblat 2003</v>
      </c>
      <c r="C189" s="188" t="str">
        <f>IF(AND(A189&lt;&gt;"",ISNUMBER(A189)),VLOOKUP(A189,Studies!A:BR,3,FALSE),"")</f>
        <v>https://www.ncbi.nlm.nih.gov/pubmed/12891223</v>
      </c>
      <c r="D189" s="228" t="str">
        <f>IF(AND(A189&lt;&gt;"",ISNUMBER(A189)),VLOOKUP(A189,Studies!A:BR,4,FALSE),"")</f>
        <v>with Perpetrator (GFJ)</v>
      </c>
      <c r="E189" s="188" t="str">
        <f>IF(AND(A189&lt;&gt;"",ISNUMBER(A189)),VLOOKUP(A189,Studies!A:BR,5,FALSE),"")</f>
        <v>Midazolam</v>
      </c>
      <c r="F189" s="79" t="s">
        <v>102</v>
      </c>
      <c r="G189" s="78">
        <f t="shared" si="4"/>
        <v>1</v>
      </c>
    </row>
    <row r="190" spans="1:7" x14ac:dyDescent="0.2">
      <c r="A190" s="110">
        <v>190</v>
      </c>
      <c r="B190" s="188" t="str">
        <f>IF(AND(A190&lt;&gt;"",ISNUMBER(A190)),VLOOKUP(A190,Studies!A:BR,2,FALSE),"")</f>
        <v>Greiner 1999</v>
      </c>
      <c r="C190" s="188" t="str">
        <f>IF(AND(A190&lt;&gt;"",ISNUMBER(A190)),VLOOKUP(A190,Studies!A:BR,3,FALSE),"")</f>
        <v>https://www.ncbi.nlm.nih.gov/pubmed/10411543</v>
      </c>
      <c r="D190" s="228" t="str">
        <f>IF(AND(A190&lt;&gt;"",ISNUMBER(A190)),VLOOKUP(A190,Studies!A:BR,4,FALSE),"")</f>
        <v>po Control (Perpetrator Placebo)</v>
      </c>
      <c r="E190" s="188" t="str">
        <f>IF(AND(A190&lt;&gt;"",ISNUMBER(A190)),VLOOKUP(A190,Studies!A:BR,5,FALSE),"")</f>
        <v>Digoxin</v>
      </c>
      <c r="F190" s="79" t="s">
        <v>1376</v>
      </c>
      <c r="G190" s="78">
        <f t="shared" si="4"/>
        <v>1</v>
      </c>
    </row>
    <row r="191" spans="1:7" x14ac:dyDescent="0.2">
      <c r="A191" s="110">
        <v>191</v>
      </c>
      <c r="B191" s="188" t="str">
        <f>IF(AND(A191&lt;&gt;"",ISNUMBER(A191)),VLOOKUP(A191,Studies!A:BR,2,FALSE),"")</f>
        <v>Greiner 1999</v>
      </c>
      <c r="C191" s="188" t="str">
        <f>IF(AND(A191&lt;&gt;"",ISNUMBER(A191)),VLOOKUP(A191,Studies!A:BR,3,FALSE),"")</f>
        <v>https://www.ncbi.nlm.nih.gov/pubmed/10411543</v>
      </c>
      <c r="D191" s="228" t="str">
        <f>IF(AND(A191&lt;&gt;"",ISNUMBER(A191)),VLOOKUP(A191,Studies!A:BR,4,FALSE),"")</f>
        <v>po with Perpetrator (Rifampicin)</v>
      </c>
      <c r="E191" s="188" t="str">
        <f>IF(AND(A191&lt;&gt;"",ISNUMBER(A191)),VLOOKUP(A191,Studies!A:BR,5,FALSE),"")</f>
        <v>Digoxin</v>
      </c>
      <c r="F191" s="79" t="s">
        <v>1377</v>
      </c>
      <c r="G191" s="78">
        <f t="shared" si="4"/>
        <v>1</v>
      </c>
    </row>
    <row r="192" spans="1:7" x14ac:dyDescent="0.2">
      <c r="A192" s="110">
        <v>192</v>
      </c>
      <c r="B192" s="188" t="str">
        <f>IF(AND(A192&lt;&gt;"",ISNUMBER(A192)),VLOOKUP(A192,Studies!A:BR,2,FALSE),"")</f>
        <v>Greiner 1999</v>
      </c>
      <c r="C192" s="188" t="str">
        <f>IF(AND(A192&lt;&gt;"",ISNUMBER(A192)),VLOOKUP(A192,Studies!A:BR,3,FALSE),"")</f>
        <v>https://www.ncbi.nlm.nih.gov/pubmed/10411543</v>
      </c>
      <c r="D192" s="228" t="str">
        <f>IF(AND(A192&lt;&gt;"",ISNUMBER(A192)),VLOOKUP(A192,Studies!A:BR,4,FALSE),"")</f>
        <v>iv Control (Perpetrator Placebo)</v>
      </c>
      <c r="E192" s="188" t="str">
        <f>IF(AND(A192&lt;&gt;"",ISNUMBER(A192)),VLOOKUP(A192,Studies!A:BR,5,FALSE),"")</f>
        <v>Digoxin</v>
      </c>
      <c r="F192" s="79" t="s">
        <v>1376</v>
      </c>
      <c r="G192" s="78">
        <f t="shared" si="4"/>
        <v>1</v>
      </c>
    </row>
    <row r="193" spans="1:7" x14ac:dyDescent="0.2">
      <c r="A193" s="110">
        <v>193</v>
      </c>
      <c r="B193" s="188" t="str">
        <f>IF(AND(A193&lt;&gt;"",ISNUMBER(A193)),VLOOKUP(A193,Studies!A:BR,2,FALSE),"")</f>
        <v>Greiner 1999</v>
      </c>
      <c r="C193" s="188" t="str">
        <f>IF(AND(A193&lt;&gt;"",ISNUMBER(A193)),VLOOKUP(A193,Studies!A:BR,3,FALSE),"")</f>
        <v>https://www.ncbi.nlm.nih.gov/pubmed/10411543</v>
      </c>
      <c r="D193" s="228" t="str">
        <f>IF(AND(A193&lt;&gt;"",ISNUMBER(A193)),VLOOKUP(A193,Studies!A:BR,4,FALSE),"")</f>
        <v>iv with Perpetrator (Rifampicin)</v>
      </c>
      <c r="E193" s="188" t="str">
        <f>IF(AND(A193&lt;&gt;"",ISNUMBER(A193)),VLOOKUP(A193,Studies!A:BR,5,FALSE),"")</f>
        <v>Digoxin</v>
      </c>
      <c r="F193" s="79" t="s">
        <v>1377</v>
      </c>
      <c r="G193" s="78">
        <f t="shared" si="4"/>
        <v>1</v>
      </c>
    </row>
    <row r="194" spans="1:7" x14ac:dyDescent="0.2">
      <c r="A194" s="80">
        <v>194</v>
      </c>
      <c r="B194" s="188" t="str">
        <f>IF(AND(A194&lt;&gt;"",ISNUMBER(A194)),VLOOKUP(A194,Studies!A:BR,2,FALSE),"")</f>
        <v>Guay 1991</v>
      </c>
      <c r="C194" s="188" t="str">
        <f>IF(AND(A194&lt;&gt;"",ISNUMBER(A194)),VLOOKUP(A194,Studies!A:BR,3,FALSE),"")</f>
        <v>https://www.ncbi.nlm.nih.gov/pubmed/1531117</v>
      </c>
      <c r="D194" s="228" t="str">
        <f>IF(AND(A194&lt;&gt;"",ISNUMBER(A194)),VLOOKUP(A194,Studies!A:BR,4,FALSE),"")</f>
        <v>ID1</v>
      </c>
      <c r="E194" s="188" t="str">
        <f>IF(AND(A194&lt;&gt;"",ISNUMBER(A194)),VLOOKUP(A194,Studies!A:BR,5,FALSE),"")</f>
        <v>Sufentanil</v>
      </c>
      <c r="F194" s="79" t="s">
        <v>213</v>
      </c>
      <c r="G194" s="78">
        <f t="shared" si="4"/>
        <v>1</v>
      </c>
    </row>
    <row r="195" spans="1:7" x14ac:dyDescent="0.2">
      <c r="A195" s="80">
        <v>195</v>
      </c>
      <c r="B195" s="188" t="str">
        <f>IF(AND(A195&lt;&gt;"",ISNUMBER(A195)),VLOOKUP(A195,Studies!A:BR,2,FALSE),"")</f>
        <v>Guay 1991</v>
      </c>
      <c r="C195" s="188" t="str">
        <f>IF(AND(A195&lt;&gt;"",ISNUMBER(A195)),VLOOKUP(A195,Studies!A:BR,3,FALSE),"")</f>
        <v>https://www.ncbi.nlm.nih.gov/pubmed/1531117</v>
      </c>
      <c r="D195" s="228" t="str">
        <f>IF(AND(A195&lt;&gt;"",ISNUMBER(A195)),VLOOKUP(A195,Studies!A:BR,4,FALSE),"")</f>
        <v>ID2</v>
      </c>
      <c r="E195" s="188" t="str">
        <f>IF(AND(A195&lt;&gt;"",ISNUMBER(A195)),VLOOKUP(A195,Studies!A:BR,5,FALSE),"")</f>
        <v>Sufentanil</v>
      </c>
      <c r="F195" s="79" t="s">
        <v>213</v>
      </c>
      <c r="G195" s="78">
        <f t="shared" si="4"/>
        <v>1</v>
      </c>
    </row>
    <row r="196" spans="1:7" x14ac:dyDescent="0.2">
      <c r="A196" s="80">
        <v>196</v>
      </c>
      <c r="B196" s="188" t="str">
        <f>IF(AND(A196&lt;&gt;"",ISNUMBER(A196)),VLOOKUP(A196,Studies!A:BR,2,FALSE),"")</f>
        <v>Guay 1991</v>
      </c>
      <c r="C196" s="188" t="str">
        <f>IF(AND(A196&lt;&gt;"",ISNUMBER(A196)),VLOOKUP(A196,Studies!A:BR,3,FALSE),"")</f>
        <v>https://www.ncbi.nlm.nih.gov/pubmed/1531117</v>
      </c>
      <c r="D196" s="228" t="str">
        <f>IF(AND(A196&lt;&gt;"",ISNUMBER(A196)),VLOOKUP(A196,Studies!A:BR,4,FALSE),"")</f>
        <v>ID3</v>
      </c>
      <c r="E196" s="188" t="str">
        <f>IF(AND(A196&lt;&gt;"",ISNUMBER(A196)),VLOOKUP(A196,Studies!A:BR,5,FALSE),"")</f>
        <v>Sufentanil</v>
      </c>
      <c r="F196" s="79" t="s">
        <v>213</v>
      </c>
      <c r="G196" s="78">
        <f t="shared" si="4"/>
        <v>1</v>
      </c>
    </row>
    <row r="197" spans="1:7" x14ac:dyDescent="0.2">
      <c r="A197" s="80">
        <v>197</v>
      </c>
      <c r="B197" s="188" t="str">
        <f>IF(AND(A197&lt;&gt;"",ISNUMBER(A197)),VLOOKUP(A197,Studies!A:BR,2,FALSE),"")</f>
        <v>Guay 1991</v>
      </c>
      <c r="C197" s="188" t="str">
        <f>IF(AND(A197&lt;&gt;"",ISNUMBER(A197)),VLOOKUP(A197,Studies!A:BR,3,FALSE),"")</f>
        <v>https://www.ncbi.nlm.nih.gov/pubmed/1531117</v>
      </c>
      <c r="D197" s="228" t="str">
        <f>IF(AND(A197&lt;&gt;"",ISNUMBER(A197)),VLOOKUP(A197,Studies!A:BR,4,FALSE),"")</f>
        <v>ID4</v>
      </c>
      <c r="E197" s="188" t="str">
        <f>IF(AND(A197&lt;&gt;"",ISNUMBER(A197)),VLOOKUP(A197,Studies!A:BR,5,FALSE),"")</f>
        <v>Sufentanil</v>
      </c>
      <c r="F197" s="79" t="s">
        <v>213</v>
      </c>
      <c r="G197" s="78">
        <f t="shared" si="4"/>
        <v>1</v>
      </c>
    </row>
    <row r="198" spans="1:7" x14ac:dyDescent="0.2">
      <c r="A198" s="80">
        <v>198</v>
      </c>
      <c r="B198" s="188" t="str">
        <f>IF(AND(A198&lt;&gt;"",ISNUMBER(A198)),VLOOKUP(A198,Studies!A:BR,2,FALSE),"")</f>
        <v>Guay 1991</v>
      </c>
      <c r="C198" s="188" t="str">
        <f>IF(AND(A198&lt;&gt;"",ISNUMBER(A198)),VLOOKUP(A198,Studies!A:BR,3,FALSE),"")</f>
        <v>https://www.ncbi.nlm.nih.gov/pubmed/1531117</v>
      </c>
      <c r="D198" s="228" t="str">
        <f>IF(AND(A198&lt;&gt;"",ISNUMBER(A198)),VLOOKUP(A198,Studies!A:BR,4,FALSE),"")</f>
        <v>ID5</v>
      </c>
      <c r="E198" s="188" t="str">
        <f>IF(AND(A198&lt;&gt;"",ISNUMBER(A198)),VLOOKUP(A198,Studies!A:BR,5,FALSE),"")</f>
        <v>Sufentanil</v>
      </c>
      <c r="F198" s="79" t="s">
        <v>213</v>
      </c>
      <c r="G198" s="78">
        <f t="shared" si="4"/>
        <v>1</v>
      </c>
    </row>
    <row r="199" spans="1:7" x14ac:dyDescent="0.2">
      <c r="A199" s="80">
        <v>199</v>
      </c>
      <c r="B199" s="188" t="str">
        <f>IF(AND(A199&lt;&gt;"",ISNUMBER(A199)),VLOOKUP(A199,Studies!A:BR,2,FALSE),"")</f>
        <v>Guay 1991</v>
      </c>
      <c r="C199" s="188" t="str">
        <f>IF(AND(A199&lt;&gt;"",ISNUMBER(A199)),VLOOKUP(A199,Studies!A:BR,3,FALSE),"")</f>
        <v>https://www.ncbi.nlm.nih.gov/pubmed/1531117</v>
      </c>
      <c r="D199" s="228" t="str">
        <f>IF(AND(A199&lt;&gt;"",ISNUMBER(A199)),VLOOKUP(A199,Studies!A:BR,4,FALSE),"")</f>
        <v>ID6</v>
      </c>
      <c r="E199" s="188" t="str">
        <f>IF(AND(A199&lt;&gt;"",ISNUMBER(A199)),VLOOKUP(A199,Studies!A:BR,5,FALSE),"")</f>
        <v>Sufentanil</v>
      </c>
      <c r="F199" s="79" t="s">
        <v>213</v>
      </c>
      <c r="G199" s="78">
        <f t="shared" si="4"/>
        <v>1</v>
      </c>
    </row>
    <row r="200" spans="1:7" x14ac:dyDescent="0.2">
      <c r="A200" s="80">
        <v>200</v>
      </c>
      <c r="B200" s="188" t="str">
        <f>IF(AND(A200&lt;&gt;"",ISNUMBER(A200)),VLOOKUP(A200,Studies!A:BR,2,FALSE),"")</f>
        <v>Guay 1991</v>
      </c>
      <c r="C200" s="188" t="str">
        <f>IF(AND(A200&lt;&gt;"",ISNUMBER(A200)),VLOOKUP(A200,Studies!A:BR,3,FALSE),"")</f>
        <v>https://www.ncbi.nlm.nih.gov/pubmed/1531117</v>
      </c>
      <c r="D200" s="228" t="str">
        <f>IF(AND(A200&lt;&gt;"",ISNUMBER(A200)),VLOOKUP(A200,Studies!A:BR,4,FALSE),"")</f>
        <v>ID7</v>
      </c>
      <c r="E200" s="188" t="str">
        <f>IF(AND(A200&lt;&gt;"",ISNUMBER(A200)),VLOOKUP(A200,Studies!A:BR,5,FALSE),"")</f>
        <v>Sufentanil</v>
      </c>
      <c r="F200" s="79" t="s">
        <v>213</v>
      </c>
      <c r="G200" s="78">
        <f t="shared" si="4"/>
        <v>1</v>
      </c>
    </row>
    <row r="201" spans="1:7" x14ac:dyDescent="0.2">
      <c r="A201" s="80">
        <v>201</v>
      </c>
      <c r="B201" s="188" t="str">
        <f>IF(AND(A201&lt;&gt;"",ISNUMBER(A201)),VLOOKUP(A201,Studies!A:BR,2,FALSE),"")</f>
        <v>Guay 1991</v>
      </c>
      <c r="C201" s="188" t="str">
        <f>IF(AND(A201&lt;&gt;"",ISNUMBER(A201)),VLOOKUP(A201,Studies!A:BR,3,FALSE),"")</f>
        <v>https://www.ncbi.nlm.nih.gov/pubmed/1531117</v>
      </c>
      <c r="D201" s="228" t="str">
        <f>IF(AND(A201&lt;&gt;"",ISNUMBER(A201)),VLOOKUP(A201,Studies!A:BR,4,FALSE),"")</f>
        <v>ID8</v>
      </c>
      <c r="E201" s="188" t="str">
        <f>IF(AND(A201&lt;&gt;"",ISNUMBER(A201)),VLOOKUP(A201,Studies!A:BR,5,FALSE),"")</f>
        <v>Sufentanil</v>
      </c>
      <c r="F201" s="79" t="s">
        <v>213</v>
      </c>
      <c r="G201" s="78">
        <f t="shared" ref="G201:G264" si="5">A201-A200</f>
        <v>1</v>
      </c>
    </row>
    <row r="202" spans="1:7" x14ac:dyDescent="0.2">
      <c r="A202" s="80">
        <v>202</v>
      </c>
      <c r="B202" s="188" t="str">
        <f>IF(AND(A202&lt;&gt;"",ISNUMBER(A202)),VLOOKUP(A202,Studies!A:BR,2,FALSE),"")</f>
        <v>Guay 1991</v>
      </c>
      <c r="C202" s="188" t="str">
        <f>IF(AND(A202&lt;&gt;"",ISNUMBER(A202)),VLOOKUP(A202,Studies!A:BR,3,FALSE),"")</f>
        <v>https://www.ncbi.nlm.nih.gov/pubmed/1531117</v>
      </c>
      <c r="D202" s="228" t="str">
        <f>IF(AND(A202&lt;&gt;"",ISNUMBER(A202)),VLOOKUP(A202,Studies!A:BR,4,FALSE),"")</f>
        <v>ID9</v>
      </c>
      <c r="E202" s="188" t="str">
        <f>IF(AND(A202&lt;&gt;"",ISNUMBER(A202)),VLOOKUP(A202,Studies!A:BR,5,FALSE),"")</f>
        <v>Sufentanil</v>
      </c>
      <c r="F202" s="79" t="s">
        <v>213</v>
      </c>
      <c r="G202" s="78">
        <f t="shared" si="5"/>
        <v>1</v>
      </c>
    </row>
    <row r="203" spans="1:7" x14ac:dyDescent="0.2">
      <c r="A203" s="80">
        <v>203</v>
      </c>
      <c r="B203" s="188" t="str">
        <f>IF(AND(A203&lt;&gt;"",ISNUMBER(A203)),VLOOKUP(A203,Studies!A:BR,2,FALSE),"")</f>
        <v>Guay 1991</v>
      </c>
      <c r="C203" s="188" t="str">
        <f>IF(AND(A203&lt;&gt;"",ISNUMBER(A203)),VLOOKUP(A203,Studies!A:BR,3,FALSE),"")</f>
        <v>https://www.ncbi.nlm.nih.gov/pubmed/1531117</v>
      </c>
      <c r="D203" s="228" t="str">
        <f>IF(AND(A203&lt;&gt;"",ISNUMBER(A203)),VLOOKUP(A203,Studies!A:BR,4,FALSE),"")</f>
        <v>ID10</v>
      </c>
      <c r="E203" s="188" t="str">
        <f>IF(AND(A203&lt;&gt;"",ISNUMBER(A203)),VLOOKUP(A203,Studies!A:BR,5,FALSE),"")</f>
        <v>Sufentanil</v>
      </c>
      <c r="F203" s="79" t="s">
        <v>213</v>
      </c>
      <c r="G203" s="78">
        <f t="shared" si="5"/>
        <v>1</v>
      </c>
    </row>
    <row r="204" spans="1:7" x14ac:dyDescent="0.2">
      <c r="A204" s="80">
        <v>204</v>
      </c>
      <c r="B204" s="188" t="str">
        <f>IF(AND(A204&lt;&gt;"",ISNUMBER(A204)),VLOOKUP(A204,Studies!A:BR,2,FALSE),"")</f>
        <v>Guay 1991</v>
      </c>
      <c r="C204" s="188" t="str">
        <f>IF(AND(A204&lt;&gt;"",ISNUMBER(A204)),VLOOKUP(A204,Studies!A:BR,3,FALSE),"")</f>
        <v>https://www.ncbi.nlm.nih.gov/pubmed/1531117</v>
      </c>
      <c r="D204" s="228" t="str">
        <f>IF(AND(A204&lt;&gt;"",ISNUMBER(A204)),VLOOKUP(A204,Studies!A:BR,4,FALSE),"")</f>
        <v>ID11</v>
      </c>
      <c r="E204" s="188" t="str">
        <f>IF(AND(A204&lt;&gt;"",ISNUMBER(A204)),VLOOKUP(A204,Studies!A:BR,5,FALSE),"")</f>
        <v>Sufentanil</v>
      </c>
      <c r="F204" s="79" t="s">
        <v>213</v>
      </c>
      <c r="G204" s="78">
        <f t="shared" si="5"/>
        <v>1</v>
      </c>
    </row>
    <row r="205" spans="1:7" x14ac:dyDescent="0.2">
      <c r="A205" s="80">
        <v>205</v>
      </c>
      <c r="B205" s="188" t="str">
        <f>IF(AND(A205&lt;&gt;"",ISNUMBER(A205)),VLOOKUP(A205,Studies!A:BR,2,FALSE),"")</f>
        <v>Guay 1991</v>
      </c>
      <c r="C205" s="188" t="str">
        <f>IF(AND(A205&lt;&gt;"",ISNUMBER(A205)),VLOOKUP(A205,Studies!A:BR,3,FALSE),"")</f>
        <v>https://www.ncbi.nlm.nih.gov/pubmed/1531117</v>
      </c>
      <c r="D205" s="228" t="str">
        <f>IF(AND(A205&lt;&gt;"",ISNUMBER(A205)),VLOOKUP(A205,Studies!A:BR,4,FALSE),"")</f>
        <v>ID12</v>
      </c>
      <c r="E205" s="188" t="str">
        <f>IF(AND(A205&lt;&gt;"",ISNUMBER(A205)),VLOOKUP(A205,Studies!A:BR,5,FALSE),"")</f>
        <v>Sufentanil</v>
      </c>
      <c r="F205" s="79" t="s">
        <v>213</v>
      </c>
      <c r="G205" s="78">
        <f t="shared" si="5"/>
        <v>1</v>
      </c>
    </row>
    <row r="206" spans="1:7" x14ac:dyDescent="0.2">
      <c r="A206" s="80">
        <v>206</v>
      </c>
      <c r="B206" s="188" t="str">
        <f>IF(AND(A206&lt;&gt;"",ISNUMBER(A206)),VLOOKUP(A206,Studies!A:BR,2,FALSE),"")</f>
        <v>Guay 1991</v>
      </c>
      <c r="C206" s="188" t="str">
        <f>IF(AND(A206&lt;&gt;"",ISNUMBER(A206)),VLOOKUP(A206,Studies!A:BR,3,FALSE),"")</f>
        <v>https://www.ncbi.nlm.nih.gov/pubmed/1531117</v>
      </c>
      <c r="D206" s="228" t="str">
        <f>IF(AND(A206&lt;&gt;"",ISNUMBER(A206)),VLOOKUP(A206,Studies!A:BR,4,FALSE),"")</f>
        <v>ID13</v>
      </c>
      <c r="E206" s="188" t="str">
        <f>IF(AND(A206&lt;&gt;"",ISNUMBER(A206)),VLOOKUP(A206,Studies!A:BR,5,FALSE),"")</f>
        <v>Sufentanil</v>
      </c>
      <c r="F206" s="79" t="s">
        <v>213</v>
      </c>
      <c r="G206" s="78">
        <f t="shared" si="5"/>
        <v>1</v>
      </c>
    </row>
    <row r="207" spans="1:7" x14ac:dyDescent="0.2">
      <c r="A207" s="80">
        <v>207</v>
      </c>
      <c r="B207" s="188" t="str">
        <f>IF(AND(A207&lt;&gt;"",ISNUMBER(A207)),VLOOKUP(A207,Studies!A:BR,2,FALSE),"")</f>
        <v>Guay 1991</v>
      </c>
      <c r="C207" s="188" t="str">
        <f>IF(AND(A207&lt;&gt;"",ISNUMBER(A207)),VLOOKUP(A207,Studies!A:BR,3,FALSE),"")</f>
        <v>https://www.ncbi.nlm.nih.gov/pubmed/1531117</v>
      </c>
      <c r="D207" s="228" t="str">
        <f>IF(AND(A207&lt;&gt;"",ISNUMBER(A207)),VLOOKUP(A207,Studies!A:BR,4,FALSE),"")</f>
        <v>ID14</v>
      </c>
      <c r="E207" s="188" t="str">
        <f>IF(AND(A207&lt;&gt;"",ISNUMBER(A207)),VLOOKUP(A207,Studies!A:BR,5,FALSE),"")</f>
        <v>Sufentanil</v>
      </c>
      <c r="F207" s="79" t="s">
        <v>213</v>
      </c>
      <c r="G207" s="78">
        <f t="shared" si="5"/>
        <v>1</v>
      </c>
    </row>
    <row r="208" spans="1:7" x14ac:dyDescent="0.2">
      <c r="A208" s="80">
        <v>208</v>
      </c>
      <c r="B208" s="188" t="str">
        <f>IF(AND(A208&lt;&gt;"",ISNUMBER(A208)),VLOOKUP(A208,Studies!A:BR,2,FALSE),"")</f>
        <v>Guay 1991</v>
      </c>
      <c r="C208" s="188" t="str">
        <f>IF(AND(A208&lt;&gt;"",ISNUMBER(A208)),VLOOKUP(A208,Studies!A:BR,3,FALSE),"")</f>
        <v>https://www.ncbi.nlm.nih.gov/pubmed/1531117</v>
      </c>
      <c r="D208" s="228" t="str">
        <f>IF(AND(A208&lt;&gt;"",ISNUMBER(A208)),VLOOKUP(A208,Studies!A:BR,4,FALSE),"")</f>
        <v>ID15</v>
      </c>
      <c r="E208" s="188" t="str">
        <f>IF(AND(A208&lt;&gt;"",ISNUMBER(A208)),VLOOKUP(A208,Studies!A:BR,5,FALSE),"")</f>
        <v>Sufentanil</v>
      </c>
      <c r="F208" s="79" t="s">
        <v>213</v>
      </c>
      <c r="G208" s="78">
        <f t="shared" si="5"/>
        <v>1</v>
      </c>
    </row>
    <row r="209" spans="1:7" x14ac:dyDescent="0.2">
      <c r="A209" s="80">
        <v>209</v>
      </c>
      <c r="B209" s="188" t="str">
        <f>IF(AND(A209&lt;&gt;"",ISNUMBER(A209)),VLOOKUP(A209,Studies!A:BR,2,FALSE),"")</f>
        <v>Guay 1991</v>
      </c>
      <c r="C209" s="188" t="str">
        <f>IF(AND(A209&lt;&gt;"",ISNUMBER(A209)),VLOOKUP(A209,Studies!A:BR,3,FALSE),"")</f>
        <v>https://www.ncbi.nlm.nih.gov/pubmed/1531117</v>
      </c>
      <c r="D209" s="228" t="str">
        <f>IF(AND(A209&lt;&gt;"",ISNUMBER(A209)),VLOOKUP(A209,Studies!A:BR,4,FALSE),"")</f>
        <v>ID16</v>
      </c>
      <c r="E209" s="188" t="str">
        <f>IF(AND(A209&lt;&gt;"",ISNUMBER(A209)),VLOOKUP(A209,Studies!A:BR,5,FALSE),"")</f>
        <v>Sufentanil</v>
      </c>
      <c r="F209" s="79" t="s">
        <v>213</v>
      </c>
      <c r="G209" s="78">
        <f t="shared" si="5"/>
        <v>1</v>
      </c>
    </row>
    <row r="210" spans="1:7" x14ac:dyDescent="0.2">
      <c r="A210" s="80">
        <v>210</v>
      </c>
      <c r="B210" s="188" t="str">
        <f>IF(AND(A210&lt;&gt;"",ISNUMBER(A210)),VLOOKUP(A210,Studies!A:BR,2,FALSE),"")</f>
        <v>Guay 1991</v>
      </c>
      <c r="C210" s="188" t="str">
        <f>IF(AND(A210&lt;&gt;"",ISNUMBER(A210)),VLOOKUP(A210,Studies!A:BR,3,FALSE),"")</f>
        <v>https://www.ncbi.nlm.nih.gov/pubmed/1531117</v>
      </c>
      <c r="D210" s="228" t="str">
        <f>IF(AND(A210&lt;&gt;"",ISNUMBER(A210)),VLOOKUP(A210,Studies!A:BR,4,FALSE),"")</f>
        <v>ID17</v>
      </c>
      <c r="E210" s="188" t="str">
        <f>IF(AND(A210&lt;&gt;"",ISNUMBER(A210)),VLOOKUP(A210,Studies!A:BR,5,FALSE),"")</f>
        <v>Sufentanil</v>
      </c>
      <c r="F210" s="79" t="s">
        <v>213</v>
      </c>
      <c r="G210" s="78">
        <f t="shared" si="5"/>
        <v>1</v>
      </c>
    </row>
    <row r="211" spans="1:7" x14ac:dyDescent="0.2">
      <c r="A211" s="80">
        <v>211</v>
      </c>
      <c r="B211" s="188" t="str">
        <f>IF(AND(A211&lt;&gt;"",ISNUMBER(A211)),VLOOKUP(A211,Studies!A:BR,2,FALSE),"")</f>
        <v>Guay 1991</v>
      </c>
      <c r="C211" s="188" t="str">
        <f>IF(AND(A211&lt;&gt;"",ISNUMBER(A211)),VLOOKUP(A211,Studies!A:BR,3,FALSE),"")</f>
        <v>https://www.ncbi.nlm.nih.gov/pubmed/1531117</v>
      </c>
      <c r="D211" s="228" t="str">
        <f>IF(AND(A211&lt;&gt;"",ISNUMBER(A211)),VLOOKUP(A211,Studies!A:BR,4,FALSE),"")</f>
        <v>ID18</v>
      </c>
      <c r="E211" s="188" t="str">
        <f>IF(AND(A211&lt;&gt;"",ISNUMBER(A211)),VLOOKUP(A211,Studies!A:BR,5,FALSE),"")</f>
        <v>Sufentanil</v>
      </c>
      <c r="F211" s="79" t="s">
        <v>213</v>
      </c>
      <c r="G211" s="78">
        <f t="shared" si="5"/>
        <v>1</v>
      </c>
    </row>
    <row r="212" spans="1:7" x14ac:dyDescent="0.2">
      <c r="A212" s="80">
        <v>212</v>
      </c>
      <c r="B212" s="188" t="str">
        <f>IF(AND(A212&lt;&gt;"",ISNUMBER(A212)),VLOOKUP(A212,Studies!A:BR,2,FALSE),"")</f>
        <v>Guay 1991</v>
      </c>
      <c r="C212" s="188" t="str">
        <f>IF(AND(A212&lt;&gt;"",ISNUMBER(A212)),VLOOKUP(A212,Studies!A:BR,3,FALSE),"")</f>
        <v>https://www.ncbi.nlm.nih.gov/pubmed/1531117</v>
      </c>
      <c r="D212" s="228" t="str">
        <f>IF(AND(A212&lt;&gt;"",ISNUMBER(A212)),VLOOKUP(A212,Studies!A:BR,4,FALSE),"")</f>
        <v>ID19</v>
      </c>
      <c r="E212" s="188" t="str">
        <f>IF(AND(A212&lt;&gt;"",ISNUMBER(A212)),VLOOKUP(A212,Studies!A:BR,5,FALSE),"")</f>
        <v>Sufentanil</v>
      </c>
      <c r="F212" s="79" t="s">
        <v>213</v>
      </c>
      <c r="G212" s="78">
        <f t="shared" si="5"/>
        <v>1</v>
      </c>
    </row>
    <row r="213" spans="1:7" x14ac:dyDescent="0.2">
      <c r="A213" s="80">
        <v>213</v>
      </c>
      <c r="B213" s="188" t="str">
        <f>IF(AND(A213&lt;&gt;"",ISNUMBER(A213)),VLOOKUP(A213,Studies!A:BR,2,FALSE),"")</f>
        <v>Guay 1991</v>
      </c>
      <c r="C213" s="188" t="str">
        <f>IF(AND(A213&lt;&gt;"",ISNUMBER(A213)),VLOOKUP(A213,Studies!A:BR,3,FALSE),"")</f>
        <v>https://www.ncbi.nlm.nih.gov/pubmed/1531117</v>
      </c>
      <c r="D213" s="228" t="str">
        <f>IF(AND(A213&lt;&gt;"",ISNUMBER(A213)),VLOOKUP(A213,Studies!A:BR,4,FALSE),"")</f>
        <v>ID20</v>
      </c>
      <c r="E213" s="188" t="str">
        <f>IF(AND(A213&lt;&gt;"",ISNUMBER(A213)),VLOOKUP(A213,Studies!A:BR,5,FALSE),"")</f>
        <v>Sufentanil</v>
      </c>
      <c r="F213" s="79" t="s">
        <v>213</v>
      </c>
      <c r="G213" s="78">
        <f t="shared" si="5"/>
        <v>1</v>
      </c>
    </row>
    <row r="214" spans="1:7" x14ac:dyDescent="0.2">
      <c r="A214" s="110">
        <v>214</v>
      </c>
      <c r="B214" s="188" t="str">
        <f>IF(AND(A214&lt;&gt;"",ISNUMBER(A214)),VLOOKUP(A214,Studies!A:BR,2,FALSE),"")</f>
        <v>Gurley 2006</v>
      </c>
      <c r="C214" s="188" t="str">
        <f>IF(AND(A214&lt;&gt;"",ISNUMBER(A214)),VLOOKUP(A214,Studies!A:BR,3,FALSE),"")</f>
        <v>https://www.ncbi.nlm.nih.gov/pubmed/16432272</v>
      </c>
      <c r="D214" s="228" t="str">
        <f>IF(AND(A214&lt;&gt;"",ISNUMBER(A214)),VLOOKUP(A214,Studies!A:BR,4,FALSE),"")</f>
        <v>Control pre-Rifampicin (Perpetrator Placebo)</v>
      </c>
      <c r="E214" s="188" t="str">
        <f>IF(AND(A214&lt;&gt;"",ISNUMBER(A214)),VLOOKUP(A214,Studies!A:BR,5,FALSE),"")</f>
        <v>Midazolam</v>
      </c>
      <c r="F214" s="79" t="s">
        <v>1371</v>
      </c>
      <c r="G214" s="78">
        <f t="shared" si="5"/>
        <v>1</v>
      </c>
    </row>
    <row r="215" spans="1:7" x14ac:dyDescent="0.2">
      <c r="A215" s="110">
        <v>215</v>
      </c>
      <c r="B215" s="188" t="str">
        <f>IF(AND(A215&lt;&gt;"",ISNUMBER(A215)),VLOOKUP(A215,Studies!A:BR,2,FALSE),"")</f>
        <v>Gurley 2006</v>
      </c>
      <c r="C215" s="188" t="str">
        <f>IF(AND(A215&lt;&gt;"",ISNUMBER(A215)),VLOOKUP(A215,Studies!A:BR,3,FALSE),"")</f>
        <v>https://www.ncbi.nlm.nih.gov/pubmed/16432272</v>
      </c>
      <c r="D215" s="228" t="str">
        <f>IF(AND(A215&lt;&gt;"",ISNUMBER(A215)),VLOOKUP(A215,Studies!A:BR,4,FALSE),"")</f>
        <v>with Perpetrator (Rifampicin)</v>
      </c>
      <c r="E215" s="188" t="str">
        <f>IF(AND(A215&lt;&gt;"",ISNUMBER(A215)),VLOOKUP(A215,Studies!A:BR,5,FALSE),"")</f>
        <v>Midazolam</v>
      </c>
      <c r="F215" s="79" t="s">
        <v>1372</v>
      </c>
      <c r="G215" s="78">
        <f t="shared" si="5"/>
        <v>1</v>
      </c>
    </row>
    <row r="216" spans="1:7" x14ac:dyDescent="0.2">
      <c r="A216" s="110">
        <v>216</v>
      </c>
      <c r="B216" s="188" t="str">
        <f>IF(AND(A216&lt;&gt;"",ISNUMBER(A216)),VLOOKUP(A216,Studies!A:BR,2,FALSE),"")</f>
        <v>Gurley 2006</v>
      </c>
      <c r="C216" s="188" t="str">
        <f>IF(AND(A216&lt;&gt;"",ISNUMBER(A216)),VLOOKUP(A216,Studies!A:BR,3,FALSE),"")</f>
        <v>https://www.ncbi.nlm.nih.gov/pubmed/16432272</v>
      </c>
      <c r="D216" s="228" t="str">
        <f>IF(AND(A216&lt;&gt;"",ISNUMBER(A216)),VLOOKUP(A216,Studies!A:BR,4,FALSE),"")</f>
        <v>Control pre-Clarithromycin (Perpetrator Placebo)</v>
      </c>
      <c r="E216" s="188" t="str">
        <f>IF(AND(A216&lt;&gt;"",ISNUMBER(A216)),VLOOKUP(A216,Studies!A:BR,5,FALSE),"")</f>
        <v>Midazolam</v>
      </c>
      <c r="F216" s="79" t="s">
        <v>1378</v>
      </c>
      <c r="G216" s="78">
        <f t="shared" si="5"/>
        <v>1</v>
      </c>
    </row>
    <row r="217" spans="1:7" x14ac:dyDescent="0.2">
      <c r="A217" s="110">
        <v>217</v>
      </c>
      <c r="B217" s="188" t="str">
        <f>IF(AND(A217&lt;&gt;"",ISNUMBER(A217)),VLOOKUP(A217,Studies!A:BR,2,FALSE),"")</f>
        <v>Gurley 2006</v>
      </c>
      <c r="C217" s="188" t="str">
        <f>IF(AND(A217&lt;&gt;"",ISNUMBER(A217)),VLOOKUP(A217,Studies!A:BR,3,FALSE),"")</f>
        <v>https://www.ncbi.nlm.nih.gov/pubmed/16432272</v>
      </c>
      <c r="D217" s="228" t="str">
        <f>IF(AND(A217&lt;&gt;"",ISNUMBER(A217)),VLOOKUP(A217,Studies!A:BR,4,FALSE),"")</f>
        <v>with Perpetrator (Clarithomycin)</v>
      </c>
      <c r="E217" s="188" t="str">
        <f>IF(AND(A217&lt;&gt;"",ISNUMBER(A217)),VLOOKUP(A217,Studies!A:BR,5,FALSE),"")</f>
        <v>Midazolam</v>
      </c>
      <c r="F217" s="79" t="s">
        <v>1379</v>
      </c>
      <c r="G217" s="78">
        <f t="shared" si="5"/>
        <v>1</v>
      </c>
    </row>
    <row r="218" spans="1:7" x14ac:dyDescent="0.2">
      <c r="A218" s="110">
        <v>218</v>
      </c>
      <c r="B218" s="188" t="str">
        <f>IF(AND(A218&lt;&gt;"",ISNUMBER(A218)),VLOOKUP(A218,Studies!A:BR,2,FALSE),"")</f>
        <v>Gurley 2006</v>
      </c>
      <c r="C218" s="188" t="str">
        <f>IF(AND(A218&lt;&gt;"",ISNUMBER(A218)),VLOOKUP(A218,Studies!A:BR,3,FALSE),"")</f>
        <v>https://www.ncbi.nlm.nih.gov/pubmed/16432272</v>
      </c>
      <c r="D218" s="228" t="str">
        <f>IF(AND(A218&lt;&gt;"",ISNUMBER(A218)),VLOOKUP(A218,Studies!A:BR,4,FALSE),"")</f>
        <v>Control pre-Black cohosh (Perpetrator Placebo)</v>
      </c>
      <c r="E218" s="188" t="str">
        <f>IF(AND(A218&lt;&gt;"",ISNUMBER(A218)),VLOOKUP(A218,Studies!A:BR,5,FALSE),"")</f>
        <v>Midazolam</v>
      </c>
      <c r="F218" s="79" t="s">
        <v>102</v>
      </c>
      <c r="G218" s="78">
        <f t="shared" si="5"/>
        <v>1</v>
      </c>
    </row>
    <row r="219" spans="1:7" x14ac:dyDescent="0.2">
      <c r="A219" s="110">
        <v>219</v>
      </c>
      <c r="B219" s="188" t="str">
        <f>IF(AND(A219&lt;&gt;"",ISNUMBER(A219)),VLOOKUP(A219,Studies!A:BR,2,FALSE),"")</f>
        <v>Gurley 2006</v>
      </c>
      <c r="C219" s="188" t="str">
        <f>IF(AND(A219&lt;&gt;"",ISNUMBER(A219)),VLOOKUP(A219,Studies!A:BR,3,FALSE),"")</f>
        <v>https://www.ncbi.nlm.nih.gov/pubmed/16432272</v>
      </c>
      <c r="D219" s="228" t="str">
        <f>IF(AND(A219&lt;&gt;"",ISNUMBER(A219)),VLOOKUP(A219,Studies!A:BR,4,FALSE),"")</f>
        <v>Control pre-Milk thistle (Perpetrator Placebo)</v>
      </c>
      <c r="E219" s="188" t="str">
        <f>IF(AND(A219&lt;&gt;"",ISNUMBER(A219)),VLOOKUP(A219,Studies!A:BR,5,FALSE),"")</f>
        <v>Midazolam</v>
      </c>
      <c r="F219" s="79" t="s">
        <v>102</v>
      </c>
      <c r="G219" s="78">
        <f t="shared" si="5"/>
        <v>1</v>
      </c>
    </row>
    <row r="220" spans="1:7" x14ac:dyDescent="0.2">
      <c r="A220" s="110">
        <v>220</v>
      </c>
      <c r="B220" s="188" t="str">
        <f>IF(AND(A220&lt;&gt;"",ISNUMBER(A220)),VLOOKUP(A220,Studies!A:BR,2,FALSE),"")</f>
        <v>Gurley 2008a</v>
      </c>
      <c r="C220" s="188" t="str">
        <f>IF(AND(A220&lt;&gt;"",ISNUMBER(A220)),VLOOKUP(A220,Studies!A:BR,3,FALSE),"")</f>
        <v>https://www.ncbi.nlm.nih.gov/pubmed/17495878</v>
      </c>
      <c r="D220" s="228" t="str">
        <f>IF(AND(A220&lt;&gt;"",ISNUMBER(A220)),VLOOKUP(A220,Studies!A:BR,4,FALSE),"")</f>
        <v>Control pre-Rifampicin (Perpetrator Placebo)</v>
      </c>
      <c r="E220" s="188" t="str">
        <f>IF(AND(A220&lt;&gt;"",ISNUMBER(A220)),VLOOKUP(A220,Studies!A:BR,5,FALSE),"")</f>
        <v>Midazolam</v>
      </c>
      <c r="F220" s="79" t="s">
        <v>1371</v>
      </c>
      <c r="G220" s="78">
        <f t="shared" si="5"/>
        <v>1</v>
      </c>
    </row>
    <row r="221" spans="1:7" x14ac:dyDescent="0.2">
      <c r="A221" s="110">
        <v>221</v>
      </c>
      <c r="B221" s="188" t="str">
        <f>IF(AND(A221&lt;&gt;"",ISNUMBER(A221)),VLOOKUP(A221,Studies!A:BR,2,FALSE),"")</f>
        <v>Gurley 2008a</v>
      </c>
      <c r="C221" s="188" t="str">
        <f>IF(AND(A221&lt;&gt;"",ISNUMBER(A221)),VLOOKUP(A221,Studies!A:BR,3,FALSE),"")</f>
        <v>https://www.ncbi.nlm.nih.gov/pubmed/17495878</v>
      </c>
      <c r="D221" s="228" t="str">
        <f>IF(AND(A221&lt;&gt;"",ISNUMBER(A221)),VLOOKUP(A221,Studies!A:BR,4,FALSE),"")</f>
        <v>with Perpetrator (Rifampicin)</v>
      </c>
      <c r="E221" s="188" t="str">
        <f>IF(AND(A221&lt;&gt;"",ISNUMBER(A221)),VLOOKUP(A221,Studies!A:BR,5,FALSE),"")</f>
        <v>Midazolam</v>
      </c>
      <c r="F221" s="79" t="s">
        <v>1372</v>
      </c>
      <c r="G221" s="78">
        <f t="shared" si="5"/>
        <v>1</v>
      </c>
    </row>
    <row r="222" spans="1:7" x14ac:dyDescent="0.2">
      <c r="A222" s="110">
        <v>222</v>
      </c>
      <c r="B222" s="188" t="str">
        <f>IF(AND(A222&lt;&gt;"",ISNUMBER(A222)),VLOOKUP(A222,Studies!A:BR,2,FALSE),"")</f>
        <v>Gurley 2008a</v>
      </c>
      <c r="C222" s="188" t="str">
        <f>IF(AND(A222&lt;&gt;"",ISNUMBER(A222)),VLOOKUP(A222,Studies!A:BR,3,FALSE),"")</f>
        <v>https://www.ncbi.nlm.nih.gov/pubmed/17495878</v>
      </c>
      <c r="D222" s="228" t="str">
        <f>IF(AND(A222&lt;&gt;"",ISNUMBER(A222)),VLOOKUP(A222,Studies!A:BR,4,FALSE),"")</f>
        <v>Control pre-Clarithromycin (Perpetrator Placebo)</v>
      </c>
      <c r="E222" s="188" t="str">
        <f>IF(AND(A222&lt;&gt;"",ISNUMBER(A222)),VLOOKUP(A222,Studies!A:BR,5,FALSE),"")</f>
        <v>Midazolam</v>
      </c>
      <c r="F222" s="79" t="s">
        <v>1378</v>
      </c>
      <c r="G222" s="78">
        <f t="shared" si="5"/>
        <v>1</v>
      </c>
    </row>
    <row r="223" spans="1:7" x14ac:dyDescent="0.2">
      <c r="A223" s="110">
        <v>223</v>
      </c>
      <c r="B223" s="188" t="str">
        <f>IF(AND(A223&lt;&gt;"",ISNUMBER(A223)),VLOOKUP(A223,Studies!A:BR,2,FALSE),"")</f>
        <v>Gurley 2008a</v>
      </c>
      <c r="C223" s="188" t="str">
        <f>IF(AND(A223&lt;&gt;"",ISNUMBER(A223)),VLOOKUP(A223,Studies!A:BR,3,FALSE),"")</f>
        <v>https://www.ncbi.nlm.nih.gov/pubmed/17495878</v>
      </c>
      <c r="D223" s="228" t="str">
        <f>IF(AND(A223&lt;&gt;"",ISNUMBER(A223)),VLOOKUP(A223,Studies!A:BR,4,FALSE),"")</f>
        <v>with Perpetrator (Clarithomycin)</v>
      </c>
      <c r="E223" s="188" t="str">
        <f>IF(AND(A223&lt;&gt;"",ISNUMBER(A223)),VLOOKUP(A223,Studies!A:BR,5,FALSE),"")</f>
        <v>Midazolam</v>
      </c>
      <c r="F223" s="79" t="s">
        <v>1379</v>
      </c>
      <c r="G223" s="78">
        <f t="shared" si="5"/>
        <v>1</v>
      </c>
    </row>
    <row r="224" spans="1:7" x14ac:dyDescent="0.2">
      <c r="A224" s="110">
        <v>224</v>
      </c>
      <c r="B224" s="188" t="str">
        <f>IF(AND(A224&lt;&gt;"",ISNUMBER(A224)),VLOOKUP(A224,Studies!A:BR,2,FALSE),"")</f>
        <v>Gurley 2008a</v>
      </c>
      <c r="C224" s="188" t="str">
        <f>IF(AND(A224&lt;&gt;"",ISNUMBER(A224)),VLOOKUP(A224,Studies!A:BR,3,FALSE),"")</f>
        <v>https://www.ncbi.nlm.nih.gov/pubmed/17495878</v>
      </c>
      <c r="D224" s="228" t="str">
        <f>IF(AND(A224&lt;&gt;"",ISNUMBER(A224)),VLOOKUP(A224,Studies!A:BR,4,FALSE),"")</f>
        <v>Control pre-Goldenseal (Perpetrator Placebo)</v>
      </c>
      <c r="E224" s="188" t="str">
        <f>IF(AND(A224&lt;&gt;"",ISNUMBER(A224)),VLOOKUP(A224,Studies!A:BR,5,FALSE),"")</f>
        <v>Midazolam</v>
      </c>
      <c r="F224" s="79" t="s">
        <v>102</v>
      </c>
      <c r="G224" s="78">
        <f t="shared" si="5"/>
        <v>1</v>
      </c>
    </row>
    <row r="225" spans="1:7" x14ac:dyDescent="0.2">
      <c r="A225" s="110">
        <v>225</v>
      </c>
      <c r="B225" s="188" t="str">
        <f>IF(AND(A225&lt;&gt;"",ISNUMBER(A225)),VLOOKUP(A225,Studies!A:BR,2,FALSE),"")</f>
        <v>Gurley 2008a</v>
      </c>
      <c r="C225" s="188" t="str">
        <f>IF(AND(A225&lt;&gt;"",ISNUMBER(A225)),VLOOKUP(A225,Studies!A:BR,3,FALSE),"")</f>
        <v>https://www.ncbi.nlm.nih.gov/pubmed/17495878</v>
      </c>
      <c r="D225" s="228" t="str">
        <f>IF(AND(A225&lt;&gt;"",ISNUMBER(A225)),VLOOKUP(A225,Studies!A:BR,4,FALSE),"")</f>
        <v>Control pre-Kava kava (Perpetrator Placebo)</v>
      </c>
      <c r="E225" s="188" t="str">
        <f>IF(AND(A225&lt;&gt;"",ISNUMBER(A225)),VLOOKUP(A225,Studies!A:BR,5,FALSE),"")</f>
        <v>Midazolam</v>
      </c>
      <c r="F225" s="79" t="s">
        <v>102</v>
      </c>
      <c r="G225" s="78">
        <f t="shared" si="5"/>
        <v>1</v>
      </c>
    </row>
    <row r="226" spans="1:7" x14ac:dyDescent="0.2">
      <c r="A226" s="110">
        <v>226</v>
      </c>
      <c r="B226" s="188" t="str">
        <f>IF(AND(A226&lt;&gt;"",ISNUMBER(A226)),VLOOKUP(A226,Studies!A:BR,2,FALSE),"")</f>
        <v>Gurley 2008b</v>
      </c>
      <c r="C226" s="188" t="str">
        <f>IF(AND(A226&lt;&gt;"",ISNUMBER(A226)),VLOOKUP(A226,Studies!A:BR,3,FALSE),"")</f>
        <v>https://www.ncbi.nlm.nih.gov/pubmed/18214850</v>
      </c>
      <c r="D226" s="228" t="str">
        <f>IF(AND(A226&lt;&gt;"",ISNUMBER(A226)),VLOOKUP(A226,Studies!A:BR,4,FALSE),"")</f>
        <v>Control (Perpetrator Placebo)</v>
      </c>
      <c r="E226" s="188" t="str">
        <f>IF(AND(A226&lt;&gt;"",ISNUMBER(A226)),VLOOKUP(A226,Studies!A:BR,5,FALSE),"")</f>
        <v>Digoxin</v>
      </c>
      <c r="F226" s="79" t="s">
        <v>1376</v>
      </c>
      <c r="G226" s="78">
        <f t="shared" si="5"/>
        <v>1</v>
      </c>
    </row>
    <row r="227" spans="1:7" x14ac:dyDescent="0.2">
      <c r="A227" s="110">
        <v>227</v>
      </c>
      <c r="B227" s="188" t="str">
        <f>IF(AND(A227&lt;&gt;"",ISNUMBER(A227)),VLOOKUP(A227,Studies!A:BR,2,FALSE),"")</f>
        <v>Gurley 2008b</v>
      </c>
      <c r="C227" s="188" t="str">
        <f>IF(AND(A227&lt;&gt;"",ISNUMBER(A227)),VLOOKUP(A227,Studies!A:BR,3,FALSE),"")</f>
        <v>https://www.ncbi.nlm.nih.gov/pubmed/18214850</v>
      </c>
      <c r="D227" s="228" t="str">
        <f>IF(AND(A227&lt;&gt;"",ISNUMBER(A227)),VLOOKUP(A227,Studies!A:BR,4,FALSE),"")</f>
        <v>with Perpetrator (Rifampicin)</v>
      </c>
      <c r="E227" s="188" t="str">
        <f>IF(AND(A227&lt;&gt;"",ISNUMBER(A227)),VLOOKUP(A227,Studies!A:BR,5,FALSE),"")</f>
        <v>Digoxin</v>
      </c>
      <c r="F227" s="79" t="s">
        <v>1377</v>
      </c>
      <c r="G227" s="78">
        <f t="shared" si="5"/>
        <v>1</v>
      </c>
    </row>
    <row r="228" spans="1:7" x14ac:dyDescent="0.2">
      <c r="A228" s="110">
        <v>228</v>
      </c>
      <c r="B228" s="188" t="str">
        <f>IF(AND(A228&lt;&gt;"",ISNUMBER(A228)),VLOOKUP(A228,Studies!A:BR,2,FALSE),"")</f>
        <v>Gurley 2008b</v>
      </c>
      <c r="C228" s="188" t="str">
        <f>IF(AND(A228&lt;&gt;"",ISNUMBER(A228)),VLOOKUP(A228,Studies!A:BR,3,FALSE),"")</f>
        <v>https://www.ncbi.nlm.nih.gov/pubmed/18214850</v>
      </c>
      <c r="D228" s="228" t="str">
        <f>IF(AND(A228&lt;&gt;"",ISNUMBER(A228)),VLOOKUP(A228,Studies!A:BR,4,FALSE),"")</f>
        <v>Control (Perpetrator Placebo)</v>
      </c>
      <c r="E228" s="188" t="str">
        <f>IF(AND(A228&lt;&gt;"",ISNUMBER(A228)),VLOOKUP(A228,Studies!A:BR,5,FALSE),"")</f>
        <v>Digoxin</v>
      </c>
      <c r="F228" s="79" t="s">
        <v>1380</v>
      </c>
      <c r="G228" s="78">
        <f t="shared" si="5"/>
        <v>1</v>
      </c>
    </row>
    <row r="229" spans="1:7" x14ac:dyDescent="0.2">
      <c r="A229" s="110">
        <v>229</v>
      </c>
      <c r="B229" s="188" t="str">
        <f>IF(AND(A229&lt;&gt;"",ISNUMBER(A229)),VLOOKUP(A229,Studies!A:BR,2,FALSE),"")</f>
        <v>Gurley 2008b</v>
      </c>
      <c r="C229" s="188" t="str">
        <f>IF(AND(A229&lt;&gt;"",ISNUMBER(A229)),VLOOKUP(A229,Studies!A:BR,3,FALSE),"")</f>
        <v>https://www.ncbi.nlm.nih.gov/pubmed/18214850</v>
      </c>
      <c r="D229" s="228" t="str">
        <f>IF(AND(A229&lt;&gt;"",ISNUMBER(A229)),VLOOKUP(A229,Studies!A:BR,4,FALSE),"")</f>
        <v>with Perpetrator (Clarithomycin)</v>
      </c>
      <c r="E229" s="188" t="str">
        <f>IF(AND(A229&lt;&gt;"",ISNUMBER(A229)),VLOOKUP(A229,Studies!A:BR,5,FALSE),"")</f>
        <v>Digoxin</v>
      </c>
      <c r="F229" s="79" t="s">
        <v>1381</v>
      </c>
      <c r="G229" s="78">
        <f t="shared" si="5"/>
        <v>1</v>
      </c>
    </row>
    <row r="230" spans="1:7" x14ac:dyDescent="0.2">
      <c r="A230" s="80">
        <v>230</v>
      </c>
      <c r="B230" s="188" t="str">
        <f>IF(AND(A230&lt;&gt;"",ISNUMBER(A230)),VLOOKUP(A230,Studies!A:BR,2,FALSE),"")</f>
        <v>Hanley 2013</v>
      </c>
      <c r="C230" s="188" t="str">
        <f>IF(AND(A230&lt;&gt;"",ISNUMBER(A230)),VLOOKUP(A230,Studies!A:BR,3,FALSE),"")</f>
        <v>https://www.ncbi.nlm.nih.gov/pubmed/22943633</v>
      </c>
      <c r="D230" s="228" t="str">
        <f>IF(AND(A230&lt;&gt;"",ISNUMBER(A230)),VLOOKUP(A230,Studies!A:BR,4,FALSE),"")</f>
        <v>Control (Perpetrator Placebo)</v>
      </c>
      <c r="E230" s="188" t="str">
        <f>IF(AND(A230&lt;&gt;"",ISNUMBER(A230)),VLOOKUP(A230,Studies!A:BR,5,FALSE),"")</f>
        <v>Buspirone</v>
      </c>
      <c r="F230" s="79" t="s">
        <v>111</v>
      </c>
      <c r="G230" s="78">
        <f t="shared" si="5"/>
        <v>1</v>
      </c>
    </row>
    <row r="231" spans="1:7" x14ac:dyDescent="0.2">
      <c r="A231" s="80">
        <v>231</v>
      </c>
      <c r="B231" s="188" t="str">
        <f>IF(AND(A231&lt;&gt;"",ISNUMBER(A231)),VLOOKUP(A231,Studies!A:BR,2,FALSE),"")</f>
        <v>Hanley 2013</v>
      </c>
      <c r="C231" s="188" t="str">
        <f>IF(AND(A231&lt;&gt;"",ISNUMBER(A231)),VLOOKUP(A231,Studies!A:BR,3,FALSE),"")</f>
        <v>https://www.ncbi.nlm.nih.gov/pubmed/22943633</v>
      </c>
      <c r="D231" s="228" t="str">
        <f>IF(AND(A231&lt;&gt;"",ISNUMBER(A231)),VLOOKUP(A231,Studies!A:BR,4,FALSE),"")</f>
        <v>with Perpetrator (GFJ)</v>
      </c>
      <c r="E231" s="188" t="str">
        <f>IF(AND(A231&lt;&gt;"",ISNUMBER(A231)),VLOOKUP(A231,Studies!A:BR,5,FALSE),"")</f>
        <v>Buspirone</v>
      </c>
      <c r="F231" s="79" t="s">
        <v>111</v>
      </c>
      <c r="G231" s="78">
        <f t="shared" si="5"/>
        <v>1</v>
      </c>
    </row>
    <row r="232" spans="1:7" x14ac:dyDescent="0.2">
      <c r="A232" s="110">
        <v>232</v>
      </c>
      <c r="B232" s="188" t="str">
        <f>IF(AND(A232&lt;&gt;"",ISNUMBER(A232)),VLOOKUP(A232,Studies!A:BR,2,FALSE),"")</f>
        <v>Hardin 1988</v>
      </c>
      <c r="C232" s="188" t="str">
        <f>IF(AND(A232&lt;&gt;"",ISNUMBER(A232)),VLOOKUP(A232,Studies!A:BR,3,FALSE),"")</f>
        <v>https://www.ncbi.nlm.nih.gov/pubmed/2848442</v>
      </c>
      <c r="D232" s="228" t="str">
        <f>IF(AND(A232&lt;&gt;"",ISNUMBER(A232)),VLOOKUP(A232,Studies!A:BR,4,FALSE),"")</f>
        <v>A 100 mg OD (day 1)</v>
      </c>
      <c r="E232" s="188" t="str">
        <f>IF(AND(A232&lt;&gt;"",ISNUMBER(A232)),VLOOKUP(A232,Studies!A:BR,5,FALSE),"")</f>
        <v>Itraconazole</v>
      </c>
      <c r="F232" s="79" t="s">
        <v>149</v>
      </c>
      <c r="G232" s="78">
        <f t="shared" si="5"/>
        <v>1</v>
      </c>
    </row>
    <row r="233" spans="1:7" x14ac:dyDescent="0.2">
      <c r="A233" s="110">
        <v>233</v>
      </c>
      <c r="B233" s="188" t="str">
        <f>IF(AND(A233&lt;&gt;"",ISNUMBER(A233)),VLOOKUP(A233,Studies!A:BR,2,FALSE),"")</f>
        <v>Hardin 1988</v>
      </c>
      <c r="C233" s="188" t="str">
        <f>IF(AND(A233&lt;&gt;"",ISNUMBER(A233)),VLOOKUP(A233,Studies!A:BR,3,FALSE),"")</f>
        <v>https://www.ncbi.nlm.nih.gov/pubmed/2848442</v>
      </c>
      <c r="D233" s="228" t="str">
        <f>IF(AND(A233&lt;&gt;"",ISNUMBER(A233)),VLOOKUP(A233,Studies!A:BR,4,FALSE),"")</f>
        <v>A 100 mg OD (day 7-15)</v>
      </c>
      <c r="E233" s="188" t="str">
        <f>IF(AND(A233&lt;&gt;"",ISNUMBER(A233)),VLOOKUP(A233,Studies!A:BR,5,FALSE),"")</f>
        <v>Itraconazole</v>
      </c>
      <c r="F233" s="79" t="s">
        <v>149</v>
      </c>
      <c r="G233" s="78">
        <f t="shared" si="5"/>
        <v>1</v>
      </c>
    </row>
    <row r="234" spans="1:7" x14ac:dyDescent="0.2">
      <c r="A234" s="80">
        <v>234</v>
      </c>
      <c r="B234" s="188" t="str">
        <f>IF(AND(A234&lt;&gt;"",ISNUMBER(A234)),VLOOKUP(A234,Studies!A:BR,2,FALSE),"")</f>
        <v>Hardin 1988</v>
      </c>
      <c r="C234" s="188" t="str">
        <f>IF(AND(A234&lt;&gt;"",ISNUMBER(A234)),VLOOKUP(A234,Studies!A:BR,3,FALSE),"")</f>
        <v>https://www.ncbi.nlm.nih.gov/pubmed/2848442</v>
      </c>
      <c r="D234" s="228" t="str">
        <f>IF(AND(A234&lt;&gt;"",ISNUMBER(A234)),VLOOKUP(A234,Studies!A:BR,4,FALSE),"")</f>
        <v>A 100 mg OD (day 15)</v>
      </c>
      <c r="E234" s="188" t="str">
        <f>IF(AND(A234&lt;&gt;"",ISNUMBER(A234)),VLOOKUP(A234,Studies!A:BR,5,FALSE),"")</f>
        <v>Itraconazole</v>
      </c>
      <c r="F234" s="79" t="s">
        <v>149</v>
      </c>
      <c r="G234" s="78">
        <f t="shared" si="5"/>
        <v>1</v>
      </c>
    </row>
    <row r="235" spans="1:7" x14ac:dyDescent="0.2">
      <c r="A235" s="80">
        <v>235</v>
      </c>
      <c r="B235" s="188" t="str">
        <f>IF(AND(A235&lt;&gt;"",ISNUMBER(A235)),VLOOKUP(A235,Studies!A:BR,2,FALSE),"")</f>
        <v>Hardin 1988</v>
      </c>
      <c r="C235" s="188" t="str">
        <f>IF(AND(A235&lt;&gt;"",ISNUMBER(A235)),VLOOKUP(A235,Studies!A:BR,3,FALSE),"")</f>
        <v>https://www.ncbi.nlm.nih.gov/pubmed/2848442</v>
      </c>
      <c r="D235" s="228" t="str">
        <f>IF(AND(A235&lt;&gt;"",ISNUMBER(A235)),VLOOKUP(A235,Studies!A:BR,4,FALSE),"")</f>
        <v>B 200 mg OD (day 1)</v>
      </c>
      <c r="E235" s="188" t="str">
        <f>IF(AND(A235&lt;&gt;"",ISNUMBER(A235)),VLOOKUP(A235,Studies!A:BR,5,FALSE),"")</f>
        <v>Itraconazole</v>
      </c>
      <c r="F235" s="79" t="s">
        <v>149</v>
      </c>
      <c r="G235" s="78">
        <f t="shared" si="5"/>
        <v>1</v>
      </c>
    </row>
    <row r="236" spans="1:7" x14ac:dyDescent="0.2">
      <c r="A236" s="110">
        <v>236</v>
      </c>
      <c r="B236" s="188" t="str">
        <f>IF(AND(A236&lt;&gt;"",ISNUMBER(A236)),VLOOKUP(A236,Studies!A:BR,2,FALSE),"")</f>
        <v>Hardin 1988</v>
      </c>
      <c r="C236" s="188" t="str">
        <f>IF(AND(A236&lt;&gt;"",ISNUMBER(A236)),VLOOKUP(A236,Studies!A:BR,3,FALSE),"")</f>
        <v>https://www.ncbi.nlm.nih.gov/pubmed/2848442</v>
      </c>
      <c r="D236" s="228" t="str">
        <f>IF(AND(A236&lt;&gt;"",ISNUMBER(A236)),VLOOKUP(A236,Studies!A:BR,4,FALSE),"")</f>
        <v>B 200 mg OD (day 7-15)</v>
      </c>
      <c r="E236" s="188" t="str">
        <f>IF(AND(A236&lt;&gt;"",ISNUMBER(A236)),VLOOKUP(A236,Studies!A:BR,5,FALSE),"")</f>
        <v>Itraconazole</v>
      </c>
      <c r="F236" s="79" t="s">
        <v>149</v>
      </c>
      <c r="G236" s="78">
        <f t="shared" si="5"/>
        <v>1</v>
      </c>
    </row>
    <row r="237" spans="1:7" x14ac:dyDescent="0.2">
      <c r="A237" s="110">
        <v>237</v>
      </c>
      <c r="B237" s="188" t="str">
        <f>IF(AND(A237&lt;&gt;"",ISNUMBER(A237)),VLOOKUP(A237,Studies!A:BR,2,FALSE),"")</f>
        <v>Hardin 1988</v>
      </c>
      <c r="C237" s="188" t="str">
        <f>IF(AND(A237&lt;&gt;"",ISNUMBER(A237)),VLOOKUP(A237,Studies!A:BR,3,FALSE),"")</f>
        <v>https://www.ncbi.nlm.nih.gov/pubmed/2848442</v>
      </c>
      <c r="D237" s="228" t="str">
        <f>IF(AND(A237&lt;&gt;"",ISNUMBER(A237)),VLOOKUP(A237,Studies!A:BR,4,FALSE),"")</f>
        <v>B 200 mg OD (day 15)</v>
      </c>
      <c r="E237" s="188" t="str">
        <f>IF(AND(A237&lt;&gt;"",ISNUMBER(A237)),VLOOKUP(A237,Studies!A:BR,5,FALSE),"")</f>
        <v>Itraconazole</v>
      </c>
      <c r="F237" s="79" t="s">
        <v>149</v>
      </c>
      <c r="G237" s="78">
        <f t="shared" si="5"/>
        <v>1</v>
      </c>
    </row>
    <row r="238" spans="1:7" x14ac:dyDescent="0.2">
      <c r="A238" s="80">
        <v>238</v>
      </c>
      <c r="B238" s="188" t="str">
        <f>IF(AND(A238&lt;&gt;"",ISNUMBER(A238)),VLOOKUP(A238,Studies!A:BR,2,FALSE),"")</f>
        <v>Hardin 1988</v>
      </c>
      <c r="C238" s="188" t="str">
        <f>IF(AND(A238&lt;&gt;"",ISNUMBER(A238)),VLOOKUP(A238,Studies!A:BR,3,FALSE),"")</f>
        <v>https://www.ncbi.nlm.nih.gov/pubmed/2848442</v>
      </c>
      <c r="D238" s="228" t="str">
        <f>IF(AND(A238&lt;&gt;"",ISNUMBER(A238)),VLOOKUP(A238,Studies!A:BR,4,FALSE),"")</f>
        <v>C 200 mg BID (day 1)</v>
      </c>
      <c r="E238" s="188" t="str">
        <f>IF(AND(A238&lt;&gt;"",ISNUMBER(A238)),VLOOKUP(A238,Studies!A:BR,5,FALSE),"")</f>
        <v>Itraconazole</v>
      </c>
      <c r="F238" s="79" t="s">
        <v>149</v>
      </c>
      <c r="G238" s="78">
        <f t="shared" si="5"/>
        <v>1</v>
      </c>
    </row>
    <row r="239" spans="1:7" x14ac:dyDescent="0.2">
      <c r="A239" s="80">
        <v>239</v>
      </c>
      <c r="B239" s="188" t="str">
        <f>IF(AND(A239&lt;&gt;"",ISNUMBER(A239)),VLOOKUP(A239,Studies!A:BR,2,FALSE),"")</f>
        <v>Hardin 1988</v>
      </c>
      <c r="C239" s="188" t="str">
        <f>IF(AND(A239&lt;&gt;"",ISNUMBER(A239)),VLOOKUP(A239,Studies!A:BR,3,FALSE),"")</f>
        <v>https://www.ncbi.nlm.nih.gov/pubmed/2848442</v>
      </c>
      <c r="D239" s="228" t="str">
        <f>IF(AND(A239&lt;&gt;"",ISNUMBER(A239)),VLOOKUP(A239,Studies!A:BR,4,FALSE),"")</f>
        <v>C 200 mg BID (day 7-15)</v>
      </c>
      <c r="E239" s="188" t="str">
        <f>IF(AND(A239&lt;&gt;"",ISNUMBER(A239)),VLOOKUP(A239,Studies!A:BR,5,FALSE),"")</f>
        <v>Itraconazole</v>
      </c>
      <c r="F239" s="79" t="s">
        <v>149</v>
      </c>
      <c r="G239" s="78">
        <f t="shared" si="5"/>
        <v>1</v>
      </c>
    </row>
    <row r="240" spans="1:7" x14ac:dyDescent="0.2">
      <c r="A240" s="110">
        <v>240</v>
      </c>
      <c r="B240" s="188" t="str">
        <f>IF(AND(A240&lt;&gt;"",ISNUMBER(A240)),VLOOKUP(A240,Studies!A:BR,2,FALSE),"")</f>
        <v>Hardin 1988</v>
      </c>
      <c r="C240" s="188" t="str">
        <f>IF(AND(A240&lt;&gt;"",ISNUMBER(A240)),VLOOKUP(A240,Studies!A:BR,3,FALSE),"")</f>
        <v>https://www.ncbi.nlm.nih.gov/pubmed/2848442</v>
      </c>
      <c r="D240" s="228" t="str">
        <f>IF(AND(A240&lt;&gt;"",ISNUMBER(A240)),VLOOKUP(A240,Studies!A:BR,4,FALSE),"")</f>
        <v>C 200 mg BID (day 15)</v>
      </c>
      <c r="E240" s="188" t="str">
        <f>IF(AND(A240&lt;&gt;"",ISNUMBER(A240)),VLOOKUP(A240,Studies!A:BR,5,FALSE),"")</f>
        <v>Itraconazole</v>
      </c>
      <c r="F240" s="79" t="s">
        <v>149</v>
      </c>
      <c r="G240" s="78">
        <f t="shared" si="5"/>
        <v>1</v>
      </c>
    </row>
    <row r="241" spans="1:7" x14ac:dyDescent="0.2">
      <c r="A241" s="111">
        <v>241</v>
      </c>
      <c r="B241" s="188" t="str">
        <f>IF(AND(A241&lt;&gt;"",ISNUMBER(A241)),VLOOKUP(A241,Studies!A:BR,2,FALSE),"")</f>
        <v>Healy 1987</v>
      </c>
      <c r="C241" s="188" t="str">
        <f>IF(AND(A241&lt;&gt;"",ISNUMBER(A241)),VLOOKUP(A241,Studies!A:BR,3,FALSE),"")</f>
        <v>https://www.ncbi.nlm.nih.gov/pubmed/3579256</v>
      </c>
      <c r="D241" s="228" t="str">
        <f>IF(AND(A241&lt;&gt;"",ISNUMBER(A241)),VLOOKUP(A241,Studies!A:BR,4,FALSE),"")</f>
        <v>mean 0.5g</v>
      </c>
      <c r="E241" s="188" t="str">
        <f>IF(AND(A241&lt;&gt;"",ISNUMBER(A241)),VLOOKUP(A241,Studies!A:BR,5,FALSE),"")</f>
        <v>vancomycin</v>
      </c>
      <c r="F241" s="79" t="s">
        <v>1277</v>
      </c>
      <c r="G241" s="78">
        <f t="shared" si="5"/>
        <v>1</v>
      </c>
    </row>
    <row r="242" spans="1:7" x14ac:dyDescent="0.2">
      <c r="A242" s="111">
        <v>242</v>
      </c>
      <c r="B242" s="188" t="str">
        <f>IF(AND(A242&lt;&gt;"",ISNUMBER(A242)),VLOOKUP(A242,Studies!A:BR,2,FALSE),"")</f>
        <v>Healy 1987</v>
      </c>
      <c r="C242" s="188" t="str">
        <f>IF(AND(A242&lt;&gt;"",ISNUMBER(A242)),VLOOKUP(A242,Studies!A:BR,3,FALSE),"")</f>
        <v>https://www.ncbi.nlm.nih.gov/pubmed/3579256</v>
      </c>
      <c r="D242" s="228" t="str">
        <f>IF(AND(A242&lt;&gt;"",ISNUMBER(A242)),VLOOKUP(A242,Studies!A:BR,4,FALSE),"")</f>
        <v>mean 1g</v>
      </c>
      <c r="E242" s="188" t="str">
        <f>IF(AND(A242&lt;&gt;"",ISNUMBER(A242)),VLOOKUP(A242,Studies!A:BR,5,FALSE),"")</f>
        <v>vancomycin</v>
      </c>
      <c r="F242" s="79" t="s">
        <v>1277</v>
      </c>
      <c r="G242" s="78">
        <f t="shared" si="5"/>
        <v>1</v>
      </c>
    </row>
    <row r="243" spans="1:7" x14ac:dyDescent="0.2">
      <c r="A243" s="110">
        <v>243</v>
      </c>
      <c r="B243" s="188" t="str">
        <f>IF(AND(A243&lt;&gt;"",ISNUMBER(A243)),VLOOKUP(A243,Studies!A:BR,2,FALSE),"")</f>
        <v>Heizmann 1983</v>
      </c>
      <c r="C243" s="188" t="str">
        <f>IF(AND(A243&lt;&gt;"",ISNUMBER(A243)),VLOOKUP(A243,Studies!A:BR,3,FALSE),"")</f>
        <v>http://www.ncbi.nlm.nih.gov/pubmed/6138080</v>
      </c>
      <c r="D243" s="228" t="str">
        <f>IF(AND(A243&lt;&gt;"",ISNUMBER(A243)),VLOOKUP(A243,Studies!A:BR,4,FALSE),"")</f>
        <v>iv 0.15 mg/kg - Indiv. CH.B.</v>
      </c>
      <c r="E243" s="188" t="str">
        <f>IF(AND(A243&lt;&gt;"",ISNUMBER(A243)),VLOOKUP(A243,Studies!A:BR,5,FALSE),"")</f>
        <v>Midazolam</v>
      </c>
      <c r="F243" s="79" t="s">
        <v>102</v>
      </c>
      <c r="G243" s="78">
        <f t="shared" si="5"/>
        <v>1</v>
      </c>
    </row>
    <row r="244" spans="1:7" x14ac:dyDescent="0.2">
      <c r="A244" s="110">
        <v>244</v>
      </c>
      <c r="B244" s="188" t="str">
        <f>IF(AND(A244&lt;&gt;"",ISNUMBER(A244)),VLOOKUP(A244,Studies!A:BR,2,FALSE),"")</f>
        <v>Heizmann 1983</v>
      </c>
      <c r="C244" s="188" t="str">
        <f>IF(AND(A244&lt;&gt;"",ISNUMBER(A244)),VLOOKUP(A244,Studies!A:BR,3,FALSE),"")</f>
        <v>http://www.ncbi.nlm.nih.gov/pubmed/6138080</v>
      </c>
      <c r="D244" s="228" t="str">
        <f>IF(AND(A244&lt;&gt;"",ISNUMBER(A244)),VLOOKUP(A244,Studies!A:BR,4,FALSE),"")</f>
        <v>iv 0.15 mg/kg - Indiv. K.M.</v>
      </c>
      <c r="E244" s="188" t="str">
        <f>IF(AND(A244&lt;&gt;"",ISNUMBER(A244)),VLOOKUP(A244,Studies!A:BR,5,FALSE),"")</f>
        <v>Midazolam</v>
      </c>
      <c r="F244" s="79" t="s">
        <v>102</v>
      </c>
      <c r="G244" s="78">
        <f t="shared" si="5"/>
        <v>1</v>
      </c>
    </row>
    <row r="245" spans="1:7" x14ac:dyDescent="0.2">
      <c r="A245" s="110">
        <v>245</v>
      </c>
      <c r="B245" s="188" t="str">
        <f>IF(AND(A245&lt;&gt;"",ISNUMBER(A245)),VLOOKUP(A245,Studies!A:BR,2,FALSE),"")</f>
        <v>Heizmann 1983</v>
      </c>
      <c r="C245" s="188" t="str">
        <f>IF(AND(A245&lt;&gt;"",ISNUMBER(A245)),VLOOKUP(A245,Studies!A:BR,3,FALSE),"")</f>
        <v>http://www.ncbi.nlm.nih.gov/pubmed/6138080</v>
      </c>
      <c r="D245" s="228" t="str">
        <f>IF(AND(A245&lt;&gt;"",ISNUMBER(A245)),VLOOKUP(A245,Studies!A:BR,4,FALSE),"")</f>
        <v>iv 0.15 mg/kg - Indiv. E.Sch.</v>
      </c>
      <c r="E245" s="188" t="str">
        <f>IF(AND(A245&lt;&gt;"",ISNUMBER(A245)),VLOOKUP(A245,Studies!A:BR,5,FALSE),"")</f>
        <v>Midazolam</v>
      </c>
      <c r="F245" s="79" t="s">
        <v>102</v>
      </c>
      <c r="G245" s="78">
        <f t="shared" si="5"/>
        <v>1</v>
      </c>
    </row>
    <row r="246" spans="1:7" x14ac:dyDescent="0.2">
      <c r="A246" s="110">
        <v>246</v>
      </c>
      <c r="B246" s="188" t="str">
        <f>IF(AND(A246&lt;&gt;"",ISNUMBER(A246)),VLOOKUP(A246,Studies!A:BR,2,FALSE),"")</f>
        <v>Heizmann 1983</v>
      </c>
      <c r="C246" s="188" t="str">
        <f>IF(AND(A246&lt;&gt;"",ISNUMBER(A246)),VLOOKUP(A246,Studies!A:BR,3,FALSE),"")</f>
        <v>http://www.ncbi.nlm.nih.gov/pubmed/6138080</v>
      </c>
      <c r="D246" s="228" t="str">
        <f>IF(AND(A246&lt;&gt;"",ISNUMBER(A246)),VLOOKUP(A246,Studies!A:BR,4,FALSE),"")</f>
        <v>iv 0.15 mg/kg - Indiv. R.H.</v>
      </c>
      <c r="E246" s="188" t="str">
        <f>IF(AND(A246&lt;&gt;"",ISNUMBER(A246)),VLOOKUP(A246,Studies!A:BR,5,FALSE),"")</f>
        <v>Midazolam</v>
      </c>
      <c r="F246" s="79" t="s">
        <v>102</v>
      </c>
      <c r="G246" s="78">
        <f t="shared" si="5"/>
        <v>1</v>
      </c>
    </row>
    <row r="247" spans="1:7" x14ac:dyDescent="0.2">
      <c r="A247" s="110">
        <v>247</v>
      </c>
      <c r="B247" s="188" t="str">
        <f>IF(AND(A247&lt;&gt;"",ISNUMBER(A247)),VLOOKUP(A247,Studies!A:BR,2,FALSE),"")</f>
        <v>Heizmann 1983</v>
      </c>
      <c r="C247" s="188" t="str">
        <f>IF(AND(A247&lt;&gt;"",ISNUMBER(A247)),VLOOKUP(A247,Studies!A:BR,3,FALSE),"")</f>
        <v>http://www.ncbi.nlm.nih.gov/pubmed/6138080</v>
      </c>
      <c r="D247" s="228" t="str">
        <f>IF(AND(A247&lt;&gt;"",ISNUMBER(A247)),VLOOKUP(A247,Studies!A:BR,4,FALSE),"")</f>
        <v>iv 0.15 mg/kg - Indiv. A.St.</v>
      </c>
      <c r="E247" s="188" t="str">
        <f>IF(AND(A247&lt;&gt;"",ISNUMBER(A247)),VLOOKUP(A247,Studies!A:BR,5,FALSE),"")</f>
        <v>Midazolam</v>
      </c>
      <c r="F247" s="79" t="s">
        <v>102</v>
      </c>
      <c r="G247" s="78">
        <f t="shared" si="5"/>
        <v>1</v>
      </c>
    </row>
    <row r="248" spans="1:7" x14ac:dyDescent="0.2">
      <c r="A248" s="110">
        <v>248</v>
      </c>
      <c r="B248" s="188" t="str">
        <f>IF(AND(A248&lt;&gt;"",ISNUMBER(A248)),VLOOKUP(A248,Studies!A:BR,2,FALSE),"")</f>
        <v>Heizmann 1983</v>
      </c>
      <c r="C248" s="188" t="str">
        <f>IF(AND(A248&lt;&gt;"",ISNUMBER(A248)),VLOOKUP(A248,Studies!A:BR,3,FALSE),"")</f>
        <v>http://www.ncbi.nlm.nih.gov/pubmed/6138080</v>
      </c>
      <c r="D248" s="228" t="str">
        <f>IF(AND(A248&lt;&gt;"",ISNUMBER(A248)),VLOOKUP(A248,Studies!A:BR,4,FALSE),"")</f>
        <v>iv 0.15 mg/kg - Indiv. O.A.</v>
      </c>
      <c r="E248" s="188" t="str">
        <f>IF(AND(A248&lt;&gt;"",ISNUMBER(A248)),VLOOKUP(A248,Studies!A:BR,5,FALSE),"")</f>
        <v>Midazolam</v>
      </c>
      <c r="F248" s="79" t="s">
        <v>102</v>
      </c>
      <c r="G248" s="78">
        <f t="shared" si="5"/>
        <v>1</v>
      </c>
    </row>
    <row r="249" spans="1:7" x14ac:dyDescent="0.2">
      <c r="A249" s="110">
        <v>249</v>
      </c>
      <c r="B249" s="188" t="str">
        <f>IF(AND(A249&lt;&gt;"",ISNUMBER(A249)),VLOOKUP(A249,Studies!A:BR,2,FALSE),"")</f>
        <v>Heizmann 1983</v>
      </c>
      <c r="C249" s="188" t="str">
        <f>IF(AND(A249&lt;&gt;"",ISNUMBER(A249)),VLOOKUP(A249,Studies!A:BR,3,FALSE),"")</f>
        <v>http://www.ncbi.nlm.nih.gov/pubmed/6138080</v>
      </c>
      <c r="D249" s="228" t="str">
        <f>IF(AND(A249&lt;&gt;"",ISNUMBER(A249)),VLOOKUP(A249,Studies!A:BR,4,FALSE),"")</f>
        <v>po 10 mg - Indiv. K.M.</v>
      </c>
      <c r="E249" s="188" t="str">
        <f>IF(AND(A249&lt;&gt;"",ISNUMBER(A249)),VLOOKUP(A249,Studies!A:BR,5,FALSE),"")</f>
        <v>Midazolam</v>
      </c>
      <c r="F249" s="79" t="s">
        <v>102</v>
      </c>
      <c r="G249" s="78">
        <f t="shared" si="5"/>
        <v>1</v>
      </c>
    </row>
    <row r="250" spans="1:7" x14ac:dyDescent="0.2">
      <c r="A250" s="110">
        <v>250</v>
      </c>
      <c r="B250" s="188" t="str">
        <f>IF(AND(A250&lt;&gt;"",ISNUMBER(A250)),VLOOKUP(A250,Studies!A:BR,2,FALSE),"")</f>
        <v>Heizmann 1983</v>
      </c>
      <c r="C250" s="188" t="str">
        <f>IF(AND(A250&lt;&gt;"",ISNUMBER(A250)),VLOOKUP(A250,Studies!A:BR,3,FALSE),"")</f>
        <v>http://www.ncbi.nlm.nih.gov/pubmed/6138080</v>
      </c>
      <c r="D250" s="228" t="str">
        <f>IF(AND(A250&lt;&gt;"",ISNUMBER(A250)),VLOOKUP(A250,Studies!A:BR,4,FALSE),"")</f>
        <v>po 10 mg - Indiv. O.A.</v>
      </c>
      <c r="E250" s="188" t="str">
        <f>IF(AND(A250&lt;&gt;"",ISNUMBER(A250)),VLOOKUP(A250,Studies!A:BR,5,FALSE),"")</f>
        <v>Midazolam</v>
      </c>
      <c r="F250" s="79" t="s">
        <v>102</v>
      </c>
      <c r="G250" s="78">
        <f t="shared" si="5"/>
        <v>1</v>
      </c>
    </row>
    <row r="251" spans="1:7" x14ac:dyDescent="0.2">
      <c r="A251" s="110">
        <v>251</v>
      </c>
      <c r="B251" s="188" t="str">
        <f>IF(AND(A251&lt;&gt;"",ISNUMBER(A251)),VLOOKUP(A251,Studies!A:BR,2,FALSE),"")</f>
        <v>Heizmann 1983</v>
      </c>
      <c r="C251" s="188" t="str">
        <f>IF(AND(A251&lt;&gt;"",ISNUMBER(A251)),VLOOKUP(A251,Studies!A:BR,3,FALSE),"")</f>
        <v>http://www.ncbi.nlm.nih.gov/pubmed/6138080</v>
      </c>
      <c r="D251" s="228" t="str">
        <f>IF(AND(A251&lt;&gt;"",ISNUMBER(A251)),VLOOKUP(A251,Studies!A:BR,4,FALSE),"")</f>
        <v>po 10 mg - Indiv. R.H.</v>
      </c>
      <c r="E251" s="188" t="str">
        <f>IF(AND(A251&lt;&gt;"",ISNUMBER(A251)),VLOOKUP(A251,Studies!A:BR,5,FALSE),"")</f>
        <v>Midazolam</v>
      </c>
      <c r="F251" s="79" t="s">
        <v>102</v>
      </c>
      <c r="G251" s="78">
        <f t="shared" si="5"/>
        <v>1</v>
      </c>
    </row>
    <row r="252" spans="1:7" x14ac:dyDescent="0.2">
      <c r="A252" s="110">
        <v>252</v>
      </c>
      <c r="B252" s="188" t="str">
        <f>IF(AND(A252&lt;&gt;"",ISNUMBER(A252)),VLOOKUP(A252,Studies!A:BR,2,FALSE),"")</f>
        <v>Heizmann 1983</v>
      </c>
      <c r="C252" s="188" t="str">
        <f>IF(AND(A252&lt;&gt;"",ISNUMBER(A252)),VLOOKUP(A252,Studies!A:BR,3,FALSE),"")</f>
        <v>http://www.ncbi.nlm.nih.gov/pubmed/6138080</v>
      </c>
      <c r="D252" s="228" t="str">
        <f>IF(AND(A252&lt;&gt;"",ISNUMBER(A252)),VLOOKUP(A252,Studies!A:BR,4,FALSE),"")</f>
        <v>po 20 mg - Indiv. A.St.</v>
      </c>
      <c r="E252" s="188" t="str">
        <f>IF(AND(A252&lt;&gt;"",ISNUMBER(A252)),VLOOKUP(A252,Studies!A:BR,5,FALSE),"")</f>
        <v>Midazolam</v>
      </c>
      <c r="F252" s="79" t="s">
        <v>102</v>
      </c>
      <c r="G252" s="78">
        <f t="shared" si="5"/>
        <v>1</v>
      </c>
    </row>
    <row r="253" spans="1:7" x14ac:dyDescent="0.2">
      <c r="A253" s="110">
        <v>253</v>
      </c>
      <c r="B253" s="188" t="str">
        <f>IF(AND(A253&lt;&gt;"",ISNUMBER(A253)),VLOOKUP(A253,Studies!A:BR,2,FALSE),"")</f>
        <v>Heizmann 1983</v>
      </c>
      <c r="C253" s="188" t="str">
        <f>IF(AND(A253&lt;&gt;"",ISNUMBER(A253)),VLOOKUP(A253,Studies!A:BR,3,FALSE),"")</f>
        <v>http://www.ncbi.nlm.nih.gov/pubmed/6138080</v>
      </c>
      <c r="D253" s="228" t="str">
        <f>IF(AND(A253&lt;&gt;"",ISNUMBER(A253)),VLOOKUP(A253,Studies!A:BR,4,FALSE),"")</f>
        <v>po 20 mg - Indiv. CH.B.</v>
      </c>
      <c r="E253" s="188" t="str">
        <f>IF(AND(A253&lt;&gt;"",ISNUMBER(A253)),VLOOKUP(A253,Studies!A:BR,5,FALSE),"")</f>
        <v>Midazolam</v>
      </c>
      <c r="F253" s="79" t="s">
        <v>102</v>
      </c>
      <c r="G253" s="78">
        <f t="shared" si="5"/>
        <v>1</v>
      </c>
    </row>
    <row r="254" spans="1:7" x14ac:dyDescent="0.2">
      <c r="A254" s="110">
        <v>254</v>
      </c>
      <c r="B254" s="188" t="str">
        <f>IF(AND(A254&lt;&gt;"",ISNUMBER(A254)),VLOOKUP(A254,Studies!A:BR,2,FALSE),"")</f>
        <v>Heizmann 1983</v>
      </c>
      <c r="C254" s="188" t="str">
        <f>IF(AND(A254&lt;&gt;"",ISNUMBER(A254)),VLOOKUP(A254,Studies!A:BR,3,FALSE),"")</f>
        <v>http://www.ncbi.nlm.nih.gov/pubmed/6138080</v>
      </c>
      <c r="D254" s="228" t="str">
        <f>IF(AND(A254&lt;&gt;"",ISNUMBER(A254)),VLOOKUP(A254,Studies!A:BR,4,FALSE),"")</f>
        <v>po 20 mg - Indiv. E.Sch.</v>
      </c>
      <c r="E254" s="188" t="str">
        <f>IF(AND(A254&lt;&gt;"",ISNUMBER(A254)),VLOOKUP(A254,Studies!A:BR,5,FALSE),"")</f>
        <v>Midazolam</v>
      </c>
      <c r="F254" s="79" t="s">
        <v>102</v>
      </c>
      <c r="G254" s="78">
        <f t="shared" si="5"/>
        <v>1</v>
      </c>
    </row>
    <row r="255" spans="1:7" x14ac:dyDescent="0.2">
      <c r="A255" s="110">
        <v>255</v>
      </c>
      <c r="B255" s="188" t="str">
        <f>IF(AND(A255&lt;&gt;"",ISNUMBER(A255)),VLOOKUP(A255,Studies!A:BR,2,FALSE),"")</f>
        <v>Heizmann 1983</v>
      </c>
      <c r="C255" s="188" t="str">
        <f>IF(AND(A255&lt;&gt;"",ISNUMBER(A255)),VLOOKUP(A255,Studies!A:BR,3,FALSE),"")</f>
        <v>http://www.ncbi.nlm.nih.gov/pubmed/6138080</v>
      </c>
      <c r="D255" s="228" t="str">
        <f>IF(AND(A255&lt;&gt;"",ISNUMBER(A255)),VLOOKUP(A255,Studies!A:BR,4,FALSE),"")</f>
        <v>po 20 mg - Indiv. K.M.</v>
      </c>
      <c r="E255" s="188" t="str">
        <f>IF(AND(A255&lt;&gt;"",ISNUMBER(A255)),VLOOKUP(A255,Studies!A:BR,5,FALSE),"")</f>
        <v>Midazolam</v>
      </c>
      <c r="F255" s="79" t="s">
        <v>102</v>
      </c>
      <c r="G255" s="78">
        <f t="shared" si="5"/>
        <v>1</v>
      </c>
    </row>
    <row r="256" spans="1:7" x14ac:dyDescent="0.2">
      <c r="A256" s="110">
        <v>256</v>
      </c>
      <c r="B256" s="188" t="str">
        <f>IF(AND(A256&lt;&gt;"",ISNUMBER(A256)),VLOOKUP(A256,Studies!A:BR,2,FALSE),"")</f>
        <v>Heizmann 1983</v>
      </c>
      <c r="C256" s="188" t="str">
        <f>IF(AND(A256&lt;&gt;"",ISNUMBER(A256)),VLOOKUP(A256,Studies!A:BR,3,FALSE),"")</f>
        <v>http://www.ncbi.nlm.nih.gov/pubmed/6138080</v>
      </c>
      <c r="D256" s="228" t="str">
        <f>IF(AND(A256&lt;&gt;"",ISNUMBER(A256)),VLOOKUP(A256,Studies!A:BR,4,FALSE),"")</f>
        <v>po 20 mg - Indiv. O.A.</v>
      </c>
      <c r="E256" s="188" t="str">
        <f>IF(AND(A256&lt;&gt;"",ISNUMBER(A256)),VLOOKUP(A256,Studies!A:BR,5,FALSE),"")</f>
        <v>Midazolam</v>
      </c>
      <c r="F256" s="79" t="s">
        <v>102</v>
      </c>
      <c r="G256" s="78">
        <f t="shared" si="5"/>
        <v>1</v>
      </c>
    </row>
    <row r="257" spans="1:7" x14ac:dyDescent="0.2">
      <c r="A257" s="110">
        <v>257</v>
      </c>
      <c r="B257" s="188" t="str">
        <f>IF(AND(A257&lt;&gt;"",ISNUMBER(A257)),VLOOKUP(A257,Studies!A:BR,2,FALSE),"")</f>
        <v>Heizmann 1983</v>
      </c>
      <c r="C257" s="188" t="str">
        <f>IF(AND(A257&lt;&gt;"",ISNUMBER(A257)),VLOOKUP(A257,Studies!A:BR,3,FALSE),"")</f>
        <v>http://www.ncbi.nlm.nih.gov/pubmed/6138080</v>
      </c>
      <c r="D257" s="228" t="str">
        <f>IF(AND(A257&lt;&gt;"",ISNUMBER(A257)),VLOOKUP(A257,Studies!A:BR,4,FALSE),"")</f>
        <v>po 20 mg - Indiv. R.H.</v>
      </c>
      <c r="E257" s="188" t="str">
        <f>IF(AND(A257&lt;&gt;"",ISNUMBER(A257)),VLOOKUP(A257,Studies!A:BR,5,FALSE),"")</f>
        <v>Midazolam</v>
      </c>
      <c r="F257" s="79" t="s">
        <v>102</v>
      </c>
      <c r="G257" s="78">
        <f t="shared" si="5"/>
        <v>1</v>
      </c>
    </row>
    <row r="258" spans="1:7" x14ac:dyDescent="0.2">
      <c r="A258" s="110">
        <v>258</v>
      </c>
      <c r="B258" s="188" t="str">
        <f>IF(AND(A258&lt;&gt;"",ISNUMBER(A258)),VLOOKUP(A258,Studies!A:BR,2,FALSE),"")</f>
        <v>Heizmann 1983</v>
      </c>
      <c r="C258" s="188" t="str">
        <f>IF(AND(A258&lt;&gt;"",ISNUMBER(A258)),VLOOKUP(A258,Studies!A:BR,3,FALSE),"")</f>
        <v>http://www.ncbi.nlm.nih.gov/pubmed/6138080</v>
      </c>
      <c r="D258" s="228" t="str">
        <f>IF(AND(A258&lt;&gt;"",ISNUMBER(A258)),VLOOKUP(A258,Studies!A:BR,4,FALSE),"")</f>
        <v>po 40 mg - Indiv. A.St.</v>
      </c>
      <c r="E258" s="188" t="str">
        <f>IF(AND(A258&lt;&gt;"",ISNUMBER(A258)),VLOOKUP(A258,Studies!A:BR,5,FALSE),"")</f>
        <v>Midazolam</v>
      </c>
      <c r="F258" s="79" t="s">
        <v>102</v>
      </c>
      <c r="G258" s="78">
        <f t="shared" si="5"/>
        <v>1</v>
      </c>
    </row>
    <row r="259" spans="1:7" x14ac:dyDescent="0.2">
      <c r="A259" s="110">
        <v>259</v>
      </c>
      <c r="B259" s="188" t="str">
        <f>IF(AND(A259&lt;&gt;"",ISNUMBER(A259)),VLOOKUP(A259,Studies!A:BR,2,FALSE),"")</f>
        <v>Heizmann 1983</v>
      </c>
      <c r="C259" s="188" t="str">
        <f>IF(AND(A259&lt;&gt;"",ISNUMBER(A259)),VLOOKUP(A259,Studies!A:BR,3,FALSE),"")</f>
        <v>http://www.ncbi.nlm.nih.gov/pubmed/6138080</v>
      </c>
      <c r="D259" s="228" t="str">
        <f>IF(AND(A259&lt;&gt;"",ISNUMBER(A259)),VLOOKUP(A259,Studies!A:BR,4,FALSE),"")</f>
        <v>po 40 mg - Indiv. CH.B.</v>
      </c>
      <c r="E259" s="188" t="str">
        <f>IF(AND(A259&lt;&gt;"",ISNUMBER(A259)),VLOOKUP(A259,Studies!A:BR,5,FALSE),"")</f>
        <v>Midazolam</v>
      </c>
      <c r="F259" s="79" t="s">
        <v>102</v>
      </c>
      <c r="G259" s="78">
        <f t="shared" si="5"/>
        <v>1</v>
      </c>
    </row>
    <row r="260" spans="1:7" x14ac:dyDescent="0.2">
      <c r="A260" s="110">
        <v>260</v>
      </c>
      <c r="B260" s="188" t="str">
        <f>IF(AND(A260&lt;&gt;"",ISNUMBER(A260)),VLOOKUP(A260,Studies!A:BR,2,FALSE),"")</f>
        <v>Heizmann 1983</v>
      </c>
      <c r="C260" s="188" t="str">
        <f>IF(AND(A260&lt;&gt;"",ISNUMBER(A260)),VLOOKUP(A260,Studies!A:BR,3,FALSE),"")</f>
        <v>http://www.ncbi.nlm.nih.gov/pubmed/6138080</v>
      </c>
      <c r="D260" s="228" t="str">
        <f>IF(AND(A260&lt;&gt;"",ISNUMBER(A260)),VLOOKUP(A260,Studies!A:BR,4,FALSE),"")</f>
        <v>po 40 mg - Indiv. E.Sch.</v>
      </c>
      <c r="E260" s="188" t="str">
        <f>IF(AND(A260&lt;&gt;"",ISNUMBER(A260)),VLOOKUP(A260,Studies!A:BR,5,FALSE),"")</f>
        <v>Midazolam</v>
      </c>
      <c r="F260" s="79" t="s">
        <v>102</v>
      </c>
      <c r="G260" s="78">
        <f t="shared" si="5"/>
        <v>1</v>
      </c>
    </row>
    <row r="261" spans="1:7" x14ac:dyDescent="0.2">
      <c r="A261" s="110">
        <v>261</v>
      </c>
      <c r="B261" s="188" t="str">
        <f>IF(AND(A261&lt;&gt;"",ISNUMBER(A261)),VLOOKUP(A261,Studies!A:BR,2,FALSE),"")</f>
        <v>Hohmann 2015</v>
      </c>
      <c r="C261" s="188" t="str">
        <f>IF(AND(A261&lt;&gt;"",ISNUMBER(A261)),VLOOKUP(A261,Studies!A:BR,3,FALSE),"")</f>
        <v>https://www.ncbi.nlm.nih.gov/pubmed/25588320</v>
      </c>
      <c r="D261" s="228" t="str">
        <f>IF(AND(A261&lt;&gt;"",ISNUMBER(A261)),VLOOKUP(A261,Studies!A:BR,4,FALSE),"")</f>
        <v>iv 0.001 mg</v>
      </c>
      <c r="E261" s="188" t="str">
        <f>IF(AND(A261&lt;&gt;"",ISNUMBER(A261)),VLOOKUP(A261,Studies!A:BR,5,FALSE),"")</f>
        <v>Midazolam</v>
      </c>
      <c r="F261" s="79" t="s">
        <v>102</v>
      </c>
      <c r="G261" s="78">
        <f t="shared" si="5"/>
        <v>1</v>
      </c>
    </row>
    <row r="262" spans="1:7" x14ac:dyDescent="0.2">
      <c r="A262" s="110">
        <v>262</v>
      </c>
      <c r="B262" s="188" t="str">
        <f>IF(AND(A262&lt;&gt;"",ISNUMBER(A262)),VLOOKUP(A262,Studies!A:BR,2,FALSE),"")</f>
        <v>Hohmann 2015</v>
      </c>
      <c r="C262" s="188" t="str">
        <f>IF(AND(A262&lt;&gt;"",ISNUMBER(A262)),VLOOKUP(A262,Studies!A:BR,3,FALSE),"")</f>
        <v>https://www.ncbi.nlm.nih.gov/pubmed/25588320</v>
      </c>
      <c r="D262" s="228" t="str">
        <f>IF(AND(A262&lt;&gt;"",ISNUMBER(A262)),VLOOKUP(A262,Studies!A:BR,4,FALSE),"")</f>
        <v>iv 1 mg</v>
      </c>
      <c r="E262" s="188" t="str">
        <f>IF(AND(A262&lt;&gt;"",ISNUMBER(A262)),VLOOKUP(A262,Studies!A:BR,5,FALSE),"")</f>
        <v>Midazolam</v>
      </c>
      <c r="F262" s="79" t="s">
        <v>102</v>
      </c>
      <c r="G262" s="78">
        <f t="shared" si="5"/>
        <v>1</v>
      </c>
    </row>
    <row r="263" spans="1:7" x14ac:dyDescent="0.2">
      <c r="A263" s="110">
        <v>263</v>
      </c>
      <c r="B263" s="188" t="str">
        <f>IF(AND(A263&lt;&gt;"",ISNUMBER(A263)),VLOOKUP(A263,Studies!A:BR,2,FALSE),"")</f>
        <v>Hohmann 2015</v>
      </c>
      <c r="C263" s="188" t="str">
        <f>IF(AND(A263&lt;&gt;"",ISNUMBER(A263)),VLOOKUP(A263,Studies!A:BR,3,FALSE),"")</f>
        <v>https://www.ncbi.nlm.nih.gov/pubmed/25588320</v>
      </c>
      <c r="D263" s="228" t="str">
        <f>IF(AND(A263&lt;&gt;"",ISNUMBER(A263)),VLOOKUP(A263,Studies!A:BR,4,FALSE),"")</f>
        <v>po 0.003 mg</v>
      </c>
      <c r="E263" s="188" t="str">
        <f>IF(AND(A263&lt;&gt;"",ISNUMBER(A263)),VLOOKUP(A263,Studies!A:BR,5,FALSE),"")</f>
        <v>Midazolam</v>
      </c>
      <c r="F263" s="79" t="s">
        <v>102</v>
      </c>
      <c r="G263" s="78">
        <f t="shared" si="5"/>
        <v>1</v>
      </c>
    </row>
    <row r="264" spans="1:7" x14ac:dyDescent="0.2">
      <c r="A264" s="110">
        <v>264</v>
      </c>
      <c r="B264" s="188" t="str">
        <f>IF(AND(A264&lt;&gt;"",ISNUMBER(A264)),VLOOKUP(A264,Studies!A:BR,2,FALSE),"")</f>
        <v>Hohmann 2015</v>
      </c>
      <c r="C264" s="188" t="str">
        <f>IF(AND(A264&lt;&gt;"",ISNUMBER(A264)),VLOOKUP(A264,Studies!A:BR,3,FALSE),"")</f>
        <v>https://www.ncbi.nlm.nih.gov/pubmed/25588320</v>
      </c>
      <c r="D264" s="228" t="str">
        <f>IF(AND(A264&lt;&gt;"",ISNUMBER(A264)),VLOOKUP(A264,Studies!A:BR,4,FALSE),"")</f>
        <v>po 3 mg</v>
      </c>
      <c r="E264" s="188" t="str">
        <f>IF(AND(A264&lt;&gt;"",ISNUMBER(A264)),VLOOKUP(A264,Studies!A:BR,5,FALSE),"")</f>
        <v>Midazolam</v>
      </c>
      <c r="F264" s="79" t="s">
        <v>102</v>
      </c>
      <c r="G264" s="78">
        <f t="shared" si="5"/>
        <v>1</v>
      </c>
    </row>
    <row r="265" spans="1:7" x14ac:dyDescent="0.2">
      <c r="A265" s="110">
        <v>265</v>
      </c>
      <c r="B265" s="188" t="str">
        <f>IF(AND(A265&lt;&gt;"",ISNUMBER(A265)),VLOOKUP(A265,Studies!A:BR,2,FALSE),"")</f>
        <v>Hyland 2009</v>
      </c>
      <c r="C265" s="188" t="str">
        <f>IF(AND(A265&lt;&gt;"",ISNUMBER(A265)),VLOOKUP(A265,Studies!A:BR,3,FALSE),"")</f>
        <v>https://www.ncbi.nlm.nih.gov/pubmed/19371318</v>
      </c>
      <c r="D265" s="228" t="str">
        <f>IF(AND(A265&lt;&gt;"",ISNUMBER(A265)),VLOOKUP(A265,Studies!A:BR,4,FALSE),"")</f>
        <v>3-mg oral dose</v>
      </c>
      <c r="E265" s="188" t="str">
        <f>IF(AND(A265&lt;&gt;"",ISNUMBER(A265)),VLOOKUP(A265,Studies!A:BR,5,FALSE),"")</f>
        <v>Midazolam-N-Glucuronide</v>
      </c>
      <c r="F265" s="79"/>
      <c r="G265" s="78">
        <f t="shared" ref="G265:G328" si="6">A265-A264</f>
        <v>1</v>
      </c>
    </row>
    <row r="266" spans="1:7" x14ac:dyDescent="0.2">
      <c r="A266" s="110">
        <v>266</v>
      </c>
      <c r="B266" s="188" t="str">
        <f>IF(AND(A266&lt;&gt;"",ISNUMBER(A266)),VLOOKUP(A266,Studies!A:BR,2,FALSE),"")</f>
        <v>Hyland 2009</v>
      </c>
      <c r="C266" s="188" t="str">
        <f>IF(AND(A266&lt;&gt;"",ISNUMBER(A266)),VLOOKUP(A266,Studies!A:BR,3,FALSE),"")</f>
        <v>https://www.ncbi.nlm.nih.gov/pubmed/19371318</v>
      </c>
      <c r="D266" s="228" t="str">
        <f>IF(AND(A266&lt;&gt;"",ISNUMBER(A266)),VLOOKUP(A266,Studies!A:BR,4,FALSE),"")</f>
        <v>1-mg i.v. dose</v>
      </c>
      <c r="E266" s="188" t="str">
        <f>IF(AND(A266&lt;&gt;"",ISNUMBER(A266)),VLOOKUP(A266,Studies!A:BR,5,FALSE),"")</f>
        <v>Midazolam-N-Glucuronide</v>
      </c>
      <c r="F266" s="79"/>
      <c r="G266" s="78">
        <f t="shared" si="6"/>
        <v>1</v>
      </c>
    </row>
    <row r="267" spans="1:7" x14ac:dyDescent="0.2">
      <c r="A267" s="110">
        <v>267</v>
      </c>
      <c r="B267" s="188" t="str">
        <f>IF(AND(A267&lt;&gt;"",ISNUMBER(A267)),VLOOKUP(A267,Studies!A:BR,2,FALSE),"")</f>
        <v>Hyland 2009</v>
      </c>
      <c r="C267" s="188" t="str">
        <f>IF(AND(A267&lt;&gt;"",ISNUMBER(A267)),VLOOKUP(A267,Studies!A:BR,3,FALSE),"")</f>
        <v>https://www.ncbi.nlm.nih.gov/pubmed/19371318</v>
      </c>
      <c r="D267" s="228" t="str">
        <f>IF(AND(A267&lt;&gt;"",ISNUMBER(A267)),VLOOKUP(A267,Studies!A:BR,4,FALSE),"")</f>
        <v>3-mg oral dose (as fraction of dose)</v>
      </c>
      <c r="E267" s="188" t="str">
        <f>IF(AND(A267&lt;&gt;"",ISNUMBER(A267)),VLOOKUP(A267,Studies!A:BR,5,FALSE),"")</f>
        <v>Midazolam-N-Glucuronide</v>
      </c>
      <c r="F267" s="79" t="s">
        <v>102</v>
      </c>
      <c r="G267" s="78">
        <f t="shared" si="6"/>
        <v>1</v>
      </c>
    </row>
    <row r="268" spans="1:7" x14ac:dyDescent="0.2">
      <c r="A268" s="110">
        <v>268</v>
      </c>
      <c r="B268" s="188" t="str">
        <f>IF(AND(A268&lt;&gt;"",ISNUMBER(A268)),VLOOKUP(A268,Studies!A:BR,2,FALSE),"")</f>
        <v>Hyland 2009</v>
      </c>
      <c r="C268" s="188" t="str">
        <f>IF(AND(A268&lt;&gt;"",ISNUMBER(A268)),VLOOKUP(A268,Studies!A:BR,3,FALSE),"")</f>
        <v>https://www.ncbi.nlm.nih.gov/pubmed/19371318</v>
      </c>
      <c r="D268" s="228" t="str">
        <f>IF(AND(A268&lt;&gt;"",ISNUMBER(A268)),VLOOKUP(A268,Studies!A:BR,4,FALSE),"")</f>
        <v>1-mg i.v. dose (as fraction of dose)</v>
      </c>
      <c r="E268" s="188" t="str">
        <f>IF(AND(A268&lt;&gt;"",ISNUMBER(A268)),VLOOKUP(A268,Studies!A:BR,5,FALSE),"")</f>
        <v>Midazolam-N-Glucuronide</v>
      </c>
      <c r="F268" s="79" t="s">
        <v>102</v>
      </c>
      <c r="G268" s="78">
        <f t="shared" si="6"/>
        <v>1</v>
      </c>
    </row>
    <row r="269" spans="1:7" x14ac:dyDescent="0.2">
      <c r="A269" s="80">
        <v>269</v>
      </c>
      <c r="B269" s="188" t="str">
        <f>IF(AND(A269&lt;&gt;"",ISNUMBER(A269)),VLOOKUP(A269,Studies!A:BR,2,FALSE),"")</f>
        <v>Jajoo 1989</v>
      </c>
      <c r="C269" s="188" t="str">
        <f>IF(AND(A269&lt;&gt;"",ISNUMBER(A269)),VLOOKUP(A269,Studies!A:BR,3,FALSE),"")</f>
        <v>https://www.ncbi.nlm.nih.gov/pubmed/2575499</v>
      </c>
      <c r="D269" s="228" t="str">
        <f>IF(AND(A269&lt;&gt;"",ISNUMBER(A269)),VLOOKUP(A269,Studies!A:BR,4,FALSE),"")</f>
        <v>Healthy Volunteers</v>
      </c>
      <c r="E269" s="188" t="str">
        <f>IF(AND(A269&lt;&gt;"",ISNUMBER(A269)),VLOOKUP(A269,Studies!A:BR,5,FALSE),"")</f>
        <v>Buspirone</v>
      </c>
      <c r="F269" s="79" t="s">
        <v>111</v>
      </c>
      <c r="G269" s="78">
        <f t="shared" si="6"/>
        <v>1</v>
      </c>
    </row>
    <row r="270" spans="1:7" x14ac:dyDescent="0.2">
      <c r="A270" s="110">
        <v>270</v>
      </c>
      <c r="B270" s="188" t="str">
        <f>IF(AND(A270&lt;&gt;"",ISNUMBER(A270)),VLOOKUP(A270,Studies!A:BR,2,FALSE),"")</f>
        <v>Jalava 1997</v>
      </c>
      <c r="C270" s="188" t="str">
        <f>IF(AND(A270&lt;&gt;"",ISNUMBER(A270)),VLOOKUP(A270,Studies!A:BR,3,FALSE),"")</f>
        <v>https://www.ncbi.nlm.nih.gov/pubmed/9421099</v>
      </c>
      <c r="D270" s="228" t="str">
        <f>IF(AND(A270&lt;&gt;"",ISNUMBER(A270)),VLOOKUP(A270,Studies!A:BR,4,FALSE),"")</f>
        <v>po Control (Perpetrator Placebo)</v>
      </c>
      <c r="E270" s="188" t="str">
        <f>IF(AND(A270&lt;&gt;"",ISNUMBER(A270)),VLOOKUP(A270,Studies!A:BR,5,FALSE),"")</f>
        <v>Digoxin</v>
      </c>
      <c r="F270" s="79" t="s">
        <v>1382</v>
      </c>
      <c r="G270" s="78">
        <f t="shared" si="6"/>
        <v>1</v>
      </c>
    </row>
    <row r="271" spans="1:7" x14ac:dyDescent="0.2">
      <c r="A271" s="110">
        <v>271</v>
      </c>
      <c r="B271" s="188" t="str">
        <f>IF(AND(A271&lt;&gt;"",ISNUMBER(A271)),VLOOKUP(A271,Studies!A:BR,2,FALSE),"")</f>
        <v>Jalava 1997</v>
      </c>
      <c r="C271" s="188" t="str">
        <f>IF(AND(A271&lt;&gt;"",ISNUMBER(A271)),VLOOKUP(A271,Studies!A:BR,3,FALSE),"")</f>
        <v>https://www.ncbi.nlm.nih.gov/pubmed/9421099</v>
      </c>
      <c r="D271" s="228" t="str">
        <f>IF(AND(A271&lt;&gt;"",ISNUMBER(A271)),VLOOKUP(A271,Studies!A:BR,4,FALSE),"")</f>
        <v>po with Perpetrator (Itraconazole)</v>
      </c>
      <c r="E271" s="188" t="str">
        <f>IF(AND(A271&lt;&gt;"",ISNUMBER(A271)),VLOOKUP(A271,Studies!A:BR,5,FALSE),"")</f>
        <v>Digoxin</v>
      </c>
      <c r="F271" s="79" t="s">
        <v>1383</v>
      </c>
      <c r="G271" s="78">
        <f t="shared" si="6"/>
        <v>1</v>
      </c>
    </row>
    <row r="272" spans="1:7" x14ac:dyDescent="0.2">
      <c r="A272" s="110">
        <v>272</v>
      </c>
      <c r="B272" s="188" t="str">
        <f>IF(AND(A272&lt;&gt;"",ISNUMBER(A272)),VLOOKUP(A272,Studies!A:BR,2,FALSE),"")</f>
        <v>Jalava 1997</v>
      </c>
      <c r="C272" s="188" t="str">
        <f>IF(AND(A272&lt;&gt;"",ISNUMBER(A272)),VLOOKUP(A272,Studies!A:BR,3,FALSE),"")</f>
        <v>https://www.ncbi.nlm.nih.gov/pubmed/9421099</v>
      </c>
      <c r="D272" s="228" t="str">
        <f>IF(AND(A272&lt;&gt;"",ISNUMBER(A272)),VLOOKUP(A272,Studies!A:BR,4,FALSE),"")</f>
        <v>po with Perpetrator (Itraconazole)</v>
      </c>
      <c r="E272" s="188" t="str">
        <f>IF(AND(A272&lt;&gt;"",ISNUMBER(A272)),VLOOKUP(A272,Studies!A:BR,5,FALSE),"")</f>
        <v>Itraconazole</v>
      </c>
      <c r="F272" s="79" t="s">
        <v>1384</v>
      </c>
      <c r="G272" s="78">
        <f t="shared" si="6"/>
        <v>1</v>
      </c>
    </row>
    <row r="273" spans="1:8" x14ac:dyDescent="0.2">
      <c r="A273" s="110">
        <v>273</v>
      </c>
      <c r="B273" s="188" t="str">
        <f>IF(AND(A273&lt;&gt;"",ISNUMBER(A273)),VLOOKUP(A273,Studies!A:BR,2,FALSE),"")</f>
        <v>Jalava 1997</v>
      </c>
      <c r="C273" s="188" t="str">
        <f>IF(AND(A273&lt;&gt;"",ISNUMBER(A273)),VLOOKUP(A273,Studies!A:BR,3,FALSE),"")</f>
        <v>https://www.ncbi.nlm.nih.gov/pubmed/9421099</v>
      </c>
      <c r="D273" s="228" t="str">
        <f>IF(AND(A273&lt;&gt;"",ISNUMBER(A273)),VLOOKUP(A273,Studies!A:BR,4,FALSE),"")</f>
        <v>po Control (Perpetrator Placebo)</v>
      </c>
      <c r="E273" s="188" t="str">
        <f>IF(AND(A273&lt;&gt;"",ISNUMBER(A273)),VLOOKUP(A273,Studies!A:BR,5,FALSE),"")</f>
        <v>Digoxin</v>
      </c>
      <c r="F273" s="79" t="s">
        <v>1382</v>
      </c>
      <c r="G273" s="78">
        <f t="shared" si="6"/>
        <v>1</v>
      </c>
    </row>
    <row r="274" spans="1:8" x14ac:dyDescent="0.2">
      <c r="A274" s="110">
        <v>274</v>
      </c>
      <c r="B274" s="188" t="str">
        <f>IF(AND(A274&lt;&gt;"",ISNUMBER(A274)),VLOOKUP(A274,Studies!A:BR,2,FALSE),"")</f>
        <v>Jalava 1997</v>
      </c>
      <c r="C274" s="188" t="str">
        <f>IF(AND(A274&lt;&gt;"",ISNUMBER(A274)),VLOOKUP(A274,Studies!A:BR,3,FALSE),"")</f>
        <v>https://www.ncbi.nlm.nih.gov/pubmed/9421099</v>
      </c>
      <c r="D274" s="228" t="str">
        <f>IF(AND(A274&lt;&gt;"",ISNUMBER(A274)),VLOOKUP(A274,Studies!A:BR,4,FALSE),"")</f>
        <v>po with Perpetrator (Itraconazole)</v>
      </c>
      <c r="E274" s="188" t="str">
        <f>IF(AND(A274&lt;&gt;"",ISNUMBER(A274)),VLOOKUP(A274,Studies!A:BR,5,FALSE),"")</f>
        <v>Digoxin</v>
      </c>
      <c r="F274" s="79" t="s">
        <v>1383</v>
      </c>
      <c r="G274" s="78">
        <f t="shared" si="6"/>
        <v>1</v>
      </c>
    </row>
    <row r="275" spans="1:8" x14ac:dyDescent="0.2">
      <c r="A275" s="110">
        <v>275</v>
      </c>
      <c r="B275" s="188" t="str">
        <f>IF(AND(A275&lt;&gt;"",ISNUMBER(A275)),VLOOKUP(A275,Studies!A:BR,2,FALSE),"")</f>
        <v>Kharasch 1997</v>
      </c>
      <c r="C275" s="188" t="str">
        <f>IF(AND(A275&lt;&gt;"",ISNUMBER(A275)),VLOOKUP(A275,Studies!A:BR,3,FALSE),"")</f>
        <v>https://www.ncbi.nlm.nih.gov/pubmed/9232132</v>
      </c>
      <c r="D275" s="228" t="str">
        <f>IF(AND(A275&lt;&gt;"",ISNUMBER(A275)),VLOOKUP(A275,Studies!A:BR,4,FALSE),"")</f>
        <v>Control (Perpetrator Placebo)</v>
      </c>
      <c r="E275" s="188" t="str">
        <f>IF(AND(A275&lt;&gt;"",ISNUMBER(A275)),VLOOKUP(A275,Studies!A:BR,5,FALSE),"")</f>
        <v>Midazolam</v>
      </c>
      <c r="F275" s="79" t="s">
        <v>1371</v>
      </c>
      <c r="G275" s="78">
        <f t="shared" si="6"/>
        <v>1</v>
      </c>
    </row>
    <row r="276" spans="1:8" x14ac:dyDescent="0.2">
      <c r="A276" s="110">
        <v>276</v>
      </c>
      <c r="B276" s="188" t="str">
        <f>IF(AND(A276&lt;&gt;"",ISNUMBER(A276)),VLOOKUP(A276,Studies!A:BR,2,FALSE),"")</f>
        <v>Kharasch 1997</v>
      </c>
      <c r="C276" s="188" t="str">
        <f>IF(AND(A276&lt;&gt;"",ISNUMBER(A276)),VLOOKUP(A276,Studies!A:BR,3,FALSE),"")</f>
        <v>https://www.ncbi.nlm.nih.gov/pubmed/9232132</v>
      </c>
      <c r="D276" s="228" t="str">
        <f>IF(AND(A276&lt;&gt;"",ISNUMBER(A276)),VLOOKUP(A276,Studies!A:BR,4,FALSE),"")</f>
        <v>with Perpetrator (Rifampicin)</v>
      </c>
      <c r="E276" s="188" t="str">
        <f>IF(AND(A276&lt;&gt;"",ISNUMBER(A276)),VLOOKUP(A276,Studies!A:BR,5,FALSE),"")</f>
        <v>Midazolam</v>
      </c>
      <c r="F276" s="79" t="s">
        <v>1371</v>
      </c>
      <c r="G276" s="78">
        <f t="shared" si="6"/>
        <v>1</v>
      </c>
    </row>
    <row r="277" spans="1:8" x14ac:dyDescent="0.2">
      <c r="A277" s="110">
        <v>277</v>
      </c>
      <c r="B277" s="188" t="str">
        <f>IF(AND(A277&lt;&gt;"",ISNUMBER(A277)),VLOOKUP(A277,Studies!A:BR,2,FALSE),"")</f>
        <v>Kharasch 1997</v>
      </c>
      <c r="C277" s="188" t="str">
        <f>IF(AND(A277&lt;&gt;"",ISNUMBER(A277)),VLOOKUP(A277,Studies!A:BR,3,FALSE),"")</f>
        <v>https://www.ncbi.nlm.nih.gov/pubmed/9232132</v>
      </c>
      <c r="D277" s="228" t="str">
        <f>IF(AND(A277&lt;&gt;"",ISNUMBER(A277)),VLOOKUP(A277,Studies!A:BR,4,FALSE),"")</f>
        <v>Control (Perpetrator Placebo)</v>
      </c>
      <c r="E277" s="188" t="str">
        <f>IF(AND(A277&lt;&gt;"",ISNUMBER(A277)),VLOOKUP(A277,Studies!A:BR,5,FALSE),"")</f>
        <v>Alfentanil</v>
      </c>
      <c r="F277" s="79" t="s">
        <v>1385</v>
      </c>
      <c r="G277" s="78">
        <f t="shared" si="6"/>
        <v>1</v>
      </c>
    </row>
    <row r="278" spans="1:8" x14ac:dyDescent="0.2">
      <c r="A278" s="110">
        <v>278</v>
      </c>
      <c r="B278" s="188" t="str">
        <f>IF(AND(A278&lt;&gt;"",ISNUMBER(A278)),VLOOKUP(A278,Studies!A:BR,2,FALSE),"")</f>
        <v>Kharasch 1997</v>
      </c>
      <c r="C278" s="188" t="str">
        <f>IF(AND(A278&lt;&gt;"",ISNUMBER(A278)),VLOOKUP(A278,Studies!A:BR,3,FALSE),"")</f>
        <v>https://www.ncbi.nlm.nih.gov/pubmed/9232132</v>
      </c>
      <c r="D278" s="228" t="str">
        <f>IF(AND(A278&lt;&gt;"",ISNUMBER(A278)),VLOOKUP(A278,Studies!A:BR,4,FALSE),"")</f>
        <v>with Perpetrator (Rifampicin)</v>
      </c>
      <c r="E278" s="188" t="str">
        <f>IF(AND(A278&lt;&gt;"",ISNUMBER(A278)),VLOOKUP(A278,Studies!A:BR,5,FALSE),"")</f>
        <v>Alfentanil</v>
      </c>
      <c r="F278" s="79" t="s">
        <v>1385</v>
      </c>
      <c r="G278" s="78">
        <f t="shared" si="6"/>
        <v>1</v>
      </c>
    </row>
    <row r="279" spans="1:8" x14ac:dyDescent="0.2">
      <c r="A279" s="110">
        <v>279</v>
      </c>
      <c r="B279" s="188" t="str">
        <f>IF(AND(A279&lt;&gt;"",ISNUMBER(A279)),VLOOKUP(A279,Studies!A:BR,2,FALSE),"")</f>
        <v>Kharasch 2004</v>
      </c>
      <c r="C279" s="188" t="str">
        <f>IF(AND(A279&lt;&gt;"",ISNUMBER(A279)),VLOOKUP(A279,Studies!A:BR,3,FALSE),"")</f>
        <v>https://www.ncbi.nlm.nih.gov/pubmed/15536460</v>
      </c>
      <c r="D279" s="228" t="str">
        <f>IF(AND(A279&lt;&gt;"",ISNUMBER(A279)),VLOOKUP(A279,Studies!A:BR,4,FALSE),"")</f>
        <v>iv Control (Perpetrator Placebo)</v>
      </c>
      <c r="E279" s="188" t="str">
        <f>IF(AND(A279&lt;&gt;"",ISNUMBER(A279)),VLOOKUP(A279,Studies!A:BR,5,FALSE),"")</f>
        <v>Midazolam</v>
      </c>
      <c r="F279" s="79" t="s">
        <v>1371</v>
      </c>
      <c r="G279" s="78">
        <f t="shared" si="6"/>
        <v>1</v>
      </c>
    </row>
    <row r="280" spans="1:8" x14ac:dyDescent="0.2">
      <c r="A280" s="110">
        <v>280</v>
      </c>
      <c r="B280" s="188" t="str">
        <f>IF(AND(A280&lt;&gt;"",ISNUMBER(A280)),VLOOKUP(A280,Studies!A:BR,2,FALSE),"")</f>
        <v>Kharasch 2004</v>
      </c>
      <c r="C280" s="188" t="str">
        <f>IF(AND(A280&lt;&gt;"",ISNUMBER(A280)),VLOOKUP(A280,Studies!A:BR,3,FALSE),"")</f>
        <v>https://www.ncbi.nlm.nih.gov/pubmed/15536460</v>
      </c>
      <c r="D280" s="228" t="str">
        <f>IF(AND(A280&lt;&gt;"",ISNUMBER(A280)),VLOOKUP(A280,Studies!A:BR,4,FALSE),"")</f>
        <v>iv with Perpetrator (Rifampicin)</v>
      </c>
      <c r="E280" s="188" t="str">
        <f>IF(AND(A280&lt;&gt;"",ISNUMBER(A280)),VLOOKUP(A280,Studies!A:BR,5,FALSE),"")</f>
        <v>Midazolam</v>
      </c>
      <c r="F280" s="79" t="s">
        <v>1372</v>
      </c>
      <c r="G280" s="78">
        <f t="shared" si="6"/>
        <v>1</v>
      </c>
    </row>
    <row r="281" spans="1:8" x14ac:dyDescent="0.2">
      <c r="A281" s="110">
        <v>281</v>
      </c>
      <c r="B281" s="188" t="str">
        <f>IF(AND(A281&lt;&gt;"",ISNUMBER(A281)),VLOOKUP(A281,Studies!A:BR,2,FALSE),"")</f>
        <v>Kharasch 2004</v>
      </c>
      <c r="C281" s="188" t="str">
        <f>IF(AND(A281&lt;&gt;"",ISNUMBER(A281)),VLOOKUP(A281,Studies!A:BR,3,FALSE),"")</f>
        <v>https://www.ncbi.nlm.nih.gov/pubmed/15536460</v>
      </c>
      <c r="D281" s="228" t="str">
        <f>IF(AND(A281&lt;&gt;"",ISNUMBER(A281)),VLOOKUP(A281,Studies!A:BR,4,FALSE),"")</f>
        <v>iv with Perpetrator (GFJ)</v>
      </c>
      <c r="E281" s="188" t="str">
        <f>IF(AND(A281&lt;&gt;"",ISNUMBER(A281)),VLOOKUP(A281,Studies!A:BR,5,FALSE),"")</f>
        <v>Midazolam</v>
      </c>
      <c r="F281" s="79" t="s">
        <v>102</v>
      </c>
      <c r="G281" s="78">
        <f t="shared" si="6"/>
        <v>1</v>
      </c>
      <c r="H281" s="78" t="s">
        <v>668</v>
      </c>
    </row>
    <row r="282" spans="1:8" x14ac:dyDescent="0.2">
      <c r="A282" s="110">
        <v>282</v>
      </c>
      <c r="B282" s="188" t="str">
        <f>IF(AND(A282&lt;&gt;"",ISNUMBER(A282)),VLOOKUP(A282,Studies!A:BR,2,FALSE),"")</f>
        <v>Kharasch 2004</v>
      </c>
      <c r="C282" s="188" t="str">
        <f>IF(AND(A282&lt;&gt;"",ISNUMBER(A282)),VLOOKUP(A282,Studies!A:BR,3,FALSE),"")</f>
        <v>https://www.ncbi.nlm.nih.gov/pubmed/15536460</v>
      </c>
      <c r="D282" s="228" t="str">
        <f>IF(AND(A282&lt;&gt;"",ISNUMBER(A282)),VLOOKUP(A282,Studies!A:BR,4,FALSE),"")</f>
        <v>iv Control (Perpetrator Placebo)</v>
      </c>
      <c r="E282" s="188" t="str">
        <f>IF(AND(A282&lt;&gt;"",ISNUMBER(A282)),VLOOKUP(A282,Studies!A:BR,5,FALSE),"")</f>
        <v>Alfentanil</v>
      </c>
      <c r="F282" s="79" t="s">
        <v>1385</v>
      </c>
      <c r="G282" s="78">
        <f t="shared" si="6"/>
        <v>1</v>
      </c>
    </row>
    <row r="283" spans="1:8" x14ac:dyDescent="0.2">
      <c r="A283" s="110">
        <v>283</v>
      </c>
      <c r="B283" s="188" t="str">
        <f>IF(AND(A283&lt;&gt;"",ISNUMBER(A283)),VLOOKUP(A283,Studies!A:BR,2,FALSE),"")</f>
        <v>Kharasch 2004</v>
      </c>
      <c r="C283" s="188" t="str">
        <f>IF(AND(A283&lt;&gt;"",ISNUMBER(A283)),VLOOKUP(A283,Studies!A:BR,3,FALSE),"")</f>
        <v>https://www.ncbi.nlm.nih.gov/pubmed/15536460</v>
      </c>
      <c r="D283" s="228" t="str">
        <f>IF(AND(A283&lt;&gt;"",ISNUMBER(A283)),VLOOKUP(A283,Studies!A:BR,4,FALSE),"")</f>
        <v>iv with Perpetrator (Rifampicin)</v>
      </c>
      <c r="E283" s="188" t="str">
        <f>IF(AND(A283&lt;&gt;"",ISNUMBER(A283)),VLOOKUP(A283,Studies!A:BR,5,FALSE),"")</f>
        <v>Alfentanil</v>
      </c>
      <c r="F283" s="79" t="s">
        <v>1386</v>
      </c>
      <c r="G283" s="78">
        <f t="shared" si="6"/>
        <v>1</v>
      </c>
    </row>
    <row r="284" spans="1:8" x14ac:dyDescent="0.2">
      <c r="A284" s="110">
        <v>284</v>
      </c>
      <c r="B284" s="188" t="str">
        <f>IF(AND(A284&lt;&gt;"",ISNUMBER(A284)),VLOOKUP(A284,Studies!A:BR,2,FALSE),"")</f>
        <v>Kharasch 2004</v>
      </c>
      <c r="C284" s="188" t="str">
        <f>IF(AND(A284&lt;&gt;"",ISNUMBER(A284)),VLOOKUP(A284,Studies!A:BR,3,FALSE),"")</f>
        <v>https://www.ncbi.nlm.nih.gov/pubmed/15536460</v>
      </c>
      <c r="D284" s="228" t="str">
        <f>IF(AND(A284&lt;&gt;"",ISNUMBER(A284)),VLOOKUP(A284,Studies!A:BR,4,FALSE),"")</f>
        <v>iv with Perpetrator (GFJ)</v>
      </c>
      <c r="E284" s="188" t="str">
        <f>IF(AND(A284&lt;&gt;"",ISNUMBER(A284)),VLOOKUP(A284,Studies!A:BR,5,FALSE),"")</f>
        <v>Alfentanil</v>
      </c>
      <c r="F284" s="79" t="s">
        <v>1385</v>
      </c>
      <c r="G284" s="78">
        <f t="shared" si="6"/>
        <v>1</v>
      </c>
    </row>
    <row r="285" spans="1:8" x14ac:dyDescent="0.2">
      <c r="A285" s="110">
        <v>285</v>
      </c>
      <c r="B285" s="188" t="str">
        <f>IF(AND(A285&lt;&gt;"",ISNUMBER(A285)),VLOOKUP(A285,Studies!A:BR,2,FALSE),"")</f>
        <v>Kharasch 2004</v>
      </c>
      <c r="C285" s="188" t="str">
        <f>IF(AND(A285&lt;&gt;"",ISNUMBER(A285)),VLOOKUP(A285,Studies!A:BR,3,FALSE),"")</f>
        <v>https://www.ncbi.nlm.nih.gov/pubmed/15536460</v>
      </c>
      <c r="D285" s="228" t="str">
        <f>IF(AND(A285&lt;&gt;"",ISNUMBER(A285)),VLOOKUP(A285,Studies!A:BR,4,FALSE),"")</f>
        <v>po #1 Control (Perpetrator Placebo)</v>
      </c>
      <c r="E285" s="188" t="str">
        <f>IF(AND(A285&lt;&gt;"",ISNUMBER(A285)),VLOOKUP(A285,Studies!A:BR,5,FALSE),"")</f>
        <v>Midazolam</v>
      </c>
      <c r="F285" s="79" t="s">
        <v>1371</v>
      </c>
      <c r="G285" s="78">
        <f t="shared" si="6"/>
        <v>1</v>
      </c>
    </row>
    <row r="286" spans="1:8" x14ac:dyDescent="0.2">
      <c r="A286" s="110">
        <v>286</v>
      </c>
      <c r="B286" s="188" t="str">
        <f>IF(AND(A286&lt;&gt;"",ISNUMBER(A286)),VLOOKUP(A286,Studies!A:BR,2,FALSE),"")</f>
        <v>Kharasch 2004</v>
      </c>
      <c r="C286" s="188" t="str">
        <f>IF(AND(A286&lt;&gt;"",ISNUMBER(A286)),VLOOKUP(A286,Studies!A:BR,3,FALSE),"")</f>
        <v>https://www.ncbi.nlm.nih.gov/pubmed/15536460</v>
      </c>
      <c r="D286" s="228" t="str">
        <f>IF(AND(A286&lt;&gt;"",ISNUMBER(A286)),VLOOKUP(A286,Studies!A:BR,4,FALSE),"")</f>
        <v>po #1 with Perpetrator (Rifampicin)</v>
      </c>
      <c r="E286" s="188" t="str">
        <f>IF(AND(A286&lt;&gt;"",ISNUMBER(A286)),VLOOKUP(A286,Studies!A:BR,5,FALSE),"")</f>
        <v>Midazolam</v>
      </c>
      <c r="F286" s="79" t="s">
        <v>1372</v>
      </c>
      <c r="G286" s="78">
        <f t="shared" si="6"/>
        <v>1</v>
      </c>
    </row>
    <row r="287" spans="1:8" x14ac:dyDescent="0.2">
      <c r="A287" s="110">
        <v>287</v>
      </c>
      <c r="B287" s="188" t="str">
        <f>IF(AND(A287&lt;&gt;"",ISNUMBER(A287)),VLOOKUP(A287,Studies!A:BR,2,FALSE),"")</f>
        <v>Kharasch 2004</v>
      </c>
      <c r="C287" s="188" t="str">
        <f>IF(AND(A287&lt;&gt;"",ISNUMBER(A287)),VLOOKUP(A287,Studies!A:BR,3,FALSE),"")</f>
        <v>https://www.ncbi.nlm.nih.gov/pubmed/15536460</v>
      </c>
      <c r="D287" s="228" t="str">
        <f>IF(AND(A287&lt;&gt;"",ISNUMBER(A287)),VLOOKUP(A287,Studies!A:BR,4,FALSE),"")</f>
        <v>po #1 (60 µg/kg) Control (Perpetrator Placebo)</v>
      </c>
      <c r="E287" s="188" t="str">
        <f>IF(AND(A287&lt;&gt;"",ISNUMBER(A287)),VLOOKUP(A287,Studies!A:BR,5,FALSE),"")</f>
        <v>Alfentanil</v>
      </c>
      <c r="F287" s="79" t="s">
        <v>1385</v>
      </c>
      <c r="G287" s="78">
        <f t="shared" si="6"/>
        <v>1</v>
      </c>
    </row>
    <row r="288" spans="1:8" x14ac:dyDescent="0.2">
      <c r="A288" s="110">
        <v>288</v>
      </c>
      <c r="B288" s="188" t="str">
        <f>IF(AND(A288&lt;&gt;"",ISNUMBER(A288)),VLOOKUP(A288,Studies!A:BR,2,FALSE),"")</f>
        <v>Kharasch 2004</v>
      </c>
      <c r="C288" s="188" t="str">
        <f>IF(AND(A288&lt;&gt;"",ISNUMBER(A288)),VLOOKUP(A288,Studies!A:BR,3,FALSE),"")</f>
        <v>https://www.ncbi.nlm.nih.gov/pubmed/15536460</v>
      </c>
      <c r="D288" s="228" t="str">
        <f>IF(AND(A288&lt;&gt;"",ISNUMBER(A288)),VLOOKUP(A288,Studies!A:BR,4,FALSE),"")</f>
        <v>po #1 (60 µg/kg) with Perpetrator (Rifampicin)</v>
      </c>
      <c r="E288" s="188" t="str">
        <f>IF(AND(A288&lt;&gt;"",ISNUMBER(A288)),VLOOKUP(A288,Studies!A:BR,5,FALSE),"")</f>
        <v>Alfentanil</v>
      </c>
      <c r="F288" s="79" t="s">
        <v>1386</v>
      </c>
      <c r="G288" s="78">
        <f t="shared" si="6"/>
        <v>1</v>
      </c>
    </row>
    <row r="289" spans="1:8" x14ac:dyDescent="0.2">
      <c r="A289" s="110">
        <v>289</v>
      </c>
      <c r="B289" s="188" t="str">
        <f>IF(AND(A289&lt;&gt;"",ISNUMBER(A289)),VLOOKUP(A289,Studies!A:BR,2,FALSE),"")</f>
        <v>Kharasch 2004</v>
      </c>
      <c r="C289" s="188" t="str">
        <f>IF(AND(A289&lt;&gt;"",ISNUMBER(A289)),VLOOKUP(A289,Studies!A:BR,3,FALSE),"")</f>
        <v>https://www.ncbi.nlm.nih.gov/pubmed/15536460</v>
      </c>
      <c r="D289" s="228" t="str">
        <f>IF(AND(A289&lt;&gt;"",ISNUMBER(A289)),VLOOKUP(A289,Studies!A:BR,4,FALSE),"")</f>
        <v>po #2 Control (Perpetrator Placebo)</v>
      </c>
      <c r="E289" s="188" t="str">
        <f>IF(AND(A289&lt;&gt;"",ISNUMBER(A289)),VLOOKUP(A289,Studies!A:BR,5,FALSE),"")</f>
        <v>Midazolam</v>
      </c>
      <c r="F289" s="79" t="s">
        <v>1371</v>
      </c>
      <c r="G289" s="78">
        <f t="shared" si="6"/>
        <v>1</v>
      </c>
    </row>
    <row r="290" spans="1:8" x14ac:dyDescent="0.2">
      <c r="A290" s="110">
        <v>290</v>
      </c>
      <c r="B290" s="188" t="str">
        <f>IF(AND(A290&lt;&gt;"",ISNUMBER(A290)),VLOOKUP(A290,Studies!A:BR,2,FALSE),"")</f>
        <v>Kharasch 2004</v>
      </c>
      <c r="C290" s="188" t="str">
        <f>IF(AND(A290&lt;&gt;"",ISNUMBER(A290)),VLOOKUP(A290,Studies!A:BR,3,FALSE),"")</f>
        <v>https://www.ncbi.nlm.nih.gov/pubmed/15536460</v>
      </c>
      <c r="D290" s="228" t="str">
        <f>IF(AND(A290&lt;&gt;"",ISNUMBER(A290)),VLOOKUP(A290,Studies!A:BR,4,FALSE),"")</f>
        <v>po #2 with Perpetrator (GFJ)</v>
      </c>
      <c r="E290" s="188" t="str">
        <f>IF(AND(A290&lt;&gt;"",ISNUMBER(A290)),VLOOKUP(A290,Studies!A:BR,5,FALSE),"")</f>
        <v>Midazolam</v>
      </c>
      <c r="F290" s="79" t="s">
        <v>102</v>
      </c>
      <c r="G290" s="78">
        <f t="shared" si="6"/>
        <v>1</v>
      </c>
      <c r="H290" s="78" t="s">
        <v>668</v>
      </c>
    </row>
    <row r="291" spans="1:8" x14ac:dyDescent="0.2">
      <c r="A291" s="110">
        <v>291</v>
      </c>
      <c r="B291" s="188" t="str">
        <f>IF(AND(A291&lt;&gt;"",ISNUMBER(A291)),VLOOKUP(A291,Studies!A:BR,2,FALSE),"")</f>
        <v>Kharasch 2004</v>
      </c>
      <c r="C291" s="188" t="str">
        <f>IF(AND(A291&lt;&gt;"",ISNUMBER(A291)),VLOOKUP(A291,Studies!A:BR,3,FALSE),"")</f>
        <v>https://www.ncbi.nlm.nih.gov/pubmed/15536460</v>
      </c>
      <c r="D291" s="228" t="str">
        <f>IF(AND(A291&lt;&gt;"",ISNUMBER(A291)),VLOOKUP(A291,Studies!A:BR,4,FALSE),"")</f>
        <v>po #2 (23 µg/kg) Control (Perpetrator Placebo)</v>
      </c>
      <c r="E291" s="188" t="str">
        <f>IF(AND(A291&lt;&gt;"",ISNUMBER(A291)),VLOOKUP(A291,Studies!A:BR,5,FALSE),"")</f>
        <v>Alfentanil</v>
      </c>
      <c r="F291" s="79" t="s">
        <v>1385</v>
      </c>
      <c r="G291" s="78">
        <f t="shared" si="6"/>
        <v>1</v>
      </c>
    </row>
    <row r="292" spans="1:8" x14ac:dyDescent="0.2">
      <c r="A292" s="110">
        <v>292</v>
      </c>
      <c r="B292" s="188" t="str">
        <f>IF(AND(A292&lt;&gt;"",ISNUMBER(A292)),VLOOKUP(A292,Studies!A:BR,2,FALSE),"")</f>
        <v>Kharasch 2004</v>
      </c>
      <c r="C292" s="188" t="str">
        <f>IF(AND(A292&lt;&gt;"",ISNUMBER(A292)),VLOOKUP(A292,Studies!A:BR,3,FALSE),"")</f>
        <v>https://www.ncbi.nlm.nih.gov/pubmed/15536460</v>
      </c>
      <c r="D292" s="228" t="str">
        <f>IF(AND(A292&lt;&gt;"",ISNUMBER(A292)),VLOOKUP(A292,Studies!A:BR,4,FALSE),"")</f>
        <v>po #2 (23 µg/kg) with Perpetrator (GFJ)</v>
      </c>
      <c r="E292" s="188" t="str">
        <f>IF(AND(A292&lt;&gt;"",ISNUMBER(A292)),VLOOKUP(A292,Studies!A:BR,5,FALSE),"")</f>
        <v>Alfentanil</v>
      </c>
      <c r="F292" s="79" t="s">
        <v>1386</v>
      </c>
      <c r="G292" s="78">
        <f t="shared" si="6"/>
        <v>1</v>
      </c>
    </row>
    <row r="293" spans="1:8" x14ac:dyDescent="0.2">
      <c r="A293" s="110">
        <v>293</v>
      </c>
      <c r="B293" s="188" t="str">
        <f>IF(AND(A293&lt;&gt;"",ISNUMBER(A293)),VLOOKUP(A293,Studies!A:BR,2,FALSE),"")</f>
        <v>Kharasch 2011</v>
      </c>
      <c r="C293" s="188" t="str">
        <f>IF(AND(A293&lt;&gt;"",ISNUMBER(A293)),VLOOKUP(A293,Studies!A:BR,3,FALSE),"")</f>
        <v>https://www.ncbi.nlm.nih.gov/pubmed/21562488</v>
      </c>
      <c r="D293" s="228" t="str">
        <f>IF(AND(A293&lt;&gt;"",ISNUMBER(A293)),VLOOKUP(A293,Studies!A:BR,4,FALSE),"")</f>
        <v>iv Control (Perpetrator Placebo)</v>
      </c>
      <c r="E293" s="188" t="str">
        <f>IF(AND(A293&lt;&gt;"",ISNUMBER(A293)),VLOOKUP(A293,Studies!A:BR,5,FALSE),"")</f>
        <v>Midazolam</v>
      </c>
      <c r="F293" s="79" t="s">
        <v>1371</v>
      </c>
      <c r="G293" s="78">
        <f t="shared" si="6"/>
        <v>1</v>
      </c>
    </row>
    <row r="294" spans="1:8" x14ac:dyDescent="0.2">
      <c r="A294" s="110">
        <v>294</v>
      </c>
      <c r="B294" s="188" t="str">
        <f>IF(AND(A294&lt;&gt;"",ISNUMBER(A294)),VLOOKUP(A294,Studies!A:BR,2,FALSE),"")</f>
        <v>Kharasch 2011</v>
      </c>
      <c r="C294" s="188" t="str">
        <f>IF(AND(A294&lt;&gt;"",ISNUMBER(A294)),VLOOKUP(A294,Studies!A:BR,3,FALSE),"")</f>
        <v>https://www.ncbi.nlm.nih.gov/pubmed/21562488</v>
      </c>
      <c r="D294" s="228" t="str">
        <f>IF(AND(A294&lt;&gt;"",ISNUMBER(A294)),VLOOKUP(A294,Studies!A:BR,4,FALSE),"")</f>
        <v>iv with Perpetrator (Rifampicin @ 5 mg)</v>
      </c>
      <c r="E294" s="188" t="str">
        <f>IF(AND(A294&lt;&gt;"",ISNUMBER(A294)),VLOOKUP(A294,Studies!A:BR,5,FALSE),"")</f>
        <v>Midazolam</v>
      </c>
      <c r="F294" s="79" t="s">
        <v>1372</v>
      </c>
      <c r="G294" s="78">
        <f t="shared" si="6"/>
        <v>1</v>
      </c>
    </row>
    <row r="295" spans="1:8" x14ac:dyDescent="0.2">
      <c r="A295" s="110">
        <v>295</v>
      </c>
      <c r="B295" s="188" t="str">
        <f>IF(AND(A295&lt;&gt;"",ISNUMBER(A295)),VLOOKUP(A295,Studies!A:BR,2,FALSE),"")</f>
        <v>Kharasch 2011</v>
      </c>
      <c r="C295" s="188" t="str">
        <f>IF(AND(A295&lt;&gt;"",ISNUMBER(A295)),VLOOKUP(A295,Studies!A:BR,3,FALSE),"")</f>
        <v>https://www.ncbi.nlm.nih.gov/pubmed/21562488</v>
      </c>
      <c r="D295" s="228" t="str">
        <f>IF(AND(A295&lt;&gt;"",ISNUMBER(A295)),VLOOKUP(A295,Studies!A:BR,4,FALSE),"")</f>
        <v>iv with Perpetrator (Rifampicin @ 10 mg)</v>
      </c>
      <c r="E295" s="188" t="str">
        <f>IF(AND(A295&lt;&gt;"",ISNUMBER(A295)),VLOOKUP(A295,Studies!A:BR,5,FALSE),"")</f>
        <v>Midazolam</v>
      </c>
      <c r="F295" s="79" t="s">
        <v>1372</v>
      </c>
      <c r="G295" s="78">
        <f t="shared" si="6"/>
        <v>1</v>
      </c>
    </row>
    <row r="296" spans="1:8" x14ac:dyDescent="0.2">
      <c r="A296" s="110">
        <v>296</v>
      </c>
      <c r="B296" s="188" t="str">
        <f>IF(AND(A296&lt;&gt;"",ISNUMBER(A296)),VLOOKUP(A296,Studies!A:BR,2,FALSE),"")</f>
        <v>Kharasch 2011</v>
      </c>
      <c r="C296" s="188" t="str">
        <f>IF(AND(A296&lt;&gt;"",ISNUMBER(A296)),VLOOKUP(A296,Studies!A:BR,3,FALSE),"")</f>
        <v>https://www.ncbi.nlm.nih.gov/pubmed/21562488</v>
      </c>
      <c r="D296" s="228" t="str">
        <f>IF(AND(A296&lt;&gt;"",ISNUMBER(A296)),VLOOKUP(A296,Studies!A:BR,4,FALSE),"")</f>
        <v>iv with Perpetrator (Rifampicin @ 25 mg)</v>
      </c>
      <c r="E296" s="188" t="str">
        <f>IF(AND(A296&lt;&gt;"",ISNUMBER(A296)),VLOOKUP(A296,Studies!A:BR,5,FALSE),"")</f>
        <v>Midazolam</v>
      </c>
      <c r="F296" s="79" t="s">
        <v>1372</v>
      </c>
      <c r="G296" s="78">
        <f t="shared" si="6"/>
        <v>1</v>
      </c>
    </row>
    <row r="297" spans="1:8" x14ac:dyDescent="0.2">
      <c r="A297" s="110">
        <v>297</v>
      </c>
      <c r="B297" s="188" t="str">
        <f>IF(AND(A297&lt;&gt;"",ISNUMBER(A297)),VLOOKUP(A297,Studies!A:BR,2,FALSE),"")</f>
        <v>Kharasch 2011</v>
      </c>
      <c r="C297" s="188" t="str">
        <f>IF(AND(A297&lt;&gt;"",ISNUMBER(A297)),VLOOKUP(A297,Studies!A:BR,3,FALSE),"")</f>
        <v>https://www.ncbi.nlm.nih.gov/pubmed/21562488</v>
      </c>
      <c r="D297" s="228" t="str">
        <f>IF(AND(A297&lt;&gt;"",ISNUMBER(A297)),VLOOKUP(A297,Studies!A:BR,4,FALSE),"")</f>
        <v>iv with Perpetrator (Rifampicin @ 75 mg)</v>
      </c>
      <c r="E297" s="188" t="str">
        <f>IF(AND(A297&lt;&gt;"",ISNUMBER(A297)),VLOOKUP(A297,Studies!A:BR,5,FALSE),"")</f>
        <v>Midazolam</v>
      </c>
      <c r="F297" s="79" t="s">
        <v>1372</v>
      </c>
      <c r="G297" s="78">
        <f t="shared" si="6"/>
        <v>1</v>
      </c>
    </row>
    <row r="298" spans="1:8" x14ac:dyDescent="0.2">
      <c r="A298" s="110">
        <v>298</v>
      </c>
      <c r="B298" s="188" t="str">
        <f>IF(AND(A298&lt;&gt;"",ISNUMBER(A298)),VLOOKUP(A298,Studies!A:BR,2,FALSE),"")</f>
        <v>Kharasch 2011</v>
      </c>
      <c r="C298" s="188" t="str">
        <f>IF(AND(A298&lt;&gt;"",ISNUMBER(A298)),VLOOKUP(A298,Studies!A:BR,3,FALSE),"")</f>
        <v>https://www.ncbi.nlm.nih.gov/pubmed/21562488</v>
      </c>
      <c r="D298" s="228" t="str">
        <f>IF(AND(A298&lt;&gt;"",ISNUMBER(A298)),VLOOKUP(A298,Studies!A:BR,4,FALSE),"")</f>
        <v>iv Control (Perpetrator Placebo)</v>
      </c>
      <c r="E298" s="188" t="str">
        <f>IF(AND(A298&lt;&gt;"",ISNUMBER(A298)),VLOOKUP(A298,Studies!A:BR,5,FALSE),"")</f>
        <v>Alfentanil</v>
      </c>
      <c r="F298" s="79" t="s">
        <v>1385</v>
      </c>
      <c r="G298" s="78">
        <f t="shared" si="6"/>
        <v>1</v>
      </c>
    </row>
    <row r="299" spans="1:8" x14ac:dyDescent="0.2">
      <c r="A299" s="110">
        <v>299</v>
      </c>
      <c r="B299" s="188" t="str">
        <f>IF(AND(A299&lt;&gt;"",ISNUMBER(A299)),VLOOKUP(A299,Studies!A:BR,2,FALSE),"")</f>
        <v>Kharasch 2011</v>
      </c>
      <c r="C299" s="188" t="str">
        <f>IF(AND(A299&lt;&gt;"",ISNUMBER(A299)),VLOOKUP(A299,Studies!A:BR,3,FALSE),"")</f>
        <v>https://www.ncbi.nlm.nih.gov/pubmed/21562488</v>
      </c>
      <c r="D299" s="228" t="str">
        <f>IF(AND(A299&lt;&gt;"",ISNUMBER(A299)),VLOOKUP(A299,Studies!A:BR,4,FALSE),"")</f>
        <v>iv with Perpetrator (Rifampicin @ 5 mg)</v>
      </c>
      <c r="E299" s="188" t="str">
        <f>IF(AND(A299&lt;&gt;"",ISNUMBER(A299)),VLOOKUP(A299,Studies!A:BR,5,FALSE),"")</f>
        <v>Alfentanil</v>
      </c>
      <c r="F299" s="79" t="s">
        <v>1386</v>
      </c>
      <c r="G299" s="78">
        <f t="shared" si="6"/>
        <v>1</v>
      </c>
    </row>
    <row r="300" spans="1:8" x14ac:dyDescent="0.2">
      <c r="A300" s="110">
        <v>300</v>
      </c>
      <c r="B300" s="188" t="str">
        <f>IF(AND(A300&lt;&gt;"",ISNUMBER(A300)),VLOOKUP(A300,Studies!A:BR,2,FALSE),"")</f>
        <v>Kharasch 2011</v>
      </c>
      <c r="C300" s="188" t="str">
        <f>IF(AND(A300&lt;&gt;"",ISNUMBER(A300)),VLOOKUP(A300,Studies!A:BR,3,FALSE),"")</f>
        <v>https://www.ncbi.nlm.nih.gov/pubmed/21562488</v>
      </c>
      <c r="D300" s="228" t="str">
        <f>IF(AND(A300&lt;&gt;"",ISNUMBER(A300)),VLOOKUP(A300,Studies!A:BR,4,FALSE),"")</f>
        <v>iv with Perpetrator (Rifampicin @ 10 mg)</v>
      </c>
      <c r="E300" s="188" t="str">
        <f>IF(AND(A300&lt;&gt;"",ISNUMBER(A300)),VLOOKUP(A300,Studies!A:BR,5,FALSE),"")</f>
        <v>Alfentanil</v>
      </c>
      <c r="F300" s="79" t="s">
        <v>1386</v>
      </c>
      <c r="G300" s="78">
        <f t="shared" si="6"/>
        <v>1</v>
      </c>
    </row>
    <row r="301" spans="1:8" x14ac:dyDescent="0.2">
      <c r="A301" s="110">
        <v>301</v>
      </c>
      <c r="B301" s="188" t="str">
        <f>IF(AND(A301&lt;&gt;"",ISNUMBER(A301)),VLOOKUP(A301,Studies!A:BR,2,FALSE),"")</f>
        <v>Kharasch 2011</v>
      </c>
      <c r="C301" s="188" t="str">
        <f>IF(AND(A301&lt;&gt;"",ISNUMBER(A301)),VLOOKUP(A301,Studies!A:BR,3,FALSE),"")</f>
        <v>https://www.ncbi.nlm.nih.gov/pubmed/21562488</v>
      </c>
      <c r="D301" s="228" t="str">
        <f>IF(AND(A301&lt;&gt;"",ISNUMBER(A301)),VLOOKUP(A301,Studies!A:BR,4,FALSE),"")</f>
        <v>iv with Perpetrator (Rifampicin @ 25 mg)</v>
      </c>
      <c r="E301" s="188" t="str">
        <f>IF(AND(A301&lt;&gt;"",ISNUMBER(A301)),VLOOKUP(A301,Studies!A:BR,5,FALSE),"")</f>
        <v>Alfentanil</v>
      </c>
      <c r="F301" s="79" t="s">
        <v>1386</v>
      </c>
      <c r="G301" s="78">
        <f t="shared" si="6"/>
        <v>1</v>
      </c>
    </row>
    <row r="302" spans="1:8" x14ac:dyDescent="0.2">
      <c r="A302" s="110">
        <v>302</v>
      </c>
      <c r="B302" s="188" t="str">
        <f>IF(AND(A302&lt;&gt;"",ISNUMBER(A302)),VLOOKUP(A302,Studies!A:BR,2,FALSE),"")</f>
        <v>Kharasch 2011</v>
      </c>
      <c r="C302" s="188" t="str">
        <f>IF(AND(A302&lt;&gt;"",ISNUMBER(A302)),VLOOKUP(A302,Studies!A:BR,3,FALSE),"")</f>
        <v>https://www.ncbi.nlm.nih.gov/pubmed/21562488</v>
      </c>
      <c r="D302" s="228" t="str">
        <f>IF(AND(A302&lt;&gt;"",ISNUMBER(A302)),VLOOKUP(A302,Studies!A:BR,4,FALSE),"")</f>
        <v>iv with Perpetrator (Rifampicin @ 75 mg)</v>
      </c>
      <c r="E302" s="188" t="str">
        <f>IF(AND(A302&lt;&gt;"",ISNUMBER(A302)),VLOOKUP(A302,Studies!A:BR,5,FALSE),"")</f>
        <v>Alfentanil</v>
      </c>
      <c r="F302" s="79" t="s">
        <v>1386</v>
      </c>
      <c r="G302" s="78">
        <f t="shared" si="6"/>
        <v>1</v>
      </c>
    </row>
    <row r="303" spans="1:8" x14ac:dyDescent="0.2">
      <c r="A303" s="110">
        <v>303</v>
      </c>
      <c r="B303" s="188" t="str">
        <f>IF(AND(A303&lt;&gt;"",ISNUMBER(A303)),VLOOKUP(A303,Studies!A:BR,2,FALSE),"")</f>
        <v>Kharasch 2011</v>
      </c>
      <c r="C303" s="188" t="str">
        <f>IF(AND(A303&lt;&gt;"",ISNUMBER(A303)),VLOOKUP(A303,Studies!A:BR,3,FALSE),"")</f>
        <v>https://www.ncbi.nlm.nih.gov/pubmed/21562488</v>
      </c>
      <c r="D303" s="228" t="str">
        <f>IF(AND(A303&lt;&gt;"",ISNUMBER(A303)),VLOOKUP(A303,Studies!A:BR,4,FALSE),"")</f>
        <v>po Control (Perpetrator Placebo)</v>
      </c>
      <c r="E303" s="188" t="str">
        <f>IF(AND(A303&lt;&gt;"",ISNUMBER(A303)),VLOOKUP(A303,Studies!A:BR,5,FALSE),"")</f>
        <v>Midazolam</v>
      </c>
      <c r="F303" s="79" t="s">
        <v>1371</v>
      </c>
      <c r="G303" s="78">
        <f t="shared" si="6"/>
        <v>1</v>
      </c>
    </row>
    <row r="304" spans="1:8" x14ac:dyDescent="0.2">
      <c r="A304" s="110">
        <v>304</v>
      </c>
      <c r="B304" s="188" t="str">
        <f>IF(AND(A304&lt;&gt;"",ISNUMBER(A304)),VLOOKUP(A304,Studies!A:BR,2,FALSE),"")</f>
        <v>Kharasch 2011</v>
      </c>
      <c r="C304" s="188" t="str">
        <f>IF(AND(A304&lt;&gt;"",ISNUMBER(A304)),VLOOKUP(A304,Studies!A:BR,3,FALSE),"")</f>
        <v>https://www.ncbi.nlm.nih.gov/pubmed/21562488</v>
      </c>
      <c r="D304" s="228" t="str">
        <f>IF(AND(A304&lt;&gt;"",ISNUMBER(A304)),VLOOKUP(A304,Studies!A:BR,4,FALSE),"")</f>
        <v>po with Perpetrator (Rifampicin @ 5 mg)</v>
      </c>
      <c r="E304" s="188" t="str">
        <f>IF(AND(A304&lt;&gt;"",ISNUMBER(A304)),VLOOKUP(A304,Studies!A:BR,5,FALSE),"")</f>
        <v>Midazolam</v>
      </c>
      <c r="F304" s="79" t="s">
        <v>1372</v>
      </c>
      <c r="G304" s="78">
        <f t="shared" si="6"/>
        <v>1</v>
      </c>
    </row>
    <row r="305" spans="1:7" x14ac:dyDescent="0.2">
      <c r="A305" s="110">
        <v>305</v>
      </c>
      <c r="B305" s="188" t="str">
        <f>IF(AND(A305&lt;&gt;"",ISNUMBER(A305)),VLOOKUP(A305,Studies!A:BR,2,FALSE),"")</f>
        <v>Kharasch 2011</v>
      </c>
      <c r="C305" s="188" t="str">
        <f>IF(AND(A305&lt;&gt;"",ISNUMBER(A305)),VLOOKUP(A305,Studies!A:BR,3,FALSE),"")</f>
        <v>https://www.ncbi.nlm.nih.gov/pubmed/21562488</v>
      </c>
      <c r="D305" s="228" t="str">
        <f>IF(AND(A305&lt;&gt;"",ISNUMBER(A305)),VLOOKUP(A305,Studies!A:BR,4,FALSE),"")</f>
        <v>po with Perpetrator (Rifampicin @ 10 mg)</v>
      </c>
      <c r="E305" s="188" t="str">
        <f>IF(AND(A305&lt;&gt;"",ISNUMBER(A305)),VLOOKUP(A305,Studies!A:BR,5,FALSE),"")</f>
        <v>Midazolam</v>
      </c>
      <c r="F305" s="79" t="s">
        <v>1372</v>
      </c>
      <c r="G305" s="78">
        <f t="shared" si="6"/>
        <v>1</v>
      </c>
    </row>
    <row r="306" spans="1:7" x14ac:dyDescent="0.2">
      <c r="A306" s="110">
        <v>306</v>
      </c>
      <c r="B306" s="188" t="str">
        <f>IF(AND(A306&lt;&gt;"",ISNUMBER(A306)),VLOOKUP(A306,Studies!A:BR,2,FALSE),"")</f>
        <v>Kharasch 2011</v>
      </c>
      <c r="C306" s="188" t="str">
        <f>IF(AND(A306&lt;&gt;"",ISNUMBER(A306)),VLOOKUP(A306,Studies!A:BR,3,FALSE),"")</f>
        <v>https://www.ncbi.nlm.nih.gov/pubmed/21562488</v>
      </c>
      <c r="D306" s="228" t="str">
        <f>IF(AND(A306&lt;&gt;"",ISNUMBER(A306)),VLOOKUP(A306,Studies!A:BR,4,FALSE),"")</f>
        <v>po with Perpetrator (Rifampicin @ 25 mg)</v>
      </c>
      <c r="E306" s="188" t="str">
        <f>IF(AND(A306&lt;&gt;"",ISNUMBER(A306)),VLOOKUP(A306,Studies!A:BR,5,FALSE),"")</f>
        <v>Midazolam</v>
      </c>
      <c r="F306" s="79" t="s">
        <v>1372</v>
      </c>
      <c r="G306" s="78">
        <f t="shared" si="6"/>
        <v>1</v>
      </c>
    </row>
    <row r="307" spans="1:7" x14ac:dyDescent="0.2">
      <c r="A307" s="110">
        <v>307</v>
      </c>
      <c r="B307" s="188" t="str">
        <f>IF(AND(A307&lt;&gt;"",ISNUMBER(A307)),VLOOKUP(A307,Studies!A:BR,2,FALSE),"")</f>
        <v>Kharasch 2011</v>
      </c>
      <c r="C307" s="188" t="str">
        <f>IF(AND(A307&lt;&gt;"",ISNUMBER(A307)),VLOOKUP(A307,Studies!A:BR,3,FALSE),"")</f>
        <v>https://www.ncbi.nlm.nih.gov/pubmed/21562488</v>
      </c>
      <c r="D307" s="228" t="str">
        <f>IF(AND(A307&lt;&gt;"",ISNUMBER(A307)),VLOOKUP(A307,Studies!A:BR,4,FALSE),"")</f>
        <v>po with Perpetrator (Rifampicin @ 75 mg)</v>
      </c>
      <c r="E307" s="188" t="str">
        <f>IF(AND(A307&lt;&gt;"",ISNUMBER(A307)),VLOOKUP(A307,Studies!A:BR,5,FALSE),"")</f>
        <v>Midazolam</v>
      </c>
      <c r="F307" s="79" t="s">
        <v>1372</v>
      </c>
      <c r="G307" s="78">
        <f t="shared" si="6"/>
        <v>1</v>
      </c>
    </row>
    <row r="308" spans="1:7" x14ac:dyDescent="0.2">
      <c r="A308" s="110">
        <v>308</v>
      </c>
      <c r="B308" s="188" t="str">
        <f>IF(AND(A308&lt;&gt;"",ISNUMBER(A308)),VLOOKUP(A308,Studies!A:BR,2,FALSE),"")</f>
        <v>Kharasch 2011</v>
      </c>
      <c r="C308" s="188" t="str">
        <f>IF(AND(A308&lt;&gt;"",ISNUMBER(A308)),VLOOKUP(A308,Studies!A:BR,3,FALSE),"")</f>
        <v>https://www.ncbi.nlm.nih.gov/pubmed/21562488</v>
      </c>
      <c r="D308" s="228" t="str">
        <f>IF(AND(A308&lt;&gt;"",ISNUMBER(A308)),VLOOKUP(A308,Studies!A:BR,4,FALSE),"")</f>
        <v>po Control (Perpetrator Placebo)</v>
      </c>
      <c r="E308" s="188" t="str">
        <f>IF(AND(A308&lt;&gt;"",ISNUMBER(A308)),VLOOKUP(A308,Studies!A:BR,5,FALSE),"")</f>
        <v>Alfentanil</v>
      </c>
      <c r="F308" s="79" t="s">
        <v>1385</v>
      </c>
      <c r="G308" s="78">
        <f t="shared" si="6"/>
        <v>1</v>
      </c>
    </row>
    <row r="309" spans="1:7" x14ac:dyDescent="0.2">
      <c r="A309" s="110">
        <v>309</v>
      </c>
      <c r="B309" s="188" t="str">
        <f>IF(AND(A309&lt;&gt;"",ISNUMBER(A309)),VLOOKUP(A309,Studies!A:BR,2,FALSE),"")</f>
        <v>Kharasch 2011</v>
      </c>
      <c r="C309" s="188" t="str">
        <f>IF(AND(A309&lt;&gt;"",ISNUMBER(A309)),VLOOKUP(A309,Studies!A:BR,3,FALSE),"")</f>
        <v>https://www.ncbi.nlm.nih.gov/pubmed/21562488</v>
      </c>
      <c r="D309" s="228" t="str">
        <f>IF(AND(A309&lt;&gt;"",ISNUMBER(A309)),VLOOKUP(A309,Studies!A:BR,4,FALSE),"")</f>
        <v>po with Perpetrator (Rifampicin @ 5 mg)</v>
      </c>
      <c r="E309" s="188" t="str">
        <f>IF(AND(A309&lt;&gt;"",ISNUMBER(A309)),VLOOKUP(A309,Studies!A:BR,5,FALSE),"")</f>
        <v>Alfentanil</v>
      </c>
      <c r="F309" s="79" t="s">
        <v>1386</v>
      </c>
      <c r="G309" s="78">
        <f t="shared" si="6"/>
        <v>1</v>
      </c>
    </row>
    <row r="310" spans="1:7" x14ac:dyDescent="0.2">
      <c r="A310" s="110">
        <v>310</v>
      </c>
      <c r="B310" s="188" t="str">
        <f>IF(AND(A310&lt;&gt;"",ISNUMBER(A310)),VLOOKUP(A310,Studies!A:BR,2,FALSE),"")</f>
        <v>Kharasch 2011</v>
      </c>
      <c r="C310" s="188" t="str">
        <f>IF(AND(A310&lt;&gt;"",ISNUMBER(A310)),VLOOKUP(A310,Studies!A:BR,3,FALSE),"")</f>
        <v>https://www.ncbi.nlm.nih.gov/pubmed/21562488</v>
      </c>
      <c r="D310" s="228" t="str">
        <f>IF(AND(A310&lt;&gt;"",ISNUMBER(A310)),VLOOKUP(A310,Studies!A:BR,4,FALSE),"")</f>
        <v>po with Perpetrator (Rifampicin @ 10 mg)</v>
      </c>
      <c r="E310" s="188" t="str">
        <f>IF(AND(A310&lt;&gt;"",ISNUMBER(A310)),VLOOKUP(A310,Studies!A:BR,5,FALSE),"")</f>
        <v>Alfentanil</v>
      </c>
      <c r="F310" s="79" t="s">
        <v>1386</v>
      </c>
      <c r="G310" s="78">
        <f t="shared" si="6"/>
        <v>1</v>
      </c>
    </row>
    <row r="311" spans="1:7" x14ac:dyDescent="0.2">
      <c r="A311" s="110">
        <v>311</v>
      </c>
      <c r="B311" s="188" t="str">
        <f>IF(AND(A311&lt;&gt;"",ISNUMBER(A311)),VLOOKUP(A311,Studies!A:BR,2,FALSE),"")</f>
        <v>Kharasch 2011</v>
      </c>
      <c r="C311" s="188" t="str">
        <f>IF(AND(A311&lt;&gt;"",ISNUMBER(A311)),VLOOKUP(A311,Studies!A:BR,3,FALSE),"")</f>
        <v>https://www.ncbi.nlm.nih.gov/pubmed/21562488</v>
      </c>
      <c r="D311" s="228" t="str">
        <f>IF(AND(A311&lt;&gt;"",ISNUMBER(A311)),VLOOKUP(A311,Studies!A:BR,4,FALSE),"")</f>
        <v>po with Perpetrator (Rifampicin @ 25 mg)</v>
      </c>
      <c r="E311" s="188" t="str">
        <f>IF(AND(A311&lt;&gt;"",ISNUMBER(A311)),VLOOKUP(A311,Studies!A:BR,5,FALSE),"")</f>
        <v>Alfentanil</v>
      </c>
      <c r="F311" s="79" t="s">
        <v>1386</v>
      </c>
      <c r="G311" s="78">
        <f t="shared" si="6"/>
        <v>1</v>
      </c>
    </row>
    <row r="312" spans="1:7" x14ac:dyDescent="0.2">
      <c r="A312" s="110">
        <v>312</v>
      </c>
      <c r="B312" s="188" t="str">
        <f>IF(AND(A312&lt;&gt;"",ISNUMBER(A312)),VLOOKUP(A312,Studies!A:BR,2,FALSE),"")</f>
        <v>Kharasch 2011</v>
      </c>
      <c r="C312" s="188" t="str">
        <f>IF(AND(A312&lt;&gt;"",ISNUMBER(A312)),VLOOKUP(A312,Studies!A:BR,3,FALSE),"")</f>
        <v>https://www.ncbi.nlm.nih.gov/pubmed/21562488</v>
      </c>
      <c r="D312" s="228" t="str">
        <f>IF(AND(A312&lt;&gt;"",ISNUMBER(A312)),VLOOKUP(A312,Studies!A:BR,4,FALSE),"")</f>
        <v>po with Perpetrator (Rifampicin @ 75 mg)</v>
      </c>
      <c r="E312" s="188" t="str">
        <f>IF(AND(A312&lt;&gt;"",ISNUMBER(A312)),VLOOKUP(A312,Studies!A:BR,5,FALSE),"")</f>
        <v>Alfentanil</v>
      </c>
      <c r="F312" s="79" t="s">
        <v>1386</v>
      </c>
      <c r="G312" s="78">
        <f t="shared" si="6"/>
        <v>1</v>
      </c>
    </row>
    <row r="313" spans="1:7" x14ac:dyDescent="0.2">
      <c r="A313" s="110">
        <v>313</v>
      </c>
      <c r="B313" s="188" t="str">
        <f>IF(AND(A313&lt;&gt;"",ISNUMBER(A313)),VLOOKUP(A313,Studies!A:BR,2,FALSE),"")</f>
        <v>Kirby 2012</v>
      </c>
      <c r="C313" s="188" t="str">
        <f>IF(AND(A313&lt;&gt;"",ISNUMBER(A313)),VLOOKUP(A313,Studies!A:BR,3,FALSE),"")</f>
        <v>https://www.ncbi.nlm.nih.gov/pubmed/22190694</v>
      </c>
      <c r="D313" s="228" t="str">
        <f>IF(AND(A313&lt;&gt;"",ISNUMBER(A313)),VLOOKUP(A313,Studies!A:BR,4,FALSE),"")</f>
        <v>Study 1 - Staggered Administration Control</v>
      </c>
      <c r="E313" s="188" t="str">
        <f>IF(AND(A313&lt;&gt;"",ISNUMBER(A313)),VLOOKUP(A313,Studies!A:BR,5,FALSE),"")</f>
        <v>Digoxin</v>
      </c>
      <c r="F313" s="79" t="s">
        <v>1376</v>
      </c>
      <c r="G313" s="78">
        <f t="shared" si="6"/>
        <v>1</v>
      </c>
    </row>
    <row r="314" spans="1:7" x14ac:dyDescent="0.2">
      <c r="A314" s="110">
        <v>314</v>
      </c>
      <c r="B314" s="188" t="str">
        <f>IF(AND(A314&lt;&gt;"",ISNUMBER(A314)),VLOOKUP(A314,Studies!A:BR,2,FALSE),"")</f>
        <v>Kirby 2012</v>
      </c>
      <c r="C314" s="188" t="str">
        <f>IF(AND(A314&lt;&gt;"",ISNUMBER(A314)),VLOOKUP(A314,Studies!A:BR,3,FALSE),"")</f>
        <v>https://www.ncbi.nlm.nih.gov/pubmed/22190694</v>
      </c>
      <c r="D314" s="228" t="str">
        <f>IF(AND(A314&lt;&gt;"",ISNUMBER(A314)),VLOOKUP(A314,Studies!A:BR,4,FALSE),"")</f>
        <v>Study 1 - Staggered Administration with RIF</v>
      </c>
      <c r="E314" s="188" t="str">
        <f>IF(AND(A314&lt;&gt;"",ISNUMBER(A314)),VLOOKUP(A314,Studies!A:BR,5,FALSE),"")</f>
        <v>Digoxin</v>
      </c>
      <c r="F314" s="79" t="s">
        <v>1377</v>
      </c>
      <c r="G314" s="78">
        <f t="shared" si="6"/>
        <v>1</v>
      </c>
    </row>
    <row r="315" spans="1:7" x14ac:dyDescent="0.2">
      <c r="A315" s="110">
        <v>315</v>
      </c>
      <c r="B315" s="188" t="str">
        <f>IF(AND(A315&lt;&gt;"",ISNUMBER(A315)),VLOOKUP(A315,Studies!A:BR,2,FALSE),"")</f>
        <v>Kirby 2012</v>
      </c>
      <c r="C315" s="188" t="str">
        <f>IF(AND(A315&lt;&gt;"",ISNUMBER(A315)),VLOOKUP(A315,Studies!A:BR,3,FALSE),"")</f>
        <v>https://www.ncbi.nlm.nih.gov/pubmed/22190694</v>
      </c>
      <c r="D315" s="228" t="str">
        <f>IF(AND(A315&lt;&gt;"",ISNUMBER(A315)),VLOOKUP(A315,Studies!A:BR,4,FALSE),"")</f>
        <v>Study 2 - Simultaneous Administration Control</v>
      </c>
      <c r="E315" s="188" t="str">
        <f>IF(AND(A315&lt;&gt;"",ISNUMBER(A315)),VLOOKUP(A315,Studies!A:BR,5,FALSE),"")</f>
        <v>Digoxin</v>
      </c>
      <c r="F315" s="79" t="s">
        <v>1376</v>
      </c>
      <c r="G315" s="78">
        <f t="shared" si="6"/>
        <v>1</v>
      </c>
    </row>
    <row r="316" spans="1:7" x14ac:dyDescent="0.2">
      <c r="A316" s="110">
        <v>316</v>
      </c>
      <c r="B316" s="188" t="str">
        <f>IF(AND(A316&lt;&gt;"",ISNUMBER(A316)),VLOOKUP(A316,Studies!A:BR,2,FALSE),"")</f>
        <v>Kirby 2012</v>
      </c>
      <c r="C316" s="188" t="str">
        <f>IF(AND(A316&lt;&gt;"",ISNUMBER(A316)),VLOOKUP(A316,Studies!A:BR,3,FALSE),"")</f>
        <v>https://www.ncbi.nlm.nih.gov/pubmed/22190694</v>
      </c>
      <c r="D316" s="228" t="str">
        <f>IF(AND(A316&lt;&gt;"",ISNUMBER(A316)),VLOOKUP(A316,Studies!A:BR,4,FALSE),"")</f>
        <v>Study 2 - Simultaneous Administration with RIF</v>
      </c>
      <c r="E316" s="188" t="str">
        <f>IF(AND(A316&lt;&gt;"",ISNUMBER(A316)),VLOOKUP(A316,Studies!A:BR,5,FALSE),"")</f>
        <v>Digoxin</v>
      </c>
      <c r="F316" s="79" t="s">
        <v>1377</v>
      </c>
      <c r="G316" s="78">
        <f t="shared" si="6"/>
        <v>1</v>
      </c>
    </row>
    <row r="317" spans="1:7" x14ac:dyDescent="0.2">
      <c r="A317" s="80">
        <v>317</v>
      </c>
      <c r="B317" s="188" t="str">
        <f>IF(AND(A317&lt;&gt;"",ISNUMBER(A317)),VLOOKUP(A317,Studies!A:BR,2,FALSE),"")</f>
        <v>Kivistö 1997</v>
      </c>
      <c r="C317" s="188" t="str">
        <f>IF(AND(A317&lt;&gt;"",ISNUMBER(A317)),VLOOKUP(A317,Studies!A:BR,3,FALSE),"")</f>
        <v>https://www.ncbi.nlm.nih.gov/pubmed/9333111</v>
      </c>
      <c r="D317" s="228" t="str">
        <f>IF(AND(A317&lt;&gt;"",ISNUMBER(A317)),VLOOKUP(A317,Studies!A:BR,4,FALSE),"")</f>
        <v>Control (Perpetrator Placebo)</v>
      </c>
      <c r="E317" s="188" t="str">
        <f>IF(AND(A317&lt;&gt;"",ISNUMBER(A317)),VLOOKUP(A317,Studies!A:BR,5,FALSE),"")</f>
        <v>Buspirone</v>
      </c>
      <c r="F317" s="79" t="s">
        <v>1387</v>
      </c>
      <c r="G317" s="78">
        <f t="shared" si="6"/>
        <v>1</v>
      </c>
    </row>
    <row r="318" spans="1:7" x14ac:dyDescent="0.2">
      <c r="A318" s="80">
        <v>318</v>
      </c>
      <c r="B318" s="188" t="str">
        <f>IF(AND(A318&lt;&gt;"",ISNUMBER(A318)),VLOOKUP(A318,Studies!A:BR,2,FALSE),"")</f>
        <v>Kivistö 1997</v>
      </c>
      <c r="C318" s="188" t="str">
        <f>IF(AND(A318&lt;&gt;"",ISNUMBER(A318)),VLOOKUP(A318,Studies!A:BR,3,FALSE),"")</f>
        <v>https://www.ncbi.nlm.nih.gov/pubmed/9333111</v>
      </c>
      <c r="D318" s="228" t="str">
        <f>IF(AND(A318&lt;&gt;"",ISNUMBER(A318)),VLOOKUP(A318,Studies!A:BR,4,FALSE),"")</f>
        <v>with Perpetrator (Erythromycin)</v>
      </c>
      <c r="E318" s="188" t="str">
        <f>IF(AND(A318&lt;&gt;"",ISNUMBER(A318)),VLOOKUP(A318,Studies!A:BR,5,FALSE),"")</f>
        <v>Buspirone</v>
      </c>
      <c r="F318" s="79" t="s">
        <v>1388</v>
      </c>
      <c r="G318" s="78">
        <f t="shared" si="6"/>
        <v>1</v>
      </c>
    </row>
    <row r="319" spans="1:7" x14ac:dyDescent="0.2">
      <c r="A319" s="80">
        <v>319</v>
      </c>
      <c r="B319" s="188" t="str">
        <f>IF(AND(A319&lt;&gt;"",ISNUMBER(A319)),VLOOKUP(A319,Studies!A:BR,2,FALSE),"")</f>
        <v>Kivistö 1997</v>
      </c>
      <c r="C319" s="188" t="str">
        <f>IF(AND(A319&lt;&gt;"",ISNUMBER(A319)),VLOOKUP(A319,Studies!A:BR,3,FALSE),"")</f>
        <v>https://www.ncbi.nlm.nih.gov/pubmed/9333111</v>
      </c>
      <c r="D319" s="228" t="str">
        <f>IF(AND(A319&lt;&gt;"",ISNUMBER(A319)),VLOOKUP(A319,Studies!A:BR,4,FALSE),"")</f>
        <v>with Perpetrator (Erythromycin)</v>
      </c>
      <c r="E319" s="188" t="str">
        <f>IF(AND(A319&lt;&gt;"",ISNUMBER(A319)),VLOOKUP(A319,Studies!A:BR,5,FALSE),"")</f>
        <v>Erythromycin</v>
      </c>
      <c r="F319" s="79" t="s">
        <v>1389</v>
      </c>
      <c r="G319" s="78">
        <f t="shared" si="6"/>
        <v>1</v>
      </c>
    </row>
    <row r="320" spans="1:7" x14ac:dyDescent="0.2">
      <c r="A320" s="80">
        <v>320</v>
      </c>
      <c r="B320" s="188" t="str">
        <f>IF(AND(A320&lt;&gt;"",ISNUMBER(A320)),VLOOKUP(A320,Studies!A:BR,2,FALSE),"")</f>
        <v>Kivistö 1997</v>
      </c>
      <c r="C320" s="188" t="str">
        <f>IF(AND(A320&lt;&gt;"",ISNUMBER(A320)),VLOOKUP(A320,Studies!A:BR,3,FALSE),"")</f>
        <v>https://www.ncbi.nlm.nih.gov/pubmed/9333111</v>
      </c>
      <c r="D320" s="228" t="str">
        <f>IF(AND(A320&lt;&gt;"",ISNUMBER(A320)),VLOOKUP(A320,Studies!A:BR,4,FALSE),"")</f>
        <v>with Perpetrator (Itraconazole)</v>
      </c>
      <c r="E320" s="188" t="str">
        <f>IF(AND(A320&lt;&gt;"",ISNUMBER(A320)),VLOOKUP(A320,Studies!A:BR,5,FALSE),"")</f>
        <v>Buspirone</v>
      </c>
      <c r="F320" s="79" t="s">
        <v>1390</v>
      </c>
      <c r="G320" s="78">
        <f t="shared" si="6"/>
        <v>1</v>
      </c>
    </row>
    <row r="321" spans="1:7" x14ac:dyDescent="0.2">
      <c r="A321" s="80">
        <v>321</v>
      </c>
      <c r="B321" s="188" t="str">
        <f>IF(AND(A321&lt;&gt;"",ISNUMBER(A321)),VLOOKUP(A321,Studies!A:BR,2,FALSE),"")</f>
        <v>Kivistö 1997</v>
      </c>
      <c r="C321" s="188" t="str">
        <f>IF(AND(A321&lt;&gt;"",ISNUMBER(A321)),VLOOKUP(A321,Studies!A:BR,3,FALSE),"")</f>
        <v>https://www.ncbi.nlm.nih.gov/pubmed/9333111</v>
      </c>
      <c r="D321" s="228" t="str">
        <f>IF(AND(A321&lt;&gt;"",ISNUMBER(A321)),VLOOKUP(A321,Studies!A:BR,4,FALSE),"")</f>
        <v>with Perpetrator (Itraconazole)</v>
      </c>
      <c r="E321" s="188" t="str">
        <f>IF(AND(A321&lt;&gt;"",ISNUMBER(A321)),VLOOKUP(A321,Studies!A:BR,5,FALSE),"")</f>
        <v>Itraconazole</v>
      </c>
      <c r="F321" s="79" t="s">
        <v>1391</v>
      </c>
      <c r="G321" s="78">
        <f t="shared" si="6"/>
        <v>1</v>
      </c>
    </row>
    <row r="322" spans="1:7" x14ac:dyDescent="0.2">
      <c r="A322" s="80">
        <v>322</v>
      </c>
      <c r="B322" s="188" t="str">
        <f>IF(AND(A322&lt;&gt;"",ISNUMBER(A322)),VLOOKUP(A322,Studies!A:BR,2,FALSE),"")</f>
        <v>Kranke 2012</v>
      </c>
      <c r="C322" s="188" t="str">
        <f>IF(AND(A322&lt;&gt;"",ISNUMBER(A322)),VLOOKUP(A322,Studies!A:BR,3,FALSE),"")</f>
        <v>https://www.ncbi.nlm.nih.gov/pubmed/22546895</v>
      </c>
      <c r="D322" s="228" t="str">
        <f>IF(AND(A322&lt;&gt;"",ISNUMBER(A322)),VLOOKUP(A322,Studies!A:BR,4,FALSE),"")</f>
        <v>Patients @ 0.3 mg</v>
      </c>
      <c r="E322" s="188" t="str">
        <f>IF(AND(A322&lt;&gt;"",ISNUMBER(A322)),VLOOKUP(A322,Studies!A:BR,5,FALSE),"")</f>
        <v>Buspirone</v>
      </c>
      <c r="F322" s="79" t="s">
        <v>111</v>
      </c>
      <c r="G322" s="78">
        <f t="shared" si="6"/>
        <v>1</v>
      </c>
    </row>
    <row r="323" spans="1:7" x14ac:dyDescent="0.2">
      <c r="A323" s="80">
        <v>323</v>
      </c>
      <c r="B323" s="188" t="str">
        <f>IF(AND(A323&lt;&gt;"",ISNUMBER(A323)),VLOOKUP(A323,Studies!A:BR,2,FALSE),"")</f>
        <v>Kranke 2012</v>
      </c>
      <c r="C323" s="188" t="str">
        <f>IF(AND(A323&lt;&gt;"",ISNUMBER(A323)),VLOOKUP(A323,Studies!A:BR,3,FALSE),"")</f>
        <v>https://www.ncbi.nlm.nih.gov/pubmed/22546895</v>
      </c>
      <c r="D323" s="228" t="str">
        <f>IF(AND(A323&lt;&gt;"",ISNUMBER(A323)),VLOOKUP(A323,Studies!A:BR,4,FALSE),"")</f>
        <v>Patients @ 1 mg</v>
      </c>
      <c r="E323" s="188" t="str">
        <f>IF(AND(A323&lt;&gt;"",ISNUMBER(A323)),VLOOKUP(A323,Studies!A:BR,5,FALSE),"")</f>
        <v>Buspirone</v>
      </c>
      <c r="F323" s="79" t="s">
        <v>111</v>
      </c>
      <c r="G323" s="78">
        <f t="shared" si="6"/>
        <v>1</v>
      </c>
    </row>
    <row r="324" spans="1:7" x14ac:dyDescent="0.2">
      <c r="A324" s="80">
        <v>324</v>
      </c>
      <c r="B324" s="188" t="str">
        <f>IF(AND(A324&lt;&gt;"",ISNUMBER(A324)),VLOOKUP(A324,Studies!A:BR,2,FALSE),"")</f>
        <v>Kranke 2012</v>
      </c>
      <c r="C324" s="188" t="str">
        <f>IF(AND(A324&lt;&gt;"",ISNUMBER(A324)),VLOOKUP(A324,Studies!A:BR,3,FALSE),"")</f>
        <v>https://www.ncbi.nlm.nih.gov/pubmed/22546895</v>
      </c>
      <c r="D324" s="228" t="str">
        <f>IF(AND(A324&lt;&gt;"",ISNUMBER(A324)),VLOOKUP(A324,Studies!A:BR,4,FALSE),"")</f>
        <v>Patients @ 2 mg</v>
      </c>
      <c r="E324" s="188" t="str">
        <f>IF(AND(A324&lt;&gt;"",ISNUMBER(A324)),VLOOKUP(A324,Studies!A:BR,5,FALSE),"")</f>
        <v>Buspirone</v>
      </c>
      <c r="F324" s="79" t="s">
        <v>111</v>
      </c>
      <c r="G324" s="78">
        <f t="shared" si="6"/>
        <v>1</v>
      </c>
    </row>
    <row r="325" spans="1:7" x14ac:dyDescent="0.2">
      <c r="A325" s="80">
        <v>325</v>
      </c>
      <c r="B325" s="188" t="str">
        <f>IF(AND(A325&lt;&gt;"",ISNUMBER(A325)),VLOOKUP(A325,Studies!A:BR,2,FALSE),"")</f>
        <v>Kranke 2012</v>
      </c>
      <c r="C325" s="188" t="str">
        <f>IF(AND(A325&lt;&gt;"",ISNUMBER(A325)),VLOOKUP(A325,Studies!A:BR,3,FALSE),"")</f>
        <v>https://www.ncbi.nlm.nih.gov/pubmed/22546895</v>
      </c>
      <c r="D325" s="228" t="str">
        <f>IF(AND(A325&lt;&gt;"",ISNUMBER(A325)),VLOOKUP(A325,Studies!A:BR,4,FALSE),"")</f>
        <v>Patients @ 3 mg</v>
      </c>
      <c r="E325" s="188" t="str">
        <f>IF(AND(A325&lt;&gt;"",ISNUMBER(A325)),VLOOKUP(A325,Studies!A:BR,5,FALSE),"")</f>
        <v>Buspirone</v>
      </c>
      <c r="F325" s="79" t="s">
        <v>111</v>
      </c>
      <c r="G325" s="78">
        <f t="shared" si="6"/>
        <v>1</v>
      </c>
    </row>
    <row r="326" spans="1:7" x14ac:dyDescent="0.2">
      <c r="A326" s="80">
        <v>326</v>
      </c>
      <c r="B326" s="188" t="str">
        <f>IF(AND(A326&lt;&gt;"",ISNUMBER(A326)),VLOOKUP(A326,Studies!A:BR,2,FALSE),"")</f>
        <v>Lamberg 1998a</v>
      </c>
      <c r="C326" s="188" t="str">
        <f>IF(AND(A326&lt;&gt;"",ISNUMBER(A326)),VLOOKUP(A326,Studies!A:BR,3,FALSE),"")</f>
        <v>https://www.ncbi.nlm.nih.gov/pubmed/9923581</v>
      </c>
      <c r="D326" s="228" t="str">
        <f>IF(AND(A326&lt;&gt;"",ISNUMBER(A326)),VLOOKUP(A326,Studies!A:BR,4,FALSE),"")</f>
        <v>Control (Perpetrator Placebo)</v>
      </c>
      <c r="E326" s="188" t="str">
        <f>IF(AND(A326&lt;&gt;"",ISNUMBER(A326)),VLOOKUP(A326,Studies!A:BR,5,FALSE),"")</f>
        <v>Buspirone</v>
      </c>
      <c r="F326" s="79" t="s">
        <v>1392</v>
      </c>
      <c r="G326" s="78">
        <f t="shared" si="6"/>
        <v>1</v>
      </c>
    </row>
    <row r="327" spans="1:7" x14ac:dyDescent="0.2">
      <c r="A327" s="80">
        <v>327</v>
      </c>
      <c r="B327" s="188" t="str">
        <f>IF(AND(A327&lt;&gt;"",ISNUMBER(A327)),VLOOKUP(A327,Studies!A:BR,2,FALSE),"")</f>
        <v>Lamberg 1998a</v>
      </c>
      <c r="C327" s="188" t="str">
        <f>IF(AND(A327&lt;&gt;"",ISNUMBER(A327)),VLOOKUP(A327,Studies!A:BR,3,FALSE),"")</f>
        <v>https://www.ncbi.nlm.nih.gov/pubmed/9923581</v>
      </c>
      <c r="D327" s="228" t="str">
        <f>IF(AND(A327&lt;&gt;"",ISNUMBER(A327)),VLOOKUP(A327,Studies!A:BR,4,FALSE),"")</f>
        <v>with Perpetrator (Fluvoxamine)</v>
      </c>
      <c r="E327" s="188" t="str">
        <f>IF(AND(A327&lt;&gt;"",ISNUMBER(A327)),VLOOKUP(A327,Studies!A:BR,5,FALSE),"")</f>
        <v>Buspirone</v>
      </c>
      <c r="F327" s="79" t="s">
        <v>1393</v>
      </c>
      <c r="G327" s="78">
        <f t="shared" si="6"/>
        <v>1</v>
      </c>
    </row>
    <row r="328" spans="1:7" x14ac:dyDescent="0.2">
      <c r="A328" s="80">
        <v>328</v>
      </c>
      <c r="B328" s="188" t="str">
        <f>IF(AND(A328&lt;&gt;"",ISNUMBER(A328)),VLOOKUP(A328,Studies!A:BR,2,FALSE),"")</f>
        <v>Lamberg 1998b</v>
      </c>
      <c r="C328" s="188" t="str">
        <f>IF(AND(A328&lt;&gt;"",ISNUMBER(A328)),VLOOKUP(A328,Studies!A:BR,3,FALSE),"")</f>
        <v>https://www.ncbi.nlm.nih.gov/pubmed/9578186</v>
      </c>
      <c r="D328" s="228" t="str">
        <f>IF(AND(A328&lt;&gt;"",ISNUMBER(A328)),VLOOKUP(A328,Studies!A:BR,4,FALSE),"")</f>
        <v>Control (Perpetrator Placebo)</v>
      </c>
      <c r="E328" s="188" t="str">
        <f>IF(AND(A328&lt;&gt;"",ISNUMBER(A328)),VLOOKUP(A328,Studies!A:BR,5,FALSE),"")</f>
        <v>Buspirone</v>
      </c>
      <c r="F328" s="79" t="s">
        <v>1394</v>
      </c>
      <c r="G328" s="78">
        <f t="shared" si="6"/>
        <v>1</v>
      </c>
    </row>
    <row r="329" spans="1:7" x14ac:dyDescent="0.2">
      <c r="A329" s="80">
        <v>329</v>
      </c>
      <c r="B329" s="188" t="str">
        <f>IF(AND(A329&lt;&gt;"",ISNUMBER(A329)),VLOOKUP(A329,Studies!A:BR,2,FALSE),"")</f>
        <v>Lamberg 1998b</v>
      </c>
      <c r="C329" s="188" t="str">
        <f>IF(AND(A329&lt;&gt;"",ISNUMBER(A329)),VLOOKUP(A329,Studies!A:BR,3,FALSE),"")</f>
        <v>https://www.ncbi.nlm.nih.gov/pubmed/9578186</v>
      </c>
      <c r="D329" s="228" t="str">
        <f>IF(AND(A329&lt;&gt;"",ISNUMBER(A329)),VLOOKUP(A329,Studies!A:BR,4,FALSE),"")</f>
        <v>with Perpetrator (Rifampicin)</v>
      </c>
      <c r="E329" s="188" t="str">
        <f>IF(AND(A329&lt;&gt;"",ISNUMBER(A329)),VLOOKUP(A329,Studies!A:BR,5,FALSE),"")</f>
        <v>Buspirone</v>
      </c>
      <c r="F329" s="79" t="s">
        <v>1395</v>
      </c>
      <c r="G329" s="78">
        <f t="shared" ref="G329:G392" si="7">A329-A328</f>
        <v>1</v>
      </c>
    </row>
    <row r="330" spans="1:7" x14ac:dyDescent="0.2">
      <c r="A330" s="80">
        <v>330</v>
      </c>
      <c r="B330" s="188" t="str">
        <f>IF(AND(A330&lt;&gt;"",ISNUMBER(A330)),VLOOKUP(A330,Studies!A:BR,2,FALSE),"")</f>
        <v>Lamberg 1998c</v>
      </c>
      <c r="C330" s="188" t="str">
        <f>IF(AND(A330&lt;&gt;"",ISNUMBER(A330)),VLOOKUP(A330,Studies!A:BR,3,FALSE),"")</f>
        <v>https://www.ncbi.nlm.nih.gov/pubmed/9663178</v>
      </c>
      <c r="D330" s="228" t="str">
        <f>IF(AND(A330&lt;&gt;"",ISNUMBER(A330)),VLOOKUP(A330,Studies!A:BR,4,FALSE),"")</f>
        <v>Control (Perpetrator Placebo)</v>
      </c>
      <c r="E330" s="188" t="str">
        <f>IF(AND(A330&lt;&gt;"",ISNUMBER(A330)),VLOOKUP(A330,Studies!A:BR,5,FALSE),"")</f>
        <v>Buspirone</v>
      </c>
      <c r="F330" s="79" t="s">
        <v>1396</v>
      </c>
      <c r="G330" s="78">
        <f t="shared" si="7"/>
        <v>1</v>
      </c>
    </row>
    <row r="331" spans="1:7" x14ac:dyDescent="0.2">
      <c r="A331" s="80">
        <v>331</v>
      </c>
      <c r="B331" s="188" t="str">
        <f>IF(AND(A331&lt;&gt;"",ISNUMBER(A331)),VLOOKUP(A331,Studies!A:BR,2,FALSE),"")</f>
        <v>Lamberg 1998c</v>
      </c>
      <c r="C331" s="188" t="str">
        <f>IF(AND(A331&lt;&gt;"",ISNUMBER(A331)),VLOOKUP(A331,Studies!A:BR,3,FALSE),"")</f>
        <v>https://www.ncbi.nlm.nih.gov/pubmed/9663178</v>
      </c>
      <c r="D331" s="228" t="str">
        <f>IF(AND(A331&lt;&gt;"",ISNUMBER(A331)),VLOOKUP(A331,Studies!A:BR,4,FALSE),"")</f>
        <v>with Perpetrator (Verapamil)</v>
      </c>
      <c r="E331" s="188" t="str">
        <f>IF(AND(A331&lt;&gt;"",ISNUMBER(A331)),VLOOKUP(A331,Studies!A:BR,5,FALSE),"")</f>
        <v>Buspirone</v>
      </c>
      <c r="F331" s="79" t="s">
        <v>1397</v>
      </c>
      <c r="G331" s="78">
        <f t="shared" si="7"/>
        <v>1</v>
      </c>
    </row>
    <row r="332" spans="1:7" x14ac:dyDescent="0.2">
      <c r="A332" s="80">
        <v>332</v>
      </c>
      <c r="B332" s="188" t="str">
        <f>IF(AND(A332&lt;&gt;"",ISNUMBER(A332)),VLOOKUP(A332,Studies!A:BR,2,FALSE),"")</f>
        <v>Lamberg 1998c</v>
      </c>
      <c r="C332" s="188" t="str">
        <f>IF(AND(A332&lt;&gt;"",ISNUMBER(A332)),VLOOKUP(A332,Studies!A:BR,3,FALSE),"")</f>
        <v>https://www.ncbi.nlm.nih.gov/pubmed/9663178</v>
      </c>
      <c r="D332" s="228" t="str">
        <f>IF(AND(A332&lt;&gt;"",ISNUMBER(A332)),VLOOKUP(A332,Studies!A:BR,4,FALSE),"")</f>
        <v>with Perpetrator (Verapamil)</v>
      </c>
      <c r="E332" s="188" t="str">
        <f>IF(AND(A332&lt;&gt;"",ISNUMBER(A332)),VLOOKUP(A332,Studies!A:BR,5,FALSE),"")</f>
        <v>Verapamil</v>
      </c>
      <c r="F332" s="79" t="s">
        <v>1398</v>
      </c>
      <c r="G332" s="78">
        <f t="shared" si="7"/>
        <v>1</v>
      </c>
    </row>
    <row r="333" spans="1:7" x14ac:dyDescent="0.2">
      <c r="A333" s="80">
        <v>333</v>
      </c>
      <c r="B333" s="188" t="str">
        <f>IF(AND(A333&lt;&gt;"",ISNUMBER(A333)),VLOOKUP(A333,Studies!A:BR,2,FALSE),"")</f>
        <v>Lamberg 1998c</v>
      </c>
      <c r="C333" s="188" t="str">
        <f>IF(AND(A333&lt;&gt;"",ISNUMBER(A333)),VLOOKUP(A333,Studies!A:BR,3,FALSE),"")</f>
        <v>https://www.ncbi.nlm.nih.gov/pubmed/9663178</v>
      </c>
      <c r="D333" s="228" t="str">
        <f>IF(AND(A333&lt;&gt;"",ISNUMBER(A333)),VLOOKUP(A333,Studies!A:BR,4,FALSE),"")</f>
        <v>with Perpetrator (Diltiazem)</v>
      </c>
      <c r="E333" s="188" t="str">
        <f>IF(AND(A333&lt;&gt;"",ISNUMBER(A333)),VLOOKUP(A333,Studies!A:BR,5,FALSE),"")</f>
        <v>Buspirone</v>
      </c>
      <c r="F333" s="79" t="s">
        <v>1399</v>
      </c>
      <c r="G333" s="78">
        <f t="shared" si="7"/>
        <v>1</v>
      </c>
    </row>
    <row r="334" spans="1:7" x14ac:dyDescent="0.2">
      <c r="A334" s="80">
        <v>334</v>
      </c>
      <c r="B334" s="188" t="str">
        <f>IF(AND(A334&lt;&gt;"",ISNUMBER(A334)),VLOOKUP(A334,Studies!A:BR,2,FALSE),"")</f>
        <v>Lamberg 1998c</v>
      </c>
      <c r="C334" s="188" t="str">
        <f>IF(AND(A334&lt;&gt;"",ISNUMBER(A334)),VLOOKUP(A334,Studies!A:BR,3,FALSE),"")</f>
        <v>https://www.ncbi.nlm.nih.gov/pubmed/9663178</v>
      </c>
      <c r="D334" s="228" t="str">
        <f>IF(AND(A334&lt;&gt;"",ISNUMBER(A334)),VLOOKUP(A334,Studies!A:BR,4,FALSE),"")</f>
        <v>with Perpetrator (Diltiazem)</v>
      </c>
      <c r="E334" s="188" t="str">
        <f>IF(AND(A334&lt;&gt;"",ISNUMBER(A334)),VLOOKUP(A334,Studies!A:BR,5,FALSE),"")</f>
        <v>Diltiazem</v>
      </c>
      <c r="F334" s="79" t="s">
        <v>1400</v>
      </c>
      <c r="G334" s="78">
        <f t="shared" si="7"/>
        <v>1</v>
      </c>
    </row>
    <row r="335" spans="1:7" x14ac:dyDescent="0.2">
      <c r="A335" s="80">
        <v>335</v>
      </c>
      <c r="B335" s="188" t="str">
        <f>IF(AND(A335&lt;&gt;"",ISNUMBER(A335)),VLOOKUP(A335,Studies!A:BR,2,FALSE),"")</f>
        <v>Lamberg 1999</v>
      </c>
      <c r="C335" s="188" t="str">
        <f>IF(AND(A335&lt;&gt;"",ISNUMBER(A335)),VLOOKUP(A335,Studies!A:BR,3,FALSE),"")</f>
        <v>https://www.ncbi.nlm.nih.gov/pubmed/10227067</v>
      </c>
      <c r="D335" s="228" t="str">
        <f>IF(AND(A335&lt;&gt;"",ISNUMBER(A335)),VLOOKUP(A335,Studies!A:BR,4,FALSE),"")</f>
        <v>Control (Perpetrator Placebo)</v>
      </c>
      <c r="E335" s="188" t="str">
        <f>IF(AND(A335&lt;&gt;"",ISNUMBER(A335)),VLOOKUP(A335,Studies!A:BR,5,FALSE),"")</f>
        <v>Buspirone</v>
      </c>
      <c r="F335" s="79" t="s">
        <v>111</v>
      </c>
      <c r="G335" s="78">
        <f t="shared" si="7"/>
        <v>1</v>
      </c>
    </row>
    <row r="336" spans="1:7" x14ac:dyDescent="0.2">
      <c r="A336" s="110">
        <v>336</v>
      </c>
      <c r="B336" s="188" t="str">
        <f>IF(AND(A336&lt;&gt;"",ISNUMBER(A336)),VLOOKUP(A336,Studies!A:BR,2,FALSE),"")</f>
        <v>Larsen 2007</v>
      </c>
      <c r="C336" s="188" t="str">
        <f>IF(AND(A336&lt;&gt;"",ISNUMBER(A336)),VLOOKUP(A336,Studies!A:BR,3,FALSE),"")</f>
        <v>https://www.ncbi.nlm.nih.gov/pubmed/17365992</v>
      </c>
      <c r="D336" s="228" t="str">
        <f>IF(AND(A336&lt;&gt;"",ISNUMBER(A336)),VLOOKUP(A336,Studies!A:BR,4,FALSE),"")</f>
        <v>Control (Perpetrator Placebo)</v>
      </c>
      <c r="E336" s="188" t="str">
        <f>IF(AND(A336&lt;&gt;"",ISNUMBER(A336)),VLOOKUP(A336,Studies!A:BR,5,FALSE),"")</f>
        <v>Digoxin</v>
      </c>
      <c r="F336" s="79" t="s">
        <v>1376</v>
      </c>
      <c r="G336" s="78">
        <f t="shared" si="7"/>
        <v>1</v>
      </c>
    </row>
    <row r="337" spans="1:7" x14ac:dyDescent="0.2">
      <c r="A337" s="110">
        <v>337</v>
      </c>
      <c r="B337" s="188" t="str">
        <f>IF(AND(A337&lt;&gt;"",ISNUMBER(A337)),VLOOKUP(A337,Studies!A:BR,2,FALSE),"")</f>
        <v>Larsen 2007</v>
      </c>
      <c r="C337" s="188" t="str">
        <f>IF(AND(A337&lt;&gt;"",ISNUMBER(A337)),VLOOKUP(A337,Studies!A:BR,3,FALSE),"")</f>
        <v>https://www.ncbi.nlm.nih.gov/pubmed/17365992</v>
      </c>
      <c r="D337" s="228" t="str">
        <f>IF(AND(A337&lt;&gt;"",ISNUMBER(A337)),VLOOKUP(A337,Studies!A:BR,4,FALSE),"")</f>
        <v>with Perpetrator (Rifampicin)</v>
      </c>
      <c r="E337" s="188" t="str">
        <f>IF(AND(A337&lt;&gt;"",ISNUMBER(A337)),VLOOKUP(A337,Studies!A:BR,5,FALSE),"")</f>
        <v>Digoxin</v>
      </c>
      <c r="F337" s="79" t="s">
        <v>1377</v>
      </c>
      <c r="G337" s="78">
        <f t="shared" si="7"/>
        <v>1</v>
      </c>
    </row>
    <row r="338" spans="1:7" x14ac:dyDescent="0.2">
      <c r="A338" s="110">
        <v>338</v>
      </c>
      <c r="B338" s="188" t="str">
        <f>IF(AND(A338&lt;&gt;"",ISNUMBER(A338)),VLOOKUP(A338,Studies!A:BR,2,FALSE),"")</f>
        <v>Larsen 2007</v>
      </c>
      <c r="C338" s="188" t="str">
        <f>IF(AND(A338&lt;&gt;"",ISNUMBER(A338)),VLOOKUP(A338,Studies!A:BR,3,FALSE),"")</f>
        <v>https://www.ncbi.nlm.nih.gov/pubmed/17365992</v>
      </c>
      <c r="D338" s="228" t="str">
        <f>IF(AND(A338&lt;&gt;"",ISNUMBER(A338)),VLOOKUP(A338,Studies!A:BR,4,FALSE),"")</f>
        <v>with Perpetrator (Ketoconazole)</v>
      </c>
      <c r="E338" s="188" t="str">
        <f>IF(AND(A338&lt;&gt;"",ISNUMBER(A338)),VLOOKUP(A338,Studies!A:BR,5,FALSE),"")</f>
        <v>Digoxin</v>
      </c>
      <c r="F338" s="79" t="s">
        <v>1401</v>
      </c>
      <c r="G338" s="78">
        <f t="shared" si="7"/>
        <v>1</v>
      </c>
    </row>
    <row r="339" spans="1:7" x14ac:dyDescent="0.2">
      <c r="A339" s="80">
        <v>339</v>
      </c>
      <c r="B339" s="188" t="str">
        <f>IF(AND(A339&lt;&gt;"",ISNUMBER(A339)),VLOOKUP(A339,Studies!A:BR,2,FALSE),"")</f>
        <v>Lilja 1998</v>
      </c>
      <c r="C339" s="188" t="str">
        <f>IF(AND(A339&lt;&gt;"",ISNUMBER(A339)),VLOOKUP(A339,Studies!A:BR,3,FALSE),"")</f>
        <v>https://www.ncbi.nlm.nih.gov/pubmed/9871430</v>
      </c>
      <c r="D339" s="228" t="str">
        <f>IF(AND(A339&lt;&gt;"",ISNUMBER(A339)),VLOOKUP(A339,Studies!A:BR,4,FALSE),"")</f>
        <v>Control (Perpetrator Placebo)</v>
      </c>
      <c r="E339" s="188" t="str">
        <f>IF(AND(A339&lt;&gt;"",ISNUMBER(A339)),VLOOKUP(A339,Studies!A:BR,5,FALSE),"")</f>
        <v>Buspirone</v>
      </c>
      <c r="F339" s="79" t="s">
        <v>111</v>
      </c>
      <c r="G339" s="78">
        <f t="shared" si="7"/>
        <v>1</v>
      </c>
    </row>
    <row r="340" spans="1:7" x14ac:dyDescent="0.2">
      <c r="A340" s="80">
        <v>340</v>
      </c>
      <c r="B340" s="188" t="str">
        <f>IF(AND(A340&lt;&gt;"",ISNUMBER(A340)),VLOOKUP(A340,Studies!A:BR,2,FALSE),"")</f>
        <v>Lilja 1998</v>
      </c>
      <c r="C340" s="188" t="str">
        <f>IF(AND(A340&lt;&gt;"",ISNUMBER(A340)),VLOOKUP(A340,Studies!A:BR,3,FALSE),"")</f>
        <v>https://www.ncbi.nlm.nih.gov/pubmed/9871430</v>
      </c>
      <c r="D340" s="228" t="str">
        <f>IF(AND(A340&lt;&gt;"",ISNUMBER(A340)),VLOOKUP(A340,Studies!A:BR,4,FALSE),"")</f>
        <v>with Perpetrator (GFJ)</v>
      </c>
      <c r="E340" s="188" t="str">
        <f>IF(AND(A340&lt;&gt;"",ISNUMBER(A340)),VLOOKUP(A340,Studies!A:BR,5,FALSE),"")</f>
        <v>Buspirone</v>
      </c>
      <c r="F340" s="79" t="s">
        <v>111</v>
      </c>
      <c r="G340" s="78">
        <f t="shared" si="7"/>
        <v>1</v>
      </c>
    </row>
    <row r="341" spans="1:7" x14ac:dyDescent="0.2">
      <c r="A341" s="110">
        <v>341</v>
      </c>
      <c r="B341" s="188" t="str">
        <f>IF(AND(A341&lt;&gt;"",ISNUMBER(A341)),VLOOKUP(A341,Studies!A:BR,2,FALSE),"")</f>
        <v>Link 2008</v>
      </c>
      <c r="C341" s="188" t="str">
        <f>IF(AND(A341&lt;&gt;"",ISNUMBER(A341)),VLOOKUP(A341,Studies!A:BR,3,FALSE),"")</f>
        <v>https://www.ncbi.nlm.nih.gov/pubmed/18537963</v>
      </c>
      <c r="D341" s="228" t="str">
        <f>IF(AND(A341&lt;&gt;"",ISNUMBER(A341)),VLOOKUP(A341,Studies!A:BR,4,FALSE),"")</f>
        <v>iv Control (Perpetrator Placebo)</v>
      </c>
      <c r="E341" s="188" t="str">
        <f>IF(AND(A341&lt;&gt;"",ISNUMBER(A341)),VLOOKUP(A341,Studies!A:BR,5,FALSE),"")</f>
        <v>Midazolam</v>
      </c>
      <c r="F341" s="79" t="s">
        <v>1371</v>
      </c>
      <c r="G341" s="78">
        <f t="shared" si="7"/>
        <v>1</v>
      </c>
    </row>
    <row r="342" spans="1:7" x14ac:dyDescent="0.2">
      <c r="A342" s="110">
        <v>342</v>
      </c>
      <c r="B342" s="188" t="str">
        <f>IF(AND(A342&lt;&gt;"",ISNUMBER(A342)),VLOOKUP(A342,Studies!A:BR,2,FALSE),"")</f>
        <v>Link 2008</v>
      </c>
      <c r="C342" s="188" t="str">
        <f>IF(AND(A342&lt;&gt;"",ISNUMBER(A342)),VLOOKUP(A342,Studies!A:BR,3,FALSE),"")</f>
        <v>https://www.ncbi.nlm.nih.gov/pubmed/18537963</v>
      </c>
      <c r="D342" s="228" t="str">
        <f>IF(AND(A342&lt;&gt;"",ISNUMBER(A342)),VLOOKUP(A342,Studies!A:BR,4,FALSE),"")</f>
        <v>iv with Perpetrator (Rifampicin)</v>
      </c>
      <c r="E342" s="188" t="str">
        <f>IF(AND(A342&lt;&gt;"",ISNUMBER(A342)),VLOOKUP(A342,Studies!A:BR,5,FALSE),"")</f>
        <v>Midazolam</v>
      </c>
      <c r="F342" s="79" t="s">
        <v>1372</v>
      </c>
      <c r="G342" s="78">
        <f t="shared" si="7"/>
        <v>1</v>
      </c>
    </row>
    <row r="343" spans="1:7" x14ac:dyDescent="0.2">
      <c r="A343" s="110">
        <v>343</v>
      </c>
      <c r="B343" s="188" t="str">
        <f>IF(AND(A343&lt;&gt;"",ISNUMBER(A343)),VLOOKUP(A343,Studies!A:BR,2,FALSE),"")</f>
        <v>Link 2008</v>
      </c>
      <c r="C343" s="188" t="str">
        <f>IF(AND(A343&lt;&gt;"",ISNUMBER(A343)),VLOOKUP(A343,Studies!A:BR,3,FALSE),"")</f>
        <v>https://www.ncbi.nlm.nih.gov/pubmed/18537963</v>
      </c>
      <c r="D343" s="228" t="str">
        <f>IF(AND(A343&lt;&gt;"",ISNUMBER(A343)),VLOOKUP(A343,Studies!A:BR,4,FALSE),"")</f>
        <v>po Control (Perpetrator Placebo)</v>
      </c>
      <c r="E343" s="188" t="str">
        <f>IF(AND(A343&lt;&gt;"",ISNUMBER(A343)),VLOOKUP(A343,Studies!A:BR,5,FALSE),"")</f>
        <v>Midazolam</v>
      </c>
      <c r="F343" s="79" t="s">
        <v>1371</v>
      </c>
      <c r="G343" s="78">
        <f t="shared" si="7"/>
        <v>1</v>
      </c>
    </row>
    <row r="344" spans="1:7" x14ac:dyDescent="0.2">
      <c r="A344" s="110">
        <v>344</v>
      </c>
      <c r="B344" s="188" t="str">
        <f>IF(AND(A344&lt;&gt;"",ISNUMBER(A344)),VLOOKUP(A344,Studies!A:BR,2,FALSE),"")</f>
        <v>Link 2008</v>
      </c>
      <c r="C344" s="188" t="str">
        <f>IF(AND(A344&lt;&gt;"",ISNUMBER(A344)),VLOOKUP(A344,Studies!A:BR,3,FALSE),"")</f>
        <v>https://www.ncbi.nlm.nih.gov/pubmed/18537963</v>
      </c>
      <c r="D344" s="228" t="str">
        <f>IF(AND(A344&lt;&gt;"",ISNUMBER(A344)),VLOOKUP(A344,Studies!A:BR,4,FALSE),"")</f>
        <v>po with Perpetrator (Rifampicin)</v>
      </c>
      <c r="E344" s="188" t="str">
        <f>IF(AND(A344&lt;&gt;"",ISNUMBER(A344)),VLOOKUP(A344,Studies!A:BR,5,FALSE),"")</f>
        <v>Midazolam</v>
      </c>
      <c r="F344" s="79" t="s">
        <v>1372</v>
      </c>
      <c r="G344" s="78">
        <f t="shared" si="7"/>
        <v>1</v>
      </c>
    </row>
    <row r="345" spans="1:7" x14ac:dyDescent="0.2">
      <c r="A345" s="110">
        <v>345</v>
      </c>
      <c r="B345" s="188" t="str">
        <f>IF(AND(A345&lt;&gt;"",ISNUMBER(A345)),VLOOKUP(A345,Studies!A:BR,2,FALSE),"")</f>
        <v>Loos 1985</v>
      </c>
      <c r="C345" s="188" t="str">
        <f>IF(AND(A345&lt;&gt;"",ISNUMBER(A345)),VLOOKUP(A345,Studies!A:BR,3,FALSE),"")</f>
        <v>http://www.ncbi.nlm.nih.gov/pubmed/4087830</v>
      </c>
      <c r="D345" s="228" t="str">
        <f>IF(AND(A345&lt;&gt;"",ISNUMBER(A345)),VLOOKUP(A345,Studies!A:BR,4,FALSE),"")</f>
        <v>oral day 2 (Patient 4)</v>
      </c>
      <c r="E345" s="188" t="str">
        <f>IF(AND(A345&lt;&gt;"",ISNUMBER(A345)),VLOOKUP(A345,Studies!A:BR,5,FALSE),"")</f>
        <v>Rifampicin</v>
      </c>
      <c r="F345" s="79" t="s">
        <v>54</v>
      </c>
      <c r="G345" s="78">
        <f t="shared" si="7"/>
        <v>1</v>
      </c>
    </row>
    <row r="346" spans="1:7" x14ac:dyDescent="0.2">
      <c r="A346" s="110">
        <v>346</v>
      </c>
      <c r="B346" s="188" t="str">
        <f>IF(AND(A346&lt;&gt;"",ISNUMBER(A346)),VLOOKUP(A346,Studies!A:BR,2,FALSE),"")</f>
        <v>Loos 1985</v>
      </c>
      <c r="C346" s="188" t="str">
        <f>IF(AND(A346&lt;&gt;"",ISNUMBER(A346)),VLOOKUP(A346,Studies!A:BR,3,FALSE),"")</f>
        <v>http://www.ncbi.nlm.nih.gov/pubmed/4087830</v>
      </c>
      <c r="D346" s="228" t="str">
        <f>IF(AND(A346&lt;&gt;"",ISNUMBER(A346)),VLOOKUP(A346,Studies!A:BR,4,FALSE),"")</f>
        <v>oral day 9 (Patient 4)</v>
      </c>
      <c r="E346" s="188" t="str">
        <f>IF(AND(A346&lt;&gt;"",ISNUMBER(A346)),VLOOKUP(A346,Studies!A:BR,5,FALSE),"")</f>
        <v>Rifampicin</v>
      </c>
      <c r="F346" s="79" t="s">
        <v>54</v>
      </c>
      <c r="G346" s="78">
        <f t="shared" si="7"/>
        <v>1</v>
      </c>
    </row>
    <row r="347" spans="1:7" x14ac:dyDescent="0.2">
      <c r="A347" s="110">
        <v>347</v>
      </c>
      <c r="B347" s="188" t="str">
        <f>IF(AND(A347&lt;&gt;"",ISNUMBER(A347)),VLOOKUP(A347,Studies!A:BR,2,FALSE),"")</f>
        <v>Loos 1985</v>
      </c>
      <c r="C347" s="188" t="str">
        <f>IF(AND(A347&lt;&gt;"",ISNUMBER(A347)),VLOOKUP(A347,Studies!A:BR,3,FALSE),"")</f>
        <v>http://www.ncbi.nlm.nih.gov/pubmed/4087830</v>
      </c>
      <c r="D347" s="228" t="str">
        <f>IF(AND(A347&lt;&gt;"",ISNUMBER(A347)),VLOOKUP(A347,Studies!A:BR,4,FALSE),"")</f>
        <v>oral day 23 (Patient 4)</v>
      </c>
      <c r="E347" s="188" t="str">
        <f>IF(AND(A347&lt;&gt;"",ISNUMBER(A347)),VLOOKUP(A347,Studies!A:BR,5,FALSE),"")</f>
        <v>Rifampicin</v>
      </c>
      <c r="F347" s="79" t="s">
        <v>54</v>
      </c>
      <c r="G347" s="78">
        <f t="shared" si="7"/>
        <v>1</v>
      </c>
    </row>
    <row r="348" spans="1:7" x14ac:dyDescent="0.2">
      <c r="A348" s="110">
        <v>348</v>
      </c>
      <c r="B348" s="188" t="str">
        <f>IF(AND(A348&lt;&gt;"",ISNUMBER(A348)),VLOOKUP(A348,Studies!A:BR,2,FALSE),"")</f>
        <v>Loos 1985</v>
      </c>
      <c r="C348" s="188" t="str">
        <f>IF(AND(A348&lt;&gt;"",ISNUMBER(A348)),VLOOKUP(A348,Studies!A:BR,3,FALSE),"")</f>
        <v>http://www.ncbi.nlm.nih.gov/pubmed/4087830</v>
      </c>
      <c r="D348" s="228" t="str">
        <f>IF(AND(A348&lt;&gt;"",ISNUMBER(A348)),VLOOKUP(A348,Studies!A:BR,4,FALSE),"")</f>
        <v>iv day 1 (Patient 4)</v>
      </c>
      <c r="E348" s="188" t="str">
        <f>IF(AND(A348&lt;&gt;"",ISNUMBER(A348)),VLOOKUP(A348,Studies!A:BR,5,FALSE),"")</f>
        <v>Rifampicin</v>
      </c>
      <c r="F348" s="79" t="s">
        <v>54</v>
      </c>
      <c r="G348" s="78">
        <f t="shared" si="7"/>
        <v>1</v>
      </c>
    </row>
    <row r="349" spans="1:7" x14ac:dyDescent="0.2">
      <c r="A349" s="110">
        <v>349</v>
      </c>
      <c r="B349" s="188" t="str">
        <f>IF(AND(A349&lt;&gt;"",ISNUMBER(A349)),VLOOKUP(A349,Studies!A:BR,2,FALSE),"")</f>
        <v>Loos 1985</v>
      </c>
      <c r="C349" s="188" t="str">
        <f>IF(AND(A349&lt;&gt;"",ISNUMBER(A349)),VLOOKUP(A349,Studies!A:BR,3,FALSE),"")</f>
        <v>http://www.ncbi.nlm.nih.gov/pubmed/4087830</v>
      </c>
      <c r="D349" s="228" t="str">
        <f>IF(AND(A349&lt;&gt;"",ISNUMBER(A349)),VLOOKUP(A349,Studies!A:BR,4,FALSE),"")</f>
        <v>iv day 8 (Patient 4)</v>
      </c>
      <c r="E349" s="188" t="str">
        <f>IF(AND(A349&lt;&gt;"",ISNUMBER(A349)),VLOOKUP(A349,Studies!A:BR,5,FALSE),"")</f>
        <v>Rifampicin</v>
      </c>
      <c r="F349" s="79" t="s">
        <v>54</v>
      </c>
      <c r="G349" s="78">
        <f t="shared" si="7"/>
        <v>1</v>
      </c>
    </row>
    <row r="350" spans="1:7" x14ac:dyDescent="0.2">
      <c r="A350" s="110">
        <v>350</v>
      </c>
      <c r="B350" s="188" t="str">
        <f>IF(AND(A350&lt;&gt;"",ISNUMBER(A350)),VLOOKUP(A350,Studies!A:BR,2,FALSE),"")</f>
        <v>Loos 1985</v>
      </c>
      <c r="C350" s="188" t="str">
        <f>IF(AND(A350&lt;&gt;"",ISNUMBER(A350)),VLOOKUP(A350,Studies!A:BR,3,FALSE),"")</f>
        <v>http://www.ncbi.nlm.nih.gov/pubmed/4087830</v>
      </c>
      <c r="D350" s="228" t="str">
        <f>IF(AND(A350&lt;&gt;"",ISNUMBER(A350)),VLOOKUP(A350,Studies!A:BR,4,FALSE),"")</f>
        <v>iv day 22 (Patient 4)</v>
      </c>
      <c r="E350" s="188" t="str">
        <f>IF(AND(A350&lt;&gt;"",ISNUMBER(A350)),VLOOKUP(A350,Studies!A:BR,5,FALSE),"")</f>
        <v>Rifampicin</v>
      </c>
      <c r="F350" s="79" t="s">
        <v>54</v>
      </c>
      <c r="G350" s="78">
        <f t="shared" si="7"/>
        <v>1</v>
      </c>
    </row>
    <row r="351" spans="1:7" x14ac:dyDescent="0.2">
      <c r="A351" s="110">
        <v>351</v>
      </c>
      <c r="B351" s="188" t="str">
        <f>IF(AND(A351&lt;&gt;"",ISNUMBER(A351)),VLOOKUP(A351,Studies!A:BR,2,FALSE),"")</f>
        <v>Majumdar 2007</v>
      </c>
      <c r="C351" s="188" t="str">
        <f>IF(AND(A351&lt;&gt;"",ISNUMBER(A351)),VLOOKUP(A351,Studies!A:BR,3,FALSE),"")</f>
        <v>https://www.ncbi.nlm.nih.gov/pubmed/17463213</v>
      </c>
      <c r="D351" s="228" t="str">
        <f>IF(AND(A351&lt;&gt;"",ISNUMBER(A351)),VLOOKUP(A351,Studies!A:BR,4,FALSE),"")</f>
        <v>po Control (Perpetrator Placebo)</v>
      </c>
      <c r="E351" s="188" t="str">
        <f>IF(AND(A351&lt;&gt;"",ISNUMBER(A351)),VLOOKUP(A351,Studies!A:BR,5,FALSE),"")</f>
        <v>Midazolam</v>
      </c>
      <c r="F351" s="79" t="s">
        <v>102</v>
      </c>
      <c r="G351" s="78">
        <f t="shared" si="7"/>
        <v>1</v>
      </c>
    </row>
    <row r="352" spans="1:7" x14ac:dyDescent="0.2">
      <c r="A352" s="110">
        <v>352</v>
      </c>
      <c r="B352" s="188" t="str">
        <f>IF(AND(A352&lt;&gt;"",ISNUMBER(A352)),VLOOKUP(A352,Studies!A:BR,2,FALSE),"")</f>
        <v>Majumdar 2007</v>
      </c>
      <c r="C352" s="188" t="str">
        <f>IF(AND(A352&lt;&gt;"",ISNUMBER(A352)),VLOOKUP(A352,Studies!A:BR,3,FALSE),"")</f>
        <v>https://www.ncbi.nlm.nih.gov/pubmed/17463213</v>
      </c>
      <c r="D352" s="228" t="str">
        <f>IF(AND(A352&lt;&gt;"",ISNUMBER(A352)),VLOOKUP(A352,Studies!A:BR,4,FALSE),"")</f>
        <v>po with Perpetrator (Aprepitant)</v>
      </c>
      <c r="E352" s="188" t="str">
        <f>IF(AND(A352&lt;&gt;"",ISNUMBER(A352)),VLOOKUP(A352,Studies!A:BR,5,FALSE),"")</f>
        <v>Midazolam</v>
      </c>
      <c r="F352" s="79" t="s">
        <v>102</v>
      </c>
      <c r="G352" s="78">
        <f t="shared" si="7"/>
        <v>1</v>
      </c>
    </row>
    <row r="353" spans="1:7" x14ac:dyDescent="0.2">
      <c r="A353" s="110">
        <v>353</v>
      </c>
      <c r="B353" s="188" t="str">
        <f>IF(AND(A353&lt;&gt;"",ISNUMBER(A353)),VLOOKUP(A353,Studies!A:BR,2,FALSE),"")</f>
        <v>Markert 2013</v>
      </c>
      <c r="C353" s="188" t="str">
        <f>IF(AND(A353&lt;&gt;"",ISNUMBER(A353)),VLOOKUP(A353,Studies!A:BR,3,FALSE),"")</f>
        <v>https://www.ncbi.nlm.nih.gov/pubmed/23748747</v>
      </c>
      <c r="D353" s="228" t="str">
        <f>IF(AND(A353&lt;&gt;"",ISNUMBER(A353)),VLOOKUP(A353,Studies!A:BR,4,FALSE),"")</f>
        <v>Control (Perpetrator Placebo)</v>
      </c>
      <c r="E353" s="188" t="str">
        <f>IF(AND(A353&lt;&gt;"",ISNUMBER(A353)),VLOOKUP(A353,Studies!A:BR,5,FALSE),"")</f>
        <v>Midazolam</v>
      </c>
      <c r="F353" s="79" t="s">
        <v>1378</v>
      </c>
      <c r="G353" s="78">
        <f t="shared" si="7"/>
        <v>1</v>
      </c>
    </row>
    <row r="354" spans="1:7" x14ac:dyDescent="0.2">
      <c r="A354" s="110">
        <v>354</v>
      </c>
      <c r="B354" s="188" t="str">
        <f>IF(AND(A354&lt;&gt;"",ISNUMBER(A354)),VLOOKUP(A354,Studies!A:BR,2,FALSE),"")</f>
        <v>Markert 2013</v>
      </c>
      <c r="C354" s="188" t="str">
        <f>IF(AND(A354&lt;&gt;"",ISNUMBER(A354)),VLOOKUP(A354,Studies!A:BR,3,FALSE),"")</f>
        <v>https://www.ncbi.nlm.nih.gov/pubmed/23748747</v>
      </c>
      <c r="D354" s="228" t="str">
        <f>IF(AND(A354&lt;&gt;"",ISNUMBER(A354)),VLOOKUP(A354,Studies!A:BR,4,FALSE),"")</f>
        <v>with Perpetrator (Clarithromycin)</v>
      </c>
      <c r="E354" s="188" t="str">
        <f>IF(AND(A354&lt;&gt;"",ISNUMBER(A354)),VLOOKUP(A354,Studies!A:BR,5,FALSE),"")</f>
        <v>Midazolam</v>
      </c>
      <c r="F354" s="79" t="s">
        <v>1379</v>
      </c>
      <c r="G354" s="78">
        <f t="shared" si="7"/>
        <v>1</v>
      </c>
    </row>
    <row r="355" spans="1:7" x14ac:dyDescent="0.2">
      <c r="A355" s="110">
        <v>355</v>
      </c>
      <c r="B355" s="188" t="str">
        <f>IF(AND(A355&lt;&gt;"",ISNUMBER(A355)),VLOOKUP(A355,Studies!A:BR,2,FALSE),"")</f>
        <v>Nitti 1977</v>
      </c>
      <c r="C355" s="188" t="str">
        <f>IF(AND(A355&lt;&gt;"",ISNUMBER(A355)),VLOOKUP(A355,Studies!A:BR,3,FALSE),"")</f>
        <v>https://www.ncbi.nlm.nih.gov/pubmed/832508</v>
      </c>
      <c r="D355" s="228" t="str">
        <f>IF(AND(A355&lt;&gt;"",ISNUMBER(A355)),VLOOKUP(A355,Studies!A:BR,4,FALSE),"")</f>
        <v>300 mg</v>
      </c>
      <c r="E355" s="188" t="str">
        <f>IF(AND(A355&lt;&gt;"",ISNUMBER(A355)),VLOOKUP(A355,Studies!A:BR,5,FALSE),"")</f>
        <v>Rifampicin</v>
      </c>
      <c r="F355" s="79" t="s">
        <v>54</v>
      </c>
      <c r="G355" s="78">
        <f t="shared" si="7"/>
        <v>1</v>
      </c>
    </row>
    <row r="356" spans="1:7" x14ac:dyDescent="0.2">
      <c r="A356" s="110">
        <v>356</v>
      </c>
      <c r="B356" s="188" t="str">
        <f>IF(AND(A356&lt;&gt;"",ISNUMBER(A356)),VLOOKUP(A356,Studies!A:BR,2,FALSE),"")</f>
        <v>Nitti 1977</v>
      </c>
      <c r="C356" s="188" t="str">
        <f>IF(AND(A356&lt;&gt;"",ISNUMBER(A356)),VLOOKUP(A356,Studies!A:BR,3,FALSE),"")</f>
        <v>https://www.ncbi.nlm.nih.gov/pubmed/832508</v>
      </c>
      <c r="D356" s="228" t="str">
        <f>IF(AND(A356&lt;&gt;"",ISNUMBER(A356)),VLOOKUP(A356,Studies!A:BR,4,FALSE),"")</f>
        <v>450 mg</v>
      </c>
      <c r="E356" s="188" t="str">
        <f>IF(AND(A356&lt;&gt;"",ISNUMBER(A356)),VLOOKUP(A356,Studies!A:BR,5,FALSE),"")</f>
        <v>Rifampicin</v>
      </c>
      <c r="F356" s="79" t="s">
        <v>54</v>
      </c>
      <c r="G356" s="78">
        <f t="shared" si="7"/>
        <v>1</v>
      </c>
    </row>
    <row r="357" spans="1:7" x14ac:dyDescent="0.2">
      <c r="A357" s="110">
        <v>357</v>
      </c>
      <c r="B357" s="188" t="str">
        <f>IF(AND(A357&lt;&gt;"",ISNUMBER(A357)),VLOOKUP(A357,Studies!A:BR,2,FALSE),"")</f>
        <v>Nitti 1977</v>
      </c>
      <c r="C357" s="188" t="str">
        <f>IF(AND(A357&lt;&gt;"",ISNUMBER(A357)),VLOOKUP(A357,Studies!A:BR,3,FALSE),"")</f>
        <v>https://www.ncbi.nlm.nih.gov/pubmed/832508</v>
      </c>
      <c r="D357" s="228" t="str">
        <f>IF(AND(A357&lt;&gt;"",ISNUMBER(A357)),VLOOKUP(A357,Studies!A:BR,4,FALSE),"")</f>
        <v>600 mg</v>
      </c>
      <c r="E357" s="188" t="str">
        <f>IF(AND(A357&lt;&gt;"",ISNUMBER(A357)),VLOOKUP(A357,Studies!A:BR,5,FALSE),"")</f>
        <v>Rifampicin</v>
      </c>
      <c r="F357" s="79" t="s">
        <v>54</v>
      </c>
      <c r="G357" s="78">
        <f t="shared" si="7"/>
        <v>1</v>
      </c>
    </row>
    <row r="358" spans="1:7" x14ac:dyDescent="0.2">
      <c r="A358" s="110">
        <v>358</v>
      </c>
      <c r="B358" s="188" t="str">
        <f>IF(AND(A358&lt;&gt;"",ISNUMBER(A358)),VLOOKUP(A358,Studies!A:BR,2,FALSE),"")</f>
        <v>Nitti 1977</v>
      </c>
      <c r="C358" s="188" t="str">
        <f>IF(AND(A358&lt;&gt;"",ISNUMBER(A358)),VLOOKUP(A358,Studies!A:BR,3,FALSE),"")</f>
        <v>https://www.ncbi.nlm.nih.gov/pubmed/832508</v>
      </c>
      <c r="D358" s="228" t="str">
        <f>IF(AND(A358&lt;&gt;"",ISNUMBER(A358)),VLOOKUP(A358,Studies!A:BR,4,FALSE),"")</f>
        <v>300 mg</v>
      </c>
      <c r="E358" s="188" t="str">
        <f>IF(AND(A358&lt;&gt;"",ISNUMBER(A358)),VLOOKUP(A358,Studies!A:BR,5,FALSE),"")</f>
        <v>Rifampicin</v>
      </c>
      <c r="F358" s="79" t="s">
        <v>54</v>
      </c>
      <c r="G358" s="78">
        <f t="shared" si="7"/>
        <v>1</v>
      </c>
    </row>
    <row r="359" spans="1:7" x14ac:dyDescent="0.2">
      <c r="A359" s="110">
        <v>359</v>
      </c>
      <c r="B359" s="188" t="str">
        <f>IF(AND(A359&lt;&gt;"",ISNUMBER(A359)),VLOOKUP(A359,Studies!A:BR,2,FALSE),"")</f>
        <v>Nitti 1977</v>
      </c>
      <c r="C359" s="188" t="str">
        <f>IF(AND(A359&lt;&gt;"",ISNUMBER(A359)),VLOOKUP(A359,Studies!A:BR,3,FALSE),"")</f>
        <v>https://www.ncbi.nlm.nih.gov/pubmed/832508</v>
      </c>
      <c r="D359" s="228" t="str">
        <f>IF(AND(A359&lt;&gt;"",ISNUMBER(A359)),VLOOKUP(A359,Studies!A:BR,4,FALSE),"")</f>
        <v>450 mg</v>
      </c>
      <c r="E359" s="188" t="str">
        <f>IF(AND(A359&lt;&gt;"",ISNUMBER(A359)),VLOOKUP(A359,Studies!A:BR,5,FALSE),"")</f>
        <v>Rifampicin</v>
      </c>
      <c r="F359" s="79" t="s">
        <v>54</v>
      </c>
      <c r="G359" s="78">
        <f t="shared" si="7"/>
        <v>1</v>
      </c>
    </row>
    <row r="360" spans="1:7" x14ac:dyDescent="0.2">
      <c r="A360" s="110">
        <v>360</v>
      </c>
      <c r="B360" s="188" t="str">
        <f>IF(AND(A360&lt;&gt;"",ISNUMBER(A360)),VLOOKUP(A360,Studies!A:BR,2,FALSE),"")</f>
        <v>Nitti 1977</v>
      </c>
      <c r="C360" s="188" t="str">
        <f>IF(AND(A360&lt;&gt;"",ISNUMBER(A360)),VLOOKUP(A360,Studies!A:BR,3,FALSE),"")</f>
        <v>https://www.ncbi.nlm.nih.gov/pubmed/832508</v>
      </c>
      <c r="D360" s="228" t="str">
        <f>IF(AND(A360&lt;&gt;"",ISNUMBER(A360)),VLOOKUP(A360,Studies!A:BR,4,FALSE),"")</f>
        <v>600 mg</v>
      </c>
      <c r="E360" s="188" t="str">
        <f>IF(AND(A360&lt;&gt;"",ISNUMBER(A360)),VLOOKUP(A360,Studies!A:BR,5,FALSE),"")</f>
        <v>Rifampicin</v>
      </c>
      <c r="F360" s="79" t="s">
        <v>54</v>
      </c>
      <c r="G360" s="78">
        <f t="shared" si="7"/>
        <v>1</v>
      </c>
    </row>
    <row r="361" spans="1:7" x14ac:dyDescent="0.2">
      <c r="A361" s="110">
        <v>361</v>
      </c>
      <c r="B361" s="188" t="str">
        <f>IF(AND(A361&lt;&gt;"",ISNUMBER(A361)),VLOOKUP(A361,Studies!A:BR,2,FALSE),"")</f>
        <v>Okudaira 2007</v>
      </c>
      <c r="C361" s="188" t="str">
        <f>IF(AND(A361&lt;&gt;"",ISNUMBER(A361)),VLOOKUP(A361,Studies!A:BR,3,FALSE),"")</f>
        <v>https://www.ncbi.nlm.nih.gov/pubmed/17585116</v>
      </c>
      <c r="D361" s="228" t="str">
        <f>IF(AND(A361&lt;&gt;"",ISNUMBER(A361)),VLOOKUP(A361,Studies!A:BR,4,FALSE),"")</f>
        <v>EM 0 Control (Perpetrator Placebo)</v>
      </c>
      <c r="E361" s="188" t="str">
        <f>IF(AND(A361&lt;&gt;"",ISNUMBER(A361)),VLOOKUP(A361,Studies!A:BR,5,FALSE),"")</f>
        <v>Midazolam</v>
      </c>
      <c r="F361" s="79" t="s">
        <v>1402</v>
      </c>
      <c r="G361" s="78">
        <f t="shared" si="7"/>
        <v>1</v>
      </c>
    </row>
    <row r="362" spans="1:7" x14ac:dyDescent="0.2">
      <c r="A362" s="110">
        <v>362</v>
      </c>
      <c r="B362" s="188" t="str">
        <f>IF(AND(A362&lt;&gt;"",ISNUMBER(A362)),VLOOKUP(A362,Studies!A:BR,2,FALSE),"")</f>
        <v>Okudaira 2007</v>
      </c>
      <c r="C362" s="188" t="str">
        <f>IF(AND(A362&lt;&gt;"",ISNUMBER(A362)),VLOOKUP(A362,Studies!A:BR,3,FALSE),"")</f>
        <v>https://www.ncbi.nlm.nih.gov/pubmed/17585116</v>
      </c>
      <c r="D362" s="228" t="str">
        <f>IF(AND(A362&lt;&gt;"",ISNUMBER(A362)),VLOOKUP(A362,Studies!A:BR,4,FALSE),"")</f>
        <v>EM 2 with Perpetrator (Erythromycin)</v>
      </c>
      <c r="E362" s="188" t="str">
        <f>IF(AND(A362&lt;&gt;"",ISNUMBER(A362)),VLOOKUP(A362,Studies!A:BR,5,FALSE),"")</f>
        <v>Midazolam</v>
      </c>
      <c r="F362" s="79" t="s">
        <v>1403</v>
      </c>
      <c r="G362" s="78">
        <f t="shared" si="7"/>
        <v>1</v>
      </c>
    </row>
    <row r="363" spans="1:7" x14ac:dyDescent="0.2">
      <c r="A363" s="110">
        <v>363</v>
      </c>
      <c r="B363" s="188" t="str">
        <f>IF(AND(A363&lt;&gt;"",ISNUMBER(A363)),VLOOKUP(A363,Studies!A:BR,2,FALSE),"")</f>
        <v>Okudaira 2007</v>
      </c>
      <c r="C363" s="188" t="str">
        <f>IF(AND(A363&lt;&gt;"",ISNUMBER(A363)),VLOOKUP(A363,Studies!A:BR,3,FALSE),"")</f>
        <v>https://www.ncbi.nlm.nih.gov/pubmed/17585116</v>
      </c>
      <c r="D363" s="228" t="str">
        <f>IF(AND(A363&lt;&gt;"",ISNUMBER(A363)),VLOOKUP(A363,Studies!A:BR,4,FALSE),"")</f>
        <v>EM 4 with Perpetrator (Erythromycin)</v>
      </c>
      <c r="E363" s="188" t="str">
        <f>IF(AND(A363&lt;&gt;"",ISNUMBER(A363)),VLOOKUP(A363,Studies!A:BR,5,FALSE),"")</f>
        <v>Midazolam</v>
      </c>
      <c r="F363" s="79" t="s">
        <v>1403</v>
      </c>
      <c r="G363" s="78">
        <f t="shared" si="7"/>
        <v>1</v>
      </c>
    </row>
    <row r="364" spans="1:7" x14ac:dyDescent="0.2">
      <c r="A364" s="110">
        <v>364</v>
      </c>
      <c r="B364" s="188" t="str">
        <f>IF(AND(A364&lt;&gt;"",ISNUMBER(A364)),VLOOKUP(A364,Studies!A:BR,2,FALSE),"")</f>
        <v>Okudaira 2007</v>
      </c>
      <c r="C364" s="188" t="str">
        <f>IF(AND(A364&lt;&gt;"",ISNUMBER(A364)),VLOOKUP(A364,Studies!A:BR,3,FALSE),"")</f>
        <v>https://www.ncbi.nlm.nih.gov/pubmed/17585116</v>
      </c>
      <c r="D364" s="228" t="str">
        <f>IF(AND(A364&lt;&gt;"",ISNUMBER(A364)),VLOOKUP(A364,Studies!A:BR,4,FALSE),"")</f>
        <v>EM 7 with Perpetrator (Erythromycin)</v>
      </c>
      <c r="E364" s="188" t="str">
        <f>IF(AND(A364&lt;&gt;"",ISNUMBER(A364)),VLOOKUP(A364,Studies!A:BR,5,FALSE),"")</f>
        <v>Midazolam</v>
      </c>
      <c r="F364" s="79" t="s">
        <v>1403</v>
      </c>
      <c r="G364" s="78">
        <f t="shared" si="7"/>
        <v>1</v>
      </c>
    </row>
    <row r="365" spans="1:7" x14ac:dyDescent="0.2">
      <c r="A365" s="110">
        <v>365</v>
      </c>
      <c r="B365" s="188" t="str">
        <f>IF(AND(A365&lt;&gt;"",ISNUMBER(A365)),VLOOKUP(A365,Studies!A:BR,2,FALSE),"")</f>
        <v>Olkkola 1993</v>
      </c>
      <c r="C365" s="188" t="str">
        <f>IF(AND(A365&lt;&gt;"",ISNUMBER(A365)),VLOOKUP(A365,Studies!A:BR,3,FALSE),"")</f>
        <v>https://www.ncbi.nlm.nih.gov/pubmed/8453848</v>
      </c>
      <c r="D365" s="228" t="str">
        <f>IF(AND(A365&lt;&gt;"",ISNUMBER(A365)),VLOOKUP(A365,Studies!A:BR,4,FALSE),"")</f>
        <v>po Control (Perpetrator Placebo)</v>
      </c>
      <c r="E365" s="188" t="str">
        <f>IF(AND(A365&lt;&gt;"",ISNUMBER(A365)),VLOOKUP(A365,Studies!A:BR,5,FALSE),"")</f>
        <v>Midazolam</v>
      </c>
      <c r="F365" s="79" t="s">
        <v>1402</v>
      </c>
      <c r="G365" s="78">
        <f t="shared" si="7"/>
        <v>1</v>
      </c>
    </row>
    <row r="366" spans="1:7" x14ac:dyDescent="0.2">
      <c r="A366" s="110">
        <v>366</v>
      </c>
      <c r="B366" s="188" t="str">
        <f>IF(AND(A366&lt;&gt;"",ISNUMBER(A366)),VLOOKUP(A366,Studies!A:BR,2,FALSE),"")</f>
        <v>Olkkola 1993</v>
      </c>
      <c r="C366" s="188" t="str">
        <f>IF(AND(A366&lt;&gt;"",ISNUMBER(A366)),VLOOKUP(A366,Studies!A:BR,3,FALSE),"")</f>
        <v>https://www.ncbi.nlm.nih.gov/pubmed/8453848</v>
      </c>
      <c r="D366" s="228" t="str">
        <f>IF(AND(A366&lt;&gt;"",ISNUMBER(A366)),VLOOKUP(A366,Studies!A:BR,4,FALSE),"")</f>
        <v>po with Perpetrator (Erythromycin)</v>
      </c>
      <c r="E366" s="188" t="str">
        <f>IF(AND(A366&lt;&gt;"",ISNUMBER(A366)),VLOOKUP(A366,Studies!A:BR,5,FALSE),"")</f>
        <v>Midazolam</v>
      </c>
      <c r="F366" s="79" t="s">
        <v>1403</v>
      </c>
      <c r="G366" s="78">
        <f t="shared" si="7"/>
        <v>1</v>
      </c>
    </row>
    <row r="367" spans="1:7" x14ac:dyDescent="0.2">
      <c r="A367" s="110">
        <v>367</v>
      </c>
      <c r="B367" s="188" t="str">
        <f>IF(AND(A367&lt;&gt;"",ISNUMBER(A367)),VLOOKUP(A367,Studies!A:BR,2,FALSE),"")</f>
        <v>Olkkola 1993</v>
      </c>
      <c r="C367" s="188" t="str">
        <f>IF(AND(A367&lt;&gt;"",ISNUMBER(A367)),VLOOKUP(A367,Studies!A:BR,3,FALSE),"")</f>
        <v>https://www.ncbi.nlm.nih.gov/pubmed/8453848</v>
      </c>
      <c r="D367" s="228" t="str">
        <f>IF(AND(A367&lt;&gt;"",ISNUMBER(A367)),VLOOKUP(A367,Studies!A:BR,4,FALSE),"")</f>
        <v>iv Control (Perpetrator Placebo)</v>
      </c>
      <c r="E367" s="188" t="str">
        <f>IF(AND(A367&lt;&gt;"",ISNUMBER(A367)),VLOOKUP(A367,Studies!A:BR,5,FALSE),"")</f>
        <v>Midazolam</v>
      </c>
      <c r="F367" s="79" t="s">
        <v>1402</v>
      </c>
      <c r="G367" s="78">
        <f t="shared" si="7"/>
        <v>1</v>
      </c>
    </row>
    <row r="368" spans="1:7" x14ac:dyDescent="0.2">
      <c r="A368" s="110">
        <v>368</v>
      </c>
      <c r="B368" s="188" t="str">
        <f>IF(AND(A368&lt;&gt;"",ISNUMBER(A368)),VLOOKUP(A368,Studies!A:BR,2,FALSE),"")</f>
        <v>Olkkola 1993</v>
      </c>
      <c r="C368" s="188" t="str">
        <f>IF(AND(A368&lt;&gt;"",ISNUMBER(A368)),VLOOKUP(A368,Studies!A:BR,3,FALSE),"")</f>
        <v>https://www.ncbi.nlm.nih.gov/pubmed/8453848</v>
      </c>
      <c r="D368" s="228" t="str">
        <f>IF(AND(A368&lt;&gt;"",ISNUMBER(A368)),VLOOKUP(A368,Studies!A:BR,4,FALSE),"")</f>
        <v>iv with Perpetrator (Erythromycin)</v>
      </c>
      <c r="E368" s="188" t="str">
        <f>IF(AND(A368&lt;&gt;"",ISNUMBER(A368)),VLOOKUP(A368,Studies!A:BR,5,FALSE),"")</f>
        <v>Midazolam</v>
      </c>
      <c r="F368" s="79" t="s">
        <v>1403</v>
      </c>
      <c r="G368" s="78">
        <f t="shared" si="7"/>
        <v>1</v>
      </c>
    </row>
    <row r="369" spans="1:7" x14ac:dyDescent="0.2">
      <c r="A369" s="110">
        <v>369</v>
      </c>
      <c r="B369" s="188" t="str">
        <f>IF(AND(A369&lt;&gt;"",ISNUMBER(A369)),VLOOKUP(A369,Studies!A:BR,2,FALSE),"")</f>
        <v>Olkkola 1994</v>
      </c>
      <c r="C369" s="188" t="str">
        <f>IF(AND(A369&lt;&gt;"",ISNUMBER(A369)),VLOOKUP(A369,Studies!A:BR,3,FALSE),"")</f>
        <v>https://www.ncbi.nlm.nih.gov/pubmed/8181191</v>
      </c>
      <c r="D369" s="228" t="str">
        <f>IF(AND(A369&lt;&gt;"",ISNUMBER(A369)),VLOOKUP(A369,Studies!A:BR,4,FALSE),"")</f>
        <v>po Control (Perpetrator Placebo)</v>
      </c>
      <c r="E369" s="188" t="str">
        <f>IF(AND(A369&lt;&gt;"",ISNUMBER(A369)),VLOOKUP(A369,Studies!A:BR,5,FALSE),"")</f>
        <v>Midazolam</v>
      </c>
      <c r="F369" s="79" t="s">
        <v>1404</v>
      </c>
      <c r="G369" s="78">
        <f t="shared" si="7"/>
        <v>1</v>
      </c>
    </row>
    <row r="370" spans="1:7" x14ac:dyDescent="0.2">
      <c r="A370" s="110">
        <v>370</v>
      </c>
      <c r="B370" s="188" t="str">
        <f>IF(AND(A370&lt;&gt;"",ISNUMBER(A370)),VLOOKUP(A370,Studies!A:BR,2,FALSE),"")</f>
        <v>Olkkola 1994</v>
      </c>
      <c r="C370" s="188" t="str">
        <f>IF(AND(A370&lt;&gt;"",ISNUMBER(A370)),VLOOKUP(A370,Studies!A:BR,3,FALSE),"")</f>
        <v>https://www.ncbi.nlm.nih.gov/pubmed/8181191</v>
      </c>
      <c r="D370" s="228" t="str">
        <f>IF(AND(A370&lt;&gt;"",ISNUMBER(A370)),VLOOKUP(A370,Studies!A:BR,4,FALSE),"")</f>
        <v>po with Perpetrator (Itraconazole)</v>
      </c>
      <c r="E370" s="188" t="str">
        <f>IF(AND(A370&lt;&gt;"",ISNUMBER(A370)),VLOOKUP(A370,Studies!A:BR,5,FALSE),"")</f>
        <v>Midazolam</v>
      </c>
      <c r="F370" s="79" t="s">
        <v>1370</v>
      </c>
      <c r="G370" s="78">
        <f t="shared" si="7"/>
        <v>1</v>
      </c>
    </row>
    <row r="371" spans="1:7" x14ac:dyDescent="0.2">
      <c r="A371" s="110">
        <v>371</v>
      </c>
      <c r="B371" s="188" t="str">
        <f>IF(AND(A371&lt;&gt;"",ISNUMBER(A371)),VLOOKUP(A371,Studies!A:BR,2,FALSE),"")</f>
        <v>Olkkola 1994</v>
      </c>
      <c r="C371" s="188" t="str">
        <f>IF(AND(A371&lt;&gt;"",ISNUMBER(A371)),VLOOKUP(A371,Studies!A:BR,3,FALSE),"")</f>
        <v>https://www.ncbi.nlm.nih.gov/pubmed/8181191</v>
      </c>
      <c r="D371" s="228" t="str">
        <f>IF(AND(A371&lt;&gt;"",ISNUMBER(A371)),VLOOKUP(A371,Studies!A:BR,4,FALSE),"")</f>
        <v>po with Perpetrator (Ketoconazole</v>
      </c>
      <c r="E371" s="188" t="str">
        <f>IF(AND(A371&lt;&gt;"",ISNUMBER(A371)),VLOOKUP(A371,Studies!A:BR,5,FALSE),"")</f>
        <v>Midazolam</v>
      </c>
      <c r="F371" s="79" t="s">
        <v>1375</v>
      </c>
      <c r="G371" s="78">
        <f t="shared" si="7"/>
        <v>1</v>
      </c>
    </row>
    <row r="372" spans="1:7" x14ac:dyDescent="0.2">
      <c r="A372" s="110">
        <v>372</v>
      </c>
      <c r="B372" s="188" t="str">
        <f>IF(AND(A372&lt;&gt;"",ISNUMBER(A372)),VLOOKUP(A372,Studies!A:BR,2,FALSE),"")</f>
        <v>Olkkola 1994</v>
      </c>
      <c r="C372" s="188" t="str">
        <f>IF(AND(A372&lt;&gt;"",ISNUMBER(A372)),VLOOKUP(A372,Studies!A:BR,3,FALSE),"")</f>
        <v>https://www.ncbi.nlm.nih.gov/pubmed/8181191</v>
      </c>
      <c r="D372" s="228" t="str">
        <f>IF(AND(A372&lt;&gt;"",ISNUMBER(A372)),VLOOKUP(A372,Studies!A:BR,4,FALSE),"")</f>
        <v>po with Perpetrator (Itraconazole)</v>
      </c>
      <c r="E372" s="188" t="str">
        <f>IF(AND(A372&lt;&gt;"",ISNUMBER(A372)),VLOOKUP(A372,Studies!A:BR,5,FALSE),"")</f>
        <v>Itraconazole</v>
      </c>
      <c r="F372" s="79" t="s">
        <v>1405</v>
      </c>
      <c r="G372" s="78">
        <f t="shared" si="7"/>
        <v>1</v>
      </c>
    </row>
    <row r="373" spans="1:7" x14ac:dyDescent="0.2">
      <c r="A373" s="110">
        <v>373</v>
      </c>
      <c r="B373" s="188" t="str">
        <f>IF(AND(A373&lt;&gt;"",ISNUMBER(A373)),VLOOKUP(A373,Studies!A:BR,2,FALSE),"")</f>
        <v>Olkkola 1994</v>
      </c>
      <c r="C373" s="188" t="str">
        <f>IF(AND(A373&lt;&gt;"",ISNUMBER(A373)),VLOOKUP(A373,Studies!A:BR,3,FALSE),"")</f>
        <v>https://www.ncbi.nlm.nih.gov/pubmed/8181191</v>
      </c>
      <c r="D373" s="228" t="str">
        <f>IF(AND(A373&lt;&gt;"",ISNUMBER(A373)),VLOOKUP(A373,Studies!A:BR,4,FALSE),"")</f>
        <v>po with Perpetrator (Ketoconazole</v>
      </c>
      <c r="E373" s="188" t="str">
        <f>IF(AND(A373&lt;&gt;"",ISNUMBER(A373)),VLOOKUP(A373,Studies!A:BR,5,FALSE),"")</f>
        <v>Ketoconazole</v>
      </c>
      <c r="F373" s="79" t="s">
        <v>1406</v>
      </c>
      <c r="G373" s="78">
        <f t="shared" si="7"/>
        <v>1</v>
      </c>
    </row>
    <row r="374" spans="1:7" x14ac:dyDescent="0.2">
      <c r="A374" s="110">
        <v>374</v>
      </c>
      <c r="B374" s="188" t="str">
        <f>IF(AND(A374&lt;&gt;"",ISNUMBER(A374)),VLOOKUP(A374,Studies!A:BR,2,FALSE),"")</f>
        <v>Olkkola 1996</v>
      </c>
      <c r="C374" s="188" t="str">
        <f>IF(AND(A374&lt;&gt;"",ISNUMBER(A374)),VLOOKUP(A374,Studies!A:BR,3,FALSE),"")</f>
        <v>https://www.ncbi.nlm.nih.gov/pubmed/8623953</v>
      </c>
      <c r="D374" s="228" t="str">
        <f>IF(AND(A374&lt;&gt;"",ISNUMBER(A374)),VLOOKUP(A374,Studies!A:BR,4,FALSE),"")</f>
        <v>day 1 (po) Control (Perpetrator Placebo)</v>
      </c>
      <c r="E374" s="188" t="str">
        <f>IF(AND(A374&lt;&gt;"",ISNUMBER(A374)),VLOOKUP(A374,Studies!A:BR,5,FALSE),"")</f>
        <v>Midazolam</v>
      </c>
      <c r="F374" s="79" t="s">
        <v>1369</v>
      </c>
      <c r="G374" s="78">
        <f t="shared" si="7"/>
        <v>1</v>
      </c>
    </row>
    <row r="375" spans="1:7" x14ac:dyDescent="0.2">
      <c r="A375" s="110">
        <v>375</v>
      </c>
      <c r="B375" s="188" t="str">
        <f>IF(AND(A375&lt;&gt;"",ISNUMBER(A375)),VLOOKUP(A375,Studies!A:BR,2,FALSE),"")</f>
        <v>Olkkola 1996</v>
      </c>
      <c r="C375" s="188" t="str">
        <f>IF(AND(A375&lt;&gt;"",ISNUMBER(A375)),VLOOKUP(A375,Studies!A:BR,3,FALSE),"")</f>
        <v>https://www.ncbi.nlm.nih.gov/pubmed/8623953</v>
      </c>
      <c r="D375" s="228" t="str">
        <f>IF(AND(A375&lt;&gt;"",ISNUMBER(A375)),VLOOKUP(A375,Studies!A:BR,4,FALSE),"")</f>
        <v>day 4 (iv) Control (Perpetrator Placebo)</v>
      </c>
      <c r="E375" s="188" t="str">
        <f>IF(AND(A375&lt;&gt;"",ISNUMBER(A375)),VLOOKUP(A375,Studies!A:BR,5,FALSE),"")</f>
        <v>Midazolam</v>
      </c>
      <c r="F375" s="79" t="s">
        <v>1369</v>
      </c>
      <c r="G375" s="78">
        <f t="shared" si="7"/>
        <v>1</v>
      </c>
    </row>
    <row r="376" spans="1:7" x14ac:dyDescent="0.2">
      <c r="A376" s="110">
        <v>376</v>
      </c>
      <c r="B376" s="188" t="str">
        <f>IF(AND(A376&lt;&gt;"",ISNUMBER(A376)),VLOOKUP(A376,Studies!A:BR,2,FALSE),"")</f>
        <v>Olkkola 1996</v>
      </c>
      <c r="C376" s="188" t="str">
        <f>IF(AND(A376&lt;&gt;"",ISNUMBER(A376)),VLOOKUP(A376,Studies!A:BR,3,FALSE),"")</f>
        <v>https://www.ncbi.nlm.nih.gov/pubmed/8623953</v>
      </c>
      <c r="D376" s="228" t="str">
        <f>IF(AND(A376&lt;&gt;"",ISNUMBER(A376)),VLOOKUP(A376,Studies!A:BR,4,FALSE),"")</f>
        <v>day 6 (po) Control (Perpetrator Placebo)</v>
      </c>
      <c r="E376" s="188" t="str">
        <f>IF(AND(A376&lt;&gt;"",ISNUMBER(A376)),VLOOKUP(A376,Studies!A:BR,5,FALSE),"")</f>
        <v>Midazolam</v>
      </c>
      <c r="F376" s="79" t="s">
        <v>1369</v>
      </c>
      <c r="G376" s="78">
        <f t="shared" si="7"/>
        <v>1</v>
      </c>
    </row>
    <row r="377" spans="1:7" x14ac:dyDescent="0.2">
      <c r="A377" s="110">
        <v>377</v>
      </c>
      <c r="B377" s="188" t="str">
        <f>IF(AND(A377&lt;&gt;"",ISNUMBER(A377)),VLOOKUP(A377,Studies!A:BR,2,FALSE),"")</f>
        <v>Olkkola 1996</v>
      </c>
      <c r="C377" s="188" t="str">
        <f>IF(AND(A377&lt;&gt;"",ISNUMBER(A377)),VLOOKUP(A377,Studies!A:BR,3,FALSE),"")</f>
        <v>https://www.ncbi.nlm.nih.gov/pubmed/8623953</v>
      </c>
      <c r="D377" s="228" t="str">
        <f>IF(AND(A377&lt;&gt;"",ISNUMBER(A377)),VLOOKUP(A377,Studies!A:BR,4,FALSE),"")</f>
        <v>day 1 (po) with Perpetrator (Itraconazole)</v>
      </c>
      <c r="E377" s="188" t="str">
        <f>IF(AND(A377&lt;&gt;"",ISNUMBER(A377)),VLOOKUP(A377,Studies!A:BR,5,FALSE),"")</f>
        <v>Midazolam</v>
      </c>
      <c r="F377" s="79" t="s">
        <v>1370</v>
      </c>
      <c r="G377" s="78">
        <f t="shared" si="7"/>
        <v>1</v>
      </c>
    </row>
    <row r="378" spans="1:7" x14ac:dyDescent="0.2">
      <c r="A378" s="110">
        <v>378</v>
      </c>
      <c r="B378" s="188" t="str">
        <f>IF(AND(A378&lt;&gt;"",ISNUMBER(A378)),VLOOKUP(A378,Studies!A:BR,2,FALSE),"")</f>
        <v>Olkkola 1996</v>
      </c>
      <c r="C378" s="188" t="str">
        <f>IF(AND(A378&lt;&gt;"",ISNUMBER(A378)),VLOOKUP(A378,Studies!A:BR,3,FALSE),"")</f>
        <v>https://www.ncbi.nlm.nih.gov/pubmed/8623953</v>
      </c>
      <c r="D378" s="228" t="str">
        <f>IF(AND(A378&lt;&gt;"",ISNUMBER(A378)),VLOOKUP(A378,Studies!A:BR,4,FALSE),"")</f>
        <v>day 4 (iv) with Perpetrator (Itraconazole)</v>
      </c>
      <c r="E378" s="188" t="str">
        <f>IF(AND(A378&lt;&gt;"",ISNUMBER(A378)),VLOOKUP(A378,Studies!A:BR,5,FALSE),"")</f>
        <v>Midazolam</v>
      </c>
      <c r="F378" s="79" t="s">
        <v>1370</v>
      </c>
      <c r="G378" s="78">
        <f t="shared" si="7"/>
        <v>1</v>
      </c>
    </row>
    <row r="379" spans="1:7" x14ac:dyDescent="0.2">
      <c r="A379" s="110">
        <v>379</v>
      </c>
      <c r="B379" s="188" t="str">
        <f>IF(AND(A379&lt;&gt;"",ISNUMBER(A379)),VLOOKUP(A379,Studies!A:BR,2,FALSE),"")</f>
        <v>Olkkola 1996</v>
      </c>
      <c r="C379" s="188" t="str">
        <f>IF(AND(A379&lt;&gt;"",ISNUMBER(A379)),VLOOKUP(A379,Studies!A:BR,3,FALSE),"")</f>
        <v>https://www.ncbi.nlm.nih.gov/pubmed/8623953</v>
      </c>
      <c r="D379" s="228" t="str">
        <f>IF(AND(A379&lt;&gt;"",ISNUMBER(A379)),VLOOKUP(A379,Studies!A:BR,4,FALSE),"")</f>
        <v>day 6 (po) with Perpetrator (Itraconazole)</v>
      </c>
      <c r="E379" s="188" t="str">
        <f>IF(AND(A379&lt;&gt;"",ISNUMBER(A379)),VLOOKUP(A379,Studies!A:BR,5,FALSE),"")</f>
        <v>Midazolam</v>
      </c>
      <c r="F379" s="79" t="s">
        <v>1370</v>
      </c>
      <c r="G379" s="78">
        <f t="shared" si="7"/>
        <v>1</v>
      </c>
    </row>
    <row r="380" spans="1:7" x14ac:dyDescent="0.2">
      <c r="A380" s="110">
        <v>380</v>
      </c>
      <c r="B380" s="188" t="str">
        <f>IF(AND(A380&lt;&gt;"",ISNUMBER(A380)),VLOOKUP(A380,Studies!A:BR,2,FALSE),"")</f>
        <v>Olkkola 1996</v>
      </c>
      <c r="C380" s="188" t="str">
        <f>IF(AND(A380&lt;&gt;"",ISNUMBER(A380)),VLOOKUP(A380,Studies!A:BR,3,FALSE),"")</f>
        <v>https://www.ncbi.nlm.nih.gov/pubmed/8623953</v>
      </c>
      <c r="D380" s="228" t="str">
        <f>IF(AND(A380&lt;&gt;"",ISNUMBER(A380)),VLOOKUP(A380,Studies!A:BR,4,FALSE),"")</f>
        <v>day 1 (po) with Perpetrator (Fluconazole)</v>
      </c>
      <c r="E380" s="188" t="str">
        <f>IF(AND(A380&lt;&gt;"",ISNUMBER(A380)),VLOOKUP(A380,Studies!A:BR,5,FALSE),"")</f>
        <v>Midazolam</v>
      </c>
      <c r="F380" s="79" t="s">
        <v>1427</v>
      </c>
      <c r="G380" s="78">
        <f t="shared" si="7"/>
        <v>1</v>
      </c>
    </row>
    <row r="381" spans="1:7" x14ac:dyDescent="0.2">
      <c r="A381" s="110">
        <v>381</v>
      </c>
      <c r="B381" s="188" t="str">
        <f>IF(AND(A381&lt;&gt;"",ISNUMBER(A381)),VLOOKUP(A381,Studies!A:BR,2,FALSE),"")</f>
        <v>Olkkola 1996</v>
      </c>
      <c r="C381" s="188" t="str">
        <f>IF(AND(A381&lt;&gt;"",ISNUMBER(A381)),VLOOKUP(A381,Studies!A:BR,3,FALSE),"")</f>
        <v>https://www.ncbi.nlm.nih.gov/pubmed/8623953</v>
      </c>
      <c r="D381" s="228" t="str">
        <f>IF(AND(A381&lt;&gt;"",ISNUMBER(A381)),VLOOKUP(A381,Studies!A:BR,4,FALSE),"")</f>
        <v>day 4 (iv) with Perpetrator (Fluconazole)</v>
      </c>
      <c r="E381" s="188" t="str">
        <f>IF(AND(A381&lt;&gt;"",ISNUMBER(A381)),VLOOKUP(A381,Studies!A:BR,5,FALSE),"")</f>
        <v>Midazolam</v>
      </c>
      <c r="F381" s="79" t="s">
        <v>1427</v>
      </c>
      <c r="G381" s="78">
        <f t="shared" si="7"/>
        <v>1</v>
      </c>
    </row>
    <row r="382" spans="1:7" x14ac:dyDescent="0.2">
      <c r="A382" s="110">
        <v>382</v>
      </c>
      <c r="B382" s="188" t="str">
        <f>IF(AND(A382&lt;&gt;"",ISNUMBER(A382)),VLOOKUP(A382,Studies!A:BR,2,FALSE),"")</f>
        <v>Olkkola 1996</v>
      </c>
      <c r="C382" s="188" t="str">
        <f>IF(AND(A382&lt;&gt;"",ISNUMBER(A382)),VLOOKUP(A382,Studies!A:BR,3,FALSE),"")</f>
        <v>https://www.ncbi.nlm.nih.gov/pubmed/8623953</v>
      </c>
      <c r="D382" s="228" t="str">
        <f>IF(AND(A382&lt;&gt;"",ISNUMBER(A382)),VLOOKUP(A382,Studies!A:BR,4,FALSE),"")</f>
        <v>day 6 (po) with Perpetrator (Fluconazole)</v>
      </c>
      <c r="E382" s="188" t="str">
        <f>IF(AND(A382&lt;&gt;"",ISNUMBER(A382)),VLOOKUP(A382,Studies!A:BR,5,FALSE),"")</f>
        <v>Midazolam</v>
      </c>
      <c r="F382" s="79" t="s">
        <v>1427</v>
      </c>
      <c r="G382" s="78">
        <f t="shared" si="7"/>
        <v>1</v>
      </c>
    </row>
    <row r="383" spans="1:7" x14ac:dyDescent="0.2">
      <c r="A383" s="110">
        <v>383</v>
      </c>
      <c r="B383" s="188" t="str">
        <f>IF(AND(A383&lt;&gt;"",ISNUMBER(A383)),VLOOKUP(A383,Studies!A:BR,2,FALSE),"")</f>
        <v>Peloquin 1997</v>
      </c>
      <c r="C383" s="188" t="str">
        <f>IF(AND(A383&lt;&gt;"",ISNUMBER(A383)),VLOOKUP(A383,Studies!A:BR,3,FALSE),"")</f>
        <v>https://www.ncbi.nlm.nih.gov/pubmed/9420037</v>
      </c>
      <c r="D383" s="228" t="str">
        <f>IF(AND(A383&lt;&gt;"",ISNUMBER(A383)),VLOOKUP(A383,Studies!A:BR,4,FALSE),"")</f>
        <v>600 mg</v>
      </c>
      <c r="E383" s="188" t="str">
        <f>IF(AND(A383&lt;&gt;"",ISNUMBER(A383)),VLOOKUP(A383,Studies!A:BR,5,FALSE),"")</f>
        <v>Rifampicin</v>
      </c>
      <c r="F383" s="79" t="s">
        <v>54</v>
      </c>
      <c r="G383" s="78">
        <f t="shared" si="7"/>
        <v>1</v>
      </c>
    </row>
    <row r="384" spans="1:7" x14ac:dyDescent="0.2">
      <c r="A384" s="110">
        <v>384</v>
      </c>
      <c r="B384" s="188" t="str">
        <f>IF(AND(A384&lt;&gt;"",ISNUMBER(A384)),VLOOKUP(A384,Studies!A:BR,2,FALSE),"")</f>
        <v>Peloquin 1999</v>
      </c>
      <c r="C384" s="188" t="str">
        <f>IF(AND(A384&lt;&gt;"",ISNUMBER(A384)),VLOOKUP(A384,Studies!A:BR,3,FALSE),"")</f>
        <v>https://www.ncbi.nlm.nih.gov/pubmed/9925057</v>
      </c>
      <c r="D384" s="228" t="str">
        <f>IF(AND(A384&lt;&gt;"",ISNUMBER(A384)),VLOOKUP(A384,Studies!A:BR,4,FALSE),"")</f>
        <v>fast1</v>
      </c>
      <c r="E384" s="188" t="str">
        <f>IF(AND(A384&lt;&gt;"",ISNUMBER(A384)),VLOOKUP(A384,Studies!A:BR,5,FALSE),"")</f>
        <v>Rifampicin</v>
      </c>
      <c r="F384" s="79" t="s">
        <v>54</v>
      </c>
      <c r="G384" s="78">
        <f t="shared" si="7"/>
        <v>1</v>
      </c>
    </row>
    <row r="385" spans="1:7" x14ac:dyDescent="0.2">
      <c r="A385" s="110">
        <v>385</v>
      </c>
      <c r="B385" s="188" t="str">
        <f>IF(AND(A385&lt;&gt;"",ISNUMBER(A385)),VLOOKUP(A385,Studies!A:BR,2,FALSE),"")</f>
        <v>Peloquin 1999</v>
      </c>
      <c r="C385" s="188" t="str">
        <f>IF(AND(A385&lt;&gt;"",ISNUMBER(A385)),VLOOKUP(A385,Studies!A:BR,3,FALSE),"")</f>
        <v>https://www.ncbi.nlm.nih.gov/pubmed/9925057</v>
      </c>
      <c r="D385" s="228" t="str">
        <f>IF(AND(A385&lt;&gt;"",ISNUMBER(A385)),VLOOKUP(A385,Studies!A:BR,4,FALSE),"")</f>
        <v>fast2</v>
      </c>
      <c r="E385" s="188" t="str">
        <f>IF(AND(A385&lt;&gt;"",ISNUMBER(A385)),VLOOKUP(A385,Studies!A:BR,5,FALSE),"")</f>
        <v>Rifampicin</v>
      </c>
      <c r="F385" s="79" t="s">
        <v>54</v>
      </c>
      <c r="G385" s="78">
        <f t="shared" si="7"/>
        <v>1</v>
      </c>
    </row>
    <row r="386" spans="1:7" x14ac:dyDescent="0.2">
      <c r="A386" s="110">
        <v>386</v>
      </c>
      <c r="B386" s="188" t="str">
        <f>IF(AND(A386&lt;&gt;"",ISNUMBER(A386)),VLOOKUP(A386,Studies!A:BR,2,FALSE),"")</f>
        <v>Peloquin 1999</v>
      </c>
      <c r="C386" s="188" t="str">
        <f>IF(AND(A386&lt;&gt;"",ISNUMBER(A386)),VLOOKUP(A386,Studies!A:BR,3,FALSE),"")</f>
        <v>https://www.ncbi.nlm.nih.gov/pubmed/9925057</v>
      </c>
      <c r="D386" s="228" t="str">
        <f>IF(AND(A386&lt;&gt;"",ISNUMBER(A386)),VLOOKUP(A386,Studies!A:BR,4,FALSE),"")</f>
        <v>antacid</v>
      </c>
      <c r="E386" s="188" t="str">
        <f>IF(AND(A386&lt;&gt;"",ISNUMBER(A386)),VLOOKUP(A386,Studies!A:BR,5,FALSE),"")</f>
        <v>Rifampicin</v>
      </c>
      <c r="F386" s="79" t="s">
        <v>54</v>
      </c>
      <c r="G386" s="78">
        <f t="shared" si="7"/>
        <v>1</v>
      </c>
    </row>
    <row r="387" spans="1:7" x14ac:dyDescent="0.2">
      <c r="A387" s="110">
        <v>387</v>
      </c>
      <c r="B387" s="188" t="str">
        <f>IF(AND(A387&lt;&gt;"",ISNUMBER(A387)),VLOOKUP(A387,Studies!A:BR,2,FALSE),"")</f>
        <v>Peloquin 1999</v>
      </c>
      <c r="C387" s="188" t="str">
        <f>IF(AND(A387&lt;&gt;"",ISNUMBER(A387)),VLOOKUP(A387,Studies!A:BR,3,FALSE),"")</f>
        <v>https://www.ncbi.nlm.nih.gov/pubmed/9925057</v>
      </c>
      <c r="D387" s="228" t="str">
        <f>IF(AND(A387&lt;&gt;"",ISNUMBER(A387)),VLOOKUP(A387,Studies!A:BR,4,FALSE),"")</f>
        <v>fed</v>
      </c>
      <c r="E387" s="188" t="str">
        <f>IF(AND(A387&lt;&gt;"",ISNUMBER(A387)),VLOOKUP(A387,Studies!A:BR,5,FALSE),"")</f>
        <v>Rifampicin</v>
      </c>
      <c r="F387" s="79" t="s">
        <v>54</v>
      </c>
      <c r="G387" s="78">
        <f t="shared" si="7"/>
        <v>1</v>
      </c>
    </row>
    <row r="388" spans="1:7" x14ac:dyDescent="0.2">
      <c r="A388" s="110">
        <v>388</v>
      </c>
      <c r="B388" s="188" t="str">
        <f>IF(AND(A388&lt;&gt;"",ISNUMBER(A388)),VLOOKUP(A388,Studies!A:BR,2,FALSE),"")</f>
        <v>Phimmasone 2001</v>
      </c>
      <c r="C388" s="188" t="str">
        <f>IF(AND(A388&lt;&gt;"",ISNUMBER(A388)),VLOOKUP(A388,Studies!A:BR,3,FALSE),"")</f>
        <v>https://www.ncbi.nlm.nih.gov/pubmed/11753266</v>
      </c>
      <c r="D388" s="228" t="str">
        <f>IF(AND(A388&lt;&gt;"",ISNUMBER(A388)),VLOOKUP(A388,Studies!A:BR,4,FALSE),"")</f>
        <v>Control (Perpetrator Placebo)</v>
      </c>
      <c r="E388" s="188" t="str">
        <f>IF(AND(A388&lt;&gt;"",ISNUMBER(A388)),VLOOKUP(A388,Studies!A:BR,5,FALSE),"")</f>
        <v>Midazolam</v>
      </c>
      <c r="F388" s="79" t="s">
        <v>1371</v>
      </c>
      <c r="G388" s="78">
        <f t="shared" si="7"/>
        <v>1</v>
      </c>
    </row>
    <row r="389" spans="1:7" x14ac:dyDescent="0.2">
      <c r="A389" s="110">
        <v>389</v>
      </c>
      <c r="B389" s="188" t="str">
        <f>IF(AND(A389&lt;&gt;"",ISNUMBER(A389)),VLOOKUP(A389,Studies!A:BR,2,FALSE),"")</f>
        <v>Phimmasone 2001</v>
      </c>
      <c r="C389" s="188" t="str">
        <f>IF(AND(A389&lt;&gt;"",ISNUMBER(A389)),VLOOKUP(A389,Studies!A:BR,3,FALSE),"")</f>
        <v>https://www.ncbi.nlm.nih.gov/pubmed/11753266</v>
      </c>
      <c r="D389" s="228" t="str">
        <f>IF(AND(A389&lt;&gt;"",ISNUMBER(A389)),VLOOKUP(A389,Studies!A:BR,4,FALSE),"")</f>
        <v>with Perpetrator (Rifampicin)</v>
      </c>
      <c r="E389" s="188" t="str">
        <f>IF(AND(A389&lt;&gt;"",ISNUMBER(A389)),VLOOKUP(A389,Studies!A:BR,5,FALSE),"")</f>
        <v>Midazolam</v>
      </c>
      <c r="F389" s="79" t="s">
        <v>1372</v>
      </c>
      <c r="G389" s="78">
        <f t="shared" si="7"/>
        <v>1</v>
      </c>
    </row>
    <row r="390" spans="1:7" x14ac:dyDescent="0.2">
      <c r="A390" s="110">
        <v>390</v>
      </c>
      <c r="B390" s="188" t="str">
        <f>IF(AND(A390&lt;&gt;"",ISNUMBER(A390)),VLOOKUP(A390,Studies!A:BR,2,FALSE),"")</f>
        <v>Phimmasone 2001</v>
      </c>
      <c r="C390" s="188" t="str">
        <f>IF(AND(A390&lt;&gt;"",ISNUMBER(A390)),VLOOKUP(A390,Studies!A:BR,3,FALSE),"")</f>
        <v>https://www.ncbi.nlm.nih.gov/pubmed/11753266</v>
      </c>
      <c r="D390" s="228" t="str">
        <f>IF(AND(A390&lt;&gt;"",ISNUMBER(A390)),VLOOKUP(A390,Studies!A:BR,4,FALSE),"")</f>
        <v>Control (Perpetrator Placebo)</v>
      </c>
      <c r="E390" s="188" t="str">
        <f>IF(AND(A390&lt;&gt;"",ISNUMBER(A390)),VLOOKUP(A390,Studies!A:BR,5,FALSE),"")</f>
        <v>Alfentanil</v>
      </c>
      <c r="F390" s="79" t="s">
        <v>1385</v>
      </c>
      <c r="G390" s="78">
        <f t="shared" si="7"/>
        <v>1</v>
      </c>
    </row>
    <row r="391" spans="1:7" x14ac:dyDescent="0.2">
      <c r="A391" s="110">
        <v>391</v>
      </c>
      <c r="B391" s="188" t="str">
        <f>IF(AND(A391&lt;&gt;"",ISNUMBER(A391)),VLOOKUP(A391,Studies!A:BR,2,FALSE),"")</f>
        <v>Phimmasone 2001</v>
      </c>
      <c r="C391" s="188" t="str">
        <f>IF(AND(A391&lt;&gt;"",ISNUMBER(A391)),VLOOKUP(A391,Studies!A:BR,3,FALSE),"")</f>
        <v>https://www.ncbi.nlm.nih.gov/pubmed/11753266</v>
      </c>
      <c r="D391" s="228" t="str">
        <f>IF(AND(A391&lt;&gt;"",ISNUMBER(A391)),VLOOKUP(A391,Studies!A:BR,4,FALSE),"")</f>
        <v>with Perpetrator (Rifampicin)</v>
      </c>
      <c r="E391" s="188" t="str">
        <f>IF(AND(A391&lt;&gt;"",ISNUMBER(A391)),VLOOKUP(A391,Studies!A:BR,5,FALSE),"")</f>
        <v>Alfentanil</v>
      </c>
      <c r="F391" s="79" t="s">
        <v>1386</v>
      </c>
      <c r="G391" s="78">
        <f t="shared" si="7"/>
        <v>1</v>
      </c>
    </row>
    <row r="392" spans="1:7" x14ac:dyDescent="0.2">
      <c r="A392" s="110">
        <v>392</v>
      </c>
      <c r="B392" s="188" t="str">
        <f>IF(AND(A392&lt;&gt;"",ISNUMBER(A392)),VLOOKUP(A392,Studies!A:BR,2,FALSE),"")</f>
        <v>Reitman 2011</v>
      </c>
      <c r="C392" s="188" t="str">
        <f>IF(AND(A392&lt;&gt;"",ISNUMBER(A392)),VLOOKUP(A392,Studies!A:BR,3,FALSE),"")</f>
        <v>https://www.ncbi.nlm.nih.gov/pubmed/21191377</v>
      </c>
      <c r="D392" s="228" t="str">
        <f>IF(AND(A392&lt;&gt;"",ISNUMBER(A392)),VLOOKUP(A392,Studies!A:BR,4,FALSE),"")</f>
        <v>Week 0 after Perpetrator (Rifampicin)</v>
      </c>
      <c r="E392" s="188" t="str">
        <f>IF(AND(A392&lt;&gt;"",ISNUMBER(A392)),VLOOKUP(A392,Studies!A:BR,5,FALSE),"")</f>
        <v>Midazolam</v>
      </c>
      <c r="F392" s="79" t="s">
        <v>1372</v>
      </c>
      <c r="G392" s="78">
        <f t="shared" si="7"/>
        <v>1</v>
      </c>
    </row>
    <row r="393" spans="1:7" x14ac:dyDescent="0.2">
      <c r="A393" s="110">
        <v>393</v>
      </c>
      <c r="B393" s="188" t="str">
        <f>IF(AND(A393&lt;&gt;"",ISNUMBER(A393)),VLOOKUP(A393,Studies!A:BR,2,FALSE),"")</f>
        <v>Reitman 2011</v>
      </c>
      <c r="C393" s="188" t="str">
        <f>IF(AND(A393&lt;&gt;"",ISNUMBER(A393)),VLOOKUP(A393,Studies!A:BR,3,FALSE),"")</f>
        <v>https://www.ncbi.nlm.nih.gov/pubmed/21191377</v>
      </c>
      <c r="D393" s="228" t="str">
        <f>IF(AND(A393&lt;&gt;"",ISNUMBER(A393)),VLOOKUP(A393,Studies!A:BR,4,FALSE),"")</f>
        <v>Week 1 after Perpetrator (Rifampicin)</v>
      </c>
      <c r="E393" s="188" t="str">
        <f>IF(AND(A393&lt;&gt;"",ISNUMBER(A393)),VLOOKUP(A393,Studies!A:BR,5,FALSE),"")</f>
        <v>Midazolam</v>
      </c>
      <c r="F393" s="79" t="s">
        <v>1372</v>
      </c>
      <c r="G393" s="78">
        <f t="shared" ref="G393:G456" si="8">A393-A392</f>
        <v>1</v>
      </c>
    </row>
    <row r="394" spans="1:7" x14ac:dyDescent="0.2">
      <c r="A394" s="110">
        <v>394</v>
      </c>
      <c r="B394" s="188" t="str">
        <f>IF(AND(A394&lt;&gt;"",ISNUMBER(A394)),VLOOKUP(A394,Studies!A:BR,2,FALSE),"")</f>
        <v>Reitman 2011</v>
      </c>
      <c r="C394" s="188" t="str">
        <f>IF(AND(A394&lt;&gt;"",ISNUMBER(A394)),VLOOKUP(A394,Studies!A:BR,3,FALSE),"")</f>
        <v>https://www.ncbi.nlm.nih.gov/pubmed/21191377</v>
      </c>
      <c r="D394" s="228" t="str">
        <f>IF(AND(A394&lt;&gt;"",ISNUMBER(A394)),VLOOKUP(A394,Studies!A:BR,4,FALSE),"")</f>
        <v>Week 2 after Perpetrator (Rifampicin)</v>
      </c>
      <c r="E394" s="188" t="str">
        <f>IF(AND(A394&lt;&gt;"",ISNUMBER(A394)),VLOOKUP(A394,Studies!A:BR,5,FALSE),"")</f>
        <v>Midazolam</v>
      </c>
      <c r="F394" s="79" t="s">
        <v>1372</v>
      </c>
      <c r="G394" s="78">
        <f t="shared" si="8"/>
        <v>1</v>
      </c>
    </row>
    <row r="395" spans="1:7" x14ac:dyDescent="0.2">
      <c r="A395" s="110">
        <v>395</v>
      </c>
      <c r="B395" s="188" t="str">
        <f>IF(AND(A395&lt;&gt;"",ISNUMBER(A395)),VLOOKUP(A395,Studies!A:BR,2,FALSE),"")</f>
        <v>Reitman 2011</v>
      </c>
      <c r="C395" s="188" t="str">
        <f>IF(AND(A395&lt;&gt;"",ISNUMBER(A395)),VLOOKUP(A395,Studies!A:BR,3,FALSE),"")</f>
        <v>https://www.ncbi.nlm.nih.gov/pubmed/21191377</v>
      </c>
      <c r="D395" s="228" t="str">
        <f>IF(AND(A395&lt;&gt;"",ISNUMBER(A395)),VLOOKUP(A395,Studies!A:BR,4,FALSE),"")</f>
        <v>Week 4 after Perpetrator (Rifampicin)</v>
      </c>
      <c r="E395" s="188" t="str">
        <f>IF(AND(A395&lt;&gt;"",ISNUMBER(A395)),VLOOKUP(A395,Studies!A:BR,5,FALSE),"")</f>
        <v>Midazolam</v>
      </c>
      <c r="F395" s="79" t="s">
        <v>1371</v>
      </c>
      <c r="G395" s="78">
        <f t="shared" si="8"/>
        <v>1</v>
      </c>
    </row>
    <row r="396" spans="1:7" x14ac:dyDescent="0.2">
      <c r="A396" s="110">
        <v>396</v>
      </c>
      <c r="B396" s="188" t="str">
        <f>IF(AND(A396&lt;&gt;"",ISNUMBER(A396)),VLOOKUP(A396,Studies!A:BR,2,FALSE),"")</f>
        <v>Reitman 2011</v>
      </c>
      <c r="C396" s="188" t="str">
        <f>IF(AND(A396&lt;&gt;"",ISNUMBER(A396)),VLOOKUP(A396,Studies!A:BR,3,FALSE),"")</f>
        <v>https://www.ncbi.nlm.nih.gov/pubmed/21191377</v>
      </c>
      <c r="D396" s="228" t="str">
        <f>IF(AND(A396&lt;&gt;"",ISNUMBER(A396)),VLOOKUP(A396,Studies!A:BR,4,FALSE),"")</f>
        <v>Week 0 after Perpetrator (Rifampicin)</v>
      </c>
      <c r="E396" s="188" t="str">
        <f>IF(AND(A396&lt;&gt;"",ISNUMBER(A396)),VLOOKUP(A396,Studies!A:BR,5,FALSE),"")</f>
        <v>Digoxin</v>
      </c>
      <c r="F396" s="79" t="s">
        <v>1377</v>
      </c>
      <c r="G396" s="78">
        <f t="shared" si="8"/>
        <v>1</v>
      </c>
    </row>
    <row r="397" spans="1:7" x14ac:dyDescent="0.2">
      <c r="A397" s="110">
        <v>397</v>
      </c>
      <c r="B397" s="188" t="str">
        <f>IF(AND(A397&lt;&gt;"",ISNUMBER(A397)),VLOOKUP(A397,Studies!A:BR,2,FALSE),"")</f>
        <v>Reitman 2011</v>
      </c>
      <c r="C397" s="188" t="str">
        <f>IF(AND(A397&lt;&gt;"",ISNUMBER(A397)),VLOOKUP(A397,Studies!A:BR,3,FALSE),"")</f>
        <v>https://www.ncbi.nlm.nih.gov/pubmed/21191377</v>
      </c>
      <c r="D397" s="228" t="str">
        <f>IF(AND(A397&lt;&gt;"",ISNUMBER(A397)),VLOOKUP(A397,Studies!A:BR,4,FALSE),"")</f>
        <v>Week 1 after Perpetrator (Rifampicin)</v>
      </c>
      <c r="E397" s="188" t="str">
        <f>IF(AND(A397&lt;&gt;"",ISNUMBER(A397)),VLOOKUP(A397,Studies!A:BR,5,FALSE),"")</f>
        <v>Digoxin</v>
      </c>
      <c r="F397" s="79" t="s">
        <v>1377</v>
      </c>
      <c r="G397" s="78">
        <f t="shared" si="8"/>
        <v>1</v>
      </c>
    </row>
    <row r="398" spans="1:7" x14ac:dyDescent="0.2">
      <c r="A398" s="110">
        <v>398</v>
      </c>
      <c r="B398" s="188" t="str">
        <f>IF(AND(A398&lt;&gt;"",ISNUMBER(A398)),VLOOKUP(A398,Studies!A:BR,2,FALSE),"")</f>
        <v>Reitman 2011</v>
      </c>
      <c r="C398" s="188" t="str">
        <f>IF(AND(A398&lt;&gt;"",ISNUMBER(A398)),VLOOKUP(A398,Studies!A:BR,3,FALSE),"")</f>
        <v>https://www.ncbi.nlm.nih.gov/pubmed/21191377</v>
      </c>
      <c r="D398" s="228" t="str">
        <f>IF(AND(A398&lt;&gt;"",ISNUMBER(A398)),VLOOKUP(A398,Studies!A:BR,4,FALSE),"")</f>
        <v>Week 2 after Perpetrator (Rifampicin)</v>
      </c>
      <c r="E398" s="188" t="str">
        <f>IF(AND(A398&lt;&gt;"",ISNUMBER(A398)),VLOOKUP(A398,Studies!A:BR,5,FALSE),"")</f>
        <v>Digoxin</v>
      </c>
      <c r="F398" s="79" t="s">
        <v>1377</v>
      </c>
      <c r="G398" s="78">
        <f t="shared" si="8"/>
        <v>1</v>
      </c>
    </row>
    <row r="399" spans="1:7" x14ac:dyDescent="0.2">
      <c r="A399" s="110">
        <v>399</v>
      </c>
      <c r="B399" s="188" t="str">
        <f>IF(AND(A399&lt;&gt;"",ISNUMBER(A399)),VLOOKUP(A399,Studies!A:BR,2,FALSE),"")</f>
        <v>Reitman 2011</v>
      </c>
      <c r="C399" s="188" t="str">
        <f>IF(AND(A399&lt;&gt;"",ISNUMBER(A399)),VLOOKUP(A399,Studies!A:BR,3,FALSE),"")</f>
        <v>https://www.ncbi.nlm.nih.gov/pubmed/21191377</v>
      </c>
      <c r="D399" s="228" t="str">
        <f>IF(AND(A399&lt;&gt;"",ISNUMBER(A399)),VLOOKUP(A399,Studies!A:BR,4,FALSE),"")</f>
        <v>Week 4 after Perpetrator (Rifampicin)</v>
      </c>
      <c r="E399" s="188" t="str">
        <f>IF(AND(A399&lt;&gt;"",ISNUMBER(A399)),VLOOKUP(A399,Studies!A:BR,5,FALSE),"")</f>
        <v>Digoxin</v>
      </c>
      <c r="F399" s="79" t="s">
        <v>1376</v>
      </c>
      <c r="G399" s="78">
        <f t="shared" si="8"/>
        <v>1</v>
      </c>
    </row>
    <row r="400" spans="1:7" x14ac:dyDescent="0.2">
      <c r="A400" s="110">
        <v>400</v>
      </c>
      <c r="B400" s="188" t="str">
        <f>IF(AND(A400&lt;&gt;"",ISNUMBER(A400)),VLOOKUP(A400,Studies!A:BR,2,FALSE),"")</f>
        <v>Saari 2006</v>
      </c>
      <c r="C400" s="188" t="str">
        <f>IF(AND(A400&lt;&gt;"",ISNUMBER(A400)),VLOOKUP(A400,Studies!A:BR,3,FALSE),"")</f>
        <v>https://www.ncbi.nlm.nih.gov/pubmed/16580904</v>
      </c>
      <c r="D400" s="228" t="str">
        <f>IF(AND(A400&lt;&gt;"",ISNUMBER(A400)),VLOOKUP(A400,Studies!A:BR,4,FALSE),"")</f>
        <v>po Control (Perpetrator Placebo)</v>
      </c>
      <c r="E400" s="188" t="str">
        <f>IF(AND(A400&lt;&gt;"",ISNUMBER(A400)),VLOOKUP(A400,Studies!A:BR,5,FALSE),"")</f>
        <v>Midazolam</v>
      </c>
      <c r="F400" s="79" t="s">
        <v>1407</v>
      </c>
      <c r="G400" s="78">
        <f t="shared" si="8"/>
        <v>1</v>
      </c>
    </row>
    <row r="401" spans="1:7" x14ac:dyDescent="0.2">
      <c r="A401" s="110">
        <v>401</v>
      </c>
      <c r="B401" s="188" t="str">
        <f>IF(AND(A401&lt;&gt;"",ISNUMBER(A401)),VLOOKUP(A401,Studies!A:BR,2,FALSE),"")</f>
        <v>Saari 2006</v>
      </c>
      <c r="C401" s="188" t="str">
        <f>IF(AND(A401&lt;&gt;"",ISNUMBER(A401)),VLOOKUP(A401,Studies!A:BR,3,FALSE),"")</f>
        <v>https://www.ncbi.nlm.nih.gov/pubmed/16580904</v>
      </c>
      <c r="D401" s="228" t="str">
        <f>IF(AND(A401&lt;&gt;"",ISNUMBER(A401)),VLOOKUP(A401,Studies!A:BR,4,FALSE),"")</f>
        <v>po with Perpetrator (Voriconazole)</v>
      </c>
      <c r="E401" s="188" t="str">
        <f>IF(AND(A401&lt;&gt;"",ISNUMBER(A401)),VLOOKUP(A401,Studies!A:BR,5,FALSE),"")</f>
        <v>Midazolam</v>
      </c>
      <c r="F401" s="79" t="s">
        <v>1408</v>
      </c>
      <c r="G401" s="78">
        <f t="shared" si="8"/>
        <v>1</v>
      </c>
    </row>
    <row r="402" spans="1:7" x14ac:dyDescent="0.2">
      <c r="A402" s="110">
        <v>402</v>
      </c>
      <c r="B402" s="188" t="str">
        <f>IF(AND(A402&lt;&gt;"",ISNUMBER(A402)),VLOOKUP(A402,Studies!A:BR,2,FALSE),"")</f>
        <v>Saari 2006</v>
      </c>
      <c r="C402" s="188" t="str">
        <f>IF(AND(A402&lt;&gt;"",ISNUMBER(A402)),VLOOKUP(A402,Studies!A:BR,3,FALSE),"")</f>
        <v>https://www.ncbi.nlm.nih.gov/pubmed/16580904</v>
      </c>
      <c r="D402" s="228" t="str">
        <f>IF(AND(A402&lt;&gt;"",ISNUMBER(A402)),VLOOKUP(A402,Studies!A:BR,4,FALSE),"")</f>
        <v>po with Perpetrator (Voriconazole)</v>
      </c>
      <c r="E402" s="188" t="str">
        <f>IF(AND(A402&lt;&gt;"",ISNUMBER(A402)),VLOOKUP(A402,Studies!A:BR,5,FALSE),"")</f>
        <v>Voriconazole</v>
      </c>
      <c r="F402" s="79" t="s">
        <v>1409</v>
      </c>
      <c r="G402" s="78">
        <f t="shared" si="8"/>
        <v>1</v>
      </c>
    </row>
    <row r="403" spans="1:7" x14ac:dyDescent="0.2">
      <c r="A403" s="110">
        <v>403</v>
      </c>
      <c r="B403" s="188" t="str">
        <f>IF(AND(A403&lt;&gt;"",ISNUMBER(A403)),VLOOKUP(A403,Studies!A:BR,2,FALSE),"")</f>
        <v>Saari 2006</v>
      </c>
      <c r="C403" s="188" t="str">
        <f>IF(AND(A403&lt;&gt;"",ISNUMBER(A403)),VLOOKUP(A403,Studies!A:BR,3,FALSE),"")</f>
        <v>https://www.ncbi.nlm.nih.gov/pubmed/16580904</v>
      </c>
      <c r="D403" s="228" t="str">
        <f>IF(AND(A403&lt;&gt;"",ISNUMBER(A403)),VLOOKUP(A403,Studies!A:BR,4,FALSE),"")</f>
        <v>iv Control (Perpetrator Placebo)</v>
      </c>
      <c r="E403" s="188" t="str">
        <f>IF(AND(A403&lt;&gt;"",ISNUMBER(A403)),VLOOKUP(A403,Studies!A:BR,5,FALSE),"")</f>
        <v>Midazolam</v>
      </c>
      <c r="F403" s="79" t="s">
        <v>1407</v>
      </c>
      <c r="G403" s="78">
        <f t="shared" si="8"/>
        <v>1</v>
      </c>
    </row>
    <row r="404" spans="1:7" x14ac:dyDescent="0.2">
      <c r="A404" s="110">
        <v>404</v>
      </c>
      <c r="B404" s="188" t="str">
        <f>IF(AND(A404&lt;&gt;"",ISNUMBER(A404)),VLOOKUP(A404,Studies!A:BR,2,FALSE),"")</f>
        <v>Saari 2006</v>
      </c>
      <c r="C404" s="188" t="str">
        <f>IF(AND(A404&lt;&gt;"",ISNUMBER(A404)),VLOOKUP(A404,Studies!A:BR,3,FALSE),"")</f>
        <v>https://www.ncbi.nlm.nih.gov/pubmed/16580904</v>
      </c>
      <c r="D404" s="228" t="str">
        <f>IF(AND(A404&lt;&gt;"",ISNUMBER(A404)),VLOOKUP(A404,Studies!A:BR,4,FALSE),"")</f>
        <v>iv with Perpetrator (Voriconazole)</v>
      </c>
      <c r="E404" s="188" t="str">
        <f>IF(AND(A404&lt;&gt;"",ISNUMBER(A404)),VLOOKUP(A404,Studies!A:BR,5,FALSE),"")</f>
        <v>Midazolam</v>
      </c>
      <c r="F404" s="79" t="s">
        <v>1408</v>
      </c>
      <c r="G404" s="78">
        <f t="shared" si="8"/>
        <v>1</v>
      </c>
    </row>
    <row r="405" spans="1:7" x14ac:dyDescent="0.2">
      <c r="A405" s="110">
        <v>405</v>
      </c>
      <c r="B405" s="188" t="str">
        <f>IF(AND(A405&lt;&gt;"",ISNUMBER(A405)),VLOOKUP(A405,Studies!A:BR,2,FALSE),"")</f>
        <v>Saari 2006</v>
      </c>
      <c r="C405" s="188" t="str">
        <f>IF(AND(A405&lt;&gt;"",ISNUMBER(A405)),VLOOKUP(A405,Studies!A:BR,3,FALSE),"")</f>
        <v>https://www.ncbi.nlm.nih.gov/pubmed/16580904</v>
      </c>
      <c r="D405" s="228" t="str">
        <f>IF(AND(A405&lt;&gt;"",ISNUMBER(A405)),VLOOKUP(A405,Studies!A:BR,4,FALSE),"")</f>
        <v>iv with Perpetrator (Voriconazole)</v>
      </c>
      <c r="E405" s="188" t="str">
        <f>IF(AND(A405&lt;&gt;"",ISNUMBER(A405)),VLOOKUP(A405,Studies!A:BR,5,FALSE),"")</f>
        <v>Voriconazole</v>
      </c>
      <c r="F405" s="79" t="s">
        <v>1409</v>
      </c>
      <c r="G405" s="78">
        <f t="shared" si="8"/>
        <v>1</v>
      </c>
    </row>
    <row r="406" spans="1:7" x14ac:dyDescent="0.2">
      <c r="A406" s="110">
        <v>406</v>
      </c>
      <c r="B406" s="188" t="str">
        <f>IF(AND(A406&lt;&gt;"",ISNUMBER(A406)),VLOOKUP(A406,Studies!A:BR,2,FALSE),"")</f>
        <v>sanofi-aventis U.S. LLC. 2013</v>
      </c>
      <c r="C406" s="188" t="str">
        <f>IF(AND(A406&lt;&gt;"",ISNUMBER(A406)),VLOOKUP(A406,Studies!A:BR,3,FALSE),"")</f>
        <v>https://www.accessdata.fda.gov/drugsatfda_docs/label/2013/050420s075,050627s014lbl.pdf</v>
      </c>
      <c r="D406" s="228" t="str">
        <f>IF(AND(A406&lt;&gt;"",ISNUMBER(A406)),VLOOKUP(A406,Studies!A:BR,4,FALSE),"")</f>
        <v>300 mg</v>
      </c>
      <c r="E406" s="188" t="str">
        <f>IF(AND(A406&lt;&gt;"",ISNUMBER(A406)),VLOOKUP(A406,Studies!A:BR,5,FALSE),"")</f>
        <v>Rifampicin</v>
      </c>
      <c r="F406" s="79" t="s">
        <v>54</v>
      </c>
      <c r="G406" s="78">
        <f t="shared" si="8"/>
        <v>1</v>
      </c>
    </row>
    <row r="407" spans="1:7" x14ac:dyDescent="0.2">
      <c r="A407" s="110">
        <v>407</v>
      </c>
      <c r="B407" s="188" t="str">
        <f>IF(AND(A407&lt;&gt;"",ISNUMBER(A407)),VLOOKUP(A407,Studies!A:BR,2,FALSE),"")</f>
        <v>sanofi-aventis U.S. LLC. 2013</v>
      </c>
      <c r="C407" s="188" t="str">
        <f>IF(AND(A407&lt;&gt;"",ISNUMBER(A407)),VLOOKUP(A407,Studies!A:BR,3,FALSE),"")</f>
        <v>https://www.accessdata.fda.gov/drugsatfda_docs/label/2013/050420s075,050627s014lbl.pdf</v>
      </c>
      <c r="D407" s="228" t="str">
        <f>IF(AND(A407&lt;&gt;"",ISNUMBER(A407)),VLOOKUP(A407,Studies!A:BR,4,FALSE),"")</f>
        <v>600 mg</v>
      </c>
      <c r="E407" s="188" t="str">
        <f>IF(AND(A407&lt;&gt;"",ISNUMBER(A407)),VLOOKUP(A407,Studies!A:BR,5,FALSE),"")</f>
        <v>Rifampicin</v>
      </c>
      <c r="F407" s="79" t="s">
        <v>54</v>
      </c>
      <c r="G407" s="78">
        <f t="shared" si="8"/>
        <v>1</v>
      </c>
    </row>
    <row r="408" spans="1:7" x14ac:dyDescent="0.2">
      <c r="A408" s="112">
        <v>408</v>
      </c>
      <c r="B408" s="188" t="str">
        <f>IF(AND(A408&lt;&gt;"",ISNUMBER(A408)),VLOOKUP(A408,Studies!A:BR,2,FALSE),"")</f>
        <v>Schaad 1980</v>
      </c>
      <c r="C408" s="188" t="str">
        <f>IF(AND(A408&lt;&gt;"",ISNUMBER(A408)),VLOOKUP(A408,Studies!A:BR,3,FALSE),"")</f>
        <v>https://www.ncbi.nlm.nih.gov/pubmed/7350291</v>
      </c>
      <c r="D408" s="228" t="str">
        <f>IF(AND(A408&lt;&gt;"",ISNUMBER(A408)),VLOOKUP(A408,Studies!A:BR,4,FALSE),"")</f>
        <v>ID 1</v>
      </c>
      <c r="E408" s="188" t="str">
        <f>IF(AND(A408&lt;&gt;"",ISNUMBER(A408)),VLOOKUP(A408,Studies!A:BR,5,FALSE),"")</f>
        <v>vancomycin</v>
      </c>
      <c r="F408" s="79" t="s">
        <v>1277</v>
      </c>
      <c r="G408" s="78">
        <f t="shared" si="8"/>
        <v>1</v>
      </c>
    </row>
    <row r="409" spans="1:7" x14ac:dyDescent="0.2">
      <c r="A409" s="112">
        <v>409</v>
      </c>
      <c r="B409" s="188" t="str">
        <f>IF(AND(A409&lt;&gt;"",ISNUMBER(A409)),VLOOKUP(A409,Studies!A:BR,2,FALSE),"")</f>
        <v>Schaad 1980</v>
      </c>
      <c r="C409" s="188" t="str">
        <f>IF(AND(A409&lt;&gt;"",ISNUMBER(A409)),VLOOKUP(A409,Studies!A:BR,3,FALSE),"")</f>
        <v>https://www.ncbi.nlm.nih.gov/pubmed/7350291</v>
      </c>
      <c r="D409" s="228" t="str">
        <f>IF(AND(A409&lt;&gt;"",ISNUMBER(A409)),VLOOKUP(A409,Studies!A:BR,4,FALSE),"")</f>
        <v>ID 2</v>
      </c>
      <c r="E409" s="188" t="str">
        <f>IF(AND(A409&lt;&gt;"",ISNUMBER(A409)),VLOOKUP(A409,Studies!A:BR,5,FALSE),"")</f>
        <v>vancomycin</v>
      </c>
      <c r="F409" s="79" t="s">
        <v>1277</v>
      </c>
      <c r="G409" s="78">
        <f t="shared" si="8"/>
        <v>1</v>
      </c>
    </row>
    <row r="410" spans="1:7" x14ac:dyDescent="0.2">
      <c r="A410" s="112">
        <v>410</v>
      </c>
      <c r="B410" s="188" t="str">
        <f>IF(AND(A410&lt;&gt;"",ISNUMBER(A410)),VLOOKUP(A410,Studies!A:BR,2,FALSE),"")</f>
        <v>Schaad 1980</v>
      </c>
      <c r="C410" s="188" t="str">
        <f>IF(AND(A410&lt;&gt;"",ISNUMBER(A410)),VLOOKUP(A410,Studies!A:BR,3,FALSE),"")</f>
        <v>https://www.ncbi.nlm.nih.gov/pubmed/7350291</v>
      </c>
      <c r="D410" s="228" t="str">
        <f>IF(AND(A410&lt;&gt;"",ISNUMBER(A410)),VLOOKUP(A410,Studies!A:BR,4,FALSE),"")</f>
        <v>ID 3</v>
      </c>
      <c r="E410" s="188" t="str">
        <f>IF(AND(A410&lt;&gt;"",ISNUMBER(A410)),VLOOKUP(A410,Studies!A:BR,5,FALSE),"")</f>
        <v>vancomycin</v>
      </c>
      <c r="F410" s="79" t="s">
        <v>1277</v>
      </c>
      <c r="G410" s="78">
        <f t="shared" si="8"/>
        <v>1</v>
      </c>
    </row>
    <row r="411" spans="1:7" x14ac:dyDescent="0.2">
      <c r="A411" s="112">
        <v>411</v>
      </c>
      <c r="B411" s="188" t="str">
        <f>IF(AND(A411&lt;&gt;"",ISNUMBER(A411)),VLOOKUP(A411,Studies!A:BR,2,FALSE),"")</f>
        <v>Schaad 1980</v>
      </c>
      <c r="C411" s="188" t="str">
        <f>IF(AND(A411&lt;&gt;"",ISNUMBER(A411)),VLOOKUP(A411,Studies!A:BR,3,FALSE),"")</f>
        <v>https://www.ncbi.nlm.nih.gov/pubmed/7350291</v>
      </c>
      <c r="D411" s="228" t="str">
        <f>IF(AND(A411&lt;&gt;"",ISNUMBER(A411)),VLOOKUP(A411,Studies!A:BR,4,FALSE),"")</f>
        <v>ID 4</v>
      </c>
      <c r="E411" s="188" t="str">
        <f>IF(AND(A411&lt;&gt;"",ISNUMBER(A411)),VLOOKUP(A411,Studies!A:BR,5,FALSE),"")</f>
        <v>vancomycin</v>
      </c>
      <c r="F411" s="79" t="s">
        <v>1277</v>
      </c>
      <c r="G411" s="78">
        <f t="shared" si="8"/>
        <v>1</v>
      </c>
    </row>
    <row r="412" spans="1:7" x14ac:dyDescent="0.2">
      <c r="A412" s="112">
        <v>412</v>
      </c>
      <c r="B412" s="188" t="str">
        <f>IF(AND(A412&lt;&gt;"",ISNUMBER(A412)),VLOOKUP(A412,Studies!A:BR,2,FALSE),"")</f>
        <v>Schaad 1980</v>
      </c>
      <c r="C412" s="188" t="str">
        <f>IF(AND(A412&lt;&gt;"",ISNUMBER(A412)),VLOOKUP(A412,Studies!A:BR,3,FALSE),"")</f>
        <v>https://www.ncbi.nlm.nih.gov/pubmed/7350291</v>
      </c>
      <c r="D412" s="228" t="str">
        <f>IF(AND(A412&lt;&gt;"",ISNUMBER(A412)),VLOOKUP(A412,Studies!A:BR,4,FALSE),"")</f>
        <v>ID 5</v>
      </c>
      <c r="E412" s="188" t="str">
        <f>IF(AND(A412&lt;&gt;"",ISNUMBER(A412)),VLOOKUP(A412,Studies!A:BR,5,FALSE),"")</f>
        <v>vancomycin</v>
      </c>
      <c r="F412" s="79" t="s">
        <v>1277</v>
      </c>
      <c r="G412" s="78">
        <f t="shared" si="8"/>
        <v>1</v>
      </c>
    </row>
    <row r="413" spans="1:7" x14ac:dyDescent="0.2">
      <c r="A413" s="112">
        <v>413</v>
      </c>
      <c r="B413" s="188" t="str">
        <f>IF(AND(A413&lt;&gt;"",ISNUMBER(A413)),VLOOKUP(A413,Studies!A:BR,2,FALSE),"")</f>
        <v>Schaad 1980</v>
      </c>
      <c r="C413" s="188" t="str">
        <f>IF(AND(A413&lt;&gt;"",ISNUMBER(A413)),VLOOKUP(A413,Studies!A:BR,3,FALSE),"")</f>
        <v>https://www.ncbi.nlm.nih.gov/pubmed/7350291</v>
      </c>
      <c r="D413" s="228" t="str">
        <f>IF(AND(A413&lt;&gt;"",ISNUMBER(A413)),VLOOKUP(A413,Studies!A:BR,4,FALSE),"")</f>
        <v>ID 6</v>
      </c>
      <c r="E413" s="188" t="str">
        <f>IF(AND(A413&lt;&gt;"",ISNUMBER(A413)),VLOOKUP(A413,Studies!A:BR,5,FALSE),"")</f>
        <v>vancomycin</v>
      </c>
      <c r="F413" s="79" t="s">
        <v>1277</v>
      </c>
      <c r="G413" s="78">
        <f t="shared" si="8"/>
        <v>1</v>
      </c>
    </row>
    <row r="414" spans="1:7" x14ac:dyDescent="0.2">
      <c r="A414" s="110">
        <v>414</v>
      </c>
      <c r="B414" s="188" t="str">
        <f>IF(AND(A414&lt;&gt;"",ISNUMBER(A414)),VLOOKUP(A414,Studies!A:BR,2,FALSE),"")</f>
        <v>Schwagmeier 1998</v>
      </c>
      <c r="C414" s="188" t="str">
        <f>IF(AND(A414&lt;&gt;"",ISNUMBER(A414)),VLOOKUP(A414,Studies!A:BR,3,FALSE),"")</f>
        <v>https://www.ncbi.nlm.nih.gov/pubmed/9764959</v>
      </c>
      <c r="D414" s="228" t="str">
        <f>IF(AND(A414&lt;&gt;"",ISNUMBER(A414)),VLOOKUP(A414,Studies!A:BR,4,FALSE),"")</f>
        <v>iv administration</v>
      </c>
      <c r="E414" s="188" t="str">
        <f>IF(AND(A414&lt;&gt;"",ISNUMBER(A414)),VLOOKUP(A414,Studies!A:BR,5,FALSE),"")</f>
        <v>Midazolam</v>
      </c>
      <c r="F414" s="79" t="s">
        <v>102</v>
      </c>
      <c r="G414" s="78">
        <f t="shared" si="8"/>
        <v>1</v>
      </c>
    </row>
    <row r="415" spans="1:7" x14ac:dyDescent="0.2">
      <c r="A415" s="110">
        <v>415</v>
      </c>
      <c r="B415" s="188" t="str">
        <f>IF(AND(A415&lt;&gt;"",ISNUMBER(A415)),VLOOKUP(A415,Studies!A:BR,2,FALSE),"")</f>
        <v>Smith 1981</v>
      </c>
      <c r="C415" s="188" t="str">
        <f>IF(AND(A415&lt;&gt;"",ISNUMBER(A415)),VLOOKUP(A415,Studies!A:BR,3,FALSE),"")</f>
        <v>https://www.ncbi.nlm.nih.gov/pubmed/6116606</v>
      </c>
      <c r="D415" s="228" t="str">
        <f>IF(AND(A415&lt;&gt;"",ISNUMBER(A415)),VLOOKUP(A415,Studies!A:BR,4,FALSE),"")</f>
        <v>iv 5 mg</v>
      </c>
      <c r="E415" s="188" t="str">
        <f>IF(AND(A415&lt;&gt;"",ISNUMBER(A415)),VLOOKUP(A415,Studies!A:BR,5,FALSE),"")</f>
        <v>Midazolam</v>
      </c>
      <c r="F415" s="79" t="s">
        <v>102</v>
      </c>
      <c r="G415" s="78">
        <f t="shared" si="8"/>
        <v>1</v>
      </c>
    </row>
    <row r="416" spans="1:7" x14ac:dyDescent="0.2">
      <c r="A416" s="110">
        <v>416</v>
      </c>
      <c r="B416" s="188" t="str">
        <f>IF(AND(A416&lt;&gt;"",ISNUMBER(A416)),VLOOKUP(A416,Studies!A:BR,2,FALSE),"")</f>
        <v>Smith 1981</v>
      </c>
      <c r="C416" s="188" t="str">
        <f>IF(AND(A416&lt;&gt;"",ISNUMBER(A416)),VLOOKUP(A416,Studies!A:BR,3,FALSE),"")</f>
        <v>https://www.ncbi.nlm.nih.gov/pubmed/6116606</v>
      </c>
      <c r="D416" s="228" t="str">
        <f>IF(AND(A416&lt;&gt;"",ISNUMBER(A416)),VLOOKUP(A416,Studies!A:BR,4,FALSE),"")</f>
        <v>oral solution 10 mg</v>
      </c>
      <c r="E416" s="188" t="str">
        <f>IF(AND(A416&lt;&gt;"",ISNUMBER(A416)),VLOOKUP(A416,Studies!A:BR,5,FALSE),"")</f>
        <v>Midazolam</v>
      </c>
      <c r="F416" s="79" t="s">
        <v>102</v>
      </c>
      <c r="G416" s="78">
        <f t="shared" si="8"/>
        <v>1</v>
      </c>
    </row>
    <row r="417" spans="1:7" x14ac:dyDescent="0.2">
      <c r="A417" s="110">
        <v>417</v>
      </c>
      <c r="B417" s="188" t="str">
        <f>IF(AND(A417&lt;&gt;"",ISNUMBER(A417)),VLOOKUP(A417,Studies!A:BR,2,FALSE),"")</f>
        <v>Smith 1981</v>
      </c>
      <c r="C417" s="188" t="str">
        <f>IF(AND(A417&lt;&gt;"",ISNUMBER(A417)),VLOOKUP(A417,Studies!A:BR,3,FALSE),"")</f>
        <v>https://www.ncbi.nlm.nih.gov/pubmed/6116606</v>
      </c>
      <c r="D417" s="228" t="str">
        <f>IF(AND(A417&lt;&gt;"",ISNUMBER(A417)),VLOOKUP(A417,Studies!A:BR,4,FALSE),"")</f>
        <v>oral tablet 10 mg</v>
      </c>
      <c r="E417" s="188" t="str">
        <f>IF(AND(A417&lt;&gt;"",ISNUMBER(A417)),VLOOKUP(A417,Studies!A:BR,5,FALSE),"")</f>
        <v>Midazolam</v>
      </c>
      <c r="F417" s="79" t="s">
        <v>102</v>
      </c>
      <c r="G417" s="78">
        <f t="shared" si="8"/>
        <v>1</v>
      </c>
    </row>
    <row r="418" spans="1:7" x14ac:dyDescent="0.2">
      <c r="A418" s="110">
        <v>418</v>
      </c>
      <c r="B418" s="188" t="str">
        <f>IF(AND(A418&lt;&gt;"",ISNUMBER(A418)),VLOOKUP(A418,Studies!A:BR,2,FALSE),"")</f>
        <v>Stone 2004</v>
      </c>
      <c r="C418" s="188" t="str">
        <f>IF(AND(A418&lt;&gt;"",ISNUMBER(A418)),VLOOKUP(A418,Studies!A:BR,3,FALSE),"")</f>
        <v>https://www.ncbi.nlm.nih.gov/pubmed/4037525</v>
      </c>
      <c r="D418" s="228" t="str">
        <f>IF(AND(A418&lt;&gt;"",ISNUMBER(A418)),VLOOKUP(A418,Studies!A:BR,4,FALSE),"")</f>
        <v>Day 14 of Rifampin alone</v>
      </c>
      <c r="E418" s="188" t="str">
        <f>IF(AND(A418&lt;&gt;"",ISNUMBER(A418)),VLOOKUP(A418,Studies!A:BR,5,FALSE),"")</f>
        <v>Rifampicin</v>
      </c>
      <c r="F418" s="79" t="s">
        <v>54</v>
      </c>
      <c r="G418" s="78">
        <f t="shared" si="8"/>
        <v>1</v>
      </c>
    </row>
    <row r="419" spans="1:7" x14ac:dyDescent="0.2">
      <c r="A419" s="110">
        <v>419</v>
      </c>
      <c r="B419" s="188" t="str">
        <f>IF(AND(A419&lt;&gt;"",ISNUMBER(A419)),VLOOKUP(A419,Studies!A:BR,2,FALSE),"")</f>
        <v>Swart 2002</v>
      </c>
      <c r="C419" s="188" t="str">
        <f>IF(AND(A419&lt;&gt;"",ISNUMBER(A419)),VLOOKUP(A419,Studies!A:BR,3,FALSE),"")</f>
        <v xml:space="preserve">https://www.ncbi.nlm.nih.gov/pubmed/11851636 </v>
      </c>
      <c r="D419" s="228" t="str">
        <f>IF(AND(A419&lt;&gt;"",ISNUMBER(A419)),VLOOKUP(A419,Studies!A:BR,4,FALSE),"")</f>
        <v>day 5 Control (Perpetrator Placebo)</v>
      </c>
      <c r="E419" s="188" t="str">
        <f>IF(AND(A419&lt;&gt;"",ISNUMBER(A419)),VLOOKUP(A419,Studies!A:BR,5,FALSE),"")</f>
        <v>Midazolam</v>
      </c>
      <c r="F419" s="79" t="s">
        <v>1402</v>
      </c>
      <c r="G419" s="78">
        <f t="shared" si="8"/>
        <v>1</v>
      </c>
    </row>
    <row r="420" spans="1:7" x14ac:dyDescent="0.2">
      <c r="A420" s="110">
        <v>420</v>
      </c>
      <c r="B420" s="188" t="str">
        <f>IF(AND(A420&lt;&gt;"",ISNUMBER(A420)),VLOOKUP(A420,Studies!A:BR,2,FALSE),"")</f>
        <v>Swart 2002</v>
      </c>
      <c r="C420" s="188" t="str">
        <f>IF(AND(A420&lt;&gt;"",ISNUMBER(A420)),VLOOKUP(A420,Studies!A:BR,3,FALSE),"")</f>
        <v xml:space="preserve">https://www.ncbi.nlm.nih.gov/pubmed/11851636 </v>
      </c>
      <c r="D420" s="228" t="str">
        <f>IF(AND(A420&lt;&gt;"",ISNUMBER(A420)),VLOOKUP(A420,Studies!A:BR,4,FALSE),"")</f>
        <v>day 10 Control with Perpetrator (Erythromycin)</v>
      </c>
      <c r="E420" s="188" t="str">
        <f>IF(AND(A420&lt;&gt;"",ISNUMBER(A420)),VLOOKUP(A420,Studies!A:BR,5,FALSE),"")</f>
        <v>Midazolam</v>
      </c>
      <c r="F420" s="79" t="s">
        <v>1403</v>
      </c>
      <c r="G420" s="78">
        <f t="shared" si="8"/>
        <v>1</v>
      </c>
    </row>
    <row r="421" spans="1:7" x14ac:dyDescent="0.2">
      <c r="A421" s="110">
        <v>421</v>
      </c>
      <c r="B421" s="188" t="str">
        <f>IF(AND(A421&lt;&gt;"",ISNUMBER(A421)),VLOOKUP(A421,Studies!A:BR,2,FALSE),"")</f>
        <v>Szalat 2007</v>
      </c>
      <c r="C421" s="188" t="str">
        <f>IF(AND(A421&lt;&gt;"",ISNUMBER(A421)),VLOOKUP(A421,Studies!A:BR,3,FALSE),"")</f>
        <v>https://www.ncbi.nlm.nih.gov/pubmed/17553741</v>
      </c>
      <c r="D421" s="228" t="str">
        <f>IF(AND(A421&lt;&gt;"",ISNUMBER(A421)),VLOOKUP(A421,Studies!A:BR,4,FALSE),"")</f>
        <v>Control (Perpetrator Placebo)</v>
      </c>
      <c r="E421" s="188" t="str">
        <f>IF(AND(A421&lt;&gt;"",ISNUMBER(A421)),VLOOKUP(A421,Studies!A:BR,5,FALSE),"")</f>
        <v>Midazolam</v>
      </c>
      <c r="F421" s="79" t="s">
        <v>1371</v>
      </c>
      <c r="G421" s="78">
        <f t="shared" si="8"/>
        <v>1</v>
      </c>
    </row>
    <row r="422" spans="1:7" x14ac:dyDescent="0.2">
      <c r="A422" s="110">
        <v>422</v>
      </c>
      <c r="B422" s="188" t="str">
        <f>IF(AND(A422&lt;&gt;"",ISNUMBER(A422)),VLOOKUP(A422,Studies!A:BR,2,FALSE),"")</f>
        <v>Szalat 2007</v>
      </c>
      <c r="C422" s="188" t="str">
        <f>IF(AND(A422&lt;&gt;"",ISNUMBER(A422)),VLOOKUP(A422,Studies!A:BR,3,FALSE),"")</f>
        <v>https://www.ncbi.nlm.nih.gov/pubmed/17553741</v>
      </c>
      <c r="D422" s="228" t="str">
        <f>IF(AND(A422&lt;&gt;"",ISNUMBER(A422)),VLOOKUP(A422,Studies!A:BR,4,FALSE),"")</f>
        <v>with Perpetrator (Rifampicin)</v>
      </c>
      <c r="E422" s="188" t="str">
        <f>IF(AND(A422&lt;&gt;"",ISNUMBER(A422)),VLOOKUP(A422,Studies!A:BR,5,FALSE),"")</f>
        <v>Midazolam</v>
      </c>
      <c r="F422" s="79" t="s">
        <v>1372</v>
      </c>
      <c r="G422" s="78">
        <f t="shared" si="8"/>
        <v>1</v>
      </c>
    </row>
    <row r="423" spans="1:7" x14ac:dyDescent="0.2">
      <c r="A423" s="110">
        <v>423</v>
      </c>
      <c r="B423" s="188" t="str">
        <f>IF(AND(A423&lt;&gt;"",ISNUMBER(A423)),VLOOKUP(A423,Studies!A:BR,2,FALSE),"")</f>
        <v>Templeton 2010</v>
      </c>
      <c r="C423" s="188" t="str">
        <f>IF(AND(A423&lt;&gt;"",ISNUMBER(A423)),VLOOKUP(A423,Studies!A:BR,3,FALSE),"")</f>
        <v>https://www.ncbi.nlm.nih.gov/pubmed/20739919</v>
      </c>
      <c r="D423" s="228" t="str">
        <f>IF(AND(A423&lt;&gt;"",ISNUMBER(A423)),VLOOKUP(A423,Studies!A:BR,4,FALSE),"")</f>
        <v>Control (Perpetrator Placebo)</v>
      </c>
      <c r="E423" s="188" t="str">
        <f>IF(AND(A423&lt;&gt;"",ISNUMBER(A423)),VLOOKUP(A423,Studies!A:BR,5,FALSE),"")</f>
        <v>Midazolam</v>
      </c>
      <c r="F423" s="79" t="s">
        <v>1369</v>
      </c>
      <c r="G423" s="78">
        <f t="shared" si="8"/>
        <v>1</v>
      </c>
    </row>
    <row r="424" spans="1:7" x14ac:dyDescent="0.2">
      <c r="A424" s="110">
        <v>424</v>
      </c>
      <c r="B424" s="188" t="str">
        <f>IF(AND(A424&lt;&gt;"",ISNUMBER(A424)),VLOOKUP(A424,Studies!A:BR,2,FALSE),"")</f>
        <v>Templeton 2010</v>
      </c>
      <c r="C424" s="188" t="str">
        <f>IF(AND(A424&lt;&gt;"",ISNUMBER(A424)),VLOOKUP(A424,Studies!A:BR,3,FALSE),"")</f>
        <v>https://www.ncbi.nlm.nih.gov/pubmed/20739919</v>
      </c>
      <c r="D424" s="228" t="str">
        <f>IF(AND(A424&lt;&gt;"",ISNUMBER(A424)),VLOOKUP(A424,Studies!A:BR,4,FALSE),"")</f>
        <v>with Perpetrator (Itraconazole @ 50 mg)</v>
      </c>
      <c r="E424" s="188" t="str">
        <f>IF(AND(A424&lt;&gt;"",ISNUMBER(A424)),VLOOKUP(A424,Studies!A:BR,5,FALSE),"")</f>
        <v>Midazolam</v>
      </c>
      <c r="F424" s="79" t="s">
        <v>1370</v>
      </c>
      <c r="G424" s="78">
        <f t="shared" si="8"/>
        <v>1</v>
      </c>
    </row>
    <row r="425" spans="1:7" x14ac:dyDescent="0.2">
      <c r="A425" s="110">
        <v>425</v>
      </c>
      <c r="B425" s="188" t="str">
        <f>IF(AND(A425&lt;&gt;"",ISNUMBER(A425)),VLOOKUP(A425,Studies!A:BR,2,FALSE),"")</f>
        <v>Templeton 2010</v>
      </c>
      <c r="C425" s="188" t="str">
        <f>IF(AND(A425&lt;&gt;"",ISNUMBER(A425)),VLOOKUP(A425,Studies!A:BR,3,FALSE),"")</f>
        <v>https://www.ncbi.nlm.nih.gov/pubmed/20739919</v>
      </c>
      <c r="D425" s="228" t="str">
        <f>IF(AND(A425&lt;&gt;"",ISNUMBER(A425)),VLOOKUP(A425,Studies!A:BR,4,FALSE),"")</f>
        <v>with Perpetrator (Itraconazole @ 200 mg)</v>
      </c>
      <c r="E425" s="188" t="str">
        <f>IF(AND(A425&lt;&gt;"",ISNUMBER(A425)),VLOOKUP(A425,Studies!A:BR,5,FALSE),"")</f>
        <v>Midazolam</v>
      </c>
      <c r="F425" s="79" t="s">
        <v>1370</v>
      </c>
      <c r="G425" s="78">
        <f t="shared" si="8"/>
        <v>1</v>
      </c>
    </row>
    <row r="426" spans="1:7" x14ac:dyDescent="0.2">
      <c r="A426" s="110">
        <v>426</v>
      </c>
      <c r="B426" s="188" t="str">
        <f>IF(AND(A426&lt;&gt;"",ISNUMBER(A426)),VLOOKUP(A426,Studies!A:BR,2,FALSE),"")</f>
        <v>Templeton 2010</v>
      </c>
      <c r="C426" s="188" t="str">
        <f>IF(AND(A426&lt;&gt;"",ISNUMBER(A426)),VLOOKUP(A426,Studies!A:BR,3,FALSE),"")</f>
        <v>https://www.ncbi.nlm.nih.gov/pubmed/20739919</v>
      </c>
      <c r="D426" s="228" t="str">
        <f>IF(AND(A426&lt;&gt;"",ISNUMBER(A426)),VLOOKUP(A426,Studies!A:BR,4,FALSE),"")</f>
        <v>with Perpetrator (Itraconazole @ 400 mg)</v>
      </c>
      <c r="E426" s="188" t="str">
        <f>IF(AND(A426&lt;&gt;"",ISNUMBER(A426)),VLOOKUP(A426,Studies!A:BR,5,FALSE),"")</f>
        <v>Midazolam</v>
      </c>
      <c r="F426" s="79" t="s">
        <v>1370</v>
      </c>
      <c r="G426" s="78">
        <f t="shared" si="8"/>
        <v>1</v>
      </c>
    </row>
    <row r="427" spans="1:7" x14ac:dyDescent="0.2">
      <c r="A427" s="110">
        <v>427</v>
      </c>
      <c r="B427" s="188" t="str">
        <f>IF(AND(A427&lt;&gt;"",ISNUMBER(A427)),VLOOKUP(A427,Studies!A:BR,2,FALSE),"")</f>
        <v>Tham 2006</v>
      </c>
      <c r="C427" s="188" t="str">
        <f>IF(AND(A427&lt;&gt;"",ISNUMBER(A427)),VLOOKUP(A427,Studies!A:BR,3,FALSE),"")</f>
        <v>https://www.ncbi.nlm.nih.gov/pubmed/16628140</v>
      </c>
      <c r="D427" s="228" t="str">
        <f>IF(AND(A427&lt;&gt;"",ISNUMBER(A427)),VLOOKUP(A427,Studies!A:BR,4,FALSE),"")</f>
        <v>Control (Perpetrator Placebo)</v>
      </c>
      <c r="E427" s="188" t="str">
        <f>IF(AND(A427&lt;&gt;"",ISNUMBER(A427)),VLOOKUP(A427,Studies!A:BR,5,FALSE),"")</f>
        <v>Midazolam</v>
      </c>
      <c r="F427" s="79" t="s">
        <v>1410</v>
      </c>
      <c r="G427" s="78">
        <f t="shared" si="8"/>
        <v>1</v>
      </c>
    </row>
    <row r="428" spans="1:7" x14ac:dyDescent="0.2">
      <c r="A428" s="110">
        <v>428</v>
      </c>
      <c r="B428" s="188" t="str">
        <f>IF(AND(A428&lt;&gt;"",ISNUMBER(A428)),VLOOKUP(A428,Studies!A:BR,2,FALSE),"")</f>
        <v>Tham 2006</v>
      </c>
      <c r="C428" s="188" t="str">
        <f>IF(AND(A428&lt;&gt;"",ISNUMBER(A428)),VLOOKUP(A428,Studies!A:BR,3,FALSE),"")</f>
        <v>https://www.ncbi.nlm.nih.gov/pubmed/16628140</v>
      </c>
      <c r="D428" s="228" t="str">
        <f>IF(AND(A428&lt;&gt;"",ISNUMBER(A428)),VLOOKUP(A428,Studies!A:BR,4,FALSE),"")</f>
        <v>with Perpetrator (Ketoconazole 50 mg)</v>
      </c>
      <c r="E428" s="188" t="str">
        <f>IF(AND(A428&lt;&gt;"",ISNUMBER(A428)),VLOOKUP(A428,Studies!A:BR,5,FALSE),"")</f>
        <v>Midazolam</v>
      </c>
      <c r="F428" s="79" t="s">
        <v>1375</v>
      </c>
      <c r="G428" s="78">
        <f t="shared" si="8"/>
        <v>1</v>
      </c>
    </row>
    <row r="429" spans="1:7" x14ac:dyDescent="0.2">
      <c r="A429" s="110">
        <v>429</v>
      </c>
      <c r="B429" s="188" t="str">
        <f>IF(AND(A429&lt;&gt;"",ISNUMBER(A429)),VLOOKUP(A429,Studies!A:BR,2,FALSE),"")</f>
        <v>Thummel 1996</v>
      </c>
      <c r="C429" s="188" t="str">
        <f>IF(AND(A429&lt;&gt;"",ISNUMBER(A429)),VLOOKUP(A429,Studies!A:BR,3,FALSE),"")</f>
        <v>https://www.ncbi.nlm.nih.gov/pubmed/8646820</v>
      </c>
      <c r="D429" s="228" t="str">
        <f>IF(AND(A429&lt;&gt;"",ISNUMBER(A429)),VLOOKUP(A429,Studies!A:BR,4,FALSE),"")</f>
        <v>iv - female</v>
      </c>
      <c r="E429" s="188" t="str">
        <f>IF(AND(A429&lt;&gt;"",ISNUMBER(A429)),VLOOKUP(A429,Studies!A:BR,5,FALSE),"")</f>
        <v>Midazolam</v>
      </c>
      <c r="F429" s="79" t="s">
        <v>102</v>
      </c>
      <c r="G429" s="78">
        <f t="shared" si="8"/>
        <v>1</v>
      </c>
    </row>
    <row r="430" spans="1:7" x14ac:dyDescent="0.2">
      <c r="A430" s="110">
        <v>430</v>
      </c>
      <c r="B430" s="188" t="str">
        <f>IF(AND(A430&lt;&gt;"",ISNUMBER(A430)),VLOOKUP(A430,Studies!A:BR,2,FALSE),"")</f>
        <v>Thummel 1996</v>
      </c>
      <c r="C430" s="188" t="str">
        <f>IF(AND(A430&lt;&gt;"",ISNUMBER(A430)),VLOOKUP(A430,Studies!A:BR,3,FALSE),"")</f>
        <v>https://www.ncbi.nlm.nih.gov/pubmed/8646820</v>
      </c>
      <c r="D430" s="228" t="str">
        <f>IF(AND(A430&lt;&gt;"",ISNUMBER(A430)),VLOOKUP(A430,Studies!A:BR,4,FALSE),"")</f>
        <v>iv - male</v>
      </c>
      <c r="E430" s="188" t="str">
        <f>IF(AND(A430&lt;&gt;"",ISNUMBER(A430)),VLOOKUP(A430,Studies!A:BR,5,FALSE),"")</f>
        <v>Midazolam</v>
      </c>
      <c r="F430" s="79" t="s">
        <v>102</v>
      </c>
      <c r="G430" s="78">
        <f t="shared" si="8"/>
        <v>1</v>
      </c>
    </row>
    <row r="431" spans="1:7" x14ac:dyDescent="0.2">
      <c r="A431" s="110">
        <v>431</v>
      </c>
      <c r="B431" s="188" t="str">
        <f>IF(AND(A431&lt;&gt;"",ISNUMBER(A431)),VLOOKUP(A431,Studies!A:BR,2,FALSE),"")</f>
        <v>Thummel 1996</v>
      </c>
      <c r="C431" s="188" t="str">
        <f>IF(AND(A431&lt;&gt;"",ISNUMBER(A431)),VLOOKUP(A431,Studies!A:BR,3,FALSE),"")</f>
        <v>https://www.ncbi.nlm.nih.gov/pubmed/8646820</v>
      </c>
      <c r="D431" s="228" t="str">
        <f>IF(AND(A431&lt;&gt;"",ISNUMBER(A431)),VLOOKUP(A431,Studies!A:BR,4,FALSE),"")</f>
        <v>po - female</v>
      </c>
      <c r="E431" s="188" t="str">
        <f>IF(AND(A431&lt;&gt;"",ISNUMBER(A431)),VLOOKUP(A431,Studies!A:BR,5,FALSE),"")</f>
        <v>Midazolam</v>
      </c>
      <c r="F431" s="79" t="s">
        <v>102</v>
      </c>
      <c r="G431" s="78">
        <f t="shared" si="8"/>
        <v>1</v>
      </c>
    </row>
    <row r="432" spans="1:7" x14ac:dyDescent="0.2">
      <c r="A432" s="110">
        <v>432</v>
      </c>
      <c r="B432" s="188" t="str">
        <f>IF(AND(A432&lt;&gt;"",ISNUMBER(A432)),VLOOKUP(A432,Studies!A:BR,2,FALSE),"")</f>
        <v>Thummel 1996</v>
      </c>
      <c r="C432" s="188" t="str">
        <f>IF(AND(A432&lt;&gt;"",ISNUMBER(A432)),VLOOKUP(A432,Studies!A:BR,3,FALSE),"")</f>
        <v>https://www.ncbi.nlm.nih.gov/pubmed/8646820</v>
      </c>
      <c r="D432" s="228" t="str">
        <f>IF(AND(A432&lt;&gt;"",ISNUMBER(A432)),VLOOKUP(A432,Studies!A:BR,4,FALSE),"")</f>
        <v>po - male</v>
      </c>
      <c r="E432" s="188" t="str">
        <f>IF(AND(A432&lt;&gt;"",ISNUMBER(A432)),VLOOKUP(A432,Studies!A:BR,5,FALSE),"")</f>
        <v>Midazolam</v>
      </c>
      <c r="F432" s="79" t="s">
        <v>102</v>
      </c>
      <c r="G432" s="78">
        <f t="shared" si="8"/>
        <v>1</v>
      </c>
    </row>
    <row r="433" spans="1:7" x14ac:dyDescent="0.2">
      <c r="A433" s="111">
        <v>433</v>
      </c>
      <c r="B433" s="188" t="str">
        <f>IF(AND(A433&lt;&gt;"",ISNUMBER(A433)),VLOOKUP(A433,Studies!A:BR,2,FALSE),"")</f>
        <v>Treluyer 2002</v>
      </c>
      <c r="C433" s="188" t="str">
        <f>IF(AND(A433&lt;&gt;"",ISNUMBER(A433)),VLOOKUP(A433,Studies!A:BR,3,FALSE),"")</f>
        <v>https://www.ncbi.nlm.nih.gov/pubmed/11959572</v>
      </c>
      <c r="D433" s="228" t="str">
        <f>IF(AND(A433&lt;&gt;"",ISNUMBER(A433)),VLOOKUP(A433,Studies!A:BR,4,FALSE),"")</f>
        <v>mean</v>
      </c>
      <c r="E433" s="188" t="str">
        <f>IF(AND(A433&lt;&gt;"",ISNUMBER(A433)),VLOOKUP(A433,Studies!A:BR,5,FALSE),"")</f>
        <v>Amikacin</v>
      </c>
      <c r="F433" s="79" t="s">
        <v>184</v>
      </c>
      <c r="G433" s="78">
        <f t="shared" si="8"/>
        <v>1</v>
      </c>
    </row>
    <row r="434" spans="1:7" x14ac:dyDescent="0.2">
      <c r="A434" s="111">
        <v>434</v>
      </c>
      <c r="B434" s="188" t="str">
        <f>IF(AND(A434&lt;&gt;"",ISNUMBER(A434)),VLOOKUP(A434,Studies!A:BR,2,FALSE),"")</f>
        <v>Treluyer 2002</v>
      </c>
      <c r="C434" s="188" t="str">
        <f>IF(AND(A434&lt;&gt;"",ISNUMBER(A434)),VLOOKUP(A434,Studies!A:BR,3,FALSE),"")</f>
        <v>https://www.ncbi.nlm.nih.gov/pubmed/11959572</v>
      </c>
      <c r="D434" s="228" t="str">
        <f>IF(AND(A434&lt;&gt;"",ISNUMBER(A434)),VLOOKUP(A434,Studies!A:BR,4,FALSE),"")</f>
        <v>ID1</v>
      </c>
      <c r="E434" s="188" t="str">
        <f>IF(AND(A434&lt;&gt;"",ISNUMBER(A434)),VLOOKUP(A434,Studies!A:BR,5,FALSE),"")</f>
        <v>Amikacin</v>
      </c>
      <c r="F434" s="79" t="s">
        <v>184</v>
      </c>
      <c r="G434" s="78">
        <f t="shared" si="8"/>
        <v>1</v>
      </c>
    </row>
    <row r="435" spans="1:7" x14ac:dyDescent="0.2">
      <c r="A435" s="111">
        <v>435</v>
      </c>
      <c r="B435" s="188" t="str">
        <f>IF(AND(A435&lt;&gt;"",ISNUMBER(A435)),VLOOKUP(A435,Studies!A:BR,2,FALSE),"")</f>
        <v>Treluyer 2002</v>
      </c>
      <c r="C435" s="188" t="str">
        <f>IF(AND(A435&lt;&gt;"",ISNUMBER(A435)),VLOOKUP(A435,Studies!A:BR,3,FALSE),"")</f>
        <v>https://www.ncbi.nlm.nih.gov/pubmed/11959572</v>
      </c>
      <c r="D435" s="228" t="str">
        <f>IF(AND(A435&lt;&gt;"",ISNUMBER(A435)),VLOOKUP(A435,Studies!A:BR,4,FALSE),"")</f>
        <v>ID2</v>
      </c>
      <c r="E435" s="188" t="str">
        <f>IF(AND(A435&lt;&gt;"",ISNUMBER(A435)),VLOOKUP(A435,Studies!A:BR,5,FALSE),"")</f>
        <v>Amikacin</v>
      </c>
      <c r="F435" s="79" t="s">
        <v>184</v>
      </c>
      <c r="G435" s="78">
        <f t="shared" si="8"/>
        <v>1</v>
      </c>
    </row>
    <row r="436" spans="1:7" x14ac:dyDescent="0.2">
      <c r="A436" s="111">
        <v>436</v>
      </c>
      <c r="B436" s="188" t="str">
        <f>IF(AND(A436&lt;&gt;"",ISNUMBER(A436)),VLOOKUP(A436,Studies!A:BR,2,FALSE),"")</f>
        <v>Treluyer 2002</v>
      </c>
      <c r="C436" s="188" t="str">
        <f>IF(AND(A436&lt;&gt;"",ISNUMBER(A436)),VLOOKUP(A436,Studies!A:BR,3,FALSE),"")</f>
        <v>https://www.ncbi.nlm.nih.gov/pubmed/11959572</v>
      </c>
      <c r="D436" s="228" t="str">
        <f>IF(AND(A436&lt;&gt;"",ISNUMBER(A436)),VLOOKUP(A436,Studies!A:BR,4,FALSE),"")</f>
        <v>ID3</v>
      </c>
      <c r="E436" s="188" t="str">
        <f>IF(AND(A436&lt;&gt;"",ISNUMBER(A436)),VLOOKUP(A436,Studies!A:BR,5,FALSE),"")</f>
        <v>Amikacin</v>
      </c>
      <c r="F436" s="79" t="s">
        <v>184</v>
      </c>
      <c r="G436" s="78">
        <f t="shared" si="8"/>
        <v>1</v>
      </c>
    </row>
    <row r="437" spans="1:7" x14ac:dyDescent="0.2">
      <c r="A437" s="111">
        <v>437</v>
      </c>
      <c r="B437" s="188" t="str">
        <f>IF(AND(A437&lt;&gt;"",ISNUMBER(A437)),VLOOKUP(A437,Studies!A:BR,2,FALSE),"")</f>
        <v>Treluyer 2002</v>
      </c>
      <c r="C437" s="188" t="str">
        <f>IF(AND(A437&lt;&gt;"",ISNUMBER(A437)),VLOOKUP(A437,Studies!A:BR,3,FALSE),"")</f>
        <v>https://www.ncbi.nlm.nih.gov/pubmed/11959572</v>
      </c>
      <c r="D437" s="228" t="str">
        <f>IF(AND(A437&lt;&gt;"",ISNUMBER(A437)),VLOOKUP(A437,Studies!A:BR,4,FALSE),"")</f>
        <v>ID4</v>
      </c>
      <c r="E437" s="188" t="str">
        <f>IF(AND(A437&lt;&gt;"",ISNUMBER(A437)),VLOOKUP(A437,Studies!A:BR,5,FALSE),"")</f>
        <v>Amikacin</v>
      </c>
      <c r="F437" s="79" t="s">
        <v>184</v>
      </c>
      <c r="G437" s="78">
        <f t="shared" si="8"/>
        <v>1</v>
      </c>
    </row>
    <row r="438" spans="1:7" x14ac:dyDescent="0.2">
      <c r="A438" s="111">
        <v>438</v>
      </c>
      <c r="B438" s="188" t="str">
        <f>IF(AND(A438&lt;&gt;"",ISNUMBER(A438)),VLOOKUP(A438,Studies!A:BR,2,FALSE),"")</f>
        <v>Treluyer 2002</v>
      </c>
      <c r="C438" s="188" t="str">
        <f>IF(AND(A438&lt;&gt;"",ISNUMBER(A438)),VLOOKUP(A438,Studies!A:BR,3,FALSE),"")</f>
        <v>https://www.ncbi.nlm.nih.gov/pubmed/11959572</v>
      </c>
      <c r="D438" s="228" t="str">
        <f>IF(AND(A438&lt;&gt;"",ISNUMBER(A438)),VLOOKUP(A438,Studies!A:BR,4,FALSE),"")</f>
        <v>ID5</v>
      </c>
      <c r="E438" s="188" t="str">
        <f>IF(AND(A438&lt;&gt;"",ISNUMBER(A438)),VLOOKUP(A438,Studies!A:BR,5,FALSE),"")</f>
        <v>Amikacin</v>
      </c>
      <c r="F438" s="79" t="s">
        <v>184</v>
      </c>
      <c r="G438" s="78">
        <f t="shared" si="8"/>
        <v>1</v>
      </c>
    </row>
    <row r="439" spans="1:7" x14ac:dyDescent="0.2">
      <c r="A439" s="111">
        <v>439</v>
      </c>
      <c r="B439" s="188" t="str">
        <f>IF(AND(A439&lt;&gt;"",ISNUMBER(A439)),VLOOKUP(A439,Studies!A:BR,2,FALSE),"")</f>
        <v>Treluyer 2002</v>
      </c>
      <c r="C439" s="188" t="str">
        <f>IF(AND(A439&lt;&gt;"",ISNUMBER(A439)),VLOOKUP(A439,Studies!A:BR,3,FALSE),"")</f>
        <v>https://www.ncbi.nlm.nih.gov/pubmed/11959572</v>
      </c>
      <c r="D439" s="228" t="str">
        <f>IF(AND(A439&lt;&gt;"",ISNUMBER(A439)),VLOOKUP(A439,Studies!A:BR,4,FALSE),"")</f>
        <v>ID6</v>
      </c>
      <c r="E439" s="188" t="str">
        <f>IF(AND(A439&lt;&gt;"",ISNUMBER(A439)),VLOOKUP(A439,Studies!A:BR,5,FALSE),"")</f>
        <v>Amikacin</v>
      </c>
      <c r="F439" s="79" t="s">
        <v>184</v>
      </c>
      <c r="G439" s="78">
        <f t="shared" si="8"/>
        <v>1</v>
      </c>
    </row>
    <row r="440" spans="1:7" x14ac:dyDescent="0.2">
      <c r="A440" s="111">
        <v>440</v>
      </c>
      <c r="B440" s="188" t="str">
        <f>IF(AND(A440&lt;&gt;"",ISNUMBER(A440)),VLOOKUP(A440,Studies!A:BR,2,FALSE),"")</f>
        <v>Treluyer 2002</v>
      </c>
      <c r="C440" s="188" t="str">
        <f>IF(AND(A440&lt;&gt;"",ISNUMBER(A440)),VLOOKUP(A440,Studies!A:BR,3,FALSE),"")</f>
        <v>https://www.ncbi.nlm.nih.gov/pubmed/11959572</v>
      </c>
      <c r="D440" s="228" t="str">
        <f>IF(AND(A440&lt;&gt;"",ISNUMBER(A440)),VLOOKUP(A440,Studies!A:BR,4,FALSE),"")</f>
        <v>ID7</v>
      </c>
      <c r="E440" s="188" t="str">
        <f>IF(AND(A440&lt;&gt;"",ISNUMBER(A440)),VLOOKUP(A440,Studies!A:BR,5,FALSE),"")</f>
        <v>Amikacin</v>
      </c>
      <c r="F440" s="79" t="s">
        <v>184</v>
      </c>
      <c r="G440" s="78">
        <f t="shared" si="8"/>
        <v>1</v>
      </c>
    </row>
    <row r="441" spans="1:7" x14ac:dyDescent="0.2">
      <c r="A441" s="111">
        <v>441</v>
      </c>
      <c r="B441" s="188" t="str">
        <f>IF(AND(A441&lt;&gt;"",ISNUMBER(A441)),VLOOKUP(A441,Studies!A:BR,2,FALSE),"")</f>
        <v>Treluyer 2002</v>
      </c>
      <c r="C441" s="188" t="str">
        <f>IF(AND(A441&lt;&gt;"",ISNUMBER(A441)),VLOOKUP(A441,Studies!A:BR,3,FALSE),"")</f>
        <v>https://www.ncbi.nlm.nih.gov/pubmed/11959572</v>
      </c>
      <c r="D441" s="228" t="str">
        <f>IF(AND(A441&lt;&gt;"",ISNUMBER(A441)),VLOOKUP(A441,Studies!A:BR,4,FALSE),"")</f>
        <v>ID8</v>
      </c>
      <c r="E441" s="188" t="str">
        <f>IF(AND(A441&lt;&gt;"",ISNUMBER(A441)),VLOOKUP(A441,Studies!A:BR,5,FALSE),"")</f>
        <v>Amikacin</v>
      </c>
      <c r="F441" s="79" t="s">
        <v>184</v>
      </c>
      <c r="G441" s="78">
        <f t="shared" si="8"/>
        <v>1</v>
      </c>
    </row>
    <row r="442" spans="1:7" x14ac:dyDescent="0.2">
      <c r="A442" s="111">
        <v>442</v>
      </c>
      <c r="B442" s="188" t="str">
        <f>IF(AND(A442&lt;&gt;"",ISNUMBER(A442)),VLOOKUP(A442,Studies!A:BR,2,FALSE),"")</f>
        <v>Treluyer 2002</v>
      </c>
      <c r="C442" s="188" t="str">
        <f>IF(AND(A442&lt;&gt;"",ISNUMBER(A442)),VLOOKUP(A442,Studies!A:BR,3,FALSE),"")</f>
        <v>https://www.ncbi.nlm.nih.gov/pubmed/11959572</v>
      </c>
      <c r="D442" s="228" t="str">
        <f>IF(AND(A442&lt;&gt;"",ISNUMBER(A442)),VLOOKUP(A442,Studies!A:BR,4,FALSE),"")</f>
        <v>ID9</v>
      </c>
      <c r="E442" s="188" t="str">
        <f>IF(AND(A442&lt;&gt;"",ISNUMBER(A442)),VLOOKUP(A442,Studies!A:BR,5,FALSE),"")</f>
        <v>Amikacin</v>
      </c>
      <c r="F442" s="79" t="s">
        <v>184</v>
      </c>
      <c r="G442" s="78">
        <f t="shared" si="8"/>
        <v>1</v>
      </c>
    </row>
    <row r="443" spans="1:7" x14ac:dyDescent="0.2">
      <c r="A443" s="111">
        <v>443</v>
      </c>
      <c r="B443" s="188" t="str">
        <f>IF(AND(A443&lt;&gt;"",ISNUMBER(A443)),VLOOKUP(A443,Studies!A:BR,2,FALSE),"")</f>
        <v>Treluyer 2002</v>
      </c>
      <c r="C443" s="188" t="str">
        <f>IF(AND(A443&lt;&gt;"",ISNUMBER(A443)),VLOOKUP(A443,Studies!A:BR,3,FALSE),"")</f>
        <v>https://www.ncbi.nlm.nih.gov/pubmed/11959572</v>
      </c>
      <c r="D443" s="228" t="str">
        <f>IF(AND(A443&lt;&gt;"",ISNUMBER(A443)),VLOOKUP(A443,Studies!A:BR,4,FALSE),"")</f>
        <v>ID7</v>
      </c>
      <c r="E443" s="188" t="str">
        <f>IF(AND(A443&lt;&gt;"",ISNUMBER(A443)),VLOOKUP(A443,Studies!A:BR,5,FALSE),"")</f>
        <v>Amikacin</v>
      </c>
      <c r="F443" s="79" t="s">
        <v>184</v>
      </c>
      <c r="G443" s="78">
        <f t="shared" si="8"/>
        <v>1</v>
      </c>
    </row>
    <row r="444" spans="1:7" x14ac:dyDescent="0.2">
      <c r="A444" s="111">
        <v>444</v>
      </c>
      <c r="B444" s="188" t="str">
        <f>IF(AND(A444&lt;&gt;"",ISNUMBER(A444)),VLOOKUP(A444,Studies!A:BR,2,FALSE),"")</f>
        <v>Treluyer 2002</v>
      </c>
      <c r="C444" s="188" t="str">
        <f>IF(AND(A444&lt;&gt;"",ISNUMBER(A444)),VLOOKUP(A444,Studies!A:BR,3,FALSE),"")</f>
        <v>https://www.ncbi.nlm.nih.gov/pubmed/11959572</v>
      </c>
      <c r="D444" s="228" t="str">
        <f>IF(AND(A444&lt;&gt;"",ISNUMBER(A444)),VLOOKUP(A444,Studies!A:BR,4,FALSE),"")</f>
        <v>ID8</v>
      </c>
      <c r="E444" s="188" t="str">
        <f>IF(AND(A444&lt;&gt;"",ISNUMBER(A444)),VLOOKUP(A444,Studies!A:BR,5,FALSE),"")</f>
        <v>Amikacin</v>
      </c>
      <c r="F444" s="79" t="s">
        <v>184</v>
      </c>
      <c r="G444" s="78">
        <f t="shared" si="8"/>
        <v>1</v>
      </c>
    </row>
    <row r="445" spans="1:7" x14ac:dyDescent="0.2">
      <c r="A445" s="111">
        <v>445</v>
      </c>
      <c r="B445" s="188" t="str">
        <f>IF(AND(A445&lt;&gt;"",ISNUMBER(A445)),VLOOKUP(A445,Studies!A:BR,2,FALSE),"")</f>
        <v>Treluyer 2002</v>
      </c>
      <c r="C445" s="188" t="str">
        <f>IF(AND(A445&lt;&gt;"",ISNUMBER(A445)),VLOOKUP(A445,Studies!A:BR,3,FALSE),"")</f>
        <v>https://www.ncbi.nlm.nih.gov/pubmed/11959572</v>
      </c>
      <c r="D445" s="228" t="str">
        <f>IF(AND(A445&lt;&gt;"",ISNUMBER(A445)),VLOOKUP(A445,Studies!A:BR,4,FALSE),"")</f>
        <v>ID9</v>
      </c>
      <c r="E445" s="188" t="str">
        <f>IF(AND(A445&lt;&gt;"",ISNUMBER(A445)),VLOOKUP(A445,Studies!A:BR,5,FALSE),"")</f>
        <v>Amikacin</v>
      </c>
      <c r="F445" s="79" t="s">
        <v>184</v>
      </c>
      <c r="G445" s="78">
        <f t="shared" si="8"/>
        <v>1</v>
      </c>
    </row>
    <row r="446" spans="1:7" x14ac:dyDescent="0.2">
      <c r="A446" s="112">
        <v>446</v>
      </c>
      <c r="B446" s="188" t="str">
        <f>IF(AND(A446&lt;&gt;"",ISNUMBER(A446)),VLOOKUP(A446,Studies!A:BR,2,FALSE),"")</f>
        <v>Vogelstein</v>
      </c>
      <c r="C446" s="188" t="str">
        <f>IF(AND(A446&lt;&gt;"",ISNUMBER(A446)),VLOOKUP(A446,Studies!A:BR,3,FALSE),"")</f>
        <v>https://www.ncbi.nlm.nih.gov/pubmed/874697</v>
      </c>
      <c r="D446" s="228" t="str">
        <f>IF(AND(A446&lt;&gt;"",ISNUMBER(A446)),VLOOKUP(A446,Studies!A:BR,4,FALSE),"")</f>
        <v>mean</v>
      </c>
      <c r="E446" s="188" t="str">
        <f>IF(AND(A446&lt;&gt;"",ISNUMBER(A446)),VLOOKUP(A446,Studies!A:BR,5,FALSE),"")</f>
        <v>Amikacin</v>
      </c>
      <c r="F446" s="79" t="s">
        <v>184</v>
      </c>
      <c r="G446" s="78">
        <f t="shared" si="8"/>
        <v>1</v>
      </c>
    </row>
    <row r="447" spans="1:7" x14ac:dyDescent="0.2">
      <c r="A447" s="112">
        <v>447</v>
      </c>
      <c r="B447" s="188" t="str">
        <f>IF(AND(A447&lt;&gt;"",ISNUMBER(A447)),VLOOKUP(A447,Studies!A:BR,2,FALSE),"")</f>
        <v>Vogelstein 1977</v>
      </c>
      <c r="C447" s="188" t="str">
        <f>IF(AND(A447&lt;&gt;"",ISNUMBER(A447)),VLOOKUP(A447,Studies!A:BR,3,FALSE),"")</f>
        <v>https://www.ncbi.nlm.nih.gov/pubmed/874697</v>
      </c>
      <c r="D447" s="228" t="str">
        <f>IF(AND(A447&lt;&gt;"",ISNUMBER(A447)),VLOOKUP(A447,Studies!A:BR,4,FALSE),"")</f>
        <v>ID1</v>
      </c>
      <c r="E447" s="188" t="str">
        <f>IF(AND(A447&lt;&gt;"",ISNUMBER(A447)),VLOOKUP(A447,Studies!A:BR,5,FALSE),"")</f>
        <v>Amikacin</v>
      </c>
      <c r="F447" s="79" t="s">
        <v>184</v>
      </c>
      <c r="G447" s="78">
        <f t="shared" si="8"/>
        <v>1</v>
      </c>
    </row>
    <row r="448" spans="1:7" x14ac:dyDescent="0.2">
      <c r="A448" s="112">
        <v>448</v>
      </c>
      <c r="B448" s="188" t="str">
        <f>IF(AND(A448&lt;&gt;"",ISNUMBER(A448)),VLOOKUP(A448,Studies!A:BR,2,FALSE),"")</f>
        <v>Vogelstein 1977</v>
      </c>
      <c r="C448" s="188" t="str">
        <f>IF(AND(A448&lt;&gt;"",ISNUMBER(A448)),VLOOKUP(A448,Studies!A:BR,3,FALSE),"")</f>
        <v>https://www.ncbi.nlm.nih.gov/pubmed/874697</v>
      </c>
      <c r="D448" s="228" t="str">
        <f>IF(AND(A448&lt;&gt;"",ISNUMBER(A448)),VLOOKUP(A448,Studies!A:BR,4,FALSE),"")</f>
        <v>ID2</v>
      </c>
      <c r="E448" s="188" t="str">
        <f>IF(AND(A448&lt;&gt;"",ISNUMBER(A448)),VLOOKUP(A448,Studies!A:BR,5,FALSE),"")</f>
        <v>Amikacin</v>
      </c>
      <c r="F448" s="79" t="s">
        <v>184</v>
      </c>
      <c r="G448" s="78">
        <f t="shared" si="8"/>
        <v>1</v>
      </c>
    </row>
    <row r="449" spans="1:7" x14ac:dyDescent="0.2">
      <c r="A449" s="112">
        <v>449</v>
      </c>
      <c r="B449" s="188" t="str">
        <f>IF(AND(A449&lt;&gt;"",ISNUMBER(A449)),VLOOKUP(A449,Studies!A:BR,2,FALSE),"")</f>
        <v>Vogelstein 1977</v>
      </c>
      <c r="C449" s="188" t="str">
        <f>IF(AND(A449&lt;&gt;"",ISNUMBER(A449)),VLOOKUP(A449,Studies!A:BR,3,FALSE),"")</f>
        <v>https://www.ncbi.nlm.nih.gov/pubmed/874697</v>
      </c>
      <c r="D449" s="228" t="str">
        <f>IF(AND(A449&lt;&gt;"",ISNUMBER(A449)),VLOOKUP(A449,Studies!A:BR,4,FALSE),"")</f>
        <v>ID3</v>
      </c>
      <c r="E449" s="188" t="str">
        <f>IF(AND(A449&lt;&gt;"",ISNUMBER(A449)),VLOOKUP(A449,Studies!A:BR,5,FALSE),"")</f>
        <v>Amikacin</v>
      </c>
      <c r="F449" s="79" t="s">
        <v>184</v>
      </c>
      <c r="G449" s="78">
        <f t="shared" si="8"/>
        <v>1</v>
      </c>
    </row>
    <row r="450" spans="1:7" x14ac:dyDescent="0.2">
      <c r="A450" s="112">
        <v>450</v>
      </c>
      <c r="B450" s="188" t="str">
        <f>IF(AND(A450&lt;&gt;"",ISNUMBER(A450)),VLOOKUP(A450,Studies!A:BR,2,FALSE),"")</f>
        <v>Vogelstein 1977</v>
      </c>
      <c r="C450" s="188" t="str">
        <f>IF(AND(A450&lt;&gt;"",ISNUMBER(A450)),VLOOKUP(A450,Studies!A:BR,3,FALSE),"")</f>
        <v>https://www.ncbi.nlm.nih.gov/pubmed/874697</v>
      </c>
      <c r="D450" s="228" t="str">
        <f>IF(AND(A450&lt;&gt;"",ISNUMBER(A450)),VLOOKUP(A450,Studies!A:BR,4,FALSE),"")</f>
        <v>ID4</v>
      </c>
      <c r="E450" s="188" t="str">
        <f>IF(AND(A450&lt;&gt;"",ISNUMBER(A450)),VLOOKUP(A450,Studies!A:BR,5,FALSE),"")</f>
        <v>Amikacin</v>
      </c>
      <c r="F450" s="79" t="s">
        <v>184</v>
      </c>
      <c r="G450" s="78">
        <f t="shared" si="8"/>
        <v>1</v>
      </c>
    </row>
    <row r="451" spans="1:7" x14ac:dyDescent="0.2">
      <c r="A451" s="112">
        <v>451</v>
      </c>
      <c r="B451" s="188" t="str">
        <f>IF(AND(A451&lt;&gt;"",ISNUMBER(A451)),VLOOKUP(A451,Studies!A:BR,2,FALSE),"")</f>
        <v>Vogelstein 1977</v>
      </c>
      <c r="C451" s="188" t="str">
        <f>IF(AND(A451&lt;&gt;"",ISNUMBER(A451)),VLOOKUP(A451,Studies!A:BR,3,FALSE),"")</f>
        <v>https://www.ncbi.nlm.nih.gov/pubmed/874697</v>
      </c>
      <c r="D451" s="228" t="str">
        <f>IF(AND(A451&lt;&gt;"",ISNUMBER(A451)),VLOOKUP(A451,Studies!A:BR,4,FALSE),"")</f>
        <v>ID5</v>
      </c>
      <c r="E451" s="188" t="str">
        <f>IF(AND(A451&lt;&gt;"",ISNUMBER(A451)),VLOOKUP(A451,Studies!A:BR,5,FALSE),"")</f>
        <v>Amikacin</v>
      </c>
      <c r="F451" s="79" t="s">
        <v>184</v>
      </c>
      <c r="G451" s="78">
        <f t="shared" si="8"/>
        <v>1</v>
      </c>
    </row>
    <row r="452" spans="1:7" x14ac:dyDescent="0.2">
      <c r="A452" s="112">
        <v>452</v>
      </c>
      <c r="B452" s="188" t="str">
        <f>IF(AND(A452&lt;&gt;"",ISNUMBER(A452)),VLOOKUP(A452,Studies!A:BR,2,FALSE),"")</f>
        <v>Vogelstein 1977</v>
      </c>
      <c r="C452" s="188" t="str">
        <f>IF(AND(A452&lt;&gt;"",ISNUMBER(A452)),VLOOKUP(A452,Studies!A:BR,3,FALSE),"")</f>
        <v>https://www.ncbi.nlm.nih.gov/pubmed/874697</v>
      </c>
      <c r="D452" s="228" t="str">
        <f>IF(AND(A452&lt;&gt;"",ISNUMBER(A452)),VLOOKUP(A452,Studies!A:BR,4,FALSE),"")</f>
        <v>ID6</v>
      </c>
      <c r="E452" s="188" t="str">
        <f>IF(AND(A452&lt;&gt;"",ISNUMBER(A452)),VLOOKUP(A452,Studies!A:BR,5,FALSE),"")</f>
        <v>Amikacin</v>
      </c>
      <c r="F452" s="79" t="s">
        <v>184</v>
      </c>
      <c r="G452" s="78">
        <f t="shared" si="8"/>
        <v>1</v>
      </c>
    </row>
    <row r="453" spans="1:7" x14ac:dyDescent="0.2">
      <c r="A453" s="112">
        <v>453</v>
      </c>
      <c r="B453" s="188" t="str">
        <f>IF(AND(A453&lt;&gt;"",ISNUMBER(A453)),VLOOKUP(A453,Studies!A:BR,2,FALSE),"")</f>
        <v>Vogelstein 1977</v>
      </c>
      <c r="C453" s="188" t="str">
        <f>IF(AND(A453&lt;&gt;"",ISNUMBER(A453)),VLOOKUP(A453,Studies!A:BR,3,FALSE),"")</f>
        <v>https://www.ncbi.nlm.nih.gov/pubmed/874697</v>
      </c>
      <c r="D453" s="228" t="str">
        <f>IF(AND(A453&lt;&gt;"",ISNUMBER(A453)),VLOOKUP(A453,Studies!A:BR,4,FALSE),"")</f>
        <v>ID7</v>
      </c>
      <c r="E453" s="188" t="str">
        <f>IF(AND(A453&lt;&gt;"",ISNUMBER(A453)),VLOOKUP(A453,Studies!A:BR,5,FALSE),"")</f>
        <v>Amikacin</v>
      </c>
      <c r="F453" s="79" t="s">
        <v>184</v>
      </c>
      <c r="G453" s="78">
        <f t="shared" si="8"/>
        <v>1</v>
      </c>
    </row>
    <row r="454" spans="1:7" x14ac:dyDescent="0.2">
      <c r="A454" s="112">
        <v>454</v>
      </c>
      <c r="B454" s="188" t="str">
        <f>IF(AND(A454&lt;&gt;"",ISNUMBER(A454)),VLOOKUP(A454,Studies!A:BR,2,FALSE),"")</f>
        <v>Vogelstein 1977</v>
      </c>
      <c r="C454" s="188" t="str">
        <f>IF(AND(A454&lt;&gt;"",ISNUMBER(A454)),VLOOKUP(A454,Studies!A:BR,3,FALSE),"")</f>
        <v>https://www.ncbi.nlm.nih.gov/pubmed/874697</v>
      </c>
      <c r="D454" s="228" t="str">
        <f>IF(AND(A454&lt;&gt;"",ISNUMBER(A454)),VLOOKUP(A454,Studies!A:BR,4,FALSE),"")</f>
        <v>ID8</v>
      </c>
      <c r="E454" s="188" t="str">
        <f>IF(AND(A454&lt;&gt;"",ISNUMBER(A454)),VLOOKUP(A454,Studies!A:BR,5,FALSE),"")</f>
        <v>Amikacin</v>
      </c>
      <c r="F454" s="79" t="s">
        <v>184</v>
      </c>
      <c r="G454" s="78">
        <f t="shared" si="8"/>
        <v>1</v>
      </c>
    </row>
    <row r="455" spans="1:7" x14ac:dyDescent="0.2">
      <c r="A455" s="112">
        <v>455</v>
      </c>
      <c r="B455" s="188" t="str">
        <f>IF(AND(A455&lt;&gt;"",ISNUMBER(A455)),VLOOKUP(A455,Studies!A:BR,2,FALSE),"")</f>
        <v>Vogelstein 1977</v>
      </c>
      <c r="C455" s="188" t="str">
        <f>IF(AND(A455&lt;&gt;"",ISNUMBER(A455)),VLOOKUP(A455,Studies!A:BR,3,FALSE),"")</f>
        <v>https://www.ncbi.nlm.nih.gov/pubmed/874697</v>
      </c>
      <c r="D455" s="228" t="str">
        <f>IF(AND(A455&lt;&gt;"",ISNUMBER(A455)),VLOOKUP(A455,Studies!A:BR,4,FALSE),"")</f>
        <v>ID9</v>
      </c>
      <c r="E455" s="188" t="str">
        <f>IF(AND(A455&lt;&gt;"",ISNUMBER(A455)),VLOOKUP(A455,Studies!A:BR,5,FALSE),"")</f>
        <v>Amikacin</v>
      </c>
      <c r="F455" s="79" t="s">
        <v>184</v>
      </c>
      <c r="G455" s="78">
        <f t="shared" si="8"/>
        <v>1</v>
      </c>
    </row>
    <row r="456" spans="1:7" x14ac:dyDescent="0.2">
      <c r="A456" s="112">
        <v>456</v>
      </c>
      <c r="B456" s="188" t="str">
        <f>IF(AND(A456&lt;&gt;"",ISNUMBER(A456)),VLOOKUP(A456,Studies!A:BR,2,FALSE),"")</f>
        <v>Vogelstein 1977</v>
      </c>
      <c r="C456" s="188" t="str">
        <f>IF(AND(A456&lt;&gt;"",ISNUMBER(A456)),VLOOKUP(A456,Studies!A:BR,3,FALSE),"")</f>
        <v>https://www.ncbi.nlm.nih.gov/pubmed/874697</v>
      </c>
      <c r="D456" s="228" t="str">
        <f>IF(AND(A456&lt;&gt;"",ISNUMBER(A456)),VLOOKUP(A456,Studies!A:BR,4,FALSE),"")</f>
        <v>ID10</v>
      </c>
      <c r="E456" s="188" t="str">
        <f>IF(AND(A456&lt;&gt;"",ISNUMBER(A456)),VLOOKUP(A456,Studies!A:BR,5,FALSE),"")</f>
        <v>Amikacin</v>
      </c>
      <c r="F456" s="79" t="s">
        <v>184</v>
      </c>
      <c r="G456" s="78">
        <f t="shared" si="8"/>
        <v>1</v>
      </c>
    </row>
    <row r="457" spans="1:7" x14ac:dyDescent="0.2">
      <c r="A457" s="112">
        <v>457</v>
      </c>
      <c r="B457" s="188" t="str">
        <f>IF(AND(A457&lt;&gt;"",ISNUMBER(A457)),VLOOKUP(A457,Studies!A:BR,2,FALSE),"")</f>
        <v>Vogelstein 1977</v>
      </c>
      <c r="C457" s="188" t="str">
        <f>IF(AND(A457&lt;&gt;"",ISNUMBER(A457)),VLOOKUP(A457,Studies!A:BR,3,FALSE),"")</f>
        <v>https://www.ncbi.nlm.nih.gov/pubmed/874697</v>
      </c>
      <c r="D457" s="228" t="str">
        <f>IF(AND(A457&lt;&gt;"",ISNUMBER(A457)),VLOOKUP(A457,Studies!A:BR,4,FALSE),"")</f>
        <v>ID11</v>
      </c>
      <c r="E457" s="188" t="str">
        <f>IF(AND(A457&lt;&gt;"",ISNUMBER(A457)),VLOOKUP(A457,Studies!A:BR,5,FALSE),"")</f>
        <v>Amikacin</v>
      </c>
      <c r="F457" s="79" t="s">
        <v>184</v>
      </c>
      <c r="G457" s="78">
        <f t="shared" ref="G457:G520" si="9">A457-A456</f>
        <v>1</v>
      </c>
    </row>
    <row r="458" spans="1:7" x14ac:dyDescent="0.2">
      <c r="A458" s="112">
        <v>458</v>
      </c>
      <c r="B458" s="188" t="str">
        <f>IF(AND(A458&lt;&gt;"",ISNUMBER(A458)),VLOOKUP(A458,Studies!A:BR,2,FALSE),"")</f>
        <v>Vogelstein 1977</v>
      </c>
      <c r="C458" s="188" t="str">
        <f>IF(AND(A458&lt;&gt;"",ISNUMBER(A458)),VLOOKUP(A458,Studies!A:BR,3,FALSE),"")</f>
        <v>https://www.ncbi.nlm.nih.gov/pubmed/874697</v>
      </c>
      <c r="D458" s="228" t="str">
        <f>IF(AND(A458&lt;&gt;"",ISNUMBER(A458)),VLOOKUP(A458,Studies!A:BR,4,FALSE),"")</f>
        <v>ID12</v>
      </c>
      <c r="E458" s="188" t="str">
        <f>IF(AND(A458&lt;&gt;"",ISNUMBER(A458)),VLOOKUP(A458,Studies!A:BR,5,FALSE),"")</f>
        <v>Amikacin</v>
      </c>
      <c r="F458" s="79" t="s">
        <v>184</v>
      </c>
      <c r="G458" s="78">
        <f t="shared" si="9"/>
        <v>1</v>
      </c>
    </row>
    <row r="459" spans="1:7" x14ac:dyDescent="0.2">
      <c r="A459" s="112">
        <v>459</v>
      </c>
      <c r="B459" s="188" t="str">
        <f>IF(AND(A459&lt;&gt;"",ISNUMBER(A459)),VLOOKUP(A459,Studies!A:BR,2,FALSE),"")</f>
        <v>Vogelstein 1977</v>
      </c>
      <c r="C459" s="188" t="str">
        <f>IF(AND(A459&lt;&gt;"",ISNUMBER(A459)),VLOOKUP(A459,Studies!A:BR,3,FALSE),"")</f>
        <v>https://www.ncbi.nlm.nih.gov/pubmed/874697</v>
      </c>
      <c r="D459" s="228" t="str">
        <f>IF(AND(A459&lt;&gt;"",ISNUMBER(A459)),VLOOKUP(A459,Studies!A:BR,4,FALSE),"")</f>
        <v>ID13</v>
      </c>
      <c r="E459" s="188" t="str">
        <f>IF(AND(A459&lt;&gt;"",ISNUMBER(A459)),VLOOKUP(A459,Studies!A:BR,5,FALSE),"")</f>
        <v>Amikacin</v>
      </c>
      <c r="F459" s="79" t="s">
        <v>184</v>
      </c>
      <c r="G459" s="78">
        <f t="shared" si="9"/>
        <v>1</v>
      </c>
    </row>
    <row r="460" spans="1:7" x14ac:dyDescent="0.2">
      <c r="A460" s="112">
        <v>460</v>
      </c>
      <c r="B460" s="188" t="str">
        <f>IF(AND(A460&lt;&gt;"",ISNUMBER(A460)),VLOOKUP(A460,Studies!A:BR,2,FALSE),"")</f>
        <v>Vogelstein 1977</v>
      </c>
      <c r="C460" s="188" t="str">
        <f>IF(AND(A460&lt;&gt;"",ISNUMBER(A460)),VLOOKUP(A460,Studies!A:BR,3,FALSE),"")</f>
        <v>https://www.ncbi.nlm.nih.gov/pubmed/874697</v>
      </c>
      <c r="D460" s="228" t="str">
        <f>IF(AND(A460&lt;&gt;"",ISNUMBER(A460)),VLOOKUP(A460,Studies!A:BR,4,FALSE),"")</f>
        <v>ID14</v>
      </c>
      <c r="E460" s="188" t="str">
        <f>IF(AND(A460&lt;&gt;"",ISNUMBER(A460)),VLOOKUP(A460,Studies!A:BR,5,FALSE),"")</f>
        <v>Amikacin</v>
      </c>
      <c r="F460" s="79" t="s">
        <v>184</v>
      </c>
      <c r="G460" s="78">
        <f t="shared" si="9"/>
        <v>1</v>
      </c>
    </row>
    <row r="461" spans="1:7" x14ac:dyDescent="0.2">
      <c r="A461" s="112">
        <v>461</v>
      </c>
      <c r="B461" s="188" t="str">
        <f>IF(AND(A461&lt;&gt;"",ISNUMBER(A461)),VLOOKUP(A461,Studies!A:BR,2,FALSE),"")</f>
        <v>Vogelstein 1977</v>
      </c>
      <c r="C461" s="188" t="str">
        <f>IF(AND(A461&lt;&gt;"",ISNUMBER(A461)),VLOOKUP(A461,Studies!A:BR,3,FALSE),"")</f>
        <v>https://www.ncbi.nlm.nih.gov/pubmed/874697</v>
      </c>
      <c r="D461" s="228" t="str">
        <f>IF(AND(A461&lt;&gt;"",ISNUMBER(A461)),VLOOKUP(A461,Studies!A:BR,4,FALSE),"")</f>
        <v>ID15</v>
      </c>
      <c r="E461" s="188" t="str">
        <f>IF(AND(A461&lt;&gt;"",ISNUMBER(A461)),VLOOKUP(A461,Studies!A:BR,5,FALSE),"")</f>
        <v>Amikacin</v>
      </c>
      <c r="F461" s="79" t="s">
        <v>184</v>
      </c>
      <c r="G461" s="78">
        <f t="shared" si="9"/>
        <v>1</v>
      </c>
    </row>
    <row r="462" spans="1:7" x14ac:dyDescent="0.2">
      <c r="A462" s="112">
        <v>462</v>
      </c>
      <c r="B462" s="188" t="str">
        <f>IF(AND(A462&lt;&gt;"",ISNUMBER(A462)),VLOOKUP(A462,Studies!A:BR,2,FALSE),"")</f>
        <v>Vogelstein 1977</v>
      </c>
      <c r="C462" s="188" t="str">
        <f>IF(AND(A462&lt;&gt;"",ISNUMBER(A462)),VLOOKUP(A462,Studies!A:BR,3,FALSE),"")</f>
        <v>https://www.ncbi.nlm.nih.gov/pubmed/874697</v>
      </c>
      <c r="D462" s="228" t="str">
        <f>IF(AND(A462&lt;&gt;"",ISNUMBER(A462)),VLOOKUP(A462,Studies!A:BR,4,FALSE),"")</f>
        <v>ID16</v>
      </c>
      <c r="E462" s="188" t="str">
        <f>IF(AND(A462&lt;&gt;"",ISNUMBER(A462)),VLOOKUP(A462,Studies!A:BR,5,FALSE),"")</f>
        <v>Amikacin</v>
      </c>
      <c r="F462" s="79" t="s">
        <v>184</v>
      </c>
      <c r="G462" s="78">
        <f t="shared" si="9"/>
        <v>1</v>
      </c>
    </row>
    <row r="463" spans="1:7" x14ac:dyDescent="0.2">
      <c r="A463" s="112">
        <v>463</v>
      </c>
      <c r="B463" s="188" t="str">
        <f>IF(AND(A463&lt;&gt;"",ISNUMBER(A463)),VLOOKUP(A463,Studies!A:BR,2,FALSE),"")</f>
        <v>Vogelstein 1977</v>
      </c>
      <c r="C463" s="188" t="str">
        <f>IF(AND(A463&lt;&gt;"",ISNUMBER(A463)),VLOOKUP(A463,Studies!A:BR,3,FALSE),"")</f>
        <v>https://www.ncbi.nlm.nih.gov/pubmed/874697</v>
      </c>
      <c r="D463" s="228" t="str">
        <f>IF(AND(A463&lt;&gt;"",ISNUMBER(A463)),VLOOKUP(A463,Studies!A:BR,4,FALSE),"")</f>
        <v>ID17</v>
      </c>
      <c r="E463" s="188" t="str">
        <f>IF(AND(A463&lt;&gt;"",ISNUMBER(A463)),VLOOKUP(A463,Studies!A:BR,5,FALSE),"")</f>
        <v>Amikacin</v>
      </c>
      <c r="F463" s="79" t="s">
        <v>184</v>
      </c>
      <c r="G463" s="78">
        <f t="shared" si="9"/>
        <v>1</v>
      </c>
    </row>
    <row r="464" spans="1:7" x14ac:dyDescent="0.2">
      <c r="A464" s="112">
        <v>464</v>
      </c>
      <c r="B464" s="188" t="str">
        <f>IF(AND(A464&lt;&gt;"",ISNUMBER(A464)),VLOOKUP(A464,Studies!A:BR,2,FALSE),"")</f>
        <v>Vogelstein 1977</v>
      </c>
      <c r="C464" s="188" t="str">
        <f>IF(AND(A464&lt;&gt;"",ISNUMBER(A464)),VLOOKUP(A464,Studies!A:BR,3,FALSE),"")</f>
        <v>https://www.ncbi.nlm.nih.gov/pubmed/874697</v>
      </c>
      <c r="D464" s="228" t="str">
        <f>IF(AND(A464&lt;&gt;"",ISNUMBER(A464)),VLOOKUP(A464,Studies!A:BR,4,FALSE),"")</f>
        <v>ID18</v>
      </c>
      <c r="E464" s="188" t="str">
        <f>IF(AND(A464&lt;&gt;"",ISNUMBER(A464)),VLOOKUP(A464,Studies!A:BR,5,FALSE),"")</f>
        <v>Amikacin</v>
      </c>
      <c r="F464" s="79" t="s">
        <v>184</v>
      </c>
      <c r="G464" s="78">
        <f t="shared" si="9"/>
        <v>1</v>
      </c>
    </row>
    <row r="465" spans="1:7" x14ac:dyDescent="0.2">
      <c r="A465" s="112">
        <v>465</v>
      </c>
      <c r="B465" s="188" t="str">
        <f>IF(AND(A465&lt;&gt;"",ISNUMBER(A465)),VLOOKUP(A465,Studies!A:BR,2,FALSE),"")</f>
        <v>Vogelstein 1977</v>
      </c>
      <c r="C465" s="188" t="str">
        <f>IF(AND(A465&lt;&gt;"",ISNUMBER(A465)),VLOOKUP(A465,Studies!A:BR,3,FALSE),"")</f>
        <v>https://www.ncbi.nlm.nih.gov/pubmed/874697</v>
      </c>
      <c r="D465" s="228" t="str">
        <f>IF(AND(A465&lt;&gt;"",ISNUMBER(A465)),VLOOKUP(A465,Studies!A:BR,4,FALSE),"")</f>
        <v>ID19</v>
      </c>
      <c r="E465" s="188" t="str">
        <f>IF(AND(A465&lt;&gt;"",ISNUMBER(A465)),VLOOKUP(A465,Studies!A:BR,5,FALSE),"")</f>
        <v>Amikacin</v>
      </c>
      <c r="F465" s="79" t="s">
        <v>184</v>
      </c>
      <c r="G465" s="78">
        <f t="shared" si="9"/>
        <v>1</v>
      </c>
    </row>
    <row r="466" spans="1:7" x14ac:dyDescent="0.2">
      <c r="A466" s="112">
        <v>466</v>
      </c>
      <c r="B466" s="188" t="str">
        <f>IF(AND(A466&lt;&gt;"",ISNUMBER(A466)),VLOOKUP(A466,Studies!A:BR,2,FALSE),"")</f>
        <v>Vogelstein 1977</v>
      </c>
      <c r="C466" s="188" t="str">
        <f>IF(AND(A466&lt;&gt;"",ISNUMBER(A466)),VLOOKUP(A466,Studies!A:BR,3,FALSE),"")</f>
        <v>https://www.ncbi.nlm.nih.gov/pubmed/874697</v>
      </c>
      <c r="D466" s="228" t="str">
        <f>IF(AND(A466&lt;&gt;"",ISNUMBER(A466)),VLOOKUP(A466,Studies!A:BR,4,FALSE),"")</f>
        <v>ID20</v>
      </c>
      <c r="E466" s="188" t="str">
        <f>IF(AND(A466&lt;&gt;"",ISNUMBER(A466)),VLOOKUP(A466,Studies!A:BR,5,FALSE),"")</f>
        <v>Amikacin</v>
      </c>
      <c r="F466" s="79" t="s">
        <v>184</v>
      </c>
      <c r="G466" s="78">
        <f t="shared" si="9"/>
        <v>1</v>
      </c>
    </row>
    <row r="467" spans="1:7" x14ac:dyDescent="0.2">
      <c r="A467" s="80">
        <v>467</v>
      </c>
      <c r="B467" s="188" t="str">
        <f>IF(AND(A467&lt;&gt;"",ISNUMBER(A467)),VLOOKUP(A467,Studies!A:BR,2,FALSE),"")</f>
        <v>Willsie 2015</v>
      </c>
      <c r="C467" s="188" t="str">
        <f>IF(AND(A467&lt;&gt;"",ISNUMBER(A467)),VLOOKUP(A467,Studies!A:BR,3,FALSE),"")</f>
        <v>https://www.ncbi.nlm.nih.gov/pubmed/25544247</v>
      </c>
      <c r="D467" s="228" t="str">
        <f>IF(AND(A467&lt;&gt;"",ISNUMBER(A467)),VLOOKUP(A467,Studies!A:BR,4,FALSE),"")</f>
        <v>mean</v>
      </c>
      <c r="E467" s="188" t="str">
        <f>IF(AND(A467&lt;&gt;"",ISNUMBER(A467)),VLOOKUP(A467,Studies!A:BR,5,FALSE),"")</f>
        <v>Sufentanil</v>
      </c>
      <c r="F467" s="79" t="s">
        <v>213</v>
      </c>
      <c r="G467" s="78">
        <f t="shared" si="9"/>
        <v>1</v>
      </c>
    </row>
    <row r="468" spans="1:7" x14ac:dyDescent="0.2">
      <c r="A468" s="110">
        <v>468</v>
      </c>
      <c r="B468" s="188" t="str">
        <f>IF(AND(A468&lt;&gt;"",ISNUMBER(A468)),VLOOKUP(A468,Studies!A:BR,2,FALSE),"")</f>
        <v>Yeates 1996</v>
      </c>
      <c r="C468" s="188" t="str">
        <f>IF(AND(A468&lt;&gt;"",ISNUMBER(A468)),VLOOKUP(A468,Studies!A:BR,3,FALSE),"")</f>
        <v>http://www.ncbi.nlm.nih.gov/pubmed/8880291</v>
      </c>
      <c r="D468" s="228" t="str">
        <f>IF(AND(A468&lt;&gt;"",ISNUMBER(A468)),VLOOKUP(A468,Studies!A:BR,4,FALSE),"")</f>
        <v>Control (Perpetrator Placebo)</v>
      </c>
      <c r="E468" s="188" t="str">
        <f>IF(AND(A468&lt;&gt;"",ISNUMBER(A468)),VLOOKUP(A468,Studies!A:BR,5,FALSE),"")</f>
        <v>Midazolam</v>
      </c>
      <c r="F468" s="79" t="s">
        <v>1378</v>
      </c>
      <c r="G468" s="78">
        <f t="shared" si="9"/>
        <v>1</v>
      </c>
    </row>
    <row r="469" spans="1:7" x14ac:dyDescent="0.2">
      <c r="A469" s="110">
        <v>469</v>
      </c>
      <c r="B469" s="188" t="str">
        <f>IF(AND(A469&lt;&gt;"",ISNUMBER(A469)),VLOOKUP(A469,Studies!A:BR,2,FALSE),"")</f>
        <v>Yeates 1996</v>
      </c>
      <c r="C469" s="188" t="str">
        <f>IF(AND(A469&lt;&gt;"",ISNUMBER(A469)),VLOOKUP(A469,Studies!A:BR,3,FALSE),"")</f>
        <v>http://www.ncbi.nlm.nih.gov/pubmed/8880291</v>
      </c>
      <c r="D469" s="228" t="str">
        <f>IF(AND(A469&lt;&gt;"",ISNUMBER(A469)),VLOOKUP(A469,Studies!A:BR,4,FALSE),"")</f>
        <v>with Perpetrator (Clarithromycin)</v>
      </c>
      <c r="E469" s="188" t="str">
        <f>IF(AND(A469&lt;&gt;"",ISNUMBER(A469)),VLOOKUP(A469,Studies!A:BR,5,FALSE),"")</f>
        <v>Midazolam</v>
      </c>
      <c r="F469" s="79" t="s">
        <v>1379</v>
      </c>
      <c r="G469" s="78">
        <f t="shared" si="9"/>
        <v>1</v>
      </c>
    </row>
    <row r="470" spans="1:7" x14ac:dyDescent="0.2">
      <c r="A470" s="110">
        <v>470</v>
      </c>
      <c r="B470" s="188" t="str">
        <f>IF(AND(A470&lt;&gt;"",ISNUMBER(A470)),VLOOKUP(A470,Studies!A:BR,2,FALSE),"")</f>
        <v>Zimmermann 1996</v>
      </c>
      <c r="C470" s="188" t="str">
        <f>IF(AND(A470&lt;&gt;"",ISNUMBER(A470)),VLOOKUP(A470,Studies!A:BR,3,FALSE),"")</f>
        <v>https://www.ncbi.nlm.nih.gov/pubmed/8720318</v>
      </c>
      <c r="D470" s="228" t="str">
        <f>IF(AND(A470&lt;&gt;"",ISNUMBER(A470)),VLOOKUP(A470,Studies!A:BR,4,FALSE),"")</f>
        <v>Control (Perpetrator Placebo)</v>
      </c>
      <c r="E470" s="188" t="str">
        <f>IF(AND(A470&lt;&gt;"",ISNUMBER(A470)),VLOOKUP(A470,Studies!A:BR,5,FALSE),"")</f>
        <v>Midazolam</v>
      </c>
      <c r="F470" s="79" t="s">
        <v>1402</v>
      </c>
      <c r="G470" s="78">
        <f t="shared" si="9"/>
        <v>1</v>
      </c>
    </row>
    <row r="471" spans="1:7" x14ac:dyDescent="0.2">
      <c r="A471" s="110">
        <v>471</v>
      </c>
      <c r="B471" s="188" t="str">
        <f>IF(AND(A471&lt;&gt;"",ISNUMBER(A471)),VLOOKUP(A471,Studies!A:BR,2,FALSE),"")</f>
        <v>Zimmermann 1996</v>
      </c>
      <c r="C471" s="188" t="str">
        <f>IF(AND(A471&lt;&gt;"",ISNUMBER(A471)),VLOOKUP(A471,Studies!A:BR,3,FALSE),"")</f>
        <v>https://www.ncbi.nlm.nih.gov/pubmed/8720318</v>
      </c>
      <c r="D471" s="228" t="str">
        <f>IF(AND(A471&lt;&gt;"",ISNUMBER(A471)),VLOOKUP(A471,Studies!A:BR,4,FALSE),"")</f>
        <v>with Perpetrator (Erythromycin)</v>
      </c>
      <c r="E471" s="188" t="str">
        <f>IF(AND(A471&lt;&gt;"",ISNUMBER(A471)),VLOOKUP(A471,Studies!A:BR,5,FALSE),"")</f>
        <v>Midazolam</v>
      </c>
      <c r="F471" s="79" t="s">
        <v>1403</v>
      </c>
      <c r="G471" s="78">
        <f t="shared" si="9"/>
        <v>1</v>
      </c>
    </row>
    <row r="472" spans="1:7" x14ac:dyDescent="0.2">
      <c r="A472" s="110">
        <v>472</v>
      </c>
      <c r="B472" s="188" t="str">
        <f>IF(AND(A472&lt;&gt;"",ISNUMBER(A472)),VLOOKUP(A472,Studies!A:BR,2,FALSE),"")</f>
        <v>Templeton 2008</v>
      </c>
      <c r="C472" s="188" t="str">
        <f>IF(AND(A472&lt;&gt;"",ISNUMBER(A472)),VLOOKUP(A472,Studies!A:BR,3,FALSE),"")</f>
        <v>https://www.ncbi.nlm.nih.gov/pubmed/17495874</v>
      </c>
      <c r="D472" s="228" t="str">
        <f>IF(AND(A472&lt;&gt;"",ISNUMBER(A472)),VLOOKUP(A472,Studies!A:BR,4,FALSE),"")</f>
        <v>ITZ day 1</v>
      </c>
      <c r="E472" s="188" t="str">
        <f>IF(AND(A472&lt;&gt;"",ISNUMBER(A472)),VLOOKUP(A472,Studies!A:BR,5,FALSE),"")</f>
        <v>Itraconazole</v>
      </c>
      <c r="F472" s="79" t="s">
        <v>149</v>
      </c>
      <c r="G472" s="78">
        <f t="shared" si="9"/>
        <v>1</v>
      </c>
    </row>
    <row r="473" spans="1:7" x14ac:dyDescent="0.2">
      <c r="A473" s="110">
        <v>473</v>
      </c>
      <c r="B473" s="188" t="str">
        <f>IF(AND(A473&lt;&gt;"",ISNUMBER(A473)),VLOOKUP(A473,Studies!A:BR,2,FALSE),"")</f>
        <v>Templeton 2008</v>
      </c>
      <c r="C473" s="188" t="str">
        <f>IF(AND(A473&lt;&gt;"",ISNUMBER(A473)),VLOOKUP(A473,Studies!A:BR,3,FALSE),"")</f>
        <v>https://www.ncbi.nlm.nih.gov/pubmed/17495874</v>
      </c>
      <c r="D473" s="228" t="str">
        <f>IF(AND(A473&lt;&gt;"",ISNUMBER(A473)),VLOOKUP(A473,Studies!A:BR,4,FALSE),"")</f>
        <v>ITZ day 7</v>
      </c>
      <c r="E473" s="188" t="str">
        <f>IF(AND(A473&lt;&gt;"",ISNUMBER(A473)),VLOOKUP(A473,Studies!A:BR,5,FALSE),"")</f>
        <v>Itraconazole</v>
      </c>
      <c r="F473" s="79" t="s">
        <v>149</v>
      </c>
      <c r="G473" s="78">
        <f t="shared" si="9"/>
        <v>1</v>
      </c>
    </row>
    <row r="474" spans="1:7" x14ac:dyDescent="0.2">
      <c r="A474" s="110">
        <v>474</v>
      </c>
      <c r="B474" s="188" t="str">
        <f>IF(AND(A474&lt;&gt;"",ISNUMBER(A474)),VLOOKUP(A474,Studies!A:BR,2,FALSE),"")</f>
        <v>Templeton 2008</v>
      </c>
      <c r="C474" s="188" t="str">
        <f>IF(AND(A474&lt;&gt;"",ISNUMBER(A474)),VLOOKUP(A474,Studies!A:BR,3,FALSE),"")</f>
        <v>https://www.ncbi.nlm.nih.gov/pubmed/17495874</v>
      </c>
      <c r="D474" s="228" t="str">
        <f>IF(AND(A474&lt;&gt;"",ISNUMBER(A474)),VLOOKUP(A474,Studies!A:BR,4,FALSE),"")</f>
        <v>OH-ITZ day 1</v>
      </c>
      <c r="E474" s="188" t="str">
        <f>IF(AND(A474&lt;&gt;"",ISNUMBER(A474)),VLOOKUP(A474,Studies!A:BR,5,FALSE),"")</f>
        <v>Hydroxy-Itraconazole</v>
      </c>
      <c r="F474" s="79" t="s">
        <v>149</v>
      </c>
      <c r="G474" s="78">
        <f t="shared" si="9"/>
        <v>1</v>
      </c>
    </row>
    <row r="475" spans="1:7" x14ac:dyDescent="0.2">
      <c r="A475" s="110">
        <v>475</v>
      </c>
      <c r="B475" s="188" t="str">
        <f>IF(AND(A475&lt;&gt;"",ISNUMBER(A475)),VLOOKUP(A475,Studies!A:BR,2,FALSE),"")</f>
        <v>Templeton 2008</v>
      </c>
      <c r="C475" s="188" t="str">
        <f>IF(AND(A475&lt;&gt;"",ISNUMBER(A475)),VLOOKUP(A475,Studies!A:BR,3,FALSE),"")</f>
        <v>https://www.ncbi.nlm.nih.gov/pubmed/17495874</v>
      </c>
      <c r="D475" s="228" t="str">
        <f>IF(AND(A475&lt;&gt;"",ISNUMBER(A475)),VLOOKUP(A475,Studies!A:BR,4,FALSE),"")</f>
        <v>OH-ITZ day 7</v>
      </c>
      <c r="E475" s="188" t="str">
        <f>IF(AND(A475&lt;&gt;"",ISNUMBER(A475)),VLOOKUP(A475,Studies!A:BR,5,FALSE),"")</f>
        <v>Hydroxy-Itraconazole</v>
      </c>
      <c r="F475" s="79" t="s">
        <v>149</v>
      </c>
      <c r="G475" s="78">
        <f t="shared" si="9"/>
        <v>1</v>
      </c>
    </row>
    <row r="476" spans="1:7" x14ac:dyDescent="0.2">
      <c r="A476" s="110">
        <v>476</v>
      </c>
      <c r="B476" s="188" t="str">
        <f>IF(AND(A476&lt;&gt;"",ISNUMBER(A476)),VLOOKUP(A476,Studies!A:BR,2,FALSE),"")</f>
        <v>Templeton 2008</v>
      </c>
      <c r="C476" s="188" t="str">
        <f>IF(AND(A476&lt;&gt;"",ISNUMBER(A476)),VLOOKUP(A476,Studies!A:BR,3,FALSE),"")</f>
        <v>https://www.ncbi.nlm.nih.gov/pubmed/17495874</v>
      </c>
      <c r="D476" s="228" t="str">
        <f>IF(AND(A476&lt;&gt;"",ISNUMBER(A476)),VLOOKUP(A476,Studies!A:BR,4,FALSE),"")</f>
        <v>keto-ITZ day 1</v>
      </c>
      <c r="E476" s="188" t="str">
        <f>IF(AND(A476&lt;&gt;"",ISNUMBER(A476)),VLOOKUP(A476,Studies!A:BR,5,FALSE),"")</f>
        <v>Keto-Itraconazole</v>
      </c>
      <c r="F476" s="79" t="s">
        <v>149</v>
      </c>
      <c r="G476" s="78">
        <f t="shared" si="9"/>
        <v>1</v>
      </c>
    </row>
    <row r="477" spans="1:7" x14ac:dyDescent="0.2">
      <c r="A477" s="110">
        <v>477</v>
      </c>
      <c r="B477" s="188" t="str">
        <f>IF(AND(A477&lt;&gt;"",ISNUMBER(A477)),VLOOKUP(A477,Studies!A:BR,2,FALSE),"")</f>
        <v>Templeton 2008</v>
      </c>
      <c r="C477" s="188" t="str">
        <f>IF(AND(A477&lt;&gt;"",ISNUMBER(A477)),VLOOKUP(A477,Studies!A:BR,3,FALSE),"")</f>
        <v>https://www.ncbi.nlm.nih.gov/pubmed/17495874</v>
      </c>
      <c r="D477" s="228" t="str">
        <f>IF(AND(A477&lt;&gt;"",ISNUMBER(A477)),VLOOKUP(A477,Studies!A:BR,4,FALSE),"")</f>
        <v>keto-ITZ day 7</v>
      </c>
      <c r="E477" s="188" t="str">
        <f>IF(AND(A477&lt;&gt;"",ISNUMBER(A477)),VLOOKUP(A477,Studies!A:BR,5,FALSE),"")</f>
        <v>Keto-Itraconazole</v>
      </c>
      <c r="F477" s="79" t="s">
        <v>149</v>
      </c>
      <c r="G477" s="78">
        <f t="shared" si="9"/>
        <v>1</v>
      </c>
    </row>
    <row r="478" spans="1:7" x14ac:dyDescent="0.2">
      <c r="A478" s="110">
        <v>478</v>
      </c>
      <c r="B478" s="188" t="str">
        <f>IF(AND(A478&lt;&gt;"",ISNUMBER(A478)),VLOOKUP(A478,Studies!A:BR,2,FALSE),"")</f>
        <v>Templeton 2008</v>
      </c>
      <c r="C478" s="188" t="str">
        <f>IF(AND(A478&lt;&gt;"",ISNUMBER(A478)),VLOOKUP(A478,Studies!A:BR,3,FALSE),"")</f>
        <v>https://www.ncbi.nlm.nih.gov/pubmed/17495874</v>
      </c>
      <c r="D478" s="228" t="str">
        <f>IF(AND(A478&lt;&gt;"",ISNUMBER(A478)),VLOOKUP(A478,Studies!A:BR,4,FALSE),"")</f>
        <v>ND-OH-ITZ day 1</v>
      </c>
      <c r="E478" s="188" t="str">
        <f>IF(AND(A478&lt;&gt;"",ISNUMBER(A478)),VLOOKUP(A478,Studies!A:BR,5,FALSE),"")</f>
        <v>N-desalkyl-Itraconazole</v>
      </c>
      <c r="F478" s="79" t="s">
        <v>149</v>
      </c>
      <c r="G478" s="78">
        <f t="shared" si="9"/>
        <v>1</v>
      </c>
    </row>
    <row r="479" spans="1:7" x14ac:dyDescent="0.2">
      <c r="A479" s="110">
        <v>479</v>
      </c>
      <c r="B479" s="188" t="str">
        <f>IF(AND(A479&lt;&gt;"",ISNUMBER(A479)),VLOOKUP(A479,Studies!A:BR,2,FALSE),"")</f>
        <v>Templeton 2008</v>
      </c>
      <c r="C479" s="188" t="str">
        <f>IF(AND(A479&lt;&gt;"",ISNUMBER(A479)),VLOOKUP(A479,Studies!A:BR,3,FALSE),"")</f>
        <v>https://www.ncbi.nlm.nih.gov/pubmed/17495874</v>
      </c>
      <c r="D479" s="228" t="str">
        <f>IF(AND(A479&lt;&gt;"",ISNUMBER(A479)),VLOOKUP(A479,Studies!A:BR,4,FALSE),"")</f>
        <v>ND-OH-ITZ day 7</v>
      </c>
      <c r="E479" s="188" t="str">
        <f>IF(AND(A479&lt;&gt;"",ISNUMBER(A479)),VLOOKUP(A479,Studies!A:BR,5,FALSE),"")</f>
        <v>N-desalkyl-Itraconazole</v>
      </c>
      <c r="F479" s="79" t="s">
        <v>149</v>
      </c>
      <c r="G479" s="78">
        <f t="shared" si="9"/>
        <v>1</v>
      </c>
    </row>
    <row r="480" spans="1:7" x14ac:dyDescent="0.2">
      <c r="A480" s="110">
        <v>480</v>
      </c>
      <c r="B480" s="188" t="str">
        <f>IF(AND(A480&lt;&gt;"",ISNUMBER(A480)),VLOOKUP(A480,Studies!A:BR,2,FALSE),"")</f>
        <v>Van de Velde 1996</v>
      </c>
      <c r="C480" s="188" t="str">
        <f>IF(AND(A480&lt;&gt;"",ISNUMBER(A480)),VLOOKUP(A480,Studies!A:BR,3,FALSE),"")</f>
        <v>https://www.ncbi.nlm.nih.gov/pubmed/8726601</v>
      </c>
      <c r="D480" s="228" t="str">
        <f>IF(AND(A480&lt;&gt;"",ISNUMBER(A480)),VLOOKUP(A480,Studies!A:BR,4,FALSE),"")</f>
        <v>Fasting ITZ</v>
      </c>
      <c r="E480" s="188" t="str">
        <f>IF(AND(A480&lt;&gt;"",ISNUMBER(A480)),VLOOKUP(A480,Studies!A:BR,5,FALSE),"")</f>
        <v>Itraconazole</v>
      </c>
      <c r="F480" s="79" t="s">
        <v>149</v>
      </c>
      <c r="G480" s="78">
        <f t="shared" si="9"/>
        <v>1</v>
      </c>
    </row>
    <row r="481" spans="1:7" x14ac:dyDescent="0.2">
      <c r="A481" s="110">
        <v>481</v>
      </c>
      <c r="B481" s="188" t="str">
        <f>IF(AND(A481&lt;&gt;"",ISNUMBER(A481)),VLOOKUP(A481,Studies!A:BR,2,FALSE),"")</f>
        <v>Van de Velde 1996</v>
      </c>
      <c r="C481" s="188" t="str">
        <f>IF(AND(A481&lt;&gt;"",ISNUMBER(A481)),VLOOKUP(A481,Studies!A:BR,3,FALSE),"")</f>
        <v>https://www.ncbi.nlm.nih.gov/pubmed/8726601</v>
      </c>
      <c r="D481" s="228" t="str">
        <f>IF(AND(A481&lt;&gt;"",ISNUMBER(A481)),VLOOKUP(A481,Studies!A:BR,4,FALSE),"")</f>
        <v>Fasting OH-ITZ</v>
      </c>
      <c r="E481" s="188" t="str">
        <f>IF(AND(A481&lt;&gt;"",ISNUMBER(A481)),VLOOKUP(A481,Studies!A:BR,5,FALSE),"")</f>
        <v>Hydroxy-Itraconazole</v>
      </c>
      <c r="F481" s="79" t="s">
        <v>149</v>
      </c>
      <c r="G481" s="78">
        <f t="shared" si="9"/>
        <v>1</v>
      </c>
    </row>
    <row r="482" spans="1:7" x14ac:dyDescent="0.2">
      <c r="A482" s="110">
        <v>482</v>
      </c>
      <c r="B482" s="188" t="str">
        <f>IF(AND(A482&lt;&gt;"",ISNUMBER(A482)),VLOOKUP(A482,Studies!A:BR,2,FALSE),"")</f>
        <v>Van de Velde 1996</v>
      </c>
      <c r="C482" s="188" t="str">
        <f>IF(AND(A482&lt;&gt;"",ISNUMBER(A482)),VLOOKUP(A482,Studies!A:BR,3,FALSE),"")</f>
        <v>https://www.ncbi.nlm.nih.gov/pubmed/8726601</v>
      </c>
      <c r="D482" s="228" t="str">
        <f>IF(AND(A482&lt;&gt;"",ISNUMBER(A482)),VLOOKUP(A482,Studies!A:BR,4,FALSE),"")</f>
        <v>Fed ITZ</v>
      </c>
      <c r="E482" s="188" t="str">
        <f>IF(AND(A482&lt;&gt;"",ISNUMBER(A482)),VLOOKUP(A482,Studies!A:BR,5,FALSE),"")</f>
        <v>Itraconazole</v>
      </c>
      <c r="F482" s="79" t="s">
        <v>149</v>
      </c>
      <c r="G482" s="78">
        <f t="shared" si="9"/>
        <v>1</v>
      </c>
    </row>
    <row r="483" spans="1:7" x14ac:dyDescent="0.2">
      <c r="A483" s="110">
        <v>483</v>
      </c>
      <c r="B483" s="188" t="str">
        <f>IF(AND(A483&lt;&gt;"",ISNUMBER(A483)),VLOOKUP(A483,Studies!A:BR,2,FALSE),"")</f>
        <v>Van de Velde 1996</v>
      </c>
      <c r="C483" s="188" t="str">
        <f>IF(AND(A483&lt;&gt;"",ISNUMBER(A483)),VLOOKUP(A483,Studies!A:BR,3,FALSE),"")</f>
        <v>https://www.ncbi.nlm.nih.gov/pubmed/8726601</v>
      </c>
      <c r="D483" s="228" t="str">
        <f>IF(AND(A483&lt;&gt;"",ISNUMBER(A483)),VLOOKUP(A483,Studies!A:BR,4,FALSE),"")</f>
        <v>Fed OH-ITZ</v>
      </c>
      <c r="E483" s="188" t="str">
        <f>IF(AND(A483&lt;&gt;"",ISNUMBER(A483)),VLOOKUP(A483,Studies!A:BR,5,FALSE),"")</f>
        <v>Hydroxy-Itraconazole</v>
      </c>
      <c r="F483" s="79" t="s">
        <v>149</v>
      </c>
      <c r="G483" s="78">
        <f t="shared" si="9"/>
        <v>1</v>
      </c>
    </row>
    <row r="484" spans="1:7" x14ac:dyDescent="0.2">
      <c r="A484" s="110">
        <v>484</v>
      </c>
      <c r="B484" s="188" t="str">
        <f>IF(AND(A484&lt;&gt;"",ISNUMBER(A484)),VLOOKUP(A484,Studies!A:BR,2,FALSE),"")</f>
        <v>Van Peer 1989</v>
      </c>
      <c r="C484" s="188" t="str">
        <f>IF(AND(A484&lt;&gt;"",ISNUMBER(A484)),VLOOKUP(A484,Studies!A:BR,3,FALSE),"")</f>
        <v>https://www.ncbi.nlm.nih.gov/pubmed/2544431</v>
      </c>
      <c r="D484" s="228" t="str">
        <f>IF(AND(A484&lt;&gt;"",ISNUMBER(A484)),VLOOKUP(A484,Studies!A:BR,4,FALSE),"")</f>
        <v>100 mg Solution, fasting</v>
      </c>
      <c r="E484" s="188" t="str">
        <f>IF(AND(A484&lt;&gt;"",ISNUMBER(A484)),VLOOKUP(A484,Studies!A:BR,5,FALSE),"")</f>
        <v>Itraconazole</v>
      </c>
      <c r="F484" s="79" t="s">
        <v>149</v>
      </c>
      <c r="G484" s="78">
        <f t="shared" si="9"/>
        <v>1</v>
      </c>
    </row>
    <row r="485" spans="1:7" x14ac:dyDescent="0.2">
      <c r="A485" s="110">
        <v>485</v>
      </c>
      <c r="B485" s="188" t="str">
        <f>IF(AND(A485&lt;&gt;"",ISNUMBER(A485)),VLOOKUP(A485,Studies!A:BR,2,FALSE),"")</f>
        <v>Van Peer 1989</v>
      </c>
      <c r="C485" s="188" t="str">
        <f>IF(AND(A485&lt;&gt;"",ISNUMBER(A485)),VLOOKUP(A485,Studies!A:BR,3,FALSE),"")</f>
        <v>https://www.ncbi.nlm.nih.gov/pubmed/2544431</v>
      </c>
      <c r="D485" s="228" t="str">
        <f>IF(AND(A485&lt;&gt;"",ISNUMBER(A485)),VLOOKUP(A485,Studies!A:BR,4,FALSE),"")</f>
        <v>100 mg Capsules, fasting</v>
      </c>
      <c r="E485" s="188" t="str">
        <f>IF(AND(A485&lt;&gt;"",ISNUMBER(A485)),VLOOKUP(A485,Studies!A:BR,5,FALSE),"")</f>
        <v>Itraconazole</v>
      </c>
      <c r="F485" s="79" t="s">
        <v>149</v>
      </c>
      <c r="G485" s="78">
        <f t="shared" si="9"/>
        <v>1</v>
      </c>
    </row>
    <row r="486" spans="1:7" x14ac:dyDescent="0.2">
      <c r="A486" s="110">
        <v>486</v>
      </c>
      <c r="B486" s="188" t="str">
        <f>IF(AND(A486&lt;&gt;"",ISNUMBER(A486)),VLOOKUP(A486,Studies!A:BR,2,FALSE),"")</f>
        <v>Van Peer 1989</v>
      </c>
      <c r="C486" s="188" t="str">
        <f>IF(AND(A486&lt;&gt;"",ISNUMBER(A486)),VLOOKUP(A486,Studies!A:BR,3,FALSE),"")</f>
        <v>https://www.ncbi.nlm.nih.gov/pubmed/2544431</v>
      </c>
      <c r="D486" s="228" t="str">
        <f>IF(AND(A486&lt;&gt;"",ISNUMBER(A486)),VLOOKUP(A486,Studies!A:BR,4,FALSE),"")</f>
        <v>100 mg Capsules, with food</v>
      </c>
      <c r="E486" s="188" t="str">
        <f>IF(AND(A486&lt;&gt;"",ISNUMBER(A486)),VLOOKUP(A486,Studies!A:BR,5,FALSE),"")</f>
        <v>Itraconazole</v>
      </c>
      <c r="F486" s="79" t="s">
        <v>149</v>
      </c>
      <c r="G486" s="78">
        <f t="shared" si="9"/>
        <v>1</v>
      </c>
    </row>
    <row r="487" spans="1:7" x14ac:dyDescent="0.2">
      <c r="A487" s="110">
        <v>487</v>
      </c>
      <c r="B487" s="188" t="str">
        <f>IF(AND(A487&lt;&gt;"",ISNUMBER(A487)),VLOOKUP(A487,Studies!A:BR,2,FALSE),"")</f>
        <v>Van Peer 1989</v>
      </c>
      <c r="C487" s="188" t="str">
        <f>IF(AND(A487&lt;&gt;"",ISNUMBER(A487)),VLOOKUP(A487,Studies!A:BR,3,FALSE),"")</f>
        <v>https://www.ncbi.nlm.nih.gov/pubmed/2544431</v>
      </c>
      <c r="D487" s="228" t="str">
        <f>IF(AND(A487&lt;&gt;"",ISNUMBER(A487)),VLOOKUP(A487,Studies!A:BR,4,FALSE),"")</f>
        <v>100 mg Capsules, with food, 15 days MD</v>
      </c>
      <c r="E487" s="188" t="str">
        <f>IF(AND(A487&lt;&gt;"",ISNUMBER(A487)),VLOOKUP(A487,Studies!A:BR,5,FALSE),"")</f>
        <v>Itraconazole</v>
      </c>
      <c r="F487" s="79" t="s">
        <v>149</v>
      </c>
      <c r="G487" s="78">
        <f t="shared" si="9"/>
        <v>1</v>
      </c>
    </row>
    <row r="488" spans="1:7" x14ac:dyDescent="0.2">
      <c r="A488" s="110">
        <v>488</v>
      </c>
      <c r="B488" s="188" t="str">
        <f>IF(AND(A488&lt;&gt;"",ISNUMBER(A488)),VLOOKUP(A488,Studies!A:BR,2,FALSE),"")</f>
        <v>Van Peer 1989</v>
      </c>
      <c r="C488" s="188" t="str">
        <f>IF(AND(A488&lt;&gt;"",ISNUMBER(A488)),VLOOKUP(A488,Studies!A:BR,3,FALSE),"")</f>
        <v>https://www.ncbi.nlm.nih.gov/pubmed/2544431</v>
      </c>
      <c r="D488" s="228" t="str">
        <f>IF(AND(A488&lt;&gt;"",ISNUMBER(A488)),VLOOKUP(A488,Studies!A:BR,4,FALSE),"")</f>
        <v>50 mg Capsules, with food</v>
      </c>
      <c r="E488" s="188" t="str">
        <f>IF(AND(A488&lt;&gt;"",ISNUMBER(A488)),VLOOKUP(A488,Studies!A:BR,5,FALSE),"")</f>
        <v>Itraconazole</v>
      </c>
      <c r="F488" s="79" t="s">
        <v>149</v>
      </c>
      <c r="G488" s="78">
        <f t="shared" si="9"/>
        <v>1</v>
      </c>
    </row>
    <row r="489" spans="1:7" x14ac:dyDescent="0.2">
      <c r="A489" s="110">
        <v>489</v>
      </c>
      <c r="B489" s="188" t="str">
        <f>IF(AND(A489&lt;&gt;"",ISNUMBER(A489)),VLOOKUP(A489,Studies!A:BR,2,FALSE),"")</f>
        <v>Van Peer 1989</v>
      </c>
      <c r="C489" s="188" t="str">
        <f>IF(AND(A489&lt;&gt;"",ISNUMBER(A489)),VLOOKUP(A489,Studies!A:BR,3,FALSE),"")</f>
        <v>https://www.ncbi.nlm.nih.gov/pubmed/2544431</v>
      </c>
      <c r="D489" s="228" t="str">
        <f>IF(AND(A489&lt;&gt;"",ISNUMBER(A489)),VLOOKUP(A489,Studies!A:BR,4,FALSE),"")</f>
        <v>200 mg Capsules, with food</v>
      </c>
      <c r="E489" s="188" t="str">
        <f>IF(AND(A489&lt;&gt;"",ISNUMBER(A489)),VLOOKUP(A489,Studies!A:BR,5,FALSE),"")</f>
        <v>Itraconazole</v>
      </c>
      <c r="F489" s="79" t="s">
        <v>149</v>
      </c>
      <c r="G489" s="78">
        <f t="shared" si="9"/>
        <v>1</v>
      </c>
    </row>
    <row r="490" spans="1:7" x14ac:dyDescent="0.2">
      <c r="A490" s="110">
        <v>490</v>
      </c>
      <c r="B490" s="188" t="str">
        <f>IF(AND(A490&lt;&gt;"",ISNUMBER(A490)),VLOOKUP(A490,Studies!A:BR,2,FALSE),"")</f>
        <v>Heykants 1989</v>
      </c>
      <c r="C490" s="188" t="str">
        <f>IF(AND(A490&lt;&gt;"",ISNUMBER(A490)),VLOOKUP(A490,Studies!A:BR,3,FALSE),"")</f>
        <v>https://www.ncbi.nlm.nih.gov/pubmed/2561187</v>
      </c>
      <c r="D490" s="228" t="str">
        <f>IF(AND(A490&lt;&gt;"",ISNUMBER(A490)),VLOOKUP(A490,Studies!A:BR,4,FALSE),"")</f>
        <v>iv 100 mg SD</v>
      </c>
      <c r="E490" s="188" t="str">
        <f>IF(AND(A490&lt;&gt;"",ISNUMBER(A490)),VLOOKUP(A490,Studies!A:BR,5,FALSE),"")</f>
        <v>Itraconazole</v>
      </c>
      <c r="F490" s="79" t="s">
        <v>149</v>
      </c>
      <c r="G490" s="78">
        <f t="shared" si="9"/>
        <v>1</v>
      </c>
    </row>
    <row r="491" spans="1:7" x14ac:dyDescent="0.2">
      <c r="A491" s="110">
        <v>491</v>
      </c>
      <c r="B491" s="188" t="str">
        <f>IF(AND(A491&lt;&gt;"",ISNUMBER(A491)),VLOOKUP(A491,Studies!A:BR,2,FALSE),"")</f>
        <v>Heykants 1989</v>
      </c>
      <c r="C491" s="188" t="str">
        <f>IF(AND(A491&lt;&gt;"",ISNUMBER(A491)),VLOOKUP(A491,Studies!A:BR,3,FALSE),"")</f>
        <v>https://www.ncbi.nlm.nih.gov/pubmed/2561187</v>
      </c>
      <c r="D491" s="228" t="str">
        <f>IF(AND(A491&lt;&gt;"",ISNUMBER(A491)),VLOOKUP(A491,Studies!A:BR,4,FALSE),"")</f>
        <v>po 100 mg SD fed</v>
      </c>
      <c r="E491" s="188" t="str">
        <f>IF(AND(A491&lt;&gt;"",ISNUMBER(A491)),VLOOKUP(A491,Studies!A:BR,5,FALSE),"")</f>
        <v>Itraconazole</v>
      </c>
      <c r="F491" s="79" t="s">
        <v>149</v>
      </c>
      <c r="G491" s="78">
        <f t="shared" si="9"/>
        <v>1</v>
      </c>
    </row>
    <row r="492" spans="1:7" x14ac:dyDescent="0.2">
      <c r="A492" s="110">
        <v>492</v>
      </c>
      <c r="B492" s="188" t="str">
        <f>IF(AND(A492&lt;&gt;"",ISNUMBER(A492)),VLOOKUP(A492,Studies!A:BR,2,FALSE),"")</f>
        <v>Heykants 1989</v>
      </c>
      <c r="C492" s="188" t="str">
        <f>IF(AND(A492&lt;&gt;"",ISNUMBER(A492)),VLOOKUP(A492,Studies!A:BR,3,FALSE),"")</f>
        <v>https://www.ncbi.nlm.nih.gov/pubmed/2561187</v>
      </c>
      <c r="D492" s="228" t="str">
        <f>IF(AND(A492&lt;&gt;"",ISNUMBER(A492)),VLOOKUP(A492,Studies!A:BR,4,FALSE),"")</f>
        <v>po 100 mg SD (metabolite screening)</v>
      </c>
      <c r="E492" s="188" t="str">
        <f>IF(AND(A492&lt;&gt;"",ISNUMBER(A492)),VLOOKUP(A492,Studies!A:BR,5,FALSE),"")</f>
        <v>Itraconazole</v>
      </c>
      <c r="F492" s="79" t="s">
        <v>149</v>
      </c>
      <c r="G492" s="78">
        <f t="shared" si="9"/>
        <v>1</v>
      </c>
    </row>
    <row r="493" spans="1:7" x14ac:dyDescent="0.2">
      <c r="A493" s="110">
        <v>493</v>
      </c>
      <c r="B493" s="188" t="str">
        <f>IF(AND(A493&lt;&gt;"",ISNUMBER(A493)),VLOOKUP(A493,Studies!A:BR,2,FALSE),"")</f>
        <v>Heykants 1989</v>
      </c>
      <c r="C493" s="188" t="str">
        <f>IF(AND(A493&lt;&gt;"",ISNUMBER(A493)),VLOOKUP(A493,Studies!A:BR,3,FALSE),"")</f>
        <v>https://www.ncbi.nlm.nih.gov/pubmed/2561187</v>
      </c>
      <c r="D493" s="228" t="str">
        <f>IF(AND(A493&lt;&gt;"",ISNUMBER(A493)),VLOOKUP(A493,Studies!A:BR,4,FALSE),"")</f>
        <v>po 100 mg SD (metabolite screening)</v>
      </c>
      <c r="E493" s="188" t="str">
        <f>IF(AND(A493&lt;&gt;"",ISNUMBER(A493)),VLOOKUP(A493,Studies!A:BR,5,FALSE),"")</f>
        <v>Hydroxy-Itraconazole</v>
      </c>
      <c r="F493" s="79" t="s">
        <v>149</v>
      </c>
      <c r="G493" s="78">
        <f t="shared" si="9"/>
        <v>1</v>
      </c>
    </row>
    <row r="494" spans="1:7" x14ac:dyDescent="0.2">
      <c r="A494" s="110">
        <v>494</v>
      </c>
      <c r="B494" s="188" t="str">
        <f>IF(AND(A494&lt;&gt;"",ISNUMBER(A494)),VLOOKUP(A494,Studies!A:BR,2,FALSE),"")</f>
        <v>Heykants 1989</v>
      </c>
      <c r="C494" s="188" t="str">
        <f>IF(AND(A494&lt;&gt;"",ISNUMBER(A494)),VLOOKUP(A494,Studies!A:BR,3,FALSE),"")</f>
        <v>https://www.ncbi.nlm.nih.gov/pubmed/2561187</v>
      </c>
      <c r="D494" s="228" t="str">
        <f>IF(AND(A494&lt;&gt;"",ISNUMBER(A494)),VLOOKUP(A494,Studies!A:BR,4,FALSE),"")</f>
        <v>po 100 mg MD OD</v>
      </c>
      <c r="E494" s="188" t="str">
        <f>IF(AND(A494&lt;&gt;"",ISNUMBER(A494)),VLOOKUP(A494,Studies!A:BR,5,FALSE),"")</f>
        <v>Itraconazole</v>
      </c>
      <c r="F494" s="79" t="s">
        <v>149</v>
      </c>
      <c r="G494" s="78">
        <f t="shared" si="9"/>
        <v>1</v>
      </c>
    </row>
    <row r="495" spans="1:7" x14ac:dyDescent="0.2">
      <c r="A495" s="110">
        <v>495</v>
      </c>
      <c r="B495" s="188" t="str">
        <f>IF(AND(A495&lt;&gt;"",ISNUMBER(A495)),VLOOKUP(A495,Studies!A:BR,2,FALSE),"")</f>
        <v>Heykants 1989</v>
      </c>
      <c r="C495" s="188" t="str">
        <f>IF(AND(A495&lt;&gt;"",ISNUMBER(A495)),VLOOKUP(A495,Studies!A:BR,3,FALSE),"")</f>
        <v>https://www.ncbi.nlm.nih.gov/pubmed/2561187</v>
      </c>
      <c r="D495" s="228" t="str">
        <f>IF(AND(A495&lt;&gt;"",ISNUMBER(A495)),VLOOKUP(A495,Studies!A:BR,4,FALSE),"")</f>
        <v>po 100 mg MD OD</v>
      </c>
      <c r="E495" s="188" t="str">
        <f>IF(AND(A495&lt;&gt;"",ISNUMBER(A495)),VLOOKUP(A495,Studies!A:BR,5,FALSE),"")</f>
        <v>Hydroxy-Itraconazole</v>
      </c>
      <c r="F495" s="79" t="s">
        <v>149</v>
      </c>
      <c r="G495" s="78">
        <f t="shared" si="9"/>
        <v>1</v>
      </c>
    </row>
    <row r="496" spans="1:7" x14ac:dyDescent="0.2">
      <c r="A496" s="110">
        <v>496</v>
      </c>
      <c r="B496" s="188" t="str">
        <f>IF(AND(A496&lt;&gt;"",ISNUMBER(A496)),VLOOKUP(A496,Studies!A:BR,2,FALSE),"")</f>
        <v>Miura 2010</v>
      </c>
      <c r="C496" s="188" t="str">
        <f>IF(AND(A496&lt;&gt;"",ISNUMBER(A496)),VLOOKUP(A496,Studies!A:BR,3,FALSE),"")</f>
        <v>https://www.ncbi.nlm.nih.gov/pubmed/20595406</v>
      </c>
      <c r="D496" s="228" t="str">
        <f>IF(AND(A496&lt;&gt;"",ISNUMBER(A496)),VLOOKUP(A496,Studies!A:BR,4,FALSE),"")</f>
        <v>po 100 mg MD Japanese</v>
      </c>
      <c r="E496" s="188" t="str">
        <f>IF(AND(A496&lt;&gt;"",ISNUMBER(A496)),VLOOKUP(A496,Studies!A:BR,5,FALSE),"")</f>
        <v>Itraconazole</v>
      </c>
      <c r="F496" s="79" t="s">
        <v>149</v>
      </c>
      <c r="G496" s="78">
        <f t="shared" si="9"/>
        <v>1</v>
      </c>
    </row>
    <row r="497" spans="1:7" x14ac:dyDescent="0.2">
      <c r="A497" s="110">
        <v>497</v>
      </c>
      <c r="B497" s="188" t="str">
        <f>IF(AND(A497&lt;&gt;"",ISNUMBER(A497)),VLOOKUP(A497,Studies!A:BR,2,FALSE),"")</f>
        <v>Miura 2010</v>
      </c>
      <c r="C497" s="188" t="str">
        <f>IF(AND(A497&lt;&gt;"",ISNUMBER(A497)),VLOOKUP(A497,Studies!A:BR,3,FALSE),"")</f>
        <v>https://www.ncbi.nlm.nih.gov/pubmed/20595406</v>
      </c>
      <c r="D497" s="228" t="str">
        <f>IF(AND(A497&lt;&gt;"",ISNUMBER(A497)),VLOOKUP(A497,Studies!A:BR,4,FALSE),"")</f>
        <v>po 100 mg MD Japanese</v>
      </c>
      <c r="E497" s="188" t="str">
        <f>IF(AND(A497&lt;&gt;"",ISNUMBER(A497)),VLOOKUP(A497,Studies!A:BR,5,FALSE),"")</f>
        <v>Hydroxy-Itraconazole</v>
      </c>
      <c r="F497" s="79" t="s">
        <v>149</v>
      </c>
      <c r="G497" s="78">
        <f t="shared" si="9"/>
        <v>1</v>
      </c>
    </row>
    <row r="498" spans="1:7" x14ac:dyDescent="0.2">
      <c r="A498" s="110">
        <v>498</v>
      </c>
      <c r="B498" s="188" t="str">
        <f>IF(AND(A498&lt;&gt;"",ISNUMBER(A498)),VLOOKUP(A498,Studies!A:BR,2,FALSE),"")</f>
        <v>Gubbins 2004</v>
      </c>
      <c r="C498" s="188" t="str">
        <f>IF(AND(A498&lt;&gt;"",ISNUMBER(A498)),VLOOKUP(A498,Studies!A:BR,3,FALSE),"")</f>
        <v>https://www.ncbi.nlm.nih.gov/pubmed/15098799</v>
      </c>
      <c r="D498" s="228" t="str">
        <f>IF(AND(A498&lt;&gt;"",ISNUMBER(A498)),VLOOKUP(A498,Studies!A:BR,4,FALSE),"")</f>
        <v>po 200 mg solution with water</v>
      </c>
      <c r="E498" s="188" t="str">
        <f>IF(AND(A498&lt;&gt;"",ISNUMBER(A498)),VLOOKUP(A498,Studies!A:BR,5,FALSE),"")</f>
        <v>Itraconazole</v>
      </c>
      <c r="F498" s="79" t="s">
        <v>149</v>
      </c>
      <c r="G498" s="78">
        <f t="shared" si="9"/>
        <v>1</v>
      </c>
    </row>
    <row r="499" spans="1:7" x14ac:dyDescent="0.2">
      <c r="A499" s="110">
        <v>499</v>
      </c>
      <c r="B499" s="188" t="str">
        <f>IF(AND(A499&lt;&gt;"",ISNUMBER(A499)),VLOOKUP(A499,Studies!A:BR,2,FALSE),"")</f>
        <v>Gubbins 2004</v>
      </c>
      <c r="C499" s="188" t="str">
        <f>IF(AND(A499&lt;&gt;"",ISNUMBER(A499)),VLOOKUP(A499,Studies!A:BR,3,FALSE),"")</f>
        <v>https://www.ncbi.nlm.nih.gov/pubmed/15098799</v>
      </c>
      <c r="D499" s="228" t="str">
        <f>IF(AND(A499&lt;&gt;"",ISNUMBER(A499)),VLOOKUP(A499,Studies!A:BR,4,FALSE),"")</f>
        <v>po 200 mg solution with water</v>
      </c>
      <c r="E499" s="188" t="str">
        <f>IF(AND(A499&lt;&gt;"",ISNUMBER(A499)),VLOOKUP(A499,Studies!A:BR,5,FALSE),"")</f>
        <v>Hydroxy-Itraconazole</v>
      </c>
      <c r="F499" s="79" t="s">
        <v>149</v>
      </c>
      <c r="G499" s="78">
        <f t="shared" si="9"/>
        <v>1</v>
      </c>
    </row>
    <row r="500" spans="1:7" x14ac:dyDescent="0.2">
      <c r="A500" s="110">
        <v>500</v>
      </c>
      <c r="B500" s="188" t="str">
        <f>IF(AND(A500&lt;&gt;"",ISNUMBER(A500)),VLOOKUP(A500,Studies!A:BR,2,FALSE),"")</f>
        <v>Gubbins 2004</v>
      </c>
      <c r="C500" s="188" t="str">
        <f>IF(AND(A500&lt;&gt;"",ISNUMBER(A500)),VLOOKUP(A500,Studies!A:BR,3,FALSE),"")</f>
        <v>https://www.ncbi.nlm.nih.gov/pubmed/15098799</v>
      </c>
      <c r="D500" s="228" t="str">
        <f>IF(AND(A500&lt;&gt;"",ISNUMBER(A500)),VLOOKUP(A500,Studies!A:BR,4,FALSE),"")</f>
        <v>po 200 mg solution with GFJ</v>
      </c>
      <c r="E500" s="188" t="str">
        <f>IF(AND(A500&lt;&gt;"",ISNUMBER(A500)),VLOOKUP(A500,Studies!A:BR,5,FALSE),"")</f>
        <v>Itraconazole</v>
      </c>
      <c r="F500" s="79" t="s">
        <v>149</v>
      </c>
      <c r="G500" s="78">
        <f t="shared" si="9"/>
        <v>1</v>
      </c>
    </row>
    <row r="501" spans="1:7" x14ac:dyDescent="0.2">
      <c r="A501" s="110">
        <v>501</v>
      </c>
      <c r="B501" s="188" t="str">
        <f>IF(AND(A501&lt;&gt;"",ISNUMBER(A501)),VLOOKUP(A501,Studies!A:BR,2,FALSE),"")</f>
        <v>Gubbins 2004</v>
      </c>
      <c r="C501" s="188" t="str">
        <f>IF(AND(A501&lt;&gt;"",ISNUMBER(A501)),VLOOKUP(A501,Studies!A:BR,3,FALSE),"")</f>
        <v>https://www.ncbi.nlm.nih.gov/pubmed/15098799</v>
      </c>
      <c r="D501" s="228" t="str">
        <f>IF(AND(A501&lt;&gt;"",ISNUMBER(A501)),VLOOKUP(A501,Studies!A:BR,4,FALSE),"")</f>
        <v>po 200 mg solution with GFJ</v>
      </c>
      <c r="E501" s="188" t="str">
        <f>IF(AND(A501&lt;&gt;"",ISNUMBER(A501)),VLOOKUP(A501,Studies!A:BR,5,FALSE),"")</f>
        <v>Hydroxy-Itraconazole</v>
      </c>
      <c r="F501" s="79" t="s">
        <v>149</v>
      </c>
      <c r="G501" s="78">
        <f t="shared" si="9"/>
        <v>1</v>
      </c>
    </row>
    <row r="502" spans="1:7" x14ac:dyDescent="0.2">
      <c r="A502" s="110">
        <v>502</v>
      </c>
      <c r="B502" s="188" t="str">
        <f>IF(AND(A502&lt;&gt;"",ISNUMBER(A502)),VLOOKUP(A502,Studies!A:BR,2,FALSE),"")</f>
        <v>Gubbins 2007</v>
      </c>
      <c r="C502" s="188" t="str">
        <f>IF(AND(A502&lt;&gt;"",ISNUMBER(A502)),VLOOKUP(A502,Studies!A:BR,3,FALSE),"")</f>
        <v>https://www.ncbi.nlm.nih.gov/pubmed/18172627</v>
      </c>
      <c r="D502" s="228" t="str">
        <f>IF(AND(A502&lt;&gt;"",ISNUMBER(A502)),VLOOKUP(A502,Studies!A:BR,4,FALSE),"")</f>
        <v>po 200 mg solution female with water</v>
      </c>
      <c r="E502" s="188" t="str">
        <f>IF(AND(A502&lt;&gt;"",ISNUMBER(A502)),VLOOKUP(A502,Studies!A:BR,5,FALSE),"")</f>
        <v>Itraconazole</v>
      </c>
      <c r="F502" s="79" t="s">
        <v>149</v>
      </c>
      <c r="G502" s="78">
        <f t="shared" si="9"/>
        <v>1</v>
      </c>
    </row>
    <row r="503" spans="1:7" x14ac:dyDescent="0.2">
      <c r="A503" s="110">
        <v>503</v>
      </c>
      <c r="B503" s="188" t="str">
        <f>IF(AND(A503&lt;&gt;"",ISNUMBER(A503)),VLOOKUP(A503,Studies!A:BR,2,FALSE),"")</f>
        <v>Gubbins 2007</v>
      </c>
      <c r="C503" s="188" t="str">
        <f>IF(AND(A503&lt;&gt;"",ISNUMBER(A503)),VLOOKUP(A503,Studies!A:BR,3,FALSE),"")</f>
        <v>https://www.ncbi.nlm.nih.gov/pubmed/18172627</v>
      </c>
      <c r="D503" s="228" t="str">
        <f>IF(AND(A503&lt;&gt;"",ISNUMBER(A503)),VLOOKUP(A503,Studies!A:BR,4,FALSE),"")</f>
        <v>po 200 mg solution female with water</v>
      </c>
      <c r="E503" s="188" t="str">
        <f>IF(AND(A503&lt;&gt;"",ISNUMBER(A503)),VLOOKUP(A503,Studies!A:BR,5,FALSE),"")</f>
        <v>Hydroxy-Itraconazole</v>
      </c>
      <c r="F503" s="79" t="s">
        <v>149</v>
      </c>
      <c r="G503" s="78">
        <f t="shared" si="9"/>
        <v>1</v>
      </c>
    </row>
    <row r="504" spans="1:7" x14ac:dyDescent="0.2">
      <c r="A504" s="110">
        <v>504</v>
      </c>
      <c r="B504" s="188" t="str">
        <f>IF(AND(A504&lt;&gt;"",ISNUMBER(A504)),VLOOKUP(A504,Studies!A:BR,2,FALSE),"")</f>
        <v>Gubbins 2007</v>
      </c>
      <c r="C504" s="188" t="str">
        <f>IF(AND(A504&lt;&gt;"",ISNUMBER(A504)),VLOOKUP(A504,Studies!A:BR,3,FALSE),"")</f>
        <v>https://www.ncbi.nlm.nih.gov/pubmed/18172627</v>
      </c>
      <c r="D504" s="228" t="str">
        <f>IF(AND(A504&lt;&gt;"",ISNUMBER(A504)),VLOOKUP(A504,Studies!A:BR,4,FALSE),"")</f>
        <v>po 200 mg solution male with water</v>
      </c>
      <c r="E504" s="188" t="str">
        <f>IF(AND(A504&lt;&gt;"",ISNUMBER(A504)),VLOOKUP(A504,Studies!A:BR,5,FALSE),"")</f>
        <v>Itraconazole</v>
      </c>
      <c r="F504" s="79" t="s">
        <v>149</v>
      </c>
      <c r="G504" s="78">
        <f t="shared" si="9"/>
        <v>1</v>
      </c>
    </row>
    <row r="505" spans="1:7" x14ac:dyDescent="0.2">
      <c r="A505" s="110">
        <v>505</v>
      </c>
      <c r="B505" s="188" t="str">
        <f>IF(AND(A505&lt;&gt;"",ISNUMBER(A505)),VLOOKUP(A505,Studies!A:BR,2,FALSE),"")</f>
        <v>Gubbins 2007</v>
      </c>
      <c r="C505" s="188" t="str">
        <f>IF(AND(A505&lt;&gt;"",ISNUMBER(A505)),VLOOKUP(A505,Studies!A:BR,3,FALSE),"")</f>
        <v>https://www.ncbi.nlm.nih.gov/pubmed/18172627</v>
      </c>
      <c r="D505" s="228" t="str">
        <f>IF(AND(A505&lt;&gt;"",ISNUMBER(A505)),VLOOKUP(A505,Studies!A:BR,4,FALSE),"")</f>
        <v>po 200 mg solution male with water</v>
      </c>
      <c r="E505" s="188" t="str">
        <f>IF(AND(A505&lt;&gt;"",ISNUMBER(A505)),VLOOKUP(A505,Studies!A:BR,5,FALSE),"")</f>
        <v>Hydroxy-Itraconazole</v>
      </c>
      <c r="F505" s="79" t="s">
        <v>149</v>
      </c>
      <c r="G505" s="78">
        <f t="shared" si="9"/>
        <v>1</v>
      </c>
    </row>
    <row r="506" spans="1:7" x14ac:dyDescent="0.2">
      <c r="A506" s="110">
        <v>506</v>
      </c>
      <c r="B506" s="188" t="str">
        <f>IF(AND(A506&lt;&gt;"",ISNUMBER(A506)),VLOOKUP(A506,Studies!A:BR,2,FALSE),"")</f>
        <v>Gubbins 2007</v>
      </c>
      <c r="C506" s="188" t="str">
        <f>IF(AND(A506&lt;&gt;"",ISNUMBER(A506)),VLOOKUP(A506,Studies!A:BR,3,FALSE),"")</f>
        <v>https://www.ncbi.nlm.nih.gov/pubmed/18172627</v>
      </c>
      <c r="D506" s="228" t="str">
        <f>IF(AND(A506&lt;&gt;"",ISNUMBER(A506)),VLOOKUP(A506,Studies!A:BR,4,FALSE),"")</f>
        <v>po 200 mg solution female with GFJ</v>
      </c>
      <c r="E506" s="188" t="str">
        <f>IF(AND(A506&lt;&gt;"",ISNUMBER(A506)),VLOOKUP(A506,Studies!A:BR,5,FALSE),"")</f>
        <v>Itraconazole</v>
      </c>
      <c r="F506" s="79" t="s">
        <v>149</v>
      </c>
      <c r="G506" s="78">
        <f t="shared" si="9"/>
        <v>1</v>
      </c>
    </row>
    <row r="507" spans="1:7" x14ac:dyDescent="0.2">
      <c r="A507" s="110">
        <v>507</v>
      </c>
      <c r="B507" s="188" t="str">
        <f>IF(AND(A507&lt;&gt;"",ISNUMBER(A507)),VLOOKUP(A507,Studies!A:BR,2,FALSE),"")</f>
        <v>Gubbins 2007</v>
      </c>
      <c r="C507" s="188" t="str">
        <f>IF(AND(A507&lt;&gt;"",ISNUMBER(A507)),VLOOKUP(A507,Studies!A:BR,3,FALSE),"")</f>
        <v>https://www.ncbi.nlm.nih.gov/pubmed/18172627</v>
      </c>
      <c r="D507" s="228" t="str">
        <f>IF(AND(A507&lt;&gt;"",ISNUMBER(A507)),VLOOKUP(A507,Studies!A:BR,4,FALSE),"")</f>
        <v>po 200 mg solution female with GFJ</v>
      </c>
      <c r="E507" s="188" t="str">
        <f>IF(AND(A507&lt;&gt;"",ISNUMBER(A507)),VLOOKUP(A507,Studies!A:BR,5,FALSE),"")</f>
        <v>Hydroxy-Itraconazole</v>
      </c>
      <c r="F507" s="79" t="s">
        <v>149</v>
      </c>
      <c r="G507" s="78">
        <f t="shared" si="9"/>
        <v>1</v>
      </c>
    </row>
    <row r="508" spans="1:7" x14ac:dyDescent="0.2">
      <c r="A508" s="110">
        <v>508</v>
      </c>
      <c r="B508" s="188" t="str">
        <f>IF(AND(A508&lt;&gt;"",ISNUMBER(A508)),VLOOKUP(A508,Studies!A:BR,2,FALSE),"")</f>
        <v>Gubbins 2007</v>
      </c>
      <c r="C508" s="188" t="str">
        <f>IF(AND(A508&lt;&gt;"",ISNUMBER(A508)),VLOOKUP(A508,Studies!A:BR,3,FALSE),"")</f>
        <v>https://www.ncbi.nlm.nih.gov/pubmed/18172627</v>
      </c>
      <c r="D508" s="228" t="str">
        <f>IF(AND(A508&lt;&gt;"",ISNUMBER(A508)),VLOOKUP(A508,Studies!A:BR,4,FALSE),"")</f>
        <v>po 200 mg solution male with GFJ</v>
      </c>
      <c r="E508" s="188" t="str">
        <f>IF(AND(A508&lt;&gt;"",ISNUMBER(A508)),VLOOKUP(A508,Studies!A:BR,5,FALSE),"")</f>
        <v>Itraconazole</v>
      </c>
      <c r="F508" s="79" t="s">
        <v>149</v>
      </c>
      <c r="G508" s="78">
        <f t="shared" si="9"/>
        <v>1</v>
      </c>
    </row>
    <row r="509" spans="1:7" x14ac:dyDescent="0.2">
      <c r="A509" s="110">
        <v>509</v>
      </c>
      <c r="B509" s="188" t="str">
        <f>IF(AND(A509&lt;&gt;"",ISNUMBER(A509)),VLOOKUP(A509,Studies!A:BR,2,FALSE),"")</f>
        <v>Gubbins 2007</v>
      </c>
      <c r="C509" s="188" t="str">
        <f>IF(AND(A509&lt;&gt;"",ISNUMBER(A509)),VLOOKUP(A509,Studies!A:BR,3,FALSE),"")</f>
        <v>https://www.ncbi.nlm.nih.gov/pubmed/18172627</v>
      </c>
      <c r="D509" s="228" t="str">
        <f>IF(AND(A509&lt;&gt;"",ISNUMBER(A509)),VLOOKUP(A509,Studies!A:BR,4,FALSE),"")</f>
        <v>po 200 mg solution male with GFJ</v>
      </c>
      <c r="E509" s="188" t="str">
        <f>IF(AND(A509&lt;&gt;"",ISNUMBER(A509)),VLOOKUP(A509,Studies!A:BR,5,FALSE),"")</f>
        <v>Hydroxy-Itraconazole</v>
      </c>
      <c r="F509" s="79" t="s">
        <v>149</v>
      </c>
      <c r="G509" s="78">
        <f t="shared" si="9"/>
        <v>1</v>
      </c>
    </row>
    <row r="510" spans="1:7" x14ac:dyDescent="0.2">
      <c r="A510" s="110">
        <v>510</v>
      </c>
      <c r="B510" s="188" t="str">
        <f>IF(AND(A510&lt;&gt;"",ISNUMBER(A510)),VLOOKUP(A510,Studies!A:BR,2,FALSE),"")</f>
        <v>Uno 2006</v>
      </c>
      <c r="C510" s="188" t="str">
        <f>IF(AND(A510&lt;&gt;"",ISNUMBER(A510)),VLOOKUP(A510,Studies!A:BR,3,FALSE),"")</f>
        <v>https://www.ncbi.nlm.nih.gov/pubmed/16885720</v>
      </c>
      <c r="D510" s="228" t="str">
        <f>IF(AND(A510&lt;&gt;"",ISNUMBER(A510)),VLOOKUP(A510,Studies!A:BR,4,FALSE),"")</f>
        <v>day 1 (Japanese)</v>
      </c>
      <c r="E510" s="188" t="str">
        <f>IF(AND(A510&lt;&gt;"",ISNUMBER(A510)),VLOOKUP(A510,Studies!A:BR,5,FALSE),"")</f>
        <v>Itraconazole</v>
      </c>
      <c r="F510" s="79" t="s">
        <v>149</v>
      </c>
      <c r="G510" s="78">
        <f t="shared" si="9"/>
        <v>1</v>
      </c>
    </row>
    <row r="511" spans="1:7" x14ac:dyDescent="0.2">
      <c r="A511" s="110">
        <v>511</v>
      </c>
      <c r="B511" s="188" t="str">
        <f>IF(AND(A511&lt;&gt;"",ISNUMBER(A511)),VLOOKUP(A511,Studies!A:BR,2,FALSE),"")</f>
        <v>Uno 2006</v>
      </c>
      <c r="C511" s="188" t="str">
        <f>IF(AND(A511&lt;&gt;"",ISNUMBER(A511)),VLOOKUP(A511,Studies!A:BR,3,FALSE),"")</f>
        <v>https://www.ncbi.nlm.nih.gov/pubmed/16885720</v>
      </c>
      <c r="D511" s="228" t="str">
        <f>IF(AND(A511&lt;&gt;"",ISNUMBER(A511)),VLOOKUP(A511,Studies!A:BR,4,FALSE),"")</f>
        <v>day 1 (Japanese)</v>
      </c>
      <c r="E511" s="188" t="str">
        <f>IF(AND(A511&lt;&gt;"",ISNUMBER(A511)),VLOOKUP(A511,Studies!A:BR,5,FALSE),"")</f>
        <v>Hydroxy-Itraconazole</v>
      </c>
      <c r="F511" s="79" t="s">
        <v>149</v>
      </c>
      <c r="G511" s="78">
        <f t="shared" si="9"/>
        <v>1</v>
      </c>
    </row>
    <row r="512" spans="1:7" x14ac:dyDescent="0.2">
      <c r="A512" s="110">
        <v>512</v>
      </c>
      <c r="B512" s="188" t="str">
        <f>IF(AND(A512&lt;&gt;"",ISNUMBER(A512)),VLOOKUP(A512,Studies!A:BR,2,FALSE),"")</f>
        <v>Uno 2006</v>
      </c>
      <c r="C512" s="188" t="str">
        <f>IF(AND(A512&lt;&gt;"",ISNUMBER(A512)),VLOOKUP(A512,Studies!A:BR,3,FALSE),"")</f>
        <v>https://www.ncbi.nlm.nih.gov/pubmed/16885720</v>
      </c>
      <c r="D512" s="228" t="str">
        <f>IF(AND(A512&lt;&gt;"",ISNUMBER(A512)),VLOOKUP(A512,Studies!A:BR,4,FALSE),"")</f>
        <v>day 6 (Japanese)</v>
      </c>
      <c r="E512" s="188" t="str">
        <f>IF(AND(A512&lt;&gt;"",ISNUMBER(A512)),VLOOKUP(A512,Studies!A:BR,5,FALSE),"")</f>
        <v>Itraconazole</v>
      </c>
      <c r="F512" s="79" t="s">
        <v>149</v>
      </c>
      <c r="G512" s="78">
        <f t="shared" si="9"/>
        <v>1</v>
      </c>
    </row>
    <row r="513" spans="1:7" x14ac:dyDescent="0.2">
      <c r="A513" s="110">
        <v>513</v>
      </c>
      <c r="B513" s="188" t="str">
        <f>IF(AND(A513&lt;&gt;"",ISNUMBER(A513)),VLOOKUP(A513,Studies!A:BR,2,FALSE),"")</f>
        <v>Uno 2006</v>
      </c>
      <c r="C513" s="188" t="str">
        <f>IF(AND(A513&lt;&gt;"",ISNUMBER(A513)),VLOOKUP(A513,Studies!A:BR,3,FALSE),"")</f>
        <v>https://www.ncbi.nlm.nih.gov/pubmed/16885720</v>
      </c>
      <c r="D513" s="228" t="str">
        <f>IF(AND(A513&lt;&gt;"",ISNUMBER(A513)),VLOOKUP(A513,Studies!A:BR,4,FALSE),"")</f>
        <v>day 6 (Japanese)</v>
      </c>
      <c r="E513" s="188" t="str">
        <f>IF(AND(A513&lt;&gt;"",ISNUMBER(A513)),VLOOKUP(A513,Studies!A:BR,5,FALSE),"")</f>
        <v>Hydroxy-Itraconazole</v>
      </c>
      <c r="F513" s="79" t="s">
        <v>149</v>
      </c>
      <c r="G513" s="78">
        <f t="shared" si="9"/>
        <v>1</v>
      </c>
    </row>
    <row r="514" spans="1:7" x14ac:dyDescent="0.2">
      <c r="A514" s="110">
        <v>514</v>
      </c>
      <c r="B514" s="188" t="str">
        <f>IF(AND(A514&lt;&gt;"",ISNUMBER(A514)),VLOOKUP(A514,Studies!A:BR,2,FALSE),"")</f>
        <v>Bae 2011</v>
      </c>
      <c r="C514" s="188" t="str">
        <f>IF(AND(A514&lt;&gt;"",ISNUMBER(A514)),VLOOKUP(A514,Studies!A:BR,3,FALSE),"")</f>
        <v>https://www.ncbi.nlm.nih.gov/pubmed/20400647</v>
      </c>
      <c r="D514" s="228" t="str">
        <f>IF(AND(A514&lt;&gt;"",ISNUMBER(A514)),VLOOKUP(A514,Studies!A:BR,4,FALSE),"")</f>
        <v>po 200 mg capsule with water (Korean)</v>
      </c>
      <c r="E514" s="188" t="str">
        <f>IF(AND(A514&lt;&gt;"",ISNUMBER(A514)),VLOOKUP(A514,Studies!A:BR,5,FALSE),"")</f>
        <v>Itraconazole</v>
      </c>
      <c r="F514" s="79" t="s">
        <v>149</v>
      </c>
      <c r="G514" s="78">
        <f t="shared" si="9"/>
        <v>1</v>
      </c>
    </row>
    <row r="515" spans="1:7" x14ac:dyDescent="0.2">
      <c r="A515" s="110">
        <v>515</v>
      </c>
      <c r="B515" s="188" t="str">
        <f>IF(AND(A515&lt;&gt;"",ISNUMBER(A515)),VLOOKUP(A515,Studies!A:BR,2,FALSE),"")</f>
        <v>Bae 2011</v>
      </c>
      <c r="C515" s="188" t="str">
        <f>IF(AND(A515&lt;&gt;"",ISNUMBER(A515)),VLOOKUP(A515,Studies!A:BR,3,FALSE),"")</f>
        <v>https://www.ncbi.nlm.nih.gov/pubmed/20400647</v>
      </c>
      <c r="D515" s="228" t="str">
        <f>IF(AND(A515&lt;&gt;"",ISNUMBER(A515)),VLOOKUP(A515,Studies!A:BR,4,FALSE),"")</f>
        <v>po 200 mg capsule with water (Korean)</v>
      </c>
      <c r="E515" s="188" t="str">
        <f>IF(AND(A515&lt;&gt;"",ISNUMBER(A515)),VLOOKUP(A515,Studies!A:BR,5,FALSE),"")</f>
        <v>Hydroxy-Itraconazole</v>
      </c>
      <c r="F515" s="79" t="s">
        <v>149</v>
      </c>
      <c r="G515" s="78">
        <f t="shared" si="9"/>
        <v>1</v>
      </c>
    </row>
    <row r="516" spans="1:7" x14ac:dyDescent="0.2">
      <c r="A516" s="110">
        <v>516</v>
      </c>
      <c r="B516" s="188" t="str">
        <f>IF(AND(A516&lt;&gt;"",ISNUMBER(A516)),VLOOKUP(A516,Studies!A:BR,2,FALSE),"")</f>
        <v>Bae 2011</v>
      </c>
      <c r="C516" s="188" t="str">
        <f>IF(AND(A516&lt;&gt;"",ISNUMBER(A516)),VLOOKUP(A516,Studies!A:BR,3,FALSE),"")</f>
        <v>https://www.ncbi.nlm.nih.gov/pubmed/20400647</v>
      </c>
      <c r="D516" s="228" t="str">
        <f>IF(AND(A516&lt;&gt;"",ISNUMBER(A516)),VLOOKUP(A516,Studies!A:BR,4,FALSE),"")</f>
        <v>po 200 mg capsule with cola (Korean)</v>
      </c>
      <c r="E516" s="188" t="str">
        <f>IF(AND(A516&lt;&gt;"",ISNUMBER(A516)),VLOOKUP(A516,Studies!A:BR,5,FALSE),"")</f>
        <v>Itraconazole</v>
      </c>
      <c r="F516" s="79" t="s">
        <v>149</v>
      </c>
      <c r="G516" s="78">
        <f t="shared" si="9"/>
        <v>1</v>
      </c>
    </row>
    <row r="517" spans="1:7" x14ac:dyDescent="0.2">
      <c r="A517" s="110">
        <v>517</v>
      </c>
      <c r="B517" s="188" t="str">
        <f>IF(AND(A517&lt;&gt;"",ISNUMBER(A517)),VLOOKUP(A517,Studies!A:BR,2,FALSE),"")</f>
        <v>Bae 2011</v>
      </c>
      <c r="C517" s="188" t="str">
        <f>IF(AND(A517&lt;&gt;"",ISNUMBER(A517)),VLOOKUP(A517,Studies!A:BR,3,FALSE),"")</f>
        <v>https://www.ncbi.nlm.nih.gov/pubmed/20400647</v>
      </c>
      <c r="D517" s="228" t="str">
        <f>IF(AND(A517&lt;&gt;"",ISNUMBER(A517)),VLOOKUP(A517,Studies!A:BR,4,FALSE),"")</f>
        <v>po 200 mg capsule with cola (Korean)</v>
      </c>
      <c r="E517" s="188" t="str">
        <f>IF(AND(A517&lt;&gt;"",ISNUMBER(A517)),VLOOKUP(A517,Studies!A:BR,5,FALSE),"")</f>
        <v>Hydroxy-Itraconazole</v>
      </c>
      <c r="F517" s="79" t="s">
        <v>149</v>
      </c>
      <c r="G517" s="78">
        <f t="shared" si="9"/>
        <v>1</v>
      </c>
    </row>
    <row r="518" spans="1:7" x14ac:dyDescent="0.2">
      <c r="A518" s="110">
        <v>518</v>
      </c>
      <c r="B518" s="188" t="str">
        <f>IF(AND(A518&lt;&gt;"",ISNUMBER(A518)),VLOOKUP(A518,Studies!A:BR,2,FALSE),"")</f>
        <v>Bae 2011</v>
      </c>
      <c r="C518" s="188" t="str">
        <f>IF(AND(A518&lt;&gt;"",ISNUMBER(A518)),VLOOKUP(A518,Studies!A:BR,3,FALSE),"")</f>
        <v>https://www.ncbi.nlm.nih.gov/pubmed/20400647</v>
      </c>
      <c r="D518" s="228" t="str">
        <f>IF(AND(A518&lt;&gt;"",ISNUMBER(A518)),VLOOKUP(A518,Studies!A:BR,4,FALSE),"")</f>
        <v>po 200 mg capsule with vit. C (Korean)</v>
      </c>
      <c r="E518" s="188" t="str">
        <f>IF(AND(A518&lt;&gt;"",ISNUMBER(A518)),VLOOKUP(A518,Studies!A:BR,5,FALSE),"")</f>
        <v>Itraconazole</v>
      </c>
      <c r="F518" s="79" t="s">
        <v>149</v>
      </c>
      <c r="G518" s="78">
        <f t="shared" si="9"/>
        <v>1</v>
      </c>
    </row>
    <row r="519" spans="1:7" x14ac:dyDescent="0.2">
      <c r="A519" s="110">
        <v>519</v>
      </c>
      <c r="B519" s="188" t="str">
        <f>IF(AND(A519&lt;&gt;"",ISNUMBER(A519)),VLOOKUP(A519,Studies!A:BR,2,FALSE),"")</f>
        <v>Bae 2011</v>
      </c>
      <c r="C519" s="188" t="str">
        <f>IF(AND(A519&lt;&gt;"",ISNUMBER(A519)),VLOOKUP(A519,Studies!A:BR,3,FALSE),"")</f>
        <v>https://www.ncbi.nlm.nih.gov/pubmed/20400647</v>
      </c>
      <c r="D519" s="228" t="str">
        <f>IF(AND(A519&lt;&gt;"",ISNUMBER(A519)),VLOOKUP(A519,Studies!A:BR,4,FALSE),"")</f>
        <v>po 200 mg capsule with vit. C (Korean)</v>
      </c>
      <c r="E519" s="188" t="str">
        <f>IF(AND(A519&lt;&gt;"",ISNUMBER(A519)),VLOOKUP(A519,Studies!A:BR,5,FALSE),"")</f>
        <v>Hydroxy-Itraconazole</v>
      </c>
      <c r="F519" s="79" t="s">
        <v>149</v>
      </c>
      <c r="G519" s="78">
        <f t="shared" si="9"/>
        <v>1</v>
      </c>
    </row>
    <row r="520" spans="1:7" x14ac:dyDescent="0.2">
      <c r="A520" s="110">
        <v>520</v>
      </c>
      <c r="B520" s="188" t="str">
        <f>IF(AND(A520&lt;&gt;"",ISNUMBER(A520)),VLOOKUP(A520,Studies!A:BR,2,FALSE),"")</f>
        <v>Mouton 2006</v>
      </c>
      <c r="C520" s="188" t="str">
        <f>IF(AND(A520&lt;&gt;"",ISNUMBER(A520)),VLOOKUP(A520,Studies!A:BR,3,FALSE),"")</f>
        <v>https://www.ncbi.nlm.nih.gov/pubmed/16982783</v>
      </c>
      <c r="D520" s="228" t="str">
        <f>IF(AND(A520&lt;&gt;"",ISNUMBER(A520)),VLOOKUP(A520,Studies!A:BR,4,FALSE),"")</f>
        <v>SAD_A 50 mg</v>
      </c>
      <c r="E520" s="188" t="str">
        <f>IF(AND(A520&lt;&gt;"",ISNUMBER(A520)),VLOOKUP(A520,Studies!A:BR,5,FALSE),"")</f>
        <v>Itraconazole</v>
      </c>
      <c r="F520" s="79" t="s">
        <v>149</v>
      </c>
      <c r="G520" s="78">
        <f t="shared" si="9"/>
        <v>1</v>
      </c>
    </row>
    <row r="521" spans="1:7" x14ac:dyDescent="0.2">
      <c r="A521" s="110">
        <v>521</v>
      </c>
      <c r="B521" s="188" t="str">
        <f>IF(AND(A521&lt;&gt;"",ISNUMBER(A521)),VLOOKUP(A521,Studies!A:BR,2,FALSE),"")</f>
        <v>Mouton 2006</v>
      </c>
      <c r="C521" s="188" t="str">
        <f>IF(AND(A521&lt;&gt;"",ISNUMBER(A521)),VLOOKUP(A521,Studies!A:BR,3,FALSE),"")</f>
        <v>https://www.ncbi.nlm.nih.gov/pubmed/16982783</v>
      </c>
      <c r="D521" s="228" t="str">
        <f>IF(AND(A521&lt;&gt;"",ISNUMBER(A521)),VLOOKUP(A521,Studies!A:BR,4,FALSE),"")</f>
        <v>SAD_B 100 mg</v>
      </c>
      <c r="E521" s="188" t="str">
        <f>IF(AND(A521&lt;&gt;"",ISNUMBER(A521)),VLOOKUP(A521,Studies!A:BR,5,FALSE),"")</f>
        <v>Itraconazole</v>
      </c>
      <c r="F521" s="79" t="s">
        <v>149</v>
      </c>
      <c r="G521" s="78">
        <f t="shared" ref="G521:G552" si="10">A521-A520</f>
        <v>1</v>
      </c>
    </row>
    <row r="522" spans="1:7" x14ac:dyDescent="0.2">
      <c r="A522" s="110">
        <v>522</v>
      </c>
      <c r="B522" s="188" t="str">
        <f>IF(AND(A522&lt;&gt;"",ISNUMBER(A522)),VLOOKUP(A522,Studies!A:BR,2,FALSE),"")</f>
        <v>Mouton 2006</v>
      </c>
      <c r="C522" s="188" t="str">
        <f>IF(AND(A522&lt;&gt;"",ISNUMBER(A522)),VLOOKUP(A522,Studies!A:BR,3,FALSE),"")</f>
        <v>https://www.ncbi.nlm.nih.gov/pubmed/16982783</v>
      </c>
      <c r="D522" s="228" t="str">
        <f>IF(AND(A522&lt;&gt;"",ISNUMBER(A522)),VLOOKUP(A522,Studies!A:BR,4,FALSE),"")</f>
        <v>SAD_A 200 mg</v>
      </c>
      <c r="E522" s="188" t="str">
        <f>IF(AND(A522&lt;&gt;"",ISNUMBER(A522)),VLOOKUP(A522,Studies!A:BR,5,FALSE),"")</f>
        <v>Itraconazole</v>
      </c>
      <c r="F522" s="79" t="s">
        <v>149</v>
      </c>
      <c r="G522" s="78">
        <f t="shared" si="10"/>
        <v>1</v>
      </c>
    </row>
    <row r="523" spans="1:7" x14ac:dyDescent="0.2">
      <c r="A523" s="110">
        <v>523</v>
      </c>
      <c r="B523" s="188" t="str">
        <f>IF(AND(A523&lt;&gt;"",ISNUMBER(A523)),VLOOKUP(A523,Studies!A:BR,2,FALSE),"")</f>
        <v>Mouton 2006</v>
      </c>
      <c r="C523" s="188" t="str">
        <f>IF(AND(A523&lt;&gt;"",ISNUMBER(A523)),VLOOKUP(A523,Studies!A:BR,3,FALSE),"")</f>
        <v>https://www.ncbi.nlm.nih.gov/pubmed/16982783</v>
      </c>
      <c r="D523" s="228" t="str">
        <f>IF(AND(A523&lt;&gt;"",ISNUMBER(A523)),VLOOKUP(A523,Studies!A:BR,4,FALSE),"")</f>
        <v>SAD_B 300 mg</v>
      </c>
      <c r="E523" s="188" t="str">
        <f>IF(AND(A523&lt;&gt;"",ISNUMBER(A523)),VLOOKUP(A523,Studies!A:BR,5,FALSE),"")</f>
        <v>Itraconazole</v>
      </c>
      <c r="F523" s="79" t="s">
        <v>149</v>
      </c>
      <c r="G523" s="78">
        <f t="shared" si="10"/>
        <v>1</v>
      </c>
    </row>
    <row r="524" spans="1:7" x14ac:dyDescent="0.2">
      <c r="A524" s="110">
        <v>524</v>
      </c>
      <c r="B524" s="188" t="str">
        <f>IF(AND(A524&lt;&gt;"",ISNUMBER(A524)),VLOOKUP(A524,Studies!A:BR,2,FALSE),"")</f>
        <v>Mouton 2006</v>
      </c>
      <c r="C524" s="188" t="str">
        <f>IF(AND(A524&lt;&gt;"",ISNUMBER(A524)),VLOOKUP(A524,Studies!A:BR,3,FALSE),"")</f>
        <v>https://www.ncbi.nlm.nih.gov/pubmed/16982783</v>
      </c>
      <c r="D524" s="228" t="str">
        <f>IF(AND(A524&lt;&gt;"",ISNUMBER(A524)),VLOOKUP(A524,Studies!A:BR,4,FALSE),"")</f>
        <v>MAD_m_A 100 mg</v>
      </c>
      <c r="E524" s="188" t="str">
        <f>IF(AND(A524&lt;&gt;"",ISNUMBER(A524)),VLOOKUP(A524,Studies!A:BR,5,FALSE),"")</f>
        <v>Itraconazole</v>
      </c>
      <c r="F524" s="79" t="s">
        <v>149</v>
      </c>
      <c r="G524" s="78">
        <f t="shared" si="10"/>
        <v>1</v>
      </c>
    </row>
    <row r="525" spans="1:7" x14ac:dyDescent="0.2">
      <c r="A525" s="110">
        <v>525</v>
      </c>
      <c r="B525" s="188" t="str">
        <f>IF(AND(A525&lt;&gt;"",ISNUMBER(A525)),VLOOKUP(A525,Studies!A:BR,2,FALSE),"")</f>
        <v>Mouton 2006</v>
      </c>
      <c r="C525" s="188" t="str">
        <f>IF(AND(A525&lt;&gt;"",ISNUMBER(A525)),VLOOKUP(A525,Studies!A:BR,3,FALSE),"")</f>
        <v>https://www.ncbi.nlm.nih.gov/pubmed/16982783</v>
      </c>
      <c r="D525" s="228" t="str">
        <f>IF(AND(A525&lt;&gt;"",ISNUMBER(A525)),VLOOKUP(A525,Studies!A:BR,4,FALSE),"")</f>
        <v>MAD_m_B 200 mg</v>
      </c>
      <c r="E525" s="188" t="str">
        <f>IF(AND(A525&lt;&gt;"",ISNUMBER(A525)),VLOOKUP(A525,Studies!A:BR,5,FALSE),"")</f>
        <v>Itraconazole</v>
      </c>
      <c r="F525" s="79" t="s">
        <v>149</v>
      </c>
      <c r="G525" s="78">
        <f t="shared" si="10"/>
        <v>1</v>
      </c>
    </row>
    <row r="526" spans="1:7" x14ac:dyDescent="0.2">
      <c r="A526" s="110">
        <v>526</v>
      </c>
      <c r="B526" s="188" t="str">
        <f>IF(AND(A526&lt;&gt;"",ISNUMBER(A526)),VLOOKUP(A526,Studies!A:BR,2,FALSE),"")</f>
        <v>Mouton 2006</v>
      </c>
      <c r="C526" s="188" t="str">
        <f>IF(AND(A526&lt;&gt;"",ISNUMBER(A526)),VLOOKUP(A526,Studies!A:BR,3,FALSE),"")</f>
        <v>https://www.ncbi.nlm.nih.gov/pubmed/16982783</v>
      </c>
      <c r="D526" s="228" t="str">
        <f>IF(AND(A526&lt;&gt;"",ISNUMBER(A526)),VLOOKUP(A526,Studies!A:BR,4,FALSE),"")</f>
        <v>MAD_m_C 300 mg</v>
      </c>
      <c r="E526" s="188" t="str">
        <f>IF(AND(A526&lt;&gt;"",ISNUMBER(A526)),VLOOKUP(A526,Studies!A:BR,5,FALSE),"")</f>
        <v>Itraconazole</v>
      </c>
      <c r="F526" s="79" t="s">
        <v>149</v>
      </c>
      <c r="G526" s="78">
        <f t="shared" si="10"/>
        <v>1</v>
      </c>
    </row>
    <row r="527" spans="1:7" x14ac:dyDescent="0.2">
      <c r="A527" s="110">
        <v>527</v>
      </c>
      <c r="B527" s="188" t="str">
        <f>IF(AND(A527&lt;&gt;"",ISNUMBER(A527)),VLOOKUP(A527,Studies!A:BR,2,FALSE),"")</f>
        <v>Mouton 2006</v>
      </c>
      <c r="C527" s="188" t="str">
        <f>IF(AND(A527&lt;&gt;"",ISNUMBER(A527)),VLOOKUP(A527,Studies!A:BR,3,FALSE),"")</f>
        <v>https://www.ncbi.nlm.nih.gov/pubmed/16982783</v>
      </c>
      <c r="D527" s="228" t="str">
        <f>IF(AND(A527&lt;&gt;"",ISNUMBER(A527)),VLOOKUP(A527,Studies!A:BR,4,FALSE),"")</f>
        <v>MAD_m_D 200 mg (HPBCD)</v>
      </c>
      <c r="E527" s="188" t="str">
        <f>IF(AND(A527&lt;&gt;"",ISNUMBER(A527)),VLOOKUP(A527,Studies!A:BR,5,FALSE),"")</f>
        <v>Itraconazole</v>
      </c>
      <c r="F527" s="79" t="s">
        <v>149</v>
      </c>
      <c r="G527" s="78">
        <f t="shared" si="10"/>
        <v>1</v>
      </c>
    </row>
    <row r="528" spans="1:7" x14ac:dyDescent="0.2">
      <c r="A528" s="110">
        <v>528</v>
      </c>
      <c r="B528" s="188" t="str">
        <f>IF(AND(A528&lt;&gt;"",ISNUMBER(A528)),VLOOKUP(A528,Studies!A:BR,2,FALSE),"")</f>
        <v>Mouton 2006</v>
      </c>
      <c r="C528" s="188" t="str">
        <f>IF(AND(A528&lt;&gt;"",ISNUMBER(A528)),VLOOKUP(A528,Studies!A:BR,3,FALSE),"")</f>
        <v>https://www.ncbi.nlm.nih.gov/pubmed/16982783</v>
      </c>
      <c r="D528" s="228" t="str">
        <f>IF(AND(A528&lt;&gt;"",ISNUMBER(A528)),VLOOKUP(A528,Studies!A:BR,4,FALSE),"")</f>
        <v>SAD_A 50 mg</v>
      </c>
      <c r="E528" s="188" t="str">
        <f>IF(AND(A528&lt;&gt;"",ISNUMBER(A528)),VLOOKUP(A528,Studies!A:BR,5,FALSE),"")</f>
        <v>Hydroxy-Itraconazole</v>
      </c>
      <c r="F528" s="79" t="s">
        <v>149</v>
      </c>
      <c r="G528" s="78">
        <f t="shared" si="10"/>
        <v>1</v>
      </c>
    </row>
    <row r="529" spans="1:7" x14ac:dyDescent="0.2">
      <c r="A529" s="110">
        <v>529</v>
      </c>
      <c r="B529" s="188" t="str">
        <f>IF(AND(A529&lt;&gt;"",ISNUMBER(A529)),VLOOKUP(A529,Studies!A:BR,2,FALSE),"")</f>
        <v>Mouton 2006</v>
      </c>
      <c r="C529" s="188" t="str">
        <f>IF(AND(A529&lt;&gt;"",ISNUMBER(A529)),VLOOKUP(A529,Studies!A:BR,3,FALSE),"")</f>
        <v>https://www.ncbi.nlm.nih.gov/pubmed/16982783</v>
      </c>
      <c r="D529" s="228" t="str">
        <f>IF(AND(A529&lt;&gt;"",ISNUMBER(A529)),VLOOKUP(A529,Studies!A:BR,4,FALSE),"")</f>
        <v>SAD_B 100 mg</v>
      </c>
      <c r="E529" s="188" t="str">
        <f>IF(AND(A529&lt;&gt;"",ISNUMBER(A529)),VLOOKUP(A529,Studies!A:BR,5,FALSE),"")</f>
        <v>Hydroxy-Itraconazole</v>
      </c>
      <c r="F529" s="79" t="s">
        <v>149</v>
      </c>
      <c r="G529" s="78">
        <f t="shared" si="10"/>
        <v>1</v>
      </c>
    </row>
    <row r="530" spans="1:7" x14ac:dyDescent="0.2">
      <c r="A530" s="110">
        <v>530</v>
      </c>
      <c r="B530" s="188" t="str">
        <f>IF(AND(A530&lt;&gt;"",ISNUMBER(A530)),VLOOKUP(A530,Studies!A:BR,2,FALSE),"")</f>
        <v>Mouton 2006</v>
      </c>
      <c r="C530" s="188" t="str">
        <f>IF(AND(A530&lt;&gt;"",ISNUMBER(A530)),VLOOKUP(A530,Studies!A:BR,3,FALSE),"")</f>
        <v>https://www.ncbi.nlm.nih.gov/pubmed/16982783</v>
      </c>
      <c r="D530" s="228" t="str">
        <f>IF(AND(A530&lt;&gt;"",ISNUMBER(A530)),VLOOKUP(A530,Studies!A:BR,4,FALSE),"")</f>
        <v>SAD_A 200 mg</v>
      </c>
      <c r="E530" s="188" t="str">
        <f>IF(AND(A530&lt;&gt;"",ISNUMBER(A530)),VLOOKUP(A530,Studies!A:BR,5,FALSE),"")</f>
        <v>Hydroxy-Itraconazole</v>
      </c>
      <c r="F530" s="79" t="s">
        <v>149</v>
      </c>
      <c r="G530" s="78">
        <f t="shared" si="10"/>
        <v>1</v>
      </c>
    </row>
    <row r="531" spans="1:7" x14ac:dyDescent="0.2">
      <c r="A531" s="110">
        <v>531</v>
      </c>
      <c r="B531" s="188" t="str">
        <f>IF(AND(A531&lt;&gt;"",ISNUMBER(A531)),VLOOKUP(A531,Studies!A:BR,2,FALSE),"")</f>
        <v>Mouton 2006</v>
      </c>
      <c r="C531" s="188" t="str">
        <f>IF(AND(A531&lt;&gt;"",ISNUMBER(A531)),VLOOKUP(A531,Studies!A:BR,3,FALSE),"")</f>
        <v>https://www.ncbi.nlm.nih.gov/pubmed/16982783</v>
      </c>
      <c r="D531" s="228" t="str">
        <f>IF(AND(A531&lt;&gt;"",ISNUMBER(A531)),VLOOKUP(A531,Studies!A:BR,4,FALSE),"")</f>
        <v>SAD_B 300 mg</v>
      </c>
      <c r="E531" s="188" t="str">
        <f>IF(AND(A531&lt;&gt;"",ISNUMBER(A531)),VLOOKUP(A531,Studies!A:BR,5,FALSE),"")</f>
        <v>Hydroxy-Itraconazole</v>
      </c>
      <c r="F531" s="79" t="s">
        <v>149</v>
      </c>
      <c r="G531" s="78">
        <f t="shared" si="10"/>
        <v>1</v>
      </c>
    </row>
    <row r="532" spans="1:7" x14ac:dyDescent="0.2">
      <c r="A532" s="110">
        <v>532</v>
      </c>
      <c r="B532" s="188" t="str">
        <f>IF(AND(A532&lt;&gt;"",ISNUMBER(A532)),VLOOKUP(A532,Studies!A:BR,2,FALSE),"")</f>
        <v>Mouton 2006</v>
      </c>
      <c r="C532" s="188" t="str">
        <f>IF(AND(A532&lt;&gt;"",ISNUMBER(A532)),VLOOKUP(A532,Studies!A:BR,3,FALSE),"")</f>
        <v>https://www.ncbi.nlm.nih.gov/pubmed/16982783</v>
      </c>
      <c r="D532" s="228" t="str">
        <f>IF(AND(A532&lt;&gt;"",ISNUMBER(A532)),VLOOKUP(A532,Studies!A:BR,4,FALSE),"")</f>
        <v>MAD_m_A 100 mg</v>
      </c>
      <c r="E532" s="188" t="str">
        <f>IF(AND(A532&lt;&gt;"",ISNUMBER(A532)),VLOOKUP(A532,Studies!A:BR,5,FALSE),"")</f>
        <v>Hydroxy-Itraconazole</v>
      </c>
      <c r="F532" s="79" t="s">
        <v>149</v>
      </c>
      <c r="G532" s="78">
        <f t="shared" si="10"/>
        <v>1</v>
      </c>
    </row>
    <row r="533" spans="1:7" x14ac:dyDescent="0.2">
      <c r="A533" s="110">
        <v>533</v>
      </c>
      <c r="B533" s="188" t="str">
        <f>IF(AND(A533&lt;&gt;"",ISNUMBER(A533)),VLOOKUP(A533,Studies!A:BR,2,FALSE),"")</f>
        <v>Mouton 2006</v>
      </c>
      <c r="C533" s="188" t="str">
        <f>IF(AND(A533&lt;&gt;"",ISNUMBER(A533)),VLOOKUP(A533,Studies!A:BR,3,FALSE),"")</f>
        <v>https://www.ncbi.nlm.nih.gov/pubmed/16982783</v>
      </c>
      <c r="D533" s="228" t="str">
        <f>IF(AND(A533&lt;&gt;"",ISNUMBER(A533)),VLOOKUP(A533,Studies!A:BR,4,FALSE),"")</f>
        <v>MAD_m_B 200 mg</v>
      </c>
      <c r="E533" s="188" t="str">
        <f>IF(AND(A533&lt;&gt;"",ISNUMBER(A533)),VLOOKUP(A533,Studies!A:BR,5,FALSE),"")</f>
        <v>Hydroxy-Itraconazole</v>
      </c>
      <c r="F533" s="79" t="s">
        <v>149</v>
      </c>
      <c r="G533" s="78">
        <f t="shared" si="10"/>
        <v>1</v>
      </c>
    </row>
    <row r="534" spans="1:7" x14ac:dyDescent="0.2">
      <c r="A534" s="110">
        <v>534</v>
      </c>
      <c r="B534" s="188" t="str">
        <f>IF(AND(A534&lt;&gt;"",ISNUMBER(A534)),VLOOKUP(A534,Studies!A:BR,2,FALSE),"")</f>
        <v>Mouton 2006</v>
      </c>
      <c r="C534" s="188" t="str">
        <f>IF(AND(A534&lt;&gt;"",ISNUMBER(A534)),VLOOKUP(A534,Studies!A:BR,3,FALSE),"")</f>
        <v>https://www.ncbi.nlm.nih.gov/pubmed/16982783</v>
      </c>
      <c r="D534" s="228" t="str">
        <f>IF(AND(A534&lt;&gt;"",ISNUMBER(A534)),VLOOKUP(A534,Studies!A:BR,4,FALSE),"")</f>
        <v>MAD_m_C 300 mg</v>
      </c>
      <c r="E534" s="188" t="str">
        <f>IF(AND(A534&lt;&gt;"",ISNUMBER(A534)),VLOOKUP(A534,Studies!A:BR,5,FALSE),"")</f>
        <v>Hydroxy-Itraconazole</v>
      </c>
      <c r="F534" s="79" t="s">
        <v>149</v>
      </c>
      <c r="G534" s="78">
        <f t="shared" si="10"/>
        <v>1</v>
      </c>
    </row>
    <row r="535" spans="1:7" x14ac:dyDescent="0.2">
      <c r="A535" s="110">
        <v>535</v>
      </c>
      <c r="B535" s="188" t="str">
        <f>IF(AND(A535&lt;&gt;"",ISNUMBER(A535)),VLOOKUP(A535,Studies!A:BR,2,FALSE),"")</f>
        <v>Mouton 2006</v>
      </c>
      <c r="C535" s="188" t="str">
        <f>IF(AND(A535&lt;&gt;"",ISNUMBER(A535)),VLOOKUP(A535,Studies!A:BR,3,FALSE),"")</f>
        <v>https://www.ncbi.nlm.nih.gov/pubmed/16982783</v>
      </c>
      <c r="D535" s="228" t="str">
        <f>IF(AND(A535&lt;&gt;"",ISNUMBER(A535)),VLOOKUP(A535,Studies!A:BR,4,FALSE),"")</f>
        <v>MAD_m_D 200 mg (HPBCD)</v>
      </c>
      <c r="E535" s="188" t="str">
        <f>IF(AND(A535&lt;&gt;"",ISNUMBER(A535)),VLOOKUP(A535,Studies!A:BR,5,FALSE),"")</f>
        <v>Hydroxy-Itraconazole</v>
      </c>
      <c r="F535" s="79" t="s">
        <v>149</v>
      </c>
      <c r="G535" s="78">
        <f t="shared" si="10"/>
        <v>1</v>
      </c>
    </row>
    <row r="536" spans="1:7" x14ac:dyDescent="0.2">
      <c r="A536" s="110">
        <v>536</v>
      </c>
      <c r="B536" s="188" t="str">
        <f>IF(AND(A536&lt;&gt;"",ISNUMBER(A536)),VLOOKUP(A536,Studies!A:BR,2,FALSE),"")</f>
        <v>Mouton 2006</v>
      </c>
      <c r="C536" s="188" t="str">
        <f>IF(AND(A536&lt;&gt;"",ISNUMBER(A536)),VLOOKUP(A536,Studies!A:BR,3,FALSE),"")</f>
        <v>https://www.ncbi.nlm.nih.gov/pubmed/16982783</v>
      </c>
      <c r="D536" s="228" t="str">
        <f>IF(AND(A536&lt;&gt;"",ISNUMBER(A536)),VLOOKUP(A536,Studies!A:BR,4,FALSE),"")</f>
        <v>MAD_m_A 100 mg (terminal phase only)</v>
      </c>
      <c r="E536" s="188" t="str">
        <f>IF(AND(A536&lt;&gt;"",ISNUMBER(A536)),VLOOKUP(A536,Studies!A:BR,5,FALSE),"")</f>
        <v>Itraconazole</v>
      </c>
      <c r="F536" s="79" t="s">
        <v>149</v>
      </c>
      <c r="G536" s="78">
        <f t="shared" si="10"/>
        <v>1</v>
      </c>
    </row>
    <row r="537" spans="1:7" x14ac:dyDescent="0.2">
      <c r="A537" s="110">
        <v>537</v>
      </c>
      <c r="B537" s="188" t="str">
        <f>IF(AND(A537&lt;&gt;"",ISNUMBER(A537)),VLOOKUP(A537,Studies!A:BR,2,FALSE),"")</f>
        <v>Mouton 2006</v>
      </c>
      <c r="C537" s="188" t="str">
        <f>IF(AND(A537&lt;&gt;"",ISNUMBER(A537)),VLOOKUP(A537,Studies!A:BR,3,FALSE),"")</f>
        <v>https://www.ncbi.nlm.nih.gov/pubmed/16982783</v>
      </c>
      <c r="D537" s="228" t="str">
        <f>IF(AND(A537&lt;&gt;"",ISNUMBER(A537)),VLOOKUP(A537,Studies!A:BR,4,FALSE),"")</f>
        <v>MAD_m_B 200 mg (terminal phase only)</v>
      </c>
      <c r="E537" s="188" t="str">
        <f>IF(AND(A537&lt;&gt;"",ISNUMBER(A537)),VLOOKUP(A537,Studies!A:BR,5,FALSE),"")</f>
        <v>Itraconazole</v>
      </c>
      <c r="F537" s="79" t="s">
        <v>149</v>
      </c>
      <c r="G537" s="78">
        <f t="shared" si="10"/>
        <v>1</v>
      </c>
    </row>
    <row r="538" spans="1:7" x14ac:dyDescent="0.2">
      <c r="A538" s="110">
        <v>538</v>
      </c>
      <c r="B538" s="188" t="str">
        <f>IF(AND(A538&lt;&gt;"",ISNUMBER(A538)),VLOOKUP(A538,Studies!A:BR,2,FALSE),"")</f>
        <v>Mouton 2006</v>
      </c>
      <c r="C538" s="188" t="str">
        <f>IF(AND(A538&lt;&gt;"",ISNUMBER(A538)),VLOOKUP(A538,Studies!A:BR,3,FALSE),"")</f>
        <v>https://www.ncbi.nlm.nih.gov/pubmed/16982783</v>
      </c>
      <c r="D538" s="228" t="str">
        <f>IF(AND(A538&lt;&gt;"",ISNUMBER(A538)),VLOOKUP(A538,Studies!A:BR,4,FALSE),"")</f>
        <v>MAD_m_C 300 mg (terminal phase only)</v>
      </c>
      <c r="E538" s="188" t="str">
        <f>IF(AND(A538&lt;&gt;"",ISNUMBER(A538)),VLOOKUP(A538,Studies!A:BR,5,FALSE),"")</f>
        <v>Itraconazole</v>
      </c>
      <c r="F538" s="79" t="s">
        <v>149</v>
      </c>
      <c r="G538" s="78">
        <f t="shared" si="10"/>
        <v>1</v>
      </c>
    </row>
    <row r="539" spans="1:7" x14ac:dyDescent="0.2">
      <c r="A539" s="110">
        <v>539</v>
      </c>
      <c r="B539" s="188" t="str">
        <f>IF(AND(A539&lt;&gt;"",ISNUMBER(A539)),VLOOKUP(A539,Studies!A:BR,2,FALSE),"")</f>
        <v>Mouton 2006</v>
      </c>
      <c r="C539" s="188" t="str">
        <f>IF(AND(A539&lt;&gt;"",ISNUMBER(A539)),VLOOKUP(A539,Studies!A:BR,3,FALSE),"")</f>
        <v>https://www.ncbi.nlm.nih.gov/pubmed/16982783</v>
      </c>
      <c r="D539" s="228" t="str">
        <f>IF(AND(A539&lt;&gt;"",ISNUMBER(A539)),VLOOKUP(A539,Studies!A:BR,4,FALSE),"")</f>
        <v>MAD_m_A 100 mg (terminal phase only)</v>
      </c>
      <c r="E539" s="188" t="str">
        <f>IF(AND(A539&lt;&gt;"",ISNUMBER(A539)),VLOOKUP(A539,Studies!A:BR,5,FALSE),"")</f>
        <v>Hydroxy-Itraconazole</v>
      </c>
      <c r="F539" s="79" t="s">
        <v>149</v>
      </c>
      <c r="G539" s="78">
        <f t="shared" si="10"/>
        <v>1</v>
      </c>
    </row>
    <row r="540" spans="1:7" x14ac:dyDescent="0.2">
      <c r="A540" s="110">
        <v>540</v>
      </c>
      <c r="B540" s="188" t="str">
        <f>IF(AND(A540&lt;&gt;"",ISNUMBER(A540)),VLOOKUP(A540,Studies!A:BR,2,FALSE),"")</f>
        <v>Mouton 2006</v>
      </c>
      <c r="C540" s="188" t="str">
        <f>IF(AND(A540&lt;&gt;"",ISNUMBER(A540)),VLOOKUP(A540,Studies!A:BR,3,FALSE),"")</f>
        <v>https://www.ncbi.nlm.nih.gov/pubmed/16982783</v>
      </c>
      <c r="D540" s="228" t="str">
        <f>IF(AND(A540&lt;&gt;"",ISNUMBER(A540)),VLOOKUP(A540,Studies!A:BR,4,FALSE),"")</f>
        <v>MAD_m_B 200 mg (terminal phase only)</v>
      </c>
      <c r="E540" s="188" t="str">
        <f>IF(AND(A540&lt;&gt;"",ISNUMBER(A540)),VLOOKUP(A540,Studies!A:BR,5,FALSE),"")</f>
        <v>Hydroxy-Itraconazole</v>
      </c>
      <c r="F540" s="79" t="s">
        <v>149</v>
      </c>
      <c r="G540" s="78">
        <f t="shared" si="10"/>
        <v>1</v>
      </c>
    </row>
    <row r="541" spans="1:7" x14ac:dyDescent="0.2">
      <c r="A541" s="110">
        <v>541</v>
      </c>
      <c r="B541" s="188" t="str">
        <f>IF(AND(A541&lt;&gt;"",ISNUMBER(A541)),VLOOKUP(A541,Studies!A:BR,2,FALSE),"")</f>
        <v>Mouton 2006</v>
      </c>
      <c r="C541" s="188" t="str">
        <f>IF(AND(A541&lt;&gt;"",ISNUMBER(A541)),VLOOKUP(A541,Studies!A:BR,3,FALSE),"")</f>
        <v>https://www.ncbi.nlm.nih.gov/pubmed/16982783</v>
      </c>
      <c r="D541" s="228" t="str">
        <f>IF(AND(A541&lt;&gt;"",ISNUMBER(A541)),VLOOKUP(A541,Studies!A:BR,4,FALSE),"")</f>
        <v>MAD_m_C 300 mg (terminal phase only)</v>
      </c>
      <c r="E541" s="188" t="str">
        <f>IF(AND(A541&lt;&gt;"",ISNUMBER(A541)),VLOOKUP(A541,Studies!A:BR,5,FALSE),"")</f>
        <v>Hydroxy-Itraconazole</v>
      </c>
      <c r="F541" s="79" t="s">
        <v>149</v>
      </c>
      <c r="G541" s="78">
        <f t="shared" si="10"/>
        <v>1</v>
      </c>
    </row>
    <row r="542" spans="1:7" x14ac:dyDescent="0.2">
      <c r="A542" s="110">
        <v>542</v>
      </c>
      <c r="B542" s="188" t="str">
        <f>IF(AND(A542&lt;&gt;"",ISNUMBER(A542)),VLOOKUP(A542,Studies!A:BR,2,FALSE),"")</f>
        <v>Mouton 2006</v>
      </c>
      <c r="C542" s="188" t="str">
        <f>IF(AND(A542&lt;&gt;"",ISNUMBER(A542)),VLOOKUP(A542,Studies!A:BR,3,FALSE),"")</f>
        <v>https://www.ncbi.nlm.nih.gov/pubmed/16982783</v>
      </c>
      <c r="D542" s="228" t="str">
        <f>IF(AND(A542&lt;&gt;"",ISNUMBER(A542)),VLOOKUP(A542,Studies!A:BR,4,FALSE),"")</f>
        <v>MAD_s_A 100 mg</v>
      </c>
      <c r="E542" s="188" t="str">
        <f>IF(AND(A542&lt;&gt;"",ISNUMBER(A542)),VLOOKUP(A542,Studies!A:BR,5,FALSE),"")</f>
        <v>Itraconazole</v>
      </c>
      <c r="F542" s="79" t="s">
        <v>149</v>
      </c>
      <c r="G542" s="78">
        <f t="shared" si="10"/>
        <v>1</v>
      </c>
    </row>
    <row r="543" spans="1:7" x14ac:dyDescent="0.2">
      <c r="A543" s="110">
        <v>543</v>
      </c>
      <c r="B543" s="188" t="str">
        <f>IF(AND(A543&lt;&gt;"",ISNUMBER(A543)),VLOOKUP(A543,Studies!A:BR,2,FALSE),"")</f>
        <v>Mouton 2006</v>
      </c>
      <c r="C543" s="188" t="str">
        <f>IF(AND(A543&lt;&gt;"",ISNUMBER(A543)),VLOOKUP(A543,Studies!A:BR,3,FALSE),"")</f>
        <v>https://www.ncbi.nlm.nih.gov/pubmed/16982783</v>
      </c>
      <c r="D543" s="228" t="str">
        <f>IF(AND(A543&lt;&gt;"",ISNUMBER(A543)),VLOOKUP(A543,Studies!A:BR,4,FALSE),"")</f>
        <v>MAD_s_B 200 mg</v>
      </c>
      <c r="E543" s="188" t="str">
        <f>IF(AND(A543&lt;&gt;"",ISNUMBER(A543)),VLOOKUP(A543,Studies!A:BR,5,FALSE),"")</f>
        <v>Itraconazole</v>
      </c>
      <c r="F543" s="79" t="s">
        <v>149</v>
      </c>
      <c r="G543" s="78">
        <f t="shared" si="10"/>
        <v>1</v>
      </c>
    </row>
    <row r="544" spans="1:7" x14ac:dyDescent="0.2">
      <c r="A544" s="110">
        <v>544</v>
      </c>
      <c r="B544" s="188" t="str">
        <f>IF(AND(A544&lt;&gt;"",ISNUMBER(A544)),VLOOKUP(A544,Studies!A:BR,2,FALSE),"")</f>
        <v>Mouton 2006</v>
      </c>
      <c r="C544" s="188" t="str">
        <f>IF(AND(A544&lt;&gt;"",ISNUMBER(A544)),VLOOKUP(A544,Studies!A:BR,3,FALSE),"")</f>
        <v>https://www.ncbi.nlm.nih.gov/pubmed/16982783</v>
      </c>
      <c r="D544" s="228" t="str">
        <f>IF(AND(A544&lt;&gt;"",ISNUMBER(A544)),VLOOKUP(A544,Studies!A:BR,4,FALSE),"")</f>
        <v>MAD_s_C 300 mg</v>
      </c>
      <c r="E544" s="188" t="str">
        <f>IF(AND(A544&lt;&gt;"",ISNUMBER(A544)),VLOOKUP(A544,Studies!A:BR,5,FALSE),"")</f>
        <v>Itraconazole</v>
      </c>
      <c r="F544" s="79" t="s">
        <v>149</v>
      </c>
      <c r="G544" s="78">
        <f t="shared" si="10"/>
        <v>1</v>
      </c>
    </row>
    <row r="545" spans="1:7" x14ac:dyDescent="0.2">
      <c r="A545" s="110">
        <v>545</v>
      </c>
      <c r="B545" s="188" t="str">
        <f>IF(AND(A545&lt;&gt;"",ISNUMBER(A545)),VLOOKUP(A545,Studies!A:BR,2,FALSE),"")</f>
        <v>Zhou 1998</v>
      </c>
      <c r="C545" s="188" t="str">
        <f>IF(AND(A545&lt;&gt;"",ISNUMBER(A545)),VLOOKUP(A545,Studies!A:BR,3,FALSE),"")</f>
        <v>https://www.ncbi.nlm.nih.gov/pubmed/9702843</v>
      </c>
      <c r="D545" s="228" t="str">
        <f>IF(AND(A545&lt;&gt;"",ISNUMBER(A545)),VLOOKUP(A545,Studies!A:BR,4,FALSE),"")</f>
        <v>IV 200 mg OD</v>
      </c>
      <c r="E545" s="188" t="str">
        <f>IF(AND(A545&lt;&gt;"",ISNUMBER(A545)),VLOOKUP(A545,Studies!A:BR,5,FALSE),"")</f>
        <v>Itraconazole</v>
      </c>
      <c r="F545" s="79" t="s">
        <v>149</v>
      </c>
      <c r="G545" s="78">
        <f t="shared" si="10"/>
        <v>1</v>
      </c>
    </row>
    <row r="546" spans="1:7" x14ac:dyDescent="0.2">
      <c r="A546" s="110">
        <v>546</v>
      </c>
      <c r="B546" s="188" t="str">
        <f>IF(AND(A546&lt;&gt;"",ISNUMBER(A546)),VLOOKUP(A546,Studies!A:BR,2,FALSE),"")</f>
        <v>Zhou 1998</v>
      </c>
      <c r="C546" s="188" t="str">
        <f>IF(AND(A546&lt;&gt;"",ISNUMBER(A546)),VLOOKUP(A546,Studies!A:BR,3,FALSE),"")</f>
        <v>https://www.ncbi.nlm.nih.gov/pubmed/9702843</v>
      </c>
      <c r="D546" s="228" t="str">
        <f>IF(AND(A546&lt;&gt;"",ISNUMBER(A546)),VLOOKUP(A546,Studies!A:BR,4,FALSE),"")</f>
        <v>IV 200 mg OD</v>
      </c>
      <c r="E546" s="188" t="str">
        <f>IF(AND(A546&lt;&gt;"",ISNUMBER(A546)),VLOOKUP(A546,Studies!A:BR,5,FALSE),"")</f>
        <v>Hydroxy-Itraconazole</v>
      </c>
      <c r="F546" s="79" t="s">
        <v>149</v>
      </c>
      <c r="G546" s="78">
        <f t="shared" si="10"/>
        <v>1</v>
      </c>
    </row>
    <row r="547" spans="1:7" x14ac:dyDescent="0.2">
      <c r="A547" s="110">
        <v>547</v>
      </c>
      <c r="B547" s="188" t="str">
        <f>IF(AND(A547&lt;&gt;"",ISNUMBER(A547)),VLOOKUP(A547,Studies!A:BR,2,FALSE),"")</f>
        <v>Rouini 2005</v>
      </c>
      <c r="C547" s="188" t="str">
        <f>IF(AND(A547&lt;&gt;"",ISNUMBER(A547)),VLOOKUP(A547,Studies!A:BR,3,FALSE),"")</f>
        <v>https://www.ncbi.nlm.nih.gov/pubmed/14698254</v>
      </c>
      <c r="D547" s="228" t="str">
        <f>IF(AND(A547&lt;&gt;"",ISNUMBER(A547)),VLOOKUP(A547,Studies!A:BR,4,FALSE),"")</f>
        <v>Reference</v>
      </c>
      <c r="E547" s="188" t="str">
        <f>IF(AND(A547&lt;&gt;"",ISNUMBER(A547)),VLOOKUP(A547,Studies!A:BR,5,FALSE),"")</f>
        <v>Mefenamic acid</v>
      </c>
      <c r="F547" s="79" t="s">
        <v>657</v>
      </c>
      <c r="G547" s="78">
        <f t="shared" si="10"/>
        <v>1</v>
      </c>
    </row>
    <row r="548" spans="1:7" x14ac:dyDescent="0.2">
      <c r="A548" s="110">
        <v>548</v>
      </c>
      <c r="B548" s="188" t="str">
        <f>IF(AND(A548&lt;&gt;"",ISNUMBER(A548)),VLOOKUP(A548,Studies!A:BR,2,FALSE),"")</f>
        <v>Mahadik 2012</v>
      </c>
      <c r="C548" s="188" t="str">
        <f>IF(AND(A548&lt;&gt;"",ISNUMBER(A548)),VLOOKUP(A548,Studies!A:BR,3,FALSE),"")</f>
        <v>https://www.ncbi.nlm.nih.gov/pubmed/22275128</v>
      </c>
      <c r="D548" s="228" t="str">
        <f>IF(AND(A548&lt;&gt;"",ISNUMBER(A548)),VLOOKUP(A548,Studies!A:BR,4,FALSE),"")</f>
        <v>Reference</v>
      </c>
      <c r="E548" s="188" t="str">
        <f>IF(AND(A548&lt;&gt;"",ISNUMBER(A548)),VLOOKUP(A548,Studies!A:BR,5,FALSE),"")</f>
        <v>Mefenamic acid</v>
      </c>
      <c r="F548" s="79" t="s">
        <v>657</v>
      </c>
      <c r="G548" s="78">
        <f t="shared" si="10"/>
        <v>1</v>
      </c>
    </row>
    <row r="549" spans="1:7" x14ac:dyDescent="0.2">
      <c r="A549" s="183">
        <v>5197</v>
      </c>
      <c r="B549" s="188" t="str">
        <f>IF(AND(A549&lt;&gt;"",ISNUMBER(A549)),VLOOKUP(A549,Studies!A:BR,2,FALSE),"")</f>
        <v>Abdel-Rahman 2007</v>
      </c>
      <c r="C549" s="188" t="str">
        <f>IF(AND(A549&lt;&gt;"",ISNUMBER(A549)),VLOOKUP(A549,Studies!A:BR,3,FALSE),"")</f>
        <v>https://www.ncbi.nlm.nih.gov/pubmed/17517842</v>
      </c>
      <c r="D549" s="228" t="str">
        <f>IF(AND(A549&lt;&gt;"",ISNUMBER(A549)),VLOOKUP(A549,Studies!A:BR,4,FALSE),"")</f>
        <v>6m-2y</v>
      </c>
      <c r="E549" s="188" t="str">
        <f>IF(AND(A549&lt;&gt;"",ISNUMBER(A549)),VLOOKUP(A549,Studies!A:BR,5,FALSE),"")</f>
        <v>Itraconazole</v>
      </c>
      <c r="F549" s="79" t="s">
        <v>149</v>
      </c>
      <c r="G549" s="78">
        <f t="shared" si="10"/>
        <v>4649</v>
      </c>
    </row>
    <row r="550" spans="1:7" x14ac:dyDescent="0.2">
      <c r="A550" s="183">
        <v>5198</v>
      </c>
      <c r="B550" s="188" t="str">
        <f>IF(AND(A550&lt;&gt;"",ISNUMBER(A550)),VLOOKUP(A550,Studies!A:BR,2,FALSE),"")</f>
        <v>Abdel-Rahman 2007</v>
      </c>
      <c r="C550" s="188" t="str">
        <f>IF(AND(A550&lt;&gt;"",ISNUMBER(A550)),VLOOKUP(A550,Studies!A:BR,3,FALSE),"")</f>
        <v>https://www.ncbi.nlm.nih.gov/pubmed/17517842</v>
      </c>
      <c r="D550" s="228" t="str">
        <f>IF(AND(A550&lt;&gt;"",ISNUMBER(A550)),VLOOKUP(A550,Studies!A:BR,4,FALSE),"")</f>
        <v>2-6y</v>
      </c>
      <c r="E550" s="188" t="str">
        <f>IF(AND(A550&lt;&gt;"",ISNUMBER(A550)),VLOOKUP(A550,Studies!A:BR,5,FALSE),"")</f>
        <v>Itraconazole</v>
      </c>
      <c r="F550" s="79" t="s">
        <v>149</v>
      </c>
      <c r="G550" s="78">
        <f t="shared" si="10"/>
        <v>1</v>
      </c>
    </row>
    <row r="551" spans="1:7" x14ac:dyDescent="0.2">
      <c r="A551" s="183">
        <v>5199</v>
      </c>
      <c r="B551" s="188" t="str">
        <f>IF(AND(A551&lt;&gt;"",ISNUMBER(A551)),VLOOKUP(A551,Studies!A:BR,2,FALSE),"")</f>
        <v>Abdel-Rahman 2007</v>
      </c>
      <c r="C551" s="188" t="str">
        <f>IF(AND(A551&lt;&gt;"",ISNUMBER(A551)),VLOOKUP(A551,Studies!A:BR,3,FALSE),"")</f>
        <v>https://www.ncbi.nlm.nih.gov/pubmed/17517842</v>
      </c>
      <c r="D551" s="228" t="str">
        <f>IF(AND(A551&lt;&gt;"",ISNUMBER(A551)),VLOOKUP(A551,Studies!A:BR,4,FALSE),"")</f>
        <v>6-12y</v>
      </c>
      <c r="E551" s="188" t="str">
        <f>IF(AND(A551&lt;&gt;"",ISNUMBER(A551)),VLOOKUP(A551,Studies!A:BR,5,FALSE),"")</f>
        <v>Itraconazole</v>
      </c>
      <c r="F551" s="79" t="s">
        <v>149</v>
      </c>
      <c r="G551" s="78">
        <f t="shared" si="10"/>
        <v>1</v>
      </c>
    </row>
    <row r="552" spans="1:7" x14ac:dyDescent="0.2">
      <c r="A552" s="183">
        <v>5200</v>
      </c>
      <c r="B552" s="188" t="str">
        <f>IF(AND(A552&lt;&gt;"",ISNUMBER(A552)),VLOOKUP(A552,Studies!A:BR,2,FALSE),"")</f>
        <v>Abdel-Rahman 2007</v>
      </c>
      <c r="C552" s="188" t="str">
        <f>IF(AND(A552&lt;&gt;"",ISNUMBER(A552)),VLOOKUP(A552,Studies!A:BR,3,FALSE),"")</f>
        <v>https://www.ncbi.nlm.nih.gov/pubmed/17517842</v>
      </c>
      <c r="D552" s="228" t="str">
        <f>IF(AND(A552&lt;&gt;"",ISNUMBER(A552)),VLOOKUP(A552,Studies!A:BR,4,FALSE),"")</f>
        <v>12-16y</v>
      </c>
      <c r="E552" s="188" t="str">
        <f>IF(AND(A552&lt;&gt;"",ISNUMBER(A552)),VLOOKUP(A552,Studies!A:BR,5,FALSE),"")</f>
        <v>Itraconazole</v>
      </c>
      <c r="F552" s="79" t="s">
        <v>149</v>
      </c>
      <c r="G552" s="78">
        <f t="shared" si="10"/>
        <v>1</v>
      </c>
    </row>
    <row r="553" spans="1:7" x14ac:dyDescent="0.2">
      <c r="A553" s="110">
        <v>549</v>
      </c>
      <c r="B553" s="188" t="str">
        <f>IF(AND(A553&lt;&gt;"",ISNUMBER(A553)),VLOOKUP(A553,Studies!A:BR,2,FALSE),"")</f>
        <v>Baneyx 2014</v>
      </c>
      <c r="C553" s="188" t="str">
        <f>IF(AND(A553&lt;&gt;"",ISNUMBER(A553)),VLOOKUP(A553,Studies!A:BR,3,FALSE),"")</f>
        <v>https://www.ncbi.nlm.nih.gov/pubmed/24530864</v>
      </c>
      <c r="D553" s="228" t="str">
        <f>IF(AND(A553&lt;&gt;"",ISNUMBER(A553)),VLOOKUP(A553,Studies!A:BR,4,FALSE),"")</f>
        <v>Day 7 - 600 mg po MD</v>
      </c>
      <c r="E553" s="188" t="str">
        <f>IF(AND(A553&lt;&gt;"",ISNUMBER(A553)),VLOOKUP(A553,Studies!A:BR,5,FALSE),"")</f>
        <v>Rifampicin</v>
      </c>
      <c r="F553" s="79" t="s">
        <v>54</v>
      </c>
    </row>
  </sheetData>
  <autoFilter ref="A1:H553"/>
  <sortState ref="A2:F461">
    <sortCondition ref="A2:A461"/>
  </sortState>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workbookViewId="0">
      <pane ySplit="1" topLeftCell="A2" activePane="bottomLeft" state="frozen"/>
      <selection pane="bottomLeft" activeCell="I25" sqref="I25:I32"/>
    </sheetView>
  </sheetViews>
  <sheetFormatPr baseColWidth="10" defaultColWidth="11" defaultRowHeight="14.25" x14ac:dyDescent="0.2"/>
  <cols>
    <col min="2" max="2" width="20.25" style="117" customWidth="1"/>
  </cols>
  <sheetData>
    <row r="1" spans="1:5" x14ac:dyDescent="0.2">
      <c r="A1" s="174" t="s">
        <v>11</v>
      </c>
      <c r="B1" s="117" t="s">
        <v>1411</v>
      </c>
      <c r="C1" s="174" t="s">
        <v>1412</v>
      </c>
      <c r="D1" s="174" t="s">
        <v>1413</v>
      </c>
      <c r="E1" s="174" t="s">
        <v>1414</v>
      </c>
    </row>
    <row r="2" spans="1:5" x14ac:dyDescent="0.2">
      <c r="A2" s="205">
        <v>5</v>
      </c>
      <c r="B2" s="120" t="str">
        <f>VLOOKUP(A2,Studies!A:B,2,FALSE)</f>
        <v>Acocella 1972b</v>
      </c>
      <c r="C2" s="174">
        <v>1</v>
      </c>
      <c r="D2" s="174"/>
      <c r="E2" s="174" t="s">
        <v>668</v>
      </c>
    </row>
    <row r="3" spans="1:5" x14ac:dyDescent="0.2">
      <c r="A3" s="205">
        <v>6</v>
      </c>
      <c r="B3" s="120" t="str">
        <f>VLOOKUP(A3,Studies!A:B,2,FALSE)</f>
        <v>Acocella 1972b</v>
      </c>
      <c r="C3" s="174">
        <v>1</v>
      </c>
      <c r="D3" s="174"/>
      <c r="E3" s="174" t="s">
        <v>668</v>
      </c>
    </row>
    <row r="4" spans="1:5" x14ac:dyDescent="0.2">
      <c r="A4" s="205">
        <v>7</v>
      </c>
      <c r="B4" s="120" t="str">
        <f>VLOOKUP(A4,Studies!A:B,2,FALSE)</f>
        <v>Acocella 1972b</v>
      </c>
      <c r="C4" s="174">
        <v>1</v>
      </c>
      <c r="D4" s="174"/>
      <c r="E4" s="174" t="s">
        <v>668</v>
      </c>
    </row>
    <row r="5" spans="1:5" x14ac:dyDescent="0.2">
      <c r="A5" s="205">
        <v>8</v>
      </c>
      <c r="B5" s="120" t="str">
        <f>VLOOKUP(A5,Studies!A:B,2,FALSE)</f>
        <v>Acocella 1972b</v>
      </c>
      <c r="C5" s="174">
        <v>1</v>
      </c>
      <c r="D5" s="174"/>
      <c r="E5" s="174" t="s">
        <v>668</v>
      </c>
    </row>
    <row r="6" spans="1:5" x14ac:dyDescent="0.2">
      <c r="A6" s="205">
        <v>30</v>
      </c>
      <c r="B6" s="120" t="str">
        <f>VLOOKUP(A6,Studies!A:B,2,FALSE)</f>
        <v>Acocella 1984</v>
      </c>
      <c r="C6" s="174">
        <v>1</v>
      </c>
      <c r="D6" s="174"/>
      <c r="E6" s="174" t="s">
        <v>668</v>
      </c>
    </row>
    <row r="7" spans="1:5" x14ac:dyDescent="0.2">
      <c r="A7" s="205">
        <v>31</v>
      </c>
      <c r="B7" s="120" t="str">
        <f>VLOOKUP(A7,Studies!A:B,2,FALSE)</f>
        <v>Acocella 1984</v>
      </c>
      <c r="C7" s="174">
        <v>1</v>
      </c>
      <c r="D7" s="174"/>
      <c r="E7" s="174" t="s">
        <v>668</v>
      </c>
    </row>
    <row r="8" spans="1:5" x14ac:dyDescent="0.2">
      <c r="A8" s="205">
        <v>32</v>
      </c>
      <c r="B8" s="120" t="str">
        <f>VLOOKUP(A8,Studies!A:B,2,FALSE)</f>
        <v>Acocella 1984</v>
      </c>
      <c r="C8" s="174">
        <v>1</v>
      </c>
      <c r="D8" s="174"/>
      <c r="E8" s="174" t="s">
        <v>668</v>
      </c>
    </row>
    <row r="9" spans="1:5" x14ac:dyDescent="0.2">
      <c r="A9" s="205">
        <v>33</v>
      </c>
      <c r="B9" s="120" t="str">
        <f>VLOOKUP(A9,Studies!A:B,2,FALSE)</f>
        <v>Acocella 1984</v>
      </c>
      <c r="C9" s="174">
        <v>1</v>
      </c>
      <c r="D9" s="174"/>
      <c r="E9" s="174" t="s">
        <v>668</v>
      </c>
    </row>
    <row r="10" spans="1:5" x14ac:dyDescent="0.2">
      <c r="A10" s="205">
        <v>34</v>
      </c>
      <c r="B10" s="120" t="str">
        <f>VLOOKUP(A10,Studies!A:B,2,FALSE)</f>
        <v>Acocella 1984</v>
      </c>
      <c r="C10" s="174">
        <v>1</v>
      </c>
      <c r="D10" s="174"/>
      <c r="E10" s="174" t="s">
        <v>668</v>
      </c>
    </row>
    <row r="11" spans="1:5" x14ac:dyDescent="0.2">
      <c r="A11" s="205">
        <v>35</v>
      </c>
      <c r="B11" s="120" t="str">
        <f>VLOOKUP(A11,Studies!A:B,2,FALSE)</f>
        <v>Acocella 1984</v>
      </c>
      <c r="C11" s="174">
        <v>1</v>
      </c>
      <c r="D11" s="174"/>
      <c r="E11" s="174" t="s">
        <v>668</v>
      </c>
    </row>
    <row r="12" spans="1:5" x14ac:dyDescent="0.2">
      <c r="A12" s="205">
        <v>36</v>
      </c>
      <c r="B12" s="120" t="str">
        <f>VLOOKUP(A12,Studies!A:B,2,FALSE)</f>
        <v>Acocella 1984</v>
      </c>
      <c r="C12" s="174">
        <v>1</v>
      </c>
      <c r="D12" s="174"/>
      <c r="E12" s="174" t="s">
        <v>668</v>
      </c>
    </row>
    <row r="13" spans="1:5" x14ac:dyDescent="0.2">
      <c r="A13" s="205">
        <v>37</v>
      </c>
      <c r="B13" s="120" t="str">
        <f>VLOOKUP(A13,Studies!A:B,2,FALSE)</f>
        <v>Acocella 1984</v>
      </c>
      <c r="C13" s="174">
        <v>1</v>
      </c>
      <c r="D13" s="174"/>
      <c r="E13" s="174" t="s">
        <v>668</v>
      </c>
    </row>
    <row r="14" spans="1:5" x14ac:dyDescent="0.2">
      <c r="A14" s="205">
        <v>38</v>
      </c>
      <c r="B14" s="120" t="str">
        <f>VLOOKUP(A14,Studies!A:B,2,FALSE)</f>
        <v>Acocella 1984</v>
      </c>
      <c r="C14" s="174">
        <v>1</v>
      </c>
      <c r="D14" s="174"/>
      <c r="E14" s="174" t="s">
        <v>668</v>
      </c>
    </row>
    <row r="15" spans="1:5" x14ac:dyDescent="0.2">
      <c r="A15" s="205">
        <v>39</v>
      </c>
      <c r="B15" s="120" t="str">
        <f>VLOOKUP(A15,Studies!A:B,2,FALSE)</f>
        <v>Acocella 1984</v>
      </c>
      <c r="C15" s="174">
        <v>1</v>
      </c>
      <c r="D15" s="174"/>
      <c r="E15" s="174" t="s">
        <v>668</v>
      </c>
    </row>
    <row r="16" spans="1:5" x14ac:dyDescent="0.2">
      <c r="A16" s="205">
        <v>40</v>
      </c>
      <c r="B16" s="120" t="str">
        <f>VLOOKUP(A16,Studies!A:B,2,FALSE)</f>
        <v>Acocella 1984</v>
      </c>
      <c r="C16" s="174">
        <v>1</v>
      </c>
      <c r="D16" s="174"/>
      <c r="E16" s="174" t="s">
        <v>668</v>
      </c>
    </row>
    <row r="17" spans="1:9" x14ac:dyDescent="0.2">
      <c r="A17" s="205">
        <v>41</v>
      </c>
      <c r="B17" s="120" t="str">
        <f>VLOOKUP(A17,Studies!A:B,2,FALSE)</f>
        <v>Acocella 1984</v>
      </c>
      <c r="C17" s="174">
        <v>1</v>
      </c>
      <c r="D17" s="174"/>
      <c r="E17" s="174" t="s">
        <v>668</v>
      </c>
    </row>
    <row r="18" spans="1:9" x14ac:dyDescent="0.2">
      <c r="A18" s="205">
        <v>42</v>
      </c>
      <c r="B18" s="120" t="str">
        <f>VLOOKUP(A18,Studies!A:B,2,FALSE)</f>
        <v>Acocella 1984</v>
      </c>
      <c r="C18" s="174">
        <v>1</v>
      </c>
      <c r="D18" s="174"/>
      <c r="E18" s="174" t="s">
        <v>668</v>
      </c>
    </row>
    <row r="19" spans="1:9" x14ac:dyDescent="0.2">
      <c r="A19" s="205">
        <v>43</v>
      </c>
      <c r="B19" s="120" t="str">
        <f>VLOOKUP(A19,Studies!A:B,2,FALSE)</f>
        <v>Acocella 1984</v>
      </c>
      <c r="C19" s="174">
        <v>1</v>
      </c>
      <c r="D19" s="174"/>
      <c r="E19" s="174" t="s">
        <v>668</v>
      </c>
    </row>
    <row r="20" spans="1:9" x14ac:dyDescent="0.2">
      <c r="A20" s="205">
        <v>44</v>
      </c>
      <c r="B20" s="120" t="str">
        <f>VLOOKUP(A20,Studies!A:B,2,FALSE)</f>
        <v>Acocella 1984</v>
      </c>
      <c r="C20" s="174">
        <v>1</v>
      </c>
      <c r="D20" s="174"/>
      <c r="E20" s="174" t="s">
        <v>668</v>
      </c>
    </row>
    <row r="21" spans="1:9" x14ac:dyDescent="0.2">
      <c r="A21" s="205">
        <v>45</v>
      </c>
      <c r="B21" s="120" t="str">
        <f>VLOOKUP(A21,Studies!A:B,2,FALSE)</f>
        <v>Acocella 1984</v>
      </c>
      <c r="C21" s="174">
        <v>1</v>
      </c>
      <c r="D21" s="174"/>
      <c r="E21" s="174" t="s">
        <v>668</v>
      </c>
    </row>
    <row r="22" spans="1:9" x14ac:dyDescent="0.2">
      <c r="A22" s="205">
        <v>46</v>
      </c>
      <c r="B22" s="120" t="str">
        <f>VLOOKUP(A22,Studies!A:B,2,FALSE)</f>
        <v>Acocella 1984</v>
      </c>
      <c r="C22" s="174">
        <v>1</v>
      </c>
      <c r="D22" s="174"/>
      <c r="E22" s="174" t="s">
        <v>668</v>
      </c>
    </row>
    <row r="23" spans="1:9" x14ac:dyDescent="0.2">
      <c r="A23" s="205">
        <v>47</v>
      </c>
      <c r="B23" s="120" t="str">
        <f>VLOOKUP(A23,Studies!A:B,2,FALSE)</f>
        <v>Acocella 1984</v>
      </c>
      <c r="C23" s="174">
        <v>1</v>
      </c>
      <c r="D23" s="174"/>
      <c r="E23" s="174" t="s">
        <v>668</v>
      </c>
    </row>
    <row r="24" spans="1:9" x14ac:dyDescent="0.2">
      <c r="A24" s="205">
        <v>48</v>
      </c>
      <c r="B24" s="120" t="str">
        <f>VLOOKUP(A24,Studies!A:B,2,FALSE)</f>
        <v>Acocella 1985</v>
      </c>
      <c r="C24" s="174"/>
      <c r="D24" s="174">
        <v>1</v>
      </c>
      <c r="E24" s="174"/>
    </row>
    <row r="25" spans="1:9" x14ac:dyDescent="0.2">
      <c r="A25" s="205">
        <v>49</v>
      </c>
      <c r="B25" s="120" t="str">
        <f>VLOOKUP(A25,Studies!A:B,2,FALSE)</f>
        <v>Ahonen 1995</v>
      </c>
      <c r="C25" s="174">
        <v>1</v>
      </c>
      <c r="D25" s="174"/>
      <c r="E25" s="174"/>
      <c r="H25" s="194">
        <v>49</v>
      </c>
      <c r="I25">
        <f>H25-1</f>
        <v>48</v>
      </c>
    </row>
    <row r="26" spans="1:9" x14ac:dyDescent="0.2">
      <c r="A26" s="205">
        <v>50</v>
      </c>
      <c r="B26" s="120" t="str">
        <f>VLOOKUP(A26,Studies!A:B,2,FALSE)</f>
        <v>Ahonen 1995</v>
      </c>
      <c r="C26" s="174">
        <v>1</v>
      </c>
      <c r="D26" s="174"/>
      <c r="E26" s="174"/>
      <c r="H26" s="194">
        <v>50</v>
      </c>
      <c r="I26" s="174">
        <f t="shared" ref="I26:I32" si="0">H26-1</f>
        <v>49</v>
      </c>
    </row>
    <row r="27" spans="1:9" x14ac:dyDescent="0.2">
      <c r="A27" s="205">
        <v>53</v>
      </c>
      <c r="B27" s="120" t="str">
        <f>VLOOKUP(A27,Studies!A:B,2,FALSE)</f>
        <v>Backman 1996</v>
      </c>
      <c r="C27" s="174">
        <v>1</v>
      </c>
      <c r="D27" s="174"/>
      <c r="E27" s="174" t="s">
        <v>668</v>
      </c>
      <c r="H27" s="194">
        <v>51</v>
      </c>
      <c r="I27" s="174">
        <f t="shared" si="0"/>
        <v>50</v>
      </c>
    </row>
    <row r="28" spans="1:9" x14ac:dyDescent="0.2">
      <c r="A28" s="205">
        <v>54</v>
      </c>
      <c r="B28" s="120" t="str">
        <f>VLOOKUP(A28,Studies!A:B,2,FALSE)</f>
        <v>Backman 1996</v>
      </c>
      <c r="C28" s="174">
        <v>1</v>
      </c>
      <c r="D28" s="174"/>
      <c r="E28" s="174" t="s">
        <v>668</v>
      </c>
      <c r="H28" s="194">
        <v>53</v>
      </c>
      <c r="I28" s="174">
        <f t="shared" si="0"/>
        <v>52</v>
      </c>
    </row>
    <row r="29" spans="1:9" x14ac:dyDescent="0.2">
      <c r="A29" s="205">
        <v>55</v>
      </c>
      <c r="B29" s="120" t="str">
        <f>VLOOKUP(A29,Studies!A:B,2,FALSE)</f>
        <v>Backman 1998</v>
      </c>
      <c r="C29" s="174">
        <v>1</v>
      </c>
      <c r="D29" s="174"/>
      <c r="E29" s="174" t="s">
        <v>668</v>
      </c>
      <c r="H29" s="194">
        <v>57</v>
      </c>
      <c r="I29" s="174">
        <f t="shared" si="0"/>
        <v>56</v>
      </c>
    </row>
    <row r="30" spans="1:9" x14ac:dyDescent="0.2">
      <c r="A30" s="205">
        <v>56</v>
      </c>
      <c r="B30" s="120" t="str">
        <f>VLOOKUP(A30,Studies!A:B,2,FALSE)</f>
        <v>Backman 1998</v>
      </c>
      <c r="C30" s="174">
        <v>1</v>
      </c>
      <c r="D30" s="174"/>
      <c r="E30" s="174" t="s">
        <v>668</v>
      </c>
      <c r="H30" s="194">
        <v>61</v>
      </c>
      <c r="I30" s="174">
        <f t="shared" si="0"/>
        <v>60</v>
      </c>
    </row>
    <row r="31" spans="1:9" x14ac:dyDescent="0.2">
      <c r="A31" s="205">
        <v>57</v>
      </c>
      <c r="B31" s="120" t="str">
        <f>VLOOKUP(A31,Studies!A:B,2,FALSE)</f>
        <v>Backman 1998</v>
      </c>
      <c r="C31" s="174">
        <v>1</v>
      </c>
      <c r="D31" s="174"/>
      <c r="E31" s="174" t="s">
        <v>668</v>
      </c>
      <c r="H31" s="194">
        <v>73</v>
      </c>
      <c r="I31" s="174">
        <f t="shared" si="0"/>
        <v>72</v>
      </c>
    </row>
    <row r="32" spans="1:9" x14ac:dyDescent="0.2">
      <c r="A32" s="205">
        <v>58</v>
      </c>
      <c r="B32" s="120" t="str">
        <f>VLOOKUP(A32,Studies!A:B,2,FALSE)</f>
        <v>Backman 1998</v>
      </c>
      <c r="C32" s="174">
        <v>1</v>
      </c>
      <c r="D32" s="174"/>
      <c r="E32" s="174" t="s">
        <v>668</v>
      </c>
      <c r="H32" s="194">
        <v>97</v>
      </c>
      <c r="I32" s="174">
        <f t="shared" si="0"/>
        <v>96</v>
      </c>
    </row>
    <row r="33" spans="1:5" x14ac:dyDescent="0.2">
      <c r="A33" s="205">
        <v>59</v>
      </c>
      <c r="B33" s="120" t="str">
        <f>VLOOKUP(A33,Studies!A:B,2,FALSE)</f>
        <v>Backman 1998</v>
      </c>
      <c r="C33" s="174">
        <v>1</v>
      </c>
      <c r="D33" s="174"/>
      <c r="E33" s="174" t="s">
        <v>668</v>
      </c>
    </row>
    <row r="34" spans="1:5" x14ac:dyDescent="0.2">
      <c r="A34" s="205">
        <v>60</v>
      </c>
      <c r="B34" s="120" t="str">
        <f>VLOOKUP(A34,Studies!A:B,2,FALSE)</f>
        <v>Baneyx 2014</v>
      </c>
      <c r="C34" s="174">
        <v>1</v>
      </c>
      <c r="D34" s="174"/>
      <c r="E34" s="174"/>
    </row>
    <row r="35" spans="1:5" x14ac:dyDescent="0.2">
      <c r="A35" s="205">
        <v>104</v>
      </c>
      <c r="B35" s="120" t="str">
        <f>VLOOKUP(A35,Studies!A:B,2,FALSE)</f>
        <v>Bornemann 1986</v>
      </c>
      <c r="C35" s="174"/>
      <c r="D35" s="174">
        <v>1</v>
      </c>
      <c r="E35" s="174"/>
    </row>
    <row r="36" spans="1:5" x14ac:dyDescent="0.2">
      <c r="A36" s="205">
        <v>105</v>
      </c>
      <c r="B36" s="120" t="str">
        <f>VLOOKUP(A36,Studies!A:B,2,FALSE)</f>
        <v>Bornemann 1986</v>
      </c>
      <c r="C36" s="174"/>
      <c r="D36" s="174">
        <v>1</v>
      </c>
      <c r="E36" s="174"/>
    </row>
    <row r="37" spans="1:5" x14ac:dyDescent="0.2">
      <c r="A37" s="205">
        <v>106</v>
      </c>
      <c r="B37" s="120" t="str">
        <f>VLOOKUP(A37,Studies!A:B,2,FALSE)</f>
        <v>Bornemann 1986</v>
      </c>
      <c r="C37" s="174"/>
      <c r="D37" s="174">
        <v>1</v>
      </c>
      <c r="E37" s="174"/>
    </row>
    <row r="38" spans="1:5" x14ac:dyDescent="0.2">
      <c r="A38" s="205">
        <v>107</v>
      </c>
      <c r="B38" s="120" t="str">
        <f>VLOOKUP(A38,Studies!A:B,2,FALSE)</f>
        <v>Bornemann 1986</v>
      </c>
      <c r="C38" s="174"/>
      <c r="D38" s="174">
        <v>1</v>
      </c>
      <c r="E38" s="174"/>
    </row>
    <row r="39" spans="1:5" x14ac:dyDescent="0.2">
      <c r="A39" s="205">
        <v>109</v>
      </c>
      <c r="B39" s="120" t="str">
        <f>VLOOKUP(A39,Studies!A:B,2,FALSE)</f>
        <v>Burger 2006</v>
      </c>
      <c r="C39" s="174">
        <v>1</v>
      </c>
      <c r="D39" s="174"/>
      <c r="E39" s="174" t="s">
        <v>668</v>
      </c>
    </row>
    <row r="40" spans="1:5" x14ac:dyDescent="0.2">
      <c r="A40" s="205">
        <v>110</v>
      </c>
      <c r="B40" s="120" t="str">
        <f>VLOOKUP(A40,Studies!A:B,2,FALSE)</f>
        <v>Chouchane 1995</v>
      </c>
      <c r="C40" s="174">
        <v>1</v>
      </c>
      <c r="D40" s="174"/>
      <c r="E40" s="174" t="s">
        <v>668</v>
      </c>
    </row>
    <row r="41" spans="1:5" x14ac:dyDescent="0.2">
      <c r="A41" s="205">
        <v>111</v>
      </c>
      <c r="B41" s="120" t="str">
        <f>VLOOKUP(A41,Studies!A:B,2,FALSE)</f>
        <v>Chouchane 1995</v>
      </c>
      <c r="C41" s="174">
        <v>1</v>
      </c>
      <c r="D41" s="174"/>
      <c r="E41" s="174" t="s">
        <v>668</v>
      </c>
    </row>
    <row r="42" spans="1:5" x14ac:dyDescent="0.2">
      <c r="A42" s="205">
        <v>118</v>
      </c>
      <c r="B42" s="120" t="str">
        <f>VLOOKUP(A42,Studies!A:B,2,FALSE)</f>
        <v>Darwish 2008</v>
      </c>
      <c r="C42" s="174">
        <v>1</v>
      </c>
      <c r="D42" s="174"/>
      <c r="E42" s="174" t="s">
        <v>668</v>
      </c>
    </row>
    <row r="43" spans="1:5" x14ac:dyDescent="0.2">
      <c r="A43" s="205">
        <v>119</v>
      </c>
      <c r="B43" s="120" t="str">
        <f>VLOOKUP(A43,Studies!A:B,2,FALSE)</f>
        <v>Darwish 2008</v>
      </c>
      <c r="C43" s="174">
        <v>1</v>
      </c>
      <c r="D43" s="174"/>
      <c r="E43" s="174" t="s">
        <v>668</v>
      </c>
    </row>
    <row r="44" spans="1:5" x14ac:dyDescent="0.2">
      <c r="A44" s="205">
        <v>120</v>
      </c>
      <c r="B44" s="120" t="str">
        <f>VLOOKUP(A44,Studies!A:B,2,FALSE)</f>
        <v>Darwish 2008</v>
      </c>
      <c r="C44" s="174">
        <v>1</v>
      </c>
      <c r="D44" s="174"/>
      <c r="E44" s="174" t="s">
        <v>668</v>
      </c>
    </row>
    <row r="45" spans="1:5" x14ac:dyDescent="0.2">
      <c r="A45" s="205">
        <v>128</v>
      </c>
      <c r="B45" s="120" t="str">
        <f>VLOOKUP(A45,Studies!A:B,2,FALSE)</f>
        <v>Eap 2004</v>
      </c>
      <c r="C45" s="174">
        <v>1</v>
      </c>
      <c r="D45" s="174"/>
      <c r="E45" s="174"/>
    </row>
    <row r="46" spans="1:5" x14ac:dyDescent="0.2">
      <c r="A46" s="205">
        <v>129</v>
      </c>
      <c r="B46" s="120" t="str">
        <f>VLOOKUP(A46,Studies!A:B,2,FALSE)</f>
        <v>Eap 2004</v>
      </c>
      <c r="C46" s="174">
        <v>1</v>
      </c>
      <c r="D46" s="174"/>
      <c r="E46" s="174"/>
    </row>
    <row r="47" spans="1:5" x14ac:dyDescent="0.2">
      <c r="A47" s="205">
        <v>130</v>
      </c>
      <c r="B47" s="120" t="str">
        <f>VLOOKUP(A47,Studies!A:B,2,FALSE)</f>
        <v>Eap 2004</v>
      </c>
      <c r="C47" s="174">
        <v>1</v>
      </c>
      <c r="D47" s="174"/>
      <c r="E47" s="174"/>
    </row>
    <row r="48" spans="1:5" x14ac:dyDescent="0.2">
      <c r="A48" s="205">
        <v>131</v>
      </c>
      <c r="B48" s="120" t="str">
        <f>VLOOKUP(A48,Studies!A:B,2,FALSE)</f>
        <v>Eap 2004</v>
      </c>
      <c r="C48" s="174">
        <v>1</v>
      </c>
      <c r="D48" s="174"/>
      <c r="E48" s="174"/>
    </row>
    <row r="49" spans="1:5" x14ac:dyDescent="0.2">
      <c r="A49" s="205">
        <v>132</v>
      </c>
      <c r="B49" s="120" t="str">
        <f>VLOOKUP(A49,Studies!A:B,2,FALSE)</f>
        <v>Eap 2004</v>
      </c>
      <c r="C49" s="174">
        <v>1</v>
      </c>
      <c r="D49" s="174"/>
      <c r="E49" s="174"/>
    </row>
    <row r="50" spans="1:5" x14ac:dyDescent="0.2">
      <c r="A50" s="205">
        <v>155</v>
      </c>
      <c r="B50" s="120" t="str">
        <f>VLOOKUP(A50,Studies!A:B,2,FALSE)</f>
        <v>Eon Labs Manufacturing, Inc. 1997</v>
      </c>
      <c r="C50" s="174"/>
      <c r="D50" s="174">
        <v>1</v>
      </c>
      <c r="E50" s="174"/>
    </row>
    <row r="51" spans="1:5" x14ac:dyDescent="0.2">
      <c r="A51" s="205">
        <v>156</v>
      </c>
      <c r="B51" s="120" t="str">
        <f>VLOOKUP(A51,Studies!A:B,2,FALSE)</f>
        <v>Eon Labs Manufacturing, Inc. 1997</v>
      </c>
      <c r="C51" s="174"/>
      <c r="D51" s="174">
        <v>1</v>
      </c>
      <c r="E51" s="174"/>
    </row>
    <row r="52" spans="1:5" x14ac:dyDescent="0.2">
      <c r="A52" s="205">
        <v>157</v>
      </c>
      <c r="B52" s="120" t="str">
        <f>VLOOKUP(A52,Studies!A:B,2,FALSE)</f>
        <v>Furesz 1970</v>
      </c>
      <c r="C52" s="174"/>
      <c r="D52" s="174">
        <v>1</v>
      </c>
      <c r="E52" s="174"/>
    </row>
    <row r="53" spans="1:5" x14ac:dyDescent="0.2">
      <c r="A53" s="205">
        <v>158</v>
      </c>
      <c r="B53" s="120" t="str">
        <f>VLOOKUP(A53,Studies!A:B,2,FALSE)</f>
        <v>Furesz 1970</v>
      </c>
      <c r="C53" s="174"/>
      <c r="D53" s="174">
        <v>1</v>
      </c>
      <c r="E53" s="174"/>
    </row>
    <row r="54" spans="1:5" x14ac:dyDescent="0.2">
      <c r="A54" s="205">
        <v>159</v>
      </c>
      <c r="B54" s="120" t="str">
        <f>VLOOKUP(A54,Studies!A:B,2,FALSE)</f>
        <v>Furesz 1970</v>
      </c>
      <c r="C54" s="174"/>
      <c r="D54" s="174">
        <v>1</v>
      </c>
      <c r="E54" s="174"/>
    </row>
    <row r="55" spans="1:5" x14ac:dyDescent="0.2">
      <c r="A55" s="205">
        <v>160</v>
      </c>
      <c r="B55" s="120" t="str">
        <f>VLOOKUP(A55,Studies!A:B,2,FALSE)</f>
        <v>Furesz 1970</v>
      </c>
      <c r="C55" s="174"/>
      <c r="D55" s="174">
        <v>1</v>
      </c>
      <c r="E55" s="174"/>
    </row>
    <row r="56" spans="1:5" x14ac:dyDescent="0.2">
      <c r="A56" s="205">
        <v>161</v>
      </c>
      <c r="B56" s="120" t="str">
        <f>VLOOKUP(A56,Studies!A:B,2,FALSE)</f>
        <v>Furesz 1970</v>
      </c>
      <c r="C56" s="174"/>
      <c r="D56" s="174">
        <v>1</v>
      </c>
      <c r="E56" s="174"/>
    </row>
    <row r="57" spans="1:5" x14ac:dyDescent="0.2">
      <c r="A57" s="205">
        <v>162</v>
      </c>
      <c r="B57" s="120" t="str">
        <f>VLOOKUP(A57,Studies!A:B,2,FALSE)</f>
        <v>Furesz 1970</v>
      </c>
      <c r="C57" s="174"/>
      <c r="D57" s="174">
        <v>1</v>
      </c>
      <c r="E57" s="174"/>
    </row>
    <row r="58" spans="1:5" x14ac:dyDescent="0.2">
      <c r="A58" s="205">
        <v>163</v>
      </c>
      <c r="B58" s="120" t="str">
        <f>VLOOKUP(A58,Studies!A:B,2,FALSE)</f>
        <v>Furesz 1970</v>
      </c>
      <c r="C58" s="174"/>
      <c r="D58" s="174">
        <v>1</v>
      </c>
      <c r="E58" s="174"/>
    </row>
    <row r="59" spans="1:5" x14ac:dyDescent="0.2">
      <c r="A59" s="205">
        <v>164</v>
      </c>
      <c r="B59" s="120" t="str">
        <f>VLOOKUP(A59,Studies!A:B,2,FALSE)</f>
        <v>Furesz 1970</v>
      </c>
      <c r="C59" s="174"/>
      <c r="D59" s="174">
        <v>1</v>
      </c>
      <c r="E59" s="174"/>
    </row>
    <row r="60" spans="1:5" x14ac:dyDescent="0.2">
      <c r="A60" s="205">
        <v>172</v>
      </c>
      <c r="B60" s="120" t="str">
        <f>VLOOKUP(A60,Studies!A:B,2,FALSE)</f>
        <v>Gorski 1998</v>
      </c>
      <c r="C60" s="174">
        <v>1</v>
      </c>
      <c r="D60" s="174"/>
      <c r="E60" s="174" t="s">
        <v>668</v>
      </c>
    </row>
    <row r="61" spans="1:5" x14ac:dyDescent="0.2">
      <c r="A61" s="205">
        <v>173</v>
      </c>
      <c r="B61" s="120" t="str">
        <f>VLOOKUP(A61,Studies!A:B,2,FALSE)</f>
        <v>Gorski 1998</v>
      </c>
      <c r="C61" s="174">
        <v>1</v>
      </c>
      <c r="D61" s="174"/>
      <c r="E61" s="174" t="s">
        <v>668</v>
      </c>
    </row>
    <row r="62" spans="1:5" x14ac:dyDescent="0.2">
      <c r="A62" s="205">
        <v>174</v>
      </c>
      <c r="B62" s="120" t="str">
        <f>VLOOKUP(A62,Studies!A:B,2,FALSE)</f>
        <v>Gorski 1998</v>
      </c>
      <c r="C62" s="174">
        <v>1</v>
      </c>
      <c r="D62" s="174"/>
      <c r="E62" s="174" t="s">
        <v>668</v>
      </c>
    </row>
    <row r="63" spans="1:5" x14ac:dyDescent="0.2">
      <c r="A63" s="205">
        <v>175</v>
      </c>
      <c r="B63" s="120" t="str">
        <f>VLOOKUP(A63,Studies!A:B,2,FALSE)</f>
        <v>Gorski 1998</v>
      </c>
      <c r="C63" s="174">
        <v>1</v>
      </c>
      <c r="D63" s="174"/>
      <c r="E63" s="174" t="s">
        <v>668</v>
      </c>
    </row>
    <row r="64" spans="1:5" x14ac:dyDescent="0.2">
      <c r="A64" s="205">
        <v>176</v>
      </c>
      <c r="B64" s="120" t="str">
        <f>VLOOKUP(A64,Studies!A:B,2,FALSE)</f>
        <v>Gorski 2003</v>
      </c>
      <c r="C64" s="174">
        <v>1</v>
      </c>
      <c r="D64" s="174"/>
      <c r="E64" s="174" t="s">
        <v>668</v>
      </c>
    </row>
    <row r="65" spans="1:5" x14ac:dyDescent="0.2">
      <c r="A65" s="205">
        <v>177</v>
      </c>
      <c r="B65" s="120" t="str">
        <f>VLOOKUP(A65,Studies!A:B,2,FALSE)</f>
        <v>Gorski 2003</v>
      </c>
      <c r="C65" s="174">
        <v>1</v>
      </c>
      <c r="D65" s="174"/>
      <c r="E65" s="174" t="s">
        <v>668</v>
      </c>
    </row>
    <row r="66" spans="1:5" x14ac:dyDescent="0.2">
      <c r="A66" s="205">
        <v>178</v>
      </c>
      <c r="B66" s="120" t="str">
        <f>VLOOKUP(A66,Studies!A:B,2,FALSE)</f>
        <v>Gorski 2003</v>
      </c>
      <c r="C66" s="174">
        <v>1</v>
      </c>
      <c r="D66" s="174"/>
      <c r="E66" s="174" t="s">
        <v>668</v>
      </c>
    </row>
    <row r="67" spans="1:5" x14ac:dyDescent="0.2">
      <c r="A67" s="205">
        <v>179</v>
      </c>
      <c r="B67" s="120" t="str">
        <f>VLOOKUP(A67,Studies!A:B,2,FALSE)</f>
        <v>Gorski 2003</v>
      </c>
      <c r="C67" s="174">
        <v>1</v>
      </c>
      <c r="D67" s="174"/>
      <c r="E67" s="174" t="s">
        <v>668</v>
      </c>
    </row>
    <row r="68" spans="1:5" x14ac:dyDescent="0.2">
      <c r="A68" s="205">
        <v>180</v>
      </c>
      <c r="B68" s="120" t="str">
        <f>VLOOKUP(A68,Studies!A:B,2,FALSE)</f>
        <v>Greenblat 1984</v>
      </c>
      <c r="C68" s="174">
        <v>1</v>
      </c>
      <c r="D68" s="174"/>
      <c r="E68" s="174" t="s">
        <v>668</v>
      </c>
    </row>
    <row r="69" spans="1:5" x14ac:dyDescent="0.2">
      <c r="A69" s="205">
        <v>181</v>
      </c>
      <c r="B69" s="120" t="str">
        <f>VLOOKUP(A69,Studies!A:B,2,FALSE)</f>
        <v>Greenblat 1984</v>
      </c>
      <c r="C69" s="174">
        <v>1</v>
      </c>
      <c r="D69" s="174"/>
      <c r="E69" s="174" t="s">
        <v>668</v>
      </c>
    </row>
    <row r="70" spans="1:5" x14ac:dyDescent="0.2">
      <c r="A70" s="205">
        <v>182</v>
      </c>
      <c r="B70" s="120" t="str">
        <f>VLOOKUP(A70,Studies!A:B,2,FALSE)</f>
        <v>Greenblat 1984</v>
      </c>
      <c r="C70" s="174">
        <v>1</v>
      </c>
      <c r="D70" s="174"/>
      <c r="E70" s="174" t="s">
        <v>668</v>
      </c>
    </row>
    <row r="71" spans="1:5" x14ac:dyDescent="0.2">
      <c r="A71" s="205">
        <v>183</v>
      </c>
      <c r="B71" s="120" t="str">
        <f>VLOOKUP(A71,Studies!A:B,2,FALSE)</f>
        <v>Greenblat 1984</v>
      </c>
      <c r="C71" s="174">
        <v>1</v>
      </c>
      <c r="D71" s="174"/>
      <c r="E71" s="174" t="s">
        <v>668</v>
      </c>
    </row>
    <row r="72" spans="1:5" x14ac:dyDescent="0.2">
      <c r="A72" s="205">
        <v>184</v>
      </c>
      <c r="B72" s="120" t="str">
        <f>VLOOKUP(A72,Studies!A:B,2,FALSE)</f>
        <v>Greenblat 1984</v>
      </c>
      <c r="C72" s="174">
        <v>1</v>
      </c>
      <c r="D72" s="174"/>
      <c r="E72" s="174" t="s">
        <v>668</v>
      </c>
    </row>
    <row r="73" spans="1:5" x14ac:dyDescent="0.2">
      <c r="A73" s="205">
        <v>185</v>
      </c>
      <c r="B73" s="120" t="str">
        <f>VLOOKUP(A73,Studies!A:B,2,FALSE)</f>
        <v>Greenblat 1984</v>
      </c>
      <c r="C73" s="174">
        <v>1</v>
      </c>
      <c r="D73" s="174"/>
      <c r="E73" s="174" t="s">
        <v>668</v>
      </c>
    </row>
    <row r="74" spans="1:5" x14ac:dyDescent="0.2">
      <c r="A74" s="205">
        <v>186</v>
      </c>
      <c r="B74" s="120" t="str">
        <f>VLOOKUP(A74,Studies!A:B,2,FALSE)</f>
        <v>Greenblat 1984</v>
      </c>
      <c r="C74" s="174">
        <v>1</v>
      </c>
      <c r="D74" s="174"/>
      <c r="E74" s="174" t="s">
        <v>668</v>
      </c>
    </row>
    <row r="75" spans="1:5" x14ac:dyDescent="0.2">
      <c r="A75" s="205">
        <v>187</v>
      </c>
      <c r="B75" s="120" t="str">
        <f>VLOOKUP(A75,Studies!A:B,2,FALSE)</f>
        <v>Greenblat 1984</v>
      </c>
      <c r="C75" s="174">
        <v>1</v>
      </c>
      <c r="D75" s="174"/>
      <c r="E75" s="174" t="s">
        <v>668</v>
      </c>
    </row>
    <row r="76" spans="1:5" x14ac:dyDescent="0.2">
      <c r="A76" s="205">
        <v>188</v>
      </c>
      <c r="B76" s="120" t="str">
        <f>VLOOKUP(A76,Studies!A:B,2,FALSE)</f>
        <v>Greenblat 2003</v>
      </c>
      <c r="C76" s="174">
        <v>1</v>
      </c>
      <c r="D76" s="174"/>
      <c r="E76" s="174" t="s">
        <v>668</v>
      </c>
    </row>
    <row r="77" spans="1:5" x14ac:dyDescent="0.2">
      <c r="A77" s="205">
        <v>189</v>
      </c>
      <c r="B77" s="120" t="str">
        <f>VLOOKUP(A77,Studies!A:B,2,FALSE)</f>
        <v>Greenblat 2003</v>
      </c>
      <c r="C77" s="174">
        <v>1</v>
      </c>
      <c r="D77" s="174"/>
      <c r="E77" s="174" t="s">
        <v>668</v>
      </c>
    </row>
    <row r="78" spans="1:5" x14ac:dyDescent="0.2">
      <c r="A78" s="205">
        <v>190</v>
      </c>
      <c r="B78" s="120" t="str">
        <f>VLOOKUP(A78,Studies!A:B,2,FALSE)</f>
        <v>Greiner 1999</v>
      </c>
      <c r="C78" s="174">
        <v>1</v>
      </c>
      <c r="D78" s="174"/>
      <c r="E78" s="174" t="s">
        <v>668</v>
      </c>
    </row>
    <row r="79" spans="1:5" x14ac:dyDescent="0.2">
      <c r="A79" s="205">
        <v>191</v>
      </c>
      <c r="B79" s="120" t="str">
        <f>VLOOKUP(A79,Studies!A:B,2,FALSE)</f>
        <v>Greiner 1999</v>
      </c>
      <c r="C79" s="174">
        <v>1</v>
      </c>
      <c r="D79" s="174"/>
      <c r="E79" s="174" t="s">
        <v>668</v>
      </c>
    </row>
    <row r="80" spans="1:5" x14ac:dyDescent="0.2">
      <c r="A80" s="205">
        <v>192</v>
      </c>
      <c r="B80" s="120" t="str">
        <f>VLOOKUP(A80,Studies!A:B,2,FALSE)</f>
        <v>Greiner 1999</v>
      </c>
      <c r="C80" s="174">
        <v>1</v>
      </c>
      <c r="D80" s="174"/>
      <c r="E80" s="174" t="s">
        <v>668</v>
      </c>
    </row>
    <row r="81" spans="1:5" x14ac:dyDescent="0.2">
      <c r="A81" s="205">
        <v>193</v>
      </c>
      <c r="B81" s="120" t="str">
        <f>VLOOKUP(A81,Studies!A:B,2,FALSE)</f>
        <v>Greiner 1999</v>
      </c>
      <c r="C81" s="174">
        <v>1</v>
      </c>
      <c r="D81" s="174"/>
      <c r="E81" s="174" t="s">
        <v>668</v>
      </c>
    </row>
    <row r="82" spans="1:5" x14ac:dyDescent="0.2">
      <c r="A82" s="205">
        <v>214</v>
      </c>
      <c r="B82" s="120" t="str">
        <f>VLOOKUP(A82,Studies!A:B,2,FALSE)</f>
        <v>Gurley 2006</v>
      </c>
      <c r="C82" s="174">
        <v>1</v>
      </c>
      <c r="D82" s="174"/>
      <c r="E82" s="174" t="s">
        <v>668</v>
      </c>
    </row>
    <row r="83" spans="1:5" x14ac:dyDescent="0.2">
      <c r="A83" s="205">
        <v>215</v>
      </c>
      <c r="B83" s="120" t="str">
        <f>VLOOKUP(A83,Studies!A:B,2,FALSE)</f>
        <v>Gurley 2006</v>
      </c>
      <c r="C83" s="174">
        <v>1</v>
      </c>
      <c r="D83" s="174"/>
      <c r="E83" s="174" t="s">
        <v>668</v>
      </c>
    </row>
    <row r="84" spans="1:5" x14ac:dyDescent="0.2">
      <c r="A84" s="205">
        <v>216</v>
      </c>
      <c r="B84" s="120" t="str">
        <f>VLOOKUP(A84,Studies!A:B,2,FALSE)</f>
        <v>Gurley 2006</v>
      </c>
      <c r="C84" s="174">
        <v>1</v>
      </c>
      <c r="D84" s="174"/>
      <c r="E84" s="174" t="s">
        <v>668</v>
      </c>
    </row>
    <row r="85" spans="1:5" x14ac:dyDescent="0.2">
      <c r="A85" s="205">
        <v>217</v>
      </c>
      <c r="B85" s="120" t="str">
        <f>VLOOKUP(A85,Studies!A:B,2,FALSE)</f>
        <v>Gurley 2006</v>
      </c>
      <c r="C85" s="174">
        <v>1</v>
      </c>
      <c r="D85" s="174"/>
      <c r="E85" s="174" t="s">
        <v>668</v>
      </c>
    </row>
    <row r="86" spans="1:5" x14ac:dyDescent="0.2">
      <c r="A86" s="205">
        <v>218</v>
      </c>
      <c r="B86" s="120" t="str">
        <f>VLOOKUP(A86,Studies!A:B,2,FALSE)</f>
        <v>Gurley 2006</v>
      </c>
      <c r="C86" s="174">
        <v>1</v>
      </c>
      <c r="D86" s="174"/>
      <c r="E86" s="174" t="s">
        <v>668</v>
      </c>
    </row>
    <row r="87" spans="1:5" x14ac:dyDescent="0.2">
      <c r="A87" s="205">
        <v>219</v>
      </c>
      <c r="B87" s="120" t="str">
        <f>VLOOKUP(A87,Studies!A:B,2,FALSE)</f>
        <v>Gurley 2006</v>
      </c>
      <c r="C87" s="174">
        <v>1</v>
      </c>
      <c r="D87" s="174"/>
      <c r="E87" s="174" t="s">
        <v>668</v>
      </c>
    </row>
    <row r="88" spans="1:5" x14ac:dyDescent="0.2">
      <c r="A88" s="205">
        <v>220</v>
      </c>
      <c r="B88" s="120" t="str">
        <f>VLOOKUP(A88,Studies!A:B,2,FALSE)</f>
        <v>Gurley 2008a</v>
      </c>
      <c r="C88" s="174">
        <v>1</v>
      </c>
      <c r="D88" s="174"/>
      <c r="E88" s="174" t="s">
        <v>668</v>
      </c>
    </row>
    <row r="89" spans="1:5" x14ac:dyDescent="0.2">
      <c r="A89" s="205">
        <v>221</v>
      </c>
      <c r="B89" s="120" t="str">
        <f>VLOOKUP(A89,Studies!A:B,2,FALSE)</f>
        <v>Gurley 2008a</v>
      </c>
      <c r="C89" s="174">
        <v>1</v>
      </c>
      <c r="D89" s="174"/>
      <c r="E89" s="174" t="s">
        <v>668</v>
      </c>
    </row>
    <row r="90" spans="1:5" x14ac:dyDescent="0.2">
      <c r="A90" s="205">
        <v>222</v>
      </c>
      <c r="B90" s="120" t="str">
        <f>VLOOKUP(A90,Studies!A:B,2,FALSE)</f>
        <v>Gurley 2008a</v>
      </c>
      <c r="C90" s="174">
        <v>1</v>
      </c>
      <c r="D90" s="174"/>
      <c r="E90" s="174" t="s">
        <v>668</v>
      </c>
    </row>
    <row r="91" spans="1:5" x14ac:dyDescent="0.2">
      <c r="A91" s="205">
        <v>223</v>
      </c>
      <c r="B91" s="120" t="str">
        <f>VLOOKUP(A91,Studies!A:B,2,FALSE)</f>
        <v>Gurley 2008a</v>
      </c>
      <c r="C91" s="174">
        <v>1</v>
      </c>
      <c r="D91" s="174"/>
      <c r="E91" s="174" t="s">
        <v>668</v>
      </c>
    </row>
    <row r="92" spans="1:5" x14ac:dyDescent="0.2">
      <c r="A92" s="205">
        <v>224</v>
      </c>
      <c r="B92" s="120" t="str">
        <f>VLOOKUP(A92,Studies!A:B,2,FALSE)</f>
        <v>Gurley 2008a</v>
      </c>
      <c r="C92" s="174">
        <v>1</v>
      </c>
      <c r="D92" s="174"/>
      <c r="E92" s="174" t="s">
        <v>668</v>
      </c>
    </row>
    <row r="93" spans="1:5" x14ac:dyDescent="0.2">
      <c r="A93" s="205">
        <v>225</v>
      </c>
      <c r="B93" s="120" t="str">
        <f>VLOOKUP(A93,Studies!A:B,2,FALSE)</f>
        <v>Gurley 2008a</v>
      </c>
      <c r="C93" s="174">
        <v>1</v>
      </c>
      <c r="D93" s="174"/>
      <c r="E93" s="174" t="s">
        <v>668</v>
      </c>
    </row>
    <row r="94" spans="1:5" x14ac:dyDescent="0.2">
      <c r="A94" s="205">
        <v>226</v>
      </c>
      <c r="B94" s="120" t="str">
        <f>VLOOKUP(A94,Studies!A:B,2,FALSE)</f>
        <v>Gurley 2008b</v>
      </c>
      <c r="C94" s="174">
        <v>1</v>
      </c>
      <c r="D94" s="174"/>
      <c r="E94" s="174" t="s">
        <v>668</v>
      </c>
    </row>
    <row r="95" spans="1:5" x14ac:dyDescent="0.2">
      <c r="A95" s="205">
        <v>227</v>
      </c>
      <c r="B95" s="120" t="str">
        <f>VLOOKUP(A95,Studies!A:B,2,FALSE)</f>
        <v>Gurley 2008b</v>
      </c>
      <c r="C95" s="174">
        <v>1</v>
      </c>
      <c r="D95" s="174"/>
      <c r="E95" s="174" t="s">
        <v>668</v>
      </c>
    </row>
    <row r="96" spans="1:5" x14ac:dyDescent="0.2">
      <c r="A96" s="205">
        <v>228</v>
      </c>
      <c r="B96" s="120" t="str">
        <f>VLOOKUP(A96,Studies!A:B,2,FALSE)</f>
        <v>Gurley 2008b</v>
      </c>
      <c r="C96" s="174">
        <v>1</v>
      </c>
      <c r="D96" s="174"/>
      <c r="E96" s="174" t="s">
        <v>668</v>
      </c>
    </row>
    <row r="97" spans="1:5" x14ac:dyDescent="0.2">
      <c r="A97" s="205">
        <v>229</v>
      </c>
      <c r="B97" s="120" t="str">
        <f>VLOOKUP(A97,Studies!A:B,2,FALSE)</f>
        <v>Gurley 2008b</v>
      </c>
      <c r="C97" s="174">
        <v>1</v>
      </c>
      <c r="D97" s="174"/>
      <c r="E97" s="174" t="s">
        <v>668</v>
      </c>
    </row>
    <row r="98" spans="1:5" x14ac:dyDescent="0.2">
      <c r="A98" s="205">
        <v>261</v>
      </c>
      <c r="B98" s="120" t="str">
        <f>VLOOKUP(A98,Studies!A:B,2,FALSE)</f>
        <v>Hohmann 2015</v>
      </c>
      <c r="C98" s="174">
        <v>1</v>
      </c>
      <c r="D98" s="174"/>
      <c r="E98" s="174" t="s">
        <v>668</v>
      </c>
    </row>
    <row r="99" spans="1:5" x14ac:dyDescent="0.2">
      <c r="A99" s="205">
        <v>262</v>
      </c>
      <c r="B99" s="120" t="str">
        <f>VLOOKUP(A99,Studies!A:B,2,FALSE)</f>
        <v>Hohmann 2015</v>
      </c>
      <c r="C99" s="174">
        <v>1</v>
      </c>
      <c r="D99" s="174"/>
      <c r="E99" s="174" t="s">
        <v>668</v>
      </c>
    </row>
    <row r="100" spans="1:5" x14ac:dyDescent="0.2">
      <c r="A100" s="205">
        <v>263</v>
      </c>
      <c r="B100" s="120" t="str">
        <f>VLOOKUP(A100,Studies!A:B,2,FALSE)</f>
        <v>Hohmann 2015</v>
      </c>
      <c r="C100" s="174">
        <v>1</v>
      </c>
      <c r="D100" s="174"/>
      <c r="E100" s="174" t="s">
        <v>668</v>
      </c>
    </row>
    <row r="101" spans="1:5" x14ac:dyDescent="0.2">
      <c r="A101" s="205">
        <v>264</v>
      </c>
      <c r="B101" s="120" t="str">
        <f>VLOOKUP(A101,Studies!A:B,2,FALSE)</f>
        <v>Hohmann 2015</v>
      </c>
      <c r="C101" s="174">
        <v>1</v>
      </c>
      <c r="D101" s="174"/>
      <c r="E101" s="174" t="s">
        <v>668</v>
      </c>
    </row>
    <row r="102" spans="1:5" x14ac:dyDescent="0.2">
      <c r="A102" s="205">
        <v>270</v>
      </c>
      <c r="B102" s="120" t="str">
        <f>VLOOKUP(A102,Studies!A:B,2,FALSE)</f>
        <v>Jalava 1997</v>
      </c>
      <c r="C102" s="174"/>
      <c r="D102" s="174">
        <v>1</v>
      </c>
      <c r="E102" s="174"/>
    </row>
    <row r="103" spans="1:5" x14ac:dyDescent="0.2">
      <c r="A103" s="205">
        <v>271</v>
      </c>
      <c r="B103" s="120" t="str">
        <f>VLOOKUP(A103,Studies!A:B,2,FALSE)</f>
        <v>Jalava 1997</v>
      </c>
      <c r="C103" s="174"/>
      <c r="D103" s="174">
        <v>1</v>
      </c>
      <c r="E103" s="174"/>
    </row>
    <row r="104" spans="1:5" x14ac:dyDescent="0.2">
      <c r="A104" s="205">
        <v>272</v>
      </c>
      <c r="B104" s="120" t="str">
        <f>VLOOKUP(A104,Studies!A:B,2,FALSE)</f>
        <v>Jalava 1997</v>
      </c>
      <c r="C104" s="174"/>
      <c r="D104" s="174">
        <v>1</v>
      </c>
      <c r="E104" s="174"/>
    </row>
    <row r="105" spans="1:5" x14ac:dyDescent="0.2">
      <c r="A105" s="205">
        <v>273</v>
      </c>
      <c r="B105" s="120" t="str">
        <f>VLOOKUP(A105,Studies!A:B,2,FALSE)</f>
        <v>Jalava 1997</v>
      </c>
      <c r="C105" s="174"/>
      <c r="D105" s="174">
        <v>1</v>
      </c>
      <c r="E105" s="174"/>
    </row>
    <row r="106" spans="1:5" x14ac:dyDescent="0.2">
      <c r="A106" s="205">
        <v>274</v>
      </c>
      <c r="B106" s="120" t="str">
        <f>VLOOKUP(A106,Studies!A:B,2,FALSE)</f>
        <v>Jalava 1997</v>
      </c>
      <c r="C106" s="174"/>
      <c r="D106" s="174">
        <v>1</v>
      </c>
      <c r="E106" s="174"/>
    </row>
    <row r="107" spans="1:5" x14ac:dyDescent="0.2">
      <c r="A107" s="205">
        <v>275</v>
      </c>
      <c r="B107" s="120" t="str">
        <f>VLOOKUP(A107,Studies!A:B,2,FALSE)</f>
        <v>Kharasch 1997</v>
      </c>
      <c r="C107" s="174">
        <v>1</v>
      </c>
      <c r="D107" s="174"/>
      <c r="E107" s="174" t="s">
        <v>668</v>
      </c>
    </row>
    <row r="108" spans="1:5" x14ac:dyDescent="0.2">
      <c r="A108" s="205">
        <v>276</v>
      </c>
      <c r="B108" s="120" t="str">
        <f>VLOOKUP(A108,Studies!A:B,2,FALSE)</f>
        <v>Kharasch 1997</v>
      </c>
      <c r="C108" s="174">
        <v>1</v>
      </c>
      <c r="D108" s="174"/>
      <c r="E108" s="174" t="s">
        <v>668</v>
      </c>
    </row>
    <row r="109" spans="1:5" x14ac:dyDescent="0.2">
      <c r="A109" s="205">
        <v>277</v>
      </c>
      <c r="B109" s="120" t="str">
        <f>VLOOKUP(A109,Studies!A:B,2,FALSE)</f>
        <v>Kharasch 1997</v>
      </c>
      <c r="C109" s="174">
        <v>1</v>
      </c>
      <c r="D109" s="174"/>
      <c r="E109" s="174" t="s">
        <v>668</v>
      </c>
    </row>
    <row r="110" spans="1:5" x14ac:dyDescent="0.2">
      <c r="A110" s="205">
        <v>278</v>
      </c>
      <c r="B110" s="120" t="str">
        <f>VLOOKUP(A110,Studies!A:B,2,FALSE)</f>
        <v>Kharasch 1997</v>
      </c>
      <c r="C110" s="174">
        <v>1</v>
      </c>
      <c r="D110" s="174"/>
      <c r="E110" s="174" t="s">
        <v>668</v>
      </c>
    </row>
    <row r="111" spans="1:5" x14ac:dyDescent="0.2">
      <c r="A111" s="205">
        <v>293</v>
      </c>
      <c r="B111" s="120" t="str">
        <f>VLOOKUP(A111,Studies!A:B,2,FALSE)</f>
        <v>Kharasch 2011</v>
      </c>
      <c r="C111" s="174">
        <v>1</v>
      </c>
      <c r="D111" s="174"/>
      <c r="E111" s="174" t="s">
        <v>668</v>
      </c>
    </row>
    <row r="112" spans="1:5" x14ac:dyDescent="0.2">
      <c r="A112" s="205">
        <v>294</v>
      </c>
      <c r="B112" s="120" t="str">
        <f>VLOOKUP(A112,Studies!A:B,2,FALSE)</f>
        <v>Kharasch 2011</v>
      </c>
      <c r="C112" s="174">
        <v>1</v>
      </c>
      <c r="D112" s="174"/>
      <c r="E112" s="174" t="s">
        <v>668</v>
      </c>
    </row>
    <row r="113" spans="1:5" x14ac:dyDescent="0.2">
      <c r="A113" s="205">
        <v>295</v>
      </c>
      <c r="B113" s="120" t="str">
        <f>VLOOKUP(A113,Studies!A:B,2,FALSE)</f>
        <v>Kharasch 2011</v>
      </c>
      <c r="C113" s="174">
        <v>1</v>
      </c>
      <c r="D113" s="174"/>
      <c r="E113" s="174" t="s">
        <v>668</v>
      </c>
    </row>
    <row r="114" spans="1:5" x14ac:dyDescent="0.2">
      <c r="A114" s="205">
        <v>296</v>
      </c>
      <c r="B114" s="120" t="str">
        <f>VLOOKUP(A114,Studies!A:B,2,FALSE)</f>
        <v>Kharasch 2011</v>
      </c>
      <c r="C114" s="174">
        <v>1</v>
      </c>
      <c r="D114" s="174"/>
      <c r="E114" s="174" t="s">
        <v>668</v>
      </c>
    </row>
    <row r="115" spans="1:5" x14ac:dyDescent="0.2">
      <c r="A115" s="205">
        <v>297</v>
      </c>
      <c r="B115" s="120" t="str">
        <f>VLOOKUP(A115,Studies!A:B,2,FALSE)</f>
        <v>Kharasch 2011</v>
      </c>
      <c r="C115" s="174">
        <v>1</v>
      </c>
      <c r="D115" s="174"/>
      <c r="E115" s="174" t="s">
        <v>668</v>
      </c>
    </row>
    <row r="116" spans="1:5" x14ac:dyDescent="0.2">
      <c r="A116" s="205">
        <v>298</v>
      </c>
      <c r="B116" s="120" t="str">
        <f>VLOOKUP(A116,Studies!A:B,2,FALSE)</f>
        <v>Kharasch 2011</v>
      </c>
      <c r="C116" s="174">
        <v>1</v>
      </c>
      <c r="D116" s="174"/>
      <c r="E116" s="174" t="s">
        <v>668</v>
      </c>
    </row>
    <row r="117" spans="1:5" x14ac:dyDescent="0.2">
      <c r="A117" s="205">
        <v>299</v>
      </c>
      <c r="B117" s="120" t="str">
        <f>VLOOKUP(A117,Studies!A:B,2,FALSE)</f>
        <v>Kharasch 2011</v>
      </c>
      <c r="C117" s="174">
        <v>1</v>
      </c>
      <c r="D117" s="174"/>
      <c r="E117" s="174" t="s">
        <v>668</v>
      </c>
    </row>
    <row r="118" spans="1:5" x14ac:dyDescent="0.2">
      <c r="A118" s="205">
        <v>300</v>
      </c>
      <c r="B118" s="120" t="str">
        <f>VLOOKUP(A118,Studies!A:B,2,FALSE)</f>
        <v>Kharasch 2011</v>
      </c>
      <c r="C118" s="174">
        <v>1</v>
      </c>
      <c r="D118" s="174"/>
      <c r="E118" s="174" t="s">
        <v>668</v>
      </c>
    </row>
    <row r="119" spans="1:5" x14ac:dyDescent="0.2">
      <c r="A119" s="205">
        <v>301</v>
      </c>
      <c r="B119" s="120" t="str">
        <f>VLOOKUP(A119,Studies!A:B,2,FALSE)</f>
        <v>Kharasch 2011</v>
      </c>
      <c r="C119" s="174">
        <v>1</v>
      </c>
      <c r="D119" s="174"/>
      <c r="E119" s="174" t="s">
        <v>668</v>
      </c>
    </row>
    <row r="120" spans="1:5" x14ac:dyDescent="0.2">
      <c r="A120" s="205">
        <v>302</v>
      </c>
      <c r="B120" s="120" t="str">
        <f>VLOOKUP(A120,Studies!A:B,2,FALSE)</f>
        <v>Kharasch 2011</v>
      </c>
      <c r="C120" s="174">
        <v>1</v>
      </c>
      <c r="D120" s="174"/>
      <c r="E120" s="174" t="s">
        <v>668</v>
      </c>
    </row>
    <row r="121" spans="1:5" x14ac:dyDescent="0.2">
      <c r="A121" s="205">
        <v>303</v>
      </c>
      <c r="B121" s="120" t="str">
        <f>VLOOKUP(A121,Studies!A:B,2,FALSE)</f>
        <v>Kharasch 2011</v>
      </c>
      <c r="C121" s="174">
        <v>1</v>
      </c>
      <c r="D121" s="174"/>
      <c r="E121" s="174" t="s">
        <v>668</v>
      </c>
    </row>
    <row r="122" spans="1:5" x14ac:dyDescent="0.2">
      <c r="A122" s="205">
        <v>304</v>
      </c>
      <c r="B122" s="120" t="str">
        <f>VLOOKUP(A122,Studies!A:B,2,FALSE)</f>
        <v>Kharasch 2011</v>
      </c>
      <c r="C122" s="174">
        <v>1</v>
      </c>
      <c r="D122" s="174"/>
      <c r="E122" s="174" t="s">
        <v>668</v>
      </c>
    </row>
    <row r="123" spans="1:5" x14ac:dyDescent="0.2">
      <c r="A123" s="205">
        <v>305</v>
      </c>
      <c r="B123" s="120" t="str">
        <f>VLOOKUP(A123,Studies!A:B,2,FALSE)</f>
        <v>Kharasch 2011</v>
      </c>
      <c r="C123" s="174">
        <v>1</v>
      </c>
      <c r="D123" s="174"/>
      <c r="E123" s="174" t="s">
        <v>668</v>
      </c>
    </row>
    <row r="124" spans="1:5" x14ac:dyDescent="0.2">
      <c r="A124" s="205">
        <v>306</v>
      </c>
      <c r="B124" s="120" t="str">
        <f>VLOOKUP(A124,Studies!A:B,2,FALSE)</f>
        <v>Kharasch 2011</v>
      </c>
      <c r="C124" s="174">
        <v>1</v>
      </c>
      <c r="D124" s="174"/>
      <c r="E124" s="174" t="s">
        <v>668</v>
      </c>
    </row>
    <row r="125" spans="1:5" x14ac:dyDescent="0.2">
      <c r="A125" s="205">
        <v>307</v>
      </c>
      <c r="B125" s="120" t="str">
        <f>VLOOKUP(A125,Studies!A:B,2,FALSE)</f>
        <v>Kharasch 2011</v>
      </c>
      <c r="C125" s="174">
        <v>1</v>
      </c>
      <c r="D125" s="174"/>
      <c r="E125" s="174" t="s">
        <v>668</v>
      </c>
    </row>
    <row r="126" spans="1:5" x14ac:dyDescent="0.2">
      <c r="A126" s="205">
        <v>308</v>
      </c>
      <c r="B126" s="120" t="str">
        <f>VLOOKUP(A126,Studies!A:B,2,FALSE)</f>
        <v>Kharasch 2011</v>
      </c>
      <c r="C126" s="174">
        <v>1</v>
      </c>
      <c r="D126" s="174"/>
      <c r="E126" s="174" t="s">
        <v>668</v>
      </c>
    </row>
    <row r="127" spans="1:5" x14ac:dyDescent="0.2">
      <c r="A127" s="205">
        <v>309</v>
      </c>
      <c r="B127" s="120" t="str">
        <f>VLOOKUP(A127,Studies!A:B,2,FALSE)</f>
        <v>Kharasch 2011</v>
      </c>
      <c r="C127" s="174">
        <v>1</v>
      </c>
      <c r="D127" s="174"/>
      <c r="E127" s="174" t="s">
        <v>668</v>
      </c>
    </row>
    <row r="128" spans="1:5" x14ac:dyDescent="0.2">
      <c r="A128" s="205">
        <v>310</v>
      </c>
      <c r="B128" s="120" t="str">
        <f>VLOOKUP(A128,Studies!A:B,2,FALSE)</f>
        <v>Kharasch 2011</v>
      </c>
      <c r="C128" s="174">
        <v>1</v>
      </c>
      <c r="D128" s="174"/>
      <c r="E128" s="174" t="s">
        <v>668</v>
      </c>
    </row>
    <row r="129" spans="1:5" x14ac:dyDescent="0.2">
      <c r="A129" s="205">
        <v>311</v>
      </c>
      <c r="B129" s="120" t="str">
        <f>VLOOKUP(A129,Studies!A:B,2,FALSE)</f>
        <v>Kharasch 2011</v>
      </c>
      <c r="C129" s="174">
        <v>1</v>
      </c>
      <c r="D129" s="174"/>
      <c r="E129" s="174" t="s">
        <v>668</v>
      </c>
    </row>
    <row r="130" spans="1:5" x14ac:dyDescent="0.2">
      <c r="A130" s="205">
        <v>312</v>
      </c>
      <c r="B130" s="120" t="str">
        <f>VLOOKUP(A130,Studies!A:B,2,FALSE)</f>
        <v>Kharasch 2011</v>
      </c>
      <c r="C130" s="174">
        <v>1</v>
      </c>
      <c r="D130" s="174"/>
      <c r="E130" s="174" t="s">
        <v>668</v>
      </c>
    </row>
    <row r="131" spans="1:5" x14ac:dyDescent="0.2">
      <c r="A131" s="205">
        <v>313</v>
      </c>
      <c r="B131" s="120" t="str">
        <f>VLOOKUP(A131,Studies!A:B,2,FALSE)</f>
        <v>Kirby 2012</v>
      </c>
      <c r="C131" s="174">
        <v>1</v>
      </c>
      <c r="D131" s="174"/>
      <c r="E131" s="174" t="s">
        <v>1448</v>
      </c>
    </row>
    <row r="132" spans="1:5" x14ac:dyDescent="0.2">
      <c r="A132" s="205">
        <v>314</v>
      </c>
      <c r="B132" s="120" t="str">
        <f>VLOOKUP(A132,Studies!A:B,2,FALSE)</f>
        <v>Kirby 2012</v>
      </c>
      <c r="C132" s="174">
        <v>1</v>
      </c>
      <c r="D132" s="174"/>
      <c r="E132" s="174" t="s">
        <v>1448</v>
      </c>
    </row>
    <row r="133" spans="1:5" x14ac:dyDescent="0.2">
      <c r="A133" s="205">
        <v>315</v>
      </c>
      <c r="B133" s="120" t="str">
        <f>VLOOKUP(A133,Studies!A:B,2,FALSE)</f>
        <v>Kirby 2012</v>
      </c>
      <c r="C133" s="174">
        <v>1</v>
      </c>
      <c r="D133" s="174"/>
      <c r="E133" s="174" t="s">
        <v>1448</v>
      </c>
    </row>
    <row r="134" spans="1:5" x14ac:dyDescent="0.2">
      <c r="A134" s="205">
        <v>316</v>
      </c>
      <c r="B134" s="120" t="str">
        <f>VLOOKUP(A134,Studies!A:B,2,FALSE)</f>
        <v>Kirby 2012</v>
      </c>
      <c r="C134" s="174">
        <v>1</v>
      </c>
      <c r="D134" s="174"/>
      <c r="E134" s="174" t="s">
        <v>1448</v>
      </c>
    </row>
    <row r="135" spans="1:5" x14ac:dyDescent="0.2">
      <c r="A135" s="205">
        <v>336</v>
      </c>
      <c r="B135" s="120" t="str">
        <f>VLOOKUP(A135,Studies!A:B,2,FALSE)</f>
        <v>Larsen 2007</v>
      </c>
      <c r="C135" s="174">
        <v>1</v>
      </c>
      <c r="D135" s="174"/>
      <c r="E135" s="174" t="s">
        <v>1448</v>
      </c>
    </row>
    <row r="136" spans="1:5" x14ac:dyDescent="0.2">
      <c r="A136" s="205">
        <v>337</v>
      </c>
      <c r="B136" s="120" t="str">
        <f>VLOOKUP(A136,Studies!A:B,2,FALSE)</f>
        <v>Larsen 2007</v>
      </c>
      <c r="C136" s="174">
        <v>1</v>
      </c>
      <c r="D136" s="174"/>
      <c r="E136" s="174" t="s">
        <v>1448</v>
      </c>
    </row>
    <row r="137" spans="1:5" x14ac:dyDescent="0.2">
      <c r="A137" s="205">
        <v>338</v>
      </c>
      <c r="B137" s="120" t="str">
        <f>VLOOKUP(A137,Studies!A:B,2,FALSE)</f>
        <v>Larsen 2007</v>
      </c>
      <c r="C137" s="174">
        <v>1</v>
      </c>
      <c r="D137" s="174"/>
      <c r="E137" s="174" t="s">
        <v>1448</v>
      </c>
    </row>
    <row r="138" spans="1:5" x14ac:dyDescent="0.2">
      <c r="A138" s="205">
        <v>341</v>
      </c>
      <c r="B138" s="120" t="str">
        <f>VLOOKUP(A138,Studies!A:B,2,FALSE)</f>
        <v>Link 2008</v>
      </c>
      <c r="C138" s="174">
        <v>1</v>
      </c>
      <c r="D138" s="174"/>
      <c r="E138" s="174" t="s">
        <v>668</v>
      </c>
    </row>
    <row r="139" spans="1:5" x14ac:dyDescent="0.2">
      <c r="A139" s="205">
        <v>342</v>
      </c>
      <c r="B139" s="120" t="str">
        <f>VLOOKUP(A139,Studies!A:B,2,FALSE)</f>
        <v>Link 2008</v>
      </c>
      <c r="C139" s="174">
        <v>1</v>
      </c>
      <c r="D139" s="174"/>
      <c r="E139" s="174" t="s">
        <v>668</v>
      </c>
    </row>
    <row r="140" spans="1:5" x14ac:dyDescent="0.2">
      <c r="A140" s="205">
        <v>343</v>
      </c>
      <c r="B140" s="120" t="str">
        <f>VLOOKUP(A140,Studies!A:B,2,FALSE)</f>
        <v>Link 2008</v>
      </c>
      <c r="C140" s="174">
        <v>1</v>
      </c>
      <c r="D140" s="174"/>
      <c r="E140" s="174" t="s">
        <v>668</v>
      </c>
    </row>
    <row r="141" spans="1:5" x14ac:dyDescent="0.2">
      <c r="A141" s="205">
        <v>344</v>
      </c>
      <c r="B141" s="120" t="str">
        <f>VLOOKUP(A141,Studies!A:B,2,FALSE)</f>
        <v>Link 2008</v>
      </c>
      <c r="C141" s="174">
        <v>1</v>
      </c>
      <c r="D141" s="174"/>
      <c r="E141" s="174" t="s">
        <v>668</v>
      </c>
    </row>
    <row r="142" spans="1:5" x14ac:dyDescent="0.2">
      <c r="A142" s="205">
        <v>345</v>
      </c>
      <c r="B142" s="120" t="str">
        <f>VLOOKUP(A142,Studies!A:B,2,FALSE)</f>
        <v>Loos 1985</v>
      </c>
      <c r="C142" s="174"/>
      <c r="D142" s="174">
        <v>1</v>
      </c>
      <c r="E142" s="174"/>
    </row>
    <row r="143" spans="1:5" x14ac:dyDescent="0.2">
      <c r="A143" s="205">
        <v>346</v>
      </c>
      <c r="B143" s="120" t="str">
        <f>VLOOKUP(A143,Studies!A:B,2,FALSE)</f>
        <v>Loos 1985</v>
      </c>
      <c r="C143" s="174"/>
      <c r="D143" s="174">
        <v>1</v>
      </c>
      <c r="E143" s="174"/>
    </row>
    <row r="144" spans="1:5" x14ac:dyDescent="0.2">
      <c r="A144" s="205">
        <v>347</v>
      </c>
      <c r="B144" s="120" t="str">
        <f>VLOOKUP(A144,Studies!A:B,2,FALSE)</f>
        <v>Loos 1985</v>
      </c>
      <c r="C144" s="174"/>
      <c r="D144" s="174">
        <v>1</v>
      </c>
      <c r="E144" s="174"/>
    </row>
    <row r="145" spans="1:5" x14ac:dyDescent="0.2">
      <c r="A145" s="205">
        <v>348</v>
      </c>
      <c r="B145" s="120" t="str">
        <f>VLOOKUP(A145,Studies!A:B,2,FALSE)</f>
        <v>Loos 1985</v>
      </c>
      <c r="C145" s="174"/>
      <c r="D145" s="174">
        <v>1</v>
      </c>
      <c r="E145" s="174"/>
    </row>
    <row r="146" spans="1:5" x14ac:dyDescent="0.2">
      <c r="A146" s="205">
        <v>349</v>
      </c>
      <c r="B146" s="120" t="str">
        <f>VLOOKUP(A146,Studies!A:B,2,FALSE)</f>
        <v>Loos 1985</v>
      </c>
      <c r="C146" s="174"/>
      <c r="D146" s="174">
        <v>1</v>
      </c>
      <c r="E146" s="174"/>
    </row>
    <row r="147" spans="1:5" x14ac:dyDescent="0.2">
      <c r="A147" s="205">
        <v>350</v>
      </c>
      <c r="B147" s="120" t="str">
        <f>VLOOKUP(A147,Studies!A:B,2,FALSE)</f>
        <v>Loos 1985</v>
      </c>
      <c r="C147" s="174"/>
      <c r="D147" s="174">
        <v>1</v>
      </c>
      <c r="E147" s="174"/>
    </row>
    <row r="148" spans="1:5" x14ac:dyDescent="0.2">
      <c r="A148" s="205">
        <v>351</v>
      </c>
      <c r="B148" s="120" t="str">
        <f>VLOOKUP(A148,Studies!A:B,2,FALSE)</f>
        <v>Majumdar 2007</v>
      </c>
      <c r="C148" s="174">
        <v>1</v>
      </c>
      <c r="D148" s="174"/>
      <c r="E148" s="174" t="s">
        <v>668</v>
      </c>
    </row>
    <row r="149" spans="1:5" x14ac:dyDescent="0.2">
      <c r="A149" s="205">
        <v>352</v>
      </c>
      <c r="B149" s="120" t="str">
        <f>VLOOKUP(A149,Studies!A:B,2,FALSE)</f>
        <v>Majumdar 2007</v>
      </c>
      <c r="C149" s="174">
        <v>1</v>
      </c>
      <c r="D149" s="174"/>
      <c r="E149" s="174" t="s">
        <v>668</v>
      </c>
    </row>
    <row r="150" spans="1:5" x14ac:dyDescent="0.2">
      <c r="A150" s="205">
        <v>361</v>
      </c>
      <c r="B150" s="120" t="str">
        <f>VLOOKUP(A150,Studies!A:B,2,FALSE)</f>
        <v>Okudaira 2007</v>
      </c>
      <c r="C150" s="174">
        <v>1</v>
      </c>
      <c r="D150" s="174"/>
      <c r="E150" s="174" t="s">
        <v>668</v>
      </c>
    </row>
    <row r="151" spans="1:5" x14ac:dyDescent="0.2">
      <c r="A151" s="205">
        <v>362</v>
      </c>
      <c r="B151" s="120" t="str">
        <f>VLOOKUP(A151,Studies!A:B,2,FALSE)</f>
        <v>Okudaira 2007</v>
      </c>
      <c r="C151" s="174">
        <v>1</v>
      </c>
      <c r="D151" s="174"/>
      <c r="E151" s="174" t="s">
        <v>668</v>
      </c>
    </row>
    <row r="152" spans="1:5" x14ac:dyDescent="0.2">
      <c r="A152" s="205">
        <v>363</v>
      </c>
      <c r="B152" s="120" t="str">
        <f>VLOOKUP(A152,Studies!A:B,2,FALSE)</f>
        <v>Okudaira 2007</v>
      </c>
      <c r="C152" s="174">
        <v>1</v>
      </c>
      <c r="D152" s="174"/>
      <c r="E152" s="174" t="s">
        <v>668</v>
      </c>
    </row>
    <row r="153" spans="1:5" x14ac:dyDescent="0.2">
      <c r="A153" s="205">
        <v>364</v>
      </c>
      <c r="B153" s="120" t="str">
        <f>VLOOKUP(A153,Studies!A:B,2,FALSE)</f>
        <v>Okudaira 2007</v>
      </c>
      <c r="C153" s="174">
        <v>1</v>
      </c>
      <c r="D153" s="174"/>
      <c r="E153" s="174" t="s">
        <v>668</v>
      </c>
    </row>
    <row r="154" spans="1:5" x14ac:dyDescent="0.2">
      <c r="A154" s="205">
        <v>365</v>
      </c>
      <c r="B154" s="120" t="str">
        <f>VLOOKUP(A154,Studies!A:B,2,FALSE)</f>
        <v>Olkkola 1993</v>
      </c>
      <c r="C154" s="174">
        <v>1</v>
      </c>
      <c r="D154" s="174"/>
      <c r="E154" s="174" t="s">
        <v>668</v>
      </c>
    </row>
    <row r="155" spans="1:5" x14ac:dyDescent="0.2">
      <c r="A155" s="205">
        <v>366</v>
      </c>
      <c r="B155" s="120" t="str">
        <f>VLOOKUP(A155,Studies!A:B,2,FALSE)</f>
        <v>Olkkola 1993</v>
      </c>
      <c r="C155" s="174">
        <v>1</v>
      </c>
      <c r="D155" s="174"/>
      <c r="E155" s="174" t="s">
        <v>668</v>
      </c>
    </row>
    <row r="156" spans="1:5" x14ac:dyDescent="0.2">
      <c r="A156" s="205">
        <v>367</v>
      </c>
      <c r="B156" s="120" t="str">
        <f>VLOOKUP(A156,Studies!A:B,2,FALSE)</f>
        <v>Olkkola 1993</v>
      </c>
      <c r="C156" s="174">
        <v>1</v>
      </c>
      <c r="D156" s="174"/>
      <c r="E156" s="174" t="s">
        <v>668</v>
      </c>
    </row>
    <row r="157" spans="1:5" x14ac:dyDescent="0.2">
      <c r="A157" s="205">
        <v>368</v>
      </c>
      <c r="B157" s="120" t="str">
        <f>VLOOKUP(A157,Studies!A:B,2,FALSE)</f>
        <v>Olkkola 1993</v>
      </c>
      <c r="C157" s="174">
        <v>1</v>
      </c>
      <c r="D157" s="174"/>
      <c r="E157" s="174" t="s">
        <v>668</v>
      </c>
    </row>
    <row r="158" spans="1:5" x14ac:dyDescent="0.2">
      <c r="A158" s="205">
        <v>369</v>
      </c>
      <c r="B158" s="120" t="str">
        <f>VLOOKUP(A158,Studies!A:B,2,FALSE)</f>
        <v>Olkkola 1994</v>
      </c>
      <c r="C158" s="174">
        <v>1</v>
      </c>
      <c r="D158" s="174"/>
      <c r="E158" s="174" t="s">
        <v>668</v>
      </c>
    </row>
    <row r="159" spans="1:5" x14ac:dyDescent="0.2">
      <c r="A159" s="205">
        <v>370</v>
      </c>
      <c r="B159" s="120" t="str">
        <f>VLOOKUP(A159,Studies!A:B,2,FALSE)</f>
        <v>Olkkola 1994</v>
      </c>
      <c r="C159" s="174">
        <v>1</v>
      </c>
      <c r="D159" s="174"/>
      <c r="E159" s="174" t="s">
        <v>668</v>
      </c>
    </row>
    <row r="160" spans="1:5" x14ac:dyDescent="0.2">
      <c r="A160" s="205">
        <v>371</v>
      </c>
      <c r="B160" s="120" t="str">
        <f>VLOOKUP(A160,Studies!A:B,2,FALSE)</f>
        <v>Olkkola 1994</v>
      </c>
      <c r="C160" s="174">
        <v>1</v>
      </c>
      <c r="D160" s="174"/>
      <c r="E160" s="174" t="s">
        <v>668</v>
      </c>
    </row>
    <row r="161" spans="1:5" x14ac:dyDescent="0.2">
      <c r="A161" s="205">
        <v>372</v>
      </c>
      <c r="B161" s="120" t="str">
        <f>VLOOKUP(A161,Studies!A:B,2,FALSE)</f>
        <v>Olkkola 1994</v>
      </c>
      <c r="C161" s="174">
        <v>1</v>
      </c>
      <c r="D161" s="174"/>
      <c r="E161" s="174" t="s">
        <v>668</v>
      </c>
    </row>
    <row r="162" spans="1:5" x14ac:dyDescent="0.2">
      <c r="A162" s="205">
        <v>373</v>
      </c>
      <c r="B162" s="120" t="str">
        <f>VLOOKUP(A162,Studies!A:B,2,FALSE)</f>
        <v>Olkkola 1994</v>
      </c>
      <c r="C162" s="174">
        <v>1</v>
      </c>
      <c r="D162" s="174"/>
      <c r="E162" s="174" t="s">
        <v>668</v>
      </c>
    </row>
    <row r="163" spans="1:5" x14ac:dyDescent="0.2">
      <c r="A163" s="205">
        <v>374</v>
      </c>
      <c r="B163" s="120" t="str">
        <f>VLOOKUP(A163,Studies!A:B,2,FALSE)</f>
        <v>Olkkola 1996</v>
      </c>
      <c r="C163" s="174">
        <v>1</v>
      </c>
      <c r="D163" s="174"/>
      <c r="E163" s="174" t="s">
        <v>668</v>
      </c>
    </row>
    <row r="164" spans="1:5" x14ac:dyDescent="0.2">
      <c r="A164" s="205">
        <v>375</v>
      </c>
      <c r="B164" s="120" t="str">
        <f>VLOOKUP(A164,Studies!A:B,2,FALSE)</f>
        <v>Olkkola 1996</v>
      </c>
      <c r="C164" s="174">
        <v>1</v>
      </c>
      <c r="D164" s="174"/>
      <c r="E164" s="174" t="s">
        <v>668</v>
      </c>
    </row>
    <row r="165" spans="1:5" x14ac:dyDescent="0.2">
      <c r="A165" s="205">
        <v>376</v>
      </c>
      <c r="B165" s="120" t="str">
        <f>VLOOKUP(A165,Studies!A:B,2,FALSE)</f>
        <v>Olkkola 1996</v>
      </c>
      <c r="C165" s="174">
        <v>1</v>
      </c>
      <c r="D165" s="174"/>
      <c r="E165" s="174" t="s">
        <v>668</v>
      </c>
    </row>
    <row r="166" spans="1:5" x14ac:dyDescent="0.2">
      <c r="A166" s="205">
        <v>377</v>
      </c>
      <c r="B166" s="120" t="str">
        <f>VLOOKUP(A166,Studies!A:B,2,FALSE)</f>
        <v>Olkkola 1996</v>
      </c>
      <c r="C166" s="174">
        <v>1</v>
      </c>
      <c r="D166" s="174"/>
      <c r="E166" s="174" t="s">
        <v>668</v>
      </c>
    </row>
    <row r="167" spans="1:5" x14ac:dyDescent="0.2">
      <c r="A167" s="205">
        <v>378</v>
      </c>
      <c r="B167" s="120" t="str">
        <f>VLOOKUP(A167,Studies!A:B,2,FALSE)</f>
        <v>Olkkola 1996</v>
      </c>
      <c r="C167" s="174">
        <v>1</v>
      </c>
      <c r="D167" s="174"/>
      <c r="E167" s="174" t="s">
        <v>668</v>
      </c>
    </row>
    <row r="168" spans="1:5" x14ac:dyDescent="0.2">
      <c r="A168" s="205">
        <v>379</v>
      </c>
      <c r="B168" s="120" t="str">
        <f>VLOOKUP(A168,Studies!A:B,2,FALSE)</f>
        <v>Olkkola 1996</v>
      </c>
      <c r="C168" s="174">
        <v>1</v>
      </c>
      <c r="D168" s="174"/>
      <c r="E168" s="174" t="s">
        <v>668</v>
      </c>
    </row>
    <row r="169" spans="1:5" x14ac:dyDescent="0.2">
      <c r="A169" s="205">
        <v>380</v>
      </c>
      <c r="B169" s="120" t="str">
        <f>VLOOKUP(A169,Studies!A:B,2,FALSE)</f>
        <v>Olkkola 1996</v>
      </c>
      <c r="C169" s="174">
        <v>1</v>
      </c>
      <c r="D169" s="174"/>
      <c r="E169" s="174" t="s">
        <v>668</v>
      </c>
    </row>
    <row r="170" spans="1:5" x14ac:dyDescent="0.2">
      <c r="A170" s="205">
        <v>381</v>
      </c>
      <c r="B170" s="120" t="str">
        <f>VLOOKUP(A170,Studies!A:B,2,FALSE)</f>
        <v>Olkkola 1996</v>
      </c>
      <c r="C170" s="174">
        <v>1</v>
      </c>
      <c r="D170" s="174"/>
      <c r="E170" s="174" t="s">
        <v>668</v>
      </c>
    </row>
    <row r="171" spans="1:5" x14ac:dyDescent="0.2">
      <c r="A171" s="205">
        <v>382</v>
      </c>
      <c r="B171" s="120" t="str">
        <f>VLOOKUP(A171,Studies!A:B,2,FALSE)</f>
        <v>Olkkola 1996</v>
      </c>
      <c r="C171" s="174">
        <v>1</v>
      </c>
      <c r="D171" s="174"/>
      <c r="E171" s="174" t="s">
        <v>668</v>
      </c>
    </row>
    <row r="172" spans="1:5" x14ac:dyDescent="0.2">
      <c r="A172" s="205">
        <v>383</v>
      </c>
      <c r="B172" s="120" t="str">
        <f>VLOOKUP(A172,Studies!A:B,2,FALSE)</f>
        <v>Peloquin 1997</v>
      </c>
      <c r="C172" s="174">
        <v>1</v>
      </c>
      <c r="D172" s="174"/>
      <c r="E172" s="174" t="s">
        <v>668</v>
      </c>
    </row>
    <row r="173" spans="1:5" x14ac:dyDescent="0.2">
      <c r="A173" s="205">
        <v>384</v>
      </c>
      <c r="B173" s="120" t="str">
        <f>VLOOKUP(A173,Studies!A:B,2,FALSE)</f>
        <v>Peloquin 1999</v>
      </c>
      <c r="C173" s="174">
        <v>1</v>
      </c>
      <c r="D173" s="174"/>
      <c r="E173" s="174" t="s">
        <v>668</v>
      </c>
    </row>
    <row r="174" spans="1:5" x14ac:dyDescent="0.2">
      <c r="A174" s="205">
        <v>385</v>
      </c>
      <c r="B174" s="120" t="str">
        <f>VLOOKUP(A174,Studies!A:B,2,FALSE)</f>
        <v>Peloquin 1999</v>
      </c>
      <c r="C174" s="174">
        <v>1</v>
      </c>
      <c r="D174" s="174"/>
      <c r="E174" s="174" t="s">
        <v>668</v>
      </c>
    </row>
    <row r="175" spans="1:5" x14ac:dyDescent="0.2">
      <c r="A175" s="205">
        <v>386</v>
      </c>
      <c r="B175" s="120" t="str">
        <f>VLOOKUP(A175,Studies!A:B,2,FALSE)</f>
        <v>Peloquin 1999</v>
      </c>
      <c r="C175" s="174">
        <v>1</v>
      </c>
      <c r="D175" s="174"/>
      <c r="E175" s="174" t="s">
        <v>668</v>
      </c>
    </row>
    <row r="176" spans="1:5" x14ac:dyDescent="0.2">
      <c r="A176" s="205">
        <v>387</v>
      </c>
      <c r="B176" s="120" t="str">
        <f>VLOOKUP(A176,Studies!A:B,2,FALSE)</f>
        <v>Peloquin 1999</v>
      </c>
      <c r="C176" s="174">
        <v>1</v>
      </c>
      <c r="D176" s="174"/>
      <c r="E176" s="174" t="s">
        <v>668</v>
      </c>
    </row>
    <row r="177" spans="1:5" x14ac:dyDescent="0.2">
      <c r="A177" s="205">
        <v>388</v>
      </c>
      <c r="B177" s="120" t="str">
        <f>VLOOKUP(A177,Studies!A:B,2,FALSE)</f>
        <v>Phimmasone 2001</v>
      </c>
      <c r="C177" s="174">
        <v>1</v>
      </c>
      <c r="D177" s="174"/>
      <c r="E177" s="174" t="s">
        <v>668</v>
      </c>
    </row>
    <row r="178" spans="1:5" x14ac:dyDescent="0.2">
      <c r="A178" s="205">
        <v>389</v>
      </c>
      <c r="B178" s="120" t="str">
        <f>VLOOKUP(A178,Studies!A:B,2,FALSE)</f>
        <v>Phimmasone 2001</v>
      </c>
      <c r="C178" s="174">
        <v>1</v>
      </c>
      <c r="D178" s="174"/>
      <c r="E178" s="174" t="s">
        <v>668</v>
      </c>
    </row>
    <row r="179" spans="1:5" x14ac:dyDescent="0.2">
      <c r="A179" s="205">
        <v>390</v>
      </c>
      <c r="B179" s="120" t="str">
        <f>VLOOKUP(A179,Studies!A:B,2,FALSE)</f>
        <v>Phimmasone 2001</v>
      </c>
      <c r="C179" s="174">
        <v>1</v>
      </c>
      <c r="D179" s="174"/>
      <c r="E179" s="174" t="s">
        <v>668</v>
      </c>
    </row>
    <row r="180" spans="1:5" x14ac:dyDescent="0.2">
      <c r="A180" s="205">
        <v>391</v>
      </c>
      <c r="B180" s="120" t="str">
        <f>VLOOKUP(A180,Studies!A:B,2,FALSE)</f>
        <v>Phimmasone 2001</v>
      </c>
      <c r="C180" s="174">
        <v>1</v>
      </c>
      <c r="D180" s="174"/>
      <c r="E180" s="174" t="s">
        <v>668</v>
      </c>
    </row>
    <row r="181" spans="1:5" x14ac:dyDescent="0.2">
      <c r="A181" s="205">
        <v>400</v>
      </c>
      <c r="B181" s="120" t="str">
        <f>VLOOKUP(A181,Studies!A:B,2,FALSE)</f>
        <v>Saari 2006</v>
      </c>
      <c r="C181" s="174">
        <v>1</v>
      </c>
      <c r="D181" s="174"/>
      <c r="E181" s="174" t="s">
        <v>668</v>
      </c>
    </row>
    <row r="182" spans="1:5" x14ac:dyDescent="0.2">
      <c r="A182" s="205">
        <v>401</v>
      </c>
      <c r="B182" s="120" t="str">
        <f>VLOOKUP(A182,Studies!A:B,2,FALSE)</f>
        <v>Saari 2006</v>
      </c>
      <c r="C182" s="174">
        <v>1</v>
      </c>
      <c r="D182" s="174"/>
      <c r="E182" s="174" t="s">
        <v>668</v>
      </c>
    </row>
    <row r="183" spans="1:5" x14ac:dyDescent="0.2">
      <c r="A183" s="205">
        <v>402</v>
      </c>
      <c r="B183" s="120" t="str">
        <f>VLOOKUP(A183,Studies!A:B,2,FALSE)</f>
        <v>Saari 2006</v>
      </c>
      <c r="C183" s="174">
        <v>1</v>
      </c>
      <c r="D183" s="174"/>
      <c r="E183" s="174" t="s">
        <v>668</v>
      </c>
    </row>
    <row r="184" spans="1:5" x14ac:dyDescent="0.2">
      <c r="A184" s="205">
        <v>403</v>
      </c>
      <c r="B184" s="120" t="str">
        <f>VLOOKUP(A184,Studies!A:B,2,FALSE)</f>
        <v>Saari 2006</v>
      </c>
      <c r="C184" s="174">
        <v>1</v>
      </c>
      <c r="D184" s="174"/>
      <c r="E184" s="174" t="s">
        <v>668</v>
      </c>
    </row>
    <row r="185" spans="1:5" x14ac:dyDescent="0.2">
      <c r="A185" s="205">
        <v>404</v>
      </c>
      <c r="B185" s="120" t="str">
        <f>VLOOKUP(A185,Studies!A:B,2,FALSE)</f>
        <v>Saari 2006</v>
      </c>
      <c r="C185" s="174">
        <v>1</v>
      </c>
      <c r="D185" s="174"/>
      <c r="E185" s="174" t="s">
        <v>668</v>
      </c>
    </row>
    <row r="186" spans="1:5" x14ac:dyDescent="0.2">
      <c r="A186" s="205">
        <v>405</v>
      </c>
      <c r="B186" s="120" t="str">
        <f>VLOOKUP(A186,Studies!A:B,2,FALSE)</f>
        <v>Saari 2006</v>
      </c>
      <c r="C186" s="174">
        <v>1</v>
      </c>
      <c r="D186" s="174"/>
      <c r="E186" s="174" t="s">
        <v>668</v>
      </c>
    </row>
    <row r="187" spans="1:5" x14ac:dyDescent="0.2">
      <c r="A187" s="205">
        <v>414</v>
      </c>
      <c r="B187" s="120" t="str">
        <f>VLOOKUP(A187,Studies!A:B,2,FALSE)</f>
        <v>Schwagmeier 1998</v>
      </c>
      <c r="C187" s="174">
        <v>1</v>
      </c>
      <c r="D187" s="174"/>
      <c r="E187" s="174" t="s">
        <v>668</v>
      </c>
    </row>
    <row r="188" spans="1:5" x14ac:dyDescent="0.2">
      <c r="A188" s="205">
        <v>419</v>
      </c>
      <c r="B188" s="120" t="str">
        <f>VLOOKUP(A188,Studies!A:B,2,FALSE)</f>
        <v>Swart 2002</v>
      </c>
      <c r="C188" s="174">
        <v>1</v>
      </c>
      <c r="D188" s="174"/>
      <c r="E188" s="174" t="s">
        <v>1448</v>
      </c>
    </row>
    <row r="189" spans="1:5" x14ac:dyDescent="0.2">
      <c r="A189" s="205">
        <v>420</v>
      </c>
      <c r="B189" s="120" t="str">
        <f>VLOOKUP(A189,Studies!A:B,2,FALSE)</f>
        <v>Swart 2002</v>
      </c>
      <c r="C189" s="174">
        <v>1</v>
      </c>
      <c r="D189" s="174"/>
      <c r="E189" s="174" t="s">
        <v>1448</v>
      </c>
    </row>
    <row r="190" spans="1:5" x14ac:dyDescent="0.2">
      <c r="A190" s="205">
        <v>421</v>
      </c>
      <c r="B190" s="120" t="str">
        <f>VLOOKUP(A190,Studies!A:B,2,FALSE)</f>
        <v>Szalat 2007</v>
      </c>
      <c r="C190" s="174">
        <v>1</v>
      </c>
      <c r="D190" s="174"/>
      <c r="E190" s="174" t="s">
        <v>668</v>
      </c>
    </row>
    <row r="191" spans="1:5" x14ac:dyDescent="0.2">
      <c r="A191" s="205">
        <v>422</v>
      </c>
      <c r="B191" s="120" t="str">
        <f>VLOOKUP(A191,Studies!A:B,2,FALSE)</f>
        <v>Szalat 2007</v>
      </c>
      <c r="C191" s="174">
        <v>1</v>
      </c>
      <c r="D191" s="174"/>
      <c r="E191" s="174" t="s">
        <v>668</v>
      </c>
    </row>
    <row r="192" spans="1:5" x14ac:dyDescent="0.2">
      <c r="A192" s="205">
        <v>423</v>
      </c>
      <c r="B192" s="120" t="str">
        <f>VLOOKUP(A192,Studies!A:B,2,FALSE)</f>
        <v>Templeton 2010</v>
      </c>
      <c r="C192" s="174">
        <v>1</v>
      </c>
      <c r="D192" s="174"/>
      <c r="E192" s="174" t="s">
        <v>668</v>
      </c>
    </row>
    <row r="193" spans="1:5" x14ac:dyDescent="0.2">
      <c r="A193" s="205">
        <v>424</v>
      </c>
      <c r="B193" s="120" t="str">
        <f>VLOOKUP(A193,Studies!A:B,2,FALSE)</f>
        <v>Templeton 2010</v>
      </c>
      <c r="C193" s="174">
        <v>1</v>
      </c>
      <c r="D193" s="174"/>
      <c r="E193" s="174" t="s">
        <v>668</v>
      </c>
    </row>
    <row r="194" spans="1:5" x14ac:dyDescent="0.2">
      <c r="A194" s="205">
        <v>425</v>
      </c>
      <c r="B194" s="120" t="str">
        <f>VLOOKUP(A194,Studies!A:B,2,FALSE)</f>
        <v>Templeton 2010</v>
      </c>
      <c r="C194" s="174">
        <v>1</v>
      </c>
      <c r="D194" s="174"/>
      <c r="E194" s="174" t="s">
        <v>668</v>
      </c>
    </row>
    <row r="195" spans="1:5" x14ac:dyDescent="0.2">
      <c r="A195" s="205">
        <v>426</v>
      </c>
      <c r="B195" s="120" t="str">
        <f>VLOOKUP(A195,Studies!A:B,2,FALSE)</f>
        <v>Templeton 2010</v>
      </c>
      <c r="C195" s="174">
        <v>1</v>
      </c>
      <c r="D195" s="174"/>
      <c r="E195" s="174" t="s">
        <v>668</v>
      </c>
    </row>
    <row r="196" spans="1:5" x14ac:dyDescent="0.2">
      <c r="A196" s="205">
        <v>427</v>
      </c>
      <c r="B196" s="120" t="str">
        <f>VLOOKUP(A196,Studies!A:B,2,FALSE)</f>
        <v>Tham 2006</v>
      </c>
      <c r="C196" s="174">
        <v>1</v>
      </c>
      <c r="D196" s="174"/>
      <c r="E196" s="174" t="s">
        <v>668</v>
      </c>
    </row>
    <row r="197" spans="1:5" x14ac:dyDescent="0.2">
      <c r="A197" s="205">
        <v>428</v>
      </c>
      <c r="B197" s="120" t="str">
        <f>VLOOKUP(A197,Studies!A:B,2,FALSE)</f>
        <v>Tham 2006</v>
      </c>
      <c r="C197" s="174">
        <v>1</v>
      </c>
      <c r="D197" s="174"/>
      <c r="E197" s="174" t="s">
        <v>668</v>
      </c>
    </row>
    <row r="198" spans="1:5" x14ac:dyDescent="0.2">
      <c r="A198" s="183">
        <v>5197</v>
      </c>
      <c r="B198" s="120" t="str">
        <f>VLOOKUP(A198,Studies!A:B,2,FALSE)</f>
        <v>Abdel-Rahman 2007</v>
      </c>
    </row>
    <row r="199" spans="1:5" x14ac:dyDescent="0.2">
      <c r="A199" s="183">
        <v>5198</v>
      </c>
      <c r="B199" s="120" t="str">
        <f>VLOOKUP(A199,Studies!A:B,2,FALSE)</f>
        <v>Abdel-Rahman 2007</v>
      </c>
    </row>
    <row r="200" spans="1:5" x14ac:dyDescent="0.2">
      <c r="A200" s="183">
        <v>5199</v>
      </c>
      <c r="B200" s="120" t="str">
        <f>VLOOKUP(A200,Studies!A:B,2,FALSE)</f>
        <v>Abdel-Rahman 2007</v>
      </c>
    </row>
    <row r="201" spans="1:5" x14ac:dyDescent="0.2">
      <c r="A201" s="183">
        <v>5200</v>
      </c>
      <c r="B201" s="120" t="str">
        <f>VLOOKUP(A201,Studies!A:B,2,FALSE)</f>
        <v>Abdel-Rahman 2007</v>
      </c>
    </row>
  </sheetData>
  <autoFilter ref="A1:E201"/>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02AC6D9EF9CA44BE2D7FE53E0F875C" ma:contentTypeVersion="7" ma:contentTypeDescription="Ein neues Dokument erstellen." ma:contentTypeScope="" ma:versionID="b983392c9451282efc7f995a5488b016">
  <xsd:schema xmlns:xsd="http://www.w3.org/2001/XMLSchema" xmlns:xs="http://www.w3.org/2001/XMLSchema" xmlns:p="http://schemas.microsoft.com/office/2006/metadata/properties" xmlns:ns2="aecc70ee-2d6e-4d6b-a98f-0dfc4d2572dc" targetNamespace="http://schemas.microsoft.com/office/2006/metadata/properties" ma:root="true" ma:fieldsID="0b993475dd46e91be226866cf72e855a" ns2:_="">
    <xsd:import namespace="aecc70ee-2d6e-4d6b-a98f-0dfc4d2572d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cc70ee-2d6e-4d6b-a98f-0dfc4d257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350ADB-DCC6-4693-BECB-CD381ACDF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cc70ee-2d6e-4d6b-a98f-0dfc4d2572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209783-4AAD-4055-8F9C-485BBD383BF3}">
  <ds:schemaRefs>
    <ds:schemaRef ds:uri="http://schemas.microsoft.com/sharepoint/v3/contenttype/forms"/>
  </ds:schemaRefs>
</ds:datastoreItem>
</file>

<file path=customXml/itemProps3.xml><?xml version="1.0" encoding="utf-8"?>
<ds:datastoreItem xmlns:ds="http://schemas.openxmlformats.org/officeDocument/2006/customXml" ds:itemID="{45BC62DA-2B2A-4182-968B-675A68C976B3}">
  <ds:schemaRefs>
    <ds:schemaRef ds:uri="http://purl.org/dc/terms/"/>
    <ds:schemaRef ds:uri="aecc70ee-2d6e-4d6b-a98f-0dfc4d2572dc"/>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Studies</vt:lpstr>
      <vt:lpstr>PK-Parameter</vt:lpstr>
      <vt:lpstr>PK-Profiles</vt:lpstr>
      <vt:lpstr>DDI</vt:lpstr>
      <vt:lpstr>Analyte</vt:lpstr>
      <vt:lpstr>Lists</vt:lpstr>
      <vt:lpstr>Projects</vt:lpstr>
      <vt:lpstr>NotghiID</vt:lpstr>
    </vt:vector>
  </TitlesOfParts>
  <Company>Bayer</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Dallmann</dc:creator>
  <cp:lastModifiedBy>Sebastian Frechen</cp:lastModifiedBy>
  <cp:revision/>
  <dcterms:created xsi:type="dcterms:W3CDTF">2018-06-14T09:04:40Z</dcterms:created>
  <dcterms:modified xsi:type="dcterms:W3CDTF">2019-05-15T12:32:31Z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0x0101000A02AC6D9EF9CA44BE2D7FE53E0F875C</vt:lpwstr>
  </property>
  <property fmtid="{D5CDD505-2E9C-101B-9397-08002B2CF9AE}" pid="3" name="AuthorIds_UIVersion_14848">
    <vt:lpwstr>14</vt:lpwstr>
  </property>
  <property fmtid="{D5CDD505-2E9C-101B-9397-08002B2CF9AE}" pid="4" name="AuthorIds_UIVersion_13824">
    <vt:lpwstr>6</vt:lpwstr>
  </property>
</Properties>
</file>